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090" tabRatio="778" activeTab="3"/>
  </bookViews>
  <sheets>
    <sheet name="数据输出" sheetId="4" r:id="rId1"/>
    <sheet name="IP监控表" sheetId="8" r:id="rId2"/>
    <sheet name="bty注册" sheetId="1" r:id="rId3"/>
    <sheet name="bty首充" sheetId="2" r:id="rId4"/>
    <sheet name="历史IP数据" sheetId="13" r:id="rId5"/>
    <sheet name="历史数据" sheetId="11" r:id="rId6"/>
    <sheet name="代理总表" sheetId="6" r:id="rId7"/>
    <sheet name="错误历史数据" sheetId="24" r:id="rId8"/>
    <sheet name="Sheet1" sheetId="23" r:id="rId9"/>
    <sheet name="martin" sheetId="16" state="hidden" r:id="rId10"/>
    <sheet name="Aber" sheetId="20" state="hidden" r:id="rId11"/>
    <sheet name="DK" sheetId="21" state="hidden" r:id="rId12"/>
    <sheet name="zed" sheetId="22" state="hidden" r:id="rId13"/>
    <sheet name="SEO数据汇总记录9月" sheetId="9" state="hidden" r:id="rId14"/>
    <sheet name="seo数据汇总记录10月" sheetId="10" state="hidden" r:id="rId15"/>
  </sheets>
  <externalReferences>
    <externalReference r:id="rId16"/>
  </externalReferences>
  <definedNames>
    <definedName name="_xlnm._FilterDatabase" localSheetId="5" hidden="1">历史数据!$A$1:$AE$2880</definedName>
    <definedName name="_xlnm._FilterDatabase" localSheetId="6" hidden="1">代理总表!$A$1:$D$2722</definedName>
    <definedName name="_xlnm._FilterDatabase" localSheetId="2" hidden="1">bty注册!$A$1:$AF$2</definedName>
    <definedName name="_xlnm._FilterDatabase" localSheetId="3" hidden="1">bty首充!$A$1:$O$1</definedName>
    <definedName name="_xlnm._FilterDatabase" localSheetId="10" hidden="1">Aber!$A$1:$P$29</definedName>
    <definedName name="_xlnm._FilterDatabase" localSheetId="11" hidden="1">DK!$A$1:$P$29</definedName>
    <definedName name="_xlnm._FilterDatabase" localSheetId="1" hidden="1">IP监控表!$A$1:$O$65</definedName>
    <definedName name="_xlnm._FilterDatabase" localSheetId="9" hidden="1">martin!$A$1:$P$29</definedName>
    <definedName name="_xlnm._FilterDatabase" localSheetId="12" hidden="1">zed!$A$1:$P$29</definedName>
    <definedName name="_xlnm._FilterDatabase" localSheetId="7" hidden="1">错误历史数据!$A$1:$W$591</definedName>
  </definedNames>
  <calcPr calcId="144525"/>
</workbook>
</file>

<file path=xl/sharedStrings.xml><?xml version="1.0" encoding="utf-8"?>
<sst xmlns="http://schemas.openxmlformats.org/spreadsheetml/2006/main" count="57574" uniqueCount="7805">
  <si>
    <t>日期</t>
  </si>
  <si>
    <t>人员</t>
  </si>
  <si>
    <r>
      <rPr>
        <b/>
        <sz val="10"/>
        <color theme="0"/>
        <rFont val="宋体"/>
        <charset val="134"/>
      </rPr>
      <t>发送</t>
    </r>
    <r>
      <rPr>
        <b/>
        <sz val="10"/>
        <color theme="0"/>
        <rFont val="Times New Roman"/>
        <charset val="134"/>
      </rPr>
      <t>IP</t>
    </r>
  </si>
  <si>
    <t>接受IP</t>
  </si>
  <si>
    <t>注册</t>
  </si>
  <si>
    <t>注册率</t>
  </si>
  <si>
    <t>开户</t>
  </si>
  <si>
    <t>转化率</t>
  </si>
  <si>
    <t>当日注册当日开户</t>
  </si>
  <si>
    <t>当日注册当日激活率</t>
  </si>
  <si>
    <r>
      <rPr>
        <sz val="10"/>
        <color theme="1"/>
        <rFont val="宋体"/>
        <charset val="134"/>
      </rPr>
      <t>总</t>
    </r>
    <r>
      <rPr>
        <sz val="10"/>
        <color theme="1"/>
        <rFont val="Times New Roman"/>
        <charset val="134"/>
      </rPr>
      <t>IP</t>
    </r>
  </si>
  <si>
    <t>总注册</t>
  </si>
  <si>
    <t>总开户</t>
  </si>
  <si>
    <t>对比前天</t>
  </si>
  <si>
    <r>
      <rPr>
        <sz val="10"/>
        <color theme="1"/>
        <rFont val="宋体"/>
        <charset val="134"/>
      </rPr>
      <t>对比前</t>
    </r>
    <r>
      <rPr>
        <sz val="10"/>
        <color theme="1"/>
        <rFont val="Times New Roman"/>
        <charset val="134"/>
      </rPr>
      <t>3</t>
    </r>
    <r>
      <rPr>
        <sz val="10"/>
        <color theme="1"/>
        <rFont val="宋体"/>
        <charset val="134"/>
      </rPr>
      <t>天均值</t>
    </r>
  </si>
  <si>
    <r>
      <rPr>
        <sz val="10"/>
        <color theme="1"/>
        <rFont val="宋体"/>
        <charset val="134"/>
      </rPr>
      <t>对比前</t>
    </r>
    <r>
      <rPr>
        <sz val="10"/>
        <color theme="1"/>
        <rFont val="Times New Roman"/>
        <charset val="134"/>
      </rPr>
      <t>5</t>
    </r>
    <r>
      <rPr>
        <sz val="10"/>
        <color theme="1"/>
        <rFont val="宋体"/>
        <charset val="134"/>
      </rPr>
      <t>天均值</t>
    </r>
  </si>
  <si>
    <r>
      <rPr>
        <sz val="10"/>
        <color theme="1"/>
        <rFont val="宋体"/>
        <charset val="134"/>
      </rPr>
      <t>对比前</t>
    </r>
    <r>
      <rPr>
        <sz val="10"/>
        <color theme="1"/>
        <rFont val="Times New Roman"/>
        <charset val="134"/>
      </rPr>
      <t>7</t>
    </r>
    <r>
      <rPr>
        <sz val="10"/>
        <color theme="1"/>
        <rFont val="宋体"/>
        <charset val="134"/>
      </rPr>
      <t>天均值</t>
    </r>
  </si>
  <si>
    <t>Paddy</t>
  </si>
  <si>
    <t>d:\data\</t>
  </si>
  <si>
    <t>Tony</t>
  </si>
  <si>
    <t>SUMIFS([今日数据.xlsx]趋势分析!$F:$F,[今日数据.xlsx]趋势分析!$A:$A,"maxmile.com")</t>
  </si>
  <si>
    <t>Max</t>
  </si>
  <si>
    <t>Martin</t>
  </si>
  <si>
    <t>Zed</t>
  </si>
  <si>
    <t>Hugo</t>
  </si>
  <si>
    <t>Aber</t>
  </si>
  <si>
    <t>DK</t>
  </si>
  <si>
    <t>Ben</t>
  </si>
  <si>
    <t>MK</t>
  </si>
  <si>
    <t>duobo</t>
  </si>
  <si>
    <t>brain</t>
  </si>
  <si>
    <t>Barry</t>
  </si>
  <si>
    <t>Austin</t>
  </si>
  <si>
    <t>Yaoyun</t>
  </si>
  <si>
    <t>Zhaocaimao</t>
  </si>
  <si>
    <t>Lesse</t>
  </si>
  <si>
    <t>Decade</t>
  </si>
  <si>
    <t>Cyrus</t>
  </si>
  <si>
    <t>Owl</t>
  </si>
  <si>
    <t>当日汇总</t>
  </si>
  <si>
    <t>转化率低于30%</t>
  </si>
  <si>
    <t>对比数据连续降的需要写出来</t>
  </si>
  <si>
    <t>总计</t>
  </si>
  <si>
    <t>0-2</t>
  </si>
  <si>
    <t>2-4</t>
  </si>
  <si>
    <t>4-6</t>
  </si>
  <si>
    <t>6-8</t>
  </si>
  <si>
    <t>8-10</t>
  </si>
  <si>
    <t>10-12</t>
  </si>
  <si>
    <t>12-14</t>
  </si>
  <si>
    <t>14-16</t>
  </si>
  <si>
    <t>16-18</t>
  </si>
  <si>
    <t>18-20</t>
  </si>
  <si>
    <t>20-22</t>
  </si>
  <si>
    <t>22-24</t>
  </si>
  <si>
    <t>接收率</t>
  </si>
  <si>
    <t>接收率(均)</t>
  </si>
  <si>
    <t>发送IP数</t>
  </si>
  <si>
    <t>发送IP(均)</t>
  </si>
  <si>
    <t>接收IP数</t>
  </si>
  <si>
    <t>接收IP数(均)</t>
  </si>
  <si>
    <t>注册(均)</t>
  </si>
  <si>
    <t>注册率(均)</t>
  </si>
  <si>
    <t>开户(均)</t>
  </si>
  <si>
    <t>开户转化率</t>
  </si>
  <si>
    <t>开户率(均)</t>
  </si>
  <si>
    <t>zed</t>
  </si>
  <si>
    <t>tony</t>
  </si>
  <si>
    <t>aber</t>
  </si>
  <si>
    <t>max</t>
  </si>
  <si>
    <t>hugo</t>
  </si>
  <si>
    <t>paddy</t>
  </si>
  <si>
    <t>ben</t>
  </si>
  <si>
    <t>会员账号</t>
  </si>
  <si>
    <t>姓名</t>
  </si>
  <si>
    <t>手机号码</t>
  </si>
  <si>
    <t>代理</t>
  </si>
  <si>
    <t>国家</t>
  </si>
  <si>
    <t>玩家层级</t>
  </si>
  <si>
    <t>层级状态</t>
  </si>
  <si>
    <t>VIP等级</t>
  </si>
  <si>
    <t>VIP状态</t>
  </si>
  <si>
    <t>币种</t>
  </si>
  <si>
    <t>主账户余额</t>
  </si>
  <si>
    <t>剩余取款流水</t>
  </si>
  <si>
    <t>注册时间</t>
  </si>
  <si>
    <t>注册IP</t>
  </si>
  <si>
    <t>注册域名</t>
  </si>
  <si>
    <t>注册端</t>
  </si>
  <si>
    <t>首充时间</t>
  </si>
  <si>
    <t>最后登陆时间</t>
  </si>
  <si>
    <t>最后登陆IP</t>
  </si>
  <si>
    <t>注册IP属地</t>
  </si>
  <si>
    <t>最后登陆IP属地（登录成功）</t>
  </si>
  <si>
    <t>状态</t>
  </si>
  <si>
    <t>备注</t>
  </si>
  <si>
    <t>所属团队</t>
  </si>
  <si>
    <t>准点激活所属代理</t>
  </si>
  <si>
    <t>等级</t>
  </si>
  <si>
    <t>注册时段</t>
  </si>
  <si>
    <t>注册计数</t>
  </si>
  <si>
    <t>ysb1757</t>
  </si>
  <si>
    <t>殷赛兵</t>
  </si>
  <si>
    <t>admin</t>
  </si>
  <si>
    <t>中国</t>
  </si>
  <si>
    <t>初审后层级2</t>
  </si>
  <si>
    <t>锁定</t>
  </si>
  <si>
    <t>VIP1</t>
  </si>
  <si>
    <t>未锁定</t>
  </si>
  <si>
    <t>CNY</t>
  </si>
  <si>
    <t>222.84.188.187</t>
  </si>
  <si>
    <t>m.bty9.com</t>
  </si>
  <si>
    <t>H5</t>
  </si>
  <si>
    <t>中国|广西|桂林|</t>
  </si>
  <si>
    <t>正常</t>
  </si>
  <si>
    <t>Vuarong39</t>
  </si>
  <si>
    <t>gfas001</t>
  </si>
  <si>
    <t>越南</t>
  </si>
  <si>
    <t>新注册默认层级</t>
  </si>
  <si>
    <t>VIP0</t>
  </si>
  <si>
    <t>VND</t>
  </si>
  <si>
    <t>58.186.14.175</t>
  </si>
  <si>
    <t>m-sn7.btytg3.com</t>
  </si>
  <si>
    <t>-</t>
  </si>
  <si>
    <t>越南|河内||</t>
  </si>
  <si>
    <t>biiuhieu94</t>
  </si>
  <si>
    <t>14.191.197.244</t>
  </si>
  <si>
    <t>m-sn7.btytg2.com</t>
  </si>
  <si>
    <t>越南|同奈||</t>
  </si>
  <si>
    <t>Suyengo1997</t>
  </si>
  <si>
    <t>171.253.132.164</t>
  </si>
  <si>
    <t>越南|胡志明||</t>
  </si>
  <si>
    <t>Nnta2376</t>
  </si>
  <si>
    <t>171.236.4.170</t>
  </si>
  <si>
    <t>越南|海阳||</t>
  </si>
  <si>
    <t>Tanphatsky1</t>
  </si>
  <si>
    <t>Huynh tan my</t>
  </si>
  <si>
    <t>vnzb05</t>
  </si>
  <si>
    <t>171.234.12.47</t>
  </si>
  <si>
    <t>m.bty6150.com</t>
  </si>
  <si>
    <t>越南|庆和||</t>
  </si>
  <si>
    <t>Vtinh1</t>
  </si>
  <si>
    <t>NGUYEN VAN TINH</t>
  </si>
  <si>
    <t>vnzb02</t>
  </si>
  <si>
    <t>初审后层级</t>
  </si>
  <si>
    <t>1.53.17.221</t>
  </si>
  <si>
    <t>m.bty338.com</t>
  </si>
  <si>
    <t>zz17033</t>
  </si>
  <si>
    <t>btyseo7003</t>
  </si>
  <si>
    <t>seo新注册默认层级</t>
  </si>
  <si>
    <t>223.104.65.244</t>
  </si>
  <si>
    <t>m.btyp45.com</t>
  </si>
  <si>
    <t>中国|广东||</t>
  </si>
  <si>
    <t>Lz1106</t>
  </si>
  <si>
    <t>btyseo7002</t>
  </si>
  <si>
    <t>138.199.25.13</t>
  </si>
  <si>
    <t>m.btybow.com</t>
  </si>
  <si>
    <t>新加坡|||</t>
  </si>
  <si>
    <t>a2720713493</t>
  </si>
  <si>
    <t>120.82.121.228</t>
  </si>
  <si>
    <t>m.btymt0001.com</t>
  </si>
  <si>
    <t>ANDROID</t>
  </si>
  <si>
    <t>中国|广东|汕头|潮南区</t>
  </si>
  <si>
    <t>Thanhtrung90</t>
  </si>
  <si>
    <t>171.245.255.201</t>
  </si>
  <si>
    <t>越南|永隆||</t>
  </si>
  <si>
    <t>Huynhvantri13</t>
  </si>
  <si>
    <t>AA00163</t>
  </si>
  <si>
    <t>171.236.69.85</t>
  </si>
  <si>
    <t>m-ev5.btytg3.com</t>
  </si>
  <si>
    <t>Tuyen100895</t>
  </si>
  <si>
    <t>LUONG VAN TUYEN</t>
  </si>
  <si>
    <t>vnzb01</t>
  </si>
  <si>
    <t>14.182.186.131</t>
  </si>
  <si>
    <t>m.bty1282.com</t>
  </si>
  <si>
    <t>27.78.9.224</t>
  </si>
  <si>
    <t>越南|海防||</t>
  </si>
  <si>
    <t>越南|||</t>
  </si>
  <si>
    <t>ayl123456789</t>
  </si>
  <si>
    <t>阿元龙</t>
  </si>
  <si>
    <t>btyseo6007</t>
  </si>
  <si>
    <t>seo初审后层级</t>
  </si>
  <si>
    <t>223.104.242.226</t>
  </si>
  <si>
    <t>m.btyn7c.com</t>
  </si>
  <si>
    <t>中国|云南|昆明|</t>
  </si>
  <si>
    <t>Thaolinh2k</t>
  </si>
  <si>
    <t>NGUYEN THI THANH THAO</t>
  </si>
  <si>
    <t>59.153.237.13</t>
  </si>
  <si>
    <t>116.107.40.213</t>
  </si>
  <si>
    <t>越南|得农||</t>
  </si>
  <si>
    <t>Thuyen2804</t>
  </si>
  <si>
    <t>VU VAN THUYEN</t>
  </si>
  <si>
    <t>113.23.123.44</t>
  </si>
  <si>
    <t>m.bty6136.com</t>
  </si>
  <si>
    <t>越南|广平||</t>
  </si>
  <si>
    <t>Lich91</t>
  </si>
  <si>
    <t>NGUYEN DUC LICH</t>
  </si>
  <si>
    <t>vnzb03</t>
  </si>
  <si>
    <t>171.236.65.162</t>
  </si>
  <si>
    <t>m.bty1032.com</t>
  </si>
  <si>
    <t>qileijia0423</t>
  </si>
  <si>
    <t>齐磊佳</t>
  </si>
  <si>
    <t>223.104.39.25</t>
  </si>
  <si>
    <t>中国|北京|北京|</t>
  </si>
  <si>
    <t>ai19924542209</t>
  </si>
  <si>
    <t>btyseo6600</t>
  </si>
  <si>
    <t>183.9.253.248</t>
  </si>
  <si>
    <t>m.btyvt36712.com</t>
  </si>
  <si>
    <t>IOS</t>
  </si>
  <si>
    <t>Thachtien2306</t>
  </si>
  <si>
    <t>42.115.248.165</t>
  </si>
  <si>
    <t>42.113.156.10</t>
  </si>
  <si>
    <t>adupovip2003</t>
  </si>
  <si>
    <t>cao van sang</t>
  </si>
  <si>
    <t>125.235.127.26</t>
  </si>
  <si>
    <t>27.71.109.180</t>
  </si>
  <si>
    <t>越南|岘港||</t>
  </si>
  <si>
    <t>越南|平阳||</t>
  </si>
  <si>
    <t>kuaile369</t>
  </si>
  <si>
    <t>61.176.22.151</t>
  </si>
  <si>
    <t>m-ofk4mk.bmqiwcbuit035.com</t>
  </si>
  <si>
    <t>中国|辽宁|沈阳|铁西</t>
  </si>
  <si>
    <t>Sang1357</t>
  </si>
  <si>
    <t>TRINH TRONG SANG</t>
  </si>
  <si>
    <t>vnzb04</t>
  </si>
  <si>
    <t>123.31.229.113</t>
  </si>
  <si>
    <t>m.bty6139.com</t>
  </si>
  <si>
    <t>14.168.131.28</t>
  </si>
  <si>
    <t>越南|槟椥||</t>
  </si>
  <si>
    <t>snasny1720</t>
  </si>
  <si>
    <t>NGUYEN QUANG VINH</t>
  </si>
  <si>
    <t>14.191.244.98</t>
  </si>
  <si>
    <t>27.67.134.79</t>
  </si>
  <si>
    <t>越南|巴地头顿||</t>
  </si>
  <si>
    <t>zc159369</t>
  </si>
  <si>
    <t>btyseo8003</t>
  </si>
  <si>
    <t>106.61.142.187</t>
  </si>
  <si>
    <t>m.1hes68.com</t>
  </si>
  <si>
    <t>中国|云南||</t>
  </si>
  <si>
    <t>cobe0126</t>
  </si>
  <si>
    <t>zh0325</t>
  </si>
  <si>
    <t>101.80.251.144</t>
  </si>
  <si>
    <t>m-hsj.btytg3.com</t>
  </si>
  <si>
    <t>中国|上海||杨浦</t>
  </si>
  <si>
    <t>lili888888</t>
  </si>
  <si>
    <t>李婷</t>
  </si>
  <si>
    <t>112.192.82.108</t>
  </si>
  <si>
    <t>中国|四川|南充|西充</t>
  </si>
  <si>
    <t>jsyn123</t>
  </si>
  <si>
    <t>bs9ahui</t>
  </si>
  <si>
    <t>113.141.202.113</t>
  </si>
  <si>
    <t>m.bty1278.com</t>
  </si>
  <si>
    <t>中国|陕西|延安|延长</t>
  </si>
  <si>
    <t>Qwer0086</t>
  </si>
  <si>
    <t>156.59.0.59</t>
  </si>
  <si>
    <t>m.bty1085.com</t>
  </si>
  <si>
    <t>中国|香港||</t>
  </si>
  <si>
    <t>qq468299800</t>
  </si>
  <si>
    <t>韦海猛</t>
  </si>
  <si>
    <t>btyseo1998</t>
  </si>
  <si>
    <t>223.104.67.121</t>
  </si>
  <si>
    <t>m.bty0nh.com</t>
  </si>
  <si>
    <t>中国|广东|广州|越秀区</t>
  </si>
  <si>
    <t>dengcd886</t>
  </si>
  <si>
    <t>邓春铎</t>
  </si>
  <si>
    <t>223.104.67.179</t>
  </si>
  <si>
    <t>m.btyyl1.com</t>
  </si>
  <si>
    <t>223.104.67.238</t>
  </si>
  <si>
    <t>cnm098765</t>
  </si>
  <si>
    <t>柴新翔</t>
  </si>
  <si>
    <t>wbdl663</t>
  </si>
  <si>
    <t>113.120.150.79</t>
  </si>
  <si>
    <t>m-jvg.btytg3.com</t>
  </si>
  <si>
    <t>中国|山东|济宁|任城</t>
  </si>
  <si>
    <t>dafeiyang2000</t>
  </si>
  <si>
    <t>吴建武</t>
  </si>
  <si>
    <t>bs9xiaosun</t>
  </si>
  <si>
    <t>短暂小额三方层级</t>
  </si>
  <si>
    <t>119.134.242.26</t>
  </si>
  <si>
    <t>m-7ai.btytg3.com</t>
  </si>
  <si>
    <t>119.134.242.201</t>
  </si>
  <si>
    <t>中国|广东|汕尾|陆丰市</t>
  </si>
  <si>
    <t>中国|广东|汕尾|陆丰</t>
  </si>
  <si>
    <t>lianhong888</t>
  </si>
  <si>
    <t>秦川</t>
  </si>
  <si>
    <t>zzzb05</t>
  </si>
  <si>
    <t>118.73.40.234</t>
  </si>
  <si>
    <t>m.bty358.com</t>
  </si>
  <si>
    <t>中国|山西|临汾|霍州</t>
  </si>
  <si>
    <t>ybli021216</t>
  </si>
  <si>
    <t>42.89.165.45</t>
  </si>
  <si>
    <t>中国|甘肃|张掖|甘州</t>
  </si>
  <si>
    <t>aa695829</t>
  </si>
  <si>
    <t>张会波</t>
  </si>
  <si>
    <t>btyseo0987</t>
  </si>
  <si>
    <t>一级涉案/投诉 充U提U层级</t>
  </si>
  <si>
    <t>49.93.214.103</t>
  </si>
  <si>
    <t>m.btydk36702.com</t>
  </si>
  <si>
    <t>180.98.9.104</t>
  </si>
  <si>
    <t>中国|江苏||</t>
  </si>
  <si>
    <t>wmw772</t>
  </si>
  <si>
    <t>btydx01</t>
  </si>
  <si>
    <t>114.106.181.204</t>
  </si>
  <si>
    <t>m.bty985.com</t>
  </si>
  <si>
    <t>中国|安徽|池州|贵池</t>
  </si>
  <si>
    <t>w18971054270</t>
  </si>
  <si>
    <t>219.139.253.230</t>
  </si>
  <si>
    <t>中国|湖北|武汉|</t>
  </si>
  <si>
    <t>Phamvquyen91</t>
  </si>
  <si>
    <t>PHAM VAN QUYEN</t>
  </si>
  <si>
    <t>171.255.74.144</t>
  </si>
  <si>
    <t>171.255.66.255</t>
  </si>
  <si>
    <t>AnhLinhAn89</t>
  </si>
  <si>
    <t>LUONG NGOC TAN</t>
  </si>
  <si>
    <t>14.228.109.219</t>
  </si>
  <si>
    <t>59.153.231.35</t>
  </si>
  <si>
    <t>同设备多账号，保留一个 8/8 FK-jw</t>
  </si>
  <si>
    <t>sjx1314m</t>
  </si>
  <si>
    <t>14.134.84.255</t>
  </si>
  <si>
    <t>中国|宁夏|固原|原州</t>
  </si>
  <si>
    <t>wydqc1</t>
  </si>
  <si>
    <t>潘金宝</t>
  </si>
  <si>
    <t>39.144.219.37</t>
  </si>
  <si>
    <t>m.btymx36706.com</t>
  </si>
  <si>
    <t>中国|重庆|重庆|</t>
  </si>
  <si>
    <t>yyy555888</t>
  </si>
  <si>
    <t>zzzb02</t>
  </si>
  <si>
    <t>111.55.11.226</t>
  </si>
  <si>
    <t>m.bty1231.com</t>
  </si>
  <si>
    <t>182.88.18.224</t>
  </si>
  <si>
    <t>中国|广西|南宁|宾阳</t>
  </si>
  <si>
    <t>ngthduyen9999</t>
  </si>
  <si>
    <t>NGUYEN THI DUYEN</t>
  </si>
  <si>
    <t>btyscnb0007</t>
  </si>
  <si>
    <t>103.74.104.72</t>
  </si>
  <si>
    <t>m-uf3.btytg3.com</t>
  </si>
  <si>
    <t>Thanhsan6847</t>
  </si>
  <si>
    <t>116.50.188.75</t>
  </si>
  <si>
    <t>www.bty1281.com</t>
  </si>
  <si>
    <t>PC</t>
  </si>
  <si>
    <t>菲律宾|||</t>
  </si>
  <si>
    <t>13524918612pj</t>
  </si>
  <si>
    <t>潘军</t>
  </si>
  <si>
    <t>39.144.43.166</t>
  </si>
  <si>
    <t>m-p4x.btytg3.com</t>
  </si>
  <si>
    <t>39.144.103.148</t>
  </si>
  <si>
    <t>中国|上海|浦东|</t>
  </si>
  <si>
    <t>中国|上海|上海|</t>
  </si>
  <si>
    <t>zxg902512</t>
  </si>
  <si>
    <t>42.88.215.39</t>
  </si>
  <si>
    <t>m-w9.btyyl12.com</t>
  </si>
  <si>
    <t>中国|甘肃|金昌|永昌</t>
  </si>
  <si>
    <t>hhhu23</t>
  </si>
  <si>
    <t>113.68.143.144</t>
  </si>
  <si>
    <t>m-p4x.btytg2.com</t>
  </si>
  <si>
    <t>113.68.143.194</t>
  </si>
  <si>
    <t>中国|广东|广州|白云</t>
  </si>
  <si>
    <t>ttmt123</t>
  </si>
  <si>
    <t>田梦基</t>
  </si>
  <si>
    <t>115.62.78.24</t>
  </si>
  <si>
    <t>中国|河南|新乡|长垣</t>
  </si>
  <si>
    <t>qq774940</t>
  </si>
  <si>
    <t>117.61.116.229</t>
  </si>
  <si>
    <t>m-yg3.btytg1.com</t>
  </si>
  <si>
    <t>TQ190695</t>
  </si>
  <si>
    <t>27.78.6.121</t>
  </si>
  <si>
    <t>0869627724haha</t>
  </si>
  <si>
    <t>171.231.133.59</t>
  </si>
  <si>
    <t>越南|平定||</t>
  </si>
  <si>
    <t>Pancai1688</t>
  </si>
  <si>
    <t>kh0003</t>
  </si>
  <si>
    <t>222.218.97.143</t>
  </si>
  <si>
    <t>m.bty1201.com</t>
  </si>
  <si>
    <t>中国|广西|南宁|武鸣</t>
  </si>
  <si>
    <t>426850xitele</t>
  </si>
  <si>
    <t>kh0007</t>
  </si>
  <si>
    <t>117.65.114.57</t>
  </si>
  <si>
    <t>m.bty1262.com</t>
  </si>
  <si>
    <t>中国|安徽|蚌埠|禹会</t>
  </si>
  <si>
    <t>cuongphu9</t>
  </si>
  <si>
    <t>183.81.49.65</t>
  </si>
  <si>
    <t>k200503300</t>
  </si>
  <si>
    <t>康宏亮</t>
  </si>
  <si>
    <t>182.141.100.152</t>
  </si>
  <si>
    <t>m-yvtysi.bmhjkxocqxk34.com</t>
  </si>
  <si>
    <t>中国|四川|攀枝花|米易</t>
  </si>
  <si>
    <t>123yingyingying</t>
  </si>
  <si>
    <t>183.202.21.16</t>
  </si>
  <si>
    <t>中国|山西|临汾|洪洞</t>
  </si>
  <si>
    <t>fukang1120</t>
  </si>
  <si>
    <t>119.163.191.143</t>
  </si>
  <si>
    <t>中国|山东|济南|天桥</t>
  </si>
  <si>
    <t>Nhan00000</t>
  </si>
  <si>
    <t>TRAN THI THANH TAM</t>
  </si>
  <si>
    <t>BB00132</t>
  </si>
  <si>
    <t>27.67.135.39</t>
  </si>
  <si>
    <t>m-vxe.btytg2.com</t>
  </si>
  <si>
    <t>Tommy1508</t>
  </si>
  <si>
    <t>Nguyen van hanh</t>
  </si>
  <si>
    <t>113.185.42.133</t>
  </si>
  <si>
    <t>14.191.244.145</t>
  </si>
  <si>
    <t>labhongdin123456</t>
  </si>
  <si>
    <t>蓝红彬</t>
  </si>
  <si>
    <t>223.104.66.241</t>
  </si>
  <si>
    <t>223.104.66.247</t>
  </si>
  <si>
    <t>Caubega1992</t>
  </si>
  <si>
    <t>103.199.68.140</t>
  </si>
  <si>
    <t>m.bty6137.com</t>
  </si>
  <si>
    <t>tien14082009</t>
  </si>
  <si>
    <t>NGUYEN THI THAO</t>
  </si>
  <si>
    <t>BB00139</t>
  </si>
  <si>
    <t>1.52.39.88</t>
  </si>
  <si>
    <t>m-9qb.btytg2.com</t>
  </si>
  <si>
    <t>chaoji22</t>
  </si>
  <si>
    <t>wbdl1373</t>
  </si>
  <si>
    <t>USDT</t>
  </si>
  <si>
    <t>219.152.61.204</t>
  </si>
  <si>
    <t>j3a.btytg3.com</t>
  </si>
  <si>
    <t>中国|重庆||</t>
  </si>
  <si>
    <t>cruiser99</t>
  </si>
  <si>
    <t>周晓凤</t>
  </si>
  <si>
    <t>183.50.38.5</t>
  </si>
  <si>
    <t>m-zld.btytg3.com</t>
  </si>
  <si>
    <t>中国|广东|汕头|潮南</t>
  </si>
  <si>
    <t>多账号，保留一个 8/8 FK-jw</t>
  </si>
  <si>
    <t>Tommy1994</t>
  </si>
  <si>
    <t>zhaoxingxing888</t>
  </si>
  <si>
    <t>124.235.100.80</t>
  </si>
  <si>
    <t>中国|吉林|长春|绿园区</t>
  </si>
  <si>
    <t>多账号已处理 保留  zhaoxingxing888  8.7</t>
  </si>
  <si>
    <t>doe14796</t>
  </si>
  <si>
    <t>43.239.85.8</t>
  </si>
  <si>
    <t>Angunb666</t>
  </si>
  <si>
    <t>杨军</t>
  </si>
  <si>
    <t>116.2.188.145</t>
  </si>
  <si>
    <t>m-3pw.btytg1.com</t>
  </si>
  <si>
    <t>116.2.178.113</t>
  </si>
  <si>
    <t>中国|辽宁|沈阳|和平</t>
  </si>
  <si>
    <t>Nobinet1987</t>
  </si>
  <si>
    <t>27.67.179.184</t>
  </si>
  <si>
    <t>proxy_wbdl1369</t>
  </si>
  <si>
    <t>117.182.220.209</t>
  </si>
  <si>
    <t>mf.bty0vip1.com</t>
  </si>
  <si>
    <t>中国|广西|梧州|龙圩区</t>
  </si>
  <si>
    <t>Caubega1993</t>
  </si>
  <si>
    <t>vntf08</t>
  </si>
  <si>
    <t>m.bty0518.com</t>
  </si>
  <si>
    <t>Bacsianh999</t>
  </si>
  <si>
    <t>125.235.235.32</t>
  </si>
  <si>
    <t>zhaoxingxing666</t>
  </si>
  <si>
    <t>wbdl1095</t>
  </si>
  <si>
    <t>ap-xxo.bsports1.com</t>
  </si>
  <si>
    <t>完全锁定</t>
  </si>
  <si>
    <t>a15982815124</t>
  </si>
  <si>
    <t>zzzb04</t>
  </si>
  <si>
    <t>175.152.8.162</t>
  </si>
  <si>
    <t>m.bty1217.com</t>
  </si>
  <si>
    <t>中国|四川|成都|</t>
  </si>
  <si>
    <t>chuthocon123</t>
  </si>
  <si>
    <t>113.23.54.186</t>
  </si>
  <si>
    <t>Giatuan1986</t>
  </si>
  <si>
    <t>125.235.213.123</t>
  </si>
  <si>
    <t>m.bty1268.com</t>
  </si>
  <si>
    <t>vbbm189</t>
  </si>
  <si>
    <t>wbdl1342</t>
  </si>
  <si>
    <t>115.227.55.216</t>
  </si>
  <si>
    <t>bmy.btytg3.com</t>
  </si>
  <si>
    <t>中国|浙江|杭州|</t>
  </si>
  <si>
    <t>yangyu6666</t>
  </si>
  <si>
    <t>杨康裕</t>
  </si>
  <si>
    <t>223.104.204.119</t>
  </si>
  <si>
    <t>www.btyty01.com</t>
  </si>
  <si>
    <t>中国|陕西|西安|</t>
  </si>
  <si>
    <t>cs333123</t>
  </si>
  <si>
    <t>116.5.84.229</t>
  </si>
  <si>
    <t>119.143.193.105</t>
  </si>
  <si>
    <t>中国|广东|佛山|顺德</t>
  </si>
  <si>
    <t>中国|广东|广州|</t>
  </si>
  <si>
    <t>Xx12345699</t>
  </si>
  <si>
    <t>gt6655</t>
  </si>
  <si>
    <t>36.156.127.128</t>
  </si>
  <si>
    <t>www.bty1191.com</t>
  </si>
  <si>
    <t>中国|江苏|连云港|</t>
  </si>
  <si>
    <t>wl18531778622</t>
  </si>
  <si>
    <t>王璐</t>
  </si>
  <si>
    <t>btyseo3000</t>
  </si>
  <si>
    <t>禁止存款层级</t>
  </si>
  <si>
    <t>221.192.127.67</t>
  </si>
  <si>
    <t>m.btyrsc.com</t>
  </si>
  <si>
    <t>中国|河北|唐山|</t>
  </si>
  <si>
    <t>同设备多账号保留： wl19960915wl ，提款成功后锁定  8/7 FK-JJ</t>
  </si>
  <si>
    <t>paohutea89</t>
  </si>
  <si>
    <t>kldy159357</t>
  </si>
  <si>
    <t>121.201.94.62</t>
  </si>
  <si>
    <t>m-wun.btytg3.com</t>
  </si>
  <si>
    <t>中国|广东|中山|</t>
  </si>
  <si>
    <t>lanccdd33</t>
  </si>
  <si>
    <t>兰玉迪</t>
  </si>
  <si>
    <t>119.132.19.217</t>
  </si>
  <si>
    <t>中国|广东|珠海|斗门区</t>
  </si>
  <si>
    <t>sana6991</t>
  </si>
  <si>
    <t>14.247.222.119</t>
  </si>
  <si>
    <t>www.bty6137.com</t>
  </si>
  <si>
    <t>越南|南定||</t>
  </si>
  <si>
    <t>aidhgauag1123</t>
  </si>
  <si>
    <t>Bsc002</t>
  </si>
  <si>
    <t>菲律宾</t>
  </si>
  <si>
    <t>www.bty522.com</t>
  </si>
  <si>
    <t>li2060</t>
  </si>
  <si>
    <t>黎石间</t>
  </si>
  <si>
    <t>223.104.72.220</t>
  </si>
  <si>
    <t>m.bsports5.com</t>
  </si>
  <si>
    <t>wishoyu55</t>
  </si>
  <si>
    <t>hou101014</t>
  </si>
  <si>
    <t>112.224.184.226</t>
  </si>
  <si>
    <t>中国|山东||</t>
  </si>
  <si>
    <t>hpm3388</t>
  </si>
  <si>
    <t>nguye van du</t>
  </si>
  <si>
    <t>123.23.217.61</t>
  </si>
  <si>
    <t>m.bty522.com</t>
  </si>
  <si>
    <t>越南|西宁||</t>
  </si>
  <si>
    <t>buloonst2022</t>
  </si>
  <si>
    <t>vntf06</t>
  </si>
  <si>
    <t>27.66.49.50</t>
  </si>
  <si>
    <t>m.bty0516.com</t>
  </si>
  <si>
    <t>123phattai123</t>
  </si>
  <si>
    <t>vntf04</t>
  </si>
  <si>
    <t>27.71.109.110</t>
  </si>
  <si>
    <t>m.bty0520.com</t>
  </si>
  <si>
    <t>202.143.110.23</t>
  </si>
  <si>
    <t>Subasa113</t>
  </si>
  <si>
    <t>zsdl132</t>
  </si>
  <si>
    <t>113.176.8.110</t>
  </si>
  <si>
    <t>m-374.btytg3.com</t>
  </si>
  <si>
    <t>yennhi1102</t>
  </si>
  <si>
    <t>BUI YEN LINH</t>
  </si>
  <si>
    <t>btyscnb003007</t>
  </si>
  <si>
    <t>171.227.95.193</t>
  </si>
  <si>
    <t>m-i8u.btytg3.com</t>
  </si>
  <si>
    <t>同代理线团伙彩金套利  拒绝派送任何彩金  8.7 FK-Lex</t>
  </si>
  <si>
    <t>Luvanthu2</t>
  </si>
  <si>
    <t>LU VAN THU</t>
  </si>
  <si>
    <t>171.255.65.151</t>
  </si>
  <si>
    <t>14.181.154.179</t>
  </si>
  <si>
    <t>越南|富寿||</t>
  </si>
  <si>
    <t>Vanhoami1420</t>
  </si>
  <si>
    <t>116.110.41.14</t>
  </si>
  <si>
    <t>www.bty0520.com</t>
  </si>
  <si>
    <t>越南|多乐||</t>
  </si>
  <si>
    <t>Meoxik3979</t>
  </si>
  <si>
    <t>Bsc001</t>
  </si>
  <si>
    <t>14.247.147.197</t>
  </si>
  <si>
    <t>www.bty521.com</t>
  </si>
  <si>
    <t>totuanvu1990</t>
  </si>
  <si>
    <t>To Tuan Vu</t>
  </si>
  <si>
    <t>116.98.3.122</t>
  </si>
  <si>
    <t>113.185.107.248</t>
  </si>
  <si>
    <t>rjsh010</t>
  </si>
  <si>
    <t>zzzb01</t>
  </si>
  <si>
    <t>123.123.46.124</t>
  </si>
  <si>
    <t>m.bty355.com</t>
  </si>
  <si>
    <t>中国|北京||朝阳</t>
  </si>
  <si>
    <t>lequyngoan1234</t>
  </si>
  <si>
    <t>LE QUY NGOAN</t>
  </si>
  <si>
    <t>AA00165</t>
  </si>
  <si>
    <t>103.164.138.172</t>
  </si>
  <si>
    <t>m-qaw.btytg3.com</t>
  </si>
  <si>
    <t>crazy367</t>
  </si>
  <si>
    <t>1.12.239.142</t>
  </si>
  <si>
    <t>www.bty879.com</t>
  </si>
  <si>
    <t>A1194426924</t>
  </si>
  <si>
    <t>120.239.175.236</t>
  </si>
  <si>
    <t>Thanhtruc82</t>
  </si>
  <si>
    <t>NGUYEN THANH TRUC</t>
  </si>
  <si>
    <t>112.197.37.1</t>
  </si>
  <si>
    <t>edcedc333</t>
  </si>
  <si>
    <t>103.141.118.34</t>
  </si>
  <si>
    <t>m-err00.byyw222794w3.com</t>
  </si>
  <si>
    <t>Kimchung98</t>
  </si>
  <si>
    <t>42.114.103.189</t>
  </si>
  <si>
    <t>joyfullman6</t>
  </si>
  <si>
    <t>171.232.78.104</t>
  </si>
  <si>
    <t>m-uhtbm1.bmy3xual4uq31.com</t>
  </si>
  <si>
    <t>zhangjun87</t>
  </si>
  <si>
    <t>27.19.92.151</t>
  </si>
  <si>
    <t>m.btym1q.com</t>
  </si>
  <si>
    <t>trman01</t>
  </si>
  <si>
    <t>bs9Ajie2</t>
  </si>
  <si>
    <t>49.131.222.39</t>
  </si>
  <si>
    <t>m-h54.btytg3.com</t>
  </si>
  <si>
    <t>Hoang826</t>
  </si>
  <si>
    <t>Tran ngoc hoang</t>
  </si>
  <si>
    <t>118.70.46.117</t>
  </si>
  <si>
    <t>Liu404979795</t>
  </si>
  <si>
    <t>btyseo9005</t>
  </si>
  <si>
    <t>182.131.41.21</t>
  </si>
  <si>
    <t>m.5hwg88.com</t>
  </si>
  <si>
    <t>117.136.82.252</t>
  </si>
  <si>
    <t>中国|四川|巴中|通江</t>
  </si>
  <si>
    <t>中国|四川||</t>
  </si>
  <si>
    <t>Vanhai92</t>
  </si>
  <si>
    <t>LE ANH TIEN</t>
  </si>
  <si>
    <t>171.236.4.159</t>
  </si>
  <si>
    <t>m.bty521.com</t>
  </si>
  <si>
    <t>27.67.142.38</t>
  </si>
  <si>
    <t>Nntylmm68</t>
  </si>
  <si>
    <t>125.235.231.68</t>
  </si>
  <si>
    <t>22mm33</t>
  </si>
  <si>
    <t>吴冠文</t>
  </si>
  <si>
    <t>gt0004</t>
  </si>
  <si>
    <t>59.33.4.239</t>
  </si>
  <si>
    <t>m.bty959.com</t>
  </si>
  <si>
    <t>Haotruong6852</t>
  </si>
  <si>
    <t>Truong Van Hao</t>
  </si>
  <si>
    <t>171.253.27.169</t>
  </si>
  <si>
    <t>con0396385870</t>
  </si>
  <si>
    <t>171.236.57.220</t>
  </si>
  <si>
    <t>www.bty6138.com</t>
  </si>
  <si>
    <t>fsd100</t>
  </si>
  <si>
    <t>180.98.147.76</t>
  </si>
  <si>
    <t>ydr312105</t>
  </si>
  <si>
    <t>223.104.71.240</t>
  </si>
  <si>
    <t>中国|广东|汕尾|</t>
  </si>
  <si>
    <t>hao123450</t>
  </si>
  <si>
    <t>39.144.105.18</t>
  </si>
  <si>
    <t>m.btys81.com</t>
  </si>
  <si>
    <t>ab583828</t>
  </si>
  <si>
    <t>223.88.6.222</t>
  </si>
  <si>
    <t>m.btyhpt.com</t>
  </si>
  <si>
    <t>中国|河南|郑州|巩义</t>
  </si>
  <si>
    <t>hong88</t>
  </si>
  <si>
    <t>223.73.251.69</t>
  </si>
  <si>
    <t>中国|广东|韶关|武江区</t>
  </si>
  <si>
    <t>Tnguyen0101</t>
  </si>
  <si>
    <t>TRAN THI THAO NGUYEN</t>
  </si>
  <si>
    <t>BB00128</t>
  </si>
  <si>
    <t>27.78.219.102</t>
  </si>
  <si>
    <t>m-qa5.btytg3.com</t>
  </si>
  <si>
    <t>171.245.253.230</t>
  </si>
  <si>
    <t>qq457411807</t>
  </si>
  <si>
    <t>zsdl120</t>
  </si>
  <si>
    <t>223.198.134.3</t>
  </si>
  <si>
    <t>m.bty06.com</t>
  </si>
  <si>
    <t>中国|海南|澄迈|</t>
  </si>
  <si>
    <t>tuananh260697</t>
  </si>
  <si>
    <t>AA00151</t>
  </si>
  <si>
    <t>14.167.246.249</t>
  </si>
  <si>
    <t>m-kou.btytg2.com</t>
  </si>
  <si>
    <t>越南|同塔||</t>
  </si>
  <si>
    <t>lamhoang3005</t>
  </si>
  <si>
    <t>HOANG XUAN NHAT LAM</t>
  </si>
  <si>
    <t>vnzb06</t>
  </si>
  <si>
    <t>27.71.146.86</t>
  </si>
  <si>
    <t>m.bty6151.com</t>
  </si>
  <si>
    <t>171.225.250.142</t>
  </si>
  <si>
    <t>越南|林同||</t>
  </si>
  <si>
    <t>越南|广治||</t>
  </si>
  <si>
    <t>Betchien123</t>
  </si>
  <si>
    <t>58.187.67.106</t>
  </si>
  <si>
    <t>jaruuu67</t>
  </si>
  <si>
    <t>77.111.247.46</t>
  </si>
  <si>
    <t>www.bsports1.com</t>
  </si>
  <si>
    <t>中国|北荷兰|阿姆斯特丹|</t>
  </si>
  <si>
    <t>Hoabr8</t>
  </si>
  <si>
    <t>CAO HOA</t>
  </si>
  <si>
    <t>14.191.173.56</t>
  </si>
  <si>
    <t>113.168.25.174</t>
  </si>
  <si>
    <t>越南|乂安||</t>
  </si>
  <si>
    <t>loigucci2010</t>
  </si>
  <si>
    <t>125.235.124.103</t>
  </si>
  <si>
    <t>cxz2764885955</t>
  </si>
  <si>
    <t>14.150.194.132</t>
  </si>
  <si>
    <t>Tieulong99</t>
  </si>
  <si>
    <t>LUU GIA BAO</t>
  </si>
  <si>
    <t>103.199.26.242</t>
  </si>
  <si>
    <t>xhm6926</t>
  </si>
  <si>
    <t>139.206.156.219</t>
  </si>
  <si>
    <t>m-hsj.btytg1.com</t>
  </si>
  <si>
    <t>中国|四川|攀枝花|东区</t>
  </si>
  <si>
    <t>Anhem0900</t>
  </si>
  <si>
    <t>103.249.21.205</t>
  </si>
  <si>
    <t>MNghe24</t>
  </si>
  <si>
    <t>171.253.177.254</t>
  </si>
  <si>
    <t>27.78.71.226</t>
  </si>
  <si>
    <t>aothat415</t>
  </si>
  <si>
    <t>BB00143</t>
  </si>
  <si>
    <t>222.127.108.162</t>
  </si>
  <si>
    <t>8hd.btytg3.com</t>
  </si>
  <si>
    <t>菲律宾|西米沙鄢||</t>
  </si>
  <si>
    <t>bibiou711</t>
  </si>
  <si>
    <t>wbdl1335</t>
  </si>
  <si>
    <t>125.74.85.75</t>
  </si>
  <si>
    <t>n93.btytg3.com</t>
  </si>
  <si>
    <t>中国|甘肃|兰州|</t>
  </si>
  <si>
    <t>221478abc</t>
  </si>
  <si>
    <t>孙雷雷</t>
  </si>
  <si>
    <t>xjy134781012</t>
  </si>
  <si>
    <t>119.143.146.127</t>
  </si>
  <si>
    <t>m.btynt5.com</t>
  </si>
  <si>
    <t>Dung060306</t>
  </si>
  <si>
    <t>123.18.203.119</t>
  </si>
  <si>
    <t>Havanhai181993</t>
  </si>
  <si>
    <t>HA VAN HAI</t>
  </si>
  <si>
    <t>125.235.237.240</t>
  </si>
  <si>
    <t>m.bty1233.com</t>
  </si>
  <si>
    <t>jinwozuiai3333</t>
  </si>
  <si>
    <t>175.151.254.24</t>
  </si>
  <si>
    <t>中国|辽宁|阜新|细河</t>
  </si>
  <si>
    <t>Chrysos2023</t>
  </si>
  <si>
    <t>14.231.40.246</t>
  </si>
  <si>
    <t>www.bty6150.com</t>
  </si>
  <si>
    <t>X18816121696</t>
  </si>
  <si>
    <t>182.32.138.247</t>
  </si>
  <si>
    <t>www.bsports5.com</t>
  </si>
  <si>
    <t>中国|山东|德州|夏津</t>
  </si>
  <si>
    <t>ktv18094447503</t>
  </si>
  <si>
    <t>180.98.148.56</t>
  </si>
  <si>
    <t>m.btyhg01.com</t>
  </si>
  <si>
    <t>中国|江苏|南京|</t>
  </si>
  <si>
    <t>Thanh2609</t>
  </si>
  <si>
    <t>Huynh Truc Thanh</t>
  </si>
  <si>
    <t>171.236.69.207</t>
  </si>
  <si>
    <t>m-hwqx1g.bmmncrrpqpc32.com</t>
  </si>
  <si>
    <t>tienvetienve99</t>
  </si>
  <si>
    <t>vntf0904</t>
  </si>
  <si>
    <t>www.bty6027.com</t>
  </si>
  <si>
    <t>Phong0815350442</t>
  </si>
  <si>
    <t>Doan Thi Nhi</t>
  </si>
  <si>
    <t>113.185.44.128</t>
  </si>
  <si>
    <t>ck11123123</t>
  </si>
  <si>
    <t>27.148.111.31</t>
  </si>
  <si>
    <t>中国|福建|福州|</t>
  </si>
  <si>
    <t>zu258079</t>
  </si>
  <si>
    <t>赵波</t>
  </si>
  <si>
    <t>223.246.136.180</t>
  </si>
  <si>
    <t>m.bty639.com</t>
  </si>
  <si>
    <t>中国|安徽||</t>
  </si>
  <si>
    <t>voky007</t>
  </si>
  <si>
    <t>LE TRANG HOANG ANH</t>
  </si>
  <si>
    <t>123.20.214.148</t>
  </si>
  <si>
    <t>phuoccoi86</t>
  </si>
  <si>
    <t>183.80.39.1</t>
  </si>
  <si>
    <t>sn7.btytg3.com</t>
  </si>
  <si>
    <t>越南|广南||</t>
  </si>
  <si>
    <t>wym080822</t>
  </si>
  <si>
    <t>许益铭</t>
  </si>
  <si>
    <t>223.160.131.7</t>
  </si>
  <si>
    <t>m.bty1213.com</t>
  </si>
  <si>
    <t>中国|北京||</t>
  </si>
  <si>
    <t>Dung060706</t>
  </si>
  <si>
    <t>dkk123457</t>
  </si>
  <si>
    <t>114.222.117.146</t>
  </si>
  <si>
    <t>zy18080599024</t>
  </si>
  <si>
    <t>张钰</t>
  </si>
  <si>
    <t>zh1120</t>
  </si>
  <si>
    <t>117.173.16.226</t>
  </si>
  <si>
    <t>m-vhn.btytg3.com</t>
  </si>
  <si>
    <t>183.221.46.212</t>
  </si>
  <si>
    <t>中国|四川|雅安|雨城</t>
  </si>
  <si>
    <t>hkq5235</t>
  </si>
  <si>
    <t>gt5555</t>
  </si>
  <si>
    <t>223.85.182.33</t>
  </si>
  <si>
    <t>m.bty022.com</t>
  </si>
  <si>
    <t>中国|四川|成都|武侯区</t>
  </si>
  <si>
    <t>cr1661</t>
  </si>
  <si>
    <t>陈锐</t>
  </si>
  <si>
    <t>60.255.229.217</t>
  </si>
  <si>
    <t>中国|四川|德阳|</t>
  </si>
  <si>
    <t>cungo1102</t>
  </si>
  <si>
    <t>113.160.227.46</t>
  </si>
  <si>
    <t>sn7.btytg2.com</t>
  </si>
  <si>
    <t>Baobao2112</t>
  </si>
  <si>
    <t>HA THI LY</t>
  </si>
  <si>
    <t>14.224.115.250</t>
  </si>
  <si>
    <t>14.171.194.62</t>
  </si>
  <si>
    <t>越南|宁平||</t>
  </si>
  <si>
    <t>越南|河静||</t>
  </si>
  <si>
    <t>j499301j</t>
  </si>
  <si>
    <t>wbdl1359</t>
  </si>
  <si>
    <t>114.217.23.16</t>
  </si>
  <si>
    <t>9sc.btytg3.com</t>
  </si>
  <si>
    <t>中国|江苏|苏州|</t>
  </si>
  <si>
    <t>wbc396913</t>
  </si>
  <si>
    <t>14.150.184.165</t>
  </si>
  <si>
    <t>Dyj623058667</t>
  </si>
  <si>
    <t>1.206.128.196</t>
  </si>
  <si>
    <t>m.btyar01.com</t>
  </si>
  <si>
    <t>中国|贵州|黔南|</t>
  </si>
  <si>
    <t>n1768534450</t>
  </si>
  <si>
    <t>117.136.33.49</t>
  </si>
  <si>
    <t>中国|广东|东莞|</t>
  </si>
  <si>
    <t>86654321tuan</t>
  </si>
  <si>
    <t>14.161.25.94</t>
  </si>
  <si>
    <t>8562445658y</t>
  </si>
  <si>
    <t>ys1111</t>
  </si>
  <si>
    <t>120.230.108.114</t>
  </si>
  <si>
    <t>m.bty6129.com</t>
  </si>
  <si>
    <t>中国|广东|广州|花都</t>
  </si>
  <si>
    <t>Lesinh88</t>
  </si>
  <si>
    <t>LE NGOC SINH</t>
  </si>
  <si>
    <t>171.253.125.185</t>
  </si>
  <si>
    <t>越南|清化||</t>
  </si>
  <si>
    <t>tan2607</t>
  </si>
  <si>
    <t>27.67.138.59</t>
  </si>
  <si>
    <t>zwx010613</t>
  </si>
  <si>
    <t>bs9Don</t>
  </si>
  <si>
    <t>36.28.6.57</t>
  </si>
  <si>
    <t>m-794.btytg3.com</t>
  </si>
  <si>
    <t>中国|浙江||</t>
  </si>
  <si>
    <t>xiao7782</t>
  </si>
  <si>
    <t>223.160.129.141</t>
  </si>
  <si>
    <t>gc378970</t>
  </si>
  <si>
    <t>120.235.33.35</t>
  </si>
  <si>
    <t>m.bty1223.com</t>
  </si>
  <si>
    <t>中国|广东|梅州|梅江区</t>
  </si>
  <si>
    <t>phucray297</t>
  </si>
  <si>
    <t>AA00166</t>
  </si>
  <si>
    <t>27.74.193.139</t>
  </si>
  <si>
    <t>m-6w4.btytg3.com</t>
  </si>
  <si>
    <t>wbd748</t>
  </si>
  <si>
    <t>183.252.221.142</t>
  </si>
  <si>
    <t>中国|福建|漳州|漳浦</t>
  </si>
  <si>
    <t>loveyou9527</t>
  </si>
  <si>
    <t>王小东</t>
  </si>
  <si>
    <t>101.206.170.139</t>
  </si>
  <si>
    <t>183.222.59.223</t>
  </si>
  <si>
    <t>中国|四川|成都|郫都</t>
  </si>
  <si>
    <t>w15721610931</t>
  </si>
  <si>
    <t>39.144.95.162</t>
  </si>
  <si>
    <t>中国|山西||</t>
  </si>
  <si>
    <t>Xx369258</t>
  </si>
  <si>
    <t>58.246.155.29</t>
  </si>
  <si>
    <t>中国|上海|松江|</t>
  </si>
  <si>
    <t>szh1134</t>
  </si>
  <si>
    <t>苏志宏</t>
  </si>
  <si>
    <t>180.140.237.55</t>
  </si>
  <si>
    <t>m-yg3.btytg3.com</t>
  </si>
  <si>
    <t>中国|广西|百色|靖西</t>
  </si>
  <si>
    <t>Anhbin160901</t>
  </si>
  <si>
    <t>DINH QUANG VINH</t>
  </si>
  <si>
    <t>171.236.56.219</t>
  </si>
  <si>
    <t>nnp2104</t>
  </si>
  <si>
    <t>1.53.74.24</t>
  </si>
  <si>
    <t>zhanghao12</t>
  </si>
  <si>
    <t>121.231.49.134</t>
  </si>
  <si>
    <t>中国|江苏|常州|钟楼</t>
  </si>
  <si>
    <t>Anhpha1987vcb</t>
  </si>
  <si>
    <t>Nguyen anh pha</t>
  </si>
  <si>
    <t>104.28.237.71</t>
  </si>
  <si>
    <t>中国|||</t>
  </si>
  <si>
    <t>proxy_BB00144</t>
  </si>
  <si>
    <t>f.bsports1.com</t>
  </si>
  <si>
    <t>proxy_wbdl1373</t>
  </si>
  <si>
    <t>115.227.23.229</t>
  </si>
  <si>
    <t>z18898475566</t>
  </si>
  <si>
    <t>zhangjgh88588</t>
  </si>
  <si>
    <t>VIP2</t>
  </si>
  <si>
    <t>42.81.139.153</t>
  </si>
  <si>
    <t>m-23x.btytg3.com</t>
  </si>
  <si>
    <t>中国|天津|天津|</t>
  </si>
  <si>
    <t>duybaby221094</t>
  </si>
  <si>
    <t>113.180.102.181</t>
  </si>
  <si>
    <t>cfj1234567</t>
  </si>
  <si>
    <t>成粉军</t>
  </si>
  <si>
    <t>111.192.163.64</t>
  </si>
  <si>
    <t>W2123864237</t>
  </si>
  <si>
    <t>223.104.161.215</t>
  </si>
  <si>
    <t>中国|浙江|宁波|</t>
  </si>
  <si>
    <t>KAIGE666</t>
  </si>
  <si>
    <t>117.32.23.64</t>
  </si>
  <si>
    <t>www.bty1192.com</t>
  </si>
  <si>
    <t>中国|陕西|宝鸡|岐山</t>
  </si>
  <si>
    <t>dangpheu12345</t>
  </si>
  <si>
    <t>DINH CONG HOANG MINH</t>
  </si>
  <si>
    <t>104.28.222.75</t>
  </si>
  <si>
    <t>m.bty6138.com</t>
  </si>
  <si>
    <t>Justin2719</t>
  </si>
  <si>
    <t>120.204.77.52</t>
  </si>
  <si>
    <t>中国|上海||闵行</t>
  </si>
  <si>
    <t>saunguyen7777</t>
  </si>
  <si>
    <t>14.243.80.43</t>
  </si>
  <si>
    <t>m.bty1281.com</t>
  </si>
  <si>
    <t>Fan665602</t>
  </si>
  <si>
    <t>范秋暖</t>
  </si>
  <si>
    <t>223.104.67.118</t>
  </si>
  <si>
    <t>m.bty339.com</t>
  </si>
  <si>
    <t>120.230.110.3</t>
  </si>
  <si>
    <t>中国|广东|广州|从化区</t>
  </si>
  <si>
    <t>u88683</t>
  </si>
  <si>
    <t>183.28.4.57</t>
  </si>
  <si>
    <t>中国|广东|佛山|南海</t>
  </si>
  <si>
    <t>1234567tuan</t>
  </si>
  <si>
    <t>a1386558</t>
  </si>
  <si>
    <t>刘林林</t>
  </si>
  <si>
    <t>112.32.189.167</t>
  </si>
  <si>
    <t>m-bbei9.btyv132.vip</t>
  </si>
  <si>
    <t>中国|安徽|阜阳|颍州</t>
  </si>
  <si>
    <t>aa1339847</t>
  </si>
  <si>
    <t>39.144.102.59</t>
  </si>
  <si>
    <t>中国|吉林||</t>
  </si>
  <si>
    <t>P0983484785</t>
  </si>
  <si>
    <t>VU DUC PHUC</t>
  </si>
  <si>
    <t>27.75.194.10</t>
  </si>
  <si>
    <t>27.70.243.190</t>
  </si>
  <si>
    <t>越南|平福||</t>
  </si>
  <si>
    <t>Sonluan1994</t>
  </si>
  <si>
    <t>115.72.76.228</t>
  </si>
  <si>
    <t>越南|承天顺化||</t>
  </si>
  <si>
    <t>shaka7am</t>
  </si>
  <si>
    <t>117.136.35.92</t>
  </si>
  <si>
    <t>m.n5uve8.com</t>
  </si>
  <si>
    <t>zhangchufeng07</t>
  </si>
  <si>
    <t>李俊恒</t>
  </si>
  <si>
    <t>111.194.220.56</t>
  </si>
  <si>
    <t>m.btyjxl.com</t>
  </si>
  <si>
    <t>中国|北京||丰台</t>
  </si>
  <si>
    <t>yazheng1</t>
  </si>
  <si>
    <t>115.76.51.11</t>
  </si>
  <si>
    <t>m-ipt.btytg3.com</t>
  </si>
  <si>
    <t>WLN888</t>
  </si>
  <si>
    <t>223.104.40.139</t>
  </si>
  <si>
    <t>zhang9899</t>
  </si>
  <si>
    <t>1.30.48.34</t>
  </si>
  <si>
    <t>m-668e6y.bty0vip1.com</t>
  </si>
  <si>
    <t>中国|内蒙古|乌兰察布|集宁</t>
  </si>
  <si>
    <t>lopi1234</t>
  </si>
  <si>
    <t>徐善明</t>
  </si>
  <si>
    <t>49.93.55.70</t>
  </si>
  <si>
    <t>49.93.180.200</t>
  </si>
  <si>
    <t>中国|江苏|徐州|</t>
  </si>
  <si>
    <t>Vinhkhenh1</t>
  </si>
  <si>
    <t>VO DINH VINH</t>
  </si>
  <si>
    <t>AA00160</t>
  </si>
  <si>
    <t>42.112.229.33</t>
  </si>
  <si>
    <t>m-kdd.btytg2.com</t>
  </si>
  <si>
    <t>qq357079528</t>
  </si>
  <si>
    <t>wbdl355</t>
  </si>
  <si>
    <t>116.162.93.123</t>
  </si>
  <si>
    <t>m-uu88.btyv100.vip</t>
  </si>
  <si>
    <t>中国|湖南||</t>
  </si>
  <si>
    <t>sf059217</t>
  </si>
  <si>
    <t>112.224.67.169</t>
  </si>
  <si>
    <t>w1804415539</t>
  </si>
  <si>
    <t>张宇婷</t>
  </si>
  <si>
    <t>14.26.80.185</t>
  </si>
  <si>
    <t>m.btyldi.com</t>
  </si>
  <si>
    <t>中国|广东|深圳|</t>
  </si>
  <si>
    <t>Dieuthai2k</t>
  </si>
  <si>
    <t>DIEU VAN THAI</t>
  </si>
  <si>
    <t>27.65.39.17</t>
  </si>
  <si>
    <t>m-8hd.btytg3.com</t>
  </si>
  <si>
    <t>qq283198203</t>
  </si>
  <si>
    <t>刘旭宾</t>
  </si>
  <si>
    <t>117.136.87.7</t>
  </si>
  <si>
    <t>Phong3979</t>
  </si>
  <si>
    <t>115.77.73.202</t>
  </si>
  <si>
    <t>li816520</t>
  </si>
  <si>
    <t>李夏沫</t>
  </si>
  <si>
    <t>119.132.178.191</t>
  </si>
  <si>
    <t>59.39.150.171</t>
  </si>
  <si>
    <t>中国|广东|惠州|惠城</t>
  </si>
  <si>
    <t>qwer9870000</t>
  </si>
  <si>
    <t>223.104.165.119</t>
  </si>
  <si>
    <t>m-uaf.btytg3.com</t>
  </si>
  <si>
    <t>中国|浙江|衢州|</t>
  </si>
  <si>
    <t>Tramtran1995</t>
  </si>
  <si>
    <t>171.247.173.239</t>
  </si>
  <si>
    <t>Tuan3979797979</t>
  </si>
  <si>
    <t>1.54.152.103</t>
  </si>
  <si>
    <t>0344633756d</t>
  </si>
  <si>
    <t>125.235.233.179</t>
  </si>
  <si>
    <t>Truongthinh1898</t>
  </si>
  <si>
    <t>Le quoc viet</t>
  </si>
  <si>
    <t>171.250.166.146</t>
  </si>
  <si>
    <t>113.185.74.216</t>
  </si>
  <si>
    <t>越南|隆安||</t>
  </si>
  <si>
    <t>vodanh5555</t>
  </si>
  <si>
    <t>113.167.169.49</t>
  </si>
  <si>
    <t>113.185.41.22</t>
  </si>
  <si>
    <t>越南|奠边||</t>
  </si>
  <si>
    <t>Athang395</t>
  </si>
  <si>
    <t>171.250.167.164</t>
  </si>
  <si>
    <t>qwe1178926</t>
  </si>
  <si>
    <t>122.96.32.48</t>
  </si>
  <si>
    <t>m.btyk03.com</t>
  </si>
  <si>
    <t>eeeee66666</t>
  </si>
  <si>
    <t>王飞</t>
  </si>
  <si>
    <t>221.223.102.108</t>
  </si>
  <si>
    <t>m.btyzd01.com</t>
  </si>
  <si>
    <t>weiwei5858</t>
  </si>
  <si>
    <t>魏巍</t>
  </si>
  <si>
    <t>123.55.40.97</t>
  </si>
  <si>
    <t>m.bty1283.com</t>
  </si>
  <si>
    <t>中国|河南|平顶山|湛河</t>
  </si>
  <si>
    <t>tam6868</t>
  </si>
  <si>
    <t>TRUONG THANH TAM</t>
  </si>
  <si>
    <t>42.114.207.248</t>
  </si>
  <si>
    <t>118.69.176.209</t>
  </si>
  <si>
    <t>未知|未知|未知|未知</t>
  </si>
  <si>
    <t>zgszsw100</t>
  </si>
  <si>
    <t>黄浩志</t>
  </si>
  <si>
    <t>14.0.165.31</t>
  </si>
  <si>
    <t>m.bty539.com</t>
  </si>
  <si>
    <t>221.127.64.226</t>
  </si>
  <si>
    <t>Binhmobadz2006</t>
  </si>
  <si>
    <t>14.175.31.170</t>
  </si>
  <si>
    <t>Aaaa99998</t>
  </si>
  <si>
    <t>Cao Nguyen Tram Anh</t>
  </si>
  <si>
    <t>171.250.182.188</t>
  </si>
  <si>
    <t>9866589poi</t>
  </si>
  <si>
    <t>39.144.64.21</t>
  </si>
  <si>
    <t>m.bty30.com</t>
  </si>
  <si>
    <t>117.183.16.221</t>
  </si>
  <si>
    <t>中国|广西||</t>
  </si>
  <si>
    <t>中国|广西|百色|右江</t>
  </si>
  <si>
    <t>supperman99</t>
  </si>
  <si>
    <t>PHAM THI DUNG</t>
  </si>
  <si>
    <t>btyscnb003006</t>
  </si>
  <si>
    <t>116.109.189.208</t>
  </si>
  <si>
    <t>m-vr7.btytg3.com</t>
  </si>
  <si>
    <t>Thanhnhan1977</t>
  </si>
  <si>
    <t>Bsc003</t>
  </si>
  <si>
    <t>171.252.154.41</t>
  </si>
  <si>
    <t>m.bty523.com</t>
  </si>
  <si>
    <t>Quanghuy99nb</t>
  </si>
  <si>
    <t>58.187.168.230</t>
  </si>
  <si>
    <t>Tungduonglc97</t>
  </si>
  <si>
    <t>Nguyen tung duong</t>
  </si>
  <si>
    <t>27.67.135.216</t>
  </si>
  <si>
    <t>fullhd202323</t>
  </si>
  <si>
    <t>BUI DANH THANG</t>
  </si>
  <si>
    <t>27.67.131.58</t>
  </si>
  <si>
    <t>116.107.247.254</t>
  </si>
  <si>
    <t>越南|兴安||</t>
  </si>
  <si>
    <t>Tuantu77</t>
  </si>
  <si>
    <t>btyscnb00192201</t>
  </si>
  <si>
    <t>113.185.75.63</t>
  </si>
  <si>
    <t>m-osy.btytg3.com</t>
  </si>
  <si>
    <t>Quyen1102</t>
  </si>
  <si>
    <t>Pham van quyen</t>
  </si>
  <si>
    <t>115.72.81.1</t>
  </si>
  <si>
    <t>Lapulga17</t>
  </si>
  <si>
    <t>59.153.251.173</t>
  </si>
  <si>
    <t>m-asd22.bm1tfwxn7.com</t>
  </si>
  <si>
    <t>200410181635xc</t>
  </si>
  <si>
    <t>113.126.110.218</t>
  </si>
  <si>
    <t>m-vov66.byyw330y69w10.com</t>
  </si>
  <si>
    <t>supreme000</t>
  </si>
  <si>
    <t>zh0317</t>
  </si>
  <si>
    <t>182.141.225.154</t>
  </si>
  <si>
    <t>m.bty500.com</t>
  </si>
  <si>
    <t>中国|四川|凉山|越西</t>
  </si>
  <si>
    <t>Tuantienty1983</t>
  </si>
  <si>
    <t>Nguyen van tuan</t>
  </si>
  <si>
    <t>42.115.249.2</t>
  </si>
  <si>
    <t>footballclub82</t>
  </si>
  <si>
    <t>14.169.211.207</t>
  </si>
  <si>
    <t>baron998</t>
  </si>
  <si>
    <t>183.212.143.141</t>
  </si>
  <si>
    <t>中国|江苏|盐城|亭湖</t>
  </si>
  <si>
    <t>Tuantrinh999</t>
  </si>
  <si>
    <t>NGUYEN VAN TUAN</t>
  </si>
  <si>
    <t>BB00138</t>
  </si>
  <si>
    <t>27.70.243.151</t>
  </si>
  <si>
    <t>m-3xj.btytg2.com</t>
  </si>
  <si>
    <t>Thanh112006</t>
  </si>
  <si>
    <t>Pham Xuan Thanh</t>
  </si>
  <si>
    <t>125.212.158.250</t>
  </si>
  <si>
    <t>m-ggdbwb.bmjdct76ujx33.com</t>
  </si>
  <si>
    <t>171.255.64.31</t>
  </si>
  <si>
    <t>Thanhtung2608qt</t>
  </si>
  <si>
    <t>171.225.185.86</t>
  </si>
  <si>
    <t>越南|宁顺||</t>
  </si>
  <si>
    <t>cc444040620</t>
  </si>
  <si>
    <t>183.213.236.247</t>
  </si>
  <si>
    <t>中国|江苏|南通|通州</t>
  </si>
  <si>
    <t>chiponekill3636</t>
  </si>
  <si>
    <t>171.246.108.95</t>
  </si>
  <si>
    <t>www.bty1233.com</t>
  </si>
  <si>
    <t>quynh05</t>
  </si>
  <si>
    <t>125.212.157.67</t>
  </si>
  <si>
    <t>Trieutrang90</t>
  </si>
  <si>
    <t>Trieu Quang Hung</t>
  </si>
  <si>
    <t>zsdl170</t>
  </si>
  <si>
    <t>27.71.123.85</t>
  </si>
  <si>
    <t>m.bty6156.com</t>
  </si>
  <si>
    <t>越南|太原||</t>
  </si>
  <si>
    <t>quanrinan521</t>
  </si>
  <si>
    <t>106.101.3.18</t>
  </si>
  <si>
    <t>seabc2023</t>
  </si>
  <si>
    <t>杨国柱</t>
  </si>
  <si>
    <t>116.176.64.253</t>
  </si>
  <si>
    <t>中国|甘肃||</t>
  </si>
  <si>
    <t>ranhcon33</t>
  </si>
  <si>
    <t>VUONG THI VINH</t>
  </si>
  <si>
    <t>171.253.0.43</t>
  </si>
  <si>
    <t>27.70.241.136</t>
  </si>
  <si>
    <t>opeini5464</t>
  </si>
  <si>
    <t>yan178</t>
  </si>
  <si>
    <t>180.98.130.215</t>
  </si>
  <si>
    <t>m-l2e.btytg2.com</t>
  </si>
  <si>
    <t>hkwy4020</t>
  </si>
  <si>
    <t>边庆</t>
  </si>
  <si>
    <t>171.36.212.138</t>
  </si>
  <si>
    <t>www.btyyl1.com</t>
  </si>
  <si>
    <t>中国|广西|南宁|青秀</t>
  </si>
  <si>
    <t>wjyb0575</t>
  </si>
  <si>
    <t>季力群</t>
  </si>
  <si>
    <t>dengshoumi11</t>
  </si>
  <si>
    <t>bs9sonic</t>
  </si>
  <si>
    <t>113.70.94.3</t>
  </si>
  <si>
    <t>m.bty559.com</t>
  </si>
  <si>
    <t>wlsscg555</t>
  </si>
  <si>
    <t>佘成功</t>
  </si>
  <si>
    <t>223.90.95.225</t>
  </si>
  <si>
    <t>m.bty1187.com</t>
  </si>
  <si>
    <t>中国|河南|信阳|固始</t>
  </si>
  <si>
    <t>liuwen1245</t>
  </si>
  <si>
    <t>刘文彬</t>
  </si>
  <si>
    <t>223.104.77.27</t>
  </si>
  <si>
    <t>wobudong147</t>
  </si>
  <si>
    <t>www.bty1186.com</t>
  </si>
  <si>
    <t>f13724100025</t>
  </si>
  <si>
    <t>方军</t>
  </si>
  <si>
    <t>223.104.63.162</t>
  </si>
  <si>
    <t>113.69.245.58</t>
  </si>
  <si>
    <t>yongbuzhi730</t>
  </si>
  <si>
    <t>42.122.155.224</t>
  </si>
  <si>
    <t>m-tuq.btytg3.com</t>
  </si>
  <si>
    <t>中国|天津||武清</t>
  </si>
  <si>
    <t>Mon1234</t>
  </si>
  <si>
    <t>1.55.6.230</t>
  </si>
  <si>
    <t>Xuanhung2015</t>
  </si>
  <si>
    <t>27.68.213.151</t>
  </si>
  <si>
    <t>m-j03.btytg3.com</t>
  </si>
  <si>
    <t>sc123451</t>
  </si>
  <si>
    <t>119.122.89.160</t>
  </si>
  <si>
    <t>m-737.btytg3.com</t>
  </si>
  <si>
    <t>中国|广东|深圳|龙华</t>
  </si>
  <si>
    <t>jojojo1234</t>
  </si>
  <si>
    <t>223.16.239.131</t>
  </si>
  <si>
    <t>m.bty597.com</t>
  </si>
  <si>
    <t>phanvanvu1995</t>
  </si>
  <si>
    <t>117.7.220.179</t>
  </si>
  <si>
    <t>Cong11223344</t>
  </si>
  <si>
    <t>Thai Phi Cong</t>
  </si>
  <si>
    <t>42.116.120.240</t>
  </si>
  <si>
    <t>1.55.43.32</t>
  </si>
  <si>
    <t>hieu0123</t>
  </si>
  <si>
    <t>LE TRUNG HIEU</t>
  </si>
  <si>
    <t>AA00167</t>
  </si>
  <si>
    <t>27.71.99.0</t>
  </si>
  <si>
    <t>m-zyy.btytg3.com</t>
  </si>
  <si>
    <t>越南|茶荣||</t>
  </si>
  <si>
    <t>lm8808567</t>
  </si>
  <si>
    <t>175.167.139.144</t>
  </si>
  <si>
    <t>中国|辽宁|沈阳|</t>
  </si>
  <si>
    <t>vison80</t>
  </si>
  <si>
    <t>VI VAN SON</t>
  </si>
  <si>
    <t>113.167.143.83</t>
  </si>
  <si>
    <t>越南|和平||</t>
  </si>
  <si>
    <t>qeasxcz123</t>
  </si>
  <si>
    <t>新加坡</t>
  </si>
  <si>
    <t>157.245.204.49</t>
  </si>
  <si>
    <t>pwa.bsportsuat.com</t>
  </si>
  <si>
    <t>lke12345678</t>
  </si>
  <si>
    <t>223.104.10.253</t>
  </si>
  <si>
    <t>中国|江西|南昌|</t>
  </si>
  <si>
    <t>Duongchuc1993</t>
  </si>
  <si>
    <t>113.185.79.26</t>
  </si>
  <si>
    <t>Probably7</t>
  </si>
  <si>
    <t>223.160.221.250</t>
  </si>
  <si>
    <t>中国|福建||</t>
  </si>
  <si>
    <t>yuiyo324</t>
  </si>
  <si>
    <t>黎俊杰</t>
  </si>
  <si>
    <t>btyseo5566</t>
  </si>
  <si>
    <t>182.239.88.162</t>
  </si>
  <si>
    <t>m.btydb36716.com</t>
  </si>
  <si>
    <t>Hb1120y</t>
  </si>
  <si>
    <t>110.167.6.73</t>
  </si>
  <si>
    <t>中国|青海||</t>
  </si>
  <si>
    <t>Vanbao93</t>
  </si>
  <si>
    <t>TRAN VAN BAO</t>
  </si>
  <si>
    <t>sp84653285</t>
  </si>
  <si>
    <t>隋鹏</t>
  </si>
  <si>
    <t>223.104.190.197</t>
  </si>
  <si>
    <t>223.104.189.81</t>
  </si>
  <si>
    <t>Binh3binh</t>
  </si>
  <si>
    <t>14.189.73.64</t>
  </si>
  <si>
    <t>Tuanvan23</t>
  </si>
  <si>
    <t>NGUYEN THI THANH VAN</t>
  </si>
  <si>
    <t>14.191.226.157</t>
  </si>
  <si>
    <t>Honey2017</t>
  </si>
  <si>
    <t>KIEU VAN LOI</t>
  </si>
  <si>
    <t>116.100.14.236</t>
  </si>
  <si>
    <t>125.235.213.237</t>
  </si>
  <si>
    <t>越南|安江||</t>
  </si>
  <si>
    <t>ayumi310326</t>
  </si>
  <si>
    <t>113.15.196.94</t>
  </si>
  <si>
    <t>m.btyiu2.com</t>
  </si>
  <si>
    <t>dlbt1234</t>
  </si>
  <si>
    <t>112.7.108.102</t>
  </si>
  <si>
    <t>中国|山东|潍坊|</t>
  </si>
  <si>
    <t>Rincaca1</t>
  </si>
  <si>
    <t>149.54.206.81</t>
  </si>
  <si>
    <t>www.bty6136.com</t>
  </si>
  <si>
    <t>日本|大阪||</t>
  </si>
  <si>
    <t>yangbo168</t>
  </si>
  <si>
    <t>杨博</t>
  </si>
  <si>
    <t>223.104.15.85</t>
  </si>
  <si>
    <t>223.104.15.64</t>
  </si>
  <si>
    <t>中国|内蒙古|赤峰|</t>
  </si>
  <si>
    <t>xyq401528</t>
  </si>
  <si>
    <t>王磊</t>
  </si>
  <si>
    <t>seo初审后层级2</t>
  </si>
  <si>
    <t>117.136.70.251</t>
  </si>
  <si>
    <t>117.136.70.200</t>
  </si>
  <si>
    <t>Conlaigi779</t>
  </si>
  <si>
    <t>HUYNH VAN CHI LINH</t>
  </si>
  <si>
    <t>113.22.203.166</t>
  </si>
  <si>
    <t>bboylanjian123</t>
  </si>
  <si>
    <t>58.109.133.100</t>
  </si>
  <si>
    <t>www.bty1283.com</t>
  </si>
  <si>
    <t>中国|西澳大利亚|珀斯|</t>
  </si>
  <si>
    <t>Baoruby0408</t>
  </si>
  <si>
    <t>125.212.175.47</t>
  </si>
  <si>
    <t>越南|广义||</t>
  </si>
  <si>
    <t>EVAN8210123435</t>
  </si>
  <si>
    <t>122.116.119.236</t>
  </si>
  <si>
    <t>中国|台湾|新北|</t>
  </si>
  <si>
    <t>Zengcheng1</t>
  </si>
  <si>
    <t>LAM VI QUYEN</t>
  </si>
  <si>
    <t>116.102.206.146</t>
  </si>
  <si>
    <t>113.173.96.16</t>
  </si>
  <si>
    <t>Quanngo150894</t>
  </si>
  <si>
    <t>42.112.229.102</t>
  </si>
  <si>
    <t>HoangTung1368</t>
  </si>
  <si>
    <t>1.52.177.158</t>
  </si>
  <si>
    <t>binhtinh68</t>
  </si>
  <si>
    <t>Le Quoc Thang</t>
  </si>
  <si>
    <t>42.116.121.159</t>
  </si>
  <si>
    <t>42.119.201.37</t>
  </si>
  <si>
    <t>wl888999</t>
  </si>
  <si>
    <t>王隆</t>
  </si>
  <si>
    <t>61.54.104.103</t>
  </si>
  <si>
    <t>61.54.104.111</t>
  </si>
  <si>
    <t>中国|河南|新乡|</t>
  </si>
  <si>
    <t>wsfh2023</t>
  </si>
  <si>
    <t>183.42.47.93</t>
  </si>
  <si>
    <t>guojunjie1</t>
  </si>
  <si>
    <t>郭俊杰</t>
  </si>
  <si>
    <t>120.84.9.201</t>
  </si>
  <si>
    <t>Loc131415</t>
  </si>
  <si>
    <t>1.53.229.116</t>
  </si>
  <si>
    <t>Haonam123456</t>
  </si>
  <si>
    <t>14.191.120.198</t>
  </si>
  <si>
    <t>q2919130991</t>
  </si>
  <si>
    <t>39.144.219.116</t>
  </si>
  <si>
    <t>kainey023</t>
  </si>
  <si>
    <t>zh1031</t>
  </si>
  <si>
    <t>39.144.158.126</t>
  </si>
  <si>
    <t>m-n5m.btytg3.com</t>
  </si>
  <si>
    <t>kainey23</t>
  </si>
  <si>
    <t>lethicanh222</t>
  </si>
  <si>
    <t>LE THI CANH</t>
  </si>
  <si>
    <t>btyscnb002801</t>
  </si>
  <si>
    <t>115.76.117.2</t>
  </si>
  <si>
    <t>m-dcx.btytg3.com</t>
  </si>
  <si>
    <t>Nhukhung12345</t>
  </si>
  <si>
    <t>103.129.189.11</t>
  </si>
  <si>
    <t>103.129.189.28</t>
  </si>
  <si>
    <t>Phongbui1989</t>
  </si>
  <si>
    <t>Nguyen thanh phong</t>
  </si>
  <si>
    <t>HLJ2022</t>
  </si>
  <si>
    <t>14.169.170.98</t>
  </si>
  <si>
    <t>m.bty138.com</t>
  </si>
  <si>
    <t>ysw060131</t>
  </si>
  <si>
    <t>111.201.242.184</t>
  </si>
  <si>
    <t>中国|北京||通州</t>
  </si>
  <si>
    <t>anhbakt12</t>
  </si>
  <si>
    <t>dao duc thanh</t>
  </si>
  <si>
    <t>14.241.243.90</t>
  </si>
  <si>
    <t>gcqup7</t>
  </si>
  <si>
    <t>db0001</t>
  </si>
  <si>
    <t>101.82.105.139</t>
  </si>
  <si>
    <t>m.bty618.com</t>
  </si>
  <si>
    <t>t928141513</t>
  </si>
  <si>
    <t>116.169.71.76</t>
  </si>
  <si>
    <t>zx0233</t>
  </si>
  <si>
    <t>39.144.219.19</t>
  </si>
  <si>
    <t>wu9151</t>
  </si>
  <si>
    <t>27.153.182.239</t>
  </si>
  <si>
    <t>中国|福建|莆田|城厢</t>
  </si>
  <si>
    <t>yiqizui999</t>
  </si>
  <si>
    <t>dx0002</t>
  </si>
  <si>
    <t>迪拜</t>
  </si>
  <si>
    <t>103.16.160.74</t>
  </si>
  <si>
    <t>www.bty563.com</t>
  </si>
  <si>
    <t>日本|||</t>
  </si>
  <si>
    <t>junsi666</t>
  </si>
  <si>
    <t>李俊</t>
  </si>
  <si>
    <t>111.20.167.101</t>
  </si>
  <si>
    <t>113.201.132.47</t>
  </si>
  <si>
    <t>中国|陕西||</t>
  </si>
  <si>
    <t>Danhtay12345</t>
  </si>
  <si>
    <t>103.199.41.205</t>
  </si>
  <si>
    <t>wxp15343161199</t>
  </si>
  <si>
    <t>王照辉</t>
  </si>
  <si>
    <t>111.183.110.10</t>
  </si>
  <si>
    <t>Thanhquan1508</t>
  </si>
  <si>
    <t>Truckha8081</t>
  </si>
  <si>
    <t>103.7.38.72</t>
  </si>
  <si>
    <t>Anhhung100</t>
  </si>
  <si>
    <t>LUONG SON DUC</t>
  </si>
  <si>
    <t>113.176.122.253</t>
  </si>
  <si>
    <t>Baconday102</t>
  </si>
  <si>
    <t>Le van nghia</t>
  </si>
  <si>
    <t>BB00125</t>
  </si>
  <si>
    <t>103.199.70.91</t>
  </si>
  <si>
    <t>m-4ul.btytg3.com</t>
  </si>
  <si>
    <t>103.199.56.123</t>
  </si>
  <si>
    <t>GreGre1985</t>
  </si>
  <si>
    <t>Pham ba thanh</t>
  </si>
  <si>
    <t>1.52.41.187</t>
  </si>
  <si>
    <t>zh050121</t>
  </si>
  <si>
    <t>58.44.186.165</t>
  </si>
  <si>
    <t>中国|湖南|湘西|花垣</t>
  </si>
  <si>
    <t>Hophihuong201287</t>
  </si>
  <si>
    <t>Ho phi huong</t>
  </si>
  <si>
    <t>103.199.43.28</t>
  </si>
  <si>
    <t>Sonnhay410</t>
  </si>
  <si>
    <t>PHAM THANH SON</t>
  </si>
  <si>
    <t>125.235.132.147</t>
  </si>
  <si>
    <t>123.17.118.132</t>
  </si>
  <si>
    <t>越南|广宁||</t>
  </si>
  <si>
    <t>wlsscg666</t>
  </si>
  <si>
    <t>bs9Robert2</t>
  </si>
  <si>
    <t>m.bty832.com</t>
  </si>
  <si>
    <t>Ongtrumgoc123</t>
  </si>
  <si>
    <t>Vo thi hong trang</t>
  </si>
  <si>
    <t>42.117.101.109</t>
  </si>
  <si>
    <t>Locang02011984</t>
  </si>
  <si>
    <t>PHAM VIET ANH HOA</t>
  </si>
  <si>
    <t>14.191.102.253</t>
  </si>
  <si>
    <t>多账号已处理 保留  Locang02011984  8.7</t>
  </si>
  <si>
    <t>Luckyman678</t>
  </si>
  <si>
    <t>TO VAN DUNG</t>
  </si>
  <si>
    <t>123.31.196.50</t>
  </si>
  <si>
    <t>hoangkic35</t>
  </si>
  <si>
    <t>DINH NGOC HOANG</t>
  </si>
  <si>
    <t>1.55.38.206</t>
  </si>
  <si>
    <t>Pvsanghcm123</t>
  </si>
  <si>
    <t>PHAM VAN SANG</t>
  </si>
  <si>
    <t>125.235.215.188</t>
  </si>
  <si>
    <t>171.226.228.188</t>
  </si>
  <si>
    <t>kk1464234</t>
  </si>
  <si>
    <t>罗永志</t>
  </si>
  <si>
    <t>183.27.152.178</t>
  </si>
  <si>
    <t>beckham09</t>
  </si>
  <si>
    <t>简嘉辉</t>
  </si>
  <si>
    <t>fenng1998</t>
  </si>
  <si>
    <t>119.131.53.175</t>
  </si>
  <si>
    <t>14.150.69.177</t>
  </si>
  <si>
    <t>中国|广东|广州|越秀</t>
  </si>
  <si>
    <t>ljp1996520</t>
  </si>
  <si>
    <t>117.136.30.10</t>
  </si>
  <si>
    <t>m-9fk.btytg3.com</t>
  </si>
  <si>
    <t>Davido88</t>
  </si>
  <si>
    <t>119.56.100.132</t>
  </si>
  <si>
    <t>gao645366</t>
  </si>
  <si>
    <t>韩红垒</t>
  </si>
  <si>
    <t>39.148.167.173</t>
  </si>
  <si>
    <t>222.139.31.251</t>
  </si>
  <si>
    <t>中国|河南|安阳|汤阴</t>
  </si>
  <si>
    <t>中国|河南|安阳|</t>
  </si>
  <si>
    <t>Nguyenvanha123</t>
  </si>
  <si>
    <t>NGUYEN VAN HA</t>
  </si>
  <si>
    <t>14.191.251.45</t>
  </si>
  <si>
    <t>171.244.213.66</t>
  </si>
  <si>
    <t>Kevinkern027</t>
  </si>
  <si>
    <t>Nguyen Van Hieu</t>
  </si>
  <si>
    <t>27.67.74.22</t>
  </si>
  <si>
    <t>27.67.74.27</t>
  </si>
  <si>
    <t>越南|北件||</t>
  </si>
  <si>
    <t>khanhduy2711</t>
  </si>
  <si>
    <t>1.54.213.143</t>
  </si>
  <si>
    <t>Ywt180190</t>
  </si>
  <si>
    <t>叶文挺</t>
  </si>
  <si>
    <t>117.147.107.247</t>
  </si>
  <si>
    <t>中国|浙江|杭州|余杭区</t>
  </si>
  <si>
    <t>qxy900904</t>
  </si>
  <si>
    <t>39.70.30.147</t>
  </si>
  <si>
    <t>中国|山东|聊城|东昌府</t>
  </si>
  <si>
    <t>dientieu204</t>
  </si>
  <si>
    <t>NGUYEN XUAN BACH</t>
  </si>
  <si>
    <t>AA00159</t>
  </si>
  <si>
    <t>27.67.142.53</t>
  </si>
  <si>
    <t>m-fy9.btytg2.com</t>
  </si>
  <si>
    <t>14.224.153.233</t>
  </si>
  <si>
    <t>wyz20011101wyz</t>
  </si>
  <si>
    <t>110.52.17.38</t>
  </si>
  <si>
    <t>中国|湖南|益阳|赫山</t>
  </si>
  <si>
    <t>Tuankdls00</t>
  </si>
  <si>
    <t>Chu van tuan</t>
  </si>
  <si>
    <t>113.23.54.251</t>
  </si>
  <si>
    <t>mh000816</t>
  </si>
  <si>
    <t>btyzz1</t>
  </si>
  <si>
    <t>39.128.115.173</t>
  </si>
  <si>
    <t>www.bty699.com</t>
  </si>
  <si>
    <t>中国|云南|楚雄|楚雄</t>
  </si>
  <si>
    <t>clm123</t>
  </si>
  <si>
    <t>朝鲁门</t>
  </si>
  <si>
    <t>39.155.62.116</t>
  </si>
  <si>
    <t>中国|内蒙古|通辽|扎鲁特旗</t>
  </si>
  <si>
    <t>aba1807</t>
  </si>
  <si>
    <t>183.80.98.181</t>
  </si>
  <si>
    <t>4ul.btytg3.com</t>
  </si>
  <si>
    <t>CKSOCSANG7979</t>
  </si>
  <si>
    <t>LU DINH TRUONG</t>
  </si>
  <si>
    <t>115.72.76.170</t>
  </si>
  <si>
    <t>vuzela1325</t>
  </si>
  <si>
    <t>42.119.99.86</t>
  </si>
  <si>
    <t>m.bty191.com</t>
  </si>
  <si>
    <t>BBQ351176</t>
  </si>
  <si>
    <t>陈欢</t>
  </si>
  <si>
    <t>219.159.246.129</t>
  </si>
  <si>
    <t>中国|广西|南宁|江南</t>
  </si>
  <si>
    <t>tronghuy140107</t>
  </si>
  <si>
    <t>14.250.64.198</t>
  </si>
  <si>
    <t>L20010801</t>
  </si>
  <si>
    <t>林俊峰</t>
  </si>
  <si>
    <t>112.97.251.94</t>
  </si>
  <si>
    <t>同设备同姓名多账号 待处理 fk-fang 8/8</t>
  </si>
  <si>
    <t>Tycon136</t>
  </si>
  <si>
    <t>TRINH DUY THINH</t>
  </si>
  <si>
    <t>42.116.117.198</t>
  </si>
  <si>
    <t>103.129.191.12</t>
  </si>
  <si>
    <t>Khoa2468</t>
  </si>
  <si>
    <t>BB00141</t>
  </si>
  <si>
    <t>113.172.116.222</t>
  </si>
  <si>
    <t>m-bsv.btytg3.com</t>
  </si>
  <si>
    <t>ldd123456789</t>
  </si>
  <si>
    <t>李丹丹</t>
  </si>
  <si>
    <t>117.136.73.159</t>
  </si>
  <si>
    <t>m.bty378.com</t>
  </si>
  <si>
    <t>183.225.97.186</t>
  </si>
  <si>
    <t>中国|云南|玉溪|</t>
  </si>
  <si>
    <t>中国|云南|红河|蒙自</t>
  </si>
  <si>
    <t>a779740643</t>
  </si>
  <si>
    <t>113.110.210.47</t>
  </si>
  <si>
    <t>中国|广东|深圳|龙岗</t>
  </si>
  <si>
    <t>NHATTANGSM69</t>
  </si>
  <si>
    <t>hoang nhat tan</t>
  </si>
  <si>
    <t>58.186.46.134</t>
  </si>
  <si>
    <t>Cx26377484</t>
  </si>
  <si>
    <t>101.30.18.43</t>
  </si>
  <si>
    <t>中国|河北|廊坊|霸州</t>
  </si>
  <si>
    <t>yymike1234</t>
  </si>
  <si>
    <t>105.8.0.99</t>
  </si>
  <si>
    <t>Phongnguyen123</t>
  </si>
  <si>
    <t>171.251.236.19</t>
  </si>
  <si>
    <t>104.28.219.201</t>
  </si>
  <si>
    <t>ymq888</t>
  </si>
  <si>
    <t>闫美庆</t>
  </si>
  <si>
    <t>171.118.24.86</t>
  </si>
  <si>
    <t>中国|山西|太原|杏花岭</t>
  </si>
  <si>
    <t>Qqg1234</t>
  </si>
  <si>
    <t>钱庆果</t>
  </si>
  <si>
    <t>kevin2018</t>
  </si>
  <si>
    <t>49.93.37.46</t>
  </si>
  <si>
    <t>m.vjjv4g.com</t>
  </si>
  <si>
    <t>114.219.148.134</t>
  </si>
  <si>
    <t>中国|江苏|苏州|相城</t>
  </si>
  <si>
    <t>HungAKa999</t>
  </si>
  <si>
    <t>NGUYEN VAN DUNG</t>
  </si>
  <si>
    <t>113.185.75.226</t>
  </si>
  <si>
    <t>caothang2804</t>
  </si>
  <si>
    <t>NGUYEN QUOC THANG</t>
  </si>
  <si>
    <t>27.68.157.73</t>
  </si>
  <si>
    <t>Xien10win</t>
  </si>
  <si>
    <t>LY VAN DONG</t>
  </si>
  <si>
    <t>171.234.8.17</t>
  </si>
  <si>
    <t>Tieukaka1</t>
  </si>
  <si>
    <t>MAI DUC TU</t>
  </si>
  <si>
    <t>113.185.46.49</t>
  </si>
  <si>
    <t>qaz131121</t>
  </si>
  <si>
    <t>袁明杰</t>
  </si>
  <si>
    <t>wbdl1007</t>
  </si>
  <si>
    <t>112.96.59.113</t>
  </si>
  <si>
    <t>m-h8v.btytg3.com</t>
  </si>
  <si>
    <t>Havanhai1988</t>
  </si>
  <si>
    <t>Ha van hai</t>
  </si>
  <si>
    <t>27.71.107.80</t>
  </si>
  <si>
    <t>越南|后江||</t>
  </si>
  <si>
    <t>Truyen1985</t>
  </si>
  <si>
    <t>Hoang Thang Truyen</t>
  </si>
  <si>
    <t>14.162.76.9</t>
  </si>
  <si>
    <t>14.191.32.195</t>
  </si>
  <si>
    <t>越南|富安||</t>
  </si>
  <si>
    <t>Hoangbach2016</t>
  </si>
  <si>
    <t>NGUYEN TIEN HONG</t>
  </si>
  <si>
    <t>59.153.225.219</t>
  </si>
  <si>
    <t>leduchieu2106008</t>
  </si>
  <si>
    <t>1.52.40.142</t>
  </si>
  <si>
    <t>1.55.211.173</t>
  </si>
  <si>
    <t>Wawabb12</t>
  </si>
  <si>
    <t>101.74.4.66</t>
  </si>
  <si>
    <t>m-khl.btytg1.com</t>
  </si>
  <si>
    <t>中国|河北|保定|博野</t>
  </si>
  <si>
    <t>ace19907556903</t>
  </si>
  <si>
    <t>223.199.35.86</t>
  </si>
  <si>
    <t>中国|海南|琼海|</t>
  </si>
  <si>
    <t>zs000000</t>
  </si>
  <si>
    <t>kh0002</t>
  </si>
  <si>
    <t>223.12.174.221</t>
  </si>
  <si>
    <t>m.bty325.com</t>
  </si>
  <si>
    <t>中国|山西|太原|万柏林</t>
  </si>
  <si>
    <t>djdh12</t>
  </si>
  <si>
    <t>121.31.246.186</t>
  </si>
  <si>
    <t>m-o3l.btytg3.com</t>
  </si>
  <si>
    <t>asshole514</t>
  </si>
  <si>
    <t>111.18.155.145</t>
  </si>
  <si>
    <t>中国|陕西|西安|未央</t>
  </si>
  <si>
    <t>abcd369369</t>
  </si>
  <si>
    <t>李志强</t>
  </si>
  <si>
    <t>gt6666</t>
  </si>
  <si>
    <t>223.97.189.40</t>
  </si>
  <si>
    <t>m.bty937.com</t>
  </si>
  <si>
    <t>中国|山东|潍坊|寿光</t>
  </si>
  <si>
    <t>khauyen45</t>
  </si>
  <si>
    <t>nguyen le kha uyen</t>
  </si>
  <si>
    <t>117.1.180.72</t>
  </si>
  <si>
    <t>越南|宣光||</t>
  </si>
  <si>
    <t>dd1490</t>
  </si>
  <si>
    <t>27.40.123.66</t>
  </si>
  <si>
    <t>m.bty537.com</t>
  </si>
  <si>
    <t>中国|广东|惠州|惠阳</t>
  </si>
  <si>
    <t>abc0912</t>
  </si>
  <si>
    <t>王圣浩</t>
  </si>
  <si>
    <t>182.204.46.41</t>
  </si>
  <si>
    <t>123.184.129.15</t>
  </si>
  <si>
    <t>中国|辽宁||</t>
  </si>
  <si>
    <t>中国|辽宁|沈阳|于洪</t>
  </si>
  <si>
    <t>lv3488796</t>
  </si>
  <si>
    <t>wbdl1350</t>
  </si>
  <si>
    <t>14.18.123.90</t>
  </si>
  <si>
    <t>3j3.btytg3.com</t>
  </si>
  <si>
    <t>Tommy2012</t>
  </si>
  <si>
    <t>49.185.82.128</t>
  </si>
  <si>
    <t>中国|维多利亚|墨尔本|</t>
  </si>
  <si>
    <t>shenfeng008</t>
  </si>
  <si>
    <t>梁琪</t>
  </si>
  <si>
    <t>223.102.28.115</t>
  </si>
  <si>
    <t>中国|辽宁|大连|甘井子区</t>
  </si>
  <si>
    <t>yuwei1258</t>
  </si>
  <si>
    <t>于国伟</t>
  </si>
  <si>
    <t>14.135.170.151</t>
  </si>
  <si>
    <t>14.135.176.198</t>
  </si>
  <si>
    <t>中国|宁夏||</t>
  </si>
  <si>
    <t>proxy_btyscnb0045</t>
  </si>
  <si>
    <t>94.227.44.240</t>
  </si>
  <si>
    <t>中国|弗拉芒||</t>
  </si>
  <si>
    <t>Ngantan207</t>
  </si>
  <si>
    <t>Pham kim tan</t>
  </si>
  <si>
    <t>125.212.158.224</t>
  </si>
  <si>
    <t>Dinhxuanhuy2008</t>
  </si>
  <si>
    <t>Dinh xuan huy</t>
  </si>
  <si>
    <t>125.212.159.121</t>
  </si>
  <si>
    <t>zrs04341249</t>
  </si>
  <si>
    <t>张荣胜</t>
  </si>
  <si>
    <t>101.90.172.157</t>
  </si>
  <si>
    <t>中国|上海||</t>
  </si>
  <si>
    <t>QQQ209283627</t>
  </si>
  <si>
    <t>183.9.193.149</t>
  </si>
  <si>
    <t>中国|广东|揭阳|</t>
  </si>
  <si>
    <t>chuyen1987</t>
  </si>
  <si>
    <t>HO QUANG CHUYEN</t>
  </si>
  <si>
    <t>42.113.153.166</t>
  </si>
  <si>
    <t>Oclm99</t>
  </si>
  <si>
    <t>171.253.143.232</t>
  </si>
  <si>
    <t>cdwyp520</t>
  </si>
  <si>
    <t>陈东</t>
  </si>
  <si>
    <t>223.73.88.61</t>
  </si>
  <si>
    <t>112.96.80.65</t>
  </si>
  <si>
    <t>中国|广东|江门|</t>
  </si>
  <si>
    <t>cldrwz55</t>
  </si>
  <si>
    <t>223.104.40.130</t>
  </si>
  <si>
    <t>m.bty1212.com</t>
  </si>
  <si>
    <t>Khai8989</t>
  </si>
  <si>
    <t>NGUYEN VAN KHAI</t>
  </si>
  <si>
    <t>171.237.4.244</t>
  </si>
  <si>
    <t>越南|谅山||</t>
  </si>
  <si>
    <t>aw135593</t>
  </si>
  <si>
    <t>36.248.128.88</t>
  </si>
  <si>
    <t>中国|福建|宁德|霞浦</t>
  </si>
  <si>
    <t>11071qwe</t>
  </si>
  <si>
    <t>120.239.145.115</t>
  </si>
  <si>
    <t>中国|广东|湛江|赤坎</t>
  </si>
  <si>
    <t>congbang1975</t>
  </si>
  <si>
    <t>TRINH CONG BANG</t>
  </si>
  <si>
    <t>171.225.250.176</t>
  </si>
  <si>
    <t>zc2020320</t>
  </si>
  <si>
    <t>gt0001</t>
  </si>
  <si>
    <t>124.160.213.115</t>
  </si>
  <si>
    <t>m-rjh.btytg3.com</t>
  </si>
  <si>
    <t>Amwang688</t>
  </si>
  <si>
    <t>103.84.217.132</t>
  </si>
  <si>
    <t>m.bty877.com</t>
  </si>
  <si>
    <t>61.242.134.170</t>
  </si>
  <si>
    <t>中国|湖北||</t>
  </si>
  <si>
    <t>23657339wing</t>
  </si>
  <si>
    <t>119.237.96.247</t>
  </si>
  <si>
    <t>syd123123</t>
  </si>
  <si>
    <t>218.201.184.254</t>
  </si>
  <si>
    <t>中国|山东|菏泽|牡丹区</t>
  </si>
  <si>
    <t>Phanlocac2</t>
  </si>
  <si>
    <t>171.237.30.231</t>
  </si>
  <si>
    <t>khai0411</t>
  </si>
  <si>
    <t>14.191.208.37</t>
  </si>
  <si>
    <t>Nhatminh2608</t>
  </si>
  <si>
    <t>171.241.81.79</t>
  </si>
  <si>
    <t>guo436920</t>
  </si>
  <si>
    <t>郭建旭</t>
  </si>
  <si>
    <t>27.199.249.253</t>
  </si>
  <si>
    <t>119.181.45.251</t>
  </si>
  <si>
    <t>Nhimcon2018</t>
  </si>
  <si>
    <t>14.177.52.104</t>
  </si>
  <si>
    <t>Ggkdj88</t>
  </si>
  <si>
    <t>42.119.191.139</t>
  </si>
  <si>
    <t>yjw1960586204</t>
  </si>
  <si>
    <t>117.136.71.226</t>
  </si>
  <si>
    <t>Soclanloc1</t>
  </si>
  <si>
    <t>Han thi thu trang</t>
  </si>
  <si>
    <t>113.23.52.176</t>
  </si>
  <si>
    <t>113.23.52.178</t>
  </si>
  <si>
    <t>tam0343176116</t>
  </si>
  <si>
    <t>le thanh trung</t>
  </si>
  <si>
    <t>AA00141</t>
  </si>
  <si>
    <t>113.176.118.150</t>
  </si>
  <si>
    <t>yul.btyyl10.com</t>
  </si>
  <si>
    <t>son16111999</t>
  </si>
  <si>
    <t>Tran Trong Son</t>
  </si>
  <si>
    <t>42.114.184.96</t>
  </si>
  <si>
    <t>117.1.172.216</t>
  </si>
  <si>
    <t>hieu1234567890</t>
  </si>
  <si>
    <t>NGUYEN VAN HIEU</t>
  </si>
  <si>
    <t>171.255.114.197</t>
  </si>
  <si>
    <t>Buimanhhung1985</t>
  </si>
  <si>
    <t>115.72.72.174</t>
  </si>
  <si>
    <t>wwrb123</t>
  </si>
  <si>
    <t>171.218.75.244</t>
  </si>
  <si>
    <t>ortwcx125</t>
  </si>
  <si>
    <t>wbdl1364</t>
  </si>
  <si>
    <t>182.40.105.49</t>
  </si>
  <si>
    <t>4xd.btytg3.com</t>
  </si>
  <si>
    <t>中国|山东|青岛|</t>
  </si>
  <si>
    <t>Fhhj777</t>
  </si>
  <si>
    <t>Mily492000</t>
  </si>
  <si>
    <t>SIU NHOL</t>
  </si>
  <si>
    <t>27.70.247.249</t>
  </si>
  <si>
    <t>27.67.74.71</t>
  </si>
  <si>
    <t>Vantoan231292</t>
  </si>
  <si>
    <t>NGO VAN TOAN</t>
  </si>
  <si>
    <t>171.226.110.111</t>
  </si>
  <si>
    <t>115.76.51.44</t>
  </si>
  <si>
    <t>54xwj110</t>
  </si>
  <si>
    <t>熊文剑</t>
  </si>
  <si>
    <t>182.108.61.92</t>
  </si>
  <si>
    <t>www.bty539.com</t>
  </si>
  <si>
    <t>中国|江西|南昌|青山湖</t>
  </si>
  <si>
    <t>Tyty1998123</t>
  </si>
  <si>
    <t>Le Thanh Hung</t>
  </si>
  <si>
    <t>171.252.154.234</t>
  </si>
  <si>
    <t>zhoueny1123</t>
  </si>
  <si>
    <t>周恩云</t>
  </si>
  <si>
    <t>39.128.237.201</t>
  </si>
  <si>
    <t>39.128.237.203</t>
  </si>
  <si>
    <t>中国|云南|丽江|宁蒗</t>
  </si>
  <si>
    <t>Baofacai1108</t>
  </si>
  <si>
    <t>包顺发</t>
  </si>
  <si>
    <t>182.84.141.220</t>
  </si>
  <si>
    <t>中国|江西|赣州|南康</t>
  </si>
  <si>
    <t>Nguyenxuantu123</t>
  </si>
  <si>
    <t>171.245.193.245</t>
  </si>
  <si>
    <t>Beckham309</t>
  </si>
  <si>
    <t>Huynh nguyen dong linh</t>
  </si>
  <si>
    <t>222.254.183.83</t>
  </si>
  <si>
    <t>多账号已处理 保留  beckham3009    8.7  出款成功后冻结</t>
  </si>
  <si>
    <t>Anhden1234</t>
  </si>
  <si>
    <t>winner275</t>
  </si>
  <si>
    <t>61.242.133.42</t>
  </si>
  <si>
    <t>m.bty1216.com</t>
  </si>
  <si>
    <t>中国|湖北|宜昌|</t>
  </si>
  <si>
    <t>Phamvanquan89</t>
  </si>
  <si>
    <t>Pham van quan</t>
  </si>
  <si>
    <t>113.182.39.178</t>
  </si>
  <si>
    <t>125.235.125.31</t>
  </si>
  <si>
    <t>mingqian0202</t>
  </si>
  <si>
    <t>183.197.57.137</t>
  </si>
  <si>
    <t>www.bty325.com</t>
  </si>
  <si>
    <t>中国|河北|沧州|泊头</t>
  </si>
  <si>
    <t>wh07588</t>
  </si>
  <si>
    <t>116.28.238.248</t>
  </si>
  <si>
    <t>中国|广东|湛江|廉江</t>
  </si>
  <si>
    <t>Sinsin113</t>
  </si>
  <si>
    <t>125.235.122.254</t>
  </si>
  <si>
    <t>niu1751312</t>
  </si>
  <si>
    <t>222.137.179.81</t>
  </si>
  <si>
    <t>中国|河南|郑州|新密</t>
  </si>
  <si>
    <t>lqho3o</t>
  </si>
  <si>
    <t>36.56.7.186</t>
  </si>
  <si>
    <t>www.bty1mq.com</t>
  </si>
  <si>
    <t>中国|安徽|六安|金安</t>
  </si>
  <si>
    <t>Huyhovan09</t>
  </si>
  <si>
    <t>116.98.96.21</t>
  </si>
  <si>
    <t>vovansach1642005</t>
  </si>
  <si>
    <t>VO VAN SACH</t>
  </si>
  <si>
    <t>116.97.176.58</t>
  </si>
  <si>
    <t>RL2003</t>
  </si>
  <si>
    <t>119.125.216.219</t>
  </si>
  <si>
    <t>中国|广东|肇庆|封开</t>
  </si>
  <si>
    <t>Lan110595</t>
  </si>
  <si>
    <t>Tran thanh nam</t>
  </si>
  <si>
    <t>171.253.134.232</t>
  </si>
  <si>
    <t>58.186.29.122</t>
  </si>
  <si>
    <t>Skywfj520</t>
  </si>
  <si>
    <t>马来西亚</t>
  </si>
  <si>
    <t>MYR</t>
  </si>
  <si>
    <t>60.49.23.208</t>
  </si>
  <si>
    <t>马来西亚|||</t>
  </si>
  <si>
    <t>Hotboy09</t>
  </si>
  <si>
    <t>jop8231</t>
  </si>
  <si>
    <t>赵榜涛</t>
  </si>
  <si>
    <t>106.119.31.42</t>
  </si>
  <si>
    <t>218.204.252.72</t>
  </si>
  <si>
    <t>中国|河北||</t>
  </si>
  <si>
    <t>tongxiao24</t>
  </si>
  <si>
    <t>Yaoqing</t>
  </si>
  <si>
    <t>36.61.73.157</t>
  </si>
  <si>
    <t>tt12368</t>
  </si>
  <si>
    <t>吴钟明</t>
  </si>
  <si>
    <t>bs9Robert3</t>
  </si>
  <si>
    <t>59.36.216.18</t>
  </si>
  <si>
    <t>m.bty833.com</t>
  </si>
  <si>
    <t>wsx22335566</t>
  </si>
  <si>
    <t>117.170.202.250</t>
  </si>
  <si>
    <t>7ai.btytg3.com</t>
  </si>
  <si>
    <t>中国|江西|新余|渝水</t>
  </si>
  <si>
    <t>Vnhp031</t>
  </si>
  <si>
    <t>PHAM VAN TUNG</t>
  </si>
  <si>
    <t>113.177.34.251</t>
  </si>
  <si>
    <t>667788ta</t>
  </si>
  <si>
    <t>Nguyen tuan anh</t>
  </si>
  <si>
    <t>1.55.210.229</t>
  </si>
  <si>
    <t>jahh589</t>
  </si>
  <si>
    <t>btydl0001</t>
  </si>
  <si>
    <t>60.180.165.169</t>
  </si>
  <si>
    <t>m.bty8008.com</t>
  </si>
  <si>
    <t>中国|浙江|温州|乐清</t>
  </si>
  <si>
    <t>nguyenduy2009</t>
  </si>
  <si>
    <t>14.191.202.189</t>
  </si>
  <si>
    <t>duc130591</t>
  </si>
  <si>
    <t>113.169.88.85</t>
  </si>
  <si>
    <t>tongxiao23</t>
  </si>
  <si>
    <t>Lienxo121</t>
  </si>
  <si>
    <t>Pham Thi Lien</t>
  </si>
  <si>
    <t>113.185.78.117</t>
  </si>
  <si>
    <t>hainan888</t>
  </si>
  <si>
    <t>黄东</t>
  </si>
  <si>
    <t>112.97.52.60</t>
  </si>
  <si>
    <t>112.97.48.60</t>
  </si>
  <si>
    <t>861464453y</t>
  </si>
  <si>
    <t>223.104.166.74</t>
  </si>
  <si>
    <t>zdf4494</t>
  </si>
  <si>
    <t>周东锋</t>
  </si>
  <si>
    <t>113.118.125.98</t>
  </si>
  <si>
    <t>中国|广东|深圳|龙岗区</t>
  </si>
  <si>
    <t>Ydm123456</t>
  </si>
  <si>
    <t>223.155.90.73</t>
  </si>
  <si>
    <t>中国|湖南|邵阳|洞口</t>
  </si>
  <si>
    <t>Antbeebo14</t>
  </si>
  <si>
    <t>118.69.6.118</t>
  </si>
  <si>
    <t>Dunglogach123</t>
  </si>
  <si>
    <t>118.131.80.253</t>
  </si>
  <si>
    <t>中国|京畿道||</t>
  </si>
  <si>
    <t>cjs3310</t>
  </si>
  <si>
    <t>117.136.83.18</t>
  </si>
  <si>
    <t>Trinhphunam1234</t>
  </si>
  <si>
    <t>TRINH PHU NAM</t>
  </si>
  <si>
    <t>14.191.167.122</t>
  </si>
  <si>
    <t>越南|平顺||</t>
  </si>
  <si>
    <t>vuichoivuive68</t>
  </si>
  <si>
    <t>Vu Minh Hung</t>
  </si>
  <si>
    <t>14.186.248.86</t>
  </si>
  <si>
    <t>www.bty6151.com</t>
  </si>
  <si>
    <t>Tuanquynhon1994</t>
  </si>
  <si>
    <t>Hoang Anh Tuan</t>
  </si>
  <si>
    <t>14.224.174.80</t>
  </si>
  <si>
    <t>Zjl102030</t>
  </si>
  <si>
    <t>张嘉璐</t>
  </si>
  <si>
    <t>171.119.205.66</t>
  </si>
  <si>
    <t>中国|山西|忻州|繁峙</t>
  </si>
  <si>
    <t>Manh112</t>
  </si>
  <si>
    <t>Pham duy manh</t>
  </si>
  <si>
    <t>42.117.206.93</t>
  </si>
  <si>
    <t>wmn178</t>
  </si>
  <si>
    <t>111.29.99.91</t>
  </si>
  <si>
    <t>中国|海南|文昌|</t>
  </si>
  <si>
    <t>abcdefj1212</t>
  </si>
  <si>
    <t>116.178.224.27</t>
  </si>
  <si>
    <t>中国|新疆|乌鲁木齐|</t>
  </si>
  <si>
    <t>15929317279Aa</t>
  </si>
  <si>
    <t>39.144.179.98</t>
  </si>
  <si>
    <t>中国|河南||</t>
  </si>
  <si>
    <t>minhtuanqn92</t>
  </si>
  <si>
    <t>HOANG MINH TUAN</t>
  </si>
  <si>
    <t>14.178.29.13</t>
  </si>
  <si>
    <t>www.bty6139.com</t>
  </si>
  <si>
    <t>mq526139437</t>
  </si>
  <si>
    <t>刘德昌</t>
  </si>
  <si>
    <t>btyscnb0035</t>
  </si>
  <si>
    <t>39.144.69.158</t>
  </si>
  <si>
    <t>m.bty1073.com</t>
  </si>
  <si>
    <t>111.29.140.114</t>
  </si>
  <si>
    <t>中国|海南||</t>
  </si>
  <si>
    <t>中国|海南|海口|秀英</t>
  </si>
  <si>
    <t>Luuphi828282</t>
  </si>
  <si>
    <t>Lau chac phi</t>
  </si>
  <si>
    <t>115.76.50.148</t>
  </si>
  <si>
    <t>115.76.50.140</t>
  </si>
  <si>
    <t>trandaiphat123</t>
  </si>
  <si>
    <t>TRAN CONG TA</t>
  </si>
  <si>
    <t>1.52.41.224</t>
  </si>
  <si>
    <t>waz12345</t>
  </si>
  <si>
    <t>218.58.254.66</t>
  </si>
  <si>
    <t>中国|山东|济南|莱芜</t>
  </si>
  <si>
    <t>proxy_btyscnb001941</t>
  </si>
  <si>
    <t>113.191.216.69</t>
  </si>
  <si>
    <t>mf.bsports1.com</t>
  </si>
  <si>
    <t>Bsporthp6666</t>
  </si>
  <si>
    <t>PHAM VAN THUONG</t>
  </si>
  <si>
    <t>14.182.189.212</t>
  </si>
  <si>
    <t>chautam92</t>
  </si>
  <si>
    <t>CHAU THI TAM</t>
  </si>
  <si>
    <t>103.74.106.190</t>
  </si>
  <si>
    <t>toanminh2002</t>
  </si>
  <si>
    <t>LE THI HONG MAI</t>
  </si>
  <si>
    <t>btyscnb003008</t>
  </si>
  <si>
    <t>171.227.90.247</t>
  </si>
  <si>
    <t>m-qxf.btytg3.com</t>
  </si>
  <si>
    <t>HDVD1993</t>
  </si>
  <si>
    <t>118.68.203.216</t>
  </si>
  <si>
    <t>qaz22335566</t>
  </si>
  <si>
    <t>www.bty1231.com</t>
  </si>
  <si>
    <t>gjj3310</t>
  </si>
  <si>
    <t>郭晶晶</t>
  </si>
  <si>
    <t>zsdl2001</t>
  </si>
  <si>
    <t>42.102.141.212</t>
  </si>
  <si>
    <t>m-my2.btytg3.com</t>
  </si>
  <si>
    <t>42.100.128.163</t>
  </si>
  <si>
    <t>中国|黑龙江||</t>
  </si>
  <si>
    <t>Hung5656</t>
  </si>
  <si>
    <t>118.71.192.136</t>
  </si>
  <si>
    <t>tr777666</t>
  </si>
  <si>
    <t>陶霄</t>
  </si>
  <si>
    <t>39.144.145.62</t>
  </si>
  <si>
    <t>39.144.145.19</t>
  </si>
  <si>
    <t>peauntyu00</t>
  </si>
  <si>
    <t>113.135.246.10</t>
  </si>
  <si>
    <t>grd520</t>
  </si>
  <si>
    <t>124.160.215.223</t>
  </si>
  <si>
    <t>Ff2000212</t>
  </si>
  <si>
    <t>27.128.141.214</t>
  </si>
  <si>
    <t>liwenqi1234</t>
  </si>
  <si>
    <t>123.181.48.139</t>
  </si>
  <si>
    <t>中国|河北|邯郸|武安</t>
  </si>
  <si>
    <t>qscvjj187</t>
  </si>
  <si>
    <t>54.65.98.135</t>
  </si>
  <si>
    <t>m-029.btytg3.com</t>
  </si>
  <si>
    <t>111.29.133.158</t>
  </si>
  <si>
    <t>日本|东京||</t>
  </si>
  <si>
    <t>中国|海南|海口|</t>
  </si>
  <si>
    <t>zmq130</t>
  </si>
  <si>
    <t>123.233.165.76</t>
  </si>
  <si>
    <t>中国|山东|济南|章丘</t>
  </si>
  <si>
    <t>zz4713986</t>
  </si>
  <si>
    <t>张智</t>
  </si>
  <si>
    <t>btydl00991</t>
  </si>
  <si>
    <t>223.104.196.14</t>
  </si>
  <si>
    <t>m.bty860.com</t>
  </si>
  <si>
    <t>120.225.180.16</t>
  </si>
  <si>
    <t>中国|山东|济宁|</t>
  </si>
  <si>
    <t>中国|山东|济宁|曲阜</t>
  </si>
  <si>
    <t>Tlesep17</t>
  </si>
  <si>
    <t>btydl0057</t>
  </si>
  <si>
    <t>泰国</t>
  </si>
  <si>
    <t>THB</t>
  </si>
  <si>
    <t>1.47.212.18</t>
  </si>
  <si>
    <t>m.bty372.com</t>
  </si>
  <si>
    <t>泰国|||</t>
  </si>
  <si>
    <t>xuanlinh1993fc</t>
  </si>
  <si>
    <t>116.98.3.15</t>
  </si>
  <si>
    <t>qibei888</t>
  </si>
  <si>
    <t>wbdl1324</t>
  </si>
  <si>
    <t>112.20.52.188</t>
  </si>
  <si>
    <t>fnn.btytg3.com</t>
  </si>
  <si>
    <t>中国|江苏|扬州|邗江</t>
  </si>
  <si>
    <t>fwx584520</t>
  </si>
  <si>
    <t>付文新</t>
  </si>
  <si>
    <t>Muop1987</t>
  </si>
  <si>
    <t>Cuong798</t>
  </si>
  <si>
    <t>115.76.48.210</t>
  </si>
  <si>
    <t>w15290009001</t>
  </si>
  <si>
    <t>王淼</t>
  </si>
  <si>
    <t>61.163.127.147</t>
  </si>
  <si>
    <t>182.120.189.93</t>
  </si>
  <si>
    <t>中国|河南|周口|川汇</t>
  </si>
  <si>
    <t>中国|河南|周口|太康</t>
  </si>
  <si>
    <t>lxj168971</t>
  </si>
  <si>
    <t>李小静</t>
  </si>
  <si>
    <t>充U提U层级</t>
  </si>
  <si>
    <t>36.103.214.182</t>
  </si>
  <si>
    <t>w9.btyyl12.com</t>
  </si>
  <si>
    <t>中国|宁夏|中卫|</t>
  </si>
  <si>
    <t>Gio7979</t>
  </si>
  <si>
    <t>Nguyen Tran Bao To</t>
  </si>
  <si>
    <t>59.153.246.161</t>
  </si>
  <si>
    <t>lijunze197931</t>
  </si>
  <si>
    <t>223.147.202.134</t>
  </si>
  <si>
    <t>liwenqi123</t>
  </si>
  <si>
    <t>谭未孝</t>
  </si>
  <si>
    <t>39.144.84.146</t>
  </si>
  <si>
    <t>中国|河北|邢台|</t>
  </si>
  <si>
    <t>thankeo237</t>
  </si>
  <si>
    <t>42.114.124.122</t>
  </si>
  <si>
    <t>Ductuan74</t>
  </si>
  <si>
    <t>Do Duc Tuan</t>
  </si>
  <si>
    <t>103.199.70.103</t>
  </si>
  <si>
    <t>a15290009001</t>
  </si>
  <si>
    <t>cb830205</t>
  </si>
  <si>
    <t>陈斌</t>
  </si>
  <si>
    <t>117.136.0.71</t>
  </si>
  <si>
    <t>m.bty027.com</t>
  </si>
  <si>
    <t>61.50.190.171</t>
  </si>
  <si>
    <t>Baoden234</t>
  </si>
  <si>
    <t>123.18.243.68</t>
  </si>
  <si>
    <t>Anhket93</t>
  </si>
  <si>
    <t>LY CHIN KET</t>
  </si>
  <si>
    <t>113.185.43.200</t>
  </si>
  <si>
    <t>wr731399</t>
  </si>
  <si>
    <t>125.107.191.121</t>
  </si>
  <si>
    <t>m.btycuq.com</t>
  </si>
  <si>
    <t>中国|浙江|绍兴|柯桥</t>
  </si>
  <si>
    <t>zj589831</t>
  </si>
  <si>
    <t>张健</t>
  </si>
  <si>
    <t>223.104.123.12</t>
  </si>
  <si>
    <t>223.104.123.15</t>
  </si>
  <si>
    <t>hoangtiendat9911</t>
  </si>
  <si>
    <t>HOANG CHI THUAN</t>
  </si>
  <si>
    <t>116.96.46.222</t>
  </si>
  <si>
    <t>117.6.55.185</t>
  </si>
  <si>
    <t>liaomeixi828</t>
  </si>
  <si>
    <t>恽庭贵</t>
  </si>
  <si>
    <t>gt2222</t>
  </si>
  <si>
    <t>223.114.28.26</t>
  </si>
  <si>
    <t>m.bty1287.com</t>
  </si>
  <si>
    <t>117.136.26.186</t>
  </si>
  <si>
    <t>中国|新疆|哈密|伊吾</t>
  </si>
  <si>
    <t>中国|新疆||</t>
  </si>
  <si>
    <t>zlyzly888888</t>
  </si>
  <si>
    <t>139.209.37.74</t>
  </si>
  <si>
    <t>中国|吉林|松原|长岭</t>
  </si>
  <si>
    <t>Tetvt999</t>
  </si>
  <si>
    <t>113.174.81.76</t>
  </si>
  <si>
    <t>proxy_wbdl1370</t>
  </si>
  <si>
    <t>223.147.16.217</t>
  </si>
  <si>
    <t>Longthanh2023</t>
  </si>
  <si>
    <t>Phung trung kien</t>
  </si>
  <si>
    <t>115.76.50.107</t>
  </si>
  <si>
    <t>wirurhd83</t>
  </si>
  <si>
    <t>223.104.68.180</t>
  </si>
  <si>
    <t>m-34r.btytg3.com</t>
  </si>
  <si>
    <t>quyen1986</t>
  </si>
  <si>
    <t>TRINH QUYEN</t>
  </si>
  <si>
    <t>14.166.230.21</t>
  </si>
  <si>
    <t>www.bty338.com</t>
  </si>
  <si>
    <t>Tnam1991</t>
  </si>
  <si>
    <t>Nguyen trong nam</t>
  </si>
  <si>
    <t>42.115.248.75</t>
  </si>
  <si>
    <t>dxf2464</t>
  </si>
  <si>
    <t>窦先锋</t>
  </si>
  <si>
    <t>111.9.6.186</t>
  </si>
  <si>
    <t>phamphat90</t>
  </si>
  <si>
    <t>116.111.151.193</t>
  </si>
  <si>
    <t>116.97.52.120</t>
  </si>
  <si>
    <t>越南|得乐||</t>
  </si>
  <si>
    <t>a5438840</t>
  </si>
  <si>
    <t>116.253.237.235</t>
  </si>
  <si>
    <t>中国|广西|来宾|武宣</t>
  </si>
  <si>
    <t>Hippo7979</t>
  </si>
  <si>
    <t>vntf02</t>
  </si>
  <si>
    <t>42.112.224.125</t>
  </si>
  <si>
    <t>m.bty0512.com</t>
  </si>
  <si>
    <t>Nktt2008</t>
  </si>
  <si>
    <t>125.235.229.94</t>
  </si>
  <si>
    <t>cwly0515</t>
  </si>
  <si>
    <t>万玉鑫</t>
  </si>
  <si>
    <t>180.126.43.102</t>
  </si>
  <si>
    <t>m.bty8050.com</t>
  </si>
  <si>
    <t>106.110.51.195</t>
  </si>
  <si>
    <t>中国|江苏|盐城|盐都</t>
  </si>
  <si>
    <t>Bun9999</t>
  </si>
  <si>
    <t>171.253.178.186</t>
  </si>
  <si>
    <t>hupgoc03121997</t>
  </si>
  <si>
    <t>vo thi thuy tien</t>
  </si>
  <si>
    <t>btydl0058</t>
  </si>
  <si>
    <t>222.254.159.60</t>
  </si>
  <si>
    <t>m.bty6135.com</t>
  </si>
  <si>
    <t>chomchomvp69</t>
  </si>
  <si>
    <t>LE THI TRUC PHUONG</t>
  </si>
  <si>
    <t>russ33302</t>
  </si>
  <si>
    <t>115.72.120.60</t>
  </si>
  <si>
    <t>m-k3f.btytg2.com</t>
  </si>
  <si>
    <t>tyzz60</t>
  </si>
  <si>
    <t>vntf09</t>
  </si>
  <si>
    <t>180.232.72.67</t>
  </si>
  <si>
    <t>www.bty0519.com</t>
  </si>
  <si>
    <t>菲律宾|马尼拉||</t>
  </si>
  <si>
    <t>GOLD779</t>
  </si>
  <si>
    <t>NGUYEN TRAN THOI</t>
  </si>
  <si>
    <t>115.73.41.3</t>
  </si>
  <si>
    <t>越南|坚江||</t>
  </si>
  <si>
    <t>Trannguyen2019</t>
  </si>
  <si>
    <t>58.187.55.148</t>
  </si>
  <si>
    <t>Thuan2004123</t>
  </si>
  <si>
    <t>171.255.117.186</t>
  </si>
  <si>
    <t>jhf20475</t>
  </si>
  <si>
    <t>39.144.218.204</t>
  </si>
  <si>
    <t>Conhbich1234</t>
  </si>
  <si>
    <t>LUONG CHI CONG</t>
  </si>
  <si>
    <t>171.255.76.22</t>
  </si>
  <si>
    <t>27.67.140.236</t>
  </si>
  <si>
    <t>tuandaica77</t>
  </si>
  <si>
    <t>lucvananh5555</t>
  </si>
  <si>
    <t>LUC VAN ANH</t>
  </si>
  <si>
    <t>116.97.108.141</t>
  </si>
  <si>
    <t>Qazplm134679</t>
  </si>
  <si>
    <t>113.220.17.204</t>
  </si>
  <si>
    <t>中国|湖南|邵阳|邵东</t>
  </si>
  <si>
    <t>chuyenhoang99</t>
  </si>
  <si>
    <t>Hoang Van Chuyen</t>
  </si>
  <si>
    <t>59.153.249.65</t>
  </si>
  <si>
    <t>asd184348</t>
  </si>
  <si>
    <t>王德宇</t>
  </si>
  <si>
    <t>218.69.189.30</t>
  </si>
  <si>
    <t>m-ccu1o.bm1mezur8.com</t>
  </si>
  <si>
    <t>中国|天津||滨海</t>
  </si>
  <si>
    <t>多账号 保留一个账号 fk-helen 8/8</t>
  </si>
  <si>
    <t>BossQ9x</t>
  </si>
  <si>
    <t>42.114.39.222</t>
  </si>
  <si>
    <t>nhin1992</t>
  </si>
  <si>
    <t>116.102.26.32</t>
  </si>
  <si>
    <t>m-mek.btyyl10.com</t>
  </si>
  <si>
    <t>doremon90</t>
  </si>
  <si>
    <t>NGUYEN THI TRANG</t>
  </si>
  <si>
    <t>BB00124</t>
  </si>
  <si>
    <t>113.185.73.111</t>
  </si>
  <si>
    <t>m-5fs.btytg2.com</t>
  </si>
  <si>
    <t>duylnk36</t>
  </si>
  <si>
    <t>LE NGUYEN HUU THANG</t>
  </si>
  <si>
    <t>103.180.151.85</t>
  </si>
  <si>
    <t>Jimmykhoa181215</t>
  </si>
  <si>
    <t>103.199.56.85</t>
  </si>
  <si>
    <t>103.199.32.93</t>
  </si>
  <si>
    <t>Nguyenquan010593</t>
  </si>
  <si>
    <t>NGUYEN VAN QUAN</t>
  </si>
  <si>
    <t>59.153.249.158</t>
  </si>
  <si>
    <t>Tuanw123</t>
  </si>
  <si>
    <t>203.162.108.216</t>
  </si>
  <si>
    <t>chibao0389202484</t>
  </si>
  <si>
    <t>VO CHI THUAN</t>
  </si>
  <si>
    <t>115.79.66.153</t>
  </si>
  <si>
    <t>171.249.66.250</t>
  </si>
  <si>
    <t>Hader000</t>
  </si>
  <si>
    <t>36.183.5.119</t>
  </si>
  <si>
    <t>m-leb.btytg3.com</t>
  </si>
  <si>
    <t>中国|新疆|阿勒泰|富蕴</t>
  </si>
  <si>
    <t>NghiaBbc2013</t>
  </si>
  <si>
    <t>171.243.6.19</t>
  </si>
  <si>
    <t>louliu428</t>
  </si>
  <si>
    <t>190.143.242.71</t>
  </si>
  <si>
    <t>Adidaphat86</t>
  </si>
  <si>
    <t>VU MANH QUYEN</t>
  </si>
  <si>
    <t>223.27.109.34</t>
  </si>
  <si>
    <t>Nguyentamchanh89</t>
  </si>
  <si>
    <t>14.161.119.230</t>
  </si>
  <si>
    <t>123.22.65.237</t>
  </si>
  <si>
    <t>hello1214</t>
  </si>
  <si>
    <t>王斌</t>
  </si>
  <si>
    <t>125.73.172.224</t>
  </si>
  <si>
    <t>中国|广西|钦州|钦北</t>
  </si>
  <si>
    <t>Baxuanchien1984</t>
  </si>
  <si>
    <t>125.212.157.18</t>
  </si>
  <si>
    <t>q1193084168</t>
  </si>
  <si>
    <t>39.130.120.92</t>
  </si>
  <si>
    <t>www.bty597.com</t>
  </si>
  <si>
    <t>中国|云南|昆明|东川</t>
  </si>
  <si>
    <t>yaoyao219</t>
  </si>
  <si>
    <t>zzzb06</t>
  </si>
  <si>
    <t>117.136.52.134</t>
  </si>
  <si>
    <t>m-x0n.btytg3.com</t>
  </si>
  <si>
    <t>117.151.110.249</t>
  </si>
  <si>
    <t>中国|湖北|武汉|汉阳</t>
  </si>
  <si>
    <t>gainganh12</t>
  </si>
  <si>
    <t>nguyen thi san</t>
  </si>
  <si>
    <t>123.27.164.153</t>
  </si>
  <si>
    <t>www.bty0518.com</t>
  </si>
  <si>
    <t>PPPP1978</t>
  </si>
  <si>
    <t>171.239.59.36</t>
  </si>
  <si>
    <t>qrh121314</t>
  </si>
  <si>
    <t>全人和</t>
  </si>
  <si>
    <t>bs9Ajie1</t>
  </si>
  <si>
    <t>171.82.132.156</t>
  </si>
  <si>
    <t>m.bty873.com</t>
  </si>
  <si>
    <t>171.82.114.221</t>
  </si>
  <si>
    <t>Aa2222222</t>
  </si>
  <si>
    <t>42.118.113.38</t>
  </si>
  <si>
    <t>越南|北江||</t>
  </si>
  <si>
    <t>Thai290569</t>
  </si>
  <si>
    <t>Vuong minh thai</t>
  </si>
  <si>
    <t>104.28.237.70</t>
  </si>
  <si>
    <t>zhouyang11</t>
  </si>
  <si>
    <t>周洋</t>
  </si>
  <si>
    <t>223.246.5.77</t>
  </si>
  <si>
    <t>proxy_wbdl1368</t>
  </si>
  <si>
    <t>221.192.126.8</t>
  </si>
  <si>
    <t>zxcvbnm123520</t>
  </si>
  <si>
    <t>117.136.89.121</t>
  </si>
  <si>
    <t>m.bty550.com</t>
  </si>
  <si>
    <t>Win9394</t>
  </si>
  <si>
    <t>183.9.228.106</t>
  </si>
  <si>
    <t>Chan69953620</t>
  </si>
  <si>
    <t>124.217.188.11</t>
  </si>
  <si>
    <t>m.bty837.com</t>
  </si>
  <si>
    <t>223.122.98.161</t>
  </si>
  <si>
    <t>cuongtrang9528</t>
  </si>
  <si>
    <t>27.67.139.144</t>
  </si>
  <si>
    <t>Yepan1986</t>
  </si>
  <si>
    <t>171.42.234.89</t>
  </si>
  <si>
    <t>中国|湖北|鄂州|鄂城</t>
  </si>
  <si>
    <t>Hoangkhang1234</t>
  </si>
  <si>
    <t>LE TAN LOI</t>
  </si>
  <si>
    <t>14.191.191.137</t>
  </si>
  <si>
    <t>chonoi123</t>
  </si>
  <si>
    <t>tran ngoc quan</t>
  </si>
  <si>
    <t>171.236.192.47</t>
  </si>
  <si>
    <t>jds885010958</t>
  </si>
  <si>
    <t>姜东昇</t>
  </si>
  <si>
    <t>49.94.19.102</t>
  </si>
  <si>
    <t>wsa886700</t>
  </si>
  <si>
    <t>116.176.31.46</t>
  </si>
  <si>
    <t>m.mzn34p.com</t>
  </si>
  <si>
    <t>nana8899</t>
  </si>
  <si>
    <t>222.127.108.165</t>
  </si>
  <si>
    <t>lxm18587063563</t>
  </si>
  <si>
    <t>李星明</t>
  </si>
  <si>
    <t>220.197.231.169</t>
  </si>
  <si>
    <t>220.197.231.190</t>
  </si>
  <si>
    <t>abcd9791</t>
  </si>
  <si>
    <t>DANG TIEN PHONG</t>
  </si>
  <si>
    <t>171.226.162.217</t>
  </si>
  <si>
    <t>Awangqi001</t>
  </si>
  <si>
    <t>龙乐琪</t>
  </si>
  <si>
    <t>116.162.1.107</t>
  </si>
  <si>
    <t>m.bty933.com</t>
  </si>
  <si>
    <t>120.228.79.73</t>
  </si>
  <si>
    <t>中国|湖南|长沙|望城</t>
  </si>
  <si>
    <t>LJF19855318118</t>
  </si>
  <si>
    <t>120.242.104.3</t>
  </si>
  <si>
    <t>中国|安徽|芜湖|南陵</t>
  </si>
  <si>
    <t>vipgegle666</t>
  </si>
  <si>
    <t>113.87.253.30</t>
  </si>
  <si>
    <t>LenThuyen1985</t>
  </si>
  <si>
    <t>118.69.3.64</t>
  </si>
  <si>
    <t>171.224.95.32</t>
  </si>
  <si>
    <t>越南|芹苴||</t>
  </si>
  <si>
    <t>Bongdaso20232023</t>
  </si>
  <si>
    <t>BUI VAN CHUONG</t>
  </si>
  <si>
    <t>14.188.250.125</t>
  </si>
  <si>
    <t>Lamduong280333</t>
  </si>
  <si>
    <t>118.68.85.120</t>
  </si>
  <si>
    <t>ttf16888</t>
  </si>
  <si>
    <t>seo666</t>
  </si>
  <si>
    <t>1.49.230.78</t>
  </si>
  <si>
    <t>www.bty6212.com</t>
  </si>
  <si>
    <t>中国|贵州|六盘水|</t>
  </si>
  <si>
    <t>hucanglongsc2006</t>
  </si>
  <si>
    <t>胡沧荣</t>
  </si>
  <si>
    <t>39.64.123.25</t>
  </si>
  <si>
    <t>m.bty0363.com</t>
  </si>
  <si>
    <t>中国|山东|济南|槐荫</t>
  </si>
  <si>
    <t>Giap2014</t>
  </si>
  <si>
    <t>171.234.217.17</t>
  </si>
  <si>
    <t>Ocban90</t>
  </si>
  <si>
    <t>LE TRUONG GIANG</t>
  </si>
  <si>
    <t>1.55.69.67</t>
  </si>
  <si>
    <t>m-7yr.btytg3.com</t>
  </si>
  <si>
    <t>ljh202388</t>
  </si>
  <si>
    <t>bs9Robert1</t>
  </si>
  <si>
    <t>183.9.207.109</t>
  </si>
  <si>
    <t>m.bty800.com</t>
  </si>
  <si>
    <t>183.46.94.161</t>
  </si>
  <si>
    <t>txy20050410</t>
  </si>
  <si>
    <t>185.36.194.34</t>
  </si>
  <si>
    <t>Z19980</t>
  </si>
  <si>
    <t>程传威</t>
  </si>
  <si>
    <t>163.177.146.116</t>
  </si>
  <si>
    <t>117.136.60.5</t>
  </si>
  <si>
    <t>中国|江西|上饶|</t>
  </si>
  <si>
    <t>cui12345666</t>
  </si>
  <si>
    <t>60.221.115.96</t>
  </si>
  <si>
    <t>中国|山西|临汾|曲沃</t>
  </si>
  <si>
    <t>bsy520zr</t>
  </si>
  <si>
    <t>白晟宇</t>
  </si>
  <si>
    <t>223.104.15.108</t>
  </si>
  <si>
    <t>中国|内蒙古|乌兰察布|</t>
  </si>
  <si>
    <t>Bai19990506</t>
  </si>
  <si>
    <t>222.211.232.12</t>
  </si>
  <si>
    <t>中国|四川|成都|武侯</t>
  </si>
  <si>
    <t>lephi10031997</t>
  </si>
  <si>
    <t>le phi</t>
  </si>
  <si>
    <t>1.52.83.202</t>
  </si>
  <si>
    <t>17754586549lf</t>
  </si>
  <si>
    <t>卢锋</t>
  </si>
  <si>
    <t>39.144.133.34</t>
  </si>
  <si>
    <t>171.111.81.86</t>
  </si>
  <si>
    <t>中国|广西|河池|</t>
  </si>
  <si>
    <t>TinhAnh6789</t>
  </si>
  <si>
    <t>1.53.48.147</t>
  </si>
  <si>
    <t>Ltn9999</t>
  </si>
  <si>
    <t>Le Phan Trong Nghiem</t>
  </si>
  <si>
    <t>115.72.186.139</t>
  </si>
  <si>
    <t>valeri1010</t>
  </si>
  <si>
    <t>HOANG MANH LOC</t>
  </si>
  <si>
    <t>103.199.56.155</t>
  </si>
  <si>
    <t>171.252.154.11</t>
  </si>
  <si>
    <t>xuancuong80</t>
  </si>
  <si>
    <t>NGUYEN XUAN CUONG</t>
  </si>
  <si>
    <t>171.240.47.15</t>
  </si>
  <si>
    <t>越南|北宁||</t>
  </si>
  <si>
    <t>letuannam16</t>
  </si>
  <si>
    <t>171.251.238.101</t>
  </si>
  <si>
    <t>Xitrum2023</t>
  </si>
  <si>
    <t>171.252.153.40</t>
  </si>
  <si>
    <t>Vokhuyet01</t>
  </si>
  <si>
    <t>171.239.182.220</t>
  </si>
  <si>
    <t>Tracbatpham9999</t>
  </si>
  <si>
    <t>NGUYEN VUONG CHAN</t>
  </si>
  <si>
    <t>1.55.38.243</t>
  </si>
  <si>
    <t>116.110.29.3</t>
  </si>
  <si>
    <t>Kenzenda1509</t>
  </si>
  <si>
    <t>Vu Quoc Hung</t>
  </si>
  <si>
    <t>113.185.42.125</t>
  </si>
  <si>
    <t>171.241.37.72</t>
  </si>
  <si>
    <t>Boniumin1997</t>
  </si>
  <si>
    <t>DOAN MANH DUNG</t>
  </si>
  <si>
    <t>14.191.22.146</t>
  </si>
  <si>
    <t>171.255.71.61</t>
  </si>
  <si>
    <t>acnoon11</t>
  </si>
  <si>
    <t>DANG NHU Y</t>
  </si>
  <si>
    <t>116.96.78.55</t>
  </si>
  <si>
    <t>qa5.btytg3.com</t>
  </si>
  <si>
    <t>sjw0320</t>
  </si>
  <si>
    <t>221.219.98.132</t>
  </si>
  <si>
    <t>中国|北京||昌平</t>
  </si>
  <si>
    <t>Khat30</t>
  </si>
  <si>
    <t>TRAN BINH KHAI</t>
  </si>
  <si>
    <t>42.112.78.44</t>
  </si>
  <si>
    <t>x13756589158</t>
  </si>
  <si>
    <t>相征</t>
  </si>
  <si>
    <t>106.41.233.77</t>
  </si>
  <si>
    <t>中国|吉林|长春|</t>
  </si>
  <si>
    <t>hai858919</t>
  </si>
  <si>
    <t>刘海云</t>
  </si>
  <si>
    <t>175.5.217.3</t>
  </si>
  <si>
    <t>www.bty355.com</t>
  </si>
  <si>
    <t>中国|湖南|永州|冷水滩</t>
  </si>
  <si>
    <t>V366009</t>
  </si>
  <si>
    <t>Khuu ut vang</t>
  </si>
  <si>
    <t>14.191.84.145</t>
  </si>
  <si>
    <t>anhtuanne123</t>
  </si>
  <si>
    <t>QUAN ANH TUAN</t>
  </si>
  <si>
    <t>113.185.46.151</t>
  </si>
  <si>
    <t>Mrben125</t>
  </si>
  <si>
    <t>Dang Minh Ben</t>
  </si>
  <si>
    <t>104.28.217.53</t>
  </si>
  <si>
    <t>171.235.113.49</t>
  </si>
  <si>
    <t>越南|金瓯||</t>
  </si>
  <si>
    <t>anhkhoan23</t>
  </si>
  <si>
    <t>NGUYEN ANH KHOA</t>
  </si>
  <si>
    <t>137.59.118.42</t>
  </si>
  <si>
    <t>m-wk7.btytg3.com</t>
  </si>
  <si>
    <t>103.199.33.147</t>
  </si>
  <si>
    <t>99999jj</t>
  </si>
  <si>
    <t>183.152.214.25</t>
  </si>
  <si>
    <t>www.bty1223.com</t>
  </si>
  <si>
    <t>中国|浙江|舟山|普陀</t>
  </si>
  <si>
    <t>Gaocana8817</t>
  </si>
  <si>
    <t>VU NGOC LAM</t>
  </si>
  <si>
    <t>113.185.77.222</t>
  </si>
  <si>
    <t>113.185.77.221</t>
  </si>
  <si>
    <t>blue94</t>
  </si>
  <si>
    <t>NGUYEN VIET NGAN</t>
  </si>
  <si>
    <t>183.80.235.84</t>
  </si>
  <si>
    <t>116.96.46.242</t>
  </si>
  <si>
    <t>abc3560</t>
  </si>
  <si>
    <t>林俊</t>
  </si>
  <si>
    <t>112.97.87.160</t>
  </si>
  <si>
    <t>worry85</t>
  </si>
  <si>
    <t>zhang1004845592</t>
  </si>
  <si>
    <t>120.244.61.23</t>
  </si>
  <si>
    <t>Ubin7997</t>
  </si>
  <si>
    <t>27.3.66.130</t>
  </si>
  <si>
    <t>bao199611</t>
  </si>
  <si>
    <t>王加宝</t>
  </si>
  <si>
    <t>113.242.236.114</t>
  </si>
  <si>
    <t>113.242.239.157</t>
  </si>
  <si>
    <t>中国|湖南|益阳|</t>
  </si>
  <si>
    <t>Minhtu1994</t>
  </si>
  <si>
    <t>123.26.133.144</t>
  </si>
  <si>
    <t>q574754651</t>
  </si>
  <si>
    <t>113.81.189.176</t>
  </si>
  <si>
    <t>中国|广东|惠州|博罗</t>
  </si>
  <si>
    <t>Nhonguyen85</t>
  </si>
  <si>
    <t>NGUYEN NHO</t>
  </si>
  <si>
    <t>59.153.246.65</t>
  </si>
  <si>
    <t>42.119.101.235</t>
  </si>
  <si>
    <t>condoicaidoi2</t>
  </si>
  <si>
    <t>vu hai yen</t>
  </si>
  <si>
    <t>russ33304</t>
  </si>
  <si>
    <t>27.65.131.20</t>
  </si>
  <si>
    <t>m-6yn.btytg3.com</t>
  </si>
  <si>
    <t>彩金套利嫌疑，需实名验证后处理 8/7 FK-snrh</t>
  </si>
  <si>
    <t>Dchvct306</t>
  </si>
  <si>
    <t>103.199.41.223</t>
  </si>
  <si>
    <t>Hanhlang123</t>
  </si>
  <si>
    <t>DAM DUC TINH</t>
  </si>
  <si>
    <t>59.153.229.98</t>
  </si>
  <si>
    <t>113.171.180.55</t>
  </si>
  <si>
    <t>luongmam17</t>
  </si>
  <si>
    <t>DUONG TU MY</t>
  </si>
  <si>
    <t>116.97.52.139</t>
  </si>
  <si>
    <t>13672952854B</t>
  </si>
  <si>
    <t>113.93.3.68</t>
  </si>
  <si>
    <t>m-lgz.btyyl10.com</t>
  </si>
  <si>
    <t>223.104.72.97</t>
  </si>
  <si>
    <t>hvipp888</t>
  </si>
  <si>
    <t>117.6.169.186</t>
  </si>
  <si>
    <t>Kenads123</t>
  </si>
  <si>
    <t>LE DINH HIEU</t>
  </si>
  <si>
    <t>171.224.178.204</t>
  </si>
  <si>
    <t>171.255.75.90</t>
  </si>
  <si>
    <t>KumBon123</t>
  </si>
  <si>
    <t>171.225.251.82</t>
  </si>
  <si>
    <t>phuongyen8m</t>
  </si>
  <si>
    <t>NGUYEN THI PHUONG YEN</t>
  </si>
  <si>
    <t>vnwbdl11</t>
  </si>
  <si>
    <t>116.108.93.251</t>
  </si>
  <si>
    <t>m-dk7.btytg3.com</t>
  </si>
  <si>
    <t>ysj338697</t>
  </si>
  <si>
    <t>125.92.126.205</t>
  </si>
  <si>
    <t>www.bty837.com</t>
  </si>
  <si>
    <t>中国|广东|江门|鹤山</t>
  </si>
  <si>
    <t>aa31324508</t>
  </si>
  <si>
    <t>王飞达</t>
  </si>
  <si>
    <t>120.239.64.35</t>
  </si>
  <si>
    <t>103.188.234.232</t>
  </si>
  <si>
    <t>中国|广东|广州|海珠区</t>
  </si>
  <si>
    <t>qj123321</t>
  </si>
  <si>
    <t>180.101.81.150</t>
  </si>
  <si>
    <t>183.230.38.173</t>
  </si>
  <si>
    <t>中国|重庆|重庆|九龙坡</t>
  </si>
  <si>
    <t>ymhd18883244576</t>
  </si>
  <si>
    <t>徐禹威</t>
  </si>
  <si>
    <t>183.229.152.78</t>
  </si>
  <si>
    <t>m.bty961.com</t>
  </si>
  <si>
    <t>中国|重庆||璧山</t>
  </si>
  <si>
    <t>Huansenko39</t>
  </si>
  <si>
    <t>42.116.117.224</t>
  </si>
  <si>
    <t>103.199.71.154</t>
  </si>
  <si>
    <t>taytayluon22</t>
  </si>
  <si>
    <t>HUYNH THI NHU Y</t>
  </si>
  <si>
    <t>113.22.6.126</t>
  </si>
  <si>
    <t>Cavecb93</t>
  </si>
  <si>
    <t>116.97.115.68</t>
  </si>
  <si>
    <t>asd12313</t>
  </si>
  <si>
    <t>115.42.63.204</t>
  </si>
  <si>
    <t>chacha8888</t>
  </si>
  <si>
    <t>PHAM HUY HOANG</t>
  </si>
  <si>
    <t>113.160.248.126</t>
  </si>
  <si>
    <t>bbb37547</t>
  </si>
  <si>
    <t>115.42.63.37</t>
  </si>
  <si>
    <t>zdy1994920</t>
  </si>
  <si>
    <t>张东阳</t>
  </si>
  <si>
    <t>111.183.29.146</t>
  </si>
  <si>
    <t>ygvbhuiop12</t>
  </si>
  <si>
    <t>朱秀高</t>
  </si>
  <si>
    <t>112.12.131.115</t>
  </si>
  <si>
    <t>中国|浙江|温州|永嘉</t>
  </si>
  <si>
    <t>qq110pp</t>
  </si>
  <si>
    <t>183.199.22.66</t>
  </si>
  <si>
    <t>中国|河北|保定|蠡县</t>
  </si>
  <si>
    <t>Phamkhai1310</t>
  </si>
  <si>
    <t>PHAM XUAN KHAI</t>
  </si>
  <si>
    <t>171.238.155.63</t>
  </si>
  <si>
    <t>116.98.174.49</t>
  </si>
  <si>
    <t>thuyvy1688</t>
  </si>
  <si>
    <t>171.240.158.94</t>
  </si>
  <si>
    <t>Hoang20h1</t>
  </si>
  <si>
    <t>NGUYEN NGOC HOANG</t>
  </si>
  <si>
    <t>27.71.123.178</t>
  </si>
  <si>
    <t>wtx2194658349</t>
  </si>
  <si>
    <t>吴天潇</t>
  </si>
  <si>
    <t>49.78.142.158</t>
  </si>
  <si>
    <t>zgnhf111</t>
  </si>
  <si>
    <t>124.160.213.217</t>
  </si>
  <si>
    <t>huahuayumao01</t>
  </si>
  <si>
    <t>覃星强</t>
  </si>
  <si>
    <t>121.31.247.157</t>
  </si>
  <si>
    <t>chen77582581</t>
  </si>
  <si>
    <t>42.234.2.11</t>
  </si>
  <si>
    <t>m.btyyl9.com</t>
  </si>
  <si>
    <t>42.234.5.234</t>
  </si>
  <si>
    <t>中国|河南|焦作|武陟</t>
  </si>
  <si>
    <t>suliangmv110</t>
  </si>
  <si>
    <t>39.144.86.7</t>
  </si>
  <si>
    <t>5844qwer</t>
  </si>
  <si>
    <t>吴蜀</t>
  </si>
  <si>
    <t>122.194.1.135</t>
  </si>
  <si>
    <t>HDVD93</t>
  </si>
  <si>
    <t>cong0967961696</t>
  </si>
  <si>
    <t>NGHIEM CHI CONG</t>
  </si>
  <si>
    <t>vntf0701</t>
  </si>
  <si>
    <t>113.23.54.125</t>
  </si>
  <si>
    <t>www.bty0586.com</t>
  </si>
  <si>
    <t>123.18.230.29</t>
  </si>
  <si>
    <t>w13011500566</t>
  </si>
  <si>
    <t>221.192.127.163</t>
  </si>
  <si>
    <t>m-tr7.btytg3.com</t>
  </si>
  <si>
    <t>221.192.127.47</t>
  </si>
  <si>
    <t>lamcasu6868</t>
  </si>
  <si>
    <t>115.79.203.8</t>
  </si>
  <si>
    <t>dzt200210</t>
  </si>
  <si>
    <t>戴真天</t>
  </si>
  <si>
    <t>223.104.145.203</t>
  </si>
  <si>
    <t>153.99.123.58</t>
  </si>
  <si>
    <t>中国|江苏|无锡|</t>
  </si>
  <si>
    <t>peng202710</t>
  </si>
  <si>
    <t>39.144.145.199</t>
  </si>
  <si>
    <t>Dchvct047</t>
  </si>
  <si>
    <t>Khoiksnb109</t>
  </si>
  <si>
    <t>TRAN QUANG KHOI</t>
  </si>
  <si>
    <t>14.178.193.215</t>
  </si>
  <si>
    <t>42.114.184.159</t>
  </si>
  <si>
    <t>Babo11</t>
  </si>
  <si>
    <t>NGUYEN THU THUAN</t>
  </si>
  <si>
    <t>113.22.213.169</t>
  </si>
  <si>
    <t>a26621120</t>
  </si>
  <si>
    <t>122.141.172.125</t>
  </si>
  <si>
    <t>m.bty6201.com</t>
  </si>
  <si>
    <t>中国|吉林|通化|集安</t>
  </si>
  <si>
    <t>minhngoc12</t>
  </si>
  <si>
    <t>zuo168888</t>
  </si>
  <si>
    <t>114.238.121.50</t>
  </si>
  <si>
    <t>中国|江苏|淮安|清江浦</t>
  </si>
  <si>
    <t>940225489s</t>
  </si>
  <si>
    <t>14.220.114.80</t>
  </si>
  <si>
    <t>skins76</t>
  </si>
  <si>
    <t>朱勇</t>
  </si>
  <si>
    <t>39.144.179.92</t>
  </si>
  <si>
    <t>39.144.179.119</t>
  </si>
  <si>
    <t>.</t>
  </si>
  <si>
    <t>Longhai12</t>
  </si>
  <si>
    <t>1.53.88.212</t>
  </si>
  <si>
    <t>thaovi19988</t>
  </si>
  <si>
    <t>113.23.114.138</t>
  </si>
  <si>
    <t>Nvchan1976vn</t>
  </si>
  <si>
    <t>qiao133021</t>
  </si>
  <si>
    <t>wbdl1315</t>
  </si>
  <si>
    <t>42.226.253.120</t>
  </si>
  <si>
    <t>m-3on.btytg3.com</t>
  </si>
  <si>
    <t>中国|河南|焦作|修武</t>
  </si>
  <si>
    <t>honghung2020</t>
  </si>
  <si>
    <t>HO HONG HUNG</t>
  </si>
  <si>
    <t>103.199.56.138</t>
  </si>
  <si>
    <t>proxy_vnwbdl11</t>
  </si>
  <si>
    <t>113.185.40.205</t>
  </si>
  <si>
    <t>1988thanh</t>
  </si>
  <si>
    <t>14.254.169.121</t>
  </si>
  <si>
    <t>J18278768722</t>
  </si>
  <si>
    <t>庞剑</t>
  </si>
  <si>
    <t>113.77.130.56</t>
  </si>
  <si>
    <t>223.104.61.40</t>
  </si>
  <si>
    <t>Chipkorea270699</t>
  </si>
  <si>
    <t>42.117.78.128</t>
  </si>
  <si>
    <t>women888</t>
  </si>
  <si>
    <t>112.96.179.204</t>
  </si>
  <si>
    <t>minhduc1991</t>
  </si>
  <si>
    <t>NGUYEN MINH DUC</t>
  </si>
  <si>
    <t>103.199.57.186</t>
  </si>
  <si>
    <t>Daicafanta09</t>
  </si>
  <si>
    <t>HUYNH THUC NGHI</t>
  </si>
  <si>
    <t>101.99.55.200</t>
  </si>
  <si>
    <t>59.153.246.100</t>
  </si>
  <si>
    <t>Hhthi2311</t>
  </si>
  <si>
    <t>1.52.39.139</t>
  </si>
  <si>
    <t>proxy_btyscnb00192201</t>
  </si>
  <si>
    <t>58.186.25.183</t>
  </si>
  <si>
    <t>HIHIII1234</t>
  </si>
  <si>
    <t>7yr.btytg3.com</t>
  </si>
  <si>
    <t>elyar610</t>
  </si>
  <si>
    <t>36.182.48.34</t>
  </si>
  <si>
    <t>中国|新疆|克孜勒苏柯尔克孜|阿图什市</t>
  </si>
  <si>
    <t>kmz030628</t>
  </si>
  <si>
    <t>孔铭震</t>
  </si>
  <si>
    <t>预防性关闭C2C充值观察层级</t>
  </si>
  <si>
    <t>119.186.129.114</t>
  </si>
  <si>
    <t>113.127.198.210</t>
  </si>
  <si>
    <t>中国|山东|东营|东营</t>
  </si>
  <si>
    <t>syb104106</t>
  </si>
  <si>
    <t>1.70.33.130</t>
  </si>
  <si>
    <t>1.70.33.124</t>
  </si>
  <si>
    <t>中国|山西|长治|</t>
  </si>
  <si>
    <t>ducchinh369</t>
  </si>
  <si>
    <t>115.76.49.163</t>
  </si>
  <si>
    <t>Quocdiep72</t>
  </si>
  <si>
    <t>171.234.8.49</t>
  </si>
  <si>
    <t>cen8888</t>
  </si>
  <si>
    <t>119.17.221.3</t>
  </si>
  <si>
    <t>hai516518</t>
  </si>
  <si>
    <t>182.139.120.44</t>
  </si>
  <si>
    <t>中国|四川|遂宁|船山</t>
  </si>
  <si>
    <t>Kqa31601002</t>
  </si>
  <si>
    <t>Tran van tien</t>
  </si>
  <si>
    <t>1.55.227.191</t>
  </si>
  <si>
    <t>cyh1111</t>
  </si>
  <si>
    <t>36.251.170.92</t>
  </si>
  <si>
    <t>中国|福建|泉州|晋江</t>
  </si>
  <si>
    <t>S662001</t>
  </si>
  <si>
    <t>Bui Tien Thien</t>
  </si>
  <si>
    <t>27.69.15.246</t>
  </si>
  <si>
    <t>lbf180190</t>
  </si>
  <si>
    <t>刘百丰</t>
  </si>
  <si>
    <t>223.104.67.185</t>
  </si>
  <si>
    <t>Kukihieu1995</t>
  </si>
  <si>
    <t>116.98.2.78</t>
  </si>
  <si>
    <t>MK336699</t>
  </si>
  <si>
    <t>183.36.160.180</t>
  </si>
  <si>
    <t>中国|广东|广州|黄埔区</t>
  </si>
  <si>
    <t>357443710cf</t>
  </si>
  <si>
    <t>180.116.208.193</t>
  </si>
  <si>
    <t>中国|江苏|常州|</t>
  </si>
  <si>
    <t>dl666789</t>
  </si>
  <si>
    <t>张东方</t>
  </si>
  <si>
    <t>1.195.32.22</t>
  </si>
  <si>
    <t>m.bty699.com</t>
  </si>
  <si>
    <t>中国|河南|新乡|红旗</t>
  </si>
  <si>
    <t>Hungds79</t>
  </si>
  <si>
    <t>Pham huy hung</t>
  </si>
  <si>
    <t>171.255.64.91</t>
  </si>
  <si>
    <t>171.253.191.218</t>
  </si>
  <si>
    <t>sssalk667147</t>
  </si>
  <si>
    <t>119.143.151.37</t>
  </si>
  <si>
    <t>m-yg3.btyyl10.com</t>
  </si>
  <si>
    <t>DKhang20BN</t>
  </si>
  <si>
    <t>Nguyen Thi Nhung</t>
  </si>
  <si>
    <t>27.71.121.77</t>
  </si>
  <si>
    <t>zzk1550546</t>
  </si>
  <si>
    <t>张泽堃</t>
  </si>
  <si>
    <t>123.134.57.184</t>
  </si>
  <si>
    <t>Dong99701</t>
  </si>
  <si>
    <t>NGUYEN VAN DONG</t>
  </si>
  <si>
    <t>14.191.8.46</t>
  </si>
  <si>
    <t>Khoanam08</t>
  </si>
  <si>
    <t>115.74.41.182</t>
  </si>
  <si>
    <t>gzx456</t>
  </si>
  <si>
    <t>111.60.245.128</t>
  </si>
  <si>
    <t>中国|湖北|荆州|公安</t>
  </si>
  <si>
    <t>hydt46485</t>
  </si>
  <si>
    <t>39.144.180.104</t>
  </si>
  <si>
    <t>m.bty1232.com</t>
  </si>
  <si>
    <t>39.144.177.100</t>
  </si>
  <si>
    <t>中国|河南|济源|</t>
  </si>
  <si>
    <t>123rrrtttsss</t>
  </si>
  <si>
    <t>NGUYEN TRUNG TIN</t>
  </si>
  <si>
    <t>14.187.93.98</t>
  </si>
  <si>
    <t>l61598</t>
  </si>
  <si>
    <t>182.234.77.50</t>
  </si>
  <si>
    <t>中国|台湾|高雄|</t>
  </si>
  <si>
    <t>xuan971</t>
  </si>
  <si>
    <t>tran vo mai xuan</t>
  </si>
  <si>
    <t>171.246.154.22</t>
  </si>
  <si>
    <t>42.113.170.15</t>
  </si>
  <si>
    <t>Giaitri16</t>
  </si>
  <si>
    <t>199.195.251.161</t>
  </si>
  <si>
    <t>中国|纽约|史泰登岛|</t>
  </si>
  <si>
    <t>Tlpt2000</t>
  </si>
  <si>
    <t>TRAN LE PHUC THINH</t>
  </si>
  <si>
    <t>42.114.16.253</t>
  </si>
  <si>
    <t>Kimtrinh99</t>
  </si>
  <si>
    <t>vntf0703</t>
  </si>
  <si>
    <t>171.236.49.243</t>
  </si>
  <si>
    <t>m.bty0588.com</t>
  </si>
  <si>
    <t>quang897</t>
  </si>
  <si>
    <t>TRINH MINH QUANG</t>
  </si>
  <si>
    <t>btyscnb002806</t>
  </si>
  <si>
    <t>14.181.142.105</t>
  </si>
  <si>
    <t>m-rqr.btytg3.com</t>
  </si>
  <si>
    <t>越南|山罗||</t>
  </si>
  <si>
    <t>Bolaoc90</t>
  </si>
  <si>
    <t>Le truong giang</t>
  </si>
  <si>
    <t>lh53233111</t>
  </si>
  <si>
    <t>117.150.58.201</t>
  </si>
  <si>
    <t>m.286hjv5.com</t>
  </si>
  <si>
    <t>中国|湖北|襄阳|南漳</t>
  </si>
  <si>
    <t>Tam112</t>
  </si>
  <si>
    <t>vntf0705</t>
  </si>
  <si>
    <t>113.182.165.232</t>
  </si>
  <si>
    <t>m.bty0590.com</t>
  </si>
  <si>
    <t>越南|前江||</t>
  </si>
  <si>
    <t>cc83170011</t>
  </si>
  <si>
    <t>223.104.244.231</t>
  </si>
  <si>
    <t>120614as</t>
  </si>
  <si>
    <t>123.149.100.42</t>
  </si>
  <si>
    <t>中国|河南|郑州|中原</t>
  </si>
  <si>
    <t>gl88888888</t>
  </si>
  <si>
    <t>120.229.171.254</t>
  </si>
  <si>
    <t>120.235.126.62</t>
  </si>
  <si>
    <t>ferariii99</t>
  </si>
  <si>
    <t>Nguyen Van Tuan</t>
  </si>
  <si>
    <t>russ33305</t>
  </si>
  <si>
    <t>171.227.89.146</t>
  </si>
  <si>
    <t>m-twv.btytg3.com</t>
  </si>
  <si>
    <t>221.132.29.205</t>
  </si>
  <si>
    <t>Phuonghau99</t>
  </si>
  <si>
    <t>NONG PHUONG HAU</t>
  </si>
  <si>
    <t>27.78.8.28</t>
  </si>
  <si>
    <t>Thinh2003cc</t>
  </si>
  <si>
    <t>171.231.26.105</t>
  </si>
  <si>
    <t>越南|嘉莱||</t>
  </si>
  <si>
    <t>flq1033631890</t>
  </si>
  <si>
    <t>老挝</t>
  </si>
  <si>
    <t>115.84.65.132</t>
  </si>
  <si>
    <t>m.bty563.com</t>
  </si>
  <si>
    <t>老挝|||</t>
  </si>
  <si>
    <t>Lantrinh123</t>
  </si>
  <si>
    <t>LE HOANG THAI BAO</t>
  </si>
  <si>
    <t>vntf0906</t>
  </si>
  <si>
    <t>171.253.133.252</t>
  </si>
  <si>
    <t>m.bty6029.com</t>
  </si>
  <si>
    <t>g2210701105</t>
  </si>
  <si>
    <t>223.104.182.63</t>
  </si>
  <si>
    <t>cssfcb520</t>
  </si>
  <si>
    <t>蒋浩瑜</t>
  </si>
  <si>
    <t>183.197.203.97</t>
  </si>
  <si>
    <t>中国|河北|秦皇岛|昌黎</t>
  </si>
  <si>
    <t>Hoangntdn87</t>
  </si>
  <si>
    <t>123.19.193.159</t>
  </si>
  <si>
    <t>118.70.227.154</t>
  </si>
  <si>
    <t>hoainhon000</t>
  </si>
  <si>
    <t>hydt464</t>
  </si>
  <si>
    <t>李华磊</t>
  </si>
  <si>
    <t>39.144.180.95</t>
  </si>
  <si>
    <t>39.144.180.96</t>
  </si>
  <si>
    <t>bom1807</t>
  </si>
  <si>
    <t>14.174.179.97</t>
  </si>
  <si>
    <t>17364262809zxb</t>
  </si>
  <si>
    <t>赵湘彬</t>
  </si>
  <si>
    <t>111.183.116.52</t>
  </si>
  <si>
    <t>Huyenhp16</t>
  </si>
  <si>
    <t>125.212.156.96</t>
  </si>
  <si>
    <t>le2009</t>
  </si>
  <si>
    <t>171.236.4.181</t>
  </si>
  <si>
    <t>buibethuy123</t>
  </si>
  <si>
    <t>BUI THI BE THUY</t>
  </si>
  <si>
    <t>42.96.10.176</t>
  </si>
  <si>
    <t>gc771177</t>
  </si>
  <si>
    <t>王高超</t>
  </si>
  <si>
    <t>49.93.99.250</t>
  </si>
  <si>
    <t>114.239.208.61</t>
  </si>
  <si>
    <t>中国|江苏|宿迁|宿城</t>
  </si>
  <si>
    <t>proxy_jp0001</t>
  </si>
  <si>
    <t>180.190.113.192</t>
  </si>
  <si>
    <t>wsx963852963</t>
  </si>
  <si>
    <t>kh0001</t>
  </si>
  <si>
    <t>113.224.168.201</t>
  </si>
  <si>
    <t>www.bty308.com</t>
  </si>
  <si>
    <t>中国|辽宁|沈阳|和平区</t>
  </si>
  <si>
    <t>a1416694706</t>
  </si>
  <si>
    <t>113.123.122.23</t>
  </si>
  <si>
    <t>中国|山东|滨州|博兴</t>
  </si>
  <si>
    <t>Tranhungchimto7</t>
  </si>
  <si>
    <t>TRAN DUY HUNG</t>
  </si>
  <si>
    <t>59.153.254.202</t>
  </si>
  <si>
    <t>27.3.67.239</t>
  </si>
  <si>
    <t>zc202030</t>
  </si>
  <si>
    <t>222.205.46.157</t>
  </si>
  <si>
    <t>MyNam79</t>
  </si>
  <si>
    <t>AA00168</t>
  </si>
  <si>
    <t>113.23.108.79</t>
  </si>
  <si>
    <t>m-65i.btytg3.com</t>
  </si>
  <si>
    <t>ekfflwk888</t>
  </si>
  <si>
    <t>rong178</t>
  </si>
  <si>
    <t>139.208.127.202</t>
  </si>
  <si>
    <t>m.bty8111.com</t>
  </si>
  <si>
    <t>119.50.180.80</t>
  </si>
  <si>
    <t>中国|吉林|延边|延吉</t>
  </si>
  <si>
    <t>Tigerbaby2204</t>
  </si>
  <si>
    <t>103.199.71.70</t>
  </si>
  <si>
    <t>MZLK666888</t>
  </si>
  <si>
    <t>李宽</t>
  </si>
  <si>
    <t>180.105.178.75</t>
  </si>
  <si>
    <t>中国|江苏|连云港|东海</t>
  </si>
  <si>
    <t>W17374279275</t>
  </si>
  <si>
    <t>王海龙</t>
  </si>
  <si>
    <t>36.17.46.83</t>
  </si>
  <si>
    <t>m.bty1195.com</t>
  </si>
  <si>
    <t>36.23.189.138</t>
  </si>
  <si>
    <t>17364265809zxb</t>
  </si>
  <si>
    <t>lh9587888</t>
  </si>
  <si>
    <t>梁昊</t>
  </si>
  <si>
    <t>218.58.107.2</t>
  </si>
  <si>
    <t>113.126.99.205</t>
  </si>
  <si>
    <t>中国|山东|淄博|周村</t>
  </si>
  <si>
    <t>Wolcup2026</t>
  </si>
  <si>
    <t>104.28.249.53</t>
  </si>
  <si>
    <t>1.53.144.104</t>
  </si>
  <si>
    <t>cwt1314520</t>
  </si>
  <si>
    <t>苏永康</t>
  </si>
  <si>
    <t>116.10.138.65</t>
  </si>
  <si>
    <t>中国|广西|百色|田林</t>
  </si>
  <si>
    <t>Regret2310</t>
  </si>
  <si>
    <t>DINH QUANG TRUNG</t>
  </si>
  <si>
    <t>58.187.65.32</t>
  </si>
  <si>
    <t>369258b</t>
  </si>
  <si>
    <t>110.157.78.237</t>
  </si>
  <si>
    <t>aa3306</t>
  </si>
  <si>
    <t>116.9.180.205</t>
  </si>
  <si>
    <t>97hgdj</t>
  </si>
  <si>
    <t>39.144.178.168</t>
  </si>
  <si>
    <t>39.144.178.186</t>
  </si>
  <si>
    <t>中国|河南|漯河|</t>
  </si>
  <si>
    <t>Namok0804</t>
  </si>
  <si>
    <t>183.81.124.138</t>
  </si>
  <si>
    <t>wjc18210612028</t>
  </si>
  <si>
    <t>魏佳成</t>
  </si>
  <si>
    <t>39.144.139.34</t>
  </si>
  <si>
    <t>Chung1510</t>
  </si>
  <si>
    <t>PHAN KHAC THANH</t>
  </si>
  <si>
    <t>1.53.233.183</t>
  </si>
  <si>
    <t>m.bty192.com</t>
  </si>
  <si>
    <t>171.253.180.171</t>
  </si>
  <si>
    <t>NNT6789</t>
  </si>
  <si>
    <t>113.165.237.169</t>
  </si>
  <si>
    <t>14.250.142.127</t>
  </si>
  <si>
    <t>PB2001</t>
  </si>
  <si>
    <t>116.110.43.137</t>
  </si>
  <si>
    <t>113.23.110.189</t>
  </si>
  <si>
    <t>wuhewu992511</t>
  </si>
  <si>
    <t>巫和武</t>
  </si>
  <si>
    <t>183.39.164.74</t>
  </si>
  <si>
    <t>120.239.196.172</t>
  </si>
  <si>
    <t>中国|广东|珠海|香洲</t>
  </si>
  <si>
    <t>panhao01</t>
  </si>
  <si>
    <t>223.104.94.99</t>
  </si>
  <si>
    <t>m-a1l.btytg3.com</t>
  </si>
  <si>
    <t>中国|贵州||</t>
  </si>
  <si>
    <t>cqy185</t>
  </si>
  <si>
    <t>陈麒羽</t>
  </si>
  <si>
    <t>39.144.197.45</t>
  </si>
  <si>
    <t>36.189.108.242</t>
  </si>
  <si>
    <t>中国|新疆|乌鲁木齐|天山</t>
  </si>
  <si>
    <t>Thachkim90</t>
  </si>
  <si>
    <t>TRAN KIM THACH</t>
  </si>
  <si>
    <t>171.253.186.51</t>
  </si>
  <si>
    <t>panhao09</t>
  </si>
  <si>
    <t>qiaofeng666</t>
  </si>
  <si>
    <t>缅甸</t>
  </si>
  <si>
    <t>69.160.14.6</t>
  </si>
  <si>
    <t>缅甸|仰光||</t>
  </si>
  <si>
    <t>VN6137</t>
  </si>
  <si>
    <t>NGUYEN VAN THANH</t>
  </si>
  <si>
    <t>14.191.161.153</t>
  </si>
  <si>
    <t>Giang04031994</t>
  </si>
  <si>
    <t>125.235.139.247</t>
  </si>
  <si>
    <t>xj09876</t>
  </si>
  <si>
    <t>111.197.244.213</t>
  </si>
  <si>
    <t>中国|北京|大兴|</t>
  </si>
  <si>
    <t>ls961018</t>
  </si>
  <si>
    <t>106.116.88.88</t>
  </si>
  <si>
    <t>中国|河北|唐山|乐亭</t>
  </si>
  <si>
    <t>wcl520zxy</t>
  </si>
  <si>
    <t>张雨聪</t>
  </si>
  <si>
    <t>39.144.141.180</t>
  </si>
  <si>
    <t>39.144.141.169</t>
  </si>
  <si>
    <t>a17602697992</t>
  </si>
  <si>
    <t>方圣全</t>
  </si>
  <si>
    <t>221.197.235.90</t>
  </si>
  <si>
    <t>qaz15763540</t>
  </si>
  <si>
    <t>113.99.5.167</t>
  </si>
  <si>
    <t>中国|广东|广州|天河区</t>
  </si>
  <si>
    <t>fanfan10339</t>
  </si>
  <si>
    <t>樊文胜</t>
  </si>
  <si>
    <t>120.228.134.50</t>
  </si>
  <si>
    <t>120.227.22.239</t>
  </si>
  <si>
    <t>中国|湖南|长沙|岳麓</t>
  </si>
  <si>
    <t>NhatHy205</t>
  </si>
  <si>
    <t>Nguyen Huu Bao</t>
  </si>
  <si>
    <t>58.186.104.27</t>
  </si>
  <si>
    <t>wanggege123</t>
  </si>
  <si>
    <t>王岩</t>
  </si>
  <si>
    <t>111.30.215.164</t>
  </si>
  <si>
    <t>202.99.112.147</t>
  </si>
  <si>
    <t>中国|天津||北辰</t>
  </si>
  <si>
    <t>aus31611</t>
  </si>
  <si>
    <t>蔡文峰</t>
  </si>
  <si>
    <t>RUSS333</t>
  </si>
  <si>
    <t>27.157.106.59</t>
  </si>
  <si>
    <t>m.sb66.cc</t>
  </si>
  <si>
    <t>223.104.50.126</t>
  </si>
  <si>
    <t>多账号 保留一个账号 待处理 8.8  FK-Lex</t>
  </si>
  <si>
    <t>aaa132</t>
  </si>
  <si>
    <t>张国庆</t>
  </si>
  <si>
    <t>223.87.210.25</t>
  </si>
  <si>
    <t>223.104.214.109</t>
  </si>
  <si>
    <t>中国|四川|成都|郫都区</t>
  </si>
  <si>
    <t>mainhan1007</t>
  </si>
  <si>
    <t>113.187.100.15</t>
  </si>
  <si>
    <t>h1402880785</t>
  </si>
  <si>
    <t>黄光健</t>
  </si>
  <si>
    <t>116.23.96.79</t>
  </si>
  <si>
    <t>113.65.234.249</t>
  </si>
  <si>
    <t>中国|广东|广州|南沙</t>
  </si>
  <si>
    <t>Trancongminh08</t>
  </si>
  <si>
    <t>14.253.62.123</t>
  </si>
  <si>
    <t>58.186.164.160</t>
  </si>
  <si>
    <t>taoyong123456</t>
  </si>
  <si>
    <t>114.86.207.105</t>
  </si>
  <si>
    <t>m-3pw.btytg2.com</t>
  </si>
  <si>
    <t>中国|上海||浦东</t>
  </si>
  <si>
    <t>250hungvuong</t>
  </si>
  <si>
    <t>VO MINH DONG</t>
  </si>
  <si>
    <t>58.187.93.227</t>
  </si>
  <si>
    <t>789anh</t>
  </si>
  <si>
    <t>58.187.251.214</t>
  </si>
  <si>
    <t>namnhi2023</t>
  </si>
  <si>
    <t>PHAM VAN NAM</t>
  </si>
  <si>
    <t>117.1.102.151</t>
  </si>
  <si>
    <t>171.224.180.117</t>
  </si>
  <si>
    <t>Duongpkl97</t>
  </si>
  <si>
    <t>125.235.137.124</t>
  </si>
  <si>
    <t>luobin19900121</t>
  </si>
  <si>
    <t>112.17.241.22</t>
  </si>
  <si>
    <t>Dat152897</t>
  </si>
  <si>
    <t>171.250.164.54</t>
  </si>
  <si>
    <t>m.bty189.com</t>
  </si>
  <si>
    <t>Lethanhquy1212</t>
  </si>
  <si>
    <t>LE THANH QUY</t>
  </si>
  <si>
    <t>116.100.134.115</t>
  </si>
  <si>
    <t>want13jerry</t>
  </si>
  <si>
    <t>124.244.88.60</t>
  </si>
  <si>
    <t>aazz218557</t>
  </si>
  <si>
    <t>39.144.105.129</t>
  </si>
  <si>
    <t>Nguyentoanh99</t>
  </si>
  <si>
    <t>1.53.49.172</t>
  </si>
  <si>
    <t>Hung1511</t>
  </si>
  <si>
    <t>Tran Manh Hung</t>
  </si>
  <si>
    <t>126.119.8.121</t>
  </si>
  <si>
    <t>日本|静冈||</t>
  </si>
  <si>
    <t>ybl123</t>
  </si>
  <si>
    <t>gt0007</t>
  </si>
  <si>
    <t>61.243.170.142</t>
  </si>
  <si>
    <t>39.144.55.142</t>
  </si>
  <si>
    <t>中国|辽宁|鞍山|台安</t>
  </si>
  <si>
    <t>中国|辽宁|鞍山|</t>
  </si>
  <si>
    <t>Giangminh123</t>
  </si>
  <si>
    <t>GIANG MINH TY</t>
  </si>
  <si>
    <t>103.199.69.196</t>
  </si>
  <si>
    <t>171.233.239.133</t>
  </si>
  <si>
    <t>proxy_jp0002</t>
  </si>
  <si>
    <t>175.176.16.224</t>
  </si>
  <si>
    <t>mf.bsports3.com</t>
  </si>
  <si>
    <t>菲律宾|马尼拉|帕西格|</t>
  </si>
  <si>
    <t>1314521x</t>
  </si>
  <si>
    <t>单佳智</t>
  </si>
  <si>
    <t>111.25.127.191</t>
  </si>
  <si>
    <t>中国|吉林|长春|公主岭</t>
  </si>
  <si>
    <t>proxy_jp0005</t>
  </si>
  <si>
    <t>121.10.141.132</t>
  </si>
  <si>
    <t>中国|广东|茂名|</t>
  </si>
  <si>
    <t>huangxb888</t>
  </si>
  <si>
    <t>120.229.63.46</t>
  </si>
  <si>
    <t>m.bsports1.com</t>
  </si>
  <si>
    <t>中国|广东|深圳|宝安</t>
  </si>
  <si>
    <t>mfy9928</t>
  </si>
  <si>
    <t>180.137.97.126</t>
  </si>
  <si>
    <t>223.104.22.133</t>
  </si>
  <si>
    <t>中国|广西|北海|海城</t>
  </si>
  <si>
    <t>中国|广西|南宁|</t>
  </si>
  <si>
    <t>trungquan123</t>
  </si>
  <si>
    <t>nguyen thi ha trang</t>
  </si>
  <si>
    <t>171.229.205.193</t>
  </si>
  <si>
    <t>rqr.btytg3.com</t>
  </si>
  <si>
    <t>115.72.19.137</t>
  </si>
  <si>
    <t>。</t>
  </si>
  <si>
    <t>kuan199810</t>
  </si>
  <si>
    <t>112.97.80.178</t>
  </si>
  <si>
    <t>m-ngttz3.bmkywzo8lxn36.com</t>
  </si>
  <si>
    <t>redfire8899</t>
  </si>
  <si>
    <t>116.178.225.53</t>
  </si>
  <si>
    <t>Tienlap1234</t>
  </si>
  <si>
    <t>DO TIEN LAP</t>
  </si>
  <si>
    <t>27.78.6.179</t>
  </si>
  <si>
    <t>27.67.178.178</t>
  </si>
  <si>
    <t>proxy_jp0009</t>
  </si>
  <si>
    <t>209.146.17.170</t>
  </si>
  <si>
    <t>proxy_jp0006</t>
  </si>
  <si>
    <t>f.btyv100.vip</t>
  </si>
  <si>
    <t>proxy_jp0007</t>
  </si>
  <si>
    <t>Truyen15</t>
  </si>
  <si>
    <t>NGUYEN VAN TRUYEN</t>
  </si>
  <si>
    <t>27.67.41.2</t>
  </si>
  <si>
    <t>171.255.117.107</t>
  </si>
  <si>
    <t>proxy_jp0003</t>
  </si>
  <si>
    <t>phuduc1978</t>
  </si>
  <si>
    <t>vntf0903</t>
  </si>
  <si>
    <t>59.153.246.20</t>
  </si>
  <si>
    <t>m.bty6026.com</t>
  </si>
  <si>
    <t>59.153.246.149</t>
  </si>
  <si>
    <t>Chutuduc1990</t>
  </si>
  <si>
    <t>Nguyen thai hoc</t>
  </si>
  <si>
    <t>103.199.41.133</t>
  </si>
  <si>
    <t>qaz0807</t>
  </si>
  <si>
    <t>齐哲</t>
  </si>
  <si>
    <t>btydl0056</t>
  </si>
  <si>
    <t>218.57.192.126</t>
  </si>
  <si>
    <t>www.bty223.com</t>
  </si>
  <si>
    <t>中国|山东|临沂|</t>
  </si>
  <si>
    <t>neverowned1</t>
  </si>
  <si>
    <t>杨彪</t>
  </si>
  <si>
    <t>110.166.56.69</t>
  </si>
  <si>
    <t>s615253</t>
  </si>
  <si>
    <t>苏宇鹏</t>
  </si>
  <si>
    <t>116.169.3.179</t>
  </si>
  <si>
    <t>116.169.9.242</t>
  </si>
  <si>
    <t>xsj042611</t>
  </si>
  <si>
    <t>171.109.236.168</t>
  </si>
  <si>
    <t>www.268.vip</t>
  </si>
  <si>
    <t>183.56.250.224</t>
  </si>
  <si>
    <t>中国|广西|玉林|北流</t>
  </si>
  <si>
    <t>Uyenvan9698</t>
  </si>
  <si>
    <t>103.199.57.198</t>
  </si>
  <si>
    <t>103.199.69.198</t>
  </si>
  <si>
    <t>game012026</t>
  </si>
  <si>
    <t>58.187.206.254</t>
  </si>
  <si>
    <t>Ngogiang290993</t>
  </si>
  <si>
    <t>Ngo van giang</t>
  </si>
  <si>
    <t>103.199.56.213</t>
  </si>
  <si>
    <t>103.199.68.213</t>
  </si>
  <si>
    <t>123456kopi</t>
  </si>
  <si>
    <t>180.98.16.186</t>
  </si>
  <si>
    <t>redfire7788</t>
  </si>
  <si>
    <t>110.153.69.222</t>
  </si>
  <si>
    <t>中国|新疆|巴州|库尔勒</t>
  </si>
  <si>
    <t>Johnnyty0487</t>
  </si>
  <si>
    <t>HUYNH PHUOC THIEN</t>
  </si>
  <si>
    <t>14.230.89.204</t>
  </si>
  <si>
    <t>171.253.177.194</t>
  </si>
  <si>
    <t>同设备同姓名多账号保留一个账号 8/8 FK-ANGEL</t>
  </si>
  <si>
    <t>tranminhloi3979</t>
  </si>
  <si>
    <t>Tran Minh Loi</t>
  </si>
  <si>
    <t>116.96.77.119</t>
  </si>
  <si>
    <t>42.1.89.182</t>
  </si>
  <si>
    <t>mmaa317317ma</t>
  </si>
  <si>
    <t>223.115.0.231</t>
  </si>
  <si>
    <t>中国|新疆|喀什|伽师县</t>
  </si>
  <si>
    <t>qqwweerr00</t>
  </si>
  <si>
    <t>114.105.17.129</t>
  </si>
  <si>
    <t>Baoancuc1256</t>
  </si>
  <si>
    <t>172.58.38.221</t>
  </si>
  <si>
    <t>中国|加利福尼亚||</t>
  </si>
  <si>
    <t>Tuyenthechap1011</t>
  </si>
  <si>
    <t>171.225.170.15</t>
  </si>
  <si>
    <t>Tuankiet22</t>
  </si>
  <si>
    <t>116.109.193.137</t>
  </si>
  <si>
    <t>fdei887</t>
  </si>
  <si>
    <t>223.104.49.20</t>
  </si>
  <si>
    <t>m-hsj.btytg2.com</t>
  </si>
  <si>
    <t>Trungtien1989</t>
  </si>
  <si>
    <t>171.255.125.134</t>
  </si>
  <si>
    <t>Atung505</t>
  </si>
  <si>
    <t>MA VAN TUNG</t>
  </si>
  <si>
    <t>27.78.7.83</t>
  </si>
  <si>
    <t>Doilathe098</t>
  </si>
  <si>
    <t>1.53.152.146</t>
  </si>
  <si>
    <t>171.254.134.222</t>
  </si>
  <si>
    <t>Chodien99</t>
  </si>
  <si>
    <t>42.119.148.89</t>
  </si>
  <si>
    <t>Kaka12345543</t>
  </si>
  <si>
    <t>59.153.249.217</t>
  </si>
  <si>
    <t>1990thanh</t>
  </si>
  <si>
    <t>42.1.89.214</t>
  </si>
  <si>
    <t>ZazaKaka112233</t>
  </si>
  <si>
    <t>DAO VAN HUY</t>
  </si>
  <si>
    <t>14.229.107.165</t>
  </si>
  <si>
    <t>Dungcphbhb86</t>
  </si>
  <si>
    <t>bui van dung</t>
  </si>
  <si>
    <t>125.235.120.204</t>
  </si>
  <si>
    <t>171.253.34.72</t>
  </si>
  <si>
    <t>hoaitam1990</t>
  </si>
  <si>
    <t>PHANH THANH HOAI</t>
  </si>
  <si>
    <t>42.114.39.75</t>
  </si>
  <si>
    <t>Boss686868</t>
  </si>
  <si>
    <t>DOAN QUOC BINH</t>
  </si>
  <si>
    <t>125.235.127.200</t>
  </si>
  <si>
    <t>m-4st.btytg3.com</t>
  </si>
  <si>
    <t>Tuananh02061998</t>
  </si>
  <si>
    <t>LE TRUNG QUAN</t>
  </si>
  <si>
    <t>59.153.251.212</t>
  </si>
  <si>
    <t>58.186.166.73</t>
  </si>
  <si>
    <t>q834899499q</t>
  </si>
  <si>
    <t>183.202.177.30</t>
  </si>
  <si>
    <t>www.bsports3.com</t>
  </si>
  <si>
    <t>中国|山西|运城|夏县</t>
  </si>
  <si>
    <t>Minhsang007</t>
  </si>
  <si>
    <t>113.173.124.179</t>
  </si>
  <si>
    <t>Danang2606</t>
  </si>
  <si>
    <t>LE NGUYEN THU</t>
  </si>
  <si>
    <t>104.28.249.55</t>
  </si>
  <si>
    <t>Khoaivu1994</t>
  </si>
  <si>
    <t>Vu Hoang Phi Long Giang</t>
  </si>
  <si>
    <t>1.53.48.150</t>
  </si>
  <si>
    <t>m.bty1035.com</t>
  </si>
  <si>
    <t>103.199.33.177</t>
  </si>
  <si>
    <t>hgh7788</t>
  </si>
  <si>
    <t>贺国华</t>
  </si>
  <si>
    <t>171.121.254.15</t>
  </si>
  <si>
    <t>m.bty032.com</t>
  </si>
  <si>
    <t>中国|山西|运城|</t>
  </si>
  <si>
    <t>hoang638</t>
  </si>
  <si>
    <t>nong nguyen huy hoang</t>
  </si>
  <si>
    <t>117.1.225.227</t>
  </si>
  <si>
    <t>lichuncheng123</t>
  </si>
  <si>
    <t>223.104.151.125</t>
  </si>
  <si>
    <t>m-ve0.btytg3.com</t>
  </si>
  <si>
    <t>223.104.151.93</t>
  </si>
  <si>
    <t>中国|江苏|泰州|</t>
  </si>
  <si>
    <t>buiquocthang090</t>
  </si>
  <si>
    <t>115.74.123.118</t>
  </si>
  <si>
    <t>htc1986125</t>
  </si>
  <si>
    <t>杨楚雄</t>
  </si>
  <si>
    <t>223.104.150.23</t>
  </si>
  <si>
    <t>中国|江苏|南京|雨花台区</t>
  </si>
  <si>
    <t>2013876576l</t>
  </si>
  <si>
    <t>113.7.100.101</t>
  </si>
  <si>
    <t>www.bty30.com</t>
  </si>
  <si>
    <t>中国|黑龙江|牡丹江|海林</t>
  </si>
  <si>
    <t>thi9223</t>
  </si>
  <si>
    <t>116.97.60.68</t>
  </si>
  <si>
    <t>su062817</t>
  </si>
  <si>
    <t>苏金鹏</t>
  </si>
  <si>
    <t>39.149.248.50</t>
  </si>
  <si>
    <t>中国|河南|郑州|金水</t>
  </si>
  <si>
    <t>huynh0233</t>
  </si>
  <si>
    <t>le nguyen tran huynh</t>
  </si>
  <si>
    <t>115.77.13.177</t>
  </si>
  <si>
    <t>Thicaubn1990</t>
  </si>
  <si>
    <t>Tran quang thanh</t>
  </si>
  <si>
    <t>58.187.80.206</t>
  </si>
  <si>
    <t>cui1750377</t>
  </si>
  <si>
    <t>崔欣</t>
  </si>
  <si>
    <t>114.228.225.47</t>
  </si>
  <si>
    <t>28072003t</t>
  </si>
  <si>
    <t>117.7.221.140</t>
  </si>
  <si>
    <t>Hamham123</t>
  </si>
  <si>
    <t>NHU THI THAO</t>
  </si>
  <si>
    <t>103.129.191.200</t>
  </si>
  <si>
    <t>m-q9w.btytg3.com</t>
  </si>
  <si>
    <t>27.70.247.138</t>
  </si>
  <si>
    <t>Le140173</t>
  </si>
  <si>
    <t>222.252.12.230</t>
  </si>
  <si>
    <t>wushanhang1234</t>
  </si>
  <si>
    <t>111.41.3.66</t>
  </si>
  <si>
    <t>中国|黑龙江|双鸭山|友谊</t>
  </si>
  <si>
    <t>SC1001</t>
  </si>
  <si>
    <t>Cao Nguyen Thao Chi</t>
  </si>
  <si>
    <t>117.2.80.237</t>
  </si>
  <si>
    <t>maybeta181999</t>
  </si>
  <si>
    <t>VU TRUNG ANH</t>
  </si>
  <si>
    <t>113.184.51.119</t>
  </si>
  <si>
    <t>nguyenvantri96</t>
  </si>
  <si>
    <t>Nguyen Van Tri</t>
  </si>
  <si>
    <t>103.199.36.90</t>
  </si>
  <si>
    <t>103.199.32.90</t>
  </si>
  <si>
    <t>djdjdj536</t>
  </si>
  <si>
    <t>36.156.127.231</t>
  </si>
  <si>
    <t>HuyDu78</t>
  </si>
  <si>
    <t>NGUYEN VIET QUOC HUY</t>
  </si>
  <si>
    <t>171.248.147.156</t>
  </si>
  <si>
    <t>113.185.79.23</t>
  </si>
  <si>
    <t>yiluhong188</t>
  </si>
  <si>
    <t>123.6.102.195</t>
  </si>
  <si>
    <t>中国|河南|郑州|</t>
  </si>
  <si>
    <t>Boibeo123</t>
  </si>
  <si>
    <t>103.199.41.40</t>
  </si>
  <si>
    <t>171.252.154.246</t>
  </si>
  <si>
    <t>oaml470436</t>
  </si>
  <si>
    <t>黄文文</t>
  </si>
  <si>
    <t>多次拉单不付款层级</t>
  </si>
  <si>
    <t>222.216.2.39</t>
  </si>
  <si>
    <t>xfyx099208</t>
  </si>
  <si>
    <t>于子明</t>
  </si>
  <si>
    <t>giangnam99</t>
  </si>
  <si>
    <t>DO GIANG NAM</t>
  </si>
  <si>
    <t>1.54.227.20</t>
  </si>
  <si>
    <t>越南|太平||</t>
  </si>
  <si>
    <t>hanvangiang1</t>
  </si>
  <si>
    <t>HAN VAN GIANG</t>
  </si>
  <si>
    <t>27.67.86.104</t>
  </si>
  <si>
    <t>VP3P9999</t>
  </si>
  <si>
    <t>1.53.240.138</t>
  </si>
  <si>
    <t>a112593893</t>
  </si>
  <si>
    <t>林一铤</t>
  </si>
  <si>
    <t>117.136.31.255</t>
  </si>
  <si>
    <t>中国|广东|佛山|</t>
  </si>
  <si>
    <t>proxy_btyscnb001937</t>
  </si>
  <si>
    <t>103.199.41.71</t>
  </si>
  <si>
    <t>z234567891</t>
  </si>
  <si>
    <t>39.144.155.163</t>
  </si>
  <si>
    <t>中国|江苏|镇江|</t>
  </si>
  <si>
    <t>Tanbinh657556</t>
  </si>
  <si>
    <t>14.191.113.209</t>
  </si>
  <si>
    <t>aa66568808</t>
  </si>
  <si>
    <t>117.136.89.87</t>
  </si>
  <si>
    <t>My3009</t>
  </si>
  <si>
    <t>TRAN CHIEN THANG</t>
  </si>
  <si>
    <t>42.116.117.13</t>
  </si>
  <si>
    <t>NVD2057</t>
  </si>
  <si>
    <t>NGUYEN VAN DUC</t>
  </si>
  <si>
    <t>14.191.174.68</t>
  </si>
  <si>
    <t>dotienduy010509</t>
  </si>
  <si>
    <t>vntf01</t>
  </si>
  <si>
    <t>117.5.152.204</t>
  </si>
  <si>
    <t>m.bty0511.com</t>
  </si>
  <si>
    <t>Nguyenan1234</t>
  </si>
  <si>
    <t>CAO XUAN AN</t>
  </si>
  <si>
    <t>116.98.0.77</t>
  </si>
  <si>
    <t>116.98.0.190</t>
  </si>
  <si>
    <t>yxz2002</t>
  </si>
  <si>
    <t>杨旭喆</t>
  </si>
  <si>
    <t>122.192.14.143</t>
  </si>
  <si>
    <t>Ngoclanh1</t>
  </si>
  <si>
    <t>Le ngoc lanh</t>
  </si>
  <si>
    <t>113.191.146.253</t>
  </si>
  <si>
    <t>Kechienbai85</t>
  </si>
  <si>
    <t>171.255.160.50</t>
  </si>
  <si>
    <t>Huynhhuu91</t>
  </si>
  <si>
    <t>171.245.159.144</t>
  </si>
  <si>
    <t>YIH777111</t>
  </si>
  <si>
    <t>60.27.55.94</t>
  </si>
  <si>
    <t>中国|天津||河北</t>
  </si>
  <si>
    <t>Lysouran2</t>
  </si>
  <si>
    <t>TRA TRONG NHAN</t>
  </si>
  <si>
    <t>113.185.75.8</t>
  </si>
  <si>
    <t>171.246.129.35</t>
  </si>
  <si>
    <t>Newstar123</t>
  </si>
  <si>
    <t>27.71.120.176</t>
  </si>
  <si>
    <t>113.185.46.153</t>
  </si>
  <si>
    <t>puka123</t>
  </si>
  <si>
    <t>120.28.43.26</t>
  </si>
  <si>
    <t>lgg25257758</t>
  </si>
  <si>
    <t>122.96.231.86</t>
  </si>
  <si>
    <t>romanh123</t>
  </si>
  <si>
    <t>PHAM NGOC KHANH</t>
  </si>
  <si>
    <t>125.212.151.227</t>
  </si>
  <si>
    <t>lve1578</t>
  </si>
  <si>
    <t>115.60.163.98</t>
  </si>
  <si>
    <t>m-asd88.btyv132.vip</t>
  </si>
  <si>
    <t>39.162.148.113</t>
  </si>
  <si>
    <t>中国|河南|郑州|二七区</t>
  </si>
  <si>
    <t>Songdaybyday126</t>
  </si>
  <si>
    <t>Luong dang khoi</t>
  </si>
  <si>
    <t>58.186.10.137</t>
  </si>
  <si>
    <t>Nghia08</t>
  </si>
  <si>
    <t>116.101.255.27</t>
  </si>
  <si>
    <t>yx897299970</t>
  </si>
  <si>
    <t>123.157.201.26</t>
  </si>
  <si>
    <t>langfengyi1981</t>
  </si>
  <si>
    <t>李明宇</t>
  </si>
  <si>
    <t>220.173.181.1</t>
  </si>
  <si>
    <t>117.140.57.143</t>
  </si>
  <si>
    <t>中国|广西|柳州|柳南</t>
  </si>
  <si>
    <t>中国|广西|柳州|城中</t>
  </si>
  <si>
    <t>yzh040224</t>
  </si>
  <si>
    <t>223.104.36.6</t>
  </si>
  <si>
    <t>yyl531626760</t>
  </si>
  <si>
    <t>wbdl1024</t>
  </si>
  <si>
    <t>36.98.184.170</t>
  </si>
  <si>
    <t>m-t3t.btytg1.com</t>
  </si>
  <si>
    <t>124.236.214.72</t>
  </si>
  <si>
    <t>中国|河北|石家庄|长安</t>
  </si>
  <si>
    <t>zhang254986422</t>
  </si>
  <si>
    <t>106.9.84.66</t>
  </si>
  <si>
    <t>中国|河北|石家庄|</t>
  </si>
  <si>
    <t>zxh567</t>
  </si>
  <si>
    <t>116.9.179.6</t>
  </si>
  <si>
    <t>hoang1999</t>
  </si>
  <si>
    <t>Hoang Viet Trung</t>
  </si>
  <si>
    <t>w9.bsports9.com</t>
  </si>
  <si>
    <t>bc889900</t>
  </si>
  <si>
    <t>39.144.50.41</t>
  </si>
  <si>
    <t>39.144.50.28</t>
  </si>
  <si>
    <t>Chauphu0303</t>
  </si>
  <si>
    <t>123.25.213.119</t>
  </si>
  <si>
    <t>luca141355</t>
  </si>
  <si>
    <t>218.26.159.122</t>
  </si>
  <si>
    <t>www.bsports9.com</t>
  </si>
  <si>
    <t>yy199409</t>
  </si>
  <si>
    <t>刘洋</t>
  </si>
  <si>
    <t>122.96.33.104</t>
  </si>
  <si>
    <t>122.192.15.150</t>
  </si>
  <si>
    <t>xiaopeng123456</t>
  </si>
  <si>
    <t>btydl0020</t>
  </si>
  <si>
    <t>144.255.86.91</t>
  </si>
  <si>
    <t>m-ffq.btytg1.com</t>
  </si>
  <si>
    <t>中国|山东|潍坊|潍城区</t>
  </si>
  <si>
    <t>Thuanvan777777</t>
  </si>
  <si>
    <t>14.160.177.99</t>
  </si>
  <si>
    <t>42.112.225.70</t>
  </si>
  <si>
    <t>0333368584h</t>
  </si>
  <si>
    <t>huynh van huy</t>
  </si>
  <si>
    <t>125.235.127.135</t>
  </si>
  <si>
    <t>27.71.98.117</t>
  </si>
  <si>
    <t>hoangtue8888</t>
  </si>
  <si>
    <t>HOANG VAN TUE</t>
  </si>
  <si>
    <t>14.171.25.68</t>
  </si>
  <si>
    <t>116.97.125.224</t>
  </si>
  <si>
    <t>越南|高平||</t>
  </si>
  <si>
    <t>Quocthang555</t>
  </si>
  <si>
    <t>DAO QUOC THANG</t>
  </si>
  <si>
    <t>171.236.49.64</t>
  </si>
  <si>
    <t>125.235.132.226</t>
  </si>
  <si>
    <t>wangchao763</t>
  </si>
  <si>
    <t>124.160.218.181</t>
  </si>
  <si>
    <t>okeemzai123</t>
  </si>
  <si>
    <t>Bui long nhat</t>
  </si>
  <si>
    <t>113.185.44.38</t>
  </si>
  <si>
    <t>113.185.46.251</t>
  </si>
  <si>
    <t>ayb520596</t>
  </si>
  <si>
    <t>112.114.106.99</t>
  </si>
  <si>
    <t>中国|云南|临沧|镇康</t>
  </si>
  <si>
    <t>wei360</t>
  </si>
  <si>
    <t>171.109.241.152</t>
  </si>
  <si>
    <t>www.bty358.com</t>
  </si>
  <si>
    <t>中国|广西|河池|都安</t>
  </si>
  <si>
    <t>love6164</t>
  </si>
  <si>
    <t>111.124.176.100</t>
  </si>
  <si>
    <t>中国|贵州|黔南|罗甸</t>
  </si>
  <si>
    <t>haole2</t>
  </si>
  <si>
    <t>张友豪</t>
  </si>
  <si>
    <t>223.74.60.174</t>
  </si>
  <si>
    <t>中国|广东|河源|源城</t>
  </si>
  <si>
    <t>Cahong995</t>
  </si>
  <si>
    <t>CA VAN HONG</t>
  </si>
  <si>
    <t>115.73.200.50</t>
  </si>
  <si>
    <t>TIPTIPTOP007</t>
  </si>
  <si>
    <t>120.147.55.190</t>
  </si>
  <si>
    <t>Baolan123</t>
  </si>
  <si>
    <t>DO VAN KHAN</t>
  </si>
  <si>
    <t>14.181.133.65</t>
  </si>
  <si>
    <t>rby00407</t>
  </si>
  <si>
    <t>任不翼</t>
  </si>
  <si>
    <t>117.136.111.203</t>
  </si>
  <si>
    <t>112.10.131.141</t>
  </si>
  <si>
    <t>中国|浙江|杭州|萧山</t>
  </si>
  <si>
    <t>sxf326366374</t>
  </si>
  <si>
    <t>史雄飞</t>
  </si>
  <si>
    <t>120.245.136.117</t>
  </si>
  <si>
    <t>111.193.3.101</t>
  </si>
  <si>
    <t>中国|北京||房山</t>
  </si>
  <si>
    <t>thichthichoi89</t>
  </si>
  <si>
    <t>nguyen cong trong</t>
  </si>
  <si>
    <t>manhdu82</t>
  </si>
  <si>
    <t>171.252.153.41</t>
  </si>
  <si>
    <t>Epkeo83</t>
  </si>
  <si>
    <t>14.251.4.168</t>
  </si>
  <si>
    <t>hao16688888888</t>
  </si>
  <si>
    <t>223.104.63.252</t>
  </si>
  <si>
    <t>m-vhn.btytg2.com</t>
  </si>
  <si>
    <t>khanglp123</t>
  </si>
  <si>
    <t>NGUYEN DUY KHANG</t>
  </si>
  <si>
    <t>113.190.115.127</t>
  </si>
  <si>
    <t>xyzt666</t>
  </si>
  <si>
    <t>61.153.187.128</t>
  </si>
  <si>
    <t>中国|浙江|绍兴|</t>
  </si>
  <si>
    <t>Vy8686</t>
  </si>
  <si>
    <t>Nguyen ngoc loan</t>
  </si>
  <si>
    <t>btyseo5900</t>
  </si>
  <si>
    <t>103.199.71.156</t>
  </si>
  <si>
    <t>m.bty3v4.com</t>
  </si>
  <si>
    <t>nio2007</t>
  </si>
  <si>
    <t>田卫东</t>
  </si>
  <si>
    <t>223.104.131.26</t>
  </si>
  <si>
    <t>QVTD21</t>
  </si>
  <si>
    <t>TRAN DINH QUOC VIET</t>
  </si>
  <si>
    <t>113.22.72.140</t>
  </si>
  <si>
    <t>minhthu0512</t>
  </si>
  <si>
    <t>HOANG THI MINHTHU</t>
  </si>
  <si>
    <t>Chiencutedcm1</t>
  </si>
  <si>
    <t>14.190.228.62</t>
  </si>
  <si>
    <t>king49</t>
  </si>
  <si>
    <t>125.111.226.134</t>
  </si>
  <si>
    <t>中国|浙江|宁波|海曙区</t>
  </si>
  <si>
    <t>1234567thanh</t>
  </si>
  <si>
    <t>Phan van thanh</t>
  </si>
  <si>
    <t>116.103.158.43</t>
  </si>
  <si>
    <t>Giangnguyen733</t>
  </si>
  <si>
    <t>Nguyen phan nhat Giang</t>
  </si>
  <si>
    <t>116.98.6.117</t>
  </si>
  <si>
    <t>socolive95</t>
  </si>
  <si>
    <t>pham van khang</t>
  </si>
  <si>
    <t>115.76.49.118</t>
  </si>
  <si>
    <t>115.76.49.13</t>
  </si>
  <si>
    <t>wu134227</t>
  </si>
  <si>
    <t>223.104.72.216</t>
  </si>
  <si>
    <t>luoluo520</t>
  </si>
  <si>
    <t>曹福华</t>
  </si>
  <si>
    <t>Tt112052</t>
  </si>
  <si>
    <t>114.139.224.154</t>
  </si>
  <si>
    <t>yjj.btytg2.com</t>
  </si>
  <si>
    <t>中国|贵州|黔南|惠水</t>
  </si>
  <si>
    <t>syz894297</t>
  </si>
  <si>
    <t>孙艺滋</t>
  </si>
  <si>
    <t>223.104.204.69</t>
  </si>
  <si>
    <t>36.44.1.55</t>
  </si>
  <si>
    <t>dinhquan030415</t>
  </si>
  <si>
    <t>PHAM DINH QUAN</t>
  </si>
  <si>
    <t>1.53.200.146</t>
  </si>
  <si>
    <t>1.53.200.34</t>
  </si>
  <si>
    <t>Cokon0301</t>
  </si>
  <si>
    <t>27.72.56.243</t>
  </si>
  <si>
    <t>lvlv666</t>
  </si>
  <si>
    <t>吕庆龙</t>
  </si>
  <si>
    <t>183.162.42.30</t>
  </si>
  <si>
    <t>223.214.202.77</t>
  </si>
  <si>
    <t>中国|安徽|宣城|</t>
  </si>
  <si>
    <t>多账号已处理 保留  lvlv666   8/7 FK-snrh</t>
  </si>
  <si>
    <t>lyly92</t>
  </si>
  <si>
    <t>Duong Quynh Anh</t>
  </si>
  <si>
    <t>59.153.229.213</t>
  </si>
  <si>
    <t>m.bsports9.com</t>
  </si>
  <si>
    <t>游戏套利 出本禁用 8-7-fiji 已扣除 出本后冻结   5,000,000</t>
  </si>
  <si>
    <t>Thuytran6868</t>
  </si>
  <si>
    <t>TRAN THI THUY</t>
  </si>
  <si>
    <t>171.253.3.212</t>
  </si>
  <si>
    <t>171.236.69.123</t>
  </si>
  <si>
    <t>Tucong4591</t>
  </si>
  <si>
    <t>NGUYEN NGOC TU</t>
  </si>
  <si>
    <t>171.228.119.240</t>
  </si>
  <si>
    <t>113.185.47.170</t>
  </si>
  <si>
    <t>越南|永福||</t>
  </si>
  <si>
    <t>xjf2994511635</t>
  </si>
  <si>
    <t>175.43.13.246</t>
  </si>
  <si>
    <t>中国|福建|泉州|南安</t>
  </si>
  <si>
    <t>Pmcomeback1</t>
  </si>
  <si>
    <t>Dang cong thanh</t>
  </si>
  <si>
    <t>27.75.168.157</t>
  </si>
  <si>
    <t>989898aa1</t>
  </si>
  <si>
    <t>27.70.219.89</t>
  </si>
  <si>
    <t>lh780120</t>
  </si>
  <si>
    <t>139.5.108.140</t>
  </si>
  <si>
    <t>103.43.162.170</t>
  </si>
  <si>
    <t>tony0302</t>
  </si>
  <si>
    <t>183.80.95.121</t>
  </si>
  <si>
    <t>QUYNH1704</t>
  </si>
  <si>
    <t>LE NGOC QUYNH</t>
  </si>
  <si>
    <t>115.74.235.203</t>
  </si>
  <si>
    <t>zhaoyuhan090306</t>
  </si>
  <si>
    <t>117.136.8.104</t>
  </si>
  <si>
    <t>lcg7364</t>
  </si>
  <si>
    <t>刘成功</t>
  </si>
  <si>
    <t>175.30.108.125</t>
  </si>
  <si>
    <t>中国|吉林|长春|朝阳</t>
  </si>
  <si>
    <t>A20238888</t>
  </si>
  <si>
    <t>刘正渡</t>
  </si>
  <si>
    <t>60.181.134.239</t>
  </si>
  <si>
    <t>111.1.109.53</t>
  </si>
  <si>
    <t>中国|浙江|温州|龙港</t>
  </si>
  <si>
    <t>中国|浙江|温州|苍南</t>
  </si>
  <si>
    <t>hyl910329</t>
  </si>
  <si>
    <t>120.226.223.31</t>
  </si>
  <si>
    <t>sunzhenyi77</t>
  </si>
  <si>
    <t>孙振仪</t>
  </si>
  <si>
    <t>112.224.170.239</t>
  </si>
  <si>
    <t>111.17.52.95</t>
  </si>
  <si>
    <t>中国|山东|泰安|肥城</t>
  </si>
  <si>
    <t>Thuytran68</t>
  </si>
  <si>
    <t>MK1357924</t>
  </si>
  <si>
    <t>Huuan787</t>
  </si>
  <si>
    <t>Dang Huu An</t>
  </si>
  <si>
    <t>125.235.215.111</t>
  </si>
  <si>
    <t>27.66.22.111</t>
  </si>
  <si>
    <t>sondepzai12e</t>
  </si>
  <si>
    <t>42.114.185.226</t>
  </si>
  <si>
    <t>Pvnt999999999</t>
  </si>
  <si>
    <t>103.199.33.171</t>
  </si>
  <si>
    <t>Thanhduc2011</t>
  </si>
  <si>
    <t>Mai ngoc tuan</t>
  </si>
  <si>
    <t>117.5.140.57</t>
  </si>
  <si>
    <t>lc15573</t>
  </si>
  <si>
    <t>113.220.57.221</t>
  </si>
  <si>
    <t>Nganha8888</t>
  </si>
  <si>
    <t>Pham Ngan Ha</t>
  </si>
  <si>
    <t>42.112.30.43</t>
  </si>
  <si>
    <t>45.125.239.82</t>
  </si>
  <si>
    <t>Quocpb4</t>
  </si>
  <si>
    <t>PHAM BUU QUOC</t>
  </si>
  <si>
    <t>14.233.246.104</t>
  </si>
  <si>
    <t>59.153.246.202</t>
  </si>
  <si>
    <t>maniu5433110</t>
  </si>
  <si>
    <t>112.39.226.127</t>
  </si>
  <si>
    <t>中国|辽宁|葫芦岛|兴城</t>
  </si>
  <si>
    <t>anhem2424</t>
  </si>
  <si>
    <t>tran duc anh</t>
  </si>
  <si>
    <t>115.73.198.23</t>
  </si>
  <si>
    <t>27.78.51.133</t>
  </si>
  <si>
    <t>proxy_btyscnb000102</t>
  </si>
  <si>
    <t>116.50.246.50</t>
  </si>
  <si>
    <t>caobaocai666</t>
  </si>
  <si>
    <t>曹保才</t>
  </si>
  <si>
    <t>42.231.32.146</t>
  </si>
  <si>
    <t>m.bty25n.com</t>
  </si>
  <si>
    <t>中国|河南|周口|扶沟</t>
  </si>
  <si>
    <t>M123556789</t>
  </si>
  <si>
    <t>TRAN QUANG MINH</t>
  </si>
  <si>
    <t>14.169.134.71</t>
  </si>
  <si>
    <t>103.199.71.16</t>
  </si>
  <si>
    <t>hoangtp2403</t>
  </si>
  <si>
    <t>125.235.63.149</t>
  </si>
  <si>
    <t>42.119.199.224</t>
  </si>
  <si>
    <t>Taibao0101</t>
  </si>
  <si>
    <t>hhh1366399</t>
  </si>
  <si>
    <t>何凌宇</t>
  </si>
  <si>
    <t>117.136.92.104</t>
  </si>
  <si>
    <t>39.88.237.242</t>
  </si>
  <si>
    <t>中国|山东|青岛|城阳</t>
  </si>
  <si>
    <t>lz666612</t>
  </si>
  <si>
    <t>49.93.97.103</t>
  </si>
  <si>
    <t>ckk101303</t>
  </si>
  <si>
    <t>陈凯</t>
  </si>
  <si>
    <t>112.12.209.63</t>
  </si>
  <si>
    <t>中国|浙江|温州|瓯海</t>
  </si>
  <si>
    <t>0858517971za</t>
  </si>
  <si>
    <t>27.55.95.96</t>
  </si>
  <si>
    <t>Binhcan1997</t>
  </si>
  <si>
    <t>14.247.44.17</t>
  </si>
  <si>
    <t>fhf1979615</t>
  </si>
  <si>
    <t>112.40.29.51</t>
  </si>
  <si>
    <t>中国|辽宁|营口|大石桥</t>
  </si>
  <si>
    <t>nie156926</t>
  </si>
  <si>
    <t>117.136.18.122</t>
  </si>
  <si>
    <t>m-053.btytg3.com</t>
  </si>
  <si>
    <t>中国|西藏|日喀则|</t>
  </si>
  <si>
    <t>Vantruc68</t>
  </si>
  <si>
    <t>Nguyen van truc</t>
  </si>
  <si>
    <t>14.191.108.45</t>
  </si>
  <si>
    <t>116.98.2.236</t>
  </si>
  <si>
    <t>MK111111</t>
  </si>
  <si>
    <t>123q456</t>
  </si>
  <si>
    <t>183.199.162.152</t>
  </si>
  <si>
    <t>中国|河北|衡水|桃城</t>
  </si>
  <si>
    <t>Trunganhb8</t>
  </si>
  <si>
    <t>DO TRUNG ANH</t>
  </si>
  <si>
    <t>1.53.102.196</t>
  </si>
  <si>
    <t>phamdat19892012</t>
  </si>
  <si>
    <t>PHAM DINH DAT</t>
  </si>
  <si>
    <t>123.16.148.105</t>
  </si>
  <si>
    <t>jjab137</t>
  </si>
  <si>
    <t>27.128.10.63</t>
  </si>
  <si>
    <t>qq154912</t>
  </si>
  <si>
    <t>124.160.214.12</t>
  </si>
  <si>
    <t>hoahong19</t>
  </si>
  <si>
    <t>171.253.18.30</t>
  </si>
  <si>
    <t>183.80.65.166</t>
  </si>
  <si>
    <t>caythue1</t>
  </si>
  <si>
    <t>103.199.40.169</t>
  </si>
  <si>
    <t>991899lzx</t>
  </si>
  <si>
    <t>182.90.200.20</t>
  </si>
  <si>
    <t>Vodichl1993</t>
  </si>
  <si>
    <t>VO VAN XUAN DI</t>
  </si>
  <si>
    <t>27.75.236.201</t>
  </si>
  <si>
    <t>nguyentoi2411</t>
  </si>
  <si>
    <t>42.112.91.151</t>
  </si>
  <si>
    <t>zha5566</t>
  </si>
  <si>
    <t>223.104.162.69</t>
  </si>
  <si>
    <t>m.mqknpn.com</t>
  </si>
  <si>
    <t>中国|浙江|温州|</t>
  </si>
  <si>
    <t>taodiep100</t>
  </si>
  <si>
    <t>nguyen tien diep</t>
  </si>
  <si>
    <t>171.224.180.8</t>
  </si>
  <si>
    <t>VoDi1993</t>
  </si>
  <si>
    <t>125.235.123.0</t>
  </si>
  <si>
    <t>ll529796158</t>
  </si>
  <si>
    <t>栗磊</t>
  </si>
  <si>
    <t>110.152.247.200</t>
  </si>
  <si>
    <t>中国|新疆|乌鲁木齐|沙依巴克</t>
  </si>
  <si>
    <t>xiaolinzhu818</t>
  </si>
  <si>
    <t>218.207.145.130</t>
  </si>
  <si>
    <t>中国|福建|莆田|荔城</t>
  </si>
  <si>
    <t>Thebest32</t>
  </si>
  <si>
    <t>Truong Van Toan</t>
  </si>
  <si>
    <t>14.161.246.77</t>
  </si>
  <si>
    <t>171.245.171.126</t>
  </si>
  <si>
    <t>Kimdung90</t>
  </si>
  <si>
    <t>14.161.241.128</t>
  </si>
  <si>
    <t>Cuong231985</t>
  </si>
  <si>
    <t>113.185.104.148</t>
  </si>
  <si>
    <t>sontteo193</t>
  </si>
  <si>
    <t>42.114.205.46</t>
  </si>
  <si>
    <t>laibin5</t>
  </si>
  <si>
    <t>覃立</t>
  </si>
  <si>
    <t>106.127.96.121</t>
  </si>
  <si>
    <t>106.127.100.150</t>
  </si>
  <si>
    <t>中国|广西|北海|</t>
  </si>
  <si>
    <t>jiang19902</t>
  </si>
  <si>
    <t>111.23.220.144</t>
  </si>
  <si>
    <t>中国|湖南|岳阳|湘阴</t>
  </si>
  <si>
    <t>Shuyen2000</t>
  </si>
  <si>
    <t>171.255.70.39</t>
  </si>
  <si>
    <t>N99999999</t>
  </si>
  <si>
    <t>LE HOANG KHANG</t>
  </si>
  <si>
    <t>115.75.187.26</t>
  </si>
  <si>
    <t>171.240.213.129</t>
  </si>
  <si>
    <t>Truongansimvy2</t>
  </si>
  <si>
    <t>113.22.174.156</t>
  </si>
  <si>
    <t>Chunghp68</t>
  </si>
  <si>
    <t>PHAM VAN CHUNG</t>
  </si>
  <si>
    <t>118.70.94.12</t>
  </si>
  <si>
    <t>Vyvyvoyeu97</t>
  </si>
  <si>
    <t>LE VAN SANG</t>
  </si>
  <si>
    <t>27.70.209.111</t>
  </si>
  <si>
    <t>qw123456op</t>
  </si>
  <si>
    <t>111.22.156.164</t>
  </si>
  <si>
    <t>中国|湖南|长沙|雨花区</t>
  </si>
  <si>
    <t>cauca3030</t>
  </si>
  <si>
    <t>27.67.11.188</t>
  </si>
  <si>
    <t>m-t6t.btytg3.com</t>
  </si>
  <si>
    <t>Nguyenvancung12</t>
  </si>
  <si>
    <t>117.5.146.205</t>
  </si>
  <si>
    <t>Phuongnam2022</t>
  </si>
  <si>
    <t>27.66.50.61</t>
  </si>
  <si>
    <t>m.bty6132.com</t>
  </si>
  <si>
    <t>Tham0915351909</t>
  </si>
  <si>
    <t>Nguyen khac tri</t>
  </si>
  <si>
    <t>1.53.200.248</t>
  </si>
  <si>
    <t>TIPTOP007</t>
  </si>
  <si>
    <t>www.bty581.com</t>
  </si>
  <si>
    <t>kong54321</t>
  </si>
  <si>
    <t>117.136.13.103</t>
  </si>
  <si>
    <t>xxmm521</t>
  </si>
  <si>
    <t>杨根</t>
  </si>
  <si>
    <t>39.144.141.17</t>
  </si>
  <si>
    <t>39.144.141.21</t>
  </si>
  <si>
    <t>taolaai12345</t>
  </si>
  <si>
    <t>Ha Le Thanh Huy</t>
  </si>
  <si>
    <t>115.77.49.182</t>
  </si>
  <si>
    <t>Sonmong1234</t>
  </si>
  <si>
    <t>Doan thi kieu</t>
  </si>
  <si>
    <t>59.153.238.88</t>
  </si>
  <si>
    <t>183.81.93.95</t>
  </si>
  <si>
    <t>Chanh2209</t>
  </si>
  <si>
    <t>171.224.178.246</t>
  </si>
  <si>
    <t>holy1shit1</t>
  </si>
  <si>
    <t>刘鑫</t>
  </si>
  <si>
    <t>36.19.108.81</t>
  </si>
  <si>
    <t>Dothi98</t>
  </si>
  <si>
    <t>123.26.118.143</t>
  </si>
  <si>
    <t>Khai1q</t>
  </si>
  <si>
    <t>TRAN QUANG KHAI</t>
  </si>
  <si>
    <t>14.168.229.110</t>
  </si>
  <si>
    <t>Thangthinhlac1</t>
  </si>
  <si>
    <t>123.16.117.65</t>
  </si>
  <si>
    <t>quangquach1404</t>
  </si>
  <si>
    <t>113.185.75.255</t>
  </si>
  <si>
    <t>Gau90hpv</t>
  </si>
  <si>
    <t>59.153.246.79</t>
  </si>
  <si>
    <t>Nhatlong9999</t>
  </si>
  <si>
    <t>Nguyen Nhat Long</t>
  </si>
  <si>
    <t>106.154.155.110</t>
  </si>
  <si>
    <t>m-4ul.btytg2.com</t>
  </si>
  <si>
    <t>106.154.155.123</t>
  </si>
  <si>
    <t>ledung990</t>
  </si>
  <si>
    <t>113.188.87.155</t>
  </si>
  <si>
    <t>125.235.233.172</t>
  </si>
  <si>
    <t>wqy376919875333</t>
  </si>
  <si>
    <t>113.8.13.34</t>
  </si>
  <si>
    <t>中国|黑龙江|齐齐哈尔|碾子山</t>
  </si>
  <si>
    <t>Thuymuon37</t>
  </si>
  <si>
    <t>14.191.34.94</t>
  </si>
  <si>
    <t>m-evh.btytg3.com</t>
  </si>
  <si>
    <t>zz1166</t>
  </si>
  <si>
    <t>李忠海</t>
  </si>
  <si>
    <t>113.63.48.22</t>
  </si>
  <si>
    <t>中国|西藏|拉萨|</t>
  </si>
  <si>
    <t>Cupin54321</t>
  </si>
  <si>
    <t>118.68.1.141</t>
  </si>
  <si>
    <t>Anpro881</t>
  </si>
  <si>
    <t>Vo Duy Khoa</t>
  </si>
  <si>
    <t>Kimto1980</t>
  </si>
  <si>
    <t>NGUYEN THI TU ANH</t>
  </si>
  <si>
    <t>113.185.46.148</t>
  </si>
  <si>
    <t>14.181.222.179</t>
  </si>
  <si>
    <t>dx331881524</t>
  </si>
  <si>
    <t>223.104.1.153</t>
  </si>
  <si>
    <t>quangminh92</t>
  </si>
  <si>
    <t>222.252.255.150</t>
  </si>
  <si>
    <t>nghuudu1</t>
  </si>
  <si>
    <t>171.251.237.58</t>
  </si>
  <si>
    <t>fghhfff453556</t>
  </si>
  <si>
    <t>39.188.110.194</t>
  </si>
  <si>
    <t>m-y27.btytg2.com</t>
  </si>
  <si>
    <t>中国|浙江|宁波|慈溪市</t>
  </si>
  <si>
    <t>Olaalo090</t>
  </si>
  <si>
    <t>222.253.231.67</t>
  </si>
  <si>
    <t>Namnguyen9523</t>
  </si>
  <si>
    <t>116.98.0.211</t>
  </si>
  <si>
    <t>Hieudairoto99</t>
  </si>
  <si>
    <t>14.177.241.186</t>
  </si>
  <si>
    <t>Chienkb123</t>
  </si>
  <si>
    <t>115.77.125.166</t>
  </si>
  <si>
    <t>hdhxh58357861</t>
  </si>
  <si>
    <t>120.231.70.176</t>
  </si>
  <si>
    <t>中国|广东|肇庆|怀集县</t>
  </si>
  <si>
    <t>Luffy12345</t>
  </si>
  <si>
    <t>Nguyen Trung Nghia</t>
  </si>
  <si>
    <t>sjsnwsnlqq331h</t>
  </si>
  <si>
    <t>何辉航</t>
  </si>
  <si>
    <t>117.155.137.97</t>
  </si>
  <si>
    <t>223.104.123.29</t>
  </si>
  <si>
    <t>中国|湖北|咸宁|通城</t>
  </si>
  <si>
    <t>Lehai11</t>
  </si>
  <si>
    <t>42.118.51.201</t>
  </si>
  <si>
    <t>zhulei880430</t>
  </si>
  <si>
    <t>27.19.232.16</t>
  </si>
  <si>
    <t>m.bty1191.com</t>
  </si>
  <si>
    <t>中国|湖北|武汉|武昌</t>
  </si>
  <si>
    <t>vuong00012</t>
  </si>
  <si>
    <t>NGUYEN THANH VUONG</t>
  </si>
  <si>
    <t>171.239.54.176</t>
  </si>
  <si>
    <t>Tramy01</t>
  </si>
  <si>
    <t>113.185.108.56</t>
  </si>
  <si>
    <t>113.185.105.183</t>
  </si>
  <si>
    <t>asd707768</t>
  </si>
  <si>
    <t>蒋建湘</t>
  </si>
  <si>
    <t>39.144.193.183</t>
  </si>
  <si>
    <t>39.144.193.157</t>
  </si>
  <si>
    <t>中国|湖南|长沙|</t>
  </si>
  <si>
    <t>Shaketuan68</t>
  </si>
  <si>
    <t>HA PHUONG TUAN</t>
  </si>
  <si>
    <t>112.197.207.202</t>
  </si>
  <si>
    <t>27.66.52.240</t>
  </si>
  <si>
    <t>wya10117418</t>
  </si>
  <si>
    <t>117.136.89.167</t>
  </si>
  <si>
    <t>m-uvl.btytg3.com</t>
  </si>
  <si>
    <t>117.136.89.175</t>
  </si>
  <si>
    <t>LKHG1234</t>
  </si>
  <si>
    <t>李浩铭</t>
  </si>
  <si>
    <t>112.47.235.193</t>
  </si>
  <si>
    <t>Jinicm82</t>
  </si>
  <si>
    <t>171.253.180.32</t>
  </si>
  <si>
    <t>jjj0926</t>
  </si>
  <si>
    <t>李晓婉</t>
  </si>
  <si>
    <t>39.144.81.18</t>
  </si>
  <si>
    <t>211.94.236.162</t>
  </si>
  <si>
    <t>中国|天津||</t>
  </si>
  <si>
    <t>ltt520</t>
  </si>
  <si>
    <t>39.144.230.227</t>
  </si>
  <si>
    <t>wangjunsong6884</t>
  </si>
  <si>
    <t>117.173.63.110</t>
  </si>
  <si>
    <t>m-yvq.btytg3.com</t>
  </si>
  <si>
    <t>中国|四川|达州|</t>
  </si>
  <si>
    <t>qq15998080114</t>
  </si>
  <si>
    <t>刘晓瑞</t>
  </si>
  <si>
    <t>39.144.59.153</t>
  </si>
  <si>
    <t>117.61.30.190</t>
  </si>
  <si>
    <t>gxq898</t>
  </si>
  <si>
    <t>183.202.147.222</t>
  </si>
  <si>
    <t>中国|山西|临汾|乡宁县</t>
  </si>
  <si>
    <t>Phong5694</t>
  </si>
  <si>
    <t>171.251.233.84</t>
  </si>
  <si>
    <t>Naogc11</t>
  </si>
  <si>
    <t>171.250.166.140</t>
  </si>
  <si>
    <t>q931968825</t>
  </si>
  <si>
    <t>黄煌</t>
  </si>
  <si>
    <t>113.95.182.115</t>
  </si>
  <si>
    <t>223.73.173.100</t>
  </si>
  <si>
    <t>中国|广东|肇庆|四会</t>
  </si>
  <si>
    <t>中国|广东|肇庆|四会市</t>
  </si>
  <si>
    <t>loikhong1</t>
  </si>
  <si>
    <t>NGUYEN TRUNG KIEN</t>
  </si>
  <si>
    <t>125.235.231.200</t>
  </si>
  <si>
    <t>tx811017888</t>
  </si>
  <si>
    <t>田旭</t>
  </si>
  <si>
    <t>14.0.171.220</t>
  </si>
  <si>
    <t>LP20061204</t>
  </si>
  <si>
    <t>220.200.242.70</t>
  </si>
  <si>
    <t>220.200.242.150</t>
  </si>
  <si>
    <t>中国|宁夏|银川|</t>
  </si>
  <si>
    <t>Trum1112</t>
  </si>
  <si>
    <t>TRAN THIEN THANH</t>
  </si>
  <si>
    <t>113.185.73.199</t>
  </si>
  <si>
    <t>同设备同姓名多账号保留一个账 8/8 FK-DAHLIA</t>
  </si>
  <si>
    <t>Levthanh1989</t>
  </si>
  <si>
    <t>LE VAN THANH</t>
  </si>
  <si>
    <t>171.255.65.42</t>
  </si>
  <si>
    <t>yi210135</t>
  </si>
  <si>
    <t>111.59.185.133</t>
  </si>
  <si>
    <t>Qqaz123</t>
  </si>
  <si>
    <t>120.14.151.80</t>
  </si>
  <si>
    <t>中国|河北|邢台|襄都</t>
  </si>
  <si>
    <t>Urenco21</t>
  </si>
  <si>
    <t>NGUYEN HUNG TRANG</t>
  </si>
  <si>
    <t>113.178.30.129</t>
  </si>
  <si>
    <t>113.185.41.57</t>
  </si>
  <si>
    <t>zhpsh111</t>
  </si>
  <si>
    <t>122.96.44.61</t>
  </si>
  <si>
    <t>Boys2536</t>
  </si>
  <si>
    <t>สราวุธเพี้ยไธสง</t>
  </si>
  <si>
    <t>223.24.165.246</t>
  </si>
  <si>
    <t>223.24.151.39</t>
  </si>
  <si>
    <t>aaaa199503</t>
  </si>
  <si>
    <t>安召牙次力</t>
  </si>
  <si>
    <t>42.88.246.88</t>
  </si>
  <si>
    <t>中国|甘肃|张掖|临泽</t>
  </si>
  <si>
    <t>yy18680320229</t>
  </si>
  <si>
    <t>陈康成</t>
  </si>
  <si>
    <t>119.123.156.182</t>
  </si>
  <si>
    <t>minhminh666</t>
  </si>
  <si>
    <t>LE THI TAM</t>
  </si>
  <si>
    <t>27.77.210.185</t>
  </si>
  <si>
    <t>zhw102030</t>
  </si>
  <si>
    <t>张宏伟</t>
  </si>
  <si>
    <t>116.8.167.1</t>
  </si>
  <si>
    <t>m.bty1186.com</t>
  </si>
  <si>
    <t>117.183.54.27</t>
  </si>
  <si>
    <t>13088168002L</t>
  </si>
  <si>
    <t>李远军</t>
  </si>
  <si>
    <t>112.195.129.29</t>
  </si>
  <si>
    <t>Huyen1912</t>
  </si>
  <si>
    <t>Tran Thi Nhu Huyen</t>
  </si>
  <si>
    <t>初审后层级2.1</t>
  </si>
  <si>
    <t>123.21.136.185</t>
  </si>
  <si>
    <t>m-ct8.btytg3.com</t>
  </si>
  <si>
    <t>123.21.97.185</t>
  </si>
  <si>
    <t>Hsb3135151097</t>
  </si>
  <si>
    <t>125.115.36.252</t>
  </si>
  <si>
    <t>中国|浙江|宁波|慈溪</t>
  </si>
  <si>
    <t>ASD93600</t>
  </si>
  <si>
    <t>孙泽明</t>
  </si>
  <si>
    <t>117.136.79.106</t>
  </si>
  <si>
    <t>m-w9.bsports9.com</t>
  </si>
  <si>
    <t>zhxh567</t>
  </si>
  <si>
    <t>kh0008</t>
  </si>
  <si>
    <t>183.227.63.78</t>
  </si>
  <si>
    <t>m-djz.btytg3.com</t>
  </si>
  <si>
    <t>中国|重庆||綦江</t>
  </si>
  <si>
    <t>emrhrz01</t>
  </si>
  <si>
    <t>178.240.187.3</t>
  </si>
  <si>
    <t>chithien08</t>
  </si>
  <si>
    <t>103.199.69.221</t>
  </si>
  <si>
    <t>emrhrz1</t>
  </si>
  <si>
    <t>z1545856793</t>
  </si>
  <si>
    <t>张旭</t>
  </si>
  <si>
    <t>60.220.28.190</t>
  </si>
  <si>
    <t>中国|山西|长治|屯留</t>
  </si>
  <si>
    <t>w15394398040</t>
  </si>
  <si>
    <t>zsdl15101</t>
  </si>
  <si>
    <t>36.23.124.175</t>
  </si>
  <si>
    <t>m-lvw.btytg1.com</t>
  </si>
  <si>
    <t>Kaermale123</t>
  </si>
  <si>
    <t>31.161.156.120</t>
  </si>
  <si>
    <t>wutt1997</t>
  </si>
  <si>
    <t>42.84.233.148</t>
  </si>
  <si>
    <t>m.bty393.com</t>
  </si>
  <si>
    <t>中国|辽宁|大连|</t>
  </si>
  <si>
    <t>Duyvuong123</t>
  </si>
  <si>
    <t>Tran Thanh Luan</t>
  </si>
  <si>
    <t>14.191.201.210</t>
  </si>
  <si>
    <t>ly0930</t>
  </si>
  <si>
    <t>Jason5899</t>
  </si>
  <si>
    <t>吕俊鹏</t>
  </si>
  <si>
    <t>37.203.152.49</t>
  </si>
  <si>
    <t>m.bty551.com</t>
  </si>
  <si>
    <t>GG1433882001</t>
  </si>
  <si>
    <t>凡锦荣</t>
  </si>
  <si>
    <t>43.249.50.188</t>
  </si>
  <si>
    <t>m.bty1025.com</t>
  </si>
  <si>
    <t>vietnam0i3434</t>
  </si>
  <si>
    <t>171.227.86.141</t>
  </si>
  <si>
    <t>Nhutay999</t>
  </si>
  <si>
    <t>171.232.27.206</t>
  </si>
  <si>
    <t>wum900959</t>
  </si>
  <si>
    <t>38.72.142.48</t>
  </si>
  <si>
    <t>q15534735888</t>
  </si>
  <si>
    <t>112.96.112.64</t>
  </si>
  <si>
    <t>Tranvubao1</t>
  </si>
  <si>
    <t>TRAN VU BAO</t>
  </si>
  <si>
    <t>118.71.39.77</t>
  </si>
  <si>
    <t>1337791859a</t>
  </si>
  <si>
    <t>183.216.234.17</t>
  </si>
  <si>
    <t>Keng198546</t>
  </si>
  <si>
    <t>49.228.210.182</t>
  </si>
  <si>
    <t>泰国|曼谷||</t>
  </si>
  <si>
    <t>ABC1357902468</t>
  </si>
  <si>
    <t>120.231.139.90</t>
  </si>
  <si>
    <t>nm168168</t>
  </si>
  <si>
    <t>叶凡</t>
  </si>
  <si>
    <t>183.6.184.34</t>
  </si>
  <si>
    <t>Hoamini95</t>
  </si>
  <si>
    <t>112.197.37.226</t>
  </si>
  <si>
    <t>Lit123yu</t>
  </si>
  <si>
    <t>123.116.119.103</t>
  </si>
  <si>
    <t>中国|北京||海淀</t>
  </si>
  <si>
    <t>Battu8xhn</t>
  </si>
  <si>
    <t>PHAM HOANG MINH</t>
  </si>
  <si>
    <t>115.72.73.149</t>
  </si>
  <si>
    <t>haidang5252</t>
  </si>
  <si>
    <t>14.191.58.232</t>
  </si>
  <si>
    <t>hungsting12</t>
  </si>
  <si>
    <t>PHAM TUAN HUNG</t>
  </si>
  <si>
    <t>125.235.234.244</t>
  </si>
  <si>
    <t>sity190</t>
  </si>
  <si>
    <t>42.118.145.20</t>
  </si>
  <si>
    <t>kemiu95</t>
  </si>
  <si>
    <t>125.235.229.222</t>
  </si>
  <si>
    <t>gg677bbnn</t>
  </si>
  <si>
    <t>39.144.194.79</t>
  </si>
  <si>
    <t>中国|湖南|株洲|</t>
  </si>
  <si>
    <t>aa131004</t>
  </si>
  <si>
    <t>120.231.28.86</t>
  </si>
  <si>
    <t>223.104.66.209</t>
  </si>
  <si>
    <t>Thanakon46</t>
  </si>
  <si>
    <t>1.20.219.99</t>
  </si>
  <si>
    <t>泰国|清莱||</t>
  </si>
  <si>
    <t>Cumaytoangroi1</t>
  </si>
  <si>
    <t>118.71.192.253</t>
  </si>
  <si>
    <t>Namvip88</t>
  </si>
  <si>
    <t>Nguyen thanh nhanh</t>
  </si>
  <si>
    <t>14.184.79.247</t>
  </si>
  <si>
    <t>Nhatcr41</t>
  </si>
  <si>
    <t>103.199.32.50</t>
  </si>
  <si>
    <t>b85BSPO</t>
  </si>
  <si>
    <t>NGUYEN VAN BIEN</t>
  </si>
  <si>
    <t>115.77.10.46</t>
  </si>
  <si>
    <t>chihung1993</t>
  </si>
  <si>
    <t>14.230.21.130</t>
  </si>
  <si>
    <t>www.bty0590.com</t>
  </si>
  <si>
    <t>113.169.45.241</t>
  </si>
  <si>
    <t>Culop99</t>
  </si>
  <si>
    <t>118.71.192.135</t>
  </si>
  <si>
    <t>hxf920731</t>
  </si>
  <si>
    <t>223.104.51.12</t>
  </si>
  <si>
    <t>duongcoi9696</t>
  </si>
  <si>
    <t>nguyen dinh nghiep</t>
  </si>
  <si>
    <t>171.255.120.99</t>
  </si>
  <si>
    <t>171.255.113.113</t>
  </si>
  <si>
    <t>Duongcoi96</t>
  </si>
  <si>
    <t>cafedenda4</t>
  </si>
  <si>
    <t>储兆雄</t>
  </si>
  <si>
    <t>116.205.253.217</t>
  </si>
  <si>
    <t>dfwg1111</t>
  </si>
  <si>
    <t>吴卓成</t>
  </si>
  <si>
    <t>223.94.208.143</t>
  </si>
  <si>
    <t>中国|浙江|嘉兴|桐乡市</t>
  </si>
  <si>
    <t>Baotran89</t>
  </si>
  <si>
    <t>116.110.225.227</t>
  </si>
  <si>
    <t>0965766791n</t>
  </si>
  <si>
    <t>NGUYEN VAN SON</t>
  </si>
  <si>
    <t>125.235.137.116</t>
  </si>
  <si>
    <t>ying070506</t>
  </si>
  <si>
    <t>116.253.71.61</t>
  </si>
  <si>
    <t>Vuongmat0</t>
  </si>
  <si>
    <t>VU NGOC VUONG</t>
  </si>
  <si>
    <t>113.185.72.22</t>
  </si>
  <si>
    <t>vietminhnhat3737</t>
  </si>
  <si>
    <t>79.221.42.225</t>
  </si>
  <si>
    <t>中国|石勒苏益格-荷尔斯泰因||</t>
  </si>
  <si>
    <t>Minono12</t>
  </si>
  <si>
    <t>Pham xuan sang</t>
  </si>
  <si>
    <t>27.67.183.47</t>
  </si>
  <si>
    <t>VeliAli3548</t>
  </si>
  <si>
    <t>31.223.2.110</t>
  </si>
  <si>
    <t>sss130428</t>
  </si>
  <si>
    <t>史志安</t>
  </si>
  <si>
    <t>111.183.25.130</t>
  </si>
  <si>
    <t>183.94.172.102</t>
  </si>
  <si>
    <t>中国|湖北|武汉|江夏区</t>
  </si>
  <si>
    <t>wang2738</t>
  </si>
  <si>
    <t>王启航</t>
  </si>
  <si>
    <t>124.88.143.204</t>
  </si>
  <si>
    <t>124.88.143.209</t>
  </si>
  <si>
    <t>中国|新疆|吐鲁番|鄯善</t>
  </si>
  <si>
    <t>veliAli35</t>
  </si>
  <si>
    <t>FDLYHTT001</t>
  </si>
  <si>
    <t>36.60.52.241</t>
  </si>
  <si>
    <t>m.bty359.com</t>
  </si>
  <si>
    <t>104.28.195.185</t>
  </si>
  <si>
    <t>中国|新南威尔士|悉尼|</t>
  </si>
  <si>
    <t>cs30636898</t>
  </si>
  <si>
    <t>221.222.203.82</t>
  </si>
  <si>
    <t>Vanle68</t>
  </si>
  <si>
    <t>LE VAN DE</t>
  </si>
  <si>
    <t>113.185.75.27</t>
  </si>
  <si>
    <t>14.172.159.97</t>
  </si>
  <si>
    <t>x1829593182</t>
  </si>
  <si>
    <t>223.104.194.97</t>
  </si>
  <si>
    <t>Nhutnam05</t>
  </si>
  <si>
    <t>CHUNG NHUT NAM</t>
  </si>
  <si>
    <t>115.74.9.52</t>
  </si>
  <si>
    <t>115.74.228.3</t>
  </si>
  <si>
    <t>wwee1541367785</t>
  </si>
  <si>
    <t>124.227.206.86</t>
  </si>
  <si>
    <t>中国|广西|贵港|桂平</t>
  </si>
  <si>
    <t>a13536511211</t>
  </si>
  <si>
    <t>wbdl1363</t>
  </si>
  <si>
    <t>120.228.254.208</t>
  </si>
  <si>
    <t>m-8d3.btytg3.com</t>
  </si>
  <si>
    <t>39.144.191.17</t>
  </si>
  <si>
    <t>中国|湖南|湘潭|湘乡</t>
  </si>
  <si>
    <t>asda21sx</t>
  </si>
  <si>
    <t>tamh9909</t>
  </si>
  <si>
    <t>NGUYEN THI NONG</t>
  </si>
  <si>
    <t>27.64.141.183</t>
  </si>
  <si>
    <t>hui285809</t>
  </si>
  <si>
    <t>杨肖</t>
  </si>
  <si>
    <t>Huangkj123456</t>
  </si>
  <si>
    <t>112.103.242.186</t>
  </si>
  <si>
    <t>中国|黑龙江|哈尔滨|</t>
  </si>
  <si>
    <t>Bodoi96</t>
  </si>
  <si>
    <t>CHU VAN THIEP</t>
  </si>
  <si>
    <t>123.18.27.42</t>
  </si>
  <si>
    <t>Vucongkien2001</t>
  </si>
  <si>
    <t>118.70.42.86</t>
  </si>
  <si>
    <t>gialinh123zz</t>
  </si>
  <si>
    <t>171.251.234.58</t>
  </si>
  <si>
    <t>xfl1121</t>
  </si>
  <si>
    <t>101.71.108.216</t>
  </si>
  <si>
    <t>101.71.110.126</t>
  </si>
  <si>
    <t>pzh16888888</t>
  </si>
  <si>
    <t>彭增辉</t>
  </si>
  <si>
    <t>223.74.37.145</t>
  </si>
  <si>
    <t>m.bty1220.com</t>
  </si>
  <si>
    <t>qq880525</t>
  </si>
  <si>
    <t>183.95.249.188</t>
  </si>
  <si>
    <t>lmj1230</t>
  </si>
  <si>
    <t>李名建</t>
  </si>
  <si>
    <t>182.101.100.192</t>
  </si>
  <si>
    <t>www.bty2qe.com</t>
  </si>
  <si>
    <t>中国|江西|九江|濂溪</t>
  </si>
  <si>
    <t>cc171226</t>
  </si>
  <si>
    <t>韩小龙</t>
  </si>
  <si>
    <t>43.239.85.202</t>
  </si>
  <si>
    <t>hotuyet6789</t>
  </si>
  <si>
    <t>TRUONG QUANG THANG</t>
  </si>
  <si>
    <t>59.153.251.178</t>
  </si>
  <si>
    <t>cyc13579</t>
  </si>
  <si>
    <t>39.144.249.224</t>
  </si>
  <si>
    <t>39.144.249.232</t>
  </si>
  <si>
    <t>中国|福建|龙岩|</t>
  </si>
  <si>
    <t>nihao9900</t>
  </si>
  <si>
    <t>166.216.158.70</t>
  </si>
  <si>
    <t>Thuythuy80</t>
  </si>
  <si>
    <t>42.113.154.255</t>
  </si>
  <si>
    <t>Duccr7979</t>
  </si>
  <si>
    <t>14.191.115.64</t>
  </si>
  <si>
    <t>cuojnhocnd92</t>
  </si>
  <si>
    <t>14.162.70.3</t>
  </si>
  <si>
    <t>gogogogo888</t>
  </si>
  <si>
    <t>zzzb03</t>
  </si>
  <si>
    <t>155.137.241.253</t>
  </si>
  <si>
    <t>m.bty1031.com</t>
  </si>
  <si>
    <t>hnb12345</t>
  </si>
  <si>
    <t>223.104.149.226</t>
  </si>
  <si>
    <t>223.104.149.242</t>
  </si>
  <si>
    <t>su2823489</t>
  </si>
  <si>
    <t>苏欣</t>
  </si>
  <si>
    <t>175.173.213.22</t>
  </si>
  <si>
    <t>175.165.253.221</t>
  </si>
  <si>
    <t>中国|辽宁|盘锦|双台子</t>
  </si>
  <si>
    <t>ave333</t>
  </si>
  <si>
    <t>潘秀斌</t>
  </si>
  <si>
    <t>58.42.77.54</t>
  </si>
  <si>
    <t>1.206.140.245</t>
  </si>
  <si>
    <t>中国|贵州|黔南|福泉</t>
  </si>
  <si>
    <t>q616725302</t>
  </si>
  <si>
    <t>尹升礼</t>
  </si>
  <si>
    <t>120.87.221.146</t>
  </si>
  <si>
    <t>120.87.220.1</t>
  </si>
  <si>
    <t>edxrfc369</t>
  </si>
  <si>
    <t>苏桥烽</t>
  </si>
  <si>
    <t>39.144.180.245</t>
  </si>
  <si>
    <t>42.238.61.43</t>
  </si>
  <si>
    <t>中国|河南|平顶山|叶县</t>
  </si>
  <si>
    <t>z3513937</t>
  </si>
  <si>
    <t>李凯君</t>
  </si>
  <si>
    <t>223.104.122.137</t>
  </si>
  <si>
    <t>chicanyeu1</t>
  </si>
  <si>
    <t>116.110.224.139</t>
  </si>
  <si>
    <t>Tuyen23901</t>
  </si>
  <si>
    <t>TRAN ANH TUYEN</t>
  </si>
  <si>
    <t>42.118.42.143</t>
  </si>
  <si>
    <t>Fqh12345678</t>
  </si>
  <si>
    <t>樊啟航</t>
  </si>
  <si>
    <t>113.68.131.174</t>
  </si>
  <si>
    <t>113.111.91.160</t>
  </si>
  <si>
    <t>中国|广东|广州|海珠</t>
  </si>
  <si>
    <t>phamvanan20</t>
  </si>
  <si>
    <t>115.72.76.79</t>
  </si>
  <si>
    <t>Spartan969</t>
  </si>
  <si>
    <t>วันเฉลิม อาวรกูล</t>
  </si>
  <si>
    <t>49.237.16.164</t>
  </si>
  <si>
    <t>E66757</t>
  </si>
  <si>
    <t>姚立雄</t>
  </si>
  <si>
    <t>119.135.59.250</t>
  </si>
  <si>
    <t>www.bty1297.com</t>
  </si>
  <si>
    <t>中国|广东|湛江|吴川市</t>
  </si>
  <si>
    <t>Zyy285878</t>
  </si>
  <si>
    <t>张杨洋</t>
  </si>
  <si>
    <t>223.104.218.157</t>
  </si>
  <si>
    <t>101.206.35.1</t>
  </si>
  <si>
    <t>中国|四川|泸州|江阳</t>
  </si>
  <si>
    <t>btran9999</t>
  </si>
  <si>
    <t>42.119.95.183</t>
  </si>
  <si>
    <t>113.185.41.223</t>
  </si>
  <si>
    <t>teng2531</t>
  </si>
  <si>
    <t>滕玲玑</t>
  </si>
  <si>
    <t>171.106.22.26</t>
  </si>
  <si>
    <t>中国|广西|桂林|七星</t>
  </si>
  <si>
    <t>Teibto2541</t>
  </si>
  <si>
    <t>103.13.31.250</t>
  </si>
  <si>
    <t>moom998877</t>
  </si>
  <si>
    <t>39.144.65.165</t>
  </si>
  <si>
    <t>Hoaian12345</t>
  </si>
  <si>
    <t>PHAM DUC SON</t>
  </si>
  <si>
    <t>113.160.225.191</t>
  </si>
  <si>
    <t>171.225.184.249</t>
  </si>
  <si>
    <t>236654874z</t>
  </si>
  <si>
    <t>赵越凡</t>
  </si>
  <si>
    <t>118.120.161.144</t>
  </si>
  <si>
    <t>中国|四川|泸州|江阳区</t>
  </si>
  <si>
    <t>QQ880411</t>
  </si>
  <si>
    <t>陈庆</t>
  </si>
  <si>
    <t>153.34.18.19</t>
  </si>
  <si>
    <t>中国|江苏|苏州|吴中</t>
  </si>
  <si>
    <t>yyvgttm23</t>
  </si>
  <si>
    <t>Judas555</t>
  </si>
  <si>
    <t>เกียรติศักดิ์ พงสปิน</t>
  </si>
  <si>
    <t>180.180.63.102</t>
  </si>
  <si>
    <t>Conbosua2toi</t>
  </si>
  <si>
    <t>27.68.158.159</t>
  </si>
  <si>
    <t>vip998866</t>
  </si>
  <si>
    <t>kh0004</t>
  </si>
  <si>
    <t>117.176.216.233</t>
  </si>
  <si>
    <t>m.bty318.com</t>
  </si>
  <si>
    <t>223.104.220.210</t>
  </si>
  <si>
    <t>quaytp292</t>
  </si>
  <si>
    <t>103.199.32.153</t>
  </si>
  <si>
    <t>635897abcdef</t>
  </si>
  <si>
    <t>39.144.177.81</t>
  </si>
  <si>
    <t>m.bty1227.com</t>
  </si>
  <si>
    <t>Vela1991</t>
  </si>
  <si>
    <t>DUONG VAN THIEM</t>
  </si>
  <si>
    <t>123.24.210.219</t>
  </si>
  <si>
    <t>113.23.51.14</t>
  </si>
  <si>
    <t>Tungdjnh2021</t>
  </si>
  <si>
    <t>27.66.22.151</t>
  </si>
  <si>
    <t>shan33shan</t>
  </si>
  <si>
    <t>丁山山</t>
  </si>
  <si>
    <t>183.199.2.88</t>
  </si>
  <si>
    <t>中国|河北|唐山|曹妃甸</t>
  </si>
  <si>
    <t>Naname9999</t>
  </si>
  <si>
    <t>223.24.188.58</t>
  </si>
  <si>
    <t>ys0289</t>
  </si>
  <si>
    <t>闫硕</t>
  </si>
  <si>
    <t>223.117.216.188</t>
  </si>
  <si>
    <t>中国|新疆|伊犁|霍尔果斯</t>
  </si>
  <si>
    <t>Xman678999</t>
  </si>
  <si>
    <t>PHAM MINH DUC</t>
  </si>
  <si>
    <t>14.255.160.143</t>
  </si>
  <si>
    <t>danmiaomiao888</t>
  </si>
  <si>
    <t>刘灿民</t>
  </si>
  <si>
    <t>223.104.71.198</t>
  </si>
  <si>
    <t>m.bty581.com</t>
  </si>
  <si>
    <t>113.75.161.21</t>
  </si>
  <si>
    <t>中国|广东|韶关|武江</t>
  </si>
  <si>
    <t>同设备多账号保留一个 待处理  8/8 FK-LIAN</t>
  </si>
  <si>
    <t>yusufX16</t>
  </si>
  <si>
    <t>176.235.172.131</t>
  </si>
  <si>
    <t>m.bty102.com</t>
  </si>
  <si>
    <t>5.176.187.125</t>
  </si>
  <si>
    <t>qq14283020</t>
  </si>
  <si>
    <t>223.160.222.21</t>
  </si>
  <si>
    <t>1034869893q</t>
  </si>
  <si>
    <t>76.243.220.179</t>
  </si>
  <si>
    <t>m.bty1061.com</t>
  </si>
  <si>
    <t>中国|加利福尼亚|约巴林达|</t>
  </si>
  <si>
    <t>xiao8472</t>
  </si>
  <si>
    <t>肖文旭</t>
  </si>
  <si>
    <t>39.144.154.2</t>
  </si>
  <si>
    <t>39.144.157.112</t>
  </si>
  <si>
    <t>zxc123666</t>
  </si>
  <si>
    <t>113.13.200.90</t>
  </si>
  <si>
    <t>中国|广西|钦州|灵山</t>
  </si>
  <si>
    <t>Votam001</t>
  </si>
  <si>
    <t>42.119.80.136</t>
  </si>
  <si>
    <t>Hoai22</t>
  </si>
  <si>
    <t>14.176.62.61</t>
  </si>
  <si>
    <t>lysinz99</t>
  </si>
  <si>
    <t>PHAN THIEN PHU</t>
  </si>
  <si>
    <t>113.161.64.226</t>
  </si>
  <si>
    <t>kk102030</t>
  </si>
  <si>
    <t>王仲魁</t>
  </si>
  <si>
    <t>153.36.134.75</t>
  </si>
  <si>
    <t>219.146.198.110</t>
  </si>
  <si>
    <t>中国|山东|临沂|兰陵</t>
  </si>
  <si>
    <t>Minhkha351</t>
  </si>
  <si>
    <t>BUI VAN TUAN</t>
  </si>
  <si>
    <t>125.212.157.171</t>
  </si>
  <si>
    <t>qyg13324074890</t>
  </si>
  <si>
    <t>182.204.58.201</t>
  </si>
  <si>
    <t>36.155.121.78</t>
  </si>
  <si>
    <t>Anhhieu10c</t>
  </si>
  <si>
    <t>DO VAN HIEU</t>
  </si>
  <si>
    <t>27.78.7.135</t>
  </si>
  <si>
    <t>q104706</t>
  </si>
  <si>
    <t>王玮瑜</t>
  </si>
  <si>
    <t>220.197.230.92</t>
  </si>
  <si>
    <t>m-m97.btytg3.com</t>
  </si>
  <si>
    <t>vmt070496</t>
  </si>
  <si>
    <t>DOAN THU THAO</t>
  </si>
  <si>
    <t>123.28.127.81</t>
  </si>
  <si>
    <t>qungtrungnguyen1</t>
  </si>
  <si>
    <t>36.37.179.213</t>
  </si>
  <si>
    <t>柬埔寨|干丹||</t>
  </si>
  <si>
    <t>Quwusu1828</t>
  </si>
  <si>
    <t>220.200.105.7</t>
  </si>
  <si>
    <t>qq123548966</t>
  </si>
  <si>
    <t>124.237.36.197</t>
  </si>
  <si>
    <t>www.bty027.com</t>
  </si>
  <si>
    <t>中国|河北|张家口|涿鹿</t>
  </si>
  <si>
    <t>tritruong0201</t>
  </si>
  <si>
    <t>TRUONG HUU MINH TRI</t>
  </si>
  <si>
    <t>222.254.185.156</t>
  </si>
  <si>
    <t>103.249.22.127</t>
  </si>
  <si>
    <t>Cuong3005</t>
  </si>
  <si>
    <t>103.199.57.179</t>
  </si>
  <si>
    <t>Danhhai159</t>
  </si>
  <si>
    <t>NGUYEN DANH HAI</t>
  </si>
  <si>
    <t>14.233.9.218</t>
  </si>
  <si>
    <t>wen333</t>
  </si>
  <si>
    <t>宋文强</t>
  </si>
  <si>
    <t>183.137.139.26</t>
  </si>
  <si>
    <t>同IP同姓名多账号保留一个 待处理  8/8 FK-LIAN</t>
  </si>
  <si>
    <t>cyh1997</t>
  </si>
  <si>
    <t>陈永豪</t>
  </si>
  <si>
    <t>110.235.56.204</t>
  </si>
  <si>
    <t>182.239.120.211</t>
  </si>
  <si>
    <t>Tronghan1996</t>
  </si>
  <si>
    <t>115.74.81.29</t>
  </si>
  <si>
    <t>Tranlong1977</t>
  </si>
  <si>
    <t>14.191.104.145</t>
  </si>
  <si>
    <t>huytdvp10</t>
  </si>
  <si>
    <t>NGUYEN QUANG HUY</t>
  </si>
  <si>
    <t>118.69.7.195</t>
  </si>
  <si>
    <t>Nobita55</t>
  </si>
  <si>
    <t>42.119.144.202</t>
  </si>
  <si>
    <t>made123456</t>
  </si>
  <si>
    <t>223.90.143.154</t>
  </si>
  <si>
    <t>中国|河南|开封|尉氏</t>
  </si>
  <si>
    <t>kw417548</t>
  </si>
  <si>
    <t>郑文坛</t>
  </si>
  <si>
    <t>223.104.68.140</t>
  </si>
  <si>
    <t>223.104.68.119</t>
  </si>
  <si>
    <t>lzq114204</t>
  </si>
  <si>
    <t>117.136.12.21</t>
  </si>
  <si>
    <t>wangronglaile123</t>
  </si>
  <si>
    <t>李源</t>
  </si>
  <si>
    <t>36.143.132.108</t>
  </si>
  <si>
    <t>m-qwe88.btyv133.vip</t>
  </si>
  <si>
    <t>evril27</t>
  </si>
  <si>
    <t>176.33.90.93</t>
  </si>
  <si>
    <t>m-vvc90.luuexxw8.com</t>
  </si>
  <si>
    <t>Khachieu1986</t>
  </si>
  <si>
    <t>1.55.68.211</t>
  </si>
  <si>
    <t>117.1.93.172</t>
  </si>
  <si>
    <t>duclhv88</t>
  </si>
  <si>
    <t>14.232.38.245</t>
  </si>
  <si>
    <t>anpi2106z</t>
  </si>
  <si>
    <t>zsdl231</t>
  </si>
  <si>
    <t>60.188.58.66</t>
  </si>
  <si>
    <t>m-t5w.btytg3.com</t>
  </si>
  <si>
    <t>1234566789plm</t>
  </si>
  <si>
    <t>58.243.254.70</t>
  </si>
  <si>
    <t>中国|安徽|合肥|</t>
  </si>
  <si>
    <t>231086quan</t>
  </si>
  <si>
    <t>14.254.46.31</t>
  </si>
  <si>
    <t>Quangminhtasu11</t>
  </si>
  <si>
    <t>HOANG NGOC CHUNG</t>
  </si>
  <si>
    <t>59.153.229.75</t>
  </si>
  <si>
    <t>59.153.229.5</t>
  </si>
  <si>
    <t>qq13427425585</t>
  </si>
  <si>
    <t>容新强</t>
  </si>
  <si>
    <t>223.104.65.86</t>
  </si>
  <si>
    <t>120.84.12.164</t>
  </si>
  <si>
    <t>kiki68</t>
  </si>
  <si>
    <t>wbdl67001</t>
  </si>
  <si>
    <t>1.55.255.101</t>
  </si>
  <si>
    <t>m.bty666.cc</t>
  </si>
  <si>
    <t>Su777777</t>
  </si>
  <si>
    <t>纪祥邦</t>
  </si>
  <si>
    <t>119.176.211.30</t>
  </si>
  <si>
    <t>xiao8890</t>
  </si>
  <si>
    <t>183.227.57.232</t>
  </si>
  <si>
    <t>中国|重庆||沙坪坝</t>
  </si>
  <si>
    <t>phuongvy86</t>
  </si>
  <si>
    <t>Nguyen Anh Phuong</t>
  </si>
  <si>
    <t>42.112.78.87</t>
  </si>
  <si>
    <t>bbeheoo23</t>
  </si>
  <si>
    <t>116.100.217.216</t>
  </si>
  <si>
    <t>27.67.137.204</t>
  </si>
  <si>
    <t>proxy_btyscnb001933</t>
  </si>
  <si>
    <t>202.43.224.9</t>
  </si>
  <si>
    <t>98conbosua</t>
  </si>
  <si>
    <t>125.234.231.42</t>
  </si>
  <si>
    <t>Daris611</t>
  </si>
  <si>
    <t>LUONG MINH TIEN</t>
  </si>
  <si>
    <t>14.229.174.98</t>
  </si>
  <si>
    <t>Xemdabong1</t>
  </si>
  <si>
    <t>PHAN XUAN KY</t>
  </si>
  <si>
    <t>113.162.11.138</t>
  </si>
  <si>
    <t>体育低赔 已提醒正常下注 已加3倍流水  8/7 FK-ANGEL</t>
  </si>
  <si>
    <t>Su66666</t>
  </si>
  <si>
    <t>zhangej888</t>
  </si>
  <si>
    <t>120.84.10.218</t>
  </si>
  <si>
    <t>m.bty1288.com</t>
  </si>
  <si>
    <t>scoco040124</t>
  </si>
  <si>
    <t>58.84.180.50</t>
  </si>
  <si>
    <t>hackiemmu182</t>
  </si>
  <si>
    <t>1.52.50.183</t>
  </si>
  <si>
    <t>Dinh479489</t>
  </si>
  <si>
    <t>KIEN PHEC</t>
  </si>
  <si>
    <t>27.66.22.93</t>
  </si>
  <si>
    <t>Khi123khi</t>
  </si>
  <si>
    <t>Tran duy canh</t>
  </si>
  <si>
    <t>115.73.200.39</t>
  </si>
  <si>
    <t>hungsen101219</t>
  </si>
  <si>
    <t>PHAM VAN HUNG</t>
  </si>
  <si>
    <t>104.28.222.73</t>
  </si>
  <si>
    <t>DinhTung6886</t>
  </si>
  <si>
    <t>171.232.192.53</t>
  </si>
  <si>
    <t>Dmanh003</t>
  </si>
  <si>
    <t>1.54.212.150</t>
  </si>
  <si>
    <t>Aa0930062128</t>
  </si>
  <si>
    <t>49.237.19.101</t>
  </si>
  <si>
    <t>deep500</t>
  </si>
  <si>
    <t>202.58.16.194</t>
  </si>
  <si>
    <t>柬埔寨|||</t>
  </si>
  <si>
    <t>ronal3003</t>
  </si>
  <si>
    <t>183.182.103.150</t>
  </si>
  <si>
    <t>m.bty0586.com</t>
  </si>
  <si>
    <t>老挝|博胶||</t>
  </si>
  <si>
    <t>Bomunited88</t>
  </si>
  <si>
    <t>LE VAN BINH</t>
  </si>
  <si>
    <t>58.186.166.40</t>
  </si>
  <si>
    <t>gghg3566</t>
  </si>
  <si>
    <t>7758258yy</t>
  </si>
  <si>
    <t>101.71.39.103</t>
  </si>
  <si>
    <t>Phunglinh8993</t>
  </si>
  <si>
    <t>NGUYEN MINH PHUNG</t>
  </si>
  <si>
    <t>27.70.245.205</t>
  </si>
  <si>
    <t>125.235.126.150</t>
  </si>
  <si>
    <t>qizhashen666</t>
  </si>
  <si>
    <t>温钰涛</t>
  </si>
  <si>
    <t>125.43.86.154</t>
  </si>
  <si>
    <t>61.54.20.211</t>
  </si>
  <si>
    <t>中国|河南|洛阳|涧西</t>
  </si>
  <si>
    <t>xhy20051</t>
  </si>
  <si>
    <t>183.218.68.155</t>
  </si>
  <si>
    <t>中国|江西|赣州|崇义</t>
  </si>
  <si>
    <t>vghh334</t>
  </si>
  <si>
    <t>maxiaoming668</t>
  </si>
  <si>
    <t>180.107.196.11</t>
  </si>
  <si>
    <t>中国|江苏|苏州|张家港</t>
  </si>
  <si>
    <t>qscvjj188</t>
  </si>
  <si>
    <t>112.66.187.249</t>
  </si>
  <si>
    <t>中国|海南|海口|龙华</t>
  </si>
  <si>
    <t>Thaovi1998</t>
  </si>
  <si>
    <t>1.52.23.255</t>
  </si>
  <si>
    <t>buiminhtung1992</t>
  </si>
  <si>
    <t>BUI MINH TUNG</t>
  </si>
  <si>
    <t>172.225.56.69</t>
  </si>
  <si>
    <t>DinhTung8686</t>
  </si>
  <si>
    <t>hikaru9999</t>
  </si>
  <si>
    <t>115.74.23.246</t>
  </si>
  <si>
    <t>ABCjjjjjj124</t>
  </si>
  <si>
    <t>wanwan6666</t>
  </si>
  <si>
    <t>112.224.67.37</t>
  </si>
  <si>
    <t>Phamcong123</t>
  </si>
  <si>
    <t>Pham quoc cong</t>
  </si>
  <si>
    <t>27.67.188.51</t>
  </si>
  <si>
    <t>27.68.87.173</t>
  </si>
  <si>
    <t>zzj13805164926</t>
  </si>
  <si>
    <t>180.98.138.225</t>
  </si>
  <si>
    <t>Hoanganh110011</t>
  </si>
  <si>
    <t>Nguyen Duc hoang anh</t>
  </si>
  <si>
    <t>117.3.52.66</t>
  </si>
  <si>
    <t>jfjfjkc55</t>
  </si>
  <si>
    <t>223.104.72.244</t>
  </si>
  <si>
    <t>m-lgz.btytg1.com</t>
  </si>
  <si>
    <t>中国|广东|珠海|</t>
  </si>
  <si>
    <t>Dyl2023</t>
  </si>
  <si>
    <t>122.245.218.9</t>
  </si>
  <si>
    <t>中国|浙江|宁波|鄞州</t>
  </si>
  <si>
    <t>Nguyen546uok</t>
  </si>
  <si>
    <t>NGUYEN CAO NGUYEN</t>
  </si>
  <si>
    <t>113.164.96.123</t>
  </si>
  <si>
    <t>zhou781440</t>
  </si>
  <si>
    <t>周国荣</t>
  </si>
  <si>
    <t>124.127.65.58</t>
  </si>
  <si>
    <t>Dinhtandai68</t>
  </si>
  <si>
    <t>Dinh Tan Dai</t>
  </si>
  <si>
    <t>14.245.176.143</t>
  </si>
  <si>
    <t>www.bty1032.com</t>
  </si>
  <si>
    <t>Lephuta1994</t>
  </si>
  <si>
    <t>123.18.167.31</t>
  </si>
  <si>
    <t>Luan55555</t>
  </si>
  <si>
    <t>171.237.175.96</t>
  </si>
  <si>
    <t>27.67.5.208</t>
  </si>
  <si>
    <t>Hoangsang91</t>
  </si>
  <si>
    <t>42.116.77.18</t>
  </si>
  <si>
    <t>zqy505410659</t>
  </si>
  <si>
    <t>39.189.49.241</t>
  </si>
  <si>
    <t>中国|浙江|宁波|镇海</t>
  </si>
  <si>
    <t>Phanphan123</t>
  </si>
  <si>
    <t>171.255.119.110</t>
  </si>
  <si>
    <t>sonsky1234</t>
  </si>
  <si>
    <t>171.255.72.144</t>
  </si>
  <si>
    <t>Biishany719</t>
  </si>
  <si>
    <t>125.235.233.102</t>
  </si>
  <si>
    <t>KA2509</t>
  </si>
  <si>
    <t>27.64.97.78</t>
  </si>
  <si>
    <t>Lhthjen1990</t>
  </si>
  <si>
    <t>LAM HOANG THIEN</t>
  </si>
  <si>
    <t>171.240.180.64</t>
  </si>
  <si>
    <t>Tkf13227970209</t>
  </si>
  <si>
    <t>仝康凡</t>
  </si>
  <si>
    <t>113.133.98.197</t>
  </si>
  <si>
    <t>123.138.132.217</t>
  </si>
  <si>
    <t>中国|陕西|咸阳|秦都</t>
  </si>
  <si>
    <t>mankythu0408</t>
  </si>
  <si>
    <t>27.68.154.140</t>
  </si>
  <si>
    <t>Dinhtandai93</t>
  </si>
  <si>
    <t>Tuananh20101997</t>
  </si>
  <si>
    <t>Nguyen Tuan anh</t>
  </si>
  <si>
    <t>125.235.62.251</t>
  </si>
  <si>
    <t>14.166.115.32</t>
  </si>
  <si>
    <t>Ronaldovn92</t>
  </si>
  <si>
    <t>27.70.247.179</t>
  </si>
  <si>
    <t>Davebo8689</t>
  </si>
  <si>
    <t>NGUYEN KHAC DIEP</t>
  </si>
  <si>
    <t>171.229.220.135</t>
  </si>
  <si>
    <t>14.231.174.247</t>
  </si>
  <si>
    <t>scary123</t>
  </si>
  <si>
    <t>区绍强</t>
  </si>
  <si>
    <t>27.47.9.205</t>
  </si>
  <si>
    <t>中国|广东|广州|天河</t>
  </si>
  <si>
    <t>lxl411183552</t>
  </si>
  <si>
    <t>39.144.161.8</t>
  </si>
  <si>
    <t>39.144.161.4</t>
  </si>
  <si>
    <t>RickyTai0711</t>
  </si>
  <si>
    <t>171.255.173.225</t>
  </si>
  <si>
    <t>113.165.96.30</t>
  </si>
  <si>
    <t>thieny2020</t>
  </si>
  <si>
    <t>125.235.189.146</t>
  </si>
  <si>
    <t>Doanvantu1984</t>
  </si>
  <si>
    <t>14.191.182.233</t>
  </si>
  <si>
    <t>Dinhtandai92</t>
  </si>
  <si>
    <t>wxy17373407096</t>
  </si>
  <si>
    <t>王晓翼</t>
  </si>
  <si>
    <t>223.148.136.66</t>
  </si>
  <si>
    <t>vanliem1996</t>
  </si>
  <si>
    <t>103.199.57.65</t>
  </si>
  <si>
    <t>thaovan123</t>
  </si>
  <si>
    <t>TRUONG THE NAM</t>
  </si>
  <si>
    <t>0394990116n</t>
  </si>
  <si>
    <t>222.252.206.65</t>
  </si>
  <si>
    <t>m.bty1033.com</t>
  </si>
  <si>
    <t>Jacques90</t>
  </si>
  <si>
    <t>14.191.217.246</t>
  </si>
  <si>
    <t>14.161.40.134</t>
  </si>
  <si>
    <t>Tam2113</t>
  </si>
  <si>
    <t>NGUYEN VAN TAM</t>
  </si>
  <si>
    <t>42.113.175.60</t>
  </si>
  <si>
    <t>42.115.106.81</t>
  </si>
  <si>
    <t>Lquangh239</t>
  </si>
  <si>
    <t>171.255.156.194</t>
  </si>
  <si>
    <t>whq214561049</t>
  </si>
  <si>
    <t>223.80.206.228</t>
  </si>
  <si>
    <t>m.bty055.com</t>
  </si>
  <si>
    <t>中国|山东|青岛|黄岛</t>
  </si>
  <si>
    <t>Saulo0105</t>
  </si>
  <si>
    <t>HUYNH VAN PHUC</t>
  </si>
  <si>
    <t>116.96.77.192</t>
  </si>
  <si>
    <t>linhbt22</t>
  </si>
  <si>
    <t>Cao tuan linh</t>
  </si>
  <si>
    <t>14.232.152.198</t>
  </si>
  <si>
    <t>27.67.182.209</t>
  </si>
  <si>
    <t>Lu760738549</t>
  </si>
  <si>
    <t>卢佳斌</t>
  </si>
  <si>
    <t>112.50.57.115</t>
  </si>
  <si>
    <t>hiuhupkeo6699</t>
  </si>
  <si>
    <t>14.241.20.127</t>
  </si>
  <si>
    <t>QuanHN1983</t>
  </si>
  <si>
    <t>BUI TRONG QUAN</t>
  </si>
  <si>
    <t>113.23.74.236</t>
  </si>
  <si>
    <t>越南|河南||</t>
  </si>
  <si>
    <t>a66281151</t>
  </si>
  <si>
    <t>曹源</t>
  </si>
  <si>
    <t>115.57.146.145</t>
  </si>
  <si>
    <t>115.57.146.117</t>
  </si>
  <si>
    <t>中国|河南|郑州|二七</t>
  </si>
  <si>
    <t>Tuanhanh682020</t>
  </si>
  <si>
    <t>117.5.223.149</t>
  </si>
  <si>
    <t>huy184</t>
  </si>
  <si>
    <t>118.69.149.221</t>
  </si>
  <si>
    <t>z18083747986</t>
  </si>
  <si>
    <t>张帅</t>
  </si>
  <si>
    <t>180.98.170.26</t>
  </si>
  <si>
    <t>m.bty028.com</t>
  </si>
  <si>
    <t>180.98.169.185</t>
  </si>
  <si>
    <t>jiuxiansheng999</t>
  </si>
  <si>
    <t>张春荀</t>
  </si>
  <si>
    <t>60.24.248.49</t>
  </si>
  <si>
    <t>125.38.177.140</t>
  </si>
  <si>
    <t>中国|天津||东丽</t>
  </si>
  <si>
    <t>Hainguyen0610</t>
  </si>
  <si>
    <t>PHAM NGUYEN HAI NGUYEN</t>
  </si>
  <si>
    <t>113.166.148.16</t>
  </si>
  <si>
    <t>phule94</t>
  </si>
  <si>
    <t>103.142.22.249</t>
  </si>
  <si>
    <t>ranhbentre2023</t>
  </si>
  <si>
    <t>113.183.206.231</t>
  </si>
  <si>
    <t>Peet0852</t>
  </si>
  <si>
    <t>ณัฐวุฒิ โคกวารี</t>
  </si>
  <si>
    <t>171.97.69.133</t>
  </si>
  <si>
    <t>yjq95700</t>
  </si>
  <si>
    <t>111.73.137.250</t>
  </si>
  <si>
    <t>m-3pw.btytg3.com</t>
  </si>
  <si>
    <t>中国|江西|景德镇|昌江</t>
  </si>
  <si>
    <t>Levuman21</t>
  </si>
  <si>
    <t>LE VU MAN</t>
  </si>
  <si>
    <t>113.187.227.251</t>
  </si>
  <si>
    <t>Trunglap2023</t>
  </si>
  <si>
    <t>Nguyen duc viet</t>
  </si>
  <si>
    <t>14.177.115.247</t>
  </si>
  <si>
    <t>gamaozi0818</t>
  </si>
  <si>
    <t>唐奥</t>
  </si>
  <si>
    <t>223.104.72.196</t>
  </si>
  <si>
    <t>Nhl2004</t>
  </si>
  <si>
    <t>14.191.128.51</t>
  </si>
  <si>
    <t>gzh18944644666</t>
  </si>
  <si>
    <t>管振华</t>
  </si>
  <si>
    <t>117.179.191.198</t>
  </si>
  <si>
    <t>中国|黑龙江|七台河|桃山</t>
  </si>
  <si>
    <t>dc226hh</t>
  </si>
  <si>
    <t>张子昭</t>
  </si>
  <si>
    <t>120.39.35.17</t>
  </si>
  <si>
    <t>中国|福建|福州|福清</t>
  </si>
  <si>
    <t>dovantruong02</t>
  </si>
  <si>
    <t>123.17.34.25</t>
  </si>
  <si>
    <t>27.67.187.213</t>
  </si>
  <si>
    <t>Cauut1989</t>
  </si>
  <si>
    <t>42.114.219.7</t>
  </si>
  <si>
    <t>kking555</t>
  </si>
  <si>
    <t>220.173.126.123</t>
  </si>
  <si>
    <t>m-5yi.btytg2.com</t>
  </si>
  <si>
    <t>mht080192</t>
  </si>
  <si>
    <t>125.235.237.98</t>
  </si>
  <si>
    <t>Nguyenduchai12</t>
  </si>
  <si>
    <t>NGUYEN DUC HAI</t>
  </si>
  <si>
    <t>171.225.250.137</t>
  </si>
  <si>
    <t>Qq44556677</t>
  </si>
  <si>
    <t>111.60.74.210</t>
  </si>
  <si>
    <t>Plus990</t>
  </si>
  <si>
    <t>14.185.252.103</t>
  </si>
  <si>
    <t>akhad0ng</t>
  </si>
  <si>
    <t>58.187.139.183</t>
  </si>
  <si>
    <t>www.bty0516.com</t>
  </si>
  <si>
    <t>200070920kk</t>
  </si>
  <si>
    <t>39.190.110.186</t>
  </si>
  <si>
    <t>中国|浙江|台州|临海</t>
  </si>
  <si>
    <t>Captseven2506</t>
  </si>
  <si>
    <t>PHAM VAN BAY</t>
  </si>
  <si>
    <t>1.55.223.164</t>
  </si>
  <si>
    <t>113.185.45.209</t>
  </si>
  <si>
    <t>nlcthanh2982</t>
  </si>
  <si>
    <t>1.55.50.119</t>
  </si>
  <si>
    <t>Chipheo35</t>
  </si>
  <si>
    <t>LE ANH TUAN</t>
  </si>
  <si>
    <t>113.185.75.89</t>
  </si>
  <si>
    <t>Nam88886666</t>
  </si>
  <si>
    <t>27.79.97.117</t>
  </si>
  <si>
    <t>manh123456789</t>
  </si>
  <si>
    <t>DANG DINH MANH</t>
  </si>
  <si>
    <t>27.70.243.116</t>
  </si>
  <si>
    <t>27.67.95.180</t>
  </si>
  <si>
    <t>Sang120893</t>
  </si>
  <si>
    <t>Dau van sang</t>
  </si>
  <si>
    <t>1.53.32.174</t>
  </si>
  <si>
    <t>Pr88888</t>
  </si>
  <si>
    <t>42.76.94.180</t>
  </si>
  <si>
    <t>中国|台湾||</t>
  </si>
  <si>
    <t>gzdysq321</t>
  </si>
  <si>
    <t>吴奕斌</t>
  </si>
  <si>
    <t>120.196.77.138</t>
  </si>
  <si>
    <t>r1060908789</t>
  </si>
  <si>
    <t>谢恩奇</t>
  </si>
  <si>
    <t>120.229.126.39</t>
  </si>
  <si>
    <t>Hhh1996</t>
  </si>
  <si>
    <t>112.12.228.174</t>
  </si>
  <si>
    <t>m-fv5.btytg3.com</t>
  </si>
  <si>
    <t>中国|浙江|温州|瑞安</t>
  </si>
  <si>
    <t>tosang990</t>
  </si>
  <si>
    <t>Ngoc5555</t>
  </si>
  <si>
    <t>27.69.172.151</t>
  </si>
  <si>
    <t>Nhim12345</t>
  </si>
  <si>
    <t>14.248.221.225</t>
  </si>
  <si>
    <t>shalakinbks1994</t>
  </si>
  <si>
    <t>58.186.128.70</t>
  </si>
  <si>
    <t>Khoivu123</t>
  </si>
  <si>
    <t>Tran Thi Nhi Phuoc</t>
  </si>
  <si>
    <t>1.53.221.143</t>
  </si>
  <si>
    <t>20021997doan</t>
  </si>
  <si>
    <t>14.235.57.237</t>
  </si>
  <si>
    <t>Tantroc1234</t>
  </si>
  <si>
    <t>do van tan</t>
  </si>
  <si>
    <t>125.235.215.17</t>
  </si>
  <si>
    <t>171.247.152.150</t>
  </si>
  <si>
    <t>mythanh123</t>
  </si>
  <si>
    <t>nguyen dung</t>
  </si>
  <si>
    <t>113.23.30.191</t>
  </si>
  <si>
    <t>cyan1111</t>
  </si>
  <si>
    <t>郑青卓</t>
  </si>
  <si>
    <t>36.161.37.231</t>
  </si>
  <si>
    <t>中国|安徽|淮南|田家庵区</t>
  </si>
  <si>
    <t>webbc58</t>
  </si>
  <si>
    <t>阮建勇</t>
  </si>
  <si>
    <t>223.74.43.147</t>
  </si>
  <si>
    <t>223.74.43.10</t>
  </si>
  <si>
    <t>中国|广东|清远|清城区</t>
  </si>
  <si>
    <t>niehuil1</t>
  </si>
  <si>
    <t>27.190.98.195</t>
  </si>
  <si>
    <t>中国|河北|唐山|路南</t>
  </si>
  <si>
    <t>nguyenthanh3939</t>
  </si>
  <si>
    <t>NGUYEN THANH PHONG</t>
  </si>
  <si>
    <t>42.118.27.44</t>
  </si>
  <si>
    <t>Linh717</t>
  </si>
  <si>
    <t>NGUYEN CHI LINH</t>
  </si>
  <si>
    <t>116.110.40.50</t>
  </si>
  <si>
    <t>ngolong97</t>
  </si>
  <si>
    <t>27.67.177.88</t>
  </si>
  <si>
    <t>qqianqq12523</t>
  </si>
  <si>
    <t>wbdl1366</t>
  </si>
  <si>
    <t>125.74.89.154</t>
  </si>
  <si>
    <t>6za.btytg3.com</t>
  </si>
  <si>
    <t>Camapbodudu90</t>
  </si>
  <si>
    <t>HOANG VAN HIEN</t>
  </si>
  <si>
    <t>27.67.95.222</t>
  </si>
  <si>
    <t>27.67.72.23</t>
  </si>
  <si>
    <t>Loccat1990</t>
  </si>
  <si>
    <t>DANG MINH THO</t>
  </si>
  <si>
    <t>113.185.76.67</t>
  </si>
  <si>
    <t>Y6482319</t>
  </si>
  <si>
    <t>姚钇</t>
  </si>
  <si>
    <t>183.93.14.143</t>
  </si>
  <si>
    <t>中国|湖北|恩施|恩施</t>
  </si>
  <si>
    <t>whxna123</t>
  </si>
  <si>
    <t>111.226.164.81</t>
  </si>
  <si>
    <t>中国|河北|邢台|宁晋</t>
  </si>
  <si>
    <t>ngthdiem94</t>
  </si>
  <si>
    <t>NGUYEN THI DIEM</t>
  </si>
  <si>
    <t>103.7.37.39</t>
  </si>
  <si>
    <t>103.7.37.38</t>
  </si>
  <si>
    <t>Quanghai144</t>
  </si>
  <si>
    <t>NGUYEN HAI QUANG</t>
  </si>
  <si>
    <t>113.183.208.238</t>
  </si>
  <si>
    <t>bukuthue7879</t>
  </si>
  <si>
    <t>14.228.255.186</t>
  </si>
  <si>
    <t>phuongem123</t>
  </si>
  <si>
    <t>NGUYEN THI THANH PHUONG</t>
  </si>
  <si>
    <t>42.112.78.245</t>
  </si>
  <si>
    <t>Hung2000</t>
  </si>
  <si>
    <t>HO TRONG PHUOC</t>
  </si>
  <si>
    <t>125.235.235.35</t>
  </si>
  <si>
    <t>Lyty123</t>
  </si>
  <si>
    <t>Nguyen van hong</t>
  </si>
  <si>
    <t>115.73.41.167</t>
  </si>
  <si>
    <t>会员名</t>
  </si>
  <si>
    <t>所属代理</t>
  </si>
  <si>
    <t>交易时间</t>
  </si>
  <si>
    <t>交易类型</t>
  </si>
  <si>
    <t>金额</t>
  </si>
  <si>
    <t>准点激活团队</t>
  </si>
  <si>
    <t>首存时段</t>
  </si>
  <si>
    <t>存款</t>
  </si>
  <si>
    <t>Guong268</t>
  </si>
  <si>
    <t>zxcvbnm19064</t>
  </si>
  <si>
    <t>btyseo7008</t>
  </si>
  <si>
    <t>zzhld1111</t>
  </si>
  <si>
    <t>cowboy123</t>
  </si>
  <si>
    <t>dzg2023</t>
  </si>
  <si>
    <t>vvi447789</t>
  </si>
  <si>
    <t>lh243226</t>
  </si>
  <si>
    <t>Satthuvotinh123</t>
  </si>
  <si>
    <t>fq8888</t>
  </si>
  <si>
    <t>truong1234</t>
  </si>
  <si>
    <t>Hunga8602</t>
  </si>
  <si>
    <t>a138223</t>
  </si>
  <si>
    <t>j2390208530</t>
  </si>
  <si>
    <t>T150503</t>
  </si>
  <si>
    <t>vntf0902</t>
  </si>
  <si>
    <t>Mrbean2002</t>
  </si>
  <si>
    <t>Hunex321</t>
  </si>
  <si>
    <t>cnj110</t>
  </si>
  <si>
    <t>td910804</t>
  </si>
  <si>
    <t>Quan566711</t>
  </si>
  <si>
    <t>Dailuc1990</t>
  </si>
  <si>
    <t>Tri070074135844</t>
  </si>
  <si>
    <t>tiendatvl1</t>
  </si>
  <si>
    <t>Trunghieu890</t>
  </si>
  <si>
    <t>chengkai1025</t>
  </si>
  <si>
    <t>Kimpape10</t>
  </si>
  <si>
    <t>ddds33</t>
  </si>
  <si>
    <t>Vutiendung1993</t>
  </si>
  <si>
    <t>lcx2457</t>
  </si>
  <si>
    <t>gt0002</t>
  </si>
  <si>
    <t>Thachngoc2023</t>
  </si>
  <si>
    <t>Trungkien90</t>
  </si>
  <si>
    <t>aro1986</t>
  </si>
  <si>
    <t>lophucthinh87</t>
  </si>
  <si>
    <t>toitoan2023</t>
  </si>
  <si>
    <t>lijia900616</t>
  </si>
  <si>
    <t>Toantruong1990</t>
  </si>
  <si>
    <t>Duyyakult01315</t>
  </si>
  <si>
    <t>hankga0304</t>
  </si>
  <si>
    <t>Huonggiang0311</t>
  </si>
  <si>
    <t>Hahay1234</t>
  </si>
  <si>
    <t>Andy95</t>
  </si>
  <si>
    <t>henseon020323</t>
  </si>
  <si>
    <t>thengoc999</t>
  </si>
  <si>
    <t>YY929226257</t>
  </si>
  <si>
    <t>btydl0022</t>
  </si>
  <si>
    <t>Niemkhuccuoi2023</t>
  </si>
  <si>
    <t>Mammeo123</t>
  </si>
  <si>
    <t>Nbinh84</t>
  </si>
  <si>
    <t>jjh789</t>
  </si>
  <si>
    <t>84144992pp</t>
  </si>
  <si>
    <t>cjd19840917</t>
  </si>
  <si>
    <t>pw096208</t>
  </si>
  <si>
    <t>ww125737</t>
  </si>
  <si>
    <t>zdz839560120</t>
  </si>
  <si>
    <t>duy12358</t>
  </si>
  <si>
    <t>Vutran12345</t>
  </si>
  <si>
    <t>chris95308866</t>
  </si>
  <si>
    <t>flzt2023</t>
  </si>
  <si>
    <t>zhang555555</t>
  </si>
  <si>
    <t>a84557165</t>
  </si>
  <si>
    <t>yx2916</t>
  </si>
  <si>
    <t>kkkkkk888888</t>
  </si>
  <si>
    <t>iceblue1981</t>
  </si>
  <si>
    <t>0909600431h</t>
  </si>
  <si>
    <t>lhc334452</t>
  </si>
  <si>
    <t>deng258452</t>
  </si>
  <si>
    <t>yl2592186096</t>
  </si>
  <si>
    <t>wyy123456p</t>
  </si>
  <si>
    <t>Minhkhanh1990</t>
  </si>
  <si>
    <t>Lvan66</t>
  </si>
  <si>
    <t>destinyj510</t>
  </si>
  <si>
    <t>Annhieu68</t>
  </si>
  <si>
    <t>Ricky456</t>
  </si>
  <si>
    <t>he19980618</t>
  </si>
  <si>
    <t>PBH2001</t>
  </si>
  <si>
    <t>liu988tong</t>
  </si>
  <si>
    <t>ht66jx3800</t>
  </si>
  <si>
    <t>headwolf2023</t>
  </si>
  <si>
    <t>dick1234567</t>
  </si>
  <si>
    <t>199919Ly</t>
  </si>
  <si>
    <t>zz8816</t>
  </si>
  <si>
    <t>yihaijiali66</t>
  </si>
  <si>
    <t>Khoang0939571140</t>
  </si>
  <si>
    <t>laowang0318</t>
  </si>
  <si>
    <t>zhangjiaqi6692</t>
  </si>
  <si>
    <t>c201314cdd</t>
  </si>
  <si>
    <t>zhao199810</t>
  </si>
  <si>
    <t>hung25cm</t>
  </si>
  <si>
    <t>look2222</t>
  </si>
  <si>
    <t>LVS2707</t>
  </si>
  <si>
    <t>AA00126</t>
  </si>
  <si>
    <t>aa13316243395</t>
  </si>
  <si>
    <t>Oicuocdoi123</t>
  </si>
  <si>
    <t>Canhmanh6868</t>
  </si>
  <si>
    <t>Vienhonguyen12</t>
  </si>
  <si>
    <t>ma1985</t>
  </si>
  <si>
    <t>Xuannhat95</t>
  </si>
  <si>
    <t>Baoanh3107</t>
  </si>
  <si>
    <t>baochung030904</t>
  </si>
  <si>
    <t>allen0717</t>
  </si>
  <si>
    <t>Hh198889</t>
  </si>
  <si>
    <t>p2212841237</t>
  </si>
  <si>
    <t>bmw666</t>
  </si>
  <si>
    <t>Tuat1983</t>
  </si>
  <si>
    <t>dan18366186004</t>
  </si>
  <si>
    <t>gt0003</t>
  </si>
  <si>
    <t>yj123456ff</t>
  </si>
  <si>
    <t>sssyyyfff1234</t>
  </si>
  <si>
    <t>SHARPLC88</t>
  </si>
  <si>
    <t>Trantu531</t>
  </si>
  <si>
    <t>zsdl123</t>
  </si>
  <si>
    <t>zzw159874</t>
  </si>
  <si>
    <t>nsrft455</t>
  </si>
  <si>
    <t>wbdl1345</t>
  </si>
  <si>
    <t>Tienmit98</t>
  </si>
  <si>
    <t>gtq628yl</t>
  </si>
  <si>
    <t>liangjj88</t>
  </si>
  <si>
    <t>yh745234</t>
  </si>
  <si>
    <t>yuxinbaba123</t>
  </si>
  <si>
    <t>babydeptrai01</t>
  </si>
  <si>
    <t>just888</t>
  </si>
  <si>
    <t>zwb802</t>
  </si>
  <si>
    <t>liuminf258</t>
  </si>
  <si>
    <t>ngohg7876</t>
  </si>
  <si>
    <t>Tapsulan1</t>
  </si>
  <si>
    <t>gSr720914</t>
  </si>
  <si>
    <t>Trungkien1987</t>
  </si>
  <si>
    <t>vanthusinh1986</t>
  </si>
  <si>
    <t>Aa978700481</t>
  </si>
  <si>
    <t>wbdl487</t>
  </si>
  <si>
    <t>quandv12101998</t>
  </si>
  <si>
    <t>niuben101119</t>
  </si>
  <si>
    <t>spkere7</t>
  </si>
  <si>
    <t>ming997126</t>
  </si>
  <si>
    <t>Linhhd88</t>
  </si>
  <si>
    <t>shi22635</t>
  </si>
  <si>
    <t>Shuai12345678</t>
  </si>
  <si>
    <t>HAkiss09</t>
  </si>
  <si>
    <t>0778626696pv</t>
  </si>
  <si>
    <t>Thuy034871</t>
  </si>
  <si>
    <t>mmm2580693</t>
  </si>
  <si>
    <t>总IP</t>
  </si>
  <si>
    <t>平台</t>
  </si>
  <si>
    <t>BTY</t>
  </si>
  <si>
    <t>Groot</t>
  </si>
  <si>
    <t>\</t>
  </si>
  <si>
    <t>对比前3天均值</t>
  </si>
  <si>
    <t>对比前5天均值</t>
  </si>
  <si>
    <t>对比前7天均值</t>
  </si>
  <si>
    <t>2023/3/30 SEO数据</t>
  </si>
  <si>
    <t>aber  昨日转换率75%，当日注册当日开户转换率占37.5%</t>
  </si>
  <si>
    <r>
      <rPr>
        <sz val="11"/>
        <color theme="1"/>
        <rFont val="宋体"/>
        <charset val="134"/>
        <scheme val="minor"/>
      </rPr>
      <t>Paddy  昨日转换率低于20%，总IP对比前7天日均值，</t>
    </r>
    <r>
      <rPr>
        <sz val="11"/>
        <color rgb="FFFF0000"/>
        <rFont val="宋体"/>
        <charset val="134"/>
        <scheme val="minor"/>
      </rPr>
      <t>下降</t>
    </r>
    <r>
      <rPr>
        <sz val="11"/>
        <color theme="1"/>
        <rFont val="宋体"/>
        <charset val="134"/>
        <scheme val="minor"/>
      </rPr>
      <t>；</t>
    </r>
  </si>
  <si>
    <r>
      <rPr>
        <sz val="11"/>
        <color theme="1"/>
        <rFont val="宋体"/>
        <charset val="134"/>
        <scheme val="minor"/>
      </rPr>
      <t>Tony 总开户对比前7天日均值，</t>
    </r>
    <r>
      <rPr>
        <sz val="11"/>
        <color rgb="FFFF0000"/>
        <rFont val="宋体"/>
        <charset val="134"/>
        <scheme val="minor"/>
      </rPr>
      <t>下降</t>
    </r>
    <r>
      <rPr>
        <sz val="11"/>
        <color theme="1"/>
        <rFont val="宋体"/>
        <charset val="134"/>
        <scheme val="minor"/>
      </rPr>
      <t>；</t>
    </r>
  </si>
  <si>
    <r>
      <rPr>
        <sz val="11"/>
        <color theme="1"/>
        <rFont val="宋体"/>
        <charset val="134"/>
        <scheme val="minor"/>
      </rPr>
      <t>Zed  总ip，总注册，总开户；对比前7天日均值，</t>
    </r>
    <r>
      <rPr>
        <sz val="11"/>
        <color rgb="FFFF0000"/>
        <rFont val="宋体"/>
        <charset val="134"/>
        <scheme val="minor"/>
      </rPr>
      <t>下降</t>
    </r>
    <r>
      <rPr>
        <sz val="11"/>
        <color theme="1"/>
        <rFont val="宋体"/>
        <charset val="134"/>
        <scheme val="minor"/>
      </rPr>
      <t>；</t>
    </r>
  </si>
  <si>
    <r>
      <rPr>
        <sz val="11"/>
        <color theme="1"/>
        <rFont val="宋体"/>
        <charset val="134"/>
        <scheme val="minor"/>
      </rPr>
      <t>Max 总注册，总开户；对比前7天日均值，</t>
    </r>
    <r>
      <rPr>
        <sz val="11"/>
        <color rgb="FFFF0000"/>
        <rFont val="宋体"/>
        <charset val="134"/>
        <scheme val="minor"/>
      </rPr>
      <t>下降</t>
    </r>
    <r>
      <rPr>
        <sz val="11"/>
        <color theme="1"/>
        <rFont val="宋体"/>
        <charset val="134"/>
        <scheme val="minor"/>
      </rPr>
      <t>；</t>
    </r>
  </si>
  <si>
    <t xml:space="preserve"> SEO数据</t>
  </si>
  <si>
    <r>
      <rPr>
        <sz val="11"/>
        <color theme="1"/>
        <rFont val="宋体"/>
        <charset val="134"/>
        <scheme val="minor"/>
      </rPr>
      <t>Tony  总IP，总注册，总开户对比前7天日均值，</t>
    </r>
    <r>
      <rPr>
        <sz val="11"/>
        <color rgb="FFFF0000"/>
        <rFont val="宋体"/>
        <charset val="134"/>
        <scheme val="minor"/>
      </rPr>
      <t>下降</t>
    </r>
    <r>
      <rPr>
        <sz val="11"/>
        <color theme="1"/>
        <rFont val="宋体"/>
        <charset val="134"/>
        <scheme val="minor"/>
      </rPr>
      <t>；</t>
    </r>
  </si>
  <si>
    <r>
      <rPr>
        <sz val="11"/>
        <color theme="1"/>
        <rFont val="宋体"/>
        <charset val="134"/>
        <scheme val="minor"/>
      </rPr>
      <t>hugo  总IP对比前7天日均值，</t>
    </r>
    <r>
      <rPr>
        <sz val="11"/>
        <color rgb="FFFF0000"/>
        <rFont val="宋体"/>
        <charset val="134"/>
        <scheme val="minor"/>
      </rPr>
      <t>下降</t>
    </r>
    <r>
      <rPr>
        <sz val="11"/>
        <color theme="1"/>
        <rFont val="宋体"/>
        <charset val="134"/>
        <scheme val="minor"/>
      </rPr>
      <t>；</t>
    </r>
  </si>
  <si>
    <r>
      <rPr>
        <sz val="11"/>
        <color theme="1"/>
        <rFont val="宋体"/>
        <charset val="134"/>
        <scheme val="minor"/>
      </rPr>
      <t>Martin 总注册，总开户对比前7天日均，</t>
    </r>
    <r>
      <rPr>
        <sz val="11"/>
        <color rgb="FFFF0000"/>
        <rFont val="宋体"/>
        <charset val="134"/>
        <scheme val="minor"/>
      </rPr>
      <t>下降</t>
    </r>
    <r>
      <rPr>
        <sz val="11"/>
        <color theme="1"/>
        <rFont val="宋体"/>
        <charset val="134"/>
        <scheme val="minor"/>
      </rPr>
      <t>；</t>
    </r>
  </si>
  <si>
    <r>
      <rPr>
        <sz val="11"/>
        <color theme="1"/>
        <rFont val="宋体"/>
        <charset val="134"/>
        <scheme val="minor"/>
      </rPr>
      <t>aber 总IP对比前天和前7天日均，</t>
    </r>
    <r>
      <rPr>
        <sz val="11"/>
        <color rgb="FFFF0000"/>
        <rFont val="宋体"/>
        <charset val="134"/>
        <scheme val="minor"/>
      </rPr>
      <t>下降</t>
    </r>
    <r>
      <rPr>
        <sz val="11"/>
        <color theme="1"/>
        <rFont val="宋体"/>
        <charset val="134"/>
        <scheme val="minor"/>
      </rPr>
      <t>；总注册，总开户；对比前7天日均值，</t>
    </r>
    <r>
      <rPr>
        <sz val="11"/>
        <color rgb="FFFF0000"/>
        <rFont val="宋体"/>
        <charset val="134"/>
        <scheme val="minor"/>
      </rPr>
      <t>下降</t>
    </r>
  </si>
  <si>
    <t>代理线</t>
  </si>
  <si>
    <t>主线账号</t>
  </si>
  <si>
    <t>seo变化数据团队</t>
  </si>
  <si>
    <t>zzy888</t>
  </si>
  <si>
    <t>btydl0322</t>
  </si>
  <si>
    <t>山猫直播</t>
  </si>
  <si>
    <t>山猫直播btydl0322</t>
  </si>
  <si>
    <t>zuan811111</t>
  </si>
  <si>
    <t>btydl0032</t>
  </si>
  <si>
    <t>酷币</t>
  </si>
  <si>
    <t>酷币btydl0032</t>
  </si>
  <si>
    <t>zrf1234</t>
  </si>
  <si>
    <t>btydl067</t>
  </si>
  <si>
    <t>阿元</t>
  </si>
  <si>
    <t>阿元btydl067</t>
  </si>
  <si>
    <t>zq20221120</t>
  </si>
  <si>
    <t>zjj8234</t>
  </si>
  <si>
    <t>zjj7234</t>
  </si>
  <si>
    <t>zjj6234</t>
  </si>
  <si>
    <t>zjj5234</t>
  </si>
  <si>
    <t>zjj4234</t>
  </si>
  <si>
    <t>zjj3234</t>
  </si>
  <si>
    <t>zjj2234</t>
  </si>
  <si>
    <t>zjj1234</t>
  </si>
  <si>
    <t>ziyi8888</t>
  </si>
  <si>
    <t>Thailand888</t>
  </si>
  <si>
    <t>泰国大佬</t>
  </si>
  <si>
    <t>泰国大佬Thailand888</t>
  </si>
  <si>
    <t>zhou1688888</t>
  </si>
  <si>
    <t>zhong6677</t>
  </si>
  <si>
    <t>ss8888</t>
  </si>
  <si>
    <t>67直播</t>
  </si>
  <si>
    <t>67直播ss8888</t>
  </si>
  <si>
    <t>zhenzhen8888</t>
  </si>
  <si>
    <t>zhenhaoceshi5</t>
  </si>
  <si>
    <t>zhenhaoceshi</t>
  </si>
  <si>
    <t>真实数据测试账号</t>
  </si>
  <si>
    <t>zhenhaoceshi4</t>
  </si>
  <si>
    <t>zhenhaoceshi3</t>
  </si>
  <si>
    <t>zhenhaoceshi2</t>
  </si>
  <si>
    <t>zhenhao8888</t>
  </si>
  <si>
    <t>zhao99999</t>
  </si>
  <si>
    <t>zhao178</t>
  </si>
  <si>
    <t>rg1888</t>
  </si>
  <si>
    <t>178直播</t>
  </si>
  <si>
    <t>178直播rg1888</t>
  </si>
  <si>
    <t>zhao001</t>
  </si>
  <si>
    <t>zhangyi8888</t>
  </si>
  <si>
    <t>zhanggongzi888</t>
  </si>
  <si>
    <t>zh8888</t>
  </si>
  <si>
    <t>官网直播转化</t>
  </si>
  <si>
    <t>SEO</t>
  </si>
  <si>
    <t>SEO掉线用户转线</t>
  </si>
  <si>
    <t>zh0808</t>
  </si>
  <si>
    <t>外部代理总线</t>
  </si>
  <si>
    <t>外部代理总线zh0808</t>
  </si>
  <si>
    <t>zh0616</t>
  </si>
  <si>
    <t>转线用户</t>
  </si>
  <si>
    <t>SEO邀请</t>
  </si>
  <si>
    <t>zh0320</t>
  </si>
  <si>
    <t>owen</t>
  </si>
  <si>
    <t>米乐转线</t>
  </si>
  <si>
    <t>zh0000</t>
  </si>
  <si>
    <t>官网转线</t>
  </si>
  <si>
    <t>zgx1234</t>
  </si>
  <si>
    <t>zfdg1234</t>
  </si>
  <si>
    <t>zb0002</t>
  </si>
  <si>
    <t>gt6677</t>
  </si>
  <si>
    <t>GT-骨头</t>
  </si>
  <si>
    <t>B直播gt6677</t>
  </si>
  <si>
    <t>zb0001</t>
  </si>
  <si>
    <t>gt6688</t>
  </si>
  <si>
    <t>GT-B直播</t>
  </si>
  <si>
    <t>B直播gt6688</t>
  </si>
  <si>
    <t>z569234652</t>
  </si>
  <si>
    <t>yyceshi1234</t>
  </si>
  <si>
    <t>yyceshi123</t>
  </si>
  <si>
    <t>技术测试</t>
  </si>
  <si>
    <t>测试</t>
  </si>
  <si>
    <t>yuan6677</t>
  </si>
  <si>
    <t>yuan178</t>
  </si>
  <si>
    <t>yoyo99999u</t>
  </si>
  <si>
    <t>yoyo88888u</t>
  </si>
  <si>
    <t>yoyo88888</t>
  </si>
  <si>
    <t>youjie8888</t>
  </si>
  <si>
    <t>yongrui8888</t>
  </si>
  <si>
    <t>yn0009</t>
  </si>
  <si>
    <t>GT-越南线</t>
  </si>
  <si>
    <t>GT-越南线gt6677</t>
  </si>
  <si>
    <t>yn0008</t>
  </si>
  <si>
    <t>yn0007</t>
  </si>
  <si>
    <t>yn0006</t>
  </si>
  <si>
    <t>yn0005</t>
  </si>
  <si>
    <t>yn0004</t>
  </si>
  <si>
    <t>yn0003</t>
  </si>
  <si>
    <t>yn0002</t>
  </si>
  <si>
    <t>yn00013</t>
  </si>
  <si>
    <t>yn00012</t>
  </si>
  <si>
    <t>yn00011</t>
  </si>
  <si>
    <t>yn00010</t>
  </si>
  <si>
    <t>yn0001</t>
  </si>
  <si>
    <t>yjx666999</t>
  </si>
  <si>
    <t>yixi8888</t>
  </si>
  <si>
    <t>yige6677</t>
  </si>
  <si>
    <t>yige178</t>
  </si>
  <si>
    <t>yeye88888</t>
  </si>
  <si>
    <t>yeye888</t>
  </si>
  <si>
    <t>yeye0320</t>
  </si>
  <si>
    <t>yeye0003</t>
  </si>
  <si>
    <t>yeye0002</t>
  </si>
  <si>
    <t>yeye0001</t>
  </si>
  <si>
    <t>yeye00007</t>
  </si>
  <si>
    <t>yeye00006</t>
  </si>
  <si>
    <t>yeye00005</t>
  </si>
  <si>
    <t>yaxin178</t>
  </si>
  <si>
    <t>Admin邀请</t>
  </si>
  <si>
    <t>官网</t>
  </si>
  <si>
    <t>yanghao2022</t>
  </si>
  <si>
    <t>yang178</t>
  </si>
  <si>
    <t>yan6677</t>
  </si>
  <si>
    <t>xy136888</t>
  </si>
  <si>
    <t>xmvip1234</t>
  </si>
  <si>
    <t>xixi6677</t>
  </si>
  <si>
    <t>xixi178</t>
  </si>
  <si>
    <t>xiqi178</t>
  </si>
  <si>
    <t>xinyu88888</t>
  </si>
  <si>
    <t>xinyu8888</t>
  </si>
  <si>
    <t>xinlang8888</t>
  </si>
  <si>
    <t>xing178</t>
  </si>
  <si>
    <t>xiaoyue8888</t>
  </si>
  <si>
    <t>xiaoting8888</t>
  </si>
  <si>
    <t>xiaoshen178</t>
  </si>
  <si>
    <t>xiaole02</t>
  </si>
  <si>
    <t>ffvn66</t>
  </si>
  <si>
    <t>SOCO越南直播</t>
  </si>
  <si>
    <t>SOCO越南直播ffvn66</t>
  </si>
  <si>
    <t>xiaole016</t>
  </si>
  <si>
    <t>xiaole015</t>
  </si>
  <si>
    <t>xiaole013</t>
  </si>
  <si>
    <t>xiaole012</t>
  </si>
  <si>
    <t>xiaole011</t>
  </si>
  <si>
    <t>xiaole01</t>
  </si>
  <si>
    <t>xiaojin</t>
  </si>
  <si>
    <t>xiaoge588</t>
  </si>
  <si>
    <t>xiao2022730</t>
  </si>
  <si>
    <t>xd20220716</t>
  </si>
  <si>
    <t>xcthai888</t>
  </si>
  <si>
    <t>wwww888</t>
  </si>
  <si>
    <t>wudivins168</t>
  </si>
  <si>
    <t>wudi880824</t>
  </si>
  <si>
    <t>wu99999</t>
  </si>
  <si>
    <t>windy1234</t>
  </si>
  <si>
    <t>windy123</t>
  </si>
  <si>
    <t>wgr123456</t>
  </si>
  <si>
    <t>wen178</t>
  </si>
  <si>
    <t>weihu178</t>
  </si>
  <si>
    <t>weige8888</t>
  </si>
  <si>
    <t>wbdl99</t>
  </si>
  <si>
    <t>外部代理总线wbdl99</t>
  </si>
  <si>
    <t>wbdl98</t>
  </si>
  <si>
    <t>外部代理总线wbdl98</t>
  </si>
  <si>
    <t>wbdl97</t>
  </si>
  <si>
    <t>外部代理总线wbdl97</t>
  </si>
  <si>
    <t>wbdl96</t>
  </si>
  <si>
    <t>外部代理总线wbdl96</t>
  </si>
  <si>
    <t>wbdl95</t>
  </si>
  <si>
    <t>外部代理总线wbdl95</t>
  </si>
  <si>
    <t>wbdl94</t>
  </si>
  <si>
    <t>外部代理总线wbdl94</t>
  </si>
  <si>
    <t>wbdl93</t>
  </si>
  <si>
    <t>外部代理总线wbdl93</t>
  </si>
  <si>
    <t>wbdl92</t>
  </si>
  <si>
    <t>外部代理总线wbdl92</t>
  </si>
  <si>
    <t>wbdl9101</t>
  </si>
  <si>
    <t>wbdl91</t>
  </si>
  <si>
    <t>外部代理总线wbdl91</t>
  </si>
  <si>
    <t>wbdl90</t>
  </si>
  <si>
    <t>外部代理总线wbdl90</t>
  </si>
  <si>
    <t>wbdl89</t>
  </si>
  <si>
    <t>外部代理总线wbdl89</t>
  </si>
  <si>
    <t>wbdl88</t>
  </si>
  <si>
    <t>外部代理总线wbdl88</t>
  </si>
  <si>
    <t>wbdl87</t>
  </si>
  <si>
    <t>外部代理总线wbdl87</t>
  </si>
  <si>
    <t>wbdl86</t>
  </si>
  <si>
    <t>外部代理总线wbdl86</t>
  </si>
  <si>
    <t>wbdl85</t>
  </si>
  <si>
    <t>外部代理总线wbdl85</t>
  </si>
  <si>
    <t>wbdl84</t>
  </si>
  <si>
    <t>外部代理总线wbdl84</t>
  </si>
  <si>
    <t>wbdl83</t>
  </si>
  <si>
    <t>外部代理总线wbdl83</t>
  </si>
  <si>
    <t>wbdl82</t>
  </si>
  <si>
    <t>外部代理总线wbdl82</t>
  </si>
  <si>
    <t>wbdl81</t>
  </si>
  <si>
    <t>外部代理总线wbdl81</t>
  </si>
  <si>
    <t>wbdl80</t>
  </si>
  <si>
    <t>外部代理总线wbdl80</t>
  </si>
  <si>
    <t>wbdl79</t>
  </si>
  <si>
    <t>外部代理总线wbdl79</t>
  </si>
  <si>
    <t>wbdl78</t>
  </si>
  <si>
    <t>外部代理总线wbdl78</t>
  </si>
  <si>
    <t>wbdl77</t>
  </si>
  <si>
    <t>外部代理总线wbdl77</t>
  </si>
  <si>
    <t>wbdl76</t>
  </si>
  <si>
    <t>外部代理总线wbdl76</t>
  </si>
  <si>
    <t>wbdl75</t>
  </si>
  <si>
    <t>外部代理总线wbdl75</t>
  </si>
  <si>
    <t>wbdl73</t>
  </si>
  <si>
    <t>外部代理总线wbdl73</t>
  </si>
  <si>
    <t>wbdl72</t>
  </si>
  <si>
    <t>外部代理总线wbdl72</t>
  </si>
  <si>
    <t>wbdl71</t>
  </si>
  <si>
    <t>外部代理总线wbdl71</t>
  </si>
  <si>
    <t>wbdl70</t>
  </si>
  <si>
    <t>外部代理总线wbdl70</t>
  </si>
  <si>
    <t>wbdl69</t>
  </si>
  <si>
    <t>外部代理总线wbdl69</t>
  </si>
  <si>
    <t>wbdl68</t>
  </si>
  <si>
    <t>外部代理总线wbdl68</t>
  </si>
  <si>
    <t>wbdl675</t>
  </si>
  <si>
    <t>wbdl674</t>
  </si>
  <si>
    <t>wbdl673</t>
  </si>
  <si>
    <t>wbdl672</t>
  </si>
  <si>
    <t>wbdl671</t>
  </si>
  <si>
    <t>wbdl670</t>
  </si>
  <si>
    <t>wbdl67</t>
  </si>
  <si>
    <t>外部代理总线wbdl67</t>
  </si>
  <si>
    <t>wbdl669</t>
  </si>
  <si>
    <t>wbdl668</t>
  </si>
  <si>
    <t>wbdl667</t>
  </si>
  <si>
    <t>wbdl666</t>
  </si>
  <si>
    <t>wbdl665</t>
  </si>
  <si>
    <t>wbdl664</t>
  </si>
  <si>
    <t>wbdl662</t>
  </si>
  <si>
    <t>wbdl661</t>
  </si>
  <si>
    <t>wbdl660</t>
  </si>
  <si>
    <t>wbdl66</t>
  </si>
  <si>
    <t>外部代理总线wbdl66</t>
  </si>
  <si>
    <t>wbdl659</t>
  </si>
  <si>
    <t>wbdl658</t>
  </si>
  <si>
    <t>wbdl657</t>
  </si>
  <si>
    <t>wbdl656</t>
  </si>
  <si>
    <t>wbdl655</t>
  </si>
  <si>
    <t>wbdl654</t>
  </si>
  <si>
    <t>wbdl653</t>
  </si>
  <si>
    <t>wbdl652</t>
  </si>
  <si>
    <t>wbdl651</t>
  </si>
  <si>
    <t>wbdl650</t>
  </si>
  <si>
    <t>wbdl65</t>
  </si>
  <si>
    <t>外部代理总线wbdl65</t>
  </si>
  <si>
    <t>wbdl649</t>
  </si>
  <si>
    <t>wbdl648</t>
  </si>
  <si>
    <t>wbdl647</t>
  </si>
  <si>
    <t>wbdl646</t>
  </si>
  <si>
    <t>wbdl645</t>
  </si>
  <si>
    <t>wbdl644</t>
  </si>
  <si>
    <t>wbdl643</t>
  </si>
  <si>
    <t>wbdl642</t>
  </si>
  <si>
    <t>wbdl641</t>
  </si>
  <si>
    <t>wbdl640</t>
  </si>
  <si>
    <t>wbdl64</t>
  </si>
  <si>
    <t>外部代理总线wbdl64</t>
  </si>
  <si>
    <t>wbdl639</t>
  </si>
  <si>
    <t>wbdl638</t>
  </si>
  <si>
    <t>wbdl637</t>
  </si>
  <si>
    <t>wbdl636</t>
  </si>
  <si>
    <t>wbdl635</t>
  </si>
  <si>
    <t>wbdl634</t>
  </si>
  <si>
    <t>wbdl633</t>
  </si>
  <si>
    <t>wbdl632</t>
  </si>
  <si>
    <t>wbdl631</t>
  </si>
  <si>
    <t>wbdl630</t>
  </si>
  <si>
    <t>wbdl63</t>
  </si>
  <si>
    <t>外部代理总线wbdl63</t>
  </si>
  <si>
    <t>wbdl629</t>
  </si>
  <si>
    <t>wbdl628</t>
  </si>
  <si>
    <t>wbdl627</t>
  </si>
  <si>
    <t>wbdl626</t>
  </si>
  <si>
    <t>wbdl625</t>
  </si>
  <si>
    <t>wbdl624</t>
  </si>
  <si>
    <t>wbdl623</t>
  </si>
  <si>
    <t>wbdl622</t>
  </si>
  <si>
    <t>wbdl621</t>
  </si>
  <si>
    <t>wbdl620</t>
  </si>
  <si>
    <t>wbdl62</t>
  </si>
  <si>
    <t>外部代理总线wbdl62</t>
  </si>
  <si>
    <t>wbdl619</t>
  </si>
  <si>
    <t>wbdl618</t>
  </si>
  <si>
    <t>wbdl617</t>
  </si>
  <si>
    <t>wbdl616</t>
  </si>
  <si>
    <t>wbdl615</t>
  </si>
  <si>
    <t>wbdl614</t>
  </si>
  <si>
    <t>wbdl613</t>
  </si>
  <si>
    <t>wbdl612</t>
  </si>
  <si>
    <t>wbdl611</t>
  </si>
  <si>
    <t>wbdl610</t>
  </si>
  <si>
    <t>wbdl61</t>
  </si>
  <si>
    <t>外部代理总线wbdl61</t>
  </si>
  <si>
    <t>wbdl609</t>
  </si>
  <si>
    <t>wbdl608</t>
  </si>
  <si>
    <t>wbdl607</t>
  </si>
  <si>
    <t>wbdl60601</t>
  </si>
  <si>
    <t>wbdl606</t>
  </si>
  <si>
    <t>wbdl605</t>
  </si>
  <si>
    <t>wbdl604</t>
  </si>
  <si>
    <t>wbdl603</t>
  </si>
  <si>
    <t>wbdl602</t>
  </si>
  <si>
    <t>wbdl601</t>
  </si>
  <si>
    <t>wbdl600</t>
  </si>
  <si>
    <t>wbdl60</t>
  </si>
  <si>
    <t>外部代理总线wbdl60</t>
  </si>
  <si>
    <t>wbdl599</t>
  </si>
  <si>
    <t>wbdl598</t>
  </si>
  <si>
    <t>wbdl597</t>
  </si>
  <si>
    <t>wbdl596</t>
  </si>
  <si>
    <t>wbdl595</t>
  </si>
  <si>
    <t>wbdl594</t>
  </si>
  <si>
    <t>wbdl593</t>
  </si>
  <si>
    <t>wbdl592</t>
  </si>
  <si>
    <t>wbdl591</t>
  </si>
  <si>
    <t>wbdl590</t>
  </si>
  <si>
    <t>wbdl59</t>
  </si>
  <si>
    <t>外部代理总线wbdl59</t>
  </si>
  <si>
    <t>wbdl589</t>
  </si>
  <si>
    <t>wbdl588</t>
  </si>
  <si>
    <t>wbdl587</t>
  </si>
  <si>
    <t>wbdl586</t>
  </si>
  <si>
    <t>wbdl585</t>
  </si>
  <si>
    <t>wbdl584</t>
  </si>
  <si>
    <t>wbdl583</t>
  </si>
  <si>
    <t>wbdl582</t>
  </si>
  <si>
    <t>wbdl581</t>
  </si>
  <si>
    <t>wbdl580</t>
  </si>
  <si>
    <t>wbdl58</t>
  </si>
  <si>
    <t>外部代理总线wbdl58</t>
  </si>
  <si>
    <t>wbdl579</t>
  </si>
  <si>
    <t>wbdl578</t>
  </si>
  <si>
    <t>wbdl577</t>
  </si>
  <si>
    <t>wbdl576</t>
  </si>
  <si>
    <t>wbdl575</t>
  </si>
  <si>
    <t>wbdl574</t>
  </si>
  <si>
    <t>wbdl573</t>
  </si>
  <si>
    <t>wbdl572</t>
  </si>
  <si>
    <t>wbdl571</t>
  </si>
  <si>
    <t>wbdl570</t>
  </si>
  <si>
    <t>wbdl57</t>
  </si>
  <si>
    <t>外部代理总线wbdl57</t>
  </si>
  <si>
    <t>wbdl569</t>
  </si>
  <si>
    <t>wbdl568</t>
  </si>
  <si>
    <t>wbdl567</t>
  </si>
  <si>
    <t>wbdl566</t>
  </si>
  <si>
    <t>wbdl565</t>
  </si>
  <si>
    <t>wbdl564</t>
  </si>
  <si>
    <t>wbdl563</t>
  </si>
  <si>
    <t>wbdl562</t>
  </si>
  <si>
    <t>wbdl561</t>
  </si>
  <si>
    <t>wbdl560</t>
  </si>
  <si>
    <t>wbdl56</t>
  </si>
  <si>
    <t>外部代理总线wbdl56</t>
  </si>
  <si>
    <t>wbdl559</t>
  </si>
  <si>
    <t>wbdl558</t>
  </si>
  <si>
    <t>wbdl557</t>
  </si>
  <si>
    <t>wbdl556</t>
  </si>
  <si>
    <t>wbdl555</t>
  </si>
  <si>
    <t>wbdl554</t>
  </si>
  <si>
    <t>wbdl553</t>
  </si>
  <si>
    <t>wbdl552</t>
  </si>
  <si>
    <t>wbdl551</t>
  </si>
  <si>
    <t>wbdl550</t>
  </si>
  <si>
    <t>wbdl55</t>
  </si>
  <si>
    <t>外部代理总线wbdl55</t>
  </si>
  <si>
    <t>wbdl549</t>
  </si>
  <si>
    <t>wbdl548</t>
  </si>
  <si>
    <t>wbdl547</t>
  </si>
  <si>
    <t>wbdl54601</t>
  </si>
  <si>
    <t>wbdl546</t>
  </si>
  <si>
    <t>wbdl545</t>
  </si>
  <si>
    <t>wbdl544</t>
  </si>
  <si>
    <t>wbdl543</t>
  </si>
  <si>
    <t>wbdl542</t>
  </si>
  <si>
    <t>wbdl541</t>
  </si>
  <si>
    <t>wbdl540</t>
  </si>
  <si>
    <t>wbdl54</t>
  </si>
  <si>
    <t>外部代理总线wbdl54</t>
  </si>
  <si>
    <t>wbdl53901</t>
  </si>
  <si>
    <t>wbdl539</t>
  </si>
  <si>
    <t>wbdl538</t>
  </si>
  <si>
    <t>wbdl537</t>
  </si>
  <si>
    <t>wbdl536</t>
  </si>
  <si>
    <t>wbdl535</t>
  </si>
  <si>
    <t>wbdl534</t>
  </si>
  <si>
    <t>wbdl533</t>
  </si>
  <si>
    <t>wbdl532</t>
  </si>
  <si>
    <t>wbdl531</t>
  </si>
  <si>
    <t>wbdl530</t>
  </si>
  <si>
    <t>wbdl53</t>
  </si>
  <si>
    <t>外部代理总线wbdl53</t>
  </si>
  <si>
    <t>wbdl52910</t>
  </si>
  <si>
    <t>wbdl52909</t>
  </si>
  <si>
    <t>wbdl52908</t>
  </si>
  <si>
    <t>wbdl52907</t>
  </si>
  <si>
    <t>wbdl52906</t>
  </si>
  <si>
    <t>wbdl52905</t>
  </si>
  <si>
    <t>wbdl52904</t>
  </si>
  <si>
    <t>wbdl52903</t>
  </si>
  <si>
    <t>wbdl52902</t>
  </si>
  <si>
    <t>wbdl52901</t>
  </si>
  <si>
    <t>wbdl529</t>
  </si>
  <si>
    <t>wbdl528</t>
  </si>
  <si>
    <t>wbdl527</t>
  </si>
  <si>
    <t>wbdl526</t>
  </si>
  <si>
    <t>wbdl525</t>
  </si>
  <si>
    <t>wbdl524</t>
  </si>
  <si>
    <t>wbdl523</t>
  </si>
  <si>
    <t>wbdl522</t>
  </si>
  <si>
    <t>wbdl521</t>
  </si>
  <si>
    <t>wbdl520</t>
  </si>
  <si>
    <t>wbdl52</t>
  </si>
  <si>
    <t>外部代理总线wbdl52</t>
  </si>
  <si>
    <t>wbdl519</t>
  </si>
  <si>
    <t>wbdl518</t>
  </si>
  <si>
    <t>wbdl517</t>
  </si>
  <si>
    <t>wbdl516</t>
  </si>
  <si>
    <t>wbdl515</t>
  </si>
  <si>
    <t>wbdl514</t>
  </si>
  <si>
    <t>wbdl513</t>
  </si>
  <si>
    <t>wbdl512</t>
  </si>
  <si>
    <t>wbdl511</t>
  </si>
  <si>
    <t>wbdl510</t>
  </si>
  <si>
    <t>wbdl51</t>
  </si>
  <si>
    <t>外部代理总线wbdl51</t>
  </si>
  <si>
    <t>wbdl509</t>
  </si>
  <si>
    <t>wbdl508</t>
  </si>
  <si>
    <t>wbdl507</t>
  </si>
  <si>
    <t>wbdl506</t>
  </si>
  <si>
    <t>wbdl505</t>
  </si>
  <si>
    <t>wbdl504</t>
  </si>
  <si>
    <t>wbdl503</t>
  </si>
  <si>
    <t>wbdl502</t>
  </si>
  <si>
    <t>wbdl501</t>
  </si>
  <si>
    <t>wbdl500</t>
  </si>
  <si>
    <t>wbdl50</t>
  </si>
  <si>
    <t>外部代理总线wbdl50</t>
  </si>
  <si>
    <t>wbdl499</t>
  </si>
  <si>
    <t>wbdl498</t>
  </si>
  <si>
    <t>wbdl497</t>
  </si>
  <si>
    <t>wbdl496</t>
  </si>
  <si>
    <t>wbdl495</t>
  </si>
  <si>
    <t>wbdl494</t>
  </si>
  <si>
    <t>wbdl493</t>
  </si>
  <si>
    <t>wbdl492</t>
  </si>
  <si>
    <t>wbdl491</t>
  </si>
  <si>
    <t>wbdl490</t>
  </si>
  <si>
    <t>wbdl49</t>
  </si>
  <si>
    <t>外部代理总线wbdl49</t>
  </si>
  <si>
    <t>wbdl489</t>
  </si>
  <si>
    <t>wbdl488</t>
  </si>
  <si>
    <t>wbdl48705</t>
  </si>
  <si>
    <t>wbdl48704</t>
  </si>
  <si>
    <t>wbdl48703</t>
  </si>
  <si>
    <t>wbdl48702</t>
  </si>
  <si>
    <t>wbdl48701</t>
  </si>
  <si>
    <t>wbdl486</t>
  </si>
  <si>
    <t>wbdl485</t>
  </si>
  <si>
    <t>wbdl484</t>
  </si>
  <si>
    <t>wbdl48301</t>
  </si>
  <si>
    <t>wbdl483</t>
  </si>
  <si>
    <t>wbdl482</t>
  </si>
  <si>
    <t>wbdl48101</t>
  </si>
  <si>
    <t>wbdl481</t>
  </si>
  <si>
    <t>wbdl480</t>
  </si>
  <si>
    <t>wbdl48</t>
  </si>
  <si>
    <t>外部代理总线wbdl48</t>
  </si>
  <si>
    <t>wbdl479</t>
  </si>
  <si>
    <t>wbdl478</t>
  </si>
  <si>
    <t>wbdl477</t>
  </si>
  <si>
    <t>wbdl476</t>
  </si>
  <si>
    <t>wbdl475</t>
  </si>
  <si>
    <t>wbdl474</t>
  </si>
  <si>
    <t>wbdl473</t>
  </si>
  <si>
    <t>wbdl472</t>
  </si>
  <si>
    <t>wbdl471</t>
  </si>
  <si>
    <t>wbdl470</t>
  </si>
  <si>
    <t>wbdl47</t>
  </si>
  <si>
    <t>外部代理总线wbdl47</t>
  </si>
  <si>
    <t>wbdl469</t>
  </si>
  <si>
    <t>wbdl468</t>
  </si>
  <si>
    <t>wbdl467</t>
  </si>
  <si>
    <t>wbdl466</t>
  </si>
  <si>
    <t>wbdl465</t>
  </si>
  <si>
    <t>wbdl464</t>
  </si>
  <si>
    <t>wbdl463</t>
  </si>
  <si>
    <t>wbdl462</t>
  </si>
  <si>
    <t>wbdl461</t>
  </si>
  <si>
    <t>wbdl460</t>
  </si>
  <si>
    <t>wbdl46</t>
  </si>
  <si>
    <t>外部代理总线wbdl46</t>
  </si>
  <si>
    <t>wbdl459</t>
  </si>
  <si>
    <t>wbdl458</t>
  </si>
  <si>
    <t>wbdl457</t>
  </si>
  <si>
    <t>wbdl456</t>
  </si>
  <si>
    <t>wbdl455</t>
  </si>
  <si>
    <t>wbdl454</t>
  </si>
  <si>
    <t>wbdl453</t>
  </si>
  <si>
    <t>wbdl452</t>
  </si>
  <si>
    <t>wbdl451</t>
  </si>
  <si>
    <t>wbdl450</t>
  </si>
  <si>
    <t>wbdl45</t>
  </si>
  <si>
    <t>外部代理总线wbdl45</t>
  </si>
  <si>
    <t>wbdl449</t>
  </si>
  <si>
    <t>wbdl448</t>
  </si>
  <si>
    <t>wbdl447</t>
  </si>
  <si>
    <t>wbdl446</t>
  </si>
  <si>
    <t>wbdl445</t>
  </si>
  <si>
    <t>wbdl444</t>
  </si>
  <si>
    <t>wbdl443</t>
  </si>
  <si>
    <t>wbdl442</t>
  </si>
  <si>
    <t>wbdl441</t>
  </si>
  <si>
    <t>wbdl440</t>
  </si>
  <si>
    <t>wbdl439</t>
  </si>
  <si>
    <t>wbdl438</t>
  </si>
  <si>
    <t>wbdl437</t>
  </si>
  <si>
    <t>wbdl436</t>
  </si>
  <si>
    <t>wbdl435</t>
  </si>
  <si>
    <t>wbdl434</t>
  </si>
  <si>
    <t>wbdl433</t>
  </si>
  <si>
    <t>wbdl432</t>
  </si>
  <si>
    <t>wbdl431</t>
  </si>
  <si>
    <t>wbdl430</t>
  </si>
  <si>
    <t>wbdl43</t>
  </si>
  <si>
    <t>外部代理总线wbdl43</t>
  </si>
  <si>
    <t>wbdl429</t>
  </si>
  <si>
    <t>wbdl428</t>
  </si>
  <si>
    <t>wbdl427</t>
  </si>
  <si>
    <t>wbdl426</t>
  </si>
  <si>
    <t>wbdl425</t>
  </si>
  <si>
    <t>wbdl424</t>
  </si>
  <si>
    <t>wbdl423</t>
  </si>
  <si>
    <t>wbdl422</t>
  </si>
  <si>
    <t>wbdl421</t>
  </si>
  <si>
    <t>wbdl420</t>
  </si>
  <si>
    <t>wbdl42</t>
  </si>
  <si>
    <t>外部代理总线wbdl42</t>
  </si>
  <si>
    <t>wbdl419</t>
  </si>
  <si>
    <t>wbdl418</t>
  </si>
  <si>
    <t>wbdl417</t>
  </si>
  <si>
    <t>wbdl416</t>
  </si>
  <si>
    <t>wbdl415</t>
  </si>
  <si>
    <t>wbdl414</t>
  </si>
  <si>
    <t>wbdl413</t>
  </si>
  <si>
    <t>wbdl412</t>
  </si>
  <si>
    <t>wbdl411</t>
  </si>
  <si>
    <t>wbdl410</t>
  </si>
  <si>
    <t>wbdl41</t>
  </si>
  <si>
    <t>外部代理总线wbdl41</t>
  </si>
  <si>
    <t>wbdl409</t>
  </si>
  <si>
    <t>wbdl408</t>
  </si>
  <si>
    <t>wbdl407</t>
  </si>
  <si>
    <t>wbdl406</t>
  </si>
  <si>
    <t>wbdl405</t>
  </si>
  <si>
    <t>wbdl404</t>
  </si>
  <si>
    <t>wbdl403</t>
  </si>
  <si>
    <t>wbdl402</t>
  </si>
  <si>
    <t>wbdl401</t>
  </si>
  <si>
    <t>wbdl40002</t>
  </si>
  <si>
    <t>wbdl40001</t>
  </si>
  <si>
    <t>wbdl400</t>
  </si>
  <si>
    <t>wbdl40</t>
  </si>
  <si>
    <t>外部代理总线wbdl40</t>
  </si>
  <si>
    <t>wbdl399</t>
  </si>
  <si>
    <t>wbdl398</t>
  </si>
  <si>
    <t>wbdl397</t>
  </si>
  <si>
    <t>wbdl396</t>
  </si>
  <si>
    <t>wbdl395</t>
  </si>
  <si>
    <t>wbdl394</t>
  </si>
  <si>
    <t>wbdl393</t>
  </si>
  <si>
    <t>wbdl39201</t>
  </si>
  <si>
    <t>wbdl392</t>
  </si>
  <si>
    <t>wbdl391</t>
  </si>
  <si>
    <t>wbdl390</t>
  </si>
  <si>
    <t>wbdl39</t>
  </si>
  <si>
    <t>外部代理总线wbdl39</t>
  </si>
  <si>
    <t>wbdl389</t>
  </si>
  <si>
    <t>wbdl388</t>
  </si>
  <si>
    <t>wbdl38701</t>
  </si>
  <si>
    <t>wbdl387</t>
  </si>
  <si>
    <t>wbdl386</t>
  </si>
  <si>
    <t>wbdl385</t>
  </si>
  <si>
    <t>wbdl384</t>
  </si>
  <si>
    <t>wbdl383</t>
  </si>
  <si>
    <t>wbdl382</t>
  </si>
  <si>
    <t>wbdl381</t>
  </si>
  <si>
    <t>wbdl380</t>
  </si>
  <si>
    <t>wbdl38</t>
  </si>
  <si>
    <t>外部代理总线wbdl38</t>
  </si>
  <si>
    <t>wbdl379</t>
  </si>
  <si>
    <t>wbdl378</t>
  </si>
  <si>
    <t>wbdl377</t>
  </si>
  <si>
    <t>wbdl376</t>
  </si>
  <si>
    <t>wbdl375</t>
  </si>
  <si>
    <t>wbdl374</t>
  </si>
  <si>
    <t>wbdl373</t>
  </si>
  <si>
    <t>wbdl372</t>
  </si>
  <si>
    <t>wbdl371</t>
  </si>
  <si>
    <t>wbdl370</t>
  </si>
  <si>
    <t>wbdl37</t>
  </si>
  <si>
    <t>外部代理总线wbdl37</t>
  </si>
  <si>
    <t>wbdl369</t>
  </si>
  <si>
    <t>wbdl368</t>
  </si>
  <si>
    <t>wbdl367</t>
  </si>
  <si>
    <t>wbdl366</t>
  </si>
  <si>
    <t>wbdl365</t>
  </si>
  <si>
    <t>wbdl364</t>
  </si>
  <si>
    <t>wbdl363</t>
  </si>
  <si>
    <t>wbdl362</t>
  </si>
  <si>
    <t>wbdl361</t>
  </si>
  <si>
    <t>wbdl3601</t>
  </si>
  <si>
    <t>wbdl36001</t>
  </si>
  <si>
    <t>wbdl360</t>
  </si>
  <si>
    <t>wbdl36</t>
  </si>
  <si>
    <t>外部代理总线wbdl36</t>
  </si>
  <si>
    <t>wbdl359</t>
  </si>
  <si>
    <t>wbdl358</t>
  </si>
  <si>
    <t>wbdl357</t>
  </si>
  <si>
    <t>wbdl356</t>
  </si>
  <si>
    <t>wbdl354</t>
  </si>
  <si>
    <t>wbdl353</t>
  </si>
  <si>
    <t>wbdl352</t>
  </si>
  <si>
    <t>wbdl351</t>
  </si>
  <si>
    <t>wbdl350</t>
  </si>
  <si>
    <t>wbdl35</t>
  </si>
  <si>
    <t>外部代理总线wbdl35</t>
  </si>
  <si>
    <t>wbdl34903</t>
  </si>
  <si>
    <t>wbdl34902</t>
  </si>
  <si>
    <t>wbdl34901</t>
  </si>
  <si>
    <t>wbdl349</t>
  </si>
  <si>
    <t>wbdl348</t>
  </si>
  <si>
    <t>wbdl347</t>
  </si>
  <si>
    <t>wbdl346</t>
  </si>
  <si>
    <t>wbdl345</t>
  </si>
  <si>
    <t>wbdl344</t>
  </si>
  <si>
    <t>wbdl343</t>
  </si>
  <si>
    <t>wbdl342</t>
  </si>
  <si>
    <t>wbdl341</t>
  </si>
  <si>
    <t>wbdl340</t>
  </si>
  <si>
    <t>wbdl34</t>
  </si>
  <si>
    <t>外部代理总线wbdl34</t>
  </si>
  <si>
    <t>wbdl339</t>
  </si>
  <si>
    <t>wbdl338</t>
  </si>
  <si>
    <t>wbdl337</t>
  </si>
  <si>
    <t>wbdl336</t>
  </si>
  <si>
    <t>wbdl335</t>
  </si>
  <si>
    <t>wbdl334</t>
  </si>
  <si>
    <t>wbdl333</t>
  </si>
  <si>
    <t>wbdl332</t>
  </si>
  <si>
    <t>wbdl331</t>
  </si>
  <si>
    <t>wbdl330</t>
  </si>
  <si>
    <t>wbdl33</t>
  </si>
  <si>
    <t>外部代理总线wbdl33</t>
  </si>
  <si>
    <t>wbdl329</t>
  </si>
  <si>
    <t>wbdl328</t>
  </si>
  <si>
    <t>wbdl327</t>
  </si>
  <si>
    <t>wbdl326</t>
  </si>
  <si>
    <t>wbdl325</t>
  </si>
  <si>
    <t>wbdl324</t>
  </si>
  <si>
    <t>wbdl323</t>
  </si>
  <si>
    <t>wbdl322</t>
  </si>
  <si>
    <t>wbdl321</t>
  </si>
  <si>
    <t>wbdl320</t>
  </si>
  <si>
    <t>wbdl32</t>
  </si>
  <si>
    <t>外部代理总线wbdl32</t>
  </si>
  <si>
    <t>wbdl319</t>
  </si>
  <si>
    <t>wbdl318</t>
  </si>
  <si>
    <t>wbdl317</t>
  </si>
  <si>
    <t>wbdl316</t>
  </si>
  <si>
    <t>wbdl315</t>
  </si>
  <si>
    <t>wbdl314</t>
  </si>
  <si>
    <t>wbdl313</t>
  </si>
  <si>
    <t>wbdl312</t>
  </si>
  <si>
    <t>wbdl311</t>
  </si>
  <si>
    <t>wbdl310</t>
  </si>
  <si>
    <t>wbdl31</t>
  </si>
  <si>
    <t>外部代理总线wbdl31</t>
  </si>
  <si>
    <t>wbdl309</t>
  </si>
  <si>
    <t>wbdl30802</t>
  </si>
  <si>
    <t>wbdl30801</t>
  </si>
  <si>
    <t>wbdl308</t>
  </si>
  <si>
    <t>wbdl307</t>
  </si>
  <si>
    <t>wbdl306</t>
  </si>
  <si>
    <t>wbdl30501</t>
  </si>
  <si>
    <t>wbdl305</t>
  </si>
  <si>
    <t>wbdl304</t>
  </si>
  <si>
    <t>wbdl303</t>
  </si>
  <si>
    <t>wbdl302</t>
  </si>
  <si>
    <t>wbdl301</t>
  </si>
  <si>
    <t>wbdl300</t>
  </si>
  <si>
    <t>wbdl30</t>
  </si>
  <si>
    <t>外部代理总线wbdl30</t>
  </si>
  <si>
    <t>wbdl299</t>
  </si>
  <si>
    <t>wbdl298</t>
  </si>
  <si>
    <t>wbdl297</t>
  </si>
  <si>
    <t>wbdl296</t>
  </si>
  <si>
    <t>wbdl295</t>
  </si>
  <si>
    <t>wbdl294</t>
  </si>
  <si>
    <t>wbdl293</t>
  </si>
  <si>
    <t>wbdl292</t>
  </si>
  <si>
    <t>wbdl291</t>
  </si>
  <si>
    <t>wbdl290</t>
  </si>
  <si>
    <t>wbdl29</t>
  </si>
  <si>
    <t>外部代理总线wbdl29</t>
  </si>
  <si>
    <t>wbdl289</t>
  </si>
  <si>
    <t>wbdl288</t>
  </si>
  <si>
    <t>wbdl287</t>
  </si>
  <si>
    <t>wbdl286</t>
  </si>
  <si>
    <t>wbdl285</t>
  </si>
  <si>
    <t>wbdl28403</t>
  </si>
  <si>
    <t>wbdl28402</t>
  </si>
  <si>
    <t>wbdl28401</t>
  </si>
  <si>
    <t>wbdl284</t>
  </si>
  <si>
    <t>wbdl283</t>
  </si>
  <si>
    <t>wbdl282</t>
  </si>
  <si>
    <t>wbdl281</t>
  </si>
  <si>
    <t>wbdl280</t>
  </si>
  <si>
    <t>wbdl28</t>
  </si>
  <si>
    <t>外部代理总线wbdl28</t>
  </si>
  <si>
    <t>wbdl279</t>
  </si>
  <si>
    <t>wbdl27801</t>
  </si>
  <si>
    <t>wbdl278</t>
  </si>
  <si>
    <t>wbdl27701</t>
  </si>
  <si>
    <t>wbdl277</t>
  </si>
  <si>
    <t>wbdl276</t>
  </si>
  <si>
    <t>wbdl275</t>
  </si>
  <si>
    <t>wbdl27401</t>
  </si>
  <si>
    <t>wbdl274</t>
  </si>
  <si>
    <t>wbdl273</t>
  </si>
  <si>
    <t>wbdl272</t>
  </si>
  <si>
    <t>wbdl271</t>
  </si>
  <si>
    <t>wbdl270</t>
  </si>
  <si>
    <t>wbdl27</t>
  </si>
  <si>
    <t>外部代理总线wbdl27</t>
  </si>
  <si>
    <t>wbdl269</t>
  </si>
  <si>
    <t>wbdl268</t>
  </si>
  <si>
    <t>wbdl267</t>
  </si>
  <si>
    <t>wbdl26601</t>
  </si>
  <si>
    <t>wbdl266</t>
  </si>
  <si>
    <t>wbdl26501</t>
  </si>
  <si>
    <t>wbdl265</t>
  </si>
  <si>
    <t>wbdl264</t>
  </si>
  <si>
    <t>wbdl263</t>
  </si>
  <si>
    <t>wbdl262</t>
  </si>
  <si>
    <t>wbdl261</t>
  </si>
  <si>
    <t>wbdl260</t>
  </si>
  <si>
    <t>wbdl26</t>
  </si>
  <si>
    <t>外部代理总线wbdl26</t>
  </si>
  <si>
    <t>wbdl259</t>
  </si>
  <si>
    <t>wbdl258</t>
  </si>
  <si>
    <t>wbdl257</t>
  </si>
  <si>
    <t>wbdl256</t>
  </si>
  <si>
    <t>wbdl25501</t>
  </si>
  <si>
    <t>wbdl255</t>
  </si>
  <si>
    <t>wbdl254</t>
  </si>
  <si>
    <t>wbdl253</t>
  </si>
  <si>
    <t>wbdl252</t>
  </si>
  <si>
    <t>wbdl251</t>
  </si>
  <si>
    <t>wbdl250</t>
  </si>
  <si>
    <t>wbdl25</t>
  </si>
  <si>
    <t>外部代理总线wbdl25</t>
  </si>
  <si>
    <t>wbdl249</t>
  </si>
  <si>
    <t>wbdl248</t>
  </si>
  <si>
    <t>wbdl247</t>
  </si>
  <si>
    <t>wbdl24602</t>
  </si>
  <si>
    <t>wbdl24601</t>
  </si>
  <si>
    <t>wbdl246</t>
  </si>
  <si>
    <t>wbdl245</t>
  </si>
  <si>
    <t>wbdl244</t>
  </si>
  <si>
    <t>wbdl243</t>
  </si>
  <si>
    <t>wbdl242</t>
  </si>
  <si>
    <t>wbdl241</t>
  </si>
  <si>
    <t>wbdl240</t>
  </si>
  <si>
    <t>wbdl24</t>
  </si>
  <si>
    <t>外部代理总线wbdl24</t>
  </si>
  <si>
    <t>wbdl239</t>
  </si>
  <si>
    <t>wbdl238</t>
  </si>
  <si>
    <t>wbdl237</t>
  </si>
  <si>
    <t>wbdl236</t>
  </si>
  <si>
    <t>wbdl235</t>
  </si>
  <si>
    <t>wbdl234</t>
  </si>
  <si>
    <t>wbdl233</t>
  </si>
  <si>
    <t>wbdl232</t>
  </si>
  <si>
    <t>wbdl231</t>
  </si>
  <si>
    <t>wbdl230</t>
  </si>
  <si>
    <t>wbdl23</t>
  </si>
  <si>
    <t>外部代理总线wbdl23</t>
  </si>
  <si>
    <t>wbdl229</t>
  </si>
  <si>
    <t>wbdl228</t>
  </si>
  <si>
    <t>wbdl227</t>
  </si>
  <si>
    <t>wbdl226</t>
  </si>
  <si>
    <t>wbdl225</t>
  </si>
  <si>
    <t>wbdl224</t>
  </si>
  <si>
    <t>wbdl223</t>
  </si>
  <si>
    <t>wbdl222</t>
  </si>
  <si>
    <t>wbdl221</t>
  </si>
  <si>
    <t>wbdl220</t>
  </si>
  <si>
    <t>wbdl22</t>
  </si>
  <si>
    <t>外部代理总线wbdl22</t>
  </si>
  <si>
    <t>wbdl219</t>
  </si>
  <si>
    <t>wbdl218</t>
  </si>
  <si>
    <t>wbdl217</t>
  </si>
  <si>
    <t>wbdl216</t>
  </si>
  <si>
    <t>外部代理总线wbdl216</t>
  </si>
  <si>
    <t>wbdl215</t>
  </si>
  <si>
    <t>外部代理总线wbdl215</t>
  </si>
  <si>
    <t>wbdl214</t>
  </si>
  <si>
    <t>外部代理总线wbdl214</t>
  </si>
  <si>
    <t>wbdl213</t>
  </si>
  <si>
    <t>外部代理总线wbdl213</t>
  </si>
  <si>
    <t>wbdl212</t>
  </si>
  <si>
    <t>外部代理总线wbdl212</t>
  </si>
  <si>
    <t>wbdl211</t>
  </si>
  <si>
    <t>外部代理总线wbdl211</t>
  </si>
  <si>
    <t>wbdl210</t>
  </si>
  <si>
    <t>外部代理总线wbdl210</t>
  </si>
  <si>
    <t>wbdl21</t>
  </si>
  <si>
    <t>外部代理总线wbdl21</t>
  </si>
  <si>
    <t>wbdl209</t>
  </si>
  <si>
    <t>外部代理总线wbdl209</t>
  </si>
  <si>
    <t>wbdl208</t>
  </si>
  <si>
    <t>外部代理总线wbdl208</t>
  </si>
  <si>
    <t>wbdl207</t>
  </si>
  <si>
    <t>外部代理总线wbdl207</t>
  </si>
  <si>
    <t>wbdl206</t>
  </si>
  <si>
    <t>外部代理总线wbdl206</t>
  </si>
  <si>
    <t>wbdl205</t>
  </si>
  <si>
    <t>外部代理总线wbdl205</t>
  </si>
  <si>
    <t>wbdl204</t>
  </si>
  <si>
    <t>外部代理总线wbdl204</t>
  </si>
  <si>
    <t>wbdl20302</t>
  </si>
  <si>
    <t>wbdl203</t>
  </si>
  <si>
    <t>外部代理总线wbdl203</t>
  </si>
  <si>
    <t>wbdl20301</t>
  </si>
  <si>
    <t>wbdl202</t>
  </si>
  <si>
    <t>外部代理总线wbdl202</t>
  </si>
  <si>
    <t>wbdl201</t>
  </si>
  <si>
    <t>外部代理总线wbdl201</t>
  </si>
  <si>
    <t>wbdl200</t>
  </si>
  <si>
    <t>外部代理总线wbdl200</t>
  </si>
  <si>
    <t>wbdl20</t>
  </si>
  <si>
    <t>外部代理总线wbdl20</t>
  </si>
  <si>
    <t>wbdl199</t>
  </si>
  <si>
    <t>外部代理总线wbdl199</t>
  </si>
  <si>
    <t>wbdl198</t>
  </si>
  <si>
    <t>外部代理总线wbdl198</t>
  </si>
  <si>
    <t>wbdl197</t>
  </si>
  <si>
    <t>外部代理总线wbdl197</t>
  </si>
  <si>
    <t>wbdl19601</t>
  </si>
  <si>
    <t>wbdl196</t>
  </si>
  <si>
    <t>外部代理总线wbdl196</t>
  </si>
  <si>
    <t>wbdl195</t>
  </si>
  <si>
    <t>外部代理总线wbdl195</t>
  </si>
  <si>
    <t>wbdl194</t>
  </si>
  <si>
    <t>外部代理总线wbdl194</t>
  </si>
  <si>
    <t>wbdl193</t>
  </si>
  <si>
    <t>外部代理总线wbdl193</t>
  </si>
  <si>
    <t>wbdl19201</t>
  </si>
  <si>
    <t>wbdl192</t>
  </si>
  <si>
    <t>外部代理总线wbdl192</t>
  </si>
  <si>
    <t>wbdl191</t>
  </si>
  <si>
    <t>外部代理总线wbdl191</t>
  </si>
  <si>
    <t>wbdl190</t>
  </si>
  <si>
    <t>外部代理总线wbdl190</t>
  </si>
  <si>
    <t>wbdl19</t>
  </si>
  <si>
    <t>外部代理总线wbdl19</t>
  </si>
  <si>
    <t>wbdl189</t>
  </si>
  <si>
    <t>外部代理总线wbdl189</t>
  </si>
  <si>
    <t>wbdl188</t>
  </si>
  <si>
    <t>外部代理总线wbdl188</t>
  </si>
  <si>
    <t>wbdl187</t>
  </si>
  <si>
    <t>外部代理总线wbdl187</t>
  </si>
  <si>
    <t>wbdl186</t>
  </si>
  <si>
    <t>外部代理总线wbdl186</t>
  </si>
  <si>
    <t>wbdl185</t>
  </si>
  <si>
    <t>外部代理总线wbdl185</t>
  </si>
  <si>
    <t>wbdl184</t>
  </si>
  <si>
    <t>外部代理总线wbdl184</t>
  </si>
  <si>
    <t>wbdl183</t>
  </si>
  <si>
    <t>外部代理总线wbdl183</t>
  </si>
  <si>
    <t>wbdl182</t>
  </si>
  <si>
    <t>外部代理总线wbdl182</t>
  </si>
  <si>
    <t>wbdl181</t>
  </si>
  <si>
    <t>外部代理总线wbdl181</t>
  </si>
  <si>
    <t>wbdl180</t>
  </si>
  <si>
    <t>外部代理总线wbdl180</t>
  </si>
  <si>
    <t>wbdl18</t>
  </si>
  <si>
    <t>外部代理总线wbdl18</t>
  </si>
  <si>
    <t>wbdl179</t>
  </si>
  <si>
    <t>外部代理总线wbdl179</t>
  </si>
  <si>
    <t>wbdl178</t>
  </si>
  <si>
    <t>外部代理总线wbdl178</t>
  </si>
  <si>
    <t>wbdl177</t>
  </si>
  <si>
    <t>外部代理总线wbdl177</t>
  </si>
  <si>
    <t>wbdl176</t>
  </si>
  <si>
    <t>外部代理总线wbdl176</t>
  </si>
  <si>
    <t>wbdl175</t>
  </si>
  <si>
    <t>外部代理总线wbdl175</t>
  </si>
  <si>
    <t>wbdl174</t>
  </si>
  <si>
    <t>外部代理总线wbdl174</t>
  </si>
  <si>
    <t>wbdl173</t>
  </si>
  <si>
    <t>外部代理总线wbdl173</t>
  </si>
  <si>
    <t>wbdl172</t>
  </si>
  <si>
    <t>外部代理总线wbdl172</t>
  </si>
  <si>
    <t>wbdl171</t>
  </si>
  <si>
    <t>外部代理总线wbdl171</t>
  </si>
  <si>
    <t>wbdl170</t>
  </si>
  <si>
    <t>外部代理总线wbdl170</t>
  </si>
  <si>
    <t>wbdl17</t>
  </si>
  <si>
    <t>外部代理总线wbdl17</t>
  </si>
  <si>
    <t>wbdl169</t>
  </si>
  <si>
    <t>外部代理总线wbdl169</t>
  </si>
  <si>
    <t>wbdl168</t>
  </si>
  <si>
    <t>外部代理总线wbdl168</t>
  </si>
  <si>
    <t>wbdl167</t>
  </si>
  <si>
    <t>外部代理总线wbdl167</t>
  </si>
  <si>
    <t>wbdl166</t>
  </si>
  <si>
    <t>外部代理总线wbdl166</t>
  </si>
  <si>
    <t>wbdl165</t>
  </si>
  <si>
    <t>外部代理总线wbdl165</t>
  </si>
  <si>
    <t>wbdl164</t>
  </si>
  <si>
    <t>外部代理总线wbdl164</t>
  </si>
  <si>
    <t>wbdl16301</t>
  </si>
  <si>
    <t>wbdl163</t>
  </si>
  <si>
    <t>外部代理总线wbdl163</t>
  </si>
  <si>
    <t>wbdl162</t>
  </si>
  <si>
    <t>外部代理总线wbdl162</t>
  </si>
  <si>
    <t>wbdl16101</t>
  </si>
  <si>
    <t>wbdl161</t>
  </si>
  <si>
    <t>外部代理总线wbdl161</t>
  </si>
  <si>
    <t>wbdl160</t>
  </si>
  <si>
    <t>外部代理总线wbdl160</t>
  </si>
  <si>
    <t>wbdl16</t>
  </si>
  <si>
    <t>外部代理总线wbdl16</t>
  </si>
  <si>
    <t>wbdl159</t>
  </si>
  <si>
    <t>外部代理总线wbdl159</t>
  </si>
  <si>
    <t>wbdl158</t>
  </si>
  <si>
    <t>外部代理总线wbdl158</t>
  </si>
  <si>
    <t>wbdl157</t>
  </si>
  <si>
    <t>外部代理总线wbdl157</t>
  </si>
  <si>
    <t>wbdl156</t>
  </si>
  <si>
    <t>外部代理总线wbdl156</t>
  </si>
  <si>
    <t>wbdl155</t>
  </si>
  <si>
    <t>外部代理总线wbdl155</t>
  </si>
  <si>
    <t>wbdl15405</t>
  </si>
  <si>
    <t>wbdl154</t>
  </si>
  <si>
    <t>外部代理总线wbdl154</t>
  </si>
  <si>
    <t>wbdl15404</t>
  </si>
  <si>
    <t>wbdl15403</t>
  </si>
  <si>
    <t>wbdl15402</t>
  </si>
  <si>
    <t>wbdl15401</t>
  </si>
  <si>
    <t>wbdl153</t>
  </si>
  <si>
    <t>外部代理总线wbdl153</t>
  </si>
  <si>
    <t>wbdl152</t>
  </si>
  <si>
    <t>外部代理总线wbdl152</t>
  </si>
  <si>
    <t>wbdl151</t>
  </si>
  <si>
    <t>外部代理总线wbdl151</t>
  </si>
  <si>
    <t>wbdl15001</t>
  </si>
  <si>
    <t>wbdl150</t>
  </si>
  <si>
    <t>外部代理总线wbdl150</t>
  </si>
  <si>
    <t>wbdl15</t>
  </si>
  <si>
    <t>外部代理总线wbdl15</t>
  </si>
  <si>
    <t>wbdl14901</t>
  </si>
  <si>
    <t>wbdl149</t>
  </si>
  <si>
    <t>外部代理总线wbdl149</t>
  </si>
  <si>
    <t>wbdl148</t>
  </si>
  <si>
    <t>外部代理总线wbdl148</t>
  </si>
  <si>
    <t>wbdl147</t>
  </si>
  <si>
    <t>外部代理总线wbdl147</t>
  </si>
  <si>
    <t>wbdl1465</t>
  </si>
  <si>
    <t>wbdl146</t>
  </si>
  <si>
    <t>外部代理总线wbdl146</t>
  </si>
  <si>
    <t>wbdl1464</t>
  </si>
  <si>
    <t>wbdl1463</t>
  </si>
  <si>
    <t>wbdl1462</t>
  </si>
  <si>
    <t>wbdl1461</t>
  </si>
  <si>
    <t>wbdl145</t>
  </si>
  <si>
    <t>外部代理总线wbdl145</t>
  </si>
  <si>
    <t>wbdl144</t>
  </si>
  <si>
    <t>外部代理总线wbdl144</t>
  </si>
  <si>
    <t>wbdl143</t>
  </si>
  <si>
    <t>外部代理总线wbdl143</t>
  </si>
  <si>
    <t>wbdl142</t>
  </si>
  <si>
    <t>外部代理总线wbdl142</t>
  </si>
  <si>
    <t>wbdl141</t>
  </si>
  <si>
    <t>外部代理总线wbdl141</t>
  </si>
  <si>
    <t>wbdl140</t>
  </si>
  <si>
    <t>外部代理总线wbdl140</t>
  </si>
  <si>
    <t>wbdl14</t>
  </si>
  <si>
    <t>外部代理总线wbdl14</t>
  </si>
  <si>
    <t>wbdl139</t>
  </si>
  <si>
    <t>外部代理总线wbdl139</t>
  </si>
  <si>
    <t>wbdl138</t>
  </si>
  <si>
    <t>外部代理总线wbdl138</t>
  </si>
  <si>
    <t>wbdl137</t>
  </si>
  <si>
    <t>外部代理总线wbdl137</t>
  </si>
  <si>
    <t>wbdl136</t>
  </si>
  <si>
    <t>外部代理总线wbdl136</t>
  </si>
  <si>
    <t>wbdl135</t>
  </si>
  <si>
    <t>外部代理总线wbdl135</t>
  </si>
  <si>
    <t>wbdl134</t>
  </si>
  <si>
    <t>外部代理总线wbdl134</t>
  </si>
  <si>
    <t>wbdl133</t>
  </si>
  <si>
    <t>外部代理总线wbdl133</t>
  </si>
  <si>
    <t>wbdl132</t>
  </si>
  <si>
    <t>外部代理总线wbdl132</t>
  </si>
  <si>
    <t>wbdl131</t>
  </si>
  <si>
    <t>外部代理总线wbdl131</t>
  </si>
  <si>
    <t>wbdl130</t>
  </si>
  <si>
    <t>外部代理总线wbdl130</t>
  </si>
  <si>
    <t>wbdl13</t>
  </si>
  <si>
    <t>外部代理总线wbdl13</t>
  </si>
  <si>
    <t>wbdl129</t>
  </si>
  <si>
    <t>外部代理总线wbdl129</t>
  </si>
  <si>
    <t>wbdl128</t>
  </si>
  <si>
    <t>外部代理总线wbdl128</t>
  </si>
  <si>
    <t>wbdl127</t>
  </si>
  <si>
    <t>外部代理总线wbdl127</t>
  </si>
  <si>
    <t>wbdl126</t>
  </si>
  <si>
    <t>外部代理总线wbdl126</t>
  </si>
  <si>
    <t>wbdl125</t>
  </si>
  <si>
    <t>外部代理总线wbdl125</t>
  </si>
  <si>
    <t>wbdl124</t>
  </si>
  <si>
    <t>外部代理总线wbdl124</t>
  </si>
  <si>
    <t>wbdl12305</t>
  </si>
  <si>
    <t>wbdl123</t>
  </si>
  <si>
    <t>外部代理总线wbdl123</t>
  </si>
  <si>
    <t>wbdl12304</t>
  </si>
  <si>
    <t>wbdl12303</t>
  </si>
  <si>
    <t>wbdl12302</t>
  </si>
  <si>
    <t>wbdl12301</t>
  </si>
  <si>
    <t>wbdl122</t>
  </si>
  <si>
    <t>外部代理总线wbdl122</t>
  </si>
  <si>
    <t>wbdl121</t>
  </si>
  <si>
    <t>外部代理总线wbdl121</t>
  </si>
  <si>
    <t>wbdl120</t>
  </si>
  <si>
    <t>外部代理总线wbdl120</t>
  </si>
  <si>
    <t>wbdl12</t>
  </si>
  <si>
    <t>外部代理总线wbdl12</t>
  </si>
  <si>
    <t>wbdl119</t>
  </si>
  <si>
    <t>外部代理总线wbdl119</t>
  </si>
  <si>
    <t>wbdl118</t>
  </si>
  <si>
    <t>外部代理总线wbdl118</t>
  </si>
  <si>
    <t>wbdl117</t>
  </si>
  <si>
    <t>外部代理总线wbdl117</t>
  </si>
  <si>
    <t>wbdl116</t>
  </si>
  <si>
    <t>外部代理总线wbdl116</t>
  </si>
  <si>
    <t>wbdl115</t>
  </si>
  <si>
    <t>外部代理总线wbdl115</t>
  </si>
  <si>
    <t>wbdl114</t>
  </si>
  <si>
    <t>外部代理总线wbdl114</t>
  </si>
  <si>
    <t>wbdl113</t>
  </si>
  <si>
    <t>外部代理总线wbdl113</t>
  </si>
  <si>
    <t>wbdl112</t>
  </si>
  <si>
    <t>外部代理总线wbdl112</t>
  </si>
  <si>
    <t>wbdl111</t>
  </si>
  <si>
    <t>外部代理总线wbdl111</t>
  </si>
  <si>
    <t>wbdl110</t>
  </si>
  <si>
    <t>外部代理总线wbdl110</t>
  </si>
  <si>
    <t>wbdl11</t>
  </si>
  <si>
    <t>外部代理总线wbdl11</t>
  </si>
  <si>
    <t>wbdl109</t>
  </si>
  <si>
    <t>外部代理总线wbdl109</t>
  </si>
  <si>
    <t>wbdl108</t>
  </si>
  <si>
    <t>外部代理总线wbdl108</t>
  </si>
  <si>
    <t>wbdl107</t>
  </si>
  <si>
    <t>外部代理总线wbdl107</t>
  </si>
  <si>
    <t>wbdl106</t>
  </si>
  <si>
    <t>外部代理总线wbdl106</t>
  </si>
  <si>
    <t>wbdl105</t>
  </si>
  <si>
    <t>外部代理总线wbdl105</t>
  </si>
  <si>
    <t>wbdl104</t>
  </si>
  <si>
    <t>外部代理总线wbdl104</t>
  </si>
  <si>
    <t>wbdl103</t>
  </si>
  <si>
    <t>外部代理总线wbdl103</t>
  </si>
  <si>
    <t>wbdl102</t>
  </si>
  <si>
    <t>外部代理总线wbdl102</t>
  </si>
  <si>
    <t>wbdl101</t>
  </si>
  <si>
    <t>外部代理总线wbdl101</t>
  </si>
  <si>
    <t>wbdl100</t>
  </si>
  <si>
    <t>外部代理总线wbdl100</t>
  </si>
  <si>
    <t>wbdl10</t>
  </si>
  <si>
    <t>外部代理总线wbdl10</t>
  </si>
  <si>
    <t>wbdl09</t>
  </si>
  <si>
    <t>外部代理总线wbdl09</t>
  </si>
  <si>
    <t>wbdl08</t>
  </si>
  <si>
    <t>外部代理总线wbdl08</t>
  </si>
  <si>
    <t>wbdl07</t>
  </si>
  <si>
    <t>外部代理总线wbdl07</t>
  </si>
  <si>
    <t>wbdl06</t>
  </si>
  <si>
    <t>外部代理总线wbdl06</t>
  </si>
  <si>
    <t>wbdl05</t>
  </si>
  <si>
    <t>外部代理总线wbdl05</t>
  </si>
  <si>
    <t>wbdl04</t>
  </si>
  <si>
    <t>外部代理总线wbdl04</t>
  </si>
  <si>
    <t>wbdl03</t>
  </si>
  <si>
    <t>外部代理总线wbdl03</t>
  </si>
  <si>
    <t>wbdl02</t>
  </si>
  <si>
    <t>外部代理总线wbdl02</t>
  </si>
  <si>
    <t>wbdl0146</t>
  </si>
  <si>
    <t>wbdl0137</t>
  </si>
  <si>
    <t>wbdl01</t>
  </si>
  <si>
    <t>外部代理总线wbdl01</t>
  </si>
  <si>
    <t>waibudailiceshi</t>
  </si>
  <si>
    <t>vnzb66</t>
  </si>
  <si>
    <t>vnse88</t>
  </si>
  <si>
    <t>vnse77</t>
  </si>
  <si>
    <t>vnse66</t>
  </si>
  <si>
    <t>vnam16</t>
  </si>
  <si>
    <t>vnam15</t>
  </si>
  <si>
    <t>vnam13</t>
  </si>
  <si>
    <t>vnam12</t>
  </si>
  <si>
    <t>vnam11</t>
  </si>
  <si>
    <t>vnam10</t>
  </si>
  <si>
    <t>vnam09</t>
  </si>
  <si>
    <t>vnam07</t>
  </si>
  <si>
    <t>vnam06</t>
  </si>
  <si>
    <t>vnam05</t>
  </si>
  <si>
    <t>vnam03</t>
  </si>
  <si>
    <t>vnam02</t>
  </si>
  <si>
    <t>vnam01</t>
  </si>
  <si>
    <t>vnag66</t>
  </si>
  <si>
    <t>飞哥-越南线</t>
  </si>
  <si>
    <t>飞哥-越南线vnag66</t>
  </si>
  <si>
    <t>vip168</t>
  </si>
  <si>
    <t>vip09888</t>
  </si>
  <si>
    <t>vip07888</t>
  </si>
  <si>
    <t>vip06888</t>
  </si>
  <si>
    <t>vip05888</t>
  </si>
  <si>
    <t>vip052</t>
  </si>
  <si>
    <t>vip03888</t>
  </si>
  <si>
    <t>vip02888</t>
  </si>
  <si>
    <t>vip01888</t>
  </si>
  <si>
    <t>vinson0114</t>
  </si>
  <si>
    <t>guragalan</t>
  </si>
  <si>
    <t>外部代理总线guragalan</t>
  </si>
  <si>
    <t>vanxx2022</t>
  </si>
  <si>
    <t>van2022</t>
  </si>
  <si>
    <t>TYCPS666</t>
  </si>
  <si>
    <t>tx0001</t>
  </si>
  <si>
    <t>ttxs1234</t>
  </si>
  <si>
    <t>tq1788888</t>
  </si>
  <si>
    <t>外部代理总线tq1788888</t>
  </si>
  <si>
    <t>tq0006</t>
  </si>
  <si>
    <t>tq0005</t>
  </si>
  <si>
    <t>tq0004</t>
  </si>
  <si>
    <t>tq0003</t>
  </si>
  <si>
    <t>tq0002</t>
  </si>
  <si>
    <t>tq0001</t>
  </si>
  <si>
    <t>tian888</t>
  </si>
  <si>
    <t>thomas1101</t>
  </si>
  <si>
    <t>thomas1100</t>
  </si>
  <si>
    <t>Thaimaster2</t>
  </si>
  <si>
    <t>泰国大佬Thaimaster2</t>
  </si>
  <si>
    <t>Thaimaster</t>
  </si>
  <si>
    <t>泰国大佬Thaimaster</t>
  </si>
  <si>
    <t>thailand01</t>
  </si>
  <si>
    <t>testdlkasco1</t>
  </si>
  <si>
    <t>testdlcs123</t>
  </si>
  <si>
    <t>tao178</t>
  </si>
  <si>
    <t>TanYong666</t>
  </si>
  <si>
    <t>sj88888</t>
  </si>
  <si>
    <t>泰国大佬sj88888</t>
  </si>
  <si>
    <t>szcszc57000</t>
  </si>
  <si>
    <t>斌哥</t>
  </si>
  <si>
    <t>斌哥btydl0001</t>
  </si>
  <si>
    <t>sseekk</t>
  </si>
  <si>
    <t>ffmk88</t>
  </si>
  <si>
    <t>飞哥雨燕直播</t>
  </si>
  <si>
    <t>飞哥雨燕直播ffmk88</t>
  </si>
  <si>
    <t>ssee99</t>
  </si>
  <si>
    <t>ssee88</t>
  </si>
  <si>
    <t>ssee77</t>
  </si>
  <si>
    <t>sl88888</t>
  </si>
  <si>
    <t>sina88888</t>
  </si>
  <si>
    <t>sina88803</t>
  </si>
  <si>
    <t>sina88802</t>
  </si>
  <si>
    <t>siling888</t>
  </si>
  <si>
    <t>shiwu888</t>
  </si>
  <si>
    <t>sheldon319</t>
  </si>
  <si>
    <t>sheldon119</t>
  </si>
  <si>
    <t>sheldon219</t>
  </si>
  <si>
    <t>shaowen588</t>
  </si>
  <si>
    <t>shaoge588</t>
  </si>
  <si>
    <t>seven8888</t>
  </si>
  <si>
    <t>seo9999</t>
  </si>
  <si>
    <t>seo</t>
  </si>
  <si>
    <t>seo9005</t>
  </si>
  <si>
    <t>seo8888</t>
  </si>
  <si>
    <t>dazhi</t>
  </si>
  <si>
    <t>seo8003</t>
  </si>
  <si>
    <t>seo7009</t>
  </si>
  <si>
    <t>martin</t>
  </si>
  <si>
    <t>seo7008</t>
  </si>
  <si>
    <t>seo7003</t>
  </si>
  <si>
    <t>seo7002</t>
  </si>
  <si>
    <t>seo6666</t>
  </si>
  <si>
    <t>conner</t>
  </si>
  <si>
    <t>seo6007</t>
  </si>
  <si>
    <t>seo6005</t>
  </si>
  <si>
    <t>alpao</t>
  </si>
  <si>
    <t>seo6003</t>
  </si>
  <si>
    <t>seo5678</t>
  </si>
  <si>
    <t>seo5002</t>
  </si>
  <si>
    <t>seo5001</t>
  </si>
  <si>
    <t>seo3000</t>
  </si>
  <si>
    <t>seo2008</t>
  </si>
  <si>
    <t>seo1998</t>
  </si>
  <si>
    <t>seo0988</t>
  </si>
  <si>
    <t>groot</t>
  </si>
  <si>
    <t>seo0987</t>
  </si>
  <si>
    <t>seiki8888</t>
  </si>
  <si>
    <t>sanfangceshi</t>
  </si>
  <si>
    <t>saimahui666</t>
  </si>
  <si>
    <t>赛马会</t>
  </si>
  <si>
    <t>Risavnd01</t>
  </si>
  <si>
    <t>risattvnd0001</t>
  </si>
  <si>
    <t>Risacny01</t>
  </si>
  <si>
    <t>rhr123456</t>
  </si>
  <si>
    <t>外部代理总线rhr123456</t>
  </si>
  <si>
    <t>rgdl0001</t>
  </si>
  <si>
    <t>qwe974658</t>
  </si>
  <si>
    <t>qiuyue8888</t>
  </si>
  <si>
    <t>qiurong2022</t>
  </si>
  <si>
    <t>外部代理总线qiurong2022</t>
  </si>
  <si>
    <t>qiqi888888</t>
  </si>
  <si>
    <t>qipai66</t>
  </si>
  <si>
    <t>闲置</t>
  </si>
  <si>
    <t>qinhao888</t>
  </si>
  <si>
    <t>qing6677</t>
  </si>
  <si>
    <t>qing178</t>
  </si>
  <si>
    <t>peng888</t>
  </si>
  <si>
    <t>peng178</t>
  </si>
  <si>
    <t>peipei178</t>
  </si>
  <si>
    <t>pan112233</t>
  </si>
  <si>
    <t>aa880322</t>
  </si>
  <si>
    <t>外部代理总线aa880322</t>
  </si>
  <si>
    <t>Obgmyoo520</t>
  </si>
  <si>
    <t>neimenggu888</t>
  </si>
  <si>
    <t>mltext</t>
  </si>
  <si>
    <t>ML测试</t>
  </si>
  <si>
    <t>mltes1</t>
  </si>
  <si>
    <t>miwang1681688</t>
  </si>
  <si>
    <t>mingren8888</t>
  </si>
  <si>
    <t>miantiao8888</t>
  </si>
  <si>
    <t>mi1688</t>
  </si>
  <si>
    <t>mengzhi79</t>
  </si>
  <si>
    <t>MD20221122</t>
  </si>
  <si>
    <t>maorui8888</t>
  </si>
  <si>
    <t>mala01</t>
  </si>
  <si>
    <t>mageetest</t>
  </si>
  <si>
    <t>magee137</t>
  </si>
  <si>
    <t>magee123</t>
  </si>
  <si>
    <t>magee000</t>
  </si>
  <si>
    <t>lzq2234</t>
  </si>
  <si>
    <t>lzq1234</t>
  </si>
  <si>
    <t>lz1865025</t>
  </si>
  <si>
    <t>luren888</t>
  </si>
  <si>
    <t>ludi178</t>
  </si>
  <si>
    <t>lpsv587</t>
  </si>
  <si>
    <t>外部代理总线lpsv587</t>
  </si>
  <si>
    <t>long99999</t>
  </si>
  <si>
    <t>long178</t>
  </si>
  <si>
    <t>liu332211</t>
  </si>
  <si>
    <t>linlin8888</t>
  </si>
  <si>
    <t>lingjie888</t>
  </si>
  <si>
    <t>外部代理总线lingjie888</t>
  </si>
  <si>
    <t>ling8888</t>
  </si>
  <si>
    <t>lili178</t>
  </si>
  <si>
    <t>LGG16888</t>
  </si>
  <si>
    <t>lcrmy86</t>
  </si>
  <si>
    <t>外部代理总线lcrmy86</t>
  </si>
  <si>
    <t>lb2022</t>
  </si>
  <si>
    <t>laoya178</t>
  </si>
  <si>
    <t>lalagogo</t>
  </si>
  <si>
    <t>kun999999</t>
  </si>
  <si>
    <t>ken88888</t>
  </si>
  <si>
    <t>keke8888</t>
  </si>
  <si>
    <t>keke888</t>
  </si>
  <si>
    <t>kascotesting1</t>
  </si>
  <si>
    <t>kaixin123456</t>
  </si>
  <si>
    <t>jun112</t>
  </si>
  <si>
    <t>jun111</t>
  </si>
  <si>
    <t>jq888888</t>
  </si>
  <si>
    <t>jojotest123</t>
  </si>
  <si>
    <t>jingzi8888</t>
  </si>
  <si>
    <t>jing178</t>
  </si>
  <si>
    <t>jimmy888888</t>
  </si>
  <si>
    <t>jihe6666</t>
  </si>
  <si>
    <t>jiang888888</t>
  </si>
  <si>
    <t>is66778899</t>
  </si>
  <si>
    <t>irvingtest</t>
  </si>
  <si>
    <t>hua178</t>
  </si>
  <si>
    <t>hu168168</t>
  </si>
  <si>
    <t>hongma8888</t>
  </si>
  <si>
    <t>外部代理总线hongma8888</t>
  </si>
  <si>
    <t>hong220730</t>
  </si>
  <si>
    <t>hang178</t>
  </si>
  <si>
    <t>guanguan8888</t>
  </si>
  <si>
    <t>guang888888</t>
  </si>
  <si>
    <t>gu20220712</t>
  </si>
  <si>
    <t>gt9999</t>
  </si>
  <si>
    <t>gt7777</t>
  </si>
  <si>
    <t>gt6699</t>
  </si>
  <si>
    <t>GT-骨头gt6699</t>
  </si>
  <si>
    <t>gt667712</t>
  </si>
  <si>
    <t>gt667711</t>
  </si>
  <si>
    <t>gt667710</t>
  </si>
  <si>
    <t>gt667709</t>
  </si>
  <si>
    <t>gt667708</t>
  </si>
  <si>
    <t>gt6677072</t>
  </si>
  <si>
    <t>gt6677071</t>
  </si>
  <si>
    <t>gt667707</t>
  </si>
  <si>
    <t>gt667706</t>
  </si>
  <si>
    <t>gt667705</t>
  </si>
  <si>
    <t>gt667703</t>
  </si>
  <si>
    <t>gt667702</t>
  </si>
  <si>
    <t>gt667701</t>
  </si>
  <si>
    <t>gt3333</t>
  </si>
  <si>
    <t>gt1818</t>
  </si>
  <si>
    <t>GT-骨头gt1818</t>
  </si>
  <si>
    <t>gt1111</t>
  </si>
  <si>
    <t>gt0006</t>
  </si>
  <si>
    <t>gt0005</t>
  </si>
  <si>
    <t>grthai888</t>
  </si>
  <si>
    <t>gong8888</t>
  </si>
  <si>
    <t>gg20220911</t>
  </si>
  <si>
    <t>fy20221119</t>
  </si>
  <si>
    <t>fvnd99</t>
  </si>
  <si>
    <t>fvnd188</t>
  </si>
  <si>
    <t>fuyan8888</t>
  </si>
  <si>
    <t>fq2022</t>
  </si>
  <si>
    <t>ffzb88</t>
  </si>
  <si>
    <t>ffvn88</t>
  </si>
  <si>
    <t>fang6677</t>
  </si>
  <si>
    <t>fang178</t>
  </si>
  <si>
    <t>f70004</t>
  </si>
  <si>
    <t>f70003</t>
  </si>
  <si>
    <t>f70002</t>
  </si>
  <si>
    <t>f70001</t>
  </si>
  <si>
    <t>essentialj002</t>
  </si>
  <si>
    <t>ekinwxc</t>
  </si>
  <si>
    <t>dzsh2022</t>
  </si>
  <si>
    <t>dx0001</t>
  </si>
  <si>
    <t>dtydlfg</t>
  </si>
  <si>
    <t>dlpatty</t>
  </si>
  <si>
    <t>dk131313</t>
  </si>
  <si>
    <t>deng588</t>
  </si>
  <si>
    <t>dd1374963</t>
  </si>
  <si>
    <t>db6677</t>
  </si>
  <si>
    <t>db3600</t>
  </si>
  <si>
    <t>dafa688</t>
  </si>
  <si>
    <t>dada6677</t>
  </si>
  <si>
    <t>dada178</t>
  </si>
  <si>
    <t>cwj888</t>
  </si>
  <si>
    <t>crius123</t>
  </si>
  <si>
    <t>cp123888</t>
  </si>
  <si>
    <t>colleenpro01</t>
  </si>
  <si>
    <t>colleenpro</t>
  </si>
  <si>
    <t>colleenp04</t>
  </si>
  <si>
    <t>colleenp03</t>
  </si>
  <si>
    <t>colleenp006</t>
  </si>
  <si>
    <t>cnag66</t>
  </si>
  <si>
    <t>飞哥外部代理</t>
  </si>
  <si>
    <t>飞哥外部代理cnag66</t>
  </si>
  <si>
    <t>chun8888</t>
  </si>
  <si>
    <t>chi8888</t>
  </si>
  <si>
    <t>chenping8888</t>
  </si>
  <si>
    <t>chencheng8888</t>
  </si>
  <si>
    <t>chao8888</t>
  </si>
  <si>
    <t>ceshicengji</t>
  </si>
  <si>
    <t>ceshi9999</t>
  </si>
  <si>
    <t>caiji178</t>
  </si>
  <si>
    <t>BY0505</t>
  </si>
  <si>
    <t>原电销使用</t>
  </si>
  <si>
    <t>btyzh9111</t>
  </si>
  <si>
    <t>btyzh9011</t>
  </si>
  <si>
    <t>btyzh9001</t>
  </si>
  <si>
    <t>btyseo8888</t>
  </si>
  <si>
    <t>btyseo7788</t>
  </si>
  <si>
    <t>xliang</t>
  </si>
  <si>
    <t>btyseo7009</t>
  </si>
  <si>
    <t>btyseo6700</t>
  </si>
  <si>
    <t>bike</t>
  </si>
  <si>
    <t>btyseo6677</t>
  </si>
  <si>
    <t>brian</t>
  </si>
  <si>
    <t>btyseo6666</t>
  </si>
  <si>
    <t>btyseo6500</t>
  </si>
  <si>
    <t>btyseo6100</t>
  </si>
  <si>
    <t>btyseo6005</t>
  </si>
  <si>
    <t>btyseo6000</t>
  </si>
  <si>
    <t>btyseo5800</t>
  </si>
  <si>
    <t>Neil</t>
  </si>
  <si>
    <t>btyseo5700</t>
  </si>
  <si>
    <t>AGG</t>
  </si>
  <si>
    <t>btyseo5678</t>
  </si>
  <si>
    <t>btyseo5555</t>
  </si>
  <si>
    <t>btyseo5500</t>
  </si>
  <si>
    <t>duke</t>
  </si>
  <si>
    <t>btyseo5300</t>
  </si>
  <si>
    <t>Kiwi</t>
  </si>
  <si>
    <t>btyseo5200</t>
  </si>
  <si>
    <t>btyseo5100</t>
  </si>
  <si>
    <t>Patric</t>
  </si>
  <si>
    <t>btyseo5002</t>
  </si>
  <si>
    <t>btyseo5001</t>
  </si>
  <si>
    <t>btyseo3636</t>
  </si>
  <si>
    <t>btyseo3300</t>
  </si>
  <si>
    <t>zhaocaimao</t>
  </si>
  <si>
    <t>btyseo2200</t>
  </si>
  <si>
    <t>yaoyun</t>
  </si>
  <si>
    <t>btyseo2008A</t>
  </si>
  <si>
    <t>btyseo2008</t>
  </si>
  <si>
    <t>btyseo1111</t>
  </si>
  <si>
    <t>Les</t>
  </si>
  <si>
    <t>btyseo1100</t>
  </si>
  <si>
    <t>austin</t>
  </si>
  <si>
    <t>btyseo0988</t>
  </si>
  <si>
    <t>btymy007</t>
  </si>
  <si>
    <t>btyfrank</t>
  </si>
  <si>
    <t>frank</t>
  </si>
  <si>
    <t>电销拉回专用</t>
  </si>
  <si>
    <t>btydlseo3</t>
  </si>
  <si>
    <t>未知</t>
  </si>
  <si>
    <t>btydlseo2</t>
  </si>
  <si>
    <t>阿邦</t>
  </si>
  <si>
    <t>外部SEO阿邦</t>
  </si>
  <si>
    <t>btydlseo1</t>
  </si>
  <si>
    <t>btydlfg</t>
  </si>
  <si>
    <t>btydldidi02</t>
  </si>
  <si>
    <t>btydl9990</t>
  </si>
  <si>
    <t>btydl532</t>
  </si>
  <si>
    <t>Raymond</t>
  </si>
  <si>
    <t>btydl531</t>
  </si>
  <si>
    <t>btydl530</t>
  </si>
  <si>
    <t>btydl3389</t>
  </si>
  <si>
    <t>btydl2168</t>
  </si>
  <si>
    <t>btydl1168</t>
  </si>
  <si>
    <t>btydl10003</t>
  </si>
  <si>
    <t>btydl1000</t>
  </si>
  <si>
    <t>欧阳</t>
  </si>
  <si>
    <t>欧阳btydl1000</t>
  </si>
  <si>
    <t>btydl10002</t>
  </si>
  <si>
    <t>btydl071</t>
  </si>
  <si>
    <t>越南线</t>
  </si>
  <si>
    <t>btydl070</t>
  </si>
  <si>
    <t>btydl06907</t>
  </si>
  <si>
    <t>btydl069</t>
  </si>
  <si>
    <t>马来线</t>
  </si>
  <si>
    <t>btydl06906</t>
  </si>
  <si>
    <t>btydl06905</t>
  </si>
  <si>
    <t>btydl06903</t>
  </si>
  <si>
    <t>mason测试</t>
  </si>
  <si>
    <t>btydl06902</t>
  </si>
  <si>
    <t>btydl06901</t>
  </si>
  <si>
    <t>btydl069002</t>
  </si>
  <si>
    <t>btydl069001</t>
  </si>
  <si>
    <t>btydl068</t>
  </si>
  <si>
    <t>Ray</t>
  </si>
  <si>
    <t>Raybtydl068</t>
  </si>
  <si>
    <t>btydl066</t>
  </si>
  <si>
    <t>外部代理总线btydl066</t>
  </si>
  <si>
    <t>btydl032293</t>
  </si>
  <si>
    <t>btydl032292</t>
  </si>
  <si>
    <t>btydl032291</t>
  </si>
  <si>
    <t>btydl03229</t>
  </si>
  <si>
    <t>btydl03228</t>
  </si>
  <si>
    <t>btydl03227</t>
  </si>
  <si>
    <t>btydl03226</t>
  </si>
  <si>
    <t>btydl03225</t>
  </si>
  <si>
    <t>btydl03223</t>
  </si>
  <si>
    <t>btydl03222</t>
  </si>
  <si>
    <t>btydl032215</t>
  </si>
  <si>
    <t>btydl032213</t>
  </si>
  <si>
    <t>btydl032212</t>
  </si>
  <si>
    <t>btydl032211</t>
  </si>
  <si>
    <t>btydl03221</t>
  </si>
  <si>
    <t>btydl0175</t>
  </si>
  <si>
    <t>btydl0174</t>
  </si>
  <si>
    <t>btydl0173</t>
  </si>
  <si>
    <t>btydl0172</t>
  </si>
  <si>
    <t>btydl0171</t>
  </si>
  <si>
    <t>btydl0170</t>
  </si>
  <si>
    <t>btydl0169</t>
  </si>
  <si>
    <t>btydl0168</t>
  </si>
  <si>
    <t>btydl0167</t>
  </si>
  <si>
    <t>btydl0166</t>
  </si>
  <si>
    <t>btydl0165</t>
  </si>
  <si>
    <t>btydl0164</t>
  </si>
  <si>
    <t>btydl0163</t>
  </si>
  <si>
    <t>btydl0162</t>
  </si>
  <si>
    <t>btydl0161</t>
  </si>
  <si>
    <t>btydl0160</t>
  </si>
  <si>
    <t>btydl0159</t>
  </si>
  <si>
    <t>btydl0158</t>
  </si>
  <si>
    <t>btydl0157</t>
  </si>
  <si>
    <t>btydl0156</t>
  </si>
  <si>
    <t>btydl0155</t>
  </si>
  <si>
    <t>btydl0154</t>
  </si>
  <si>
    <t>btydl0153</t>
  </si>
  <si>
    <t>btydl0152</t>
  </si>
  <si>
    <t>btydl0151</t>
  </si>
  <si>
    <t>btydl0150</t>
  </si>
  <si>
    <t>btydl0149</t>
  </si>
  <si>
    <t>btydl0148</t>
  </si>
  <si>
    <t>btydl0147</t>
  </si>
  <si>
    <t>btydl0146</t>
  </si>
  <si>
    <t>btydl0145</t>
  </si>
  <si>
    <t>btydl0144</t>
  </si>
  <si>
    <t>btydl0143</t>
  </si>
  <si>
    <t>btydl0142</t>
  </si>
  <si>
    <t>btydl0141</t>
  </si>
  <si>
    <t>btydl0140</t>
  </si>
  <si>
    <t>btydl0139</t>
  </si>
  <si>
    <t>btydl0138</t>
  </si>
  <si>
    <t>btydl0137</t>
  </si>
  <si>
    <t>btydl0136</t>
  </si>
  <si>
    <t>btydl0135</t>
  </si>
  <si>
    <t>btydl0134</t>
  </si>
  <si>
    <t>btydl0133</t>
  </si>
  <si>
    <t>btydl0132</t>
  </si>
  <si>
    <t>btydl0131</t>
  </si>
  <si>
    <t>btydl0130</t>
  </si>
  <si>
    <t>btydl0129</t>
  </si>
  <si>
    <t>btydl0128</t>
  </si>
  <si>
    <t>btydl0127</t>
  </si>
  <si>
    <t>btydl0126</t>
  </si>
  <si>
    <t>btydl0125</t>
  </si>
  <si>
    <t>btydl0123</t>
  </si>
  <si>
    <t>btydl0122</t>
  </si>
  <si>
    <t>btydl0121</t>
  </si>
  <si>
    <t>btydl01</t>
  </si>
  <si>
    <t>OB</t>
  </si>
  <si>
    <t>OBbtydl01</t>
  </si>
  <si>
    <t>btydl00997</t>
  </si>
  <si>
    <t>btydl0099</t>
  </si>
  <si>
    <t>袋鼠</t>
  </si>
  <si>
    <t>袋鼠btydl0099</t>
  </si>
  <si>
    <t>btydl00996</t>
  </si>
  <si>
    <t>btydl00995</t>
  </si>
  <si>
    <t>btydl00993</t>
  </si>
  <si>
    <t>btydl00992</t>
  </si>
  <si>
    <t>btydl0098</t>
  </si>
  <si>
    <t>抖音Gerry</t>
  </si>
  <si>
    <t>btydl0097</t>
  </si>
  <si>
    <t>btydl0096</t>
  </si>
  <si>
    <t>btydl0095</t>
  </si>
  <si>
    <t>btydl0093</t>
  </si>
  <si>
    <t>btydl0090</t>
  </si>
  <si>
    <t>btydl0080</t>
  </si>
  <si>
    <t>btydl007105</t>
  </si>
  <si>
    <t>btydl0071</t>
  </si>
  <si>
    <t>QJ直播</t>
  </si>
  <si>
    <t>QJ直播btydl0071</t>
  </si>
  <si>
    <t>btydl007103</t>
  </si>
  <si>
    <t>btydl007102</t>
  </si>
  <si>
    <t>btydl007101</t>
  </si>
  <si>
    <t>btydl0066</t>
  </si>
  <si>
    <t>btydl0060</t>
  </si>
  <si>
    <t>btydl00559</t>
  </si>
  <si>
    <t>btydl0055</t>
  </si>
  <si>
    <t>QJ直播主线</t>
  </si>
  <si>
    <t>QJ直播btydl0055</t>
  </si>
  <si>
    <t>btydl00558</t>
  </si>
  <si>
    <t>btydl00557</t>
  </si>
  <si>
    <t>btydl00556</t>
  </si>
  <si>
    <t>btydl00555</t>
  </si>
  <si>
    <t>btydl00554</t>
  </si>
  <si>
    <t>btydl00553</t>
  </si>
  <si>
    <t>btydl00552</t>
  </si>
  <si>
    <t>btydl005515</t>
  </si>
  <si>
    <t>btydl005514</t>
  </si>
  <si>
    <t>btydl005513</t>
  </si>
  <si>
    <t>btydl005512</t>
  </si>
  <si>
    <t>btydl005511</t>
  </si>
  <si>
    <t>btydl005510</t>
  </si>
  <si>
    <t>btydl00551</t>
  </si>
  <si>
    <t>btydl0054</t>
  </si>
  <si>
    <t>外部代理总线btydl0054</t>
  </si>
  <si>
    <t>btydl0053</t>
  </si>
  <si>
    <t>外部代理总线btydl0053</t>
  </si>
  <si>
    <t>btydl0052</t>
  </si>
  <si>
    <t>劫持团队</t>
  </si>
  <si>
    <t>劫持团队btydl0052</t>
  </si>
  <si>
    <t>btydl0051</t>
  </si>
  <si>
    <t>小Peter英文线</t>
  </si>
  <si>
    <t>小Peter英文线btydl0051</t>
  </si>
  <si>
    <t>btydl0050</t>
  </si>
  <si>
    <t>外部代理总线btydl0050</t>
  </si>
  <si>
    <t>btydl0039</t>
  </si>
  <si>
    <t>Neo-越南线</t>
  </si>
  <si>
    <t>Neo-越南线btydl0039</t>
  </si>
  <si>
    <t>btydl0038</t>
  </si>
  <si>
    <t>Link</t>
  </si>
  <si>
    <t>btydl0037</t>
  </si>
  <si>
    <t>小Peter</t>
  </si>
  <si>
    <t>小Peterbtydl0037</t>
  </si>
  <si>
    <t>btydl0036</t>
  </si>
  <si>
    <t>Ricky-越南线</t>
  </si>
  <si>
    <t>Ricky-越南线btydl0036</t>
  </si>
  <si>
    <t>btydl0035</t>
  </si>
  <si>
    <t>小Peterbtydl0035</t>
  </si>
  <si>
    <t>btydl0033</t>
  </si>
  <si>
    <t>小Peter越南线</t>
  </si>
  <si>
    <t>小Peter越南线btydl0033</t>
  </si>
  <si>
    <t>btydl0031</t>
  </si>
  <si>
    <t>QJ直播btydl0031</t>
  </si>
  <si>
    <t>btydl0030</t>
  </si>
  <si>
    <t>小Peterbtydl0030</t>
  </si>
  <si>
    <t>btydl0029</t>
  </si>
  <si>
    <t>小Peterbtydl0029</t>
  </si>
  <si>
    <t>btydl0028</t>
  </si>
  <si>
    <t>小Peter越南线btydl0028</t>
  </si>
  <si>
    <t>btydl0027</t>
  </si>
  <si>
    <t>小Peterbtydl0027</t>
  </si>
  <si>
    <t>btydl0026</t>
  </si>
  <si>
    <t>小Peterbtydl0026</t>
  </si>
  <si>
    <t>btydl0025</t>
  </si>
  <si>
    <t>小Peterbtydl0025</t>
  </si>
  <si>
    <t>btydl0023</t>
  </si>
  <si>
    <t>小Peterbtydl0023</t>
  </si>
  <si>
    <t>小Peterbtydl0022</t>
  </si>
  <si>
    <t>btydl0021</t>
  </si>
  <si>
    <t>小Peterbtydl0021</t>
  </si>
  <si>
    <t>btydl00205</t>
  </si>
  <si>
    <t>小Peterbtydl0020</t>
  </si>
  <si>
    <t>btydl0020305</t>
  </si>
  <si>
    <t>btydl0020304</t>
  </si>
  <si>
    <t>btydl0020303</t>
  </si>
  <si>
    <t>btydl0020302</t>
  </si>
  <si>
    <t>btydl0020301</t>
  </si>
  <si>
    <t>btydl00203</t>
  </si>
  <si>
    <t>btydl00202</t>
  </si>
  <si>
    <t>btydl00201</t>
  </si>
  <si>
    <t>btydl00121</t>
  </si>
  <si>
    <t>btydl0012</t>
  </si>
  <si>
    <t>袋鼠btydl0012</t>
  </si>
  <si>
    <t>btydl00111</t>
  </si>
  <si>
    <t>btydl0011</t>
  </si>
  <si>
    <t>袋鼠btydl0011</t>
  </si>
  <si>
    <t>btydl00101</t>
  </si>
  <si>
    <t>btydl0010</t>
  </si>
  <si>
    <t>袋鼠btydl0010</t>
  </si>
  <si>
    <t>btydl001</t>
  </si>
  <si>
    <t>btydl00091</t>
  </si>
  <si>
    <t>btydl0009</t>
  </si>
  <si>
    <t>袋鼠btydl0009</t>
  </si>
  <si>
    <t>btydl00081</t>
  </si>
  <si>
    <t>btydl0008</t>
  </si>
  <si>
    <t>btydl00061</t>
  </si>
  <si>
    <t>btydl0006</t>
  </si>
  <si>
    <t>袋鼠btydl0006</t>
  </si>
  <si>
    <t>btydl00033</t>
  </si>
  <si>
    <t>btydl00031</t>
  </si>
  <si>
    <t>btydl0003</t>
  </si>
  <si>
    <t>btydl000106</t>
  </si>
  <si>
    <t>btydl000105</t>
  </si>
  <si>
    <t>btydl000103</t>
  </si>
  <si>
    <t>btydl000102</t>
  </si>
  <si>
    <t>btydl000101</t>
  </si>
  <si>
    <t>btydidi01</t>
  </si>
  <si>
    <t>bty6688</t>
  </si>
  <si>
    <t>bty19520021219</t>
  </si>
  <si>
    <t>boy789</t>
  </si>
  <si>
    <t>boss168168</t>
  </si>
  <si>
    <t>boluo6688</t>
  </si>
  <si>
    <t>bojue8888</t>
  </si>
  <si>
    <t>宝马会</t>
  </si>
  <si>
    <t>宝马会bmw666</t>
  </si>
  <si>
    <t>bmf66888</t>
  </si>
  <si>
    <t>bjtdl991</t>
  </si>
  <si>
    <t>bjtdl988</t>
  </si>
  <si>
    <t>bjtdl003</t>
  </si>
  <si>
    <t>bjtdl002</t>
  </si>
  <si>
    <t>bjtdl0002</t>
  </si>
  <si>
    <t>bjtdl0001</t>
  </si>
  <si>
    <t>bixin688</t>
  </si>
  <si>
    <t>bing6677</t>
  </si>
  <si>
    <t>bing178</t>
  </si>
  <si>
    <t>bin888888</t>
  </si>
  <si>
    <t>bdlv99999</t>
  </si>
  <si>
    <t>外部代理总线bdlv99999</t>
  </si>
  <si>
    <t>BDL997</t>
  </si>
  <si>
    <t>BDL996</t>
  </si>
  <si>
    <t>BDL886</t>
  </si>
  <si>
    <t>BDL885</t>
  </si>
  <si>
    <t>BDL789</t>
  </si>
  <si>
    <t>BDL669</t>
  </si>
  <si>
    <t>BDL664</t>
  </si>
  <si>
    <t>BDL565</t>
  </si>
  <si>
    <t>BDL498</t>
  </si>
  <si>
    <t>BDL449</t>
  </si>
  <si>
    <t>BDL444</t>
  </si>
  <si>
    <t>BDL369</t>
  </si>
  <si>
    <t>BDL258</t>
  </si>
  <si>
    <t>BDL198</t>
  </si>
  <si>
    <t>BDL123</t>
  </si>
  <si>
    <t>baozi8888</t>
  </si>
  <si>
    <t>baiyu8888</t>
  </si>
  <si>
    <t>ayakasa001</t>
  </si>
  <si>
    <t>axiao007</t>
  </si>
  <si>
    <t>ashan8888</t>
  </si>
  <si>
    <t>aqing888888</t>
  </si>
  <si>
    <t>ap8888</t>
  </si>
  <si>
    <t>Alai2022</t>
  </si>
  <si>
    <t>aixue8888</t>
  </si>
  <si>
    <t>ade8888</t>
  </si>
  <si>
    <t>abc123456kkk</t>
  </si>
  <si>
    <t>aa228899</t>
  </si>
  <si>
    <t>wbdl31801</t>
  </si>
  <si>
    <t>wbdl37201</t>
  </si>
  <si>
    <t>wbdl52801</t>
  </si>
  <si>
    <t>wbdl676</t>
  </si>
  <si>
    <t>wbdl677</t>
  </si>
  <si>
    <t>wbdl678</t>
  </si>
  <si>
    <t>wbdl679</t>
  </si>
  <si>
    <t>wbdl680</t>
  </si>
  <si>
    <t>wbdl681</t>
  </si>
  <si>
    <t>wbdl682</t>
  </si>
  <si>
    <t>wbdl683</t>
  </si>
  <si>
    <t>wbdl684</t>
  </si>
  <si>
    <t>wbdl685</t>
  </si>
  <si>
    <t>wbdl686</t>
  </si>
  <si>
    <t>wbdl687</t>
  </si>
  <si>
    <t>wbdl688</t>
  </si>
  <si>
    <t>wbdl689</t>
  </si>
  <si>
    <t>wbdl690</t>
  </si>
  <si>
    <t>BDL989</t>
  </si>
  <si>
    <t>wbdl48706</t>
  </si>
  <si>
    <t>wbdl52201</t>
  </si>
  <si>
    <t>wbdl692</t>
  </si>
  <si>
    <t>wbdl693</t>
  </si>
  <si>
    <t>wbdl694</t>
  </si>
  <si>
    <t>wbdl695</t>
  </si>
  <si>
    <t>wbdl696</t>
  </si>
  <si>
    <t>wbdl697</t>
  </si>
  <si>
    <t>wbdl698</t>
  </si>
  <si>
    <t>wbdl699</t>
  </si>
  <si>
    <t>wbdl700</t>
  </si>
  <si>
    <t>wbdl701</t>
  </si>
  <si>
    <t>wbdl702</t>
  </si>
  <si>
    <t>BDL333</t>
  </si>
  <si>
    <t>BDL559</t>
  </si>
  <si>
    <t>xiaoliu666888</t>
  </si>
  <si>
    <t>yzss888</t>
  </si>
  <si>
    <t>z549731590</t>
  </si>
  <si>
    <t>btydl06908</t>
  </si>
  <si>
    <t>wbdl27402</t>
  </si>
  <si>
    <t>wbdl63701</t>
  </si>
  <si>
    <t>wbdl691</t>
  </si>
  <si>
    <t>wbdl703</t>
  </si>
  <si>
    <t>wbdl704</t>
  </si>
  <si>
    <t>wbdl705</t>
  </si>
  <si>
    <t>wbdl706</t>
  </si>
  <si>
    <t>wbdl707</t>
  </si>
  <si>
    <t>wbdl708</t>
  </si>
  <si>
    <t>wbdl709</t>
  </si>
  <si>
    <t>wbdl710</t>
  </si>
  <si>
    <t>wbdl711</t>
  </si>
  <si>
    <t>wbdl712</t>
  </si>
  <si>
    <t>wbdl713</t>
  </si>
  <si>
    <t>wbdl714</t>
  </si>
  <si>
    <t>wbdl715</t>
  </si>
  <si>
    <t>wbdl716</t>
  </si>
  <si>
    <t>wbdl20303</t>
  </si>
  <si>
    <t>wbdl717</t>
  </si>
  <si>
    <t>wbdl718</t>
  </si>
  <si>
    <t>wbdl719</t>
  </si>
  <si>
    <t>wbdl720</t>
  </si>
  <si>
    <t>wbdl721</t>
  </si>
  <si>
    <t>wbdl722</t>
  </si>
  <si>
    <t>wbdl723</t>
  </si>
  <si>
    <t>wbdl724</t>
  </si>
  <si>
    <t>wbdl725</t>
  </si>
  <si>
    <t>wbdl726</t>
  </si>
  <si>
    <t>wbdl727</t>
  </si>
  <si>
    <t>wbdl728</t>
  </si>
  <si>
    <t>wbdl729</t>
  </si>
  <si>
    <t>wbdl730</t>
  </si>
  <si>
    <t>wbdl731</t>
  </si>
  <si>
    <t>wbdl732</t>
  </si>
  <si>
    <t>wbdl733</t>
  </si>
  <si>
    <t>wbdl734</t>
  </si>
  <si>
    <t>wbdl735</t>
  </si>
  <si>
    <t>wbdl736</t>
  </si>
  <si>
    <t>wbdl737</t>
  </si>
  <si>
    <t>wbdl738</t>
  </si>
  <si>
    <t>wbdl739</t>
  </si>
  <si>
    <t>wbdl740</t>
  </si>
  <si>
    <t>wbdl741</t>
  </si>
  <si>
    <t>btyseo6200</t>
  </si>
  <si>
    <t>owl</t>
  </si>
  <si>
    <t>wbdl742</t>
  </si>
  <si>
    <t>wbdl743</t>
  </si>
  <si>
    <t>wbdl744</t>
  </si>
  <si>
    <t>wbdl745</t>
  </si>
  <si>
    <t>wbdl746</t>
  </si>
  <si>
    <t>wbdl747</t>
  </si>
  <si>
    <t>wbdl748</t>
  </si>
  <si>
    <t>wbdl749</t>
  </si>
  <si>
    <t>wbdl750</t>
  </si>
  <si>
    <t>wbdl751</t>
  </si>
  <si>
    <t>wbdl752</t>
  </si>
  <si>
    <t>wbdl753</t>
  </si>
  <si>
    <t>wbdl30001</t>
  </si>
  <si>
    <t>qiqi666888</t>
  </si>
  <si>
    <t>andy88888</t>
  </si>
  <si>
    <t>wbdl754</t>
  </si>
  <si>
    <t>wbdl755</t>
  </si>
  <si>
    <t>wbdl756</t>
  </si>
  <si>
    <t>wbdl757</t>
  </si>
  <si>
    <t>wbdl758</t>
  </si>
  <si>
    <t>wbdl759</t>
  </si>
  <si>
    <t>wbdl760</t>
  </si>
  <si>
    <t>wbdl761</t>
  </si>
  <si>
    <t>wbdl762</t>
  </si>
  <si>
    <t>wbdl763</t>
  </si>
  <si>
    <t>BDL494</t>
  </si>
  <si>
    <t>wbdl30201</t>
  </si>
  <si>
    <t>wbdl764</t>
  </si>
  <si>
    <t>wbdl765</t>
  </si>
  <si>
    <t>wbdl766</t>
  </si>
  <si>
    <t>wbdl767</t>
  </si>
  <si>
    <t>wbdl768</t>
  </si>
  <si>
    <t>wbdl769</t>
  </si>
  <si>
    <t>wbdl770</t>
  </si>
  <si>
    <t>wbdl771</t>
  </si>
  <si>
    <t>YNZB88</t>
  </si>
  <si>
    <t>weiba888</t>
  </si>
  <si>
    <t>wbdl772</t>
  </si>
  <si>
    <t>wbdl773</t>
  </si>
  <si>
    <t>wbdl774</t>
  </si>
  <si>
    <t>wbdl775</t>
  </si>
  <si>
    <t>wbdl776</t>
  </si>
  <si>
    <t>wbdl777</t>
  </si>
  <si>
    <t>wbdl778</t>
  </si>
  <si>
    <t>wbdl779</t>
  </si>
  <si>
    <t>wbdl780</t>
  </si>
  <si>
    <t>wbdl781</t>
  </si>
  <si>
    <t>wbdl782</t>
  </si>
  <si>
    <t>wbdl783</t>
  </si>
  <si>
    <t>wbdl784</t>
  </si>
  <si>
    <t>wbdl785</t>
  </si>
  <si>
    <t>wbdl786</t>
  </si>
  <si>
    <t>wbdl787</t>
  </si>
  <si>
    <t>wbdl788</t>
  </si>
  <si>
    <t>wbdl789</t>
  </si>
  <si>
    <t>wbdl790</t>
  </si>
  <si>
    <t>wbdl791</t>
  </si>
  <si>
    <t>btydl0176</t>
  </si>
  <si>
    <t>wbdl61801</t>
  </si>
  <si>
    <t>wbdl67701</t>
  </si>
  <si>
    <t>wbdl76101</t>
  </si>
  <si>
    <t>wbdl792</t>
  </si>
  <si>
    <t>wbdl793</t>
  </si>
  <si>
    <t>wbdl794</t>
  </si>
  <si>
    <t>wbdl795</t>
  </si>
  <si>
    <t>wbdl796</t>
  </si>
  <si>
    <t>wbdl797</t>
  </si>
  <si>
    <t>wbdl798</t>
  </si>
  <si>
    <t>wbdl799</t>
  </si>
  <si>
    <t>wbdl800</t>
  </si>
  <si>
    <t>wbdl801</t>
  </si>
  <si>
    <t>wbdl802</t>
  </si>
  <si>
    <t>wbdl803</t>
  </si>
  <si>
    <t>wbdl804</t>
  </si>
  <si>
    <t>wbdl805</t>
  </si>
  <si>
    <t>wbdl806</t>
  </si>
  <si>
    <t>wbdl807</t>
  </si>
  <si>
    <t>wbdl808</t>
  </si>
  <si>
    <t>wbdl809</t>
  </si>
  <si>
    <t>wbdl810</t>
  </si>
  <si>
    <t>wbdl811</t>
  </si>
  <si>
    <t>wbdl812</t>
  </si>
  <si>
    <t>wbdl813</t>
  </si>
  <si>
    <t>wbdl814</t>
  </si>
  <si>
    <t>wbdl815</t>
  </si>
  <si>
    <t>wbdl816</t>
  </si>
  <si>
    <t>wbdl817</t>
  </si>
  <si>
    <t>wbdl818</t>
  </si>
  <si>
    <t>wbdl819</t>
  </si>
  <si>
    <t>wbdl820</t>
  </si>
  <si>
    <t>wbdl821</t>
  </si>
  <si>
    <t>wbdl822</t>
  </si>
  <si>
    <t>wbdl823</t>
  </si>
  <si>
    <t>wbdl824</t>
  </si>
  <si>
    <t>wbdl825</t>
  </si>
  <si>
    <t>wbdl826</t>
  </si>
  <si>
    <t>wbdl827</t>
  </si>
  <si>
    <t>wbdl828</t>
  </si>
  <si>
    <t>wbdl829</t>
  </si>
  <si>
    <t>wbdl830</t>
  </si>
  <si>
    <t>wbdl831</t>
  </si>
  <si>
    <t>wbdl832</t>
  </si>
  <si>
    <t>wbdl833</t>
  </si>
  <si>
    <t>wbdl834</t>
  </si>
  <si>
    <t>wbdl835</t>
  </si>
  <si>
    <t>wbdl836</t>
  </si>
  <si>
    <t>wbdl837</t>
  </si>
  <si>
    <t>wbdl838</t>
  </si>
  <si>
    <t>wbdl839</t>
  </si>
  <si>
    <t>wbdl840</t>
  </si>
  <si>
    <t>wbdl841</t>
  </si>
  <si>
    <t>wbdl842</t>
  </si>
  <si>
    <t>wbdl843</t>
  </si>
  <si>
    <t>wbdl844</t>
  </si>
  <si>
    <t>wbdl845</t>
  </si>
  <si>
    <t>wbdl846</t>
  </si>
  <si>
    <t>wbdl847</t>
  </si>
  <si>
    <t>wbdl848</t>
  </si>
  <si>
    <t>wbdl849</t>
  </si>
  <si>
    <t>wbdl850</t>
  </si>
  <si>
    <t>wbdl851</t>
  </si>
  <si>
    <t>wbdl852</t>
  </si>
  <si>
    <t>wbdl853</t>
  </si>
  <si>
    <t>wbdl854</t>
  </si>
  <si>
    <t>wbdl855</t>
  </si>
  <si>
    <t>wbdl856</t>
  </si>
  <si>
    <t>wbdl857</t>
  </si>
  <si>
    <t>wbdl858</t>
  </si>
  <si>
    <t>wbdl859</t>
  </si>
  <si>
    <t>wbdl860</t>
  </si>
  <si>
    <t>wbdl12306</t>
  </si>
  <si>
    <t>wbdl22701</t>
  </si>
  <si>
    <t>wbdl67702</t>
  </si>
  <si>
    <t>wbdl70501</t>
  </si>
  <si>
    <t>wbdl861</t>
  </si>
  <si>
    <t>zh1220</t>
  </si>
  <si>
    <t>外部代理总线zh1220</t>
  </si>
  <si>
    <t>wbdl862</t>
  </si>
  <si>
    <t>wbdl863</t>
  </si>
  <si>
    <t>share01</t>
  </si>
  <si>
    <t>share02</t>
  </si>
  <si>
    <t>share03</t>
  </si>
  <si>
    <t>share04</t>
  </si>
  <si>
    <t>share05</t>
  </si>
  <si>
    <t>jason666888</t>
  </si>
  <si>
    <t>wbdl19801</t>
  </si>
  <si>
    <t>wbdl36301</t>
  </si>
  <si>
    <t>wbdl864</t>
  </si>
  <si>
    <t>wbdl865</t>
  </si>
  <si>
    <t>wbdl866</t>
  </si>
  <si>
    <t>wbdl867</t>
  </si>
  <si>
    <t>wbdl868</t>
  </si>
  <si>
    <t>wbdl869</t>
  </si>
  <si>
    <t>wbdl870</t>
  </si>
  <si>
    <t>wbdl871</t>
  </si>
  <si>
    <t>btyseo1223Alen</t>
  </si>
  <si>
    <t>Alen</t>
  </si>
  <si>
    <t>wbdl879</t>
  </si>
  <si>
    <t>wbdl880</t>
  </si>
  <si>
    <t>wbdl881</t>
  </si>
  <si>
    <t>BDL932</t>
  </si>
  <si>
    <t>wbdl872</t>
  </si>
  <si>
    <t>wbdl873</t>
  </si>
  <si>
    <t>wbdl874</t>
  </si>
  <si>
    <t>wbdl875</t>
  </si>
  <si>
    <t>wbdl876</t>
  </si>
  <si>
    <t>wbdl877</t>
  </si>
  <si>
    <t>wbdl878</t>
  </si>
  <si>
    <t>wbdl882</t>
  </si>
  <si>
    <t>wbdl883</t>
  </si>
  <si>
    <t>wbdl884</t>
  </si>
  <si>
    <t>wbdl885</t>
  </si>
  <si>
    <t>wbdl886</t>
  </si>
  <si>
    <t>wbdl887</t>
  </si>
  <si>
    <t>wbdl888</t>
  </si>
  <si>
    <t>q135306</t>
  </si>
  <si>
    <t>wbdl25502</t>
  </si>
  <si>
    <t>wbdl25503</t>
  </si>
  <si>
    <t>wbdl889</t>
  </si>
  <si>
    <t>wbdl890</t>
  </si>
  <si>
    <t>wbdl891</t>
  </si>
  <si>
    <t>wbdl892</t>
  </si>
  <si>
    <t>wbdl893</t>
  </si>
  <si>
    <t>wbdl894</t>
  </si>
  <si>
    <t>wbdl895</t>
  </si>
  <si>
    <t>wbdl896</t>
  </si>
  <si>
    <t>wbdl897</t>
  </si>
  <si>
    <t>wbdl898</t>
  </si>
  <si>
    <t>wbdl899</t>
  </si>
  <si>
    <t>wbdl900</t>
  </si>
  <si>
    <t>wbdl901</t>
  </si>
  <si>
    <t>wbdl902</t>
  </si>
  <si>
    <t>wbdl903</t>
  </si>
  <si>
    <t>wbdl89901</t>
  </si>
  <si>
    <t>wbdl904</t>
  </si>
  <si>
    <t>wbdl905</t>
  </si>
  <si>
    <t>wbdl906</t>
  </si>
  <si>
    <t>wbdl907</t>
  </si>
  <si>
    <t>wbdl908</t>
  </si>
  <si>
    <t>wbdl909</t>
  </si>
  <si>
    <t>wbdl910</t>
  </si>
  <si>
    <t>wbdl911</t>
  </si>
  <si>
    <t>wbdl912</t>
  </si>
  <si>
    <t>wbdl913</t>
  </si>
  <si>
    <t>wbdl914</t>
  </si>
  <si>
    <t>wbdl915</t>
  </si>
  <si>
    <t>wbdl916</t>
  </si>
  <si>
    <t>wbdl917</t>
  </si>
  <si>
    <t>wbdl918</t>
  </si>
  <si>
    <t>wbdl919</t>
  </si>
  <si>
    <t>wbdl920</t>
  </si>
  <si>
    <t>wbdl47101</t>
  </si>
  <si>
    <t>vnmk66</t>
  </si>
  <si>
    <t>vntf03</t>
  </si>
  <si>
    <t>vntf05</t>
  </si>
  <si>
    <t>vntf07</t>
  </si>
  <si>
    <t>vntf10</t>
  </si>
  <si>
    <t>biao6677</t>
  </si>
  <si>
    <t>wbdl921</t>
  </si>
  <si>
    <t>wbdl922</t>
  </si>
  <si>
    <t>wbdl923</t>
  </si>
  <si>
    <t>wbdl924</t>
  </si>
  <si>
    <t>kk6699</t>
  </si>
  <si>
    <t>KK体育总线kk6699</t>
  </si>
  <si>
    <t>duanxin888</t>
  </si>
  <si>
    <t>seo888</t>
  </si>
  <si>
    <t>seo999</t>
  </si>
  <si>
    <t>seo111</t>
  </si>
  <si>
    <t>seo222</t>
  </si>
  <si>
    <t>seo123</t>
  </si>
  <si>
    <t>elive8888</t>
  </si>
  <si>
    <t>KKV88888</t>
  </si>
  <si>
    <t>baite2022</t>
  </si>
  <si>
    <t>zcm8888</t>
  </si>
  <si>
    <t>Lzx11991</t>
  </si>
  <si>
    <t>alading99</t>
  </si>
  <si>
    <t>djack03</t>
  </si>
  <si>
    <t>KKKcc8888</t>
  </si>
  <si>
    <t>KKq021900</t>
  </si>
  <si>
    <t>KK体育总线KKKcc8888</t>
  </si>
  <si>
    <t>dsp17610668916</t>
  </si>
  <si>
    <t>KKliang888</t>
  </si>
  <si>
    <t>aobidao888</t>
  </si>
  <si>
    <t>KKnn2022</t>
  </si>
  <si>
    <t>KKjige123</t>
  </si>
  <si>
    <t>KKkeke888</t>
  </si>
  <si>
    <t>boshi888</t>
  </si>
  <si>
    <t>andy091718</t>
  </si>
  <si>
    <t>a8553110</t>
  </si>
  <si>
    <t>mm2088</t>
  </si>
  <si>
    <t>qq75766</t>
  </si>
  <si>
    <t>KKzhto888</t>
  </si>
  <si>
    <t>bmf888</t>
  </si>
  <si>
    <t>cp2233</t>
  </si>
  <si>
    <t>yangbao520</t>
  </si>
  <si>
    <t>adan888</t>
  </si>
  <si>
    <t>jby1943</t>
  </si>
  <si>
    <t>lian588</t>
  </si>
  <si>
    <t>KKddd688</t>
  </si>
  <si>
    <t>q6320317888</t>
  </si>
  <si>
    <t>huizi888</t>
  </si>
  <si>
    <t>KKMC2022</t>
  </si>
  <si>
    <t>dqwe112</t>
  </si>
  <si>
    <t>KK体育总线KKMC2022</t>
  </si>
  <si>
    <t>ktudageda</t>
  </si>
  <si>
    <t>s106296</t>
  </si>
  <si>
    <t>KKvip2022</t>
  </si>
  <si>
    <t>dl8888</t>
  </si>
  <si>
    <t>dl0001</t>
  </si>
  <si>
    <t>KK体育总线dl8888</t>
  </si>
  <si>
    <t>dlzw88</t>
  </si>
  <si>
    <t>KKwjh123</t>
  </si>
  <si>
    <t>dl00001</t>
  </si>
  <si>
    <t>dl000011</t>
  </si>
  <si>
    <t>dl000012</t>
  </si>
  <si>
    <t>dl000014</t>
  </si>
  <si>
    <t>KKLan67890</t>
  </si>
  <si>
    <t>Lan67890</t>
  </si>
  <si>
    <t>dl00002</t>
  </si>
  <si>
    <t>dl0002</t>
  </si>
  <si>
    <t>dl0003</t>
  </si>
  <si>
    <t>dl0004</t>
  </si>
  <si>
    <t>dl0005</t>
  </si>
  <si>
    <t>dl0006</t>
  </si>
  <si>
    <t>KKgt6677</t>
  </si>
  <si>
    <t>kq0001</t>
  </si>
  <si>
    <t>KK体育总线KKgt6677</t>
  </si>
  <si>
    <t>xiaojin888</t>
  </si>
  <si>
    <t>dianxiao1</t>
  </si>
  <si>
    <t>seozongdai</t>
  </si>
  <si>
    <t>seotm1</t>
  </si>
  <si>
    <t>KK体育总线seozongdai</t>
  </si>
  <si>
    <t>seotm2</t>
  </si>
  <si>
    <t>seotm3</t>
  </si>
  <si>
    <t>seotm4</t>
  </si>
  <si>
    <t>seotm5</t>
  </si>
  <si>
    <t>seotm6</t>
  </si>
  <si>
    <t>seotm7</t>
  </si>
  <si>
    <t>seotm8</t>
  </si>
  <si>
    <t>seotm9</t>
  </si>
  <si>
    <t>djack01</t>
  </si>
  <si>
    <t>ly332211</t>
  </si>
  <si>
    <t>qq596702</t>
  </si>
  <si>
    <t>dl202212</t>
  </si>
  <si>
    <t>dsanpao01</t>
  </si>
  <si>
    <t>dxiaojiu01</t>
  </si>
  <si>
    <t>dxiaotian01</t>
  </si>
  <si>
    <t>joy191210</t>
  </si>
  <si>
    <t>KKKkk8888</t>
  </si>
  <si>
    <t>KKgt6688</t>
  </si>
  <si>
    <t>KK体育总线KKKkk8888</t>
  </si>
  <si>
    <t>KKty0001</t>
  </si>
  <si>
    <t>KKzb0001</t>
  </si>
  <si>
    <t>KKzb0002</t>
  </si>
  <si>
    <t>KKzb0003</t>
  </si>
  <si>
    <t>KKzb0004</t>
  </si>
  <si>
    <t>qqty01</t>
  </si>
  <si>
    <t>adzongdai</t>
  </si>
  <si>
    <t>ad0001</t>
  </si>
  <si>
    <t>KK体育总线adzongdai</t>
  </si>
  <si>
    <t>ad0002</t>
  </si>
  <si>
    <t>ad0003</t>
  </si>
  <si>
    <t>ad0004</t>
  </si>
  <si>
    <t>ad0005</t>
  </si>
  <si>
    <t>ad0006</t>
  </si>
  <si>
    <t>ad0007</t>
  </si>
  <si>
    <t>ad0009</t>
  </si>
  <si>
    <t>ad0010</t>
  </si>
  <si>
    <t>telteam1</t>
  </si>
  <si>
    <t>djack02</t>
  </si>
  <si>
    <t>kkusdt</t>
  </si>
  <si>
    <t>wbdl925</t>
  </si>
  <si>
    <t>wbdl926</t>
  </si>
  <si>
    <t>wbdl927</t>
  </si>
  <si>
    <t>wbdl928</t>
  </si>
  <si>
    <t>wbdl929</t>
  </si>
  <si>
    <t>wbdl930</t>
  </si>
  <si>
    <t>wbdl931</t>
  </si>
  <si>
    <t>wbdl932</t>
  </si>
  <si>
    <t>wbdl933</t>
  </si>
  <si>
    <t>zhaoshang</t>
  </si>
  <si>
    <t>外部代理总线zhaoshang</t>
  </si>
  <si>
    <t>btydl10001</t>
  </si>
  <si>
    <t>欧阳btydl10001</t>
  </si>
  <si>
    <t>btydl100010</t>
  </si>
  <si>
    <t>btydl100021</t>
  </si>
  <si>
    <t>btydl100022</t>
  </si>
  <si>
    <t>btydl100023</t>
  </si>
  <si>
    <t>btydl100025</t>
  </si>
  <si>
    <t>btydl100026</t>
  </si>
  <si>
    <t>btyseo555</t>
  </si>
  <si>
    <t>wbdm878</t>
  </si>
  <si>
    <t>wbdl934</t>
  </si>
  <si>
    <t>wbdl935</t>
  </si>
  <si>
    <t>btydl072</t>
  </si>
  <si>
    <t>wbdl936</t>
  </si>
  <si>
    <t>wbdl937</t>
  </si>
  <si>
    <t>wbdl938</t>
  </si>
  <si>
    <t>wbdl939</t>
  </si>
  <si>
    <t>wbdl940</t>
  </si>
  <si>
    <t>wbdl941</t>
  </si>
  <si>
    <t>btylw2023</t>
  </si>
  <si>
    <t>TT23001</t>
  </si>
  <si>
    <t>gfam001</t>
  </si>
  <si>
    <t>AA00123</t>
  </si>
  <si>
    <t>AA00124</t>
  </si>
  <si>
    <t>AA00125</t>
  </si>
  <si>
    <t>AA00127</t>
  </si>
  <si>
    <t>AA00128</t>
  </si>
  <si>
    <t>AA00129</t>
  </si>
  <si>
    <t>AA00131</t>
  </si>
  <si>
    <t>AA00132</t>
  </si>
  <si>
    <t>AA00133</t>
  </si>
  <si>
    <t>AA00134</t>
  </si>
  <si>
    <t>AA00135</t>
  </si>
  <si>
    <t>AA00136</t>
  </si>
  <si>
    <t>AA00137</t>
  </si>
  <si>
    <t>AA00138</t>
  </si>
  <si>
    <t>AA00139</t>
  </si>
  <si>
    <t>AA00140</t>
  </si>
  <si>
    <t>BB00123</t>
  </si>
  <si>
    <t>BB00126</t>
  </si>
  <si>
    <t>BB00127</t>
  </si>
  <si>
    <t>BB00129</t>
  </si>
  <si>
    <t>BB00130</t>
  </si>
  <si>
    <t>BB00131</t>
  </si>
  <si>
    <t>wbdl67002</t>
  </si>
  <si>
    <t>wbdl90201</t>
  </si>
  <si>
    <t>wbdl90202</t>
  </si>
  <si>
    <t>wbdl942</t>
  </si>
  <si>
    <t>wbdl943</t>
  </si>
  <si>
    <t>wbdl944</t>
  </si>
  <si>
    <t>wbdl945</t>
  </si>
  <si>
    <t>zsdl114</t>
  </si>
  <si>
    <t>zdUSAteam888</t>
  </si>
  <si>
    <t>yuenan001</t>
  </si>
  <si>
    <t>zsdl115</t>
  </si>
  <si>
    <t>zsdl116</t>
  </si>
  <si>
    <t>zsdl117</t>
  </si>
  <si>
    <t>TT23002</t>
  </si>
  <si>
    <t>wbdl946</t>
  </si>
  <si>
    <t>wbdl947</t>
  </si>
  <si>
    <t>wbdl948</t>
  </si>
  <si>
    <t>wbdl949</t>
  </si>
  <si>
    <t>wbdl950</t>
  </si>
  <si>
    <t>wbdl951</t>
  </si>
  <si>
    <t>wbdl952</t>
  </si>
  <si>
    <t>wbdl953</t>
  </si>
  <si>
    <t>dlceshi008</t>
  </si>
  <si>
    <t>zsdl118</t>
  </si>
  <si>
    <t>zsdl119</t>
  </si>
  <si>
    <t>I88888</t>
  </si>
  <si>
    <t>btyph1</t>
  </si>
  <si>
    <t>wbdl954</t>
  </si>
  <si>
    <t>zsdl121</t>
  </si>
  <si>
    <t>zsdl122</t>
  </si>
  <si>
    <t>wbdl955</t>
  </si>
  <si>
    <t>zhenhaoceshi01</t>
  </si>
  <si>
    <t>wbdl84501</t>
  </si>
  <si>
    <t>wbdl956</t>
  </si>
  <si>
    <t>wzyndl</t>
  </si>
  <si>
    <t>mxvip1</t>
  </si>
  <si>
    <t>mxvip2</t>
  </si>
  <si>
    <t>mxvip3</t>
  </si>
  <si>
    <t>mxvip4</t>
  </si>
  <si>
    <t>mxvip5</t>
  </si>
  <si>
    <t>mxvip6</t>
  </si>
  <si>
    <t>mxvip7</t>
  </si>
  <si>
    <t>mxvip8</t>
  </si>
  <si>
    <t>mxvip9</t>
  </si>
  <si>
    <t>mxvip10</t>
  </si>
  <si>
    <t>wbdl957</t>
  </si>
  <si>
    <t>zsdl12301</t>
  </si>
  <si>
    <t>zsdl12302</t>
  </si>
  <si>
    <t>zsdl12303</t>
  </si>
  <si>
    <t>zsdl12304</t>
  </si>
  <si>
    <t>zsdl12305</t>
  </si>
  <si>
    <t>zsdl12306</t>
  </si>
  <si>
    <t>zsdl12307</t>
  </si>
  <si>
    <t>zsdl12308</t>
  </si>
  <si>
    <t>zsdl12309</t>
  </si>
  <si>
    <t>zsdl12310</t>
  </si>
  <si>
    <t>wbdl959</t>
  </si>
  <si>
    <t>zsdl124</t>
  </si>
  <si>
    <t>wbdl960</t>
  </si>
  <si>
    <t>wbdl961</t>
  </si>
  <si>
    <t>wbdl962</t>
  </si>
  <si>
    <t>zsdl125</t>
  </si>
  <si>
    <t>TT2303</t>
  </si>
  <si>
    <t>TT2304</t>
  </si>
  <si>
    <t>AA00142</t>
  </si>
  <si>
    <t>AA00143</t>
  </si>
  <si>
    <t>BB00133</t>
  </si>
  <si>
    <t>wbdl963</t>
  </si>
  <si>
    <t>TT23005</t>
  </si>
  <si>
    <t>wbdl964</t>
  </si>
  <si>
    <t>wbdl965</t>
  </si>
  <si>
    <t>wbdl966</t>
  </si>
  <si>
    <t>zsdl126</t>
  </si>
  <si>
    <t>wbdl967</t>
  </si>
  <si>
    <t>wbdl968</t>
  </si>
  <si>
    <t>zsdl127</t>
  </si>
  <si>
    <t>wbdl96701</t>
  </si>
  <si>
    <t>wbdl969</t>
  </si>
  <si>
    <t>wbdl970</t>
  </si>
  <si>
    <t>zsdl128</t>
  </si>
  <si>
    <t>zsdl129</t>
  </si>
  <si>
    <t>zsdl130</t>
  </si>
  <si>
    <t>zsdl131</t>
  </si>
  <si>
    <t>wbdl971</t>
  </si>
  <si>
    <t>wbdl972</t>
  </si>
  <si>
    <t>wbdl973</t>
  </si>
  <si>
    <t>wbdl974</t>
  </si>
  <si>
    <t>wbdl975</t>
  </si>
  <si>
    <t>wbdl976</t>
  </si>
  <si>
    <t>wbdl977</t>
  </si>
  <si>
    <t>scb001</t>
  </si>
  <si>
    <t>chai888</t>
  </si>
  <si>
    <t>wbdl978</t>
  </si>
  <si>
    <t>wbdl979</t>
  </si>
  <si>
    <t>wbdl980</t>
  </si>
  <si>
    <t>wbdl981</t>
  </si>
  <si>
    <t>wbdl982</t>
  </si>
  <si>
    <t>wbdl983</t>
  </si>
  <si>
    <t>wbdl984</t>
  </si>
  <si>
    <t>wbdl985</t>
  </si>
  <si>
    <t>wbdl986</t>
  </si>
  <si>
    <t>wbdl987</t>
  </si>
  <si>
    <t>zsdl133</t>
  </si>
  <si>
    <t>BDL696</t>
  </si>
  <si>
    <t>wbdl988</t>
  </si>
  <si>
    <t>wbdl989</t>
  </si>
  <si>
    <t>btydl073</t>
  </si>
  <si>
    <t>wbdl990</t>
  </si>
  <si>
    <t>wbdl991</t>
  </si>
  <si>
    <t>zsdl134</t>
  </si>
  <si>
    <t>scb002</t>
  </si>
  <si>
    <t>wbdl992</t>
  </si>
  <si>
    <t>zsdl135</t>
  </si>
  <si>
    <t>zsdl136</t>
  </si>
  <si>
    <t>wbdl84502</t>
  </si>
  <si>
    <t>wbdl84503</t>
  </si>
  <si>
    <t>wbdl993</t>
  </si>
  <si>
    <t>wbdl994</t>
  </si>
  <si>
    <t>wbdl995</t>
  </si>
  <si>
    <t>zsdl137</t>
  </si>
  <si>
    <t>zsdl138</t>
  </si>
  <si>
    <t>wbdl996</t>
  </si>
  <si>
    <t>wbdl997</t>
  </si>
  <si>
    <t>zsdl139</t>
  </si>
  <si>
    <t>zsdl140</t>
  </si>
  <si>
    <t>wbdl998</t>
  </si>
  <si>
    <t>zsdl141</t>
  </si>
  <si>
    <t>zsdl142</t>
  </si>
  <si>
    <t>zsdl143</t>
  </si>
  <si>
    <t>wbdl96702</t>
  </si>
  <si>
    <t>zsdl144</t>
  </si>
  <si>
    <t>yan0666</t>
  </si>
  <si>
    <t>wbdl28404</t>
  </si>
  <si>
    <t>AA00145</t>
  </si>
  <si>
    <t>wbdl999</t>
  </si>
  <si>
    <t>wbdl1000</t>
  </si>
  <si>
    <t>zsdl145</t>
  </si>
  <si>
    <t>zsdl146</t>
  </si>
  <si>
    <t>zhaoshang1</t>
  </si>
  <si>
    <t>外部代理总线zhaoshang1</t>
  </si>
  <si>
    <t>bond168</t>
  </si>
  <si>
    <t>qq3361829</t>
  </si>
  <si>
    <t>daibo33</t>
  </si>
  <si>
    <t>aa757446</t>
  </si>
  <si>
    <t>nanakeia1</t>
  </si>
  <si>
    <t>hh3322</t>
  </si>
  <si>
    <t>fangsong123</t>
  </si>
  <si>
    <t>niguding888</t>
  </si>
  <si>
    <t>Andy12345</t>
  </si>
  <si>
    <t>dltd11</t>
  </si>
  <si>
    <t>dllgr22</t>
  </si>
  <si>
    <t>wbdl1001</t>
  </si>
  <si>
    <t>wbdl1002</t>
  </si>
  <si>
    <t>zsdl147</t>
  </si>
  <si>
    <t>zsdl148</t>
  </si>
  <si>
    <t>zsdl149</t>
  </si>
  <si>
    <t>zsdl150</t>
  </si>
  <si>
    <t>dashasifang88</t>
  </si>
  <si>
    <t>hushi67809</t>
  </si>
  <si>
    <t>dieqw357951</t>
  </si>
  <si>
    <t>wsblk555666</t>
  </si>
  <si>
    <t>zhong445</t>
  </si>
  <si>
    <t>nvshen123</t>
  </si>
  <si>
    <t>leer666</t>
  </si>
  <si>
    <t>btydl06909</t>
  </si>
  <si>
    <t>zsdl151</t>
  </si>
  <si>
    <t>zsdl152</t>
  </si>
  <si>
    <t>wbdl1003</t>
  </si>
  <si>
    <t>zsdl153</t>
  </si>
  <si>
    <t>yqvip88</t>
  </si>
  <si>
    <t>Pablo111</t>
  </si>
  <si>
    <t>xd0455</t>
  </si>
  <si>
    <t>bge888</t>
  </si>
  <si>
    <t>wbdl1004</t>
  </si>
  <si>
    <t>wbdl1005</t>
  </si>
  <si>
    <t>wbdl100501</t>
  </si>
  <si>
    <t>wbdl100502</t>
  </si>
  <si>
    <t>zsdl154</t>
  </si>
  <si>
    <t>zsdl155</t>
  </si>
  <si>
    <t>zsdl156</t>
  </si>
  <si>
    <t>zsdl157</t>
  </si>
  <si>
    <t>xiaoquan666</t>
  </si>
  <si>
    <t>wbdl24603</t>
  </si>
  <si>
    <t>wbdl34905</t>
  </si>
  <si>
    <t>wbdl96703</t>
  </si>
  <si>
    <t>wbdl99901</t>
  </si>
  <si>
    <t>wbdl1006</t>
  </si>
  <si>
    <t>zsdl13701</t>
  </si>
  <si>
    <t>winbty8</t>
  </si>
  <si>
    <t>wbdl1008</t>
  </si>
  <si>
    <t>wbdl1009</t>
  </si>
  <si>
    <t>zsdl158</t>
  </si>
  <si>
    <t>k881688kk</t>
  </si>
  <si>
    <t>shanhai168</t>
  </si>
  <si>
    <t>hcc925259</t>
  </si>
  <si>
    <t>ly8881888</t>
  </si>
  <si>
    <t>cafe168</t>
  </si>
  <si>
    <t>cafe1688</t>
  </si>
  <si>
    <t>wbdl1010</t>
  </si>
  <si>
    <t>zsdl159</t>
  </si>
  <si>
    <t>xc168178</t>
  </si>
  <si>
    <t>at44888</t>
  </si>
  <si>
    <t>win188989</t>
  </si>
  <si>
    <t>wbdl6703</t>
  </si>
  <si>
    <t>aming1106</t>
  </si>
  <si>
    <t>sa168889</t>
  </si>
  <si>
    <t>qin33019</t>
  </si>
  <si>
    <t>bty1886799</t>
  </si>
  <si>
    <t>btyseo6006</t>
  </si>
  <si>
    <t>Barry越南线</t>
  </si>
  <si>
    <t>zsdl160</t>
  </si>
  <si>
    <t>zsdl161</t>
  </si>
  <si>
    <t>liuche909</t>
  </si>
  <si>
    <t>fffhw168</t>
  </si>
  <si>
    <t>bty168099</t>
  </si>
  <si>
    <t>qinwang308</t>
  </si>
  <si>
    <t>AA00146</t>
  </si>
  <si>
    <t>wbdl99902</t>
  </si>
  <si>
    <t>zsdl162</t>
  </si>
  <si>
    <t>zsdl163</t>
  </si>
  <si>
    <t>rr3225</t>
  </si>
  <si>
    <t>rr5118</t>
  </si>
  <si>
    <t>rr6466</t>
  </si>
  <si>
    <t>rr9888</t>
  </si>
  <si>
    <t>rr7177</t>
  </si>
  <si>
    <t>rr7712</t>
  </si>
  <si>
    <t>rr3331</t>
  </si>
  <si>
    <t>rr5252</t>
  </si>
  <si>
    <t>rr6110</t>
  </si>
  <si>
    <t>rr6600</t>
  </si>
  <si>
    <t>rr3118</t>
  </si>
  <si>
    <t>deft0420</t>
  </si>
  <si>
    <t>deft04200</t>
  </si>
  <si>
    <t>deft04201</t>
  </si>
  <si>
    <t>lyang1777</t>
  </si>
  <si>
    <t>wbdl1011</t>
  </si>
  <si>
    <t>wbdl1012</t>
  </si>
  <si>
    <t>ThePornDude</t>
  </si>
  <si>
    <t>wbdl1013</t>
  </si>
  <si>
    <t>wbdl1014</t>
  </si>
  <si>
    <t>zsdl164</t>
  </si>
  <si>
    <t>nz288888</t>
  </si>
  <si>
    <t>win20236688</t>
  </si>
  <si>
    <t>btydl0177</t>
  </si>
  <si>
    <t>wbdl90203</t>
  </si>
  <si>
    <t>wbdl1015</t>
  </si>
  <si>
    <t>wbdl1016</t>
  </si>
  <si>
    <t>wbdl1017</t>
  </si>
  <si>
    <t>wbdl1018</t>
  </si>
  <si>
    <t>zsdl165</t>
  </si>
  <si>
    <t>sujay0226</t>
  </si>
  <si>
    <t>wbdl1019</t>
  </si>
  <si>
    <t>zsdl166</t>
  </si>
  <si>
    <t>hanke1993</t>
  </si>
  <si>
    <t>Btydm888</t>
  </si>
  <si>
    <t>z514848416</t>
  </si>
  <si>
    <t>ez20233</t>
  </si>
  <si>
    <t>ez2023</t>
  </si>
  <si>
    <t>OB0966</t>
  </si>
  <si>
    <t>xiaoji1290</t>
  </si>
  <si>
    <t>keizi89765</t>
  </si>
  <si>
    <t>jian1238</t>
  </si>
  <si>
    <t>liyan7689</t>
  </si>
  <si>
    <t>swe6786</t>
  </si>
  <si>
    <t>asd8907</t>
  </si>
  <si>
    <t>qqpo9089</t>
  </si>
  <si>
    <t>huangm7658</t>
  </si>
  <si>
    <t>zhaoyao9870</t>
  </si>
  <si>
    <t>mwzz12987</t>
  </si>
  <si>
    <t>zsdl167</t>
  </si>
  <si>
    <t>zsdl168</t>
  </si>
  <si>
    <t>zsdl16801</t>
  </si>
  <si>
    <t>zsdl169</t>
  </si>
  <si>
    <t>shangs031</t>
  </si>
  <si>
    <t>kb9208115</t>
  </si>
  <si>
    <t>sdfgr8tf6</t>
  </si>
  <si>
    <t>wenheyou7</t>
  </si>
  <si>
    <t>zixixi7659</t>
  </si>
  <si>
    <t>dsd96e1r</t>
  </si>
  <si>
    <t>fengshou9323</t>
  </si>
  <si>
    <t>wfl1688</t>
  </si>
  <si>
    <t>wbdl1020</t>
  </si>
  <si>
    <t>wbdl1021</t>
  </si>
  <si>
    <t>wbdl1022</t>
  </si>
  <si>
    <t>wbdl1023</t>
  </si>
  <si>
    <t>cheng3263340</t>
  </si>
  <si>
    <t>nbeiyj82h</t>
  </si>
  <si>
    <t>zounanb119</t>
  </si>
  <si>
    <t>weng565205</t>
  </si>
  <si>
    <t>qingyi1968</t>
  </si>
  <si>
    <t>gevwr85rq</t>
  </si>
  <si>
    <t>sfqwfr665</t>
  </si>
  <si>
    <t>vv669566</t>
  </si>
  <si>
    <t>jishuceshi1</t>
  </si>
  <si>
    <t>wbdl1025</t>
  </si>
  <si>
    <t>wbdl1026</t>
  </si>
  <si>
    <t>zsdl171</t>
  </si>
  <si>
    <t>zsdl172</t>
  </si>
  <si>
    <t>zsdl173</t>
  </si>
  <si>
    <t>zsdl174</t>
  </si>
  <si>
    <t>chaor7890</t>
  </si>
  <si>
    <t>qingtian328</t>
  </si>
  <si>
    <t>byb0326</t>
  </si>
  <si>
    <t>qsx36911</t>
  </si>
  <si>
    <t>dfsz369</t>
  </si>
  <si>
    <t>ftrrr520</t>
  </si>
  <si>
    <t>tyc87757</t>
  </si>
  <si>
    <t>zhenjiba2222</t>
  </si>
  <si>
    <t>wbdl1027</t>
  </si>
  <si>
    <t>wbdl1028</t>
  </si>
  <si>
    <t>pay6464</t>
  </si>
  <si>
    <t>wbdl1029</t>
  </si>
  <si>
    <t>wbdl1030</t>
  </si>
  <si>
    <t>wbdl1031</t>
  </si>
  <si>
    <t>lele19786</t>
  </si>
  <si>
    <t>bbyt111</t>
  </si>
  <si>
    <t>qwer76</t>
  </si>
  <si>
    <t>djsk90</t>
  </si>
  <si>
    <t>djwkw123</t>
  </si>
  <si>
    <t>jeoek567</t>
  </si>
  <si>
    <t>bty15600</t>
  </si>
  <si>
    <t>bty88796</t>
  </si>
  <si>
    <t>yeye666</t>
  </si>
  <si>
    <t>dongge3690</t>
  </si>
  <si>
    <t>tqzb818</t>
  </si>
  <si>
    <t>wuhen877</t>
  </si>
  <si>
    <t>djdj6686</t>
  </si>
  <si>
    <t>aa15876658666</t>
  </si>
  <si>
    <t>vntf0601</t>
  </si>
  <si>
    <t>vntf0602</t>
  </si>
  <si>
    <t>vntf0603</t>
  </si>
  <si>
    <t>vntf0604</t>
  </si>
  <si>
    <t>vntf0605</t>
  </si>
  <si>
    <t>vntf0606</t>
  </si>
  <si>
    <t>vntf0607</t>
  </si>
  <si>
    <t>vntf0608</t>
  </si>
  <si>
    <t>vntf0609</t>
  </si>
  <si>
    <t>vntf0610</t>
  </si>
  <si>
    <t>vntf0702</t>
  </si>
  <si>
    <t>vntf0704</t>
  </si>
  <si>
    <t>vntf0706</t>
  </si>
  <si>
    <t>vntf0707</t>
  </si>
  <si>
    <t>vntf0708</t>
  </si>
  <si>
    <t>vntf0709</t>
  </si>
  <si>
    <t>vntf0710</t>
  </si>
  <si>
    <t>vntf0801</t>
  </si>
  <si>
    <t>vntf0802</t>
  </si>
  <si>
    <t>vntf0803</t>
  </si>
  <si>
    <t>vntf0804</t>
  </si>
  <si>
    <t>vntf0805</t>
  </si>
  <si>
    <t>vntf0806</t>
  </si>
  <si>
    <t>vntf0807</t>
  </si>
  <si>
    <t>vntf0808</t>
  </si>
  <si>
    <t>vntf0809</t>
  </si>
  <si>
    <t>vntf0810</t>
  </si>
  <si>
    <t>vntf0901</t>
  </si>
  <si>
    <t>vntf0905</t>
  </si>
  <si>
    <t>vntf0907</t>
  </si>
  <si>
    <t>vntf0908</t>
  </si>
  <si>
    <t>vntf0909</t>
  </si>
  <si>
    <t>vntf0910</t>
  </si>
  <si>
    <t>vntf1001</t>
  </si>
  <si>
    <t>vntf1002</t>
  </si>
  <si>
    <t>vntf1003</t>
  </si>
  <si>
    <t>vntf1004</t>
  </si>
  <si>
    <t>vntf1005</t>
  </si>
  <si>
    <t>vntf1006</t>
  </si>
  <si>
    <t>vntf1007</t>
  </si>
  <si>
    <t>vntf1008</t>
  </si>
  <si>
    <t>vntf1009</t>
  </si>
  <si>
    <t>vntf1010</t>
  </si>
  <si>
    <t>zsdl175</t>
  </si>
  <si>
    <t>dongge1287</t>
  </si>
  <si>
    <t>bwop967</t>
  </si>
  <si>
    <t>ww1287772</t>
  </si>
  <si>
    <t>XXX178</t>
  </si>
  <si>
    <t>zsdl176</t>
  </si>
  <si>
    <t>mxvip11</t>
  </si>
  <si>
    <t>KK体育总线wzyndl</t>
  </si>
  <si>
    <t>mxvip12</t>
  </si>
  <si>
    <t>mxvip13</t>
  </si>
  <si>
    <t>mxvip14</t>
  </si>
  <si>
    <t>mxvip15</t>
  </si>
  <si>
    <t>yn00014</t>
  </si>
  <si>
    <t>yn00015</t>
  </si>
  <si>
    <t>AA00147</t>
  </si>
  <si>
    <t>AA00148</t>
  </si>
  <si>
    <t>wbdl1032</t>
  </si>
  <si>
    <t>wbdl1033</t>
  </si>
  <si>
    <t>vnwbdl01</t>
  </si>
  <si>
    <t>wbdl1034</t>
  </si>
  <si>
    <t>btydl0178</t>
  </si>
  <si>
    <t>wbdl1035</t>
  </si>
  <si>
    <t>wbdl1036</t>
  </si>
  <si>
    <t>wbdl1037</t>
  </si>
  <si>
    <t>wbdl1038</t>
  </si>
  <si>
    <t>zsdl177</t>
  </si>
  <si>
    <t>wbdl10701</t>
  </si>
  <si>
    <t>wbdl1039</t>
  </si>
  <si>
    <t>wbdl1040</t>
  </si>
  <si>
    <t>wbdl1041</t>
  </si>
  <si>
    <t>wbdl1042</t>
  </si>
  <si>
    <t>GA0001</t>
  </si>
  <si>
    <t>zsdl178</t>
  </si>
  <si>
    <t>xx745693363</t>
  </si>
  <si>
    <t>yusn5538</t>
  </si>
  <si>
    <t>polyjong1</t>
  </si>
  <si>
    <t>afffyu80</t>
  </si>
  <si>
    <t>peng0306208</t>
  </si>
  <si>
    <t>Quail300</t>
  </si>
  <si>
    <t>testiu666666</t>
  </si>
  <si>
    <t>wbdl28405</t>
  </si>
  <si>
    <t>wbdl28406</t>
  </si>
  <si>
    <t>AA00149</t>
  </si>
  <si>
    <t>wbdl1043</t>
  </si>
  <si>
    <t>wbdl1044</t>
  </si>
  <si>
    <t>wbdl1045</t>
  </si>
  <si>
    <t>wbdl1046</t>
  </si>
  <si>
    <t>wbdl1047</t>
  </si>
  <si>
    <t>zsdl12311</t>
  </si>
  <si>
    <t>wbdl81501</t>
  </si>
  <si>
    <t>vnwbdl0101</t>
  </si>
  <si>
    <t>zsdl123011</t>
  </si>
  <si>
    <t>zsdl123021</t>
  </si>
  <si>
    <t>zsdl123031</t>
  </si>
  <si>
    <t>zsdl123041</t>
  </si>
  <si>
    <t>zsdl123051</t>
  </si>
  <si>
    <t>zsdl123061</t>
  </si>
  <si>
    <t>zsdl123071</t>
  </si>
  <si>
    <t>zsdl123081</t>
  </si>
  <si>
    <t>zsdl123091</t>
  </si>
  <si>
    <t>zsdl123101</t>
  </si>
  <si>
    <t>wbdl1048</t>
  </si>
  <si>
    <t>wbdl1049</t>
  </si>
  <si>
    <t>wbdl1050</t>
  </si>
  <si>
    <t>wbdl1051</t>
  </si>
  <si>
    <t>wbdl1052</t>
  </si>
  <si>
    <t>zsdl179</t>
  </si>
  <si>
    <t>zsdl17901</t>
  </si>
  <si>
    <t>wbdl1053</t>
  </si>
  <si>
    <t>wbdl1054</t>
  </si>
  <si>
    <t>vnwbdl02</t>
  </si>
  <si>
    <t>zsdl180</t>
  </si>
  <si>
    <t>ppajie</t>
  </si>
  <si>
    <t>wbdl1055</t>
  </si>
  <si>
    <t>zsdl181</t>
  </si>
  <si>
    <t>seo转线</t>
  </si>
  <si>
    <t>wbdl1056</t>
  </si>
  <si>
    <t>wbdl1057</t>
  </si>
  <si>
    <t>zsdl18101</t>
  </si>
  <si>
    <t>wbdl1058</t>
  </si>
  <si>
    <t>AA00150</t>
  </si>
  <si>
    <t>BB00134</t>
  </si>
  <si>
    <t>wbdl1059</t>
  </si>
  <si>
    <t>wbdl1060</t>
  </si>
  <si>
    <t>wbdl1061</t>
  </si>
  <si>
    <t>wbdl1062</t>
  </si>
  <si>
    <t>wbdl1063</t>
  </si>
  <si>
    <t>wbdl1064</t>
  </si>
  <si>
    <t>vnwbdl03</t>
  </si>
  <si>
    <t>wbdl1065</t>
  </si>
  <si>
    <t>wbdl1066</t>
  </si>
  <si>
    <t>vnwbdl04</t>
  </si>
  <si>
    <t>vncy88</t>
  </si>
  <si>
    <t>vncygg</t>
  </si>
  <si>
    <t>zh0326</t>
  </si>
  <si>
    <t>wbdl1067</t>
  </si>
  <si>
    <t>wbdl1068</t>
  </si>
  <si>
    <t>wbdl1069</t>
  </si>
  <si>
    <t>wbdl1070</t>
  </si>
  <si>
    <t>wbdl1071</t>
  </si>
  <si>
    <t>zsdl182</t>
  </si>
  <si>
    <t>zhenhaoceshi02</t>
  </si>
  <si>
    <t>zhenhaoceshi03</t>
  </si>
  <si>
    <t>wbdl1072</t>
  </si>
  <si>
    <t>wbdl1073</t>
  </si>
  <si>
    <t>wbdl1074</t>
  </si>
  <si>
    <t>wbdl1075</t>
  </si>
  <si>
    <t>wbdl1076</t>
  </si>
  <si>
    <t>vnwbdl05</t>
  </si>
  <si>
    <t>wbdl1077</t>
  </si>
  <si>
    <t>wbdl1078</t>
  </si>
  <si>
    <t>wbdl1079</t>
  </si>
  <si>
    <t>wbdl1080</t>
  </si>
  <si>
    <t>choy01</t>
  </si>
  <si>
    <t>Soda01</t>
  </si>
  <si>
    <t>zero01</t>
  </si>
  <si>
    <t>sand01</t>
  </si>
  <si>
    <t>pupe01</t>
  </si>
  <si>
    <t>pui001</t>
  </si>
  <si>
    <t>thai0329</t>
  </si>
  <si>
    <t>招商泰国市场线</t>
  </si>
  <si>
    <t>wbdl1081</t>
  </si>
  <si>
    <t>zsdl123111</t>
  </si>
  <si>
    <t>zsdl123112</t>
  </si>
  <si>
    <t>zsdl123113</t>
  </si>
  <si>
    <t>zsdl123114</t>
  </si>
  <si>
    <t>zsdl123115</t>
  </si>
  <si>
    <t>zsdl123116</t>
  </si>
  <si>
    <t>zsdl123117</t>
  </si>
  <si>
    <t>zsdl123118</t>
  </si>
  <si>
    <t>zsdl123119</t>
  </si>
  <si>
    <t>GATH01</t>
  </si>
  <si>
    <t>GAHT01</t>
  </si>
  <si>
    <t>GATH03</t>
  </si>
  <si>
    <t>GATH04</t>
  </si>
  <si>
    <t>choy001</t>
  </si>
  <si>
    <t>soda001</t>
  </si>
  <si>
    <t>sand001</t>
  </si>
  <si>
    <t>pupei001</t>
  </si>
  <si>
    <t>pui000</t>
  </si>
  <si>
    <t>zero0001</t>
  </si>
  <si>
    <t>ping001</t>
  </si>
  <si>
    <t>sim0001</t>
  </si>
  <si>
    <t>GATH02</t>
  </si>
  <si>
    <t>qaqa1122</t>
  </si>
  <si>
    <t>zsdl183</t>
  </si>
  <si>
    <t>wbdl1082</t>
  </si>
  <si>
    <t>wbdl1083</t>
  </si>
  <si>
    <t>wbdl1084</t>
  </si>
  <si>
    <t>zsdl184</t>
  </si>
  <si>
    <t>weiwei510</t>
  </si>
  <si>
    <t>lyf198108</t>
  </si>
  <si>
    <t>cyh1180</t>
  </si>
  <si>
    <t>lga88121</t>
  </si>
  <si>
    <t>wsx80828</t>
  </si>
  <si>
    <t>zb198907</t>
  </si>
  <si>
    <t>jh0001</t>
  </si>
  <si>
    <t>wbdl106501</t>
  </si>
  <si>
    <t>wbdl1085</t>
  </si>
  <si>
    <t>wbdl1086</t>
  </si>
  <si>
    <t>wbdl1087</t>
  </si>
  <si>
    <t>wbdl1088</t>
  </si>
  <si>
    <t>HGJS999</t>
  </si>
  <si>
    <t>MDL555</t>
  </si>
  <si>
    <t>外部代理总线btydl0056</t>
  </si>
  <si>
    <t>AA00152</t>
  </si>
  <si>
    <t>wbdl1089</t>
  </si>
  <si>
    <t>wbdl1090</t>
  </si>
  <si>
    <t>zsdl185</t>
  </si>
  <si>
    <t>testdlkasco2</t>
  </si>
  <si>
    <t>newz2023</t>
  </si>
  <si>
    <t>wbdl1091</t>
  </si>
  <si>
    <t>wbdl1092</t>
  </si>
  <si>
    <t>wbdl1093</t>
  </si>
  <si>
    <t>wbdl1094</t>
  </si>
  <si>
    <t>zsdl186</t>
  </si>
  <si>
    <t>zsdl187</t>
  </si>
  <si>
    <t>gt4444</t>
  </si>
  <si>
    <t>wbdl1096</t>
  </si>
  <si>
    <t>cvijdg1</t>
  </si>
  <si>
    <t>hauhau369</t>
  </si>
  <si>
    <t>lignling917</t>
  </si>
  <si>
    <t>shuihehua3</t>
  </si>
  <si>
    <t>qiqi8969</t>
  </si>
  <si>
    <t>sansan89</t>
  </si>
  <si>
    <t>qianqian44</t>
  </si>
  <si>
    <t>mingmign47</t>
  </si>
  <si>
    <t>zhao77shi</t>
  </si>
  <si>
    <t>niuniuda9</t>
  </si>
  <si>
    <t>hongfeng5</t>
  </si>
  <si>
    <t>zsdl193</t>
  </si>
  <si>
    <t>zsdl191</t>
  </si>
  <si>
    <t>yan3186</t>
  </si>
  <si>
    <t>byq8855</t>
  </si>
  <si>
    <t>wbdl1103</t>
  </si>
  <si>
    <t>cxl33911</t>
  </si>
  <si>
    <t>ly5620</t>
  </si>
  <si>
    <t>zsdl189</t>
  </si>
  <si>
    <t>wbdl1106</t>
  </si>
  <si>
    <t>wbdl1110</t>
  </si>
  <si>
    <t>qq89860</t>
  </si>
  <si>
    <t>zsdl195</t>
  </si>
  <si>
    <t>wbdl1104</t>
  </si>
  <si>
    <t>wbdl1105</t>
  </si>
  <si>
    <t>wbdl1108</t>
  </si>
  <si>
    <t>kc99888</t>
  </si>
  <si>
    <t>zmll521</t>
  </si>
  <si>
    <t>wbdl1100</t>
  </si>
  <si>
    <t>wbdl1109</t>
  </si>
  <si>
    <t>vnwbdl06</t>
  </si>
  <si>
    <t>siyatao22</t>
  </si>
  <si>
    <t>luo12390</t>
  </si>
  <si>
    <t>wbdl1097</t>
  </si>
  <si>
    <t>vnwbdl07</t>
  </si>
  <si>
    <t>wbdl1112</t>
  </si>
  <si>
    <t>zsdl192</t>
  </si>
  <si>
    <t>eryt3276</t>
  </si>
  <si>
    <t>wbdl1115</t>
  </si>
  <si>
    <t>zsdl197</t>
  </si>
  <si>
    <t>zhangkou9018</t>
  </si>
  <si>
    <t>BB00135</t>
  </si>
  <si>
    <t>wbdl1118</t>
  </si>
  <si>
    <t>BB00136</t>
  </si>
  <si>
    <t>wbdl1113</t>
  </si>
  <si>
    <t>long090as</t>
  </si>
  <si>
    <t>wbdl1123</t>
  </si>
  <si>
    <t>wbdl1121</t>
  </si>
  <si>
    <t>adju5612</t>
  </si>
  <si>
    <t>qkl67901</t>
  </si>
  <si>
    <t>scb1111</t>
  </si>
  <si>
    <t>AA00155</t>
  </si>
  <si>
    <t>jun17690</t>
  </si>
  <si>
    <t>BB00137</t>
  </si>
  <si>
    <t>jiang67531</t>
  </si>
  <si>
    <t>wbdl1101</t>
  </si>
  <si>
    <t>AA00153</t>
  </si>
  <si>
    <t>wbdl1117</t>
  </si>
  <si>
    <t>wbdl1124</t>
  </si>
  <si>
    <t>zsdl201</t>
  </si>
  <si>
    <t>pphanfeng</t>
  </si>
  <si>
    <t>kk体育</t>
  </si>
  <si>
    <t>wbdl1122</t>
  </si>
  <si>
    <t>zsdl199</t>
  </si>
  <si>
    <t>wangge6653</t>
  </si>
  <si>
    <t>weu09831</t>
  </si>
  <si>
    <t>鲲鹏admin</t>
  </si>
  <si>
    <t>wbdl1125</t>
  </si>
  <si>
    <t>qwpp125</t>
  </si>
  <si>
    <t>huayu1313</t>
  </si>
  <si>
    <t>wbdl1128</t>
  </si>
  <si>
    <t>wbdl1129</t>
  </si>
  <si>
    <t>zsdl1901</t>
  </si>
  <si>
    <t>zsdl1902</t>
  </si>
  <si>
    <t>wbdl1133</t>
  </si>
  <si>
    <t>ming008</t>
  </si>
  <si>
    <t>外代-越</t>
  </si>
  <si>
    <t>wbdl1135</t>
  </si>
  <si>
    <t>wbdl1134</t>
  </si>
  <si>
    <t>wbdl1120</t>
  </si>
  <si>
    <t>雨燕直播-越</t>
  </si>
  <si>
    <t>fan60044</t>
  </si>
  <si>
    <t>zsdl203</t>
  </si>
  <si>
    <t>nwhtg505</t>
  </si>
  <si>
    <t>vnwbdl10</t>
  </si>
  <si>
    <t>wbdl1140</t>
  </si>
  <si>
    <t>MM</t>
  </si>
  <si>
    <t>fvwsrw440t</t>
  </si>
  <si>
    <t>scb2222</t>
  </si>
  <si>
    <t>AA00154</t>
  </si>
  <si>
    <t>asd56eweft</t>
  </si>
  <si>
    <t>fswsdfwr10</t>
  </si>
  <si>
    <t>xifeng125</t>
  </si>
  <si>
    <t>seo0001</t>
  </si>
  <si>
    <t>jieke1573</t>
  </si>
  <si>
    <t>AA00156</t>
  </si>
  <si>
    <t>brzb001</t>
  </si>
  <si>
    <t>brmk88</t>
  </si>
  <si>
    <r>
      <rPr>
        <sz val="11"/>
        <color rgb="FF000000"/>
        <rFont val="宋体"/>
        <charset val="134"/>
      </rPr>
      <t>雨燕直播</t>
    </r>
    <r>
      <rPr>
        <sz val="11"/>
        <color rgb="FF000000"/>
        <rFont val="Arial"/>
        <charset val="134"/>
      </rPr>
      <t>-</t>
    </r>
    <r>
      <rPr>
        <sz val="11"/>
        <color rgb="FF000000"/>
        <rFont val="宋体"/>
        <charset val="134"/>
      </rPr>
      <t>巴</t>
    </r>
  </si>
  <si>
    <t>brzb88</t>
  </si>
  <si>
    <t>brzb003</t>
  </si>
  <si>
    <t>brzb002</t>
  </si>
  <si>
    <t>wbdl1144</t>
  </si>
  <si>
    <t>Sonya001</t>
  </si>
  <si>
    <t>zsdl198</t>
  </si>
  <si>
    <t>wbdl1145</t>
  </si>
  <si>
    <t>dl0007</t>
  </si>
  <si>
    <t>zsdl206</t>
  </si>
  <si>
    <t>wbdl1146</t>
  </si>
  <si>
    <t>zsdl200</t>
  </si>
  <si>
    <t>zsdl207</t>
  </si>
  <si>
    <t>bbc123123</t>
  </si>
  <si>
    <t>zsdl208</t>
  </si>
  <si>
    <t>zsdl210</t>
  </si>
  <si>
    <t>wbdl1147</t>
  </si>
  <si>
    <t>btydl0059</t>
  </si>
  <si>
    <t>Frank</t>
  </si>
  <si>
    <t>russ33303</t>
  </si>
  <si>
    <t>wbdl1132</t>
  </si>
  <si>
    <t>btydl06910</t>
  </si>
  <si>
    <t>马来线2</t>
  </si>
  <si>
    <t>wbdl1149</t>
  </si>
  <si>
    <t>zsdl211</t>
  </si>
  <si>
    <t>wbdl</t>
  </si>
  <si>
    <t>wbdl1153</t>
  </si>
  <si>
    <t>yangfan7891</t>
  </si>
  <si>
    <t>andy997</t>
  </si>
  <si>
    <t>wbdl1127</t>
  </si>
  <si>
    <t>wbdl1152</t>
  </si>
  <si>
    <t>biaoge001</t>
  </si>
  <si>
    <t>zsdl212</t>
  </si>
  <si>
    <t>laoer12387</t>
  </si>
  <si>
    <t>wbdl1154</t>
  </si>
  <si>
    <t>zhengdsn5801</t>
  </si>
  <si>
    <t>russ33301</t>
  </si>
  <si>
    <t>yflub580</t>
  </si>
  <si>
    <t>wang76590</t>
  </si>
  <si>
    <t>wbdl1156</t>
  </si>
  <si>
    <t>seo0002</t>
  </si>
  <si>
    <t>wbdl1151</t>
  </si>
  <si>
    <t>wbdl113501</t>
  </si>
  <si>
    <t>seo0003</t>
  </si>
  <si>
    <t>zzzb66</t>
  </si>
  <si>
    <t>zzzb888</t>
  </si>
  <si>
    <t>雨燕直播</t>
  </si>
  <si>
    <t>wbdl1158</t>
  </si>
  <si>
    <t>Aum001</t>
  </si>
  <si>
    <t>sali001</t>
  </si>
  <si>
    <t>wbdl1161</t>
  </si>
  <si>
    <t>wbdl1162</t>
  </si>
  <si>
    <t>xj000001</t>
  </si>
  <si>
    <t>btydl06911</t>
  </si>
  <si>
    <t>obpm001</t>
  </si>
  <si>
    <t>zsdl196</t>
  </si>
  <si>
    <t>dl111111</t>
  </si>
  <si>
    <t>zsdl221</t>
  </si>
  <si>
    <t>aa00158</t>
  </si>
  <si>
    <t>zsdl222</t>
  </si>
  <si>
    <t>zsdl220</t>
  </si>
  <si>
    <t>kaixin6666</t>
  </si>
  <si>
    <t>鲲鹏其他</t>
  </si>
  <si>
    <t>anyu520</t>
  </si>
  <si>
    <t>btydl0065</t>
  </si>
  <si>
    <t>btydl0063</t>
  </si>
  <si>
    <t>zsdl204</t>
  </si>
  <si>
    <t>btyseo6789</t>
  </si>
  <si>
    <t>鲲鹏seo</t>
  </si>
  <si>
    <t>tanke666</t>
  </si>
  <si>
    <t>zsdl205</t>
  </si>
  <si>
    <t>zsdl224</t>
  </si>
  <si>
    <t>wbdl1165</t>
  </si>
  <si>
    <t>wm0001</t>
  </si>
  <si>
    <t>hie2023</t>
  </si>
  <si>
    <t>wbdl1167</t>
  </si>
  <si>
    <t>zsdl216</t>
  </si>
  <si>
    <t>AA00157</t>
  </si>
  <si>
    <t>yaokun2023</t>
  </si>
  <si>
    <t>zsdl225</t>
  </si>
  <si>
    <t>liyanyan8</t>
  </si>
  <si>
    <t>sgy959639</t>
  </si>
  <si>
    <t>zsdl223</t>
  </si>
  <si>
    <t>wbdl1170</t>
  </si>
  <si>
    <t>awen8669</t>
  </si>
  <si>
    <t>zxc8801</t>
  </si>
  <si>
    <t>wbdl1164</t>
  </si>
  <si>
    <t>wbdl1169</t>
  </si>
  <si>
    <t>kh0005</t>
  </si>
  <si>
    <t>wbdl1175</t>
  </si>
  <si>
    <t>yiwe024</t>
  </si>
  <si>
    <t>kkg0088</t>
  </si>
  <si>
    <t>wbdl1171</t>
  </si>
  <si>
    <t>wbdl1174</t>
  </si>
  <si>
    <t>zsdl227</t>
  </si>
  <si>
    <t>wbdl1166</t>
  </si>
  <si>
    <t>wbdl11781</t>
  </si>
  <si>
    <t>wbdl1180</t>
  </si>
  <si>
    <t>zsdl228</t>
  </si>
  <si>
    <t>cah1987</t>
  </si>
  <si>
    <t>btydl8888</t>
  </si>
  <si>
    <t>林总</t>
  </si>
  <si>
    <t>bd020199</t>
  </si>
  <si>
    <t>ukk356</t>
  </si>
  <si>
    <t>wbdl1182</t>
  </si>
  <si>
    <t>fei261661</t>
  </si>
  <si>
    <t>bcy88118</t>
  </si>
  <si>
    <t>wbdl1173</t>
  </si>
  <si>
    <t>wbdl1179</t>
  </si>
  <si>
    <t>zsdl230</t>
  </si>
  <si>
    <t>zsdl234</t>
  </si>
  <si>
    <t>adsq123</t>
  </si>
  <si>
    <t>wbdl1187</t>
  </si>
  <si>
    <t>wbdl1186</t>
  </si>
  <si>
    <t>wbdl1184</t>
  </si>
  <si>
    <t>wbdl1185</t>
  </si>
  <si>
    <t>yuan258099</t>
  </si>
  <si>
    <t>migai888</t>
  </si>
  <si>
    <t>q96696q</t>
  </si>
  <si>
    <t>接收IP</t>
  </si>
  <si>
    <t>前六天的平均值</t>
  </si>
  <si>
    <t>4月7号跟前六天平均值对比</t>
  </si>
  <si>
    <t>项目</t>
  </si>
  <si>
    <t>9月月均</t>
  </si>
  <si>
    <t>最近7日平均</t>
  </si>
  <si>
    <t>9/5</t>
  </si>
  <si>
    <t>9/6</t>
  </si>
  <si>
    <t>9/7</t>
  </si>
  <si>
    <t>9/8</t>
  </si>
  <si>
    <t>9/9</t>
  </si>
  <si>
    <t>9/10</t>
  </si>
  <si>
    <t>9/11</t>
  </si>
  <si>
    <t>9/12</t>
  </si>
  <si>
    <t>9/13</t>
  </si>
  <si>
    <t>9/14</t>
  </si>
  <si>
    <t>9/15</t>
  </si>
  <si>
    <t>9/16</t>
  </si>
  <si>
    <t>9/17</t>
  </si>
  <si>
    <t>9/18</t>
  </si>
  <si>
    <t>9/19</t>
  </si>
  <si>
    <t>9/20</t>
  </si>
  <si>
    <t>9/21</t>
  </si>
  <si>
    <t>9/22</t>
  </si>
  <si>
    <t>9/23</t>
  </si>
  <si>
    <t>9/24</t>
  </si>
  <si>
    <t>9/25</t>
  </si>
  <si>
    <t>9/26</t>
  </si>
  <si>
    <t>9/27</t>
  </si>
  <si>
    <t>9/28</t>
  </si>
  <si>
    <t>9/29</t>
  </si>
  <si>
    <t>9/30</t>
  </si>
  <si>
    <t>昨日变化</t>
  </si>
  <si>
    <t>平均接收率</t>
  </si>
  <si>
    <t>10月月均</t>
  </si>
  <si>
    <t>10/1</t>
  </si>
  <si>
    <t>10/2</t>
  </si>
  <si>
    <t>10/3</t>
  </si>
  <si>
    <t>10/4</t>
  </si>
  <si>
    <t>10/5</t>
  </si>
  <si>
    <t>10/6</t>
  </si>
  <si>
    <t>10/7</t>
  </si>
  <si>
    <t>10/8</t>
  </si>
  <si>
    <t>10/9</t>
  </si>
  <si>
    <t>10/10</t>
  </si>
  <si>
    <t>10/11</t>
  </si>
  <si>
    <t>10/12</t>
  </si>
  <si>
    <t>10/13</t>
  </si>
  <si>
    <t>10/14</t>
  </si>
  <si>
    <t>10/15</t>
  </si>
  <si>
    <t>10/16</t>
  </si>
  <si>
    <t>10/17</t>
  </si>
  <si>
    <t>10/18</t>
  </si>
  <si>
    <t>10/19</t>
  </si>
  <si>
    <t>10/20</t>
  </si>
  <si>
    <t>10/21</t>
  </si>
  <si>
    <t>10/22</t>
  </si>
  <si>
    <t>10/23</t>
  </si>
  <si>
    <t>10/24</t>
  </si>
  <si>
    <t>10/25</t>
  </si>
  <si>
    <t>10/26</t>
  </si>
  <si>
    <t>10/27</t>
  </si>
  <si>
    <t>10/28</t>
  </si>
  <si>
    <t>10/29</t>
  </si>
  <si>
    <t>10/30</t>
  </si>
  <si>
    <t>10/31</t>
  </si>
</sst>
</file>

<file path=xl/styles.xml><?xml version="1.0" encoding="utf-8"?>
<styleSheet xmlns="http://schemas.openxmlformats.org/spreadsheetml/2006/main">
  <numFmts count="10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m/d;@"/>
    <numFmt numFmtId="177" formatCode="#,##0_ "/>
    <numFmt numFmtId="178" formatCode="yyyy/m/d;@"/>
    <numFmt numFmtId="179" formatCode="0_ "/>
    <numFmt numFmtId="180" formatCode="0.0%"/>
    <numFmt numFmtId="181" formatCode="0;[Red]0"/>
  </numFmts>
  <fonts count="62">
    <font>
      <sz val="11"/>
      <color theme="1"/>
      <name val="宋体"/>
      <charset val="134"/>
      <scheme val="minor"/>
    </font>
    <font>
      <b/>
      <sz val="11"/>
      <color theme="0"/>
      <name val="微软雅黑"/>
      <charset val="134"/>
    </font>
    <font>
      <b/>
      <sz val="11"/>
      <color theme="1"/>
      <name val="微软雅黑"/>
      <charset val="134"/>
    </font>
    <font>
      <sz val="11"/>
      <color theme="1"/>
      <name val="微软雅黑"/>
      <charset val="134"/>
    </font>
    <font>
      <sz val="10"/>
      <name val="微软雅黑"/>
      <charset val="134"/>
    </font>
    <font>
      <b/>
      <sz val="10"/>
      <color theme="0"/>
      <name val="宋体"/>
      <charset val="134"/>
    </font>
    <font>
      <sz val="10"/>
      <color theme="1"/>
      <name val="宋体"/>
      <charset val="134"/>
    </font>
    <font>
      <b/>
      <sz val="10"/>
      <color theme="0"/>
      <name val="Times New Roman"/>
      <charset val="134"/>
    </font>
    <font>
      <sz val="10"/>
      <name val="Times New Roman"/>
      <charset val="134"/>
    </font>
    <font>
      <sz val="10"/>
      <color theme="1"/>
      <name val="Times New Roman"/>
      <charset val="134"/>
    </font>
    <font>
      <b/>
      <sz val="10"/>
      <name val="宋体"/>
      <charset val="134"/>
    </font>
    <font>
      <b/>
      <sz val="10"/>
      <name val="Times New Roman"/>
      <charset val="134"/>
    </font>
    <font>
      <sz val="10"/>
      <color rgb="FFFF0000"/>
      <name val="Times New Roman"/>
      <charset val="134"/>
    </font>
    <font>
      <b/>
      <sz val="10"/>
      <color rgb="FFFF0000"/>
      <name val="Times New Roman"/>
      <charset val="134"/>
    </font>
    <font>
      <b/>
      <sz val="11"/>
      <color theme="0"/>
      <name val="宋体"/>
      <charset val="134"/>
      <scheme val="minor"/>
    </font>
    <font>
      <sz val="9"/>
      <name val="Arial"/>
      <charset val="134"/>
    </font>
    <font>
      <sz val="9"/>
      <name val="宋体"/>
      <charset val="134"/>
      <scheme val="minor"/>
    </font>
    <font>
      <sz val="9"/>
      <color rgb="FFFF0000"/>
      <name val="宋体"/>
      <charset val="134"/>
      <scheme val="minor"/>
    </font>
    <font>
      <b/>
      <sz val="9"/>
      <name val="宋体"/>
      <charset val="134"/>
      <scheme val="minor"/>
    </font>
    <font>
      <b/>
      <sz val="9"/>
      <color rgb="FFFF0000"/>
      <name val="宋体"/>
      <charset val="134"/>
      <scheme val="minor"/>
    </font>
    <font>
      <sz val="10"/>
      <color rgb="FFFF0000"/>
      <name val="宋体"/>
      <charset val="134"/>
      <scheme val="minor"/>
    </font>
    <font>
      <b/>
      <sz val="10"/>
      <color rgb="FFFF0000"/>
      <name val="宋体"/>
      <charset val="134"/>
      <scheme val="minor"/>
    </font>
    <font>
      <sz val="10"/>
      <name val="宋体"/>
      <charset val="134"/>
      <scheme val="minor"/>
    </font>
    <font>
      <sz val="10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b/>
      <sz val="10"/>
      <color theme="1"/>
      <name val="Microsoft YaHei UI"/>
      <charset val="134"/>
    </font>
    <font>
      <sz val="10"/>
      <color theme="1"/>
      <name val="Microsoft YaHei UI"/>
      <charset val="134"/>
    </font>
    <font>
      <sz val="10"/>
      <color rgb="FF000000"/>
      <name val="Microsoft YaHei UI"/>
      <charset val="134"/>
    </font>
    <font>
      <sz val="9"/>
      <color theme="1"/>
      <name val="Microsoft YaHei UI"/>
      <charset val="134"/>
    </font>
    <font>
      <sz val="11"/>
      <color theme="1"/>
      <name val="Arial"/>
      <charset val="134"/>
    </font>
    <font>
      <sz val="11"/>
      <color rgb="FF000000"/>
      <name val="Arial"/>
      <charset val="134"/>
    </font>
    <font>
      <sz val="10"/>
      <color indexed="8"/>
      <name val="Microsoft YaHei UI"/>
      <charset val="134"/>
    </font>
    <font>
      <sz val="11"/>
      <color theme="1"/>
      <name val="SimHei"/>
      <charset val="134"/>
    </font>
    <font>
      <sz val="11"/>
      <color theme="1"/>
      <name val="等线"/>
      <charset val="134"/>
    </font>
    <font>
      <sz val="9"/>
      <color theme="1"/>
      <name val="Times New Roman"/>
      <charset val="134"/>
    </font>
    <font>
      <sz val="9"/>
      <color theme="1"/>
      <name val="Microsoft YaHei"/>
      <charset val="134"/>
    </font>
    <font>
      <sz val="11"/>
      <color rgb="FF000000"/>
      <name val="微软雅黑"/>
      <charset val="134"/>
    </font>
    <font>
      <sz val="11"/>
      <color rgb="FF000000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0"/>
      <color rgb="FF00B050"/>
      <name val="Times New Roman"/>
      <charset val="134"/>
    </font>
    <font>
      <b/>
      <sz val="18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F0000"/>
      <name val="宋体"/>
      <charset val="134"/>
      <scheme val="minor"/>
    </font>
    <font>
      <sz val="11"/>
      <color rgb="FF000000"/>
      <name val="宋体"/>
      <charset val="134"/>
    </font>
  </fonts>
  <fills count="4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6" tint="0.799951170384838"/>
        <bgColor theme="6" tint="0.799951170384838"/>
      </patternFill>
    </fill>
    <fill>
      <patternFill patternType="solid">
        <fgColor theme="5"/>
        <bgColor theme="5" tint="0.799951170384838"/>
      </patternFill>
    </fill>
    <fill>
      <patternFill patternType="solid">
        <fgColor theme="5"/>
        <bgColor indexed="64"/>
      </patternFill>
    </fill>
    <fill>
      <patternFill patternType="solid">
        <fgColor theme="5" tint="0.799951170384838"/>
        <bgColor theme="5" tint="0.799951170384838"/>
      </patternFill>
    </fill>
    <fill>
      <patternFill patternType="solid">
        <fgColor theme="1" tint="0.499984740745262"/>
        <b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CC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5" tint="0.799920651875362"/>
        <bgColor theme="5" tint="0.799920651875362"/>
      </patternFill>
    </fill>
    <fill>
      <patternFill patternType="solid">
        <fgColor rgb="FFFCE4D6"/>
        <bgColor indexed="64"/>
      </patternFill>
    </fill>
    <fill>
      <patternFill patternType="solid">
        <fgColor rgb="FFFCE4D6"/>
        <bgColor theme="5" tint="0.799951170384838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77">
    <border>
      <left/>
      <right/>
      <top/>
      <bottom/>
      <diagonal/>
    </border>
    <border>
      <left style="thin">
        <color theme="4"/>
      </left>
      <right/>
      <top style="thin">
        <color theme="4"/>
      </top>
      <bottom/>
      <diagonal/>
    </border>
    <border>
      <left/>
      <right/>
      <top style="thin">
        <color theme="4"/>
      </top>
      <bottom/>
      <diagonal/>
    </border>
    <border>
      <left/>
      <right style="thin">
        <color auto="1"/>
      </right>
      <top style="thin">
        <color theme="4"/>
      </top>
      <bottom/>
      <diagonal/>
    </border>
    <border>
      <left style="thin">
        <color theme="4"/>
      </left>
      <right/>
      <top style="thin">
        <color auto="1"/>
      </top>
      <bottom style="thin">
        <color theme="4"/>
      </bottom>
      <diagonal/>
    </border>
    <border>
      <left/>
      <right/>
      <top style="thin">
        <color auto="1"/>
      </top>
      <bottom style="thin">
        <color theme="4"/>
      </bottom>
      <diagonal/>
    </border>
    <border>
      <left/>
      <right/>
      <top style="thin">
        <color auto="1"/>
      </top>
      <bottom style="thin">
        <color theme="6" tint="0.399945066682943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theme="4"/>
      </left>
      <right/>
      <top style="thin">
        <color theme="4"/>
      </top>
      <bottom style="thin">
        <color theme="4"/>
      </bottom>
      <diagonal/>
    </border>
    <border>
      <left/>
      <right/>
      <top style="thin">
        <color theme="4"/>
      </top>
      <bottom style="thin">
        <color theme="4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thin">
        <color theme="4"/>
      </left>
      <right/>
      <top style="thin">
        <color theme="4"/>
      </top>
      <bottom style="thin">
        <color auto="1"/>
      </bottom>
      <diagonal/>
    </border>
    <border>
      <left/>
      <right/>
      <top style="thin">
        <color theme="4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theme="4"/>
      </right>
      <top style="thin">
        <color theme="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theme="5" tint="0.399945066682943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theme="5" tint="0.399945066682943"/>
      </bottom>
      <diagonal/>
    </border>
    <border>
      <left/>
      <right/>
      <top style="medium">
        <color auto="1"/>
      </top>
      <bottom style="thin">
        <color theme="5" tint="0.399945066682943"/>
      </bottom>
      <diagonal/>
    </border>
    <border>
      <left/>
      <right style="thin">
        <color auto="1"/>
      </right>
      <top style="medium">
        <color auto="1"/>
      </top>
      <bottom style="thin">
        <color theme="5" tint="0.399945066682943"/>
      </bottom>
      <diagonal/>
    </border>
    <border>
      <left style="medium">
        <color auto="1"/>
      </left>
      <right/>
      <top style="thin">
        <color theme="5" tint="0.399945066682943"/>
      </top>
      <bottom style="medium">
        <color auto="1"/>
      </bottom>
      <diagonal/>
    </border>
    <border>
      <left style="medium">
        <color auto="1"/>
      </left>
      <right/>
      <top style="thin">
        <color theme="5" tint="0.399945066682943"/>
      </top>
      <bottom style="thin">
        <color theme="5" tint="0.399945066682943"/>
      </bottom>
      <diagonal/>
    </border>
    <border>
      <left/>
      <right/>
      <top style="thin">
        <color theme="5" tint="0.399945066682943"/>
      </top>
      <bottom style="thin">
        <color theme="5" tint="0.399945066682943"/>
      </bottom>
      <diagonal/>
    </border>
    <border>
      <left/>
      <right style="thin">
        <color auto="1"/>
      </right>
      <top style="thin">
        <color theme="5" tint="0.399945066682943"/>
      </top>
      <bottom style="thin">
        <color theme="5" tint="0.399945066682943"/>
      </bottom>
      <diagonal/>
    </border>
    <border>
      <left/>
      <right/>
      <top style="thin">
        <color theme="5" tint="0.399945066682943"/>
      </top>
      <bottom style="medium">
        <color auto="1"/>
      </bottom>
      <diagonal/>
    </border>
    <border>
      <left/>
      <right style="thin">
        <color auto="1"/>
      </right>
      <top style="thin">
        <color theme="5" tint="0.399945066682943"/>
      </top>
      <bottom style="medium">
        <color auto="1"/>
      </bottom>
      <diagonal/>
    </border>
    <border>
      <left/>
      <right style="thin">
        <color auto="1"/>
      </right>
      <top style="thin">
        <color theme="5" tint="0.399945066682943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theme="5" tint="0.399945066682943"/>
      </bottom>
      <diagonal/>
    </border>
    <border>
      <left/>
      <right style="medium">
        <color auto="1"/>
      </right>
      <top style="thin">
        <color theme="5" tint="0.399945066682943"/>
      </top>
      <bottom style="thin">
        <color theme="5" tint="0.399945066682943"/>
      </bottom>
      <diagonal/>
    </border>
    <border>
      <left/>
      <right style="medium">
        <color auto="1"/>
      </right>
      <top style="thin">
        <color theme="5" tint="0.399945066682943"/>
      </top>
      <bottom style="medium">
        <color auto="1"/>
      </bottom>
      <diagonal/>
    </border>
    <border>
      <left/>
      <right style="medium">
        <color auto="1"/>
      </right>
      <top style="thin">
        <color theme="5" tint="0.399945066682943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thin">
        <color theme="5" tint="0.399945066682943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theme="5" tint="0.399945066682943"/>
      </left>
      <right/>
      <top style="thin">
        <color theme="5" tint="0.399945066682943"/>
      </top>
      <bottom/>
      <diagonal/>
    </border>
    <border>
      <left style="medium">
        <color auto="1"/>
      </left>
      <right/>
      <top/>
      <bottom style="thin">
        <color theme="5" tint="0.399945066682943"/>
      </bottom>
      <diagonal/>
    </border>
    <border>
      <left/>
      <right/>
      <top/>
      <bottom style="thin">
        <color theme="5" tint="0.399945066682943"/>
      </bottom>
      <diagonal/>
    </border>
    <border>
      <left/>
      <right style="thin">
        <color auto="1"/>
      </right>
      <top/>
      <bottom style="thin">
        <color theme="5" tint="0.399945066682943"/>
      </bottom>
      <diagonal/>
    </border>
    <border>
      <left/>
      <right style="medium">
        <color auto="1"/>
      </right>
      <top/>
      <bottom style="thin">
        <color theme="5" tint="0.399945066682943"/>
      </bottom>
      <diagonal/>
    </border>
    <border>
      <left style="thin">
        <color theme="5" tint="0.399914548173467"/>
      </left>
      <right/>
      <top style="thin">
        <color theme="5" tint="0.399914548173467"/>
      </top>
      <bottom/>
      <diagonal/>
    </border>
    <border>
      <left style="thin">
        <color theme="5" tint="0.399914548173467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thin">
        <color theme="5" tint="0.399914548173467"/>
      </top>
      <bottom style="thin">
        <color theme="5" tint="0.399914548173467"/>
      </bottom>
      <diagonal/>
    </border>
    <border>
      <left/>
      <right/>
      <top style="thin">
        <color theme="5" tint="0.399914548173467"/>
      </top>
      <bottom style="thin">
        <color theme="5" tint="0.399914548173467"/>
      </bottom>
      <diagonal/>
    </border>
    <border>
      <left/>
      <right style="thin">
        <color auto="1"/>
      </right>
      <top style="thin">
        <color theme="5" tint="0.399914548173467"/>
      </top>
      <bottom style="thin">
        <color theme="5" tint="0.399914548173467"/>
      </bottom>
      <diagonal/>
    </border>
    <border>
      <left style="medium">
        <color auto="1"/>
      </left>
      <right/>
      <top style="thin">
        <color theme="5" tint="0.399914548173467"/>
      </top>
      <bottom style="medium">
        <color auto="1"/>
      </bottom>
      <diagonal/>
    </border>
    <border>
      <left/>
      <right/>
      <top style="thin">
        <color theme="5" tint="0.399914548173467"/>
      </top>
      <bottom style="medium">
        <color auto="1"/>
      </bottom>
      <diagonal/>
    </border>
    <border>
      <left/>
      <right style="thin">
        <color auto="1"/>
      </right>
      <top style="thin">
        <color theme="5" tint="0.399914548173467"/>
      </top>
      <bottom style="medium">
        <color auto="1"/>
      </bottom>
      <diagonal/>
    </border>
    <border>
      <left style="medium">
        <color auto="1"/>
      </left>
      <right/>
      <top/>
      <bottom style="thin">
        <color theme="5" tint="0.399914548173467"/>
      </bottom>
      <diagonal/>
    </border>
    <border>
      <left/>
      <right/>
      <top/>
      <bottom style="thin">
        <color theme="5" tint="0.399914548173467"/>
      </bottom>
      <diagonal/>
    </border>
    <border>
      <left/>
      <right style="thin">
        <color auto="1"/>
      </right>
      <top/>
      <bottom style="thin">
        <color theme="5" tint="0.399914548173467"/>
      </bottom>
      <diagonal/>
    </border>
    <border>
      <left/>
      <right style="medium">
        <color auto="1"/>
      </right>
      <top style="thin">
        <color theme="5" tint="0.399914548173467"/>
      </top>
      <bottom style="thin">
        <color theme="5" tint="0.399914548173467"/>
      </bottom>
      <diagonal/>
    </border>
    <border>
      <left/>
      <right style="medium">
        <color auto="1"/>
      </right>
      <top style="thin">
        <color theme="5" tint="0.399914548173467"/>
      </top>
      <bottom style="medium">
        <color auto="1"/>
      </bottom>
      <diagonal/>
    </border>
    <border>
      <left/>
      <right style="medium">
        <color auto="1"/>
      </right>
      <top/>
      <bottom style="thin">
        <color theme="5" tint="0.399914548173467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thin">
        <color theme="5"/>
      </bottom>
      <diagonal/>
    </border>
    <border>
      <left style="thin">
        <color theme="5"/>
      </left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1" fillId="18" borderId="0" applyNumberFormat="0" applyBorder="0" applyAlignment="0" applyProtection="0">
      <alignment vertical="center"/>
    </xf>
    <xf numFmtId="0" fontId="42" fillId="19" borderId="6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1" fillId="20" borderId="0" applyNumberFormat="0" applyBorder="0" applyAlignment="0" applyProtection="0">
      <alignment vertical="center"/>
    </xf>
    <xf numFmtId="0" fontId="43" fillId="2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4" fillId="22" borderId="0" applyNumberFormat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23" borderId="70" applyNumberFormat="0" applyFont="0" applyAlignment="0" applyProtection="0">
      <alignment vertical="center"/>
    </xf>
    <xf numFmtId="0" fontId="44" fillId="24" borderId="0" applyNumberFormat="0" applyBorder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71" applyNumberFormat="0" applyFill="0" applyAlignment="0" applyProtection="0">
      <alignment vertical="center"/>
    </xf>
    <xf numFmtId="0" fontId="52" fillId="0" borderId="71" applyNumberFormat="0" applyFill="0" applyAlignment="0" applyProtection="0">
      <alignment vertical="center"/>
    </xf>
    <xf numFmtId="0" fontId="44" fillId="25" borderId="0" applyNumberFormat="0" applyBorder="0" applyAlignment="0" applyProtection="0">
      <alignment vertical="center"/>
    </xf>
    <xf numFmtId="0" fontId="47" fillId="0" borderId="72" applyNumberFormat="0" applyFill="0" applyAlignment="0" applyProtection="0">
      <alignment vertical="center"/>
    </xf>
    <xf numFmtId="0" fontId="44" fillId="26" borderId="0" applyNumberFormat="0" applyBorder="0" applyAlignment="0" applyProtection="0">
      <alignment vertical="center"/>
    </xf>
    <xf numFmtId="0" fontId="53" fillId="27" borderId="73" applyNumberFormat="0" applyAlignment="0" applyProtection="0">
      <alignment vertical="center"/>
    </xf>
    <xf numFmtId="0" fontId="54" fillId="27" borderId="69" applyNumberFormat="0" applyAlignment="0" applyProtection="0">
      <alignment vertical="center"/>
    </xf>
    <xf numFmtId="0" fontId="55" fillId="28" borderId="74" applyNumberFormat="0" applyAlignment="0" applyProtection="0">
      <alignment vertical="center"/>
    </xf>
    <xf numFmtId="0" fontId="41" fillId="29" borderId="0" applyNumberFormat="0" applyBorder="0" applyAlignment="0" applyProtection="0">
      <alignment vertical="center"/>
    </xf>
    <xf numFmtId="0" fontId="44" fillId="5" borderId="0" applyNumberFormat="0" applyBorder="0" applyAlignment="0" applyProtection="0">
      <alignment vertical="center"/>
    </xf>
    <xf numFmtId="0" fontId="56" fillId="0" borderId="75" applyNumberFormat="0" applyFill="0" applyAlignment="0" applyProtection="0">
      <alignment vertical="center"/>
    </xf>
    <xf numFmtId="0" fontId="57" fillId="0" borderId="76" applyNumberFormat="0" applyFill="0" applyAlignment="0" applyProtection="0">
      <alignment vertical="center"/>
    </xf>
    <xf numFmtId="0" fontId="58" fillId="30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4" fillId="33" borderId="0" applyNumberFormat="0" applyBorder="0" applyAlignment="0" applyProtection="0">
      <alignment vertical="center"/>
    </xf>
    <xf numFmtId="0" fontId="41" fillId="9" borderId="0" applyNumberFormat="0" applyBorder="0" applyAlignment="0" applyProtection="0">
      <alignment vertical="center"/>
    </xf>
    <xf numFmtId="0" fontId="41" fillId="34" borderId="0" applyNumberFormat="0" applyBorder="0" applyAlignment="0" applyProtection="0">
      <alignment vertical="center"/>
    </xf>
    <xf numFmtId="0" fontId="41" fillId="35" borderId="0" applyNumberFormat="0" applyBorder="0" applyAlignment="0" applyProtection="0">
      <alignment vertical="center"/>
    </xf>
    <xf numFmtId="0" fontId="41" fillId="36" borderId="0" applyNumberFormat="0" applyBorder="0" applyAlignment="0" applyProtection="0">
      <alignment vertical="center"/>
    </xf>
    <xf numFmtId="0" fontId="44" fillId="37" borderId="0" applyNumberFormat="0" applyBorder="0" applyAlignment="0" applyProtection="0">
      <alignment vertical="center"/>
    </xf>
    <xf numFmtId="0" fontId="44" fillId="38" borderId="0" applyNumberFormat="0" applyBorder="0" applyAlignment="0" applyProtection="0">
      <alignment vertical="center"/>
    </xf>
    <xf numFmtId="0" fontId="41" fillId="39" borderId="0" applyNumberFormat="0" applyBorder="0" applyAlignment="0" applyProtection="0">
      <alignment vertical="center"/>
    </xf>
    <xf numFmtId="0" fontId="41" fillId="40" borderId="0" applyNumberFormat="0" applyBorder="0" applyAlignment="0" applyProtection="0">
      <alignment vertical="center"/>
    </xf>
    <xf numFmtId="0" fontId="44" fillId="41" borderId="0" applyNumberFormat="0" applyBorder="0" applyAlignment="0" applyProtection="0">
      <alignment vertical="center"/>
    </xf>
    <xf numFmtId="0" fontId="41" fillId="42" borderId="0" applyNumberFormat="0" applyBorder="0" applyAlignment="0" applyProtection="0">
      <alignment vertical="center"/>
    </xf>
    <xf numFmtId="0" fontId="44" fillId="43" borderId="0" applyNumberFormat="0" applyBorder="0" applyAlignment="0" applyProtection="0">
      <alignment vertical="center"/>
    </xf>
    <xf numFmtId="0" fontId="44" fillId="44" borderId="0" applyNumberFormat="0" applyBorder="0" applyAlignment="0" applyProtection="0">
      <alignment vertical="center"/>
    </xf>
    <xf numFmtId="0" fontId="41" fillId="45" borderId="0" applyNumberFormat="0" applyBorder="0" applyAlignment="0" applyProtection="0">
      <alignment vertical="center"/>
    </xf>
    <xf numFmtId="0" fontId="44" fillId="46" borderId="0" applyNumberFormat="0" applyBorder="0" applyAlignment="0" applyProtection="0">
      <alignment vertical="center"/>
    </xf>
    <xf numFmtId="0" fontId="0" fillId="0" borderId="0"/>
    <xf numFmtId="0" fontId="0" fillId="0" borderId="0">
      <alignment vertical="center"/>
    </xf>
  </cellStyleXfs>
  <cellXfs count="334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176" fontId="1" fillId="2" borderId="2" xfId="0" applyNumberFormat="1" applyFont="1" applyFill="1" applyBorder="1" applyAlignment="1">
      <alignment horizontal="center" vertical="center"/>
    </xf>
    <xf numFmtId="176" fontId="1" fillId="2" borderId="3" xfId="0" applyNumberFormat="1" applyFont="1" applyFill="1" applyBorder="1" applyAlignment="1">
      <alignment horizontal="center" vertical="center"/>
    </xf>
    <xf numFmtId="0" fontId="2" fillId="0" borderId="4" xfId="0" applyFont="1" applyBorder="1">
      <alignment vertical="center"/>
    </xf>
    <xf numFmtId="0" fontId="2" fillId="0" borderId="5" xfId="0" applyFont="1" applyBorder="1">
      <alignment vertical="center"/>
    </xf>
    <xf numFmtId="10" fontId="2" fillId="0" borderId="5" xfId="0" applyNumberFormat="1" applyFont="1" applyBorder="1" applyAlignment="1">
      <alignment horizontal="center" vertical="center"/>
    </xf>
    <xf numFmtId="10" fontId="3" fillId="3" borderId="6" xfId="0" applyNumberFormat="1" applyFont="1" applyFill="1" applyBorder="1" applyAlignment="1">
      <alignment horizontal="center" vertical="center"/>
    </xf>
    <xf numFmtId="10" fontId="0" fillId="0" borderId="7" xfId="0" applyNumberFormat="1" applyBorder="1">
      <alignment vertical="center"/>
    </xf>
    <xf numFmtId="0" fontId="2" fillId="0" borderId="8" xfId="0" applyFont="1" applyBorder="1">
      <alignment vertical="center"/>
    </xf>
    <xf numFmtId="0" fontId="2" fillId="0" borderId="9" xfId="0" applyFont="1" applyBorder="1">
      <alignment vertical="center"/>
    </xf>
    <xf numFmtId="10" fontId="2" fillId="0" borderId="9" xfId="0" applyNumberFormat="1" applyFont="1" applyBorder="1" applyAlignment="1">
      <alignment horizontal="center" vertical="center"/>
    </xf>
    <xf numFmtId="10" fontId="0" fillId="0" borderId="10" xfId="0" applyNumberFormat="1" applyBorder="1">
      <alignment vertical="center"/>
    </xf>
    <xf numFmtId="0" fontId="2" fillId="0" borderId="9" xfId="0" applyFont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0" fillId="0" borderId="10" xfId="0" applyBorder="1">
      <alignment vertical="center"/>
    </xf>
    <xf numFmtId="0" fontId="2" fillId="0" borderId="11" xfId="0" applyFont="1" applyBorder="1">
      <alignment vertical="center"/>
    </xf>
    <xf numFmtId="0" fontId="2" fillId="0" borderId="12" xfId="0" applyFont="1" applyBorder="1">
      <alignment vertical="center"/>
    </xf>
    <xf numFmtId="10" fontId="2" fillId="0" borderId="12" xfId="0" applyNumberFormat="1" applyFont="1" applyBorder="1" applyAlignment="1">
      <alignment horizontal="center" vertical="center"/>
    </xf>
    <xf numFmtId="10" fontId="0" fillId="0" borderId="13" xfId="0" applyNumberFormat="1" applyBorder="1">
      <alignment vertical="center"/>
    </xf>
    <xf numFmtId="10" fontId="0" fillId="0" borderId="0" xfId="0" applyNumberFormat="1">
      <alignment vertical="center"/>
    </xf>
    <xf numFmtId="176" fontId="1" fillId="2" borderId="14" xfId="0" applyNumberFormat="1" applyFont="1" applyFill="1" applyBorder="1" applyAlignment="1">
      <alignment horizontal="center" vertical="center"/>
    </xf>
    <xf numFmtId="3" fontId="3" fillId="3" borderId="6" xfId="0" applyNumberFormat="1" applyFont="1" applyFill="1" applyBorder="1" applyAlignment="1">
      <alignment horizontal="center" vertical="center"/>
    </xf>
    <xf numFmtId="0" fontId="2" fillId="0" borderId="0" xfId="0" applyFont="1">
      <alignment vertical="center"/>
    </xf>
    <xf numFmtId="10" fontId="4" fillId="0" borderId="15" xfId="0" applyNumberFormat="1" applyFont="1" applyBorder="1">
      <alignment vertical="center"/>
    </xf>
    <xf numFmtId="10" fontId="4" fillId="0" borderId="15" xfId="0" applyNumberFormat="1" applyFont="1" applyBorder="1" applyAlignment="1">
      <alignment horizontal="center" vertical="center"/>
    </xf>
    <xf numFmtId="0" fontId="4" fillId="0" borderId="15" xfId="0" applyFont="1" applyBorder="1">
      <alignment vertical="center"/>
    </xf>
    <xf numFmtId="0" fontId="4" fillId="0" borderId="15" xfId="0" applyFont="1" applyBorder="1" applyAlignment="1">
      <alignment horizontal="center" vertical="center"/>
    </xf>
    <xf numFmtId="177" fontId="3" fillId="3" borderId="6" xfId="0" applyNumberFormat="1" applyFont="1" applyFill="1" applyBorder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78" fontId="0" fillId="4" borderId="16" xfId="0" applyNumberFormat="1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10" fontId="0" fillId="5" borderId="7" xfId="0" applyNumberFormat="1" applyFill="1" applyBorder="1" applyAlignment="1">
      <alignment horizontal="center" vertical="center"/>
    </xf>
    <xf numFmtId="49" fontId="0" fillId="4" borderId="18" xfId="0" applyNumberFormat="1" applyFill="1" applyBorder="1" applyAlignment="1">
      <alignment horizontal="center" vertical="top"/>
    </xf>
    <xf numFmtId="178" fontId="0" fillId="6" borderId="19" xfId="0" applyNumberFormat="1" applyFill="1" applyBorder="1" applyAlignment="1">
      <alignment horizontal="center" vertical="center"/>
    </xf>
    <xf numFmtId="0" fontId="0" fillId="6" borderId="20" xfId="0" applyFill="1" applyBorder="1" applyAlignment="1">
      <alignment horizontal="center" vertical="center"/>
    </xf>
    <xf numFmtId="0" fontId="0" fillId="6" borderId="21" xfId="0" applyFill="1" applyBorder="1">
      <alignment vertical="center"/>
    </xf>
    <xf numFmtId="10" fontId="0" fillId="0" borderId="7" xfId="0" applyNumberFormat="1" applyBorder="1" applyAlignment="1">
      <alignment horizontal="center" vertical="center"/>
    </xf>
    <xf numFmtId="10" fontId="0" fillId="6" borderId="22" xfId="0" applyNumberFormat="1" applyFill="1" applyBorder="1" applyAlignment="1">
      <alignment horizontal="center" vertical="center"/>
    </xf>
    <xf numFmtId="178" fontId="0" fillId="6" borderId="23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>
      <alignment vertical="center"/>
    </xf>
    <xf numFmtId="0" fontId="0" fillId="0" borderId="10" xfId="0" applyBorder="1" applyAlignment="1">
      <alignment horizontal="center" vertical="center"/>
    </xf>
    <xf numFmtId="0" fontId="0" fillId="6" borderId="26" xfId="0" applyFill="1" applyBorder="1" applyAlignment="1">
      <alignment horizontal="center" vertical="center"/>
    </xf>
    <xf numFmtId="0" fontId="0" fillId="6" borderId="24" xfId="0" applyFill="1" applyBorder="1" applyAlignment="1">
      <alignment horizontal="center" vertical="center"/>
    </xf>
    <xf numFmtId="0" fontId="0" fillId="6" borderId="25" xfId="0" applyFill="1" applyBorder="1">
      <alignment vertical="center"/>
    </xf>
    <xf numFmtId="0" fontId="0" fillId="0" borderId="26" xfId="0" applyBorder="1" applyAlignment="1">
      <alignment horizontal="center" vertical="center"/>
    </xf>
    <xf numFmtId="10" fontId="0" fillId="0" borderId="10" xfId="0" applyNumberFormat="1" applyBorder="1" applyAlignment="1">
      <alignment horizontal="center" vertical="center"/>
    </xf>
    <xf numFmtId="10" fontId="0" fillId="6" borderId="26" xfId="0" applyNumberFormat="1" applyFill="1" applyBorder="1" applyAlignment="1">
      <alignment horizontal="center" vertical="center"/>
    </xf>
    <xf numFmtId="0" fontId="0" fillId="6" borderId="23" xfId="0" applyFill="1" applyBorder="1" applyAlignment="1">
      <alignment horizontal="center" vertical="center"/>
    </xf>
    <xf numFmtId="0" fontId="0" fillId="6" borderId="27" xfId="0" applyFill="1" applyBorder="1">
      <alignment vertical="center"/>
    </xf>
    <xf numFmtId="10" fontId="0" fillId="0" borderId="13" xfId="0" applyNumberFormat="1" applyBorder="1" applyAlignment="1">
      <alignment horizontal="center" vertical="center"/>
    </xf>
    <xf numFmtId="10" fontId="0" fillId="6" borderId="28" xfId="0" applyNumberFormat="1" applyFill="1" applyBorder="1" applyAlignment="1">
      <alignment horizontal="center" vertical="center"/>
    </xf>
    <xf numFmtId="10" fontId="0" fillId="6" borderId="29" xfId="0" applyNumberFormat="1" applyFill="1" applyBorder="1" applyAlignment="1">
      <alignment horizontal="center" vertical="center"/>
    </xf>
    <xf numFmtId="0" fontId="0" fillId="6" borderId="16" xfId="0" applyFill="1" applyBorder="1" applyAlignment="1">
      <alignment horizontal="center" vertical="center"/>
    </xf>
    <xf numFmtId="0" fontId="0" fillId="6" borderId="30" xfId="0" applyFill="1" applyBorder="1" applyAlignment="1">
      <alignment horizontal="center" vertical="center"/>
    </xf>
    <xf numFmtId="179" fontId="0" fillId="0" borderId="16" xfId="0" applyNumberFormat="1" applyBorder="1" applyAlignment="1">
      <alignment horizontal="center" vertical="center"/>
    </xf>
    <xf numFmtId="179" fontId="0" fillId="0" borderId="30" xfId="0" applyNumberFormat="1" applyBorder="1" applyAlignment="1">
      <alignment horizontal="center" vertical="center"/>
    </xf>
    <xf numFmtId="0" fontId="0" fillId="6" borderId="31" xfId="0" applyFill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0" borderId="31" xfId="0" applyBorder="1" applyAlignment="1">
      <alignment horizontal="center" vertical="center"/>
    </xf>
    <xf numFmtId="179" fontId="0" fillId="0" borderId="31" xfId="0" applyNumberFormat="1" applyBorder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0" fontId="0" fillId="0" borderId="31" xfId="0" applyNumberFormat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78" fontId="0" fillId="0" borderId="16" xfId="0" applyNumberFormat="1" applyBorder="1" applyAlignment="1">
      <alignment horizontal="center" vertical="center"/>
    </xf>
    <xf numFmtId="178" fontId="0" fillId="0" borderId="30" xfId="0" applyNumberFormat="1" applyBorder="1" applyAlignment="1">
      <alignment horizontal="center" vertical="center"/>
    </xf>
    <xf numFmtId="180" fontId="0" fillId="0" borderId="0" xfId="11" applyNumberFormat="1" applyBorder="1" applyAlignment="1">
      <alignment horizontal="center" vertical="center"/>
    </xf>
    <xf numFmtId="178" fontId="0" fillId="0" borderId="31" xfId="0" applyNumberFormat="1" applyBorder="1" applyAlignment="1">
      <alignment horizontal="center" vertical="center"/>
    </xf>
    <xf numFmtId="178" fontId="0" fillId="0" borderId="32" xfId="0" applyNumberFormat="1" applyBorder="1" applyAlignment="1">
      <alignment horizontal="center" vertical="center"/>
    </xf>
    <xf numFmtId="178" fontId="0" fillId="0" borderId="33" xfId="0" applyNumberForma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80" fontId="0" fillId="0" borderId="33" xfId="11" applyNumberFormat="1" applyBorder="1" applyAlignment="1">
      <alignment horizontal="center" vertical="center"/>
    </xf>
    <xf numFmtId="49" fontId="0" fillId="4" borderId="34" xfId="0" applyNumberFormat="1" applyFill="1" applyBorder="1" applyAlignment="1">
      <alignment horizontal="center" vertical="top"/>
    </xf>
    <xf numFmtId="10" fontId="0" fillId="6" borderId="35" xfId="0" applyNumberFormat="1" applyFill="1" applyBorder="1" applyAlignment="1">
      <alignment horizontal="center" vertical="center"/>
    </xf>
    <xf numFmtId="0" fontId="0" fillId="6" borderId="36" xfId="0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10" fontId="0" fillId="6" borderId="36" xfId="0" applyNumberFormat="1" applyFill="1" applyBorder="1" applyAlignment="1">
      <alignment horizontal="center" vertical="center"/>
    </xf>
    <xf numFmtId="10" fontId="0" fillId="6" borderId="37" xfId="0" applyNumberFormat="1" applyFill="1" applyBorder="1" applyAlignment="1">
      <alignment horizontal="center" vertical="center"/>
    </xf>
    <xf numFmtId="10" fontId="0" fillId="6" borderId="38" xfId="0" applyNumberFormat="1" applyFill="1" applyBorder="1" applyAlignment="1">
      <alignment horizontal="center" vertical="center"/>
    </xf>
    <xf numFmtId="179" fontId="0" fillId="0" borderId="34" xfId="0" applyNumberFormat="1" applyBorder="1" applyAlignment="1">
      <alignment horizontal="center" vertical="center"/>
    </xf>
    <xf numFmtId="179" fontId="0" fillId="0" borderId="39" xfId="0" applyNumberFormat="1" applyBorder="1" applyAlignment="1">
      <alignment horizontal="center" vertical="center"/>
    </xf>
    <xf numFmtId="10" fontId="0" fillId="0" borderId="39" xfId="0" applyNumberFormat="1" applyBorder="1" applyAlignment="1">
      <alignment horizontal="center" vertical="center"/>
    </xf>
    <xf numFmtId="10" fontId="0" fillId="0" borderId="40" xfId="0" applyNumberFormat="1" applyBorder="1" applyAlignment="1">
      <alignment horizontal="center" vertical="center"/>
    </xf>
    <xf numFmtId="180" fontId="0" fillId="0" borderId="39" xfId="11" applyNumberFormat="1" applyBorder="1" applyAlignment="1">
      <alignment horizontal="center" vertical="center"/>
    </xf>
    <xf numFmtId="180" fontId="0" fillId="0" borderId="40" xfId="11" applyNumberFormat="1" applyBorder="1" applyAlignment="1">
      <alignment horizontal="center" vertical="center"/>
    </xf>
    <xf numFmtId="0" fontId="0" fillId="6" borderId="41" xfId="0" applyFill="1" applyBorder="1">
      <alignment vertical="center"/>
    </xf>
    <xf numFmtId="0" fontId="0" fillId="6" borderId="32" xfId="0" applyFill="1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5" fillId="7" borderId="42" xfId="0" applyFont="1" applyFill="1" applyBorder="1" applyAlignment="1">
      <alignment horizontal="center" vertical="center"/>
    </xf>
    <xf numFmtId="38" fontId="5" fillId="7" borderId="42" xfId="0" applyNumberFormat="1" applyFont="1" applyFill="1" applyBorder="1" applyAlignment="1">
      <alignment horizontal="center" vertical="center"/>
    </xf>
    <xf numFmtId="10" fontId="5" fillId="7" borderId="42" xfId="0" applyNumberFormat="1" applyFont="1" applyFill="1" applyBorder="1" applyAlignment="1">
      <alignment horizontal="center" vertical="center"/>
    </xf>
    <xf numFmtId="178" fontId="6" fillId="0" borderId="15" xfId="0" applyNumberFormat="1" applyFont="1" applyBorder="1" applyAlignment="1">
      <alignment horizontal="center" vertical="center"/>
    </xf>
    <xf numFmtId="0" fontId="7" fillId="7" borderId="43" xfId="0" applyFont="1" applyFill="1" applyBorder="1" applyAlignment="1">
      <alignment horizontal="center" vertical="center"/>
    </xf>
    <xf numFmtId="0" fontId="7" fillId="7" borderId="44" xfId="0" applyFont="1" applyFill="1" applyBorder="1" applyAlignment="1">
      <alignment horizontal="center" vertical="center"/>
    </xf>
    <xf numFmtId="38" fontId="7" fillId="7" borderId="44" xfId="0" applyNumberFormat="1" applyFont="1" applyFill="1" applyBorder="1" applyAlignment="1">
      <alignment horizontal="center" vertical="center"/>
    </xf>
    <xf numFmtId="10" fontId="7" fillId="7" borderId="44" xfId="0" applyNumberFormat="1" applyFont="1" applyFill="1" applyBorder="1" applyAlignment="1">
      <alignment horizontal="center" vertical="center"/>
    </xf>
    <xf numFmtId="178" fontId="6" fillId="0" borderId="15" xfId="0" applyNumberFormat="1" applyFont="1" applyBorder="1">
      <alignment vertical="center"/>
    </xf>
    <xf numFmtId="14" fontId="8" fillId="0" borderId="42" xfId="0" applyNumberFormat="1" applyFont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/>
    </xf>
    <xf numFmtId="38" fontId="9" fillId="0" borderId="15" xfId="0" applyNumberFormat="1" applyFont="1" applyBorder="1" applyAlignment="1">
      <alignment horizontal="center" vertical="center"/>
    </xf>
    <xf numFmtId="10" fontId="8" fillId="0" borderId="15" xfId="0" applyNumberFormat="1" applyFont="1" applyBorder="1" applyAlignment="1">
      <alignment horizontal="center" vertical="center"/>
    </xf>
    <xf numFmtId="38" fontId="8" fillId="0" borderId="15" xfId="0" applyNumberFormat="1" applyFont="1" applyBorder="1" applyAlignment="1">
      <alignment horizontal="center" vertical="center"/>
    </xf>
    <xf numFmtId="179" fontId="9" fillId="0" borderId="15" xfId="0" applyNumberFormat="1" applyFont="1" applyBorder="1">
      <alignment vertical="center"/>
    </xf>
    <xf numFmtId="14" fontId="8" fillId="0" borderId="43" xfId="0" applyNumberFormat="1" applyFont="1" applyBorder="1" applyAlignment="1">
      <alignment horizontal="center" vertical="center" wrapText="1"/>
    </xf>
    <xf numFmtId="14" fontId="8" fillId="0" borderId="44" xfId="0" applyNumberFormat="1" applyFont="1" applyBorder="1" applyAlignment="1">
      <alignment horizontal="center" vertical="center" wrapText="1"/>
    </xf>
    <xf numFmtId="0" fontId="10" fillId="0" borderId="15" xfId="0" applyFont="1" applyBorder="1" applyAlignment="1">
      <alignment horizontal="center" vertical="center"/>
    </xf>
    <xf numFmtId="38" fontId="11" fillId="0" borderId="15" xfId="0" applyNumberFormat="1" applyFont="1" applyBorder="1" applyAlignment="1">
      <alignment horizontal="center" vertical="center"/>
    </xf>
    <xf numFmtId="10" fontId="11" fillId="0" borderId="15" xfId="0" applyNumberFormat="1" applyFont="1" applyBorder="1" applyAlignment="1">
      <alignment horizontal="center" vertical="center"/>
    </xf>
    <xf numFmtId="178" fontId="9" fillId="0" borderId="15" xfId="0" applyNumberFormat="1" applyFont="1" applyBorder="1" applyAlignment="1">
      <alignment horizontal="center" vertical="center"/>
    </xf>
    <xf numFmtId="179" fontId="8" fillId="0" borderId="15" xfId="0" applyNumberFormat="1" applyFont="1" applyBorder="1">
      <alignment vertical="center"/>
    </xf>
    <xf numFmtId="179" fontId="12" fillId="0" borderId="15" xfId="0" applyNumberFormat="1" applyFont="1" applyBorder="1">
      <alignment vertical="center"/>
    </xf>
    <xf numFmtId="179" fontId="13" fillId="0" borderId="15" xfId="0" applyNumberFormat="1" applyFont="1" applyBorder="1">
      <alignment vertical="center"/>
    </xf>
    <xf numFmtId="0" fontId="0" fillId="0" borderId="0" xfId="0" applyAlignment="1"/>
    <xf numFmtId="0" fontId="14" fillId="7" borderId="15" xfId="0" applyFont="1" applyFill="1" applyBorder="1">
      <alignment vertical="center"/>
    </xf>
    <xf numFmtId="38" fontId="14" fillId="7" borderId="15" xfId="0" applyNumberFormat="1" applyFont="1" applyFill="1" applyBorder="1">
      <alignment vertical="center"/>
    </xf>
    <xf numFmtId="10" fontId="14" fillId="7" borderId="15" xfId="0" applyNumberFormat="1" applyFont="1" applyFill="1" applyBorder="1">
      <alignment vertical="center"/>
    </xf>
    <xf numFmtId="0" fontId="14" fillId="7" borderId="15" xfId="0" applyFont="1" applyFill="1" applyBorder="1" applyAlignment="1">
      <alignment horizontal="center" vertical="center"/>
    </xf>
    <xf numFmtId="14" fontId="15" fillId="0" borderId="15" xfId="0" applyNumberFormat="1" applyFont="1" applyBorder="1" applyAlignment="1">
      <alignment vertical="center" wrapText="1"/>
    </xf>
    <xf numFmtId="0" fontId="16" fillId="0" borderId="42" xfId="0" applyFont="1" applyBorder="1">
      <alignment vertical="center"/>
    </xf>
    <xf numFmtId="38" fontId="16" fillId="0" borderId="42" xfId="0" applyNumberFormat="1" applyFont="1" applyBorder="1">
      <alignment vertical="center"/>
    </xf>
    <xf numFmtId="10" fontId="16" fillId="0" borderId="42" xfId="0" applyNumberFormat="1" applyFont="1" applyBorder="1">
      <alignment vertical="center"/>
    </xf>
    <xf numFmtId="0" fontId="17" fillId="8" borderId="15" xfId="0" applyFont="1" applyFill="1" applyBorder="1" applyAlignment="1">
      <alignment horizontal="center" vertical="center"/>
    </xf>
    <xf numFmtId="38" fontId="16" fillId="0" borderId="42" xfId="0" applyNumberFormat="1" applyFont="1" applyBorder="1" applyAlignment="1">
      <alignment vertical="center" wrapText="1"/>
    </xf>
    <xf numFmtId="0" fontId="16" fillId="0" borderId="44" xfId="0" applyFont="1" applyBorder="1">
      <alignment vertical="center"/>
    </xf>
    <xf numFmtId="38" fontId="16" fillId="0" borderId="15" xfId="0" applyNumberFormat="1" applyFont="1" applyBorder="1" applyAlignment="1">
      <alignment vertical="center" wrapText="1"/>
    </xf>
    <xf numFmtId="0" fontId="16" fillId="0" borderId="15" xfId="0" applyFont="1" applyBorder="1">
      <alignment vertical="center"/>
    </xf>
    <xf numFmtId="38" fontId="16" fillId="0" borderId="15" xfId="0" applyNumberFormat="1" applyFont="1" applyBorder="1">
      <alignment vertical="center"/>
    </xf>
    <xf numFmtId="0" fontId="18" fillId="0" borderId="42" xfId="0" applyFont="1" applyBorder="1">
      <alignment vertical="center"/>
    </xf>
    <xf numFmtId="38" fontId="18" fillId="0" borderId="42" xfId="0" applyNumberFormat="1" applyFont="1" applyBorder="1">
      <alignment vertical="center"/>
    </xf>
    <xf numFmtId="10" fontId="18" fillId="0" borderId="42" xfId="0" applyNumberFormat="1" applyFont="1" applyBorder="1">
      <alignment vertical="center"/>
    </xf>
    <xf numFmtId="0" fontId="19" fillId="8" borderId="15" xfId="0" applyFont="1" applyFill="1" applyBorder="1" applyAlignment="1">
      <alignment horizontal="center" vertical="center"/>
    </xf>
    <xf numFmtId="38" fontId="14" fillId="7" borderId="15" xfId="0" applyNumberFormat="1" applyFont="1" applyFill="1" applyBorder="1" applyAlignment="1">
      <alignment horizontal="center" vertical="center"/>
    </xf>
    <xf numFmtId="10" fontId="14" fillId="7" borderId="15" xfId="0" applyNumberFormat="1" applyFont="1" applyFill="1" applyBorder="1" applyAlignment="1">
      <alignment horizontal="center" vertical="center"/>
    </xf>
    <xf numFmtId="38" fontId="17" fillId="8" borderId="15" xfId="0" applyNumberFormat="1" applyFont="1" applyFill="1" applyBorder="1" applyAlignment="1">
      <alignment horizontal="center" vertical="center"/>
    </xf>
    <xf numFmtId="10" fontId="17" fillId="8" borderId="15" xfId="0" applyNumberFormat="1" applyFont="1" applyFill="1" applyBorder="1" applyAlignment="1">
      <alignment horizontal="center" vertical="center"/>
    </xf>
    <xf numFmtId="38" fontId="19" fillId="8" borderId="15" xfId="0" applyNumberFormat="1" applyFont="1" applyFill="1" applyBorder="1" applyAlignment="1">
      <alignment horizontal="center" vertical="center"/>
    </xf>
    <xf numFmtId="10" fontId="19" fillId="8" borderId="15" xfId="0" applyNumberFormat="1" applyFont="1" applyFill="1" applyBorder="1" applyAlignment="1">
      <alignment horizontal="center" vertical="center"/>
    </xf>
    <xf numFmtId="14" fontId="8" fillId="0" borderId="42" xfId="0" applyNumberFormat="1" applyFont="1" applyBorder="1" applyAlignment="1">
      <alignment vertical="center" wrapText="1"/>
    </xf>
    <xf numFmtId="0" fontId="20" fillId="8" borderId="15" xfId="0" applyFont="1" applyFill="1" applyBorder="1" applyAlignment="1">
      <alignment horizontal="center" vertical="center"/>
    </xf>
    <xf numFmtId="38" fontId="8" fillId="0" borderId="15" xfId="0" applyNumberFormat="1" applyFont="1" applyBorder="1" applyAlignment="1">
      <alignment horizontal="center" vertical="center" wrapText="1"/>
    </xf>
    <xf numFmtId="0" fontId="21" fillId="8" borderId="15" xfId="0" applyFont="1" applyFill="1" applyBorder="1" applyAlignment="1">
      <alignment horizontal="center" vertical="center"/>
    </xf>
    <xf numFmtId="14" fontId="8" fillId="0" borderId="15" xfId="0" applyNumberFormat="1" applyFont="1" applyBorder="1" applyAlignment="1">
      <alignment vertical="center" wrapText="1"/>
    </xf>
    <xf numFmtId="0" fontId="22" fillId="8" borderId="15" xfId="0" applyFont="1" applyFill="1" applyBorder="1" applyAlignment="1">
      <alignment horizontal="center" vertical="center"/>
    </xf>
    <xf numFmtId="0" fontId="23" fillId="8" borderId="15" xfId="0" applyFont="1" applyFill="1" applyBorder="1" applyAlignment="1">
      <alignment horizontal="center" vertical="center"/>
    </xf>
    <xf numFmtId="0" fontId="24" fillId="8" borderId="15" xfId="0" applyFont="1" applyFill="1" applyBorder="1" applyAlignment="1">
      <alignment horizontal="center" vertical="center"/>
    </xf>
    <xf numFmtId="38" fontId="20" fillId="8" borderId="15" xfId="0" applyNumberFormat="1" applyFont="1" applyFill="1" applyBorder="1" applyAlignment="1">
      <alignment horizontal="center" vertical="center"/>
    </xf>
    <xf numFmtId="10" fontId="20" fillId="8" borderId="15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left" vertical="center"/>
    </xf>
    <xf numFmtId="0" fontId="0" fillId="0" borderId="0" xfId="0" applyAlignment="1">
      <alignment horizontal="left" vertical="center"/>
    </xf>
    <xf numFmtId="38" fontId="21" fillId="8" borderId="15" xfId="0" applyNumberFormat="1" applyFont="1" applyFill="1" applyBorder="1" applyAlignment="1">
      <alignment horizontal="center" vertical="center"/>
    </xf>
    <xf numFmtId="10" fontId="21" fillId="8" borderId="15" xfId="0" applyNumberFormat="1" applyFont="1" applyFill="1" applyBorder="1" applyAlignment="1">
      <alignment horizontal="center" vertical="center"/>
    </xf>
    <xf numFmtId="38" fontId="22" fillId="8" borderId="15" xfId="0" applyNumberFormat="1" applyFont="1" applyFill="1" applyBorder="1" applyAlignment="1">
      <alignment horizontal="center" vertical="center"/>
    </xf>
    <xf numFmtId="10" fontId="22" fillId="8" borderId="15" xfId="0" applyNumberFormat="1" applyFont="1" applyFill="1" applyBorder="1" applyAlignment="1">
      <alignment horizontal="center" vertical="center"/>
    </xf>
    <xf numFmtId="38" fontId="23" fillId="8" borderId="15" xfId="0" applyNumberFormat="1" applyFont="1" applyFill="1" applyBorder="1" applyAlignment="1">
      <alignment horizontal="center" vertical="center"/>
    </xf>
    <xf numFmtId="10" fontId="23" fillId="8" borderId="15" xfId="0" applyNumberFormat="1" applyFont="1" applyFill="1" applyBorder="1" applyAlignment="1">
      <alignment horizontal="center" vertical="center"/>
    </xf>
    <xf numFmtId="14" fontId="0" fillId="0" borderId="0" xfId="0" applyNumberFormat="1">
      <alignment vertical="center"/>
    </xf>
    <xf numFmtId="38" fontId="24" fillId="8" borderId="15" xfId="0" applyNumberFormat="1" applyFont="1" applyFill="1" applyBorder="1" applyAlignment="1">
      <alignment horizontal="center" vertical="center"/>
    </xf>
    <xf numFmtId="10" fontId="24" fillId="8" borderId="15" xfId="0" applyNumberFormat="1" applyFont="1" applyFill="1" applyBorder="1" applyAlignment="1">
      <alignment horizontal="center" vertical="center"/>
    </xf>
    <xf numFmtId="0" fontId="0" fillId="0" borderId="45" xfId="0" applyBorder="1" applyAlignment="1">
      <alignment horizontal="left" vertical="center"/>
    </xf>
    <xf numFmtId="14" fontId="0" fillId="0" borderId="45" xfId="0" applyNumberFormat="1" applyBorder="1">
      <alignment vertical="center"/>
    </xf>
    <xf numFmtId="10" fontId="23" fillId="8" borderId="46" xfId="0" applyNumberFormat="1" applyFont="1" applyFill="1" applyBorder="1" applyAlignment="1">
      <alignment horizontal="center" vertical="center"/>
    </xf>
    <xf numFmtId="10" fontId="24" fillId="8" borderId="46" xfId="0" applyNumberFormat="1" applyFont="1" applyFill="1" applyBorder="1" applyAlignment="1">
      <alignment horizontal="center" vertical="center"/>
    </xf>
    <xf numFmtId="181" fontId="0" fillId="0" borderId="0" xfId="0" applyNumberFormat="1">
      <alignment vertical="center"/>
    </xf>
    <xf numFmtId="181" fontId="0" fillId="0" borderId="0" xfId="0" applyNumberFormat="1" applyAlignment="1">
      <alignment vertical="center" wrapText="1"/>
    </xf>
    <xf numFmtId="14" fontId="8" fillId="0" borderId="43" xfId="0" applyNumberFormat="1" applyFont="1" applyBorder="1" applyAlignment="1">
      <alignment vertical="center" wrapText="1"/>
    </xf>
    <xf numFmtId="14" fontId="8" fillId="0" borderId="44" xfId="0" applyNumberFormat="1" applyFont="1" applyBorder="1" applyAlignment="1">
      <alignment vertical="center" wrapText="1"/>
    </xf>
    <xf numFmtId="0" fontId="25" fillId="9" borderId="0" xfId="0" applyFont="1" applyFill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 wrapText="1" readingOrder="1"/>
    </xf>
    <xf numFmtId="0" fontId="26" fillId="10" borderId="0" xfId="0" applyFont="1" applyFill="1" applyAlignment="1">
      <alignment horizontal="center" vertical="center"/>
    </xf>
    <xf numFmtId="49" fontId="26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29" fillId="0" borderId="0" xfId="0" applyFont="1" applyAlignment="1">
      <alignment horizontal="center" vertical="center" wrapText="1" readingOrder="1"/>
    </xf>
    <xf numFmtId="0" fontId="29" fillId="0" borderId="47" xfId="0" applyFont="1" applyBorder="1" applyAlignment="1">
      <alignment horizontal="center" vertical="center" wrapText="1" readingOrder="1"/>
    </xf>
    <xf numFmtId="0" fontId="30" fillId="0" borderId="0" xfId="0" applyFont="1" applyAlignment="1">
      <alignment horizontal="center" vertical="center"/>
    </xf>
    <xf numFmtId="0" fontId="29" fillId="11" borderId="47" xfId="0" applyFont="1" applyFill="1" applyBorder="1" applyAlignment="1">
      <alignment horizontal="center" vertical="center" wrapText="1" readingOrder="1"/>
    </xf>
    <xf numFmtId="0" fontId="29" fillId="0" borderId="0" xfId="0" applyFont="1" applyAlignment="1">
      <alignment horizontal="center" vertical="center"/>
    </xf>
    <xf numFmtId="0" fontId="29" fillId="10" borderId="47" xfId="0" applyFont="1" applyFill="1" applyBorder="1" applyAlignment="1">
      <alignment horizontal="center" vertical="center" wrapText="1" readingOrder="1"/>
    </xf>
    <xf numFmtId="0" fontId="29" fillId="12" borderId="47" xfId="0" applyFont="1" applyFill="1" applyBorder="1" applyAlignment="1">
      <alignment horizontal="center" vertical="center" wrapText="1" readingOrder="1"/>
    </xf>
    <xf numFmtId="0" fontId="31" fillId="0" borderId="0" xfId="0" applyFont="1" applyAlignment="1">
      <alignment horizontal="center" vertical="center"/>
    </xf>
    <xf numFmtId="0" fontId="32" fillId="0" borderId="47" xfId="0" applyFont="1" applyBorder="1" applyAlignment="1">
      <alignment horizontal="center" vertical="center" wrapText="1" readingOrder="1"/>
    </xf>
    <xf numFmtId="0" fontId="33" fillId="0" borderId="0" xfId="0" applyFont="1" applyAlignment="1">
      <alignment horizontal="center" vertical="center"/>
    </xf>
    <xf numFmtId="0" fontId="32" fillId="13" borderId="47" xfId="0" applyFont="1" applyFill="1" applyBorder="1" applyAlignment="1">
      <alignment horizontal="center" vertical="center" wrapText="1" readingOrder="1"/>
    </xf>
    <xf numFmtId="0" fontId="34" fillId="0" borderId="0" xfId="0" applyFont="1">
      <alignment vertical="center"/>
    </xf>
    <xf numFmtId="0" fontId="35" fillId="0" borderId="0" xfId="0" applyFont="1">
      <alignment vertical="center"/>
    </xf>
    <xf numFmtId="0" fontId="30" fillId="0" borderId="0" xfId="0" applyFont="1">
      <alignment vertical="center"/>
    </xf>
    <xf numFmtId="58" fontId="36" fillId="0" borderId="44" xfId="0" applyNumberFormat="1" applyFont="1" applyBorder="1">
      <alignment vertical="center"/>
    </xf>
    <xf numFmtId="0" fontId="37" fillId="0" borderId="0" xfId="0" applyFont="1">
      <alignment vertical="center"/>
    </xf>
    <xf numFmtId="0" fontId="35" fillId="0" borderId="0" xfId="0" applyFont="1" applyAlignment="1"/>
    <xf numFmtId="0" fontId="0" fillId="0" borderId="0" xfId="50" applyAlignment="1">
      <alignment vertical="center"/>
    </xf>
    <xf numFmtId="0" fontId="38" fillId="0" borderId="0" xfId="0" applyFont="1">
      <alignment vertical="center"/>
    </xf>
    <xf numFmtId="0" fontId="0" fillId="0" borderId="0" xfId="51">
      <alignment vertical="center"/>
    </xf>
    <xf numFmtId="0" fontId="0" fillId="0" borderId="0" xfId="13">
      <alignment vertical="center"/>
    </xf>
    <xf numFmtId="14" fontId="15" fillId="0" borderId="15" xfId="0" applyNumberFormat="1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/>
    </xf>
    <xf numFmtId="38" fontId="16" fillId="0" borderId="42" xfId="0" applyNumberFormat="1" applyFont="1" applyBorder="1" applyAlignment="1">
      <alignment horizontal="center" vertical="center"/>
    </xf>
    <xf numFmtId="10" fontId="16" fillId="0" borderId="42" xfId="0" applyNumberFormat="1" applyFont="1" applyBorder="1" applyAlignment="1">
      <alignment horizontal="center" vertical="center"/>
    </xf>
    <xf numFmtId="38" fontId="16" fillId="0" borderId="42" xfId="0" applyNumberFormat="1" applyFont="1" applyBorder="1" applyAlignment="1">
      <alignment horizontal="center" vertical="center" wrapText="1"/>
    </xf>
    <xf numFmtId="0" fontId="16" fillId="0" borderId="44" xfId="0" applyFont="1" applyBorder="1" applyAlignment="1">
      <alignment horizontal="center" vertical="center"/>
    </xf>
    <xf numFmtId="38" fontId="16" fillId="0" borderId="15" xfId="0" applyNumberFormat="1" applyFont="1" applyBorder="1" applyAlignment="1">
      <alignment horizontal="center" vertical="center" wrapText="1"/>
    </xf>
    <xf numFmtId="0" fontId="16" fillId="0" borderId="15" xfId="0" applyFont="1" applyBorder="1" applyAlignment="1">
      <alignment horizontal="center" vertical="center"/>
    </xf>
    <xf numFmtId="38" fontId="16" fillId="0" borderId="15" xfId="0" applyNumberFormat="1" applyFont="1" applyBorder="1" applyAlignment="1">
      <alignment horizontal="center" vertical="center"/>
    </xf>
    <xf numFmtId="0" fontId="18" fillId="0" borderId="42" xfId="0" applyFont="1" applyBorder="1" applyAlignment="1">
      <alignment horizontal="center" vertical="center"/>
    </xf>
    <xf numFmtId="38" fontId="18" fillId="0" borderId="42" xfId="0" applyNumberFormat="1" applyFont="1" applyBorder="1" applyAlignment="1">
      <alignment horizontal="center" vertical="center"/>
    </xf>
    <xf numFmtId="10" fontId="18" fillId="0" borderId="42" xfId="0" applyNumberFormat="1" applyFont="1" applyBorder="1" applyAlignment="1">
      <alignment horizontal="center" vertical="center"/>
    </xf>
    <xf numFmtId="14" fontId="8" fillId="0" borderId="15" xfId="0" applyNumberFormat="1" applyFont="1" applyBorder="1" applyAlignment="1">
      <alignment horizontal="center" vertical="center" wrapText="1"/>
    </xf>
    <xf numFmtId="179" fontId="9" fillId="0" borderId="15" xfId="0" applyNumberFormat="1" applyFont="1" applyBorder="1" applyAlignment="1">
      <alignment horizontal="center" vertical="center"/>
    </xf>
    <xf numFmtId="14" fontId="8" fillId="0" borderId="42" xfId="0" applyNumberFormat="1" applyFont="1" applyBorder="1" applyAlignment="1">
      <alignment horizontal="center" vertical="center"/>
    </xf>
    <xf numFmtId="9" fontId="0" fillId="0" borderId="0" xfId="11">
      <alignment vertical="center"/>
    </xf>
    <xf numFmtId="38" fontId="39" fillId="0" borderId="15" xfId="0" applyNumberFormat="1" applyFont="1" applyBorder="1" applyAlignment="1">
      <alignment horizontal="center" vertical="center"/>
    </xf>
    <xf numFmtId="0" fontId="39" fillId="0" borderId="15" xfId="0" applyFont="1" applyBorder="1" applyAlignment="1">
      <alignment horizontal="center" vertical="center"/>
    </xf>
    <xf numFmtId="38" fontId="39" fillId="0" borderId="15" xfId="0" applyNumberFormat="1" applyFont="1" applyBorder="1" applyAlignment="1">
      <alignment horizontal="center" vertical="center" wrapText="1"/>
    </xf>
    <xf numFmtId="179" fontId="8" fillId="0" borderId="15" xfId="0" applyNumberFormat="1" applyFont="1" applyBorder="1" applyAlignment="1">
      <alignment horizontal="center" vertical="center"/>
    </xf>
    <xf numFmtId="179" fontId="12" fillId="0" borderId="15" xfId="0" applyNumberFormat="1" applyFont="1" applyBorder="1" applyAlignment="1">
      <alignment horizontal="center" vertical="center"/>
    </xf>
    <xf numFmtId="179" fontId="9" fillId="0" borderId="15" xfId="0" applyNumberFormat="1" applyFont="1" applyBorder="1" applyAlignment="1">
      <alignment vertical="center"/>
    </xf>
    <xf numFmtId="179" fontId="8" fillId="0" borderId="15" xfId="0" applyNumberFormat="1" applyFont="1" applyBorder="1" applyAlignment="1">
      <alignment vertical="center"/>
    </xf>
    <xf numFmtId="179" fontId="13" fillId="0" borderId="15" xfId="0" applyNumberFormat="1" applyFont="1" applyBorder="1" applyAlignment="1">
      <alignment vertical="center"/>
    </xf>
    <xf numFmtId="179" fontId="12" fillId="0" borderId="15" xfId="0" applyNumberFormat="1" applyFont="1" applyBorder="1" applyAlignment="1">
      <alignment vertical="center"/>
    </xf>
    <xf numFmtId="14" fontId="8" fillId="0" borderId="42" xfId="0" applyNumberFormat="1" applyFont="1" applyBorder="1" applyAlignment="1">
      <alignment vertical="center"/>
    </xf>
    <xf numFmtId="0" fontId="8" fillId="0" borderId="15" xfId="0" applyFont="1" applyBorder="1" applyAlignment="1">
      <alignment vertical="center"/>
    </xf>
    <xf numFmtId="38" fontId="39" fillId="0" borderId="15" xfId="0" applyNumberFormat="1" applyFont="1" applyBorder="1" applyAlignment="1">
      <alignment vertical="center"/>
    </xf>
    <xf numFmtId="0" fontId="39" fillId="0" borderId="15" xfId="0" applyFont="1" applyBorder="1" applyAlignment="1">
      <alignment vertical="center"/>
    </xf>
    <xf numFmtId="10" fontId="8" fillId="0" borderId="15" xfId="0" applyNumberFormat="1" applyFont="1" applyBorder="1" applyAlignment="1">
      <alignment vertical="center"/>
    </xf>
    <xf numFmtId="38" fontId="8" fillId="0" borderId="15" xfId="0" applyNumberFormat="1" applyFont="1" applyBorder="1" applyAlignment="1">
      <alignment vertical="center"/>
    </xf>
    <xf numFmtId="38" fontId="39" fillId="0" borderId="15" xfId="0" applyNumberFormat="1" applyFont="1" applyBorder="1" applyAlignment="1">
      <alignment vertical="center" wrapText="1"/>
    </xf>
    <xf numFmtId="38" fontId="8" fillId="0" borderId="15" xfId="0" applyNumberFormat="1" applyFont="1" applyBorder="1" applyAlignment="1">
      <alignment vertical="center" wrapText="1"/>
    </xf>
    <xf numFmtId="0" fontId="10" fillId="0" borderId="15" xfId="0" applyFont="1" applyBorder="1" applyAlignment="1">
      <alignment vertical="center"/>
    </xf>
    <xf numFmtId="38" fontId="11" fillId="0" borderId="15" xfId="0" applyNumberFormat="1" applyFont="1" applyBorder="1" applyAlignment="1">
      <alignment vertical="center"/>
    </xf>
    <xf numFmtId="10" fontId="11" fillId="0" borderId="15" xfId="0" applyNumberFormat="1" applyFont="1" applyBorder="1" applyAlignment="1">
      <alignment vertical="center"/>
    </xf>
    <xf numFmtId="9" fontId="8" fillId="0" borderId="15" xfId="0" applyNumberFormat="1" applyFont="1" applyBorder="1" applyAlignment="1">
      <alignment horizontal="center" vertical="center"/>
    </xf>
    <xf numFmtId="178" fontId="14" fillId="14" borderId="48" xfId="0" applyNumberFormat="1" applyFont="1" applyFill="1" applyBorder="1" applyAlignment="1">
      <alignment horizontal="center" vertical="top"/>
    </xf>
    <xf numFmtId="0" fontId="0" fillId="6" borderId="17" xfId="0" applyFill="1" applyBorder="1" applyAlignment="1">
      <alignment horizontal="center" vertical="center"/>
    </xf>
    <xf numFmtId="49" fontId="0" fillId="6" borderId="18" xfId="0" applyNumberFormat="1" applyFill="1" applyBorder="1" applyAlignment="1">
      <alignment horizontal="center" vertical="top"/>
    </xf>
    <xf numFmtId="0" fontId="0" fillId="6" borderId="24" xfId="0" applyFill="1" applyBorder="1">
      <alignment vertical="center"/>
    </xf>
    <xf numFmtId="10" fontId="0" fillId="6" borderId="26" xfId="0" applyNumberFormat="1" applyFill="1" applyBorder="1">
      <alignment vertical="center"/>
    </xf>
    <xf numFmtId="0" fontId="0" fillId="0" borderId="24" xfId="0" applyBorder="1">
      <alignment vertical="center"/>
    </xf>
    <xf numFmtId="0" fontId="0" fillId="6" borderId="26" xfId="0" applyFill="1" applyBorder="1">
      <alignment vertical="center"/>
    </xf>
    <xf numFmtId="0" fontId="0" fillId="0" borderId="26" xfId="0" applyBorder="1">
      <alignment vertical="center"/>
    </xf>
    <xf numFmtId="0" fontId="0" fillId="6" borderId="23" xfId="0" applyFill="1" applyBorder="1">
      <alignment vertical="center"/>
    </xf>
    <xf numFmtId="10" fontId="0" fillId="6" borderId="28" xfId="0" applyNumberFormat="1" applyFill="1" applyBorder="1">
      <alignment vertical="center"/>
    </xf>
    <xf numFmtId="0" fontId="0" fillId="6" borderId="49" xfId="0" applyFill="1" applyBorder="1">
      <alignment vertical="center"/>
    </xf>
    <xf numFmtId="0" fontId="0" fillId="6" borderId="50" xfId="0" applyFill="1" applyBorder="1">
      <alignment vertical="center"/>
    </xf>
    <xf numFmtId="10" fontId="0" fillId="6" borderId="51" xfId="0" applyNumberFormat="1" applyFill="1" applyBorder="1">
      <alignment vertical="center"/>
    </xf>
    <xf numFmtId="0" fontId="0" fillId="6" borderId="28" xfId="0" applyFill="1" applyBorder="1">
      <alignment vertical="center"/>
    </xf>
    <xf numFmtId="49" fontId="0" fillId="6" borderId="34" xfId="0" applyNumberFormat="1" applyFill="1" applyBorder="1" applyAlignment="1">
      <alignment horizontal="center" vertical="top"/>
    </xf>
    <xf numFmtId="10" fontId="0" fillId="6" borderId="36" xfId="0" applyNumberFormat="1" applyFill="1" applyBorder="1">
      <alignment vertical="center"/>
    </xf>
    <xf numFmtId="0" fontId="0" fillId="6" borderId="36" xfId="0" applyFill="1" applyBorder="1">
      <alignment vertical="center"/>
    </xf>
    <xf numFmtId="0" fontId="0" fillId="0" borderId="36" xfId="0" applyBorder="1">
      <alignment vertical="center"/>
    </xf>
    <xf numFmtId="10" fontId="0" fillId="6" borderId="37" xfId="0" applyNumberFormat="1" applyFill="1" applyBorder="1">
      <alignment vertical="center"/>
    </xf>
    <xf numFmtId="10" fontId="0" fillId="6" borderId="52" xfId="0" applyNumberFormat="1" applyFill="1" applyBorder="1">
      <alignment vertical="center"/>
    </xf>
    <xf numFmtId="0" fontId="0" fillId="6" borderId="37" xfId="0" applyFill="1" applyBorder="1">
      <alignment vertical="center"/>
    </xf>
    <xf numFmtId="180" fontId="0" fillId="0" borderId="10" xfId="0" applyNumberFormat="1" applyBorder="1">
      <alignment vertical="center"/>
    </xf>
    <xf numFmtId="178" fontId="14" fillId="14" borderId="53" xfId="0" applyNumberFormat="1" applyFont="1" applyFill="1" applyBorder="1" applyAlignment="1">
      <alignment horizontal="center" vertical="top"/>
    </xf>
    <xf numFmtId="0" fontId="0" fillId="15" borderId="16" xfId="0" applyFill="1" applyBorder="1" applyAlignment="1">
      <alignment horizontal="center" vertical="center"/>
    </xf>
    <xf numFmtId="0" fontId="0" fillId="15" borderId="54" xfId="0" applyFill="1" applyBorder="1" applyAlignment="1">
      <alignment horizontal="center" vertical="center"/>
    </xf>
    <xf numFmtId="49" fontId="0" fillId="15" borderId="18" xfId="0" applyNumberFormat="1" applyFill="1" applyBorder="1" applyAlignment="1">
      <alignment horizontal="center" vertical="top"/>
    </xf>
    <xf numFmtId="0" fontId="0" fillId="15" borderId="55" xfId="0" applyFill="1" applyBorder="1">
      <alignment vertical="center"/>
    </xf>
    <xf numFmtId="0" fontId="0" fillId="15" borderId="56" xfId="0" applyFill="1" applyBorder="1">
      <alignment vertical="center"/>
    </xf>
    <xf numFmtId="10" fontId="0" fillId="15" borderId="57" xfId="0" applyNumberFormat="1" applyFill="1" applyBorder="1">
      <alignment vertical="center"/>
    </xf>
    <xf numFmtId="0" fontId="0" fillId="0" borderId="55" xfId="0" applyBorder="1">
      <alignment vertical="center"/>
    </xf>
    <xf numFmtId="0" fontId="0" fillId="0" borderId="56" xfId="0" applyBorder="1">
      <alignment vertical="center"/>
    </xf>
    <xf numFmtId="0" fontId="0" fillId="15" borderId="57" xfId="0" applyFill="1" applyBorder="1">
      <alignment vertical="center"/>
    </xf>
    <xf numFmtId="0" fontId="0" fillId="0" borderId="57" xfId="0" applyBorder="1">
      <alignment vertical="center"/>
    </xf>
    <xf numFmtId="0" fontId="0" fillId="15" borderId="58" xfId="0" applyFill="1" applyBorder="1">
      <alignment vertical="center"/>
    </xf>
    <xf numFmtId="0" fontId="0" fillId="15" borderId="59" xfId="0" applyFill="1" applyBorder="1">
      <alignment vertical="center"/>
    </xf>
    <xf numFmtId="10" fontId="0" fillId="15" borderId="60" xfId="0" applyNumberFormat="1" applyFill="1" applyBorder="1">
      <alignment vertical="center"/>
    </xf>
    <xf numFmtId="0" fontId="0" fillId="15" borderId="61" xfId="0" applyFill="1" applyBorder="1">
      <alignment vertical="center"/>
    </xf>
    <xf numFmtId="0" fontId="0" fillId="15" borderId="62" xfId="0" applyFill="1" applyBorder="1">
      <alignment vertical="center"/>
    </xf>
    <xf numFmtId="10" fontId="0" fillId="15" borderId="63" xfId="0" applyNumberFormat="1" applyFill="1" applyBorder="1">
      <alignment vertical="center"/>
    </xf>
    <xf numFmtId="49" fontId="0" fillId="15" borderId="34" xfId="0" applyNumberFormat="1" applyFill="1" applyBorder="1" applyAlignment="1">
      <alignment horizontal="center" vertical="top"/>
    </xf>
    <xf numFmtId="10" fontId="0" fillId="15" borderId="64" xfId="0" applyNumberFormat="1" applyFill="1" applyBorder="1">
      <alignment vertical="center"/>
    </xf>
    <xf numFmtId="0" fontId="0" fillId="15" borderId="64" xfId="0" applyFill="1" applyBorder="1">
      <alignment vertical="center"/>
    </xf>
    <xf numFmtId="0" fontId="0" fillId="0" borderId="64" xfId="0" applyBorder="1">
      <alignment vertical="center"/>
    </xf>
    <xf numFmtId="10" fontId="0" fillId="15" borderId="65" xfId="0" applyNumberFormat="1" applyFill="1" applyBorder="1">
      <alignment vertical="center"/>
    </xf>
    <xf numFmtId="10" fontId="0" fillId="15" borderId="66" xfId="0" applyNumberFormat="1" applyFill="1" applyBorder="1">
      <alignment vertical="center"/>
    </xf>
    <xf numFmtId="0" fontId="0" fillId="15" borderId="60" xfId="0" applyFill="1" applyBorder="1">
      <alignment vertical="center"/>
    </xf>
    <xf numFmtId="0" fontId="0" fillId="15" borderId="65" xfId="0" applyFill="1" applyBorder="1">
      <alignment vertical="center"/>
    </xf>
    <xf numFmtId="9" fontId="0" fillId="0" borderId="10" xfId="0" applyNumberFormat="1" applyBorder="1" applyAlignment="1">
      <alignment horizontal="center" vertical="center"/>
    </xf>
    <xf numFmtId="10" fontId="0" fillId="15" borderId="57" xfId="0" applyNumberFormat="1" applyFill="1" applyBorder="1" applyAlignment="1">
      <alignment horizontal="center" vertical="center"/>
    </xf>
    <xf numFmtId="10" fontId="0" fillId="0" borderId="26" xfId="0" applyNumberFormat="1" applyBorder="1">
      <alignment vertical="center"/>
    </xf>
    <xf numFmtId="10" fontId="0" fillId="0" borderId="7" xfId="0" applyNumberFormat="1" applyFill="1" applyBorder="1" applyAlignment="1">
      <alignment vertical="center"/>
    </xf>
    <xf numFmtId="0" fontId="0" fillId="15" borderId="55" xfId="0" applyFill="1" applyBorder="1" applyAlignment="1">
      <alignment vertical="center"/>
    </xf>
    <xf numFmtId="0" fontId="0" fillId="15" borderId="56" xfId="0" applyFill="1" applyBorder="1" applyAlignment="1">
      <alignment vertical="center"/>
    </xf>
    <xf numFmtId="10" fontId="0" fillId="0" borderId="10" xfId="0" applyNumberFormat="1" applyFill="1" applyBorder="1" applyAlignment="1">
      <alignment vertical="center"/>
    </xf>
    <xf numFmtId="10" fontId="0" fillId="15" borderId="57" xfId="0" applyNumberFormat="1" applyFill="1" applyBorder="1" applyAlignment="1">
      <alignment vertical="center"/>
    </xf>
    <xf numFmtId="0" fontId="0" fillId="0" borderId="55" xfId="0" applyFill="1" applyBorder="1" applyAlignment="1">
      <alignment vertical="center"/>
    </xf>
    <xf numFmtId="0" fontId="0" fillId="0" borderId="56" xfId="0" applyFill="1" applyBorder="1" applyAlignment="1">
      <alignment vertical="center"/>
    </xf>
    <xf numFmtId="0" fontId="0" fillId="0" borderId="10" xfId="0" applyFill="1" applyBorder="1" applyAlignment="1">
      <alignment vertical="center"/>
    </xf>
    <xf numFmtId="0" fontId="0" fillId="15" borderId="57" xfId="0" applyFill="1" applyBorder="1" applyAlignment="1">
      <alignment vertical="center"/>
    </xf>
    <xf numFmtId="0" fontId="0" fillId="0" borderId="57" xfId="0" applyFill="1" applyBorder="1" applyAlignment="1">
      <alignment vertical="center"/>
    </xf>
    <xf numFmtId="0" fontId="0" fillId="15" borderId="58" xfId="0" applyFill="1" applyBorder="1" applyAlignment="1">
      <alignment vertical="center"/>
    </xf>
    <xf numFmtId="0" fontId="0" fillId="15" borderId="59" xfId="0" applyFill="1" applyBorder="1" applyAlignment="1">
      <alignment vertical="center"/>
    </xf>
    <xf numFmtId="10" fontId="0" fillId="0" borderId="13" xfId="0" applyNumberFormat="1" applyFill="1" applyBorder="1" applyAlignment="1">
      <alignment vertical="center"/>
    </xf>
    <xf numFmtId="10" fontId="0" fillId="15" borderId="60" xfId="0" applyNumberFormat="1" applyFill="1" applyBorder="1" applyAlignment="1">
      <alignment vertical="center"/>
    </xf>
    <xf numFmtId="0" fontId="0" fillId="15" borderId="61" xfId="0" applyFill="1" applyBorder="1" applyAlignment="1">
      <alignment vertical="center"/>
    </xf>
    <xf numFmtId="0" fontId="0" fillId="15" borderId="62" xfId="0" applyFill="1" applyBorder="1" applyAlignment="1">
      <alignment vertical="center"/>
    </xf>
    <xf numFmtId="10" fontId="0" fillId="15" borderId="63" xfId="0" applyNumberFormat="1" applyFill="1" applyBorder="1" applyAlignment="1">
      <alignment vertical="center"/>
    </xf>
    <xf numFmtId="10" fontId="0" fillId="15" borderId="64" xfId="0" applyNumberFormat="1" applyFill="1" applyBorder="1" applyAlignment="1">
      <alignment vertical="center"/>
    </xf>
    <xf numFmtId="0" fontId="0" fillId="15" borderId="64" xfId="0" applyFill="1" applyBorder="1" applyAlignment="1">
      <alignment vertical="center"/>
    </xf>
    <xf numFmtId="0" fontId="0" fillId="0" borderId="64" xfId="0" applyFill="1" applyBorder="1" applyAlignment="1">
      <alignment vertical="center"/>
    </xf>
    <xf numFmtId="10" fontId="0" fillId="15" borderId="65" xfId="0" applyNumberFormat="1" applyFill="1" applyBorder="1" applyAlignment="1">
      <alignment vertical="center"/>
    </xf>
    <xf numFmtId="10" fontId="0" fillId="15" borderId="66" xfId="0" applyNumberFormat="1" applyFill="1" applyBorder="1" applyAlignment="1">
      <alignment vertical="center"/>
    </xf>
    <xf numFmtId="179" fontId="0" fillId="0" borderId="10" xfId="0" applyNumberFormat="1" applyBorder="1">
      <alignment vertical="center"/>
    </xf>
    <xf numFmtId="179" fontId="0" fillId="6" borderId="26" xfId="0" applyNumberFormat="1" applyFill="1" applyBorder="1">
      <alignment vertical="center"/>
    </xf>
    <xf numFmtId="179" fontId="0" fillId="6" borderId="36" xfId="0" applyNumberFormat="1" applyFill="1" applyBorder="1">
      <alignment vertical="center"/>
    </xf>
    <xf numFmtId="179" fontId="0" fillId="15" borderId="57" xfId="0" applyNumberFormat="1" applyFill="1" applyBorder="1">
      <alignment vertical="center"/>
    </xf>
    <xf numFmtId="179" fontId="0" fillId="15" borderId="64" xfId="0" applyNumberFormat="1" applyFill="1" applyBorder="1">
      <alignment vertical="center"/>
    </xf>
    <xf numFmtId="0" fontId="0" fillId="0" borderId="0" xfId="0" applyFill="1" applyAlignment="1">
      <alignment vertical="center"/>
    </xf>
    <xf numFmtId="22" fontId="0" fillId="0" borderId="0" xfId="0" applyNumberFormat="1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0" fillId="10" borderId="0" xfId="0" applyFill="1">
      <alignment vertical="center"/>
    </xf>
    <xf numFmtId="178" fontId="0" fillId="0" borderId="0" xfId="0" applyNumberFormat="1">
      <alignment vertical="center"/>
    </xf>
    <xf numFmtId="22" fontId="0" fillId="0" borderId="0" xfId="0" applyNumberFormat="1">
      <alignment vertical="center"/>
    </xf>
    <xf numFmtId="11" fontId="0" fillId="0" borderId="0" xfId="0" applyNumberFormat="1">
      <alignment vertical="center"/>
    </xf>
    <xf numFmtId="17" fontId="0" fillId="0" borderId="0" xfId="0" applyNumberFormat="1">
      <alignment vertical="center"/>
    </xf>
    <xf numFmtId="0" fontId="40" fillId="10" borderId="0" xfId="0" applyFont="1" applyFill="1">
      <alignment vertical="center"/>
    </xf>
    <xf numFmtId="0" fontId="0" fillId="6" borderId="67" xfId="0" applyFill="1" applyBorder="1" applyAlignment="1">
      <alignment horizontal="center" vertical="center"/>
    </xf>
    <xf numFmtId="49" fontId="0" fillId="6" borderId="67" xfId="0" applyNumberFormat="1" applyFill="1" applyBorder="1" applyAlignment="1">
      <alignment horizontal="center" vertical="top"/>
    </xf>
    <xf numFmtId="0" fontId="0" fillId="0" borderId="68" xfId="0" applyBorder="1">
      <alignment vertical="center"/>
    </xf>
    <xf numFmtId="0" fontId="0" fillId="6" borderId="68" xfId="0" applyFill="1" applyBorder="1">
      <alignment vertical="center"/>
    </xf>
    <xf numFmtId="10" fontId="0" fillId="0" borderId="68" xfId="0" applyNumberFormat="1" applyBorder="1">
      <alignment vertical="center"/>
    </xf>
    <xf numFmtId="0" fontId="0" fillId="16" borderId="68" xfId="0" applyFill="1" applyBorder="1">
      <alignment vertical="center"/>
    </xf>
    <xf numFmtId="49" fontId="0" fillId="17" borderId="67" xfId="0" applyNumberFormat="1" applyFill="1" applyBorder="1" applyAlignment="1">
      <alignment horizontal="center" vertical="top"/>
    </xf>
    <xf numFmtId="38" fontId="5" fillId="7" borderId="44" xfId="0" applyNumberFormat="1" applyFont="1" applyFill="1" applyBorder="1" applyAlignment="1">
      <alignment horizontal="center" vertical="center"/>
    </xf>
    <xf numFmtId="0" fontId="0" fillId="0" borderId="0" xfId="0" applyAlignment="1">
      <alignment vertical="top" wrapText="1"/>
    </xf>
    <xf numFmtId="10" fontId="5" fillId="7" borderId="44" xfId="0" applyNumberFormat="1" applyFont="1" applyFill="1" applyBorder="1" applyAlignment="1">
      <alignment horizontal="center" vertical="center"/>
    </xf>
    <xf numFmtId="0" fontId="0" fillId="0" borderId="45" xfId="0" applyBorder="1">
      <alignment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" xfId="50"/>
    <cellStyle name="常规 5" xfId="51"/>
  </cellStyles>
  <dxfs count="39">
    <dxf>
      <font>
        <color rgb="FF00B050"/>
      </font>
    </dxf>
    <dxf>
      <fill>
        <patternFill patternType="solid">
          <bgColor rgb="FFFF9900"/>
        </patternFill>
      </fill>
    </dxf>
    <dxf>
      <font>
        <b val="1"/>
        <i val="0"/>
        <color rgb="FFFF0000"/>
      </font>
    </dxf>
    <dxf>
      <font>
        <color rgb="FFFF0000"/>
      </font>
    </dxf>
    <dxf>
      <font>
        <b val="1"/>
        <i val="0"/>
        <color rgb="FFC00000"/>
      </font>
      <fill>
        <gradientFill degree="90">
          <stop position="0">
            <color theme="0"/>
          </stop>
          <stop position="1">
            <color theme="4"/>
          </stop>
        </gradientFill>
      </fill>
    </dxf>
    <dxf>
      <font>
        <color rgb="FFC00000"/>
      </font>
    </dxf>
    <dxf>
      <font>
        <name val="微软雅黑"/>
        <scheme val="none"/>
        <charset val="134"/>
        <b val="1"/>
        <i val="0"/>
        <strike val="0"/>
        <u val="none"/>
        <sz val="11"/>
        <color theme="1"/>
      </font>
      <fill>
        <patternFill patternType="none"/>
      </fill>
      <alignment vertical="center"/>
      <border>
        <left style="thin">
          <color theme="4"/>
        </left>
        <right/>
        <top style="thin">
          <color theme="4"/>
        </top>
        <bottom style="thin">
          <color theme="4"/>
        </bottom>
      </border>
    </dxf>
    <dxf>
      <font>
        <name val="微软雅黑"/>
        <scheme val="none"/>
        <charset val="134"/>
        <b val="1"/>
        <i val="0"/>
        <strike val="0"/>
        <u val="none"/>
        <sz val="11"/>
        <color theme="1"/>
      </font>
      <fill>
        <patternFill patternType="none"/>
      </fill>
      <alignment vertical="center"/>
      <border>
        <left/>
        <right/>
        <top style="thin">
          <color theme="4"/>
        </top>
        <bottom style="thin">
          <color theme="4"/>
        </bottom>
      </border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0"/>
        <sz val="10"/>
        <color auto="1"/>
      </font>
    </dxf>
    <dxf>
      <font>
        <name val="微软雅黑"/>
        <scheme val="none"/>
        <b val="0"/>
        <sz val="10"/>
        <color auto="1"/>
      </font>
    </dxf>
    <dxf>
      <font>
        <name val="微软雅黑"/>
        <scheme val="none"/>
        <b val="0"/>
        <sz val="10"/>
        <color auto="1"/>
      </font>
    </dxf>
    <dxf>
      <font>
        <name val="微软雅黑"/>
        <scheme val="none"/>
        <b val="0"/>
        <sz val="10"/>
        <color auto="1"/>
      </font>
    </dxf>
    <dxf>
      <font>
        <name val="微软雅黑"/>
        <scheme val="none"/>
        <b val="0"/>
        <sz val="10"/>
        <color auto="1"/>
      </font>
    </dxf>
    <dxf>
      <font>
        <name val="微软雅黑"/>
        <scheme val="none"/>
        <b val="0"/>
        <sz val="10"/>
        <color auto="1"/>
      </font>
    </dxf>
    <dxf>
      <font>
        <name val="微软雅黑"/>
        <scheme val="none"/>
        <b val="0"/>
        <sz val="10"/>
        <color auto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name val="微软雅黑"/>
        <scheme val="none"/>
        <b val="1"/>
      </font>
    </dxf>
    <dxf>
      <font>
        <b val="1"/>
        <i val="0"/>
        <color rgb="FFC00000"/>
      </font>
    </dxf>
    <dxf>
      <font>
        <b val="1"/>
        <i val="0"/>
        <color rgb="FF00B05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\&#20170;&#26085;&#25968;&#25454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网站概况"/>
      <sheetName val="趋势分析"/>
      <sheetName val="全部来源"/>
      <sheetName val="搜索词"/>
    </sheetNames>
    <sheetDataSet>
      <sheetData sheetId="0" refreshError="1"/>
      <sheetData sheetId="1" refreshError="1">
        <row r="1">
          <cell r="A1" t="str">
            <v>网站名(domain)</v>
          </cell>
        </row>
        <row r="1">
          <cell r="C1" t="str">
            <v>时间</v>
          </cell>
        </row>
        <row r="1">
          <cell r="F1" t="str">
            <v>IP</v>
          </cell>
        </row>
        <row r="2">
          <cell r="A2" t="str">
            <v>martin.com</v>
          </cell>
        </row>
        <row r="2">
          <cell r="C2" t="str">
            <v>23</v>
          </cell>
        </row>
        <row r="2">
          <cell r="F2" t="str">
            <v>--</v>
          </cell>
        </row>
        <row r="3">
          <cell r="A3" t="str">
            <v>martin.com</v>
          </cell>
        </row>
        <row r="3">
          <cell r="C3" t="str">
            <v>22</v>
          </cell>
        </row>
        <row r="3">
          <cell r="F3" t="str">
            <v>--</v>
          </cell>
        </row>
        <row r="4">
          <cell r="A4" t="str">
            <v>martin.com</v>
          </cell>
        </row>
        <row r="4">
          <cell r="C4" t="str">
            <v>21</v>
          </cell>
        </row>
        <row r="4">
          <cell r="F4" t="str">
            <v>--</v>
          </cell>
        </row>
        <row r="5">
          <cell r="A5" t="str">
            <v>martin.com</v>
          </cell>
        </row>
        <row r="5">
          <cell r="C5" t="str">
            <v>20</v>
          </cell>
        </row>
        <row r="5">
          <cell r="F5" t="str">
            <v>--</v>
          </cell>
        </row>
        <row r="6">
          <cell r="A6" t="str">
            <v>martin.com</v>
          </cell>
        </row>
        <row r="6">
          <cell r="C6" t="str">
            <v>19</v>
          </cell>
        </row>
        <row r="6">
          <cell r="F6" t="str">
            <v>--</v>
          </cell>
        </row>
        <row r="7">
          <cell r="A7" t="str">
            <v>martin.com</v>
          </cell>
        </row>
        <row r="7">
          <cell r="C7" t="str">
            <v>18</v>
          </cell>
        </row>
        <row r="7">
          <cell r="F7" t="str">
            <v>--</v>
          </cell>
        </row>
        <row r="8">
          <cell r="A8" t="str">
            <v>martin.com</v>
          </cell>
        </row>
        <row r="8">
          <cell r="C8" t="str">
            <v>17</v>
          </cell>
        </row>
        <row r="8">
          <cell r="F8" t="str">
            <v>--</v>
          </cell>
        </row>
        <row r="9">
          <cell r="A9" t="str">
            <v>martin.com</v>
          </cell>
        </row>
        <row r="9">
          <cell r="C9" t="str">
            <v>16</v>
          </cell>
        </row>
        <row r="9">
          <cell r="F9" t="str">
            <v>--</v>
          </cell>
        </row>
        <row r="10">
          <cell r="A10" t="str">
            <v>martin.com</v>
          </cell>
        </row>
        <row r="10">
          <cell r="C10" t="str">
            <v>15</v>
          </cell>
        </row>
        <row r="10">
          <cell r="F10" t="str">
            <v>--</v>
          </cell>
        </row>
        <row r="11">
          <cell r="A11" t="str">
            <v>martin.com</v>
          </cell>
        </row>
        <row r="11">
          <cell r="C11" t="str">
            <v>14</v>
          </cell>
        </row>
        <row r="11">
          <cell r="F11" t="str">
            <v>--</v>
          </cell>
        </row>
        <row r="12">
          <cell r="A12" t="str">
            <v>martin.com</v>
          </cell>
        </row>
        <row r="12">
          <cell r="C12" t="str">
            <v>13</v>
          </cell>
        </row>
        <row r="12">
          <cell r="F12" t="str">
            <v>--</v>
          </cell>
        </row>
        <row r="13">
          <cell r="A13" t="str">
            <v>martin.com</v>
          </cell>
        </row>
        <row r="13">
          <cell r="C13" t="str">
            <v>12</v>
          </cell>
        </row>
        <row r="13">
          <cell r="F13" t="str">
            <v>--</v>
          </cell>
        </row>
        <row r="14">
          <cell r="A14" t="str">
            <v>martin.com</v>
          </cell>
        </row>
        <row r="14">
          <cell r="C14" t="str">
            <v>11</v>
          </cell>
        </row>
        <row r="14">
          <cell r="F14" t="str">
            <v>--</v>
          </cell>
        </row>
        <row r="15">
          <cell r="A15" t="str">
            <v>martin.com</v>
          </cell>
        </row>
        <row r="15">
          <cell r="C15" t="str">
            <v>10</v>
          </cell>
        </row>
        <row r="15">
          <cell r="F15" t="str">
            <v>--</v>
          </cell>
        </row>
        <row r="16">
          <cell r="A16" t="str">
            <v>martin.com</v>
          </cell>
        </row>
        <row r="16">
          <cell r="C16" t="str">
            <v>09</v>
          </cell>
        </row>
        <row r="16">
          <cell r="F16" t="str">
            <v>--</v>
          </cell>
        </row>
        <row r="17">
          <cell r="A17" t="str">
            <v>martin.com</v>
          </cell>
        </row>
        <row r="17">
          <cell r="C17" t="str">
            <v>08</v>
          </cell>
        </row>
        <row r="17">
          <cell r="F17" t="str">
            <v>--</v>
          </cell>
        </row>
        <row r="18">
          <cell r="A18" t="str">
            <v>martin.com</v>
          </cell>
        </row>
        <row r="18">
          <cell r="C18" t="str">
            <v>07</v>
          </cell>
        </row>
        <row r="18">
          <cell r="F18" t="str">
            <v>--</v>
          </cell>
        </row>
        <row r="19">
          <cell r="A19" t="str">
            <v>martin.com</v>
          </cell>
        </row>
        <row r="19">
          <cell r="C19" t="str">
            <v>06</v>
          </cell>
        </row>
        <row r="19">
          <cell r="F19" t="str">
            <v>--</v>
          </cell>
        </row>
        <row r="20">
          <cell r="A20" t="str">
            <v>martin.com</v>
          </cell>
        </row>
        <row r="20">
          <cell r="C20" t="str">
            <v>05</v>
          </cell>
        </row>
        <row r="20">
          <cell r="F20" t="str">
            <v>--</v>
          </cell>
        </row>
        <row r="21">
          <cell r="A21" t="str">
            <v>martin.com</v>
          </cell>
        </row>
        <row r="21">
          <cell r="C21" t="str">
            <v>04</v>
          </cell>
        </row>
        <row r="21">
          <cell r="F21" t="str">
            <v>--</v>
          </cell>
        </row>
        <row r="22">
          <cell r="A22" t="str">
            <v>martin.com</v>
          </cell>
        </row>
        <row r="22">
          <cell r="C22" t="str">
            <v>03</v>
          </cell>
        </row>
        <row r="22">
          <cell r="F22" t="str">
            <v>--</v>
          </cell>
        </row>
        <row r="23">
          <cell r="A23" t="str">
            <v>martin.com</v>
          </cell>
        </row>
        <row r="23">
          <cell r="C23" t="str">
            <v>02</v>
          </cell>
        </row>
        <row r="23">
          <cell r="F23" t="str">
            <v>--</v>
          </cell>
        </row>
        <row r="24">
          <cell r="A24" t="str">
            <v>martin.com</v>
          </cell>
        </row>
        <row r="24">
          <cell r="C24" t="str">
            <v>01</v>
          </cell>
        </row>
        <row r="24">
          <cell r="F24" t="str">
            <v>--</v>
          </cell>
        </row>
        <row r="25">
          <cell r="A25" t="str">
            <v>martin.com</v>
          </cell>
        </row>
        <row r="25">
          <cell r="C25" t="str">
            <v>00</v>
          </cell>
        </row>
        <row r="25">
          <cell r="F25" t="str">
            <v>--</v>
          </cell>
        </row>
        <row r="26">
          <cell r="A26" t="str">
            <v>groot.com</v>
          </cell>
        </row>
        <row r="26">
          <cell r="C26" t="str">
            <v>23</v>
          </cell>
        </row>
        <row r="26">
          <cell r="F26" t="str">
            <v>--</v>
          </cell>
        </row>
        <row r="27">
          <cell r="A27" t="str">
            <v>groot.com</v>
          </cell>
        </row>
        <row r="27">
          <cell r="C27" t="str">
            <v>22</v>
          </cell>
        </row>
        <row r="27">
          <cell r="F27" t="str">
            <v>--</v>
          </cell>
        </row>
        <row r="28">
          <cell r="A28" t="str">
            <v>groot.com</v>
          </cell>
        </row>
        <row r="28">
          <cell r="C28" t="str">
            <v>21</v>
          </cell>
        </row>
        <row r="28">
          <cell r="F28" t="str">
            <v>--</v>
          </cell>
        </row>
        <row r="29">
          <cell r="A29" t="str">
            <v>groot.com</v>
          </cell>
        </row>
        <row r="29">
          <cell r="C29" t="str">
            <v>20</v>
          </cell>
        </row>
        <row r="29">
          <cell r="F29" t="str">
            <v>--</v>
          </cell>
        </row>
        <row r="30">
          <cell r="A30" t="str">
            <v>groot.com</v>
          </cell>
        </row>
        <row r="30">
          <cell r="C30" t="str">
            <v>19</v>
          </cell>
        </row>
        <row r="30">
          <cell r="F30" t="str">
            <v>--</v>
          </cell>
        </row>
        <row r="31">
          <cell r="A31" t="str">
            <v>groot.com</v>
          </cell>
        </row>
        <row r="31">
          <cell r="C31" t="str">
            <v>18</v>
          </cell>
        </row>
        <row r="31">
          <cell r="F31" t="str">
            <v>--</v>
          </cell>
        </row>
        <row r="32">
          <cell r="A32" t="str">
            <v>groot.com</v>
          </cell>
        </row>
        <row r="32">
          <cell r="C32" t="str">
            <v>17</v>
          </cell>
        </row>
        <row r="32">
          <cell r="F32" t="str">
            <v>--</v>
          </cell>
        </row>
        <row r="33">
          <cell r="A33" t="str">
            <v>groot.com</v>
          </cell>
        </row>
        <row r="33">
          <cell r="C33" t="str">
            <v>16</v>
          </cell>
        </row>
        <row r="33">
          <cell r="F33" t="str">
            <v>--</v>
          </cell>
        </row>
        <row r="34">
          <cell r="A34" t="str">
            <v>groot.com</v>
          </cell>
        </row>
        <row r="34">
          <cell r="C34" t="str">
            <v>15</v>
          </cell>
        </row>
        <row r="34">
          <cell r="F34" t="str">
            <v>--</v>
          </cell>
        </row>
        <row r="35">
          <cell r="A35" t="str">
            <v>groot.com</v>
          </cell>
        </row>
        <row r="35">
          <cell r="C35" t="str">
            <v>14</v>
          </cell>
        </row>
        <row r="35">
          <cell r="F35" t="str">
            <v>--</v>
          </cell>
        </row>
        <row r="36">
          <cell r="A36" t="str">
            <v>groot.com</v>
          </cell>
        </row>
        <row r="36">
          <cell r="C36" t="str">
            <v>13</v>
          </cell>
        </row>
        <row r="36">
          <cell r="F36" t="str">
            <v>--</v>
          </cell>
        </row>
        <row r="37">
          <cell r="A37" t="str">
            <v>groot.com</v>
          </cell>
        </row>
        <row r="37">
          <cell r="C37" t="str">
            <v>12</v>
          </cell>
        </row>
        <row r="37">
          <cell r="F37" t="str">
            <v>--</v>
          </cell>
        </row>
        <row r="38">
          <cell r="A38" t="str">
            <v>groot.com</v>
          </cell>
        </row>
        <row r="38">
          <cell r="C38" t="str">
            <v>11</v>
          </cell>
        </row>
        <row r="38">
          <cell r="F38" t="str">
            <v>--</v>
          </cell>
        </row>
        <row r="39">
          <cell r="A39" t="str">
            <v>groot.com</v>
          </cell>
        </row>
        <row r="39">
          <cell r="C39" t="str">
            <v>10</v>
          </cell>
        </row>
        <row r="39">
          <cell r="F39" t="str">
            <v>--</v>
          </cell>
        </row>
        <row r="40">
          <cell r="A40" t="str">
            <v>groot.com</v>
          </cell>
        </row>
        <row r="40">
          <cell r="C40" t="str">
            <v>09</v>
          </cell>
        </row>
        <row r="40">
          <cell r="F40" t="str">
            <v>--</v>
          </cell>
        </row>
        <row r="41">
          <cell r="A41" t="str">
            <v>groot.com</v>
          </cell>
        </row>
        <row r="41">
          <cell r="C41" t="str">
            <v>08</v>
          </cell>
        </row>
        <row r="41">
          <cell r="F41" t="str">
            <v>--</v>
          </cell>
        </row>
        <row r="42">
          <cell r="A42" t="str">
            <v>groot.com</v>
          </cell>
        </row>
        <row r="42">
          <cell r="C42" t="str">
            <v>07</v>
          </cell>
        </row>
        <row r="42">
          <cell r="F42" t="str">
            <v>--</v>
          </cell>
        </row>
        <row r="43">
          <cell r="A43" t="str">
            <v>groot.com</v>
          </cell>
        </row>
        <row r="43">
          <cell r="C43" t="str">
            <v>06</v>
          </cell>
        </row>
        <row r="43">
          <cell r="F43" t="str">
            <v>--</v>
          </cell>
        </row>
        <row r="44">
          <cell r="A44" t="str">
            <v>groot.com</v>
          </cell>
        </row>
        <row r="44">
          <cell r="C44" t="str">
            <v>05</v>
          </cell>
        </row>
        <row r="44">
          <cell r="F44" t="str">
            <v>--</v>
          </cell>
        </row>
        <row r="45">
          <cell r="A45" t="str">
            <v>groot.com</v>
          </cell>
        </row>
        <row r="45">
          <cell r="C45" t="str">
            <v>04</v>
          </cell>
        </row>
        <row r="45">
          <cell r="F45" t="str">
            <v>--</v>
          </cell>
        </row>
        <row r="46">
          <cell r="A46" t="str">
            <v>groot.com</v>
          </cell>
        </row>
        <row r="46">
          <cell r="C46" t="str">
            <v>03</v>
          </cell>
        </row>
        <row r="46">
          <cell r="F46" t="str">
            <v>--</v>
          </cell>
        </row>
        <row r="47">
          <cell r="A47" t="str">
            <v>groot.com</v>
          </cell>
        </row>
        <row r="47">
          <cell r="C47" t="str">
            <v>02</v>
          </cell>
        </row>
        <row r="47">
          <cell r="F47" t="str">
            <v>--</v>
          </cell>
        </row>
        <row r="48">
          <cell r="A48" t="str">
            <v>groot.com</v>
          </cell>
        </row>
        <row r="48">
          <cell r="C48" t="str">
            <v>01</v>
          </cell>
        </row>
        <row r="48">
          <cell r="F48" t="str">
            <v>--</v>
          </cell>
        </row>
        <row r="49">
          <cell r="A49" t="str">
            <v>groot.com</v>
          </cell>
        </row>
        <row r="49">
          <cell r="C49" t="str">
            <v>00</v>
          </cell>
        </row>
        <row r="49">
          <cell r="F49" t="str">
            <v>--</v>
          </cell>
        </row>
        <row r="50">
          <cell r="A50" t="str">
            <v>dk.com</v>
          </cell>
        </row>
        <row r="50">
          <cell r="C50" t="str">
            <v>23</v>
          </cell>
        </row>
        <row r="50">
          <cell r="F50">
            <v>80</v>
          </cell>
        </row>
        <row r="51">
          <cell r="A51" t="str">
            <v>dk.com</v>
          </cell>
        </row>
        <row r="51">
          <cell r="C51" t="str">
            <v>22</v>
          </cell>
        </row>
        <row r="51">
          <cell r="F51">
            <v>80</v>
          </cell>
        </row>
        <row r="52">
          <cell r="A52" t="str">
            <v>dk.com</v>
          </cell>
        </row>
        <row r="52">
          <cell r="C52" t="str">
            <v>21</v>
          </cell>
        </row>
        <row r="52">
          <cell r="F52">
            <v>81</v>
          </cell>
        </row>
        <row r="53">
          <cell r="A53" t="str">
            <v>dk.com</v>
          </cell>
        </row>
        <row r="53">
          <cell r="C53" t="str">
            <v>20</v>
          </cell>
        </row>
        <row r="53">
          <cell r="F53">
            <v>91</v>
          </cell>
        </row>
        <row r="54">
          <cell r="A54" t="str">
            <v>dk.com</v>
          </cell>
        </row>
        <row r="54">
          <cell r="C54" t="str">
            <v>19</v>
          </cell>
        </row>
        <row r="54">
          <cell r="F54">
            <v>74</v>
          </cell>
        </row>
        <row r="55">
          <cell r="A55" t="str">
            <v>dk.com</v>
          </cell>
        </row>
        <row r="55">
          <cell r="C55" t="str">
            <v>18</v>
          </cell>
        </row>
        <row r="55">
          <cell r="F55">
            <v>74</v>
          </cell>
        </row>
        <row r="56">
          <cell r="A56" t="str">
            <v>dk.com</v>
          </cell>
        </row>
        <row r="56">
          <cell r="C56" t="str">
            <v>17</v>
          </cell>
        </row>
        <row r="56">
          <cell r="F56">
            <v>90</v>
          </cell>
        </row>
        <row r="57">
          <cell r="A57" t="str">
            <v>dk.com</v>
          </cell>
        </row>
        <row r="57">
          <cell r="C57" t="str">
            <v>16</v>
          </cell>
        </row>
        <row r="57">
          <cell r="F57">
            <v>89</v>
          </cell>
        </row>
        <row r="58">
          <cell r="A58" t="str">
            <v>dk.com</v>
          </cell>
        </row>
        <row r="58">
          <cell r="C58" t="str">
            <v>15</v>
          </cell>
        </row>
        <row r="58">
          <cell r="F58">
            <v>93</v>
          </cell>
        </row>
        <row r="59">
          <cell r="A59" t="str">
            <v>dk.com</v>
          </cell>
        </row>
        <row r="59">
          <cell r="C59" t="str">
            <v>14</v>
          </cell>
        </row>
        <row r="59">
          <cell r="F59">
            <v>99</v>
          </cell>
        </row>
        <row r="60">
          <cell r="A60" t="str">
            <v>dk.com</v>
          </cell>
        </row>
        <row r="60">
          <cell r="C60" t="str">
            <v>13</v>
          </cell>
        </row>
        <row r="60">
          <cell r="F60">
            <v>89</v>
          </cell>
        </row>
        <row r="61">
          <cell r="A61" t="str">
            <v>dk.com</v>
          </cell>
        </row>
        <row r="61">
          <cell r="C61" t="str">
            <v>12</v>
          </cell>
        </row>
        <row r="61">
          <cell r="F61">
            <v>67</v>
          </cell>
        </row>
        <row r="62">
          <cell r="A62" t="str">
            <v>dk.com</v>
          </cell>
        </row>
        <row r="62">
          <cell r="C62" t="str">
            <v>11</v>
          </cell>
        </row>
        <row r="62">
          <cell r="F62">
            <v>63</v>
          </cell>
        </row>
        <row r="63">
          <cell r="A63" t="str">
            <v>dk.com</v>
          </cell>
        </row>
        <row r="63">
          <cell r="C63" t="str">
            <v>10</v>
          </cell>
        </row>
        <row r="63">
          <cell r="F63">
            <v>59</v>
          </cell>
        </row>
        <row r="64">
          <cell r="A64" t="str">
            <v>dk.com</v>
          </cell>
        </row>
        <row r="64">
          <cell r="C64" t="str">
            <v>09</v>
          </cell>
        </row>
        <row r="64">
          <cell r="F64">
            <v>62</v>
          </cell>
        </row>
        <row r="65">
          <cell r="A65" t="str">
            <v>dk.com</v>
          </cell>
        </row>
        <row r="65">
          <cell r="C65" t="str">
            <v>08</v>
          </cell>
        </row>
        <row r="65">
          <cell r="F65">
            <v>37</v>
          </cell>
        </row>
        <row r="66">
          <cell r="A66" t="str">
            <v>dk.com</v>
          </cell>
        </row>
        <row r="66">
          <cell r="C66" t="str">
            <v>07</v>
          </cell>
        </row>
        <row r="66">
          <cell r="F66">
            <v>35</v>
          </cell>
        </row>
        <row r="67">
          <cell r="A67" t="str">
            <v>dk.com</v>
          </cell>
        </row>
        <row r="67">
          <cell r="C67" t="str">
            <v>06</v>
          </cell>
        </row>
        <row r="67">
          <cell r="F67">
            <v>25</v>
          </cell>
        </row>
        <row r="68">
          <cell r="A68" t="str">
            <v>dk.com</v>
          </cell>
        </row>
        <row r="68">
          <cell r="C68" t="str">
            <v>05</v>
          </cell>
        </row>
        <row r="68">
          <cell r="F68">
            <v>18</v>
          </cell>
        </row>
        <row r="69">
          <cell r="A69" t="str">
            <v>dk.com</v>
          </cell>
        </row>
        <row r="69">
          <cell r="C69" t="str">
            <v>04</v>
          </cell>
        </row>
        <row r="69">
          <cell r="F69">
            <v>32</v>
          </cell>
        </row>
        <row r="70">
          <cell r="A70" t="str">
            <v>dk.com</v>
          </cell>
        </row>
        <row r="70">
          <cell r="C70" t="str">
            <v>03</v>
          </cell>
        </row>
        <row r="70">
          <cell r="F70">
            <v>34</v>
          </cell>
        </row>
        <row r="71">
          <cell r="A71" t="str">
            <v>dk.com</v>
          </cell>
        </row>
        <row r="71">
          <cell r="C71" t="str">
            <v>02</v>
          </cell>
        </row>
        <row r="71">
          <cell r="F71">
            <v>35</v>
          </cell>
        </row>
        <row r="72">
          <cell r="A72" t="str">
            <v>dk.com</v>
          </cell>
        </row>
        <row r="72">
          <cell r="C72" t="str">
            <v>01</v>
          </cell>
        </row>
        <row r="72">
          <cell r="F72">
            <v>47</v>
          </cell>
        </row>
        <row r="73">
          <cell r="A73" t="str">
            <v>dk.com</v>
          </cell>
        </row>
        <row r="73">
          <cell r="C73" t="str">
            <v>00</v>
          </cell>
        </row>
        <row r="73">
          <cell r="F73">
            <v>71</v>
          </cell>
        </row>
        <row r="74">
          <cell r="A74" t="str">
            <v>aber.com</v>
          </cell>
        </row>
        <row r="74">
          <cell r="C74" t="str">
            <v>23</v>
          </cell>
        </row>
        <row r="74">
          <cell r="F74">
            <v>459</v>
          </cell>
        </row>
        <row r="75">
          <cell r="A75" t="str">
            <v>aber.com</v>
          </cell>
        </row>
        <row r="75">
          <cell r="C75" t="str">
            <v>22</v>
          </cell>
        </row>
        <row r="75">
          <cell r="F75">
            <v>405</v>
          </cell>
        </row>
        <row r="76">
          <cell r="A76" t="str">
            <v>aber.com</v>
          </cell>
        </row>
        <row r="76">
          <cell r="C76" t="str">
            <v>21</v>
          </cell>
        </row>
        <row r="76">
          <cell r="F76">
            <v>403</v>
          </cell>
        </row>
        <row r="77">
          <cell r="A77" t="str">
            <v>aber.com</v>
          </cell>
        </row>
        <row r="77">
          <cell r="C77" t="str">
            <v>20</v>
          </cell>
        </row>
        <row r="77">
          <cell r="F77">
            <v>381</v>
          </cell>
        </row>
        <row r="78">
          <cell r="A78" t="str">
            <v>aber.com</v>
          </cell>
        </row>
        <row r="78">
          <cell r="C78" t="str">
            <v>19</v>
          </cell>
        </row>
        <row r="78">
          <cell r="F78">
            <v>337</v>
          </cell>
        </row>
        <row r="79">
          <cell r="A79" t="str">
            <v>aber.com</v>
          </cell>
        </row>
        <row r="79">
          <cell r="C79" t="str">
            <v>18</v>
          </cell>
        </row>
        <row r="79">
          <cell r="F79">
            <v>367</v>
          </cell>
        </row>
        <row r="80">
          <cell r="A80" t="str">
            <v>aber.com</v>
          </cell>
        </row>
        <row r="80">
          <cell r="C80" t="str">
            <v>17</v>
          </cell>
        </row>
        <row r="80">
          <cell r="F80">
            <v>407</v>
          </cell>
        </row>
        <row r="81">
          <cell r="A81" t="str">
            <v>aber.com</v>
          </cell>
        </row>
        <row r="81">
          <cell r="C81" t="str">
            <v>16</v>
          </cell>
        </row>
        <row r="81">
          <cell r="F81">
            <v>430</v>
          </cell>
        </row>
        <row r="82">
          <cell r="A82" t="str">
            <v>aber.com</v>
          </cell>
        </row>
        <row r="82">
          <cell r="C82" t="str">
            <v>15</v>
          </cell>
        </row>
        <row r="82">
          <cell r="F82">
            <v>456</v>
          </cell>
        </row>
        <row r="83">
          <cell r="A83" t="str">
            <v>aber.com</v>
          </cell>
        </row>
        <row r="83">
          <cell r="C83" t="str">
            <v>14</v>
          </cell>
        </row>
        <row r="83">
          <cell r="F83">
            <v>395</v>
          </cell>
        </row>
        <row r="84">
          <cell r="A84" t="str">
            <v>aber.com</v>
          </cell>
        </row>
        <row r="84">
          <cell r="C84" t="str">
            <v>13</v>
          </cell>
        </row>
        <row r="84">
          <cell r="F84">
            <v>365</v>
          </cell>
        </row>
        <row r="85">
          <cell r="A85" t="str">
            <v>aber.com</v>
          </cell>
        </row>
        <row r="85">
          <cell r="C85" t="str">
            <v>12</v>
          </cell>
        </row>
        <row r="85">
          <cell r="F85">
            <v>305</v>
          </cell>
        </row>
        <row r="86">
          <cell r="A86" t="str">
            <v>aber.com</v>
          </cell>
        </row>
        <row r="86">
          <cell r="C86" t="str">
            <v>11</v>
          </cell>
        </row>
        <row r="86">
          <cell r="F86">
            <v>343</v>
          </cell>
        </row>
        <row r="87">
          <cell r="A87" t="str">
            <v>aber.com</v>
          </cell>
        </row>
        <row r="87">
          <cell r="C87" t="str">
            <v>10</v>
          </cell>
        </row>
        <row r="87">
          <cell r="F87">
            <v>327</v>
          </cell>
        </row>
        <row r="88">
          <cell r="A88" t="str">
            <v>aber.com</v>
          </cell>
        </row>
        <row r="88">
          <cell r="C88" t="str">
            <v>09</v>
          </cell>
        </row>
        <row r="88">
          <cell r="F88">
            <v>318</v>
          </cell>
        </row>
        <row r="89">
          <cell r="A89" t="str">
            <v>aber.com</v>
          </cell>
        </row>
        <row r="89">
          <cell r="C89" t="str">
            <v>08</v>
          </cell>
        </row>
        <row r="89">
          <cell r="F89">
            <v>208</v>
          </cell>
        </row>
        <row r="90">
          <cell r="A90" t="str">
            <v>aber.com</v>
          </cell>
        </row>
        <row r="90">
          <cell r="C90" t="str">
            <v>07</v>
          </cell>
        </row>
        <row r="90">
          <cell r="F90">
            <v>124</v>
          </cell>
        </row>
        <row r="91">
          <cell r="A91" t="str">
            <v>aber.com</v>
          </cell>
        </row>
        <row r="91">
          <cell r="C91" t="str">
            <v>06</v>
          </cell>
        </row>
        <row r="91">
          <cell r="F91">
            <v>78</v>
          </cell>
        </row>
        <row r="92">
          <cell r="A92" t="str">
            <v>aber.com</v>
          </cell>
        </row>
        <row r="92">
          <cell r="C92" t="str">
            <v>05</v>
          </cell>
        </row>
        <row r="92">
          <cell r="F92">
            <v>96</v>
          </cell>
        </row>
        <row r="93">
          <cell r="A93" t="str">
            <v>aber.com</v>
          </cell>
        </row>
        <row r="93">
          <cell r="C93" t="str">
            <v>04</v>
          </cell>
        </row>
        <row r="93">
          <cell r="F93">
            <v>130</v>
          </cell>
        </row>
        <row r="94">
          <cell r="A94" t="str">
            <v>aber.com</v>
          </cell>
        </row>
        <row r="94">
          <cell r="C94" t="str">
            <v>03</v>
          </cell>
        </row>
        <row r="94">
          <cell r="F94">
            <v>130</v>
          </cell>
        </row>
        <row r="95">
          <cell r="A95" t="str">
            <v>aber.com</v>
          </cell>
        </row>
        <row r="95">
          <cell r="C95" t="str">
            <v>02</v>
          </cell>
        </row>
        <row r="95">
          <cell r="F95">
            <v>203</v>
          </cell>
        </row>
        <row r="96">
          <cell r="A96" t="str">
            <v>aber.com</v>
          </cell>
        </row>
        <row r="96">
          <cell r="C96" t="str">
            <v>01</v>
          </cell>
        </row>
        <row r="96">
          <cell r="F96">
            <v>260</v>
          </cell>
        </row>
        <row r="97">
          <cell r="A97" t="str">
            <v>aber.com</v>
          </cell>
        </row>
        <row r="97">
          <cell r="C97" t="str">
            <v>00</v>
          </cell>
        </row>
        <row r="97">
          <cell r="F97">
            <v>398</v>
          </cell>
        </row>
        <row r="98">
          <cell r="A98" t="str">
            <v>duobo.com</v>
          </cell>
        </row>
        <row r="98">
          <cell r="C98" t="str">
            <v>23</v>
          </cell>
        </row>
        <row r="98">
          <cell r="F98" t="str">
            <v>--</v>
          </cell>
        </row>
        <row r="99">
          <cell r="A99" t="str">
            <v>duobo.com</v>
          </cell>
        </row>
        <row r="99">
          <cell r="C99" t="str">
            <v>22</v>
          </cell>
        </row>
        <row r="99">
          <cell r="F99" t="str">
            <v>--</v>
          </cell>
        </row>
        <row r="100">
          <cell r="A100" t="str">
            <v>duobo.com</v>
          </cell>
        </row>
        <row r="100">
          <cell r="C100" t="str">
            <v>21</v>
          </cell>
        </row>
        <row r="100">
          <cell r="F100" t="str">
            <v>--</v>
          </cell>
        </row>
        <row r="101">
          <cell r="A101" t="str">
            <v>duobo.com</v>
          </cell>
        </row>
        <row r="101">
          <cell r="C101" t="str">
            <v>20</v>
          </cell>
        </row>
        <row r="101">
          <cell r="F101" t="str">
            <v>--</v>
          </cell>
        </row>
        <row r="102">
          <cell r="A102" t="str">
            <v>duobo.com</v>
          </cell>
        </row>
        <row r="102">
          <cell r="C102" t="str">
            <v>19</v>
          </cell>
        </row>
        <row r="102">
          <cell r="F102" t="str">
            <v>--</v>
          </cell>
        </row>
        <row r="103">
          <cell r="A103" t="str">
            <v>duobo.com</v>
          </cell>
        </row>
        <row r="103">
          <cell r="C103" t="str">
            <v>18</v>
          </cell>
        </row>
        <row r="103">
          <cell r="F103" t="str">
            <v>--</v>
          </cell>
        </row>
        <row r="104">
          <cell r="A104" t="str">
            <v>duobo.com</v>
          </cell>
        </row>
        <row r="104">
          <cell r="C104" t="str">
            <v>17</v>
          </cell>
        </row>
        <row r="104">
          <cell r="F104" t="str">
            <v>--</v>
          </cell>
        </row>
        <row r="105">
          <cell r="A105" t="str">
            <v>duobo.com</v>
          </cell>
        </row>
        <row r="105">
          <cell r="C105" t="str">
            <v>16</v>
          </cell>
        </row>
        <row r="105">
          <cell r="F105" t="str">
            <v>--</v>
          </cell>
        </row>
        <row r="106">
          <cell r="A106" t="str">
            <v>duobo.com</v>
          </cell>
        </row>
        <row r="106">
          <cell r="C106" t="str">
            <v>15</v>
          </cell>
        </row>
        <row r="106">
          <cell r="F106" t="str">
            <v>--</v>
          </cell>
        </row>
        <row r="107">
          <cell r="A107" t="str">
            <v>duobo.com</v>
          </cell>
        </row>
        <row r="107">
          <cell r="C107" t="str">
            <v>14</v>
          </cell>
        </row>
        <row r="107">
          <cell r="F107" t="str">
            <v>--</v>
          </cell>
        </row>
        <row r="108">
          <cell r="A108" t="str">
            <v>duobo.com</v>
          </cell>
        </row>
        <row r="108">
          <cell r="C108" t="str">
            <v>13</v>
          </cell>
        </row>
        <row r="108">
          <cell r="F108" t="str">
            <v>--</v>
          </cell>
        </row>
        <row r="109">
          <cell r="A109" t="str">
            <v>duobo.com</v>
          </cell>
        </row>
        <row r="109">
          <cell r="C109" t="str">
            <v>12</v>
          </cell>
        </row>
        <row r="109">
          <cell r="F109" t="str">
            <v>--</v>
          </cell>
        </row>
        <row r="110">
          <cell r="A110" t="str">
            <v>duobo.com</v>
          </cell>
        </row>
        <row r="110">
          <cell r="C110" t="str">
            <v>11</v>
          </cell>
        </row>
        <row r="110">
          <cell r="F110" t="str">
            <v>--</v>
          </cell>
        </row>
        <row r="111">
          <cell r="A111" t="str">
            <v>duobo.com</v>
          </cell>
        </row>
        <row r="111">
          <cell r="C111" t="str">
            <v>10</v>
          </cell>
        </row>
        <row r="111">
          <cell r="F111" t="str">
            <v>--</v>
          </cell>
        </row>
        <row r="112">
          <cell r="A112" t="str">
            <v>duobo.com</v>
          </cell>
        </row>
        <row r="112">
          <cell r="C112" t="str">
            <v>09</v>
          </cell>
        </row>
        <row r="112">
          <cell r="F112" t="str">
            <v>--</v>
          </cell>
        </row>
        <row r="113">
          <cell r="A113" t="str">
            <v>duobo.com</v>
          </cell>
        </row>
        <row r="113">
          <cell r="C113" t="str">
            <v>08</v>
          </cell>
        </row>
        <row r="113">
          <cell r="F113" t="str">
            <v>--</v>
          </cell>
        </row>
        <row r="114">
          <cell r="A114" t="str">
            <v>duobo.com</v>
          </cell>
        </row>
        <row r="114">
          <cell r="C114" t="str">
            <v>07</v>
          </cell>
        </row>
        <row r="114">
          <cell r="F114" t="str">
            <v>--</v>
          </cell>
        </row>
        <row r="115">
          <cell r="A115" t="str">
            <v>duobo.com</v>
          </cell>
        </row>
        <row r="115">
          <cell r="C115" t="str">
            <v>06</v>
          </cell>
        </row>
        <row r="115">
          <cell r="F115" t="str">
            <v>--</v>
          </cell>
        </row>
        <row r="116">
          <cell r="A116" t="str">
            <v>duobo.com</v>
          </cell>
        </row>
        <row r="116">
          <cell r="C116" t="str">
            <v>05</v>
          </cell>
        </row>
        <row r="116">
          <cell r="F116" t="str">
            <v>--</v>
          </cell>
        </row>
        <row r="117">
          <cell r="A117" t="str">
            <v>duobo.com</v>
          </cell>
        </row>
        <row r="117">
          <cell r="C117" t="str">
            <v>04</v>
          </cell>
        </row>
        <row r="117">
          <cell r="F117" t="str">
            <v>--</v>
          </cell>
        </row>
        <row r="118">
          <cell r="A118" t="str">
            <v>duobo.com</v>
          </cell>
        </row>
        <row r="118">
          <cell r="C118" t="str">
            <v>03</v>
          </cell>
        </row>
        <row r="118">
          <cell r="F118" t="str">
            <v>--</v>
          </cell>
        </row>
        <row r="119">
          <cell r="A119" t="str">
            <v>duobo.com</v>
          </cell>
        </row>
        <row r="119">
          <cell r="C119" t="str">
            <v>02</v>
          </cell>
        </row>
        <row r="119">
          <cell r="F119" t="str">
            <v>--</v>
          </cell>
        </row>
        <row r="120">
          <cell r="A120" t="str">
            <v>duobo.com</v>
          </cell>
        </row>
        <row r="120">
          <cell r="C120" t="str">
            <v>01</v>
          </cell>
        </row>
        <row r="120">
          <cell r="F120" t="str">
            <v>--</v>
          </cell>
        </row>
        <row r="121">
          <cell r="A121" t="str">
            <v>duobo.com</v>
          </cell>
        </row>
        <row r="121">
          <cell r="C121" t="str">
            <v>00</v>
          </cell>
        </row>
        <row r="121">
          <cell r="F121" t="str">
            <v>--</v>
          </cell>
        </row>
        <row r="122">
          <cell r="A122" t="str">
            <v>tonyb.com</v>
          </cell>
        </row>
        <row r="122">
          <cell r="C122" t="str">
            <v>23</v>
          </cell>
        </row>
        <row r="122">
          <cell r="F122">
            <v>43</v>
          </cell>
        </row>
        <row r="123">
          <cell r="A123" t="str">
            <v>tonyb.com</v>
          </cell>
        </row>
        <row r="123">
          <cell r="C123" t="str">
            <v>22</v>
          </cell>
        </row>
        <row r="123">
          <cell r="F123">
            <v>30</v>
          </cell>
        </row>
        <row r="124">
          <cell r="A124" t="str">
            <v>tonyb.com</v>
          </cell>
        </row>
        <row r="124">
          <cell r="C124" t="str">
            <v>21</v>
          </cell>
        </row>
        <row r="124">
          <cell r="F124">
            <v>38</v>
          </cell>
        </row>
        <row r="125">
          <cell r="A125" t="str">
            <v>tonyb.com</v>
          </cell>
        </row>
        <row r="125">
          <cell r="C125" t="str">
            <v>20</v>
          </cell>
        </row>
        <row r="125">
          <cell r="F125">
            <v>28</v>
          </cell>
        </row>
        <row r="126">
          <cell r="A126" t="str">
            <v>tonyb.com</v>
          </cell>
        </row>
        <row r="126">
          <cell r="C126" t="str">
            <v>19</v>
          </cell>
        </row>
        <row r="126">
          <cell r="F126">
            <v>18</v>
          </cell>
        </row>
        <row r="127">
          <cell r="A127" t="str">
            <v>tonyb.com</v>
          </cell>
        </row>
        <row r="127">
          <cell r="C127" t="str">
            <v>18</v>
          </cell>
        </row>
        <row r="127">
          <cell r="F127">
            <v>28</v>
          </cell>
        </row>
        <row r="128">
          <cell r="A128" t="str">
            <v>tonyb.com</v>
          </cell>
        </row>
        <row r="128">
          <cell r="C128" t="str">
            <v>17</v>
          </cell>
        </row>
        <row r="128">
          <cell r="F128">
            <v>36</v>
          </cell>
        </row>
        <row r="129">
          <cell r="A129" t="str">
            <v>tonyb.com</v>
          </cell>
        </row>
        <row r="129">
          <cell r="C129" t="str">
            <v>16</v>
          </cell>
        </row>
        <row r="129">
          <cell r="F129">
            <v>35</v>
          </cell>
        </row>
        <row r="130">
          <cell r="A130" t="str">
            <v>tonyb.com</v>
          </cell>
        </row>
        <row r="130">
          <cell r="C130" t="str">
            <v>15</v>
          </cell>
        </row>
        <row r="130">
          <cell r="F130">
            <v>36</v>
          </cell>
        </row>
        <row r="131">
          <cell r="A131" t="str">
            <v>tonyb.com</v>
          </cell>
        </row>
        <row r="131">
          <cell r="C131" t="str">
            <v>14</v>
          </cell>
        </row>
        <row r="131">
          <cell r="F131">
            <v>24</v>
          </cell>
        </row>
        <row r="132">
          <cell r="A132" t="str">
            <v>tonyb.com</v>
          </cell>
        </row>
        <row r="132">
          <cell r="C132" t="str">
            <v>13</v>
          </cell>
        </row>
        <row r="132">
          <cell r="F132">
            <v>32</v>
          </cell>
        </row>
        <row r="133">
          <cell r="A133" t="str">
            <v>tonyb.com</v>
          </cell>
        </row>
        <row r="133">
          <cell r="C133" t="str">
            <v>12</v>
          </cell>
        </row>
        <row r="133">
          <cell r="F133">
            <v>25</v>
          </cell>
        </row>
        <row r="134">
          <cell r="A134" t="str">
            <v>tonyb.com</v>
          </cell>
        </row>
        <row r="134">
          <cell r="C134" t="str">
            <v>11</v>
          </cell>
        </row>
        <row r="134">
          <cell r="F134">
            <v>22</v>
          </cell>
        </row>
        <row r="135">
          <cell r="A135" t="str">
            <v>tonyb.com</v>
          </cell>
        </row>
        <row r="135">
          <cell r="C135" t="str">
            <v>10</v>
          </cell>
        </row>
        <row r="135">
          <cell r="F135">
            <v>20</v>
          </cell>
        </row>
        <row r="136">
          <cell r="A136" t="str">
            <v>tonyb.com</v>
          </cell>
        </row>
        <row r="136">
          <cell r="C136" t="str">
            <v>09</v>
          </cell>
        </row>
        <row r="136">
          <cell r="F136">
            <v>20</v>
          </cell>
        </row>
        <row r="137">
          <cell r="A137" t="str">
            <v>tonyb.com</v>
          </cell>
        </row>
        <row r="137">
          <cell r="C137" t="str">
            <v>08</v>
          </cell>
        </row>
        <row r="137">
          <cell r="F137">
            <v>21</v>
          </cell>
        </row>
        <row r="138">
          <cell r="A138" t="str">
            <v>tonyb.com</v>
          </cell>
        </row>
        <row r="138">
          <cell r="C138" t="str">
            <v>07</v>
          </cell>
        </row>
        <row r="138">
          <cell r="F138">
            <v>6</v>
          </cell>
        </row>
        <row r="139">
          <cell r="A139" t="str">
            <v>tonyb.com</v>
          </cell>
        </row>
        <row r="139">
          <cell r="C139" t="str">
            <v>06</v>
          </cell>
        </row>
        <row r="139">
          <cell r="F139">
            <v>10</v>
          </cell>
        </row>
        <row r="140">
          <cell r="A140" t="str">
            <v>tonyb.com</v>
          </cell>
        </row>
        <row r="140">
          <cell r="C140" t="str">
            <v>05</v>
          </cell>
        </row>
        <row r="140">
          <cell r="F140">
            <v>7</v>
          </cell>
        </row>
        <row r="141">
          <cell r="A141" t="str">
            <v>tonyb.com</v>
          </cell>
        </row>
        <row r="141">
          <cell r="C141" t="str">
            <v>04</v>
          </cell>
        </row>
        <row r="141">
          <cell r="F141">
            <v>12</v>
          </cell>
        </row>
        <row r="142">
          <cell r="A142" t="str">
            <v>tonyb.com</v>
          </cell>
        </row>
        <row r="142">
          <cell r="C142" t="str">
            <v>03</v>
          </cell>
        </row>
        <row r="142">
          <cell r="F142">
            <v>17</v>
          </cell>
        </row>
        <row r="143">
          <cell r="A143" t="str">
            <v>tonyb.com</v>
          </cell>
        </row>
        <row r="143">
          <cell r="C143" t="str">
            <v>02</v>
          </cell>
        </row>
        <row r="143">
          <cell r="F143">
            <v>17</v>
          </cell>
        </row>
        <row r="144">
          <cell r="A144" t="str">
            <v>tonyb.com</v>
          </cell>
        </row>
        <row r="144">
          <cell r="C144" t="str">
            <v>01</v>
          </cell>
        </row>
        <row r="144">
          <cell r="F144">
            <v>24</v>
          </cell>
        </row>
        <row r="145">
          <cell r="A145" t="str">
            <v>tonyb.com</v>
          </cell>
        </row>
        <row r="145">
          <cell r="C145" t="str">
            <v>00</v>
          </cell>
        </row>
        <row r="145">
          <cell r="F145">
            <v>19</v>
          </cell>
        </row>
        <row r="146">
          <cell r="A146" t="str">
            <v>ben.com</v>
          </cell>
        </row>
        <row r="146">
          <cell r="C146" t="str">
            <v>23</v>
          </cell>
        </row>
        <row r="146">
          <cell r="F146">
            <v>123</v>
          </cell>
        </row>
        <row r="147">
          <cell r="A147" t="str">
            <v>ben.com</v>
          </cell>
        </row>
        <row r="147">
          <cell r="C147" t="str">
            <v>22</v>
          </cell>
        </row>
        <row r="147">
          <cell r="F147">
            <v>166</v>
          </cell>
        </row>
        <row r="148">
          <cell r="A148" t="str">
            <v>ben.com</v>
          </cell>
        </row>
        <row r="148">
          <cell r="C148" t="str">
            <v>21</v>
          </cell>
        </row>
        <row r="148">
          <cell r="F148">
            <v>227</v>
          </cell>
        </row>
        <row r="149">
          <cell r="A149" t="str">
            <v>ben.com</v>
          </cell>
        </row>
        <row r="149">
          <cell r="C149" t="str">
            <v>20</v>
          </cell>
        </row>
        <row r="149">
          <cell r="F149">
            <v>135</v>
          </cell>
        </row>
        <row r="150">
          <cell r="A150" t="str">
            <v>ben.com</v>
          </cell>
        </row>
        <row r="150">
          <cell r="C150" t="str">
            <v>19</v>
          </cell>
        </row>
        <row r="150">
          <cell r="F150">
            <v>108</v>
          </cell>
        </row>
        <row r="151">
          <cell r="A151" t="str">
            <v>ben.com</v>
          </cell>
        </row>
        <row r="151">
          <cell r="C151" t="str">
            <v>18</v>
          </cell>
        </row>
        <row r="151">
          <cell r="F151">
            <v>132</v>
          </cell>
        </row>
        <row r="152">
          <cell r="A152" t="str">
            <v>ben.com</v>
          </cell>
        </row>
        <row r="152">
          <cell r="C152" t="str">
            <v>17</v>
          </cell>
        </row>
        <row r="152">
          <cell r="F152">
            <v>129</v>
          </cell>
        </row>
        <row r="153">
          <cell r="A153" t="str">
            <v>ben.com</v>
          </cell>
        </row>
        <row r="153">
          <cell r="C153" t="str">
            <v>16</v>
          </cell>
        </row>
        <row r="153">
          <cell r="F153">
            <v>160</v>
          </cell>
        </row>
        <row r="154">
          <cell r="A154" t="str">
            <v>ben.com</v>
          </cell>
        </row>
        <row r="154">
          <cell r="C154" t="str">
            <v>15</v>
          </cell>
        </row>
        <row r="154">
          <cell r="F154">
            <v>134</v>
          </cell>
        </row>
        <row r="155">
          <cell r="A155" t="str">
            <v>ben.com</v>
          </cell>
        </row>
        <row r="155">
          <cell r="C155" t="str">
            <v>14</v>
          </cell>
        </row>
        <row r="155">
          <cell r="F155">
            <v>139</v>
          </cell>
        </row>
        <row r="156">
          <cell r="A156" t="str">
            <v>ben.com</v>
          </cell>
        </row>
        <row r="156">
          <cell r="C156" t="str">
            <v>13</v>
          </cell>
        </row>
        <row r="156">
          <cell r="F156">
            <v>112</v>
          </cell>
        </row>
        <row r="157">
          <cell r="A157" t="str">
            <v>ben.com</v>
          </cell>
        </row>
        <row r="157">
          <cell r="C157" t="str">
            <v>12</v>
          </cell>
        </row>
        <row r="157">
          <cell r="F157">
            <v>126</v>
          </cell>
        </row>
        <row r="158">
          <cell r="A158" t="str">
            <v>ben.com</v>
          </cell>
        </row>
        <row r="158">
          <cell r="C158" t="str">
            <v>11</v>
          </cell>
        </row>
        <row r="158">
          <cell r="F158">
            <v>137</v>
          </cell>
        </row>
        <row r="159">
          <cell r="A159" t="str">
            <v>ben.com</v>
          </cell>
        </row>
        <row r="159">
          <cell r="C159" t="str">
            <v>10</v>
          </cell>
        </row>
        <row r="159">
          <cell r="F159">
            <v>115</v>
          </cell>
        </row>
        <row r="160">
          <cell r="A160" t="str">
            <v>ben.com</v>
          </cell>
        </row>
        <row r="160">
          <cell r="C160" t="str">
            <v>09</v>
          </cell>
        </row>
        <row r="160">
          <cell r="F160">
            <v>128</v>
          </cell>
        </row>
        <row r="161">
          <cell r="A161" t="str">
            <v>ben.com</v>
          </cell>
        </row>
        <row r="161">
          <cell r="C161" t="str">
            <v>08</v>
          </cell>
        </row>
        <row r="161">
          <cell r="F161">
            <v>76</v>
          </cell>
        </row>
        <row r="162">
          <cell r="A162" t="str">
            <v>ben.com</v>
          </cell>
        </row>
        <row r="162">
          <cell r="C162" t="str">
            <v>07</v>
          </cell>
        </row>
        <row r="162">
          <cell r="F162">
            <v>117</v>
          </cell>
        </row>
        <row r="163">
          <cell r="A163" t="str">
            <v>ben.com</v>
          </cell>
        </row>
        <row r="163">
          <cell r="C163" t="str">
            <v>06</v>
          </cell>
        </row>
        <row r="163">
          <cell r="F163">
            <v>31</v>
          </cell>
        </row>
        <row r="164">
          <cell r="A164" t="str">
            <v>ben.com</v>
          </cell>
        </row>
        <row r="164">
          <cell r="C164" t="str">
            <v>05</v>
          </cell>
        </row>
        <row r="164">
          <cell r="F164">
            <v>23</v>
          </cell>
        </row>
        <row r="165">
          <cell r="A165" t="str">
            <v>ben.com</v>
          </cell>
        </row>
        <row r="165">
          <cell r="C165" t="str">
            <v>04</v>
          </cell>
        </row>
        <row r="165">
          <cell r="F165">
            <v>18</v>
          </cell>
        </row>
        <row r="166">
          <cell r="A166" t="str">
            <v>ben.com</v>
          </cell>
        </row>
        <row r="166">
          <cell r="C166" t="str">
            <v>03</v>
          </cell>
        </row>
        <row r="166">
          <cell r="F166">
            <v>28</v>
          </cell>
        </row>
        <row r="167">
          <cell r="A167" t="str">
            <v>ben.com</v>
          </cell>
        </row>
        <row r="167">
          <cell r="C167" t="str">
            <v>02</v>
          </cell>
        </row>
        <row r="167">
          <cell r="F167">
            <v>45</v>
          </cell>
        </row>
        <row r="168">
          <cell r="A168" t="str">
            <v>ben.com</v>
          </cell>
        </row>
        <row r="168">
          <cell r="C168" t="str">
            <v>01</v>
          </cell>
        </row>
        <row r="168">
          <cell r="F168">
            <v>69</v>
          </cell>
        </row>
        <row r="169">
          <cell r="A169" t="str">
            <v>ben.com</v>
          </cell>
        </row>
        <row r="169">
          <cell r="C169" t="str">
            <v>00</v>
          </cell>
        </row>
        <row r="169">
          <cell r="F169">
            <v>87</v>
          </cell>
        </row>
        <row r="170">
          <cell r="A170" t="str">
            <v>leslie.com</v>
          </cell>
        </row>
        <row r="170">
          <cell r="C170" t="str">
            <v>23</v>
          </cell>
        </row>
        <row r="170">
          <cell r="F170" t="str">
            <v>--</v>
          </cell>
        </row>
        <row r="171">
          <cell r="A171" t="str">
            <v>leslie.com</v>
          </cell>
        </row>
        <row r="171">
          <cell r="C171" t="str">
            <v>22</v>
          </cell>
        </row>
        <row r="171">
          <cell r="F171" t="str">
            <v>--</v>
          </cell>
        </row>
        <row r="172">
          <cell r="A172" t="str">
            <v>leslie.com</v>
          </cell>
        </row>
        <row r="172">
          <cell r="C172" t="str">
            <v>21</v>
          </cell>
        </row>
        <row r="172">
          <cell r="F172" t="str">
            <v>--</v>
          </cell>
        </row>
        <row r="173">
          <cell r="A173" t="str">
            <v>leslie.com</v>
          </cell>
        </row>
        <row r="173">
          <cell r="C173" t="str">
            <v>20</v>
          </cell>
        </row>
        <row r="173">
          <cell r="F173" t="str">
            <v>--</v>
          </cell>
        </row>
        <row r="174">
          <cell r="A174" t="str">
            <v>leslie.com</v>
          </cell>
        </row>
        <row r="174">
          <cell r="C174" t="str">
            <v>19</v>
          </cell>
        </row>
        <row r="174">
          <cell r="F174" t="str">
            <v>--</v>
          </cell>
        </row>
        <row r="175">
          <cell r="A175" t="str">
            <v>leslie.com</v>
          </cell>
        </row>
        <row r="175">
          <cell r="C175" t="str">
            <v>18</v>
          </cell>
        </row>
        <row r="175">
          <cell r="F175" t="str">
            <v>--</v>
          </cell>
        </row>
        <row r="176">
          <cell r="A176" t="str">
            <v>leslie.com</v>
          </cell>
        </row>
        <row r="176">
          <cell r="C176" t="str">
            <v>17</v>
          </cell>
        </row>
        <row r="176">
          <cell r="F176" t="str">
            <v>--</v>
          </cell>
        </row>
        <row r="177">
          <cell r="A177" t="str">
            <v>leslie.com</v>
          </cell>
        </row>
        <row r="177">
          <cell r="C177" t="str">
            <v>16</v>
          </cell>
        </row>
        <row r="177">
          <cell r="F177" t="str">
            <v>--</v>
          </cell>
        </row>
        <row r="178">
          <cell r="A178" t="str">
            <v>leslie.com</v>
          </cell>
        </row>
        <row r="178">
          <cell r="C178" t="str">
            <v>15</v>
          </cell>
        </row>
        <row r="178">
          <cell r="F178" t="str">
            <v>--</v>
          </cell>
        </row>
        <row r="179">
          <cell r="A179" t="str">
            <v>leslie.com</v>
          </cell>
        </row>
        <row r="179">
          <cell r="C179" t="str">
            <v>14</v>
          </cell>
        </row>
        <row r="179">
          <cell r="F179" t="str">
            <v>--</v>
          </cell>
        </row>
        <row r="180">
          <cell r="A180" t="str">
            <v>leslie.com</v>
          </cell>
        </row>
        <row r="180">
          <cell r="C180" t="str">
            <v>13</v>
          </cell>
        </row>
        <row r="180">
          <cell r="F180" t="str">
            <v>--</v>
          </cell>
        </row>
        <row r="181">
          <cell r="A181" t="str">
            <v>leslie.com</v>
          </cell>
        </row>
        <row r="181">
          <cell r="C181" t="str">
            <v>12</v>
          </cell>
        </row>
        <row r="181">
          <cell r="F181" t="str">
            <v>--</v>
          </cell>
        </row>
        <row r="182">
          <cell r="A182" t="str">
            <v>leslie.com</v>
          </cell>
        </row>
        <row r="182">
          <cell r="C182" t="str">
            <v>11</v>
          </cell>
        </row>
        <row r="182">
          <cell r="F182" t="str">
            <v>--</v>
          </cell>
        </row>
        <row r="183">
          <cell r="A183" t="str">
            <v>leslie.com</v>
          </cell>
        </row>
        <row r="183">
          <cell r="C183" t="str">
            <v>10</v>
          </cell>
        </row>
        <row r="183">
          <cell r="F183" t="str">
            <v>--</v>
          </cell>
        </row>
        <row r="184">
          <cell r="A184" t="str">
            <v>leslie.com</v>
          </cell>
        </row>
        <row r="184">
          <cell r="C184" t="str">
            <v>09</v>
          </cell>
        </row>
        <row r="184">
          <cell r="F184" t="str">
            <v>--</v>
          </cell>
        </row>
        <row r="185">
          <cell r="A185" t="str">
            <v>leslie.com</v>
          </cell>
        </row>
        <row r="185">
          <cell r="C185" t="str">
            <v>08</v>
          </cell>
        </row>
        <row r="185">
          <cell r="F185" t="str">
            <v>--</v>
          </cell>
        </row>
        <row r="186">
          <cell r="A186" t="str">
            <v>leslie.com</v>
          </cell>
        </row>
        <row r="186">
          <cell r="C186" t="str">
            <v>07</v>
          </cell>
        </row>
        <row r="186">
          <cell r="F186" t="str">
            <v>--</v>
          </cell>
        </row>
        <row r="187">
          <cell r="A187" t="str">
            <v>leslie.com</v>
          </cell>
        </row>
        <row r="187">
          <cell r="C187" t="str">
            <v>06</v>
          </cell>
        </row>
        <row r="187">
          <cell r="F187" t="str">
            <v>--</v>
          </cell>
        </row>
        <row r="188">
          <cell r="A188" t="str">
            <v>leslie.com</v>
          </cell>
        </row>
        <row r="188">
          <cell r="C188" t="str">
            <v>05</v>
          </cell>
        </row>
        <row r="188">
          <cell r="F188" t="str">
            <v>--</v>
          </cell>
        </row>
        <row r="189">
          <cell r="A189" t="str">
            <v>leslie.com</v>
          </cell>
        </row>
        <row r="189">
          <cell r="C189" t="str">
            <v>04</v>
          </cell>
        </row>
        <row r="189">
          <cell r="F189" t="str">
            <v>--</v>
          </cell>
        </row>
        <row r="190">
          <cell r="A190" t="str">
            <v>leslie.com</v>
          </cell>
        </row>
        <row r="190">
          <cell r="C190" t="str">
            <v>03</v>
          </cell>
        </row>
        <row r="190">
          <cell r="F190" t="str">
            <v>--</v>
          </cell>
        </row>
        <row r="191">
          <cell r="A191" t="str">
            <v>leslie.com</v>
          </cell>
        </row>
        <row r="191">
          <cell r="C191" t="str">
            <v>02</v>
          </cell>
        </row>
        <row r="191">
          <cell r="F191" t="str">
            <v>--</v>
          </cell>
        </row>
        <row r="192">
          <cell r="A192" t="str">
            <v>leslie.com</v>
          </cell>
        </row>
        <row r="192">
          <cell r="C192" t="str">
            <v>01</v>
          </cell>
        </row>
        <row r="192">
          <cell r="F192" t="str">
            <v>--</v>
          </cell>
        </row>
        <row r="193">
          <cell r="A193" t="str">
            <v>leslie.com</v>
          </cell>
        </row>
        <row r="193">
          <cell r="C193" t="str">
            <v>00</v>
          </cell>
        </row>
        <row r="193">
          <cell r="F193" t="str">
            <v>--</v>
          </cell>
        </row>
        <row r="194">
          <cell r="A194" t="str">
            <v>kiwi.com</v>
          </cell>
        </row>
        <row r="194">
          <cell r="C194" t="str">
            <v>23</v>
          </cell>
        </row>
        <row r="194">
          <cell r="F194" t="str">
            <v>--</v>
          </cell>
        </row>
        <row r="195">
          <cell r="A195" t="str">
            <v>kiwi.com</v>
          </cell>
        </row>
        <row r="195">
          <cell r="C195" t="str">
            <v>22</v>
          </cell>
        </row>
        <row r="195">
          <cell r="F195" t="str">
            <v>--</v>
          </cell>
        </row>
        <row r="196">
          <cell r="A196" t="str">
            <v>kiwi.com</v>
          </cell>
        </row>
        <row r="196">
          <cell r="C196" t="str">
            <v>21</v>
          </cell>
        </row>
        <row r="196">
          <cell r="F196" t="str">
            <v>--</v>
          </cell>
        </row>
        <row r="197">
          <cell r="A197" t="str">
            <v>kiwi.com</v>
          </cell>
        </row>
        <row r="197">
          <cell r="C197" t="str">
            <v>20</v>
          </cell>
        </row>
        <row r="197">
          <cell r="F197" t="str">
            <v>--</v>
          </cell>
        </row>
        <row r="198">
          <cell r="A198" t="str">
            <v>kiwi.com</v>
          </cell>
        </row>
        <row r="198">
          <cell r="C198" t="str">
            <v>19</v>
          </cell>
        </row>
        <row r="198">
          <cell r="F198" t="str">
            <v>--</v>
          </cell>
        </row>
        <row r="199">
          <cell r="A199" t="str">
            <v>kiwi.com</v>
          </cell>
        </row>
        <row r="199">
          <cell r="C199" t="str">
            <v>18</v>
          </cell>
        </row>
        <row r="199">
          <cell r="F199">
            <v>0</v>
          </cell>
        </row>
        <row r="200">
          <cell r="A200" t="str">
            <v>kiwi.com</v>
          </cell>
        </row>
        <row r="200">
          <cell r="C200" t="str">
            <v>17</v>
          </cell>
        </row>
        <row r="200">
          <cell r="F200">
            <v>1</v>
          </cell>
        </row>
        <row r="201">
          <cell r="A201" t="str">
            <v>kiwi.com</v>
          </cell>
        </row>
        <row r="201">
          <cell r="C201" t="str">
            <v>16</v>
          </cell>
        </row>
        <row r="201">
          <cell r="F201" t="str">
            <v>--</v>
          </cell>
        </row>
        <row r="202">
          <cell r="A202" t="str">
            <v>kiwi.com</v>
          </cell>
        </row>
        <row r="202">
          <cell r="C202" t="str">
            <v>15</v>
          </cell>
        </row>
        <row r="202">
          <cell r="F202" t="str">
            <v>--</v>
          </cell>
        </row>
        <row r="203">
          <cell r="A203" t="str">
            <v>kiwi.com</v>
          </cell>
        </row>
        <row r="203">
          <cell r="C203" t="str">
            <v>14</v>
          </cell>
        </row>
        <row r="203">
          <cell r="F203" t="str">
            <v>--</v>
          </cell>
        </row>
        <row r="204">
          <cell r="A204" t="str">
            <v>kiwi.com</v>
          </cell>
        </row>
        <row r="204">
          <cell r="C204" t="str">
            <v>13</v>
          </cell>
        </row>
        <row r="204">
          <cell r="F204" t="str">
            <v>--</v>
          </cell>
        </row>
        <row r="205">
          <cell r="A205" t="str">
            <v>kiwi.com</v>
          </cell>
        </row>
        <row r="205">
          <cell r="C205" t="str">
            <v>12</v>
          </cell>
        </row>
        <row r="205">
          <cell r="F205" t="str">
            <v>--</v>
          </cell>
        </row>
        <row r="206">
          <cell r="A206" t="str">
            <v>kiwi.com</v>
          </cell>
        </row>
        <row r="206">
          <cell r="C206" t="str">
            <v>11</v>
          </cell>
        </row>
        <row r="206">
          <cell r="F206" t="str">
            <v>--</v>
          </cell>
        </row>
        <row r="207">
          <cell r="A207" t="str">
            <v>kiwi.com</v>
          </cell>
        </row>
        <row r="207">
          <cell r="C207" t="str">
            <v>10</v>
          </cell>
        </row>
        <row r="207">
          <cell r="F207">
            <v>0</v>
          </cell>
        </row>
        <row r="208">
          <cell r="A208" t="str">
            <v>kiwi.com</v>
          </cell>
        </row>
        <row r="208">
          <cell r="C208" t="str">
            <v>09</v>
          </cell>
        </row>
        <row r="208">
          <cell r="F208">
            <v>1</v>
          </cell>
        </row>
        <row r="209">
          <cell r="A209" t="str">
            <v>kiwi.com</v>
          </cell>
        </row>
        <row r="209">
          <cell r="C209" t="str">
            <v>08</v>
          </cell>
        </row>
        <row r="209">
          <cell r="F209" t="str">
            <v>--</v>
          </cell>
        </row>
        <row r="210">
          <cell r="A210" t="str">
            <v>kiwi.com</v>
          </cell>
        </row>
        <row r="210">
          <cell r="C210" t="str">
            <v>07</v>
          </cell>
        </row>
        <row r="210">
          <cell r="F210" t="str">
            <v>--</v>
          </cell>
        </row>
        <row r="211">
          <cell r="A211" t="str">
            <v>kiwi.com</v>
          </cell>
        </row>
        <row r="211">
          <cell r="C211" t="str">
            <v>06</v>
          </cell>
        </row>
        <row r="211">
          <cell r="F211" t="str">
            <v>--</v>
          </cell>
        </row>
        <row r="212">
          <cell r="A212" t="str">
            <v>kiwi.com</v>
          </cell>
        </row>
        <row r="212">
          <cell r="C212" t="str">
            <v>05</v>
          </cell>
        </row>
        <row r="212">
          <cell r="F212" t="str">
            <v>--</v>
          </cell>
        </row>
        <row r="213">
          <cell r="A213" t="str">
            <v>kiwi.com</v>
          </cell>
        </row>
        <row r="213">
          <cell r="C213" t="str">
            <v>04</v>
          </cell>
        </row>
        <row r="213">
          <cell r="F213" t="str">
            <v>--</v>
          </cell>
        </row>
        <row r="214">
          <cell r="A214" t="str">
            <v>kiwi.com</v>
          </cell>
        </row>
        <row r="214">
          <cell r="C214" t="str">
            <v>03</v>
          </cell>
        </row>
        <row r="214">
          <cell r="F214" t="str">
            <v>--</v>
          </cell>
        </row>
        <row r="215">
          <cell r="A215" t="str">
            <v>kiwi.com</v>
          </cell>
        </row>
        <row r="215">
          <cell r="C215" t="str">
            <v>02</v>
          </cell>
        </row>
        <row r="215">
          <cell r="F215" t="str">
            <v>--</v>
          </cell>
        </row>
        <row r="216">
          <cell r="A216" t="str">
            <v>kiwi.com</v>
          </cell>
        </row>
        <row r="216">
          <cell r="C216" t="str">
            <v>01</v>
          </cell>
        </row>
        <row r="216">
          <cell r="F216">
            <v>1</v>
          </cell>
        </row>
        <row r="217">
          <cell r="A217" t="str">
            <v>kiwi.com</v>
          </cell>
        </row>
        <row r="217">
          <cell r="C217" t="str">
            <v>00</v>
          </cell>
        </row>
        <row r="217">
          <cell r="F217" t="str">
            <v>--</v>
          </cell>
        </row>
        <row r="218">
          <cell r="A218" t="str">
            <v>billy.com</v>
          </cell>
        </row>
        <row r="218">
          <cell r="C218" t="str">
            <v>23</v>
          </cell>
        </row>
        <row r="218">
          <cell r="F218" t="str">
            <v>--</v>
          </cell>
        </row>
        <row r="219">
          <cell r="A219" t="str">
            <v>billy.com</v>
          </cell>
        </row>
        <row r="219">
          <cell r="C219" t="str">
            <v>22</v>
          </cell>
        </row>
        <row r="219">
          <cell r="F219" t="str">
            <v>--</v>
          </cell>
        </row>
        <row r="220">
          <cell r="A220" t="str">
            <v>billy.com</v>
          </cell>
        </row>
        <row r="220">
          <cell r="C220" t="str">
            <v>21</v>
          </cell>
        </row>
        <row r="220">
          <cell r="F220" t="str">
            <v>--</v>
          </cell>
        </row>
        <row r="221">
          <cell r="A221" t="str">
            <v>billy.com</v>
          </cell>
        </row>
        <row r="221">
          <cell r="C221" t="str">
            <v>20</v>
          </cell>
        </row>
        <row r="221">
          <cell r="F221" t="str">
            <v>--</v>
          </cell>
        </row>
        <row r="222">
          <cell r="A222" t="str">
            <v>billy.com</v>
          </cell>
        </row>
        <row r="222">
          <cell r="C222" t="str">
            <v>19</v>
          </cell>
        </row>
        <row r="222">
          <cell r="F222" t="str">
            <v>--</v>
          </cell>
        </row>
        <row r="223">
          <cell r="A223" t="str">
            <v>billy.com</v>
          </cell>
        </row>
        <row r="223">
          <cell r="C223" t="str">
            <v>18</v>
          </cell>
        </row>
        <row r="223">
          <cell r="F223" t="str">
            <v>--</v>
          </cell>
        </row>
        <row r="224">
          <cell r="A224" t="str">
            <v>billy.com</v>
          </cell>
        </row>
        <row r="224">
          <cell r="C224" t="str">
            <v>17</v>
          </cell>
        </row>
        <row r="224">
          <cell r="F224" t="str">
            <v>--</v>
          </cell>
        </row>
        <row r="225">
          <cell r="A225" t="str">
            <v>billy.com</v>
          </cell>
        </row>
        <row r="225">
          <cell r="C225" t="str">
            <v>16</v>
          </cell>
        </row>
        <row r="225">
          <cell r="F225" t="str">
            <v>--</v>
          </cell>
        </row>
        <row r="226">
          <cell r="A226" t="str">
            <v>billy.com</v>
          </cell>
        </row>
        <row r="226">
          <cell r="C226" t="str">
            <v>15</v>
          </cell>
        </row>
        <row r="226">
          <cell r="F226" t="str">
            <v>--</v>
          </cell>
        </row>
        <row r="227">
          <cell r="A227" t="str">
            <v>billy.com</v>
          </cell>
        </row>
        <row r="227">
          <cell r="C227" t="str">
            <v>14</v>
          </cell>
        </row>
        <row r="227">
          <cell r="F227" t="str">
            <v>--</v>
          </cell>
        </row>
        <row r="228">
          <cell r="A228" t="str">
            <v>billy.com</v>
          </cell>
        </row>
        <row r="228">
          <cell r="C228" t="str">
            <v>13</v>
          </cell>
        </row>
        <row r="228">
          <cell r="F228" t="str">
            <v>--</v>
          </cell>
        </row>
        <row r="229">
          <cell r="A229" t="str">
            <v>billy.com</v>
          </cell>
        </row>
        <row r="229">
          <cell r="C229" t="str">
            <v>12</v>
          </cell>
        </row>
        <row r="229">
          <cell r="F229" t="str">
            <v>--</v>
          </cell>
        </row>
        <row r="230">
          <cell r="A230" t="str">
            <v>billy.com</v>
          </cell>
        </row>
        <row r="230">
          <cell r="C230" t="str">
            <v>11</v>
          </cell>
        </row>
        <row r="230">
          <cell r="F230" t="str">
            <v>--</v>
          </cell>
        </row>
        <row r="231">
          <cell r="A231" t="str">
            <v>billy.com</v>
          </cell>
        </row>
        <row r="231">
          <cell r="C231" t="str">
            <v>10</v>
          </cell>
        </row>
        <row r="231">
          <cell r="F231" t="str">
            <v>--</v>
          </cell>
        </row>
        <row r="232">
          <cell r="A232" t="str">
            <v>billy.com</v>
          </cell>
        </row>
        <row r="232">
          <cell r="C232" t="str">
            <v>09</v>
          </cell>
        </row>
        <row r="232">
          <cell r="F232" t="str">
            <v>--</v>
          </cell>
        </row>
        <row r="233">
          <cell r="A233" t="str">
            <v>billy.com</v>
          </cell>
        </row>
        <row r="233">
          <cell r="C233" t="str">
            <v>08</v>
          </cell>
        </row>
        <row r="233">
          <cell r="F233" t="str">
            <v>--</v>
          </cell>
        </row>
        <row r="234">
          <cell r="A234" t="str">
            <v>billy.com</v>
          </cell>
        </row>
        <row r="234">
          <cell r="C234" t="str">
            <v>07</v>
          </cell>
        </row>
        <row r="234">
          <cell r="F234" t="str">
            <v>--</v>
          </cell>
        </row>
        <row r="235">
          <cell r="A235" t="str">
            <v>billy.com</v>
          </cell>
        </row>
        <row r="235">
          <cell r="C235" t="str">
            <v>06</v>
          </cell>
        </row>
        <row r="235">
          <cell r="F235" t="str">
            <v>--</v>
          </cell>
        </row>
        <row r="236">
          <cell r="A236" t="str">
            <v>billy.com</v>
          </cell>
        </row>
        <row r="236">
          <cell r="C236" t="str">
            <v>05</v>
          </cell>
        </row>
        <row r="236">
          <cell r="F236" t="str">
            <v>--</v>
          </cell>
        </row>
        <row r="237">
          <cell r="A237" t="str">
            <v>billy.com</v>
          </cell>
        </row>
        <row r="237">
          <cell r="C237" t="str">
            <v>04</v>
          </cell>
        </row>
        <row r="237">
          <cell r="F237" t="str">
            <v>--</v>
          </cell>
        </row>
        <row r="238">
          <cell r="A238" t="str">
            <v>billy.com</v>
          </cell>
        </row>
        <row r="238">
          <cell r="C238" t="str">
            <v>03</v>
          </cell>
        </row>
        <row r="238">
          <cell r="F238" t="str">
            <v>--</v>
          </cell>
        </row>
        <row r="239">
          <cell r="A239" t="str">
            <v>billy.com</v>
          </cell>
        </row>
        <row r="239">
          <cell r="C239" t="str">
            <v>02</v>
          </cell>
        </row>
        <row r="239">
          <cell r="F239" t="str">
            <v>--</v>
          </cell>
        </row>
        <row r="240">
          <cell r="A240" t="str">
            <v>billy.com</v>
          </cell>
        </row>
        <row r="240">
          <cell r="C240" t="str">
            <v>01</v>
          </cell>
        </row>
        <row r="240">
          <cell r="F240" t="str">
            <v>--</v>
          </cell>
        </row>
        <row r="241">
          <cell r="A241" t="str">
            <v>billy.com</v>
          </cell>
        </row>
        <row r="241">
          <cell r="C241" t="str">
            <v>00</v>
          </cell>
        </row>
        <row r="241">
          <cell r="F241" t="str">
            <v>--</v>
          </cell>
        </row>
        <row r="242">
          <cell r="A242" t="str">
            <v>dazhi.com</v>
          </cell>
        </row>
        <row r="242">
          <cell r="C242" t="str">
            <v>23</v>
          </cell>
        </row>
        <row r="242">
          <cell r="F242">
            <v>2</v>
          </cell>
        </row>
        <row r="243">
          <cell r="A243" t="str">
            <v>dazhi.com</v>
          </cell>
        </row>
        <row r="243">
          <cell r="C243" t="str">
            <v>22</v>
          </cell>
        </row>
        <row r="243">
          <cell r="F243">
            <v>4</v>
          </cell>
        </row>
        <row r="244">
          <cell r="A244" t="str">
            <v>dazhi.com</v>
          </cell>
        </row>
        <row r="244">
          <cell r="C244" t="str">
            <v>21</v>
          </cell>
        </row>
        <row r="244">
          <cell r="F244">
            <v>3</v>
          </cell>
        </row>
        <row r="245">
          <cell r="A245" t="str">
            <v>dazhi.com</v>
          </cell>
        </row>
        <row r="245">
          <cell r="C245" t="str">
            <v>20</v>
          </cell>
        </row>
        <row r="245">
          <cell r="F245">
            <v>2</v>
          </cell>
        </row>
        <row r="246">
          <cell r="A246" t="str">
            <v>dazhi.com</v>
          </cell>
        </row>
        <row r="246">
          <cell r="C246" t="str">
            <v>19</v>
          </cell>
        </row>
        <row r="246">
          <cell r="F246">
            <v>2</v>
          </cell>
        </row>
        <row r="247">
          <cell r="A247" t="str">
            <v>dazhi.com</v>
          </cell>
        </row>
        <row r="247">
          <cell r="C247" t="str">
            <v>18</v>
          </cell>
        </row>
        <row r="247">
          <cell r="F247">
            <v>3</v>
          </cell>
        </row>
        <row r="248">
          <cell r="A248" t="str">
            <v>dazhi.com</v>
          </cell>
        </row>
        <row r="248">
          <cell r="C248" t="str">
            <v>17</v>
          </cell>
        </row>
        <row r="248">
          <cell r="F248">
            <v>8</v>
          </cell>
        </row>
        <row r="249">
          <cell r="A249" t="str">
            <v>dazhi.com</v>
          </cell>
        </row>
        <row r="249">
          <cell r="C249" t="str">
            <v>16</v>
          </cell>
        </row>
        <row r="249">
          <cell r="F249">
            <v>3</v>
          </cell>
        </row>
        <row r="250">
          <cell r="A250" t="str">
            <v>dazhi.com</v>
          </cell>
        </row>
        <row r="250">
          <cell r="C250" t="str">
            <v>15</v>
          </cell>
        </row>
        <row r="250">
          <cell r="F250">
            <v>3</v>
          </cell>
        </row>
        <row r="251">
          <cell r="A251" t="str">
            <v>dazhi.com</v>
          </cell>
        </row>
        <row r="251">
          <cell r="C251" t="str">
            <v>14</v>
          </cell>
        </row>
        <row r="251">
          <cell r="F251">
            <v>3</v>
          </cell>
        </row>
        <row r="252">
          <cell r="A252" t="str">
            <v>dazhi.com</v>
          </cell>
        </row>
        <row r="252">
          <cell r="C252" t="str">
            <v>13</v>
          </cell>
        </row>
        <row r="252">
          <cell r="F252">
            <v>4</v>
          </cell>
        </row>
        <row r="253">
          <cell r="A253" t="str">
            <v>dazhi.com</v>
          </cell>
        </row>
        <row r="253">
          <cell r="C253" t="str">
            <v>12</v>
          </cell>
        </row>
        <row r="253">
          <cell r="F253">
            <v>7</v>
          </cell>
        </row>
        <row r="254">
          <cell r="A254" t="str">
            <v>dazhi.com</v>
          </cell>
        </row>
        <row r="254">
          <cell r="C254" t="str">
            <v>11</v>
          </cell>
        </row>
        <row r="254">
          <cell r="F254">
            <v>5</v>
          </cell>
        </row>
        <row r="255">
          <cell r="A255" t="str">
            <v>dazhi.com</v>
          </cell>
        </row>
        <row r="255">
          <cell r="C255" t="str">
            <v>10</v>
          </cell>
        </row>
        <row r="255">
          <cell r="F255">
            <v>2</v>
          </cell>
        </row>
        <row r="256">
          <cell r="A256" t="str">
            <v>dazhi.com</v>
          </cell>
        </row>
        <row r="256">
          <cell r="C256" t="str">
            <v>09</v>
          </cell>
        </row>
        <row r="256">
          <cell r="F256">
            <v>3</v>
          </cell>
        </row>
        <row r="257">
          <cell r="A257" t="str">
            <v>dazhi.com</v>
          </cell>
        </row>
        <row r="257">
          <cell r="C257" t="str">
            <v>08</v>
          </cell>
        </row>
        <row r="257">
          <cell r="F257">
            <v>9</v>
          </cell>
        </row>
        <row r="258">
          <cell r="A258" t="str">
            <v>dazhi.com</v>
          </cell>
        </row>
        <row r="258">
          <cell r="C258" t="str">
            <v>07</v>
          </cell>
        </row>
        <row r="258">
          <cell r="F258">
            <v>3</v>
          </cell>
        </row>
        <row r="259">
          <cell r="A259" t="str">
            <v>dazhi.com</v>
          </cell>
        </row>
        <row r="259">
          <cell r="C259" t="str">
            <v>06</v>
          </cell>
        </row>
        <row r="259">
          <cell r="F259">
            <v>3</v>
          </cell>
        </row>
        <row r="260">
          <cell r="A260" t="str">
            <v>dazhi.com</v>
          </cell>
        </row>
        <row r="260">
          <cell r="C260" t="str">
            <v>05</v>
          </cell>
        </row>
        <row r="260">
          <cell r="F260">
            <v>3</v>
          </cell>
        </row>
        <row r="261">
          <cell r="A261" t="str">
            <v>dazhi.com</v>
          </cell>
        </row>
        <row r="261">
          <cell r="C261" t="str">
            <v>04</v>
          </cell>
        </row>
        <row r="261">
          <cell r="F261">
            <v>3</v>
          </cell>
        </row>
        <row r="262">
          <cell r="A262" t="str">
            <v>dazhi.com</v>
          </cell>
        </row>
        <row r="262">
          <cell r="C262" t="str">
            <v>03</v>
          </cell>
        </row>
        <row r="262">
          <cell r="F262">
            <v>5</v>
          </cell>
        </row>
        <row r="263">
          <cell r="A263" t="str">
            <v>dazhi.com</v>
          </cell>
        </row>
        <row r="263">
          <cell r="C263" t="str">
            <v>02</v>
          </cell>
        </row>
        <row r="263">
          <cell r="F263">
            <v>1</v>
          </cell>
        </row>
        <row r="264">
          <cell r="A264" t="str">
            <v>dazhi.com</v>
          </cell>
        </row>
        <row r="264">
          <cell r="C264" t="str">
            <v>01</v>
          </cell>
        </row>
        <row r="264">
          <cell r="F264">
            <v>12</v>
          </cell>
        </row>
        <row r="265">
          <cell r="A265" t="str">
            <v>dazhi.com</v>
          </cell>
        </row>
        <row r="265">
          <cell r="C265" t="str">
            <v>00</v>
          </cell>
        </row>
        <row r="265">
          <cell r="F265">
            <v>5</v>
          </cell>
        </row>
        <row r="266">
          <cell r="A266" t="str">
            <v>redquan.com</v>
          </cell>
        </row>
        <row r="266">
          <cell r="C266" t="str">
            <v>23</v>
          </cell>
        </row>
        <row r="266">
          <cell r="F266">
            <v>224</v>
          </cell>
        </row>
        <row r="267">
          <cell r="A267" t="str">
            <v>redquan.com</v>
          </cell>
        </row>
        <row r="267">
          <cell r="C267" t="str">
            <v>22</v>
          </cell>
        </row>
        <row r="267">
          <cell r="F267">
            <v>241</v>
          </cell>
        </row>
        <row r="268">
          <cell r="A268" t="str">
            <v>redquan.com</v>
          </cell>
        </row>
        <row r="268">
          <cell r="C268" t="str">
            <v>21</v>
          </cell>
        </row>
        <row r="268">
          <cell r="F268">
            <v>336</v>
          </cell>
        </row>
        <row r="269">
          <cell r="A269" t="str">
            <v>redquan.com</v>
          </cell>
        </row>
        <row r="269">
          <cell r="C269" t="str">
            <v>20</v>
          </cell>
        </row>
        <row r="269">
          <cell r="F269">
            <v>197</v>
          </cell>
        </row>
        <row r="270">
          <cell r="A270" t="str">
            <v>redquan.com</v>
          </cell>
        </row>
        <row r="270">
          <cell r="C270" t="str">
            <v>19</v>
          </cell>
        </row>
        <row r="270">
          <cell r="F270">
            <v>172</v>
          </cell>
        </row>
        <row r="271">
          <cell r="A271" t="str">
            <v>redquan.com</v>
          </cell>
        </row>
        <row r="271">
          <cell r="C271" t="str">
            <v>18</v>
          </cell>
        </row>
        <row r="271">
          <cell r="F271">
            <v>135</v>
          </cell>
        </row>
        <row r="272">
          <cell r="A272" t="str">
            <v>redquan.com</v>
          </cell>
        </row>
        <row r="272">
          <cell r="C272" t="str">
            <v>17</v>
          </cell>
        </row>
        <row r="272">
          <cell r="F272">
            <v>168</v>
          </cell>
        </row>
        <row r="273">
          <cell r="A273" t="str">
            <v>redquan.com</v>
          </cell>
        </row>
        <row r="273">
          <cell r="C273" t="str">
            <v>16</v>
          </cell>
        </row>
        <row r="273">
          <cell r="F273">
            <v>160</v>
          </cell>
        </row>
        <row r="274">
          <cell r="A274" t="str">
            <v>redquan.com</v>
          </cell>
        </row>
        <row r="274">
          <cell r="C274" t="str">
            <v>15</v>
          </cell>
        </row>
        <row r="274">
          <cell r="F274">
            <v>186</v>
          </cell>
        </row>
        <row r="275">
          <cell r="A275" t="str">
            <v>redquan.com</v>
          </cell>
        </row>
        <row r="275">
          <cell r="C275" t="str">
            <v>14</v>
          </cell>
        </row>
        <row r="275">
          <cell r="F275">
            <v>164</v>
          </cell>
        </row>
        <row r="276">
          <cell r="A276" t="str">
            <v>redquan.com</v>
          </cell>
        </row>
        <row r="276">
          <cell r="C276" t="str">
            <v>13</v>
          </cell>
        </row>
        <row r="276">
          <cell r="F276">
            <v>152</v>
          </cell>
        </row>
        <row r="277">
          <cell r="A277" t="str">
            <v>redquan.com</v>
          </cell>
        </row>
        <row r="277">
          <cell r="C277" t="str">
            <v>12</v>
          </cell>
        </row>
        <row r="277">
          <cell r="F277">
            <v>126</v>
          </cell>
        </row>
        <row r="278">
          <cell r="A278" t="str">
            <v>redquan.com</v>
          </cell>
        </row>
        <row r="278">
          <cell r="C278" t="str">
            <v>11</v>
          </cell>
        </row>
        <row r="278">
          <cell r="F278">
            <v>130</v>
          </cell>
        </row>
        <row r="279">
          <cell r="A279" t="str">
            <v>redquan.com</v>
          </cell>
        </row>
        <row r="279">
          <cell r="C279" t="str">
            <v>10</v>
          </cell>
        </row>
        <row r="279">
          <cell r="F279">
            <v>97</v>
          </cell>
        </row>
        <row r="280">
          <cell r="A280" t="str">
            <v>redquan.com</v>
          </cell>
        </row>
        <row r="280">
          <cell r="C280" t="str">
            <v>09</v>
          </cell>
        </row>
        <row r="280">
          <cell r="F280">
            <v>112</v>
          </cell>
        </row>
        <row r="281">
          <cell r="A281" t="str">
            <v>redquan.com</v>
          </cell>
        </row>
        <row r="281">
          <cell r="C281" t="str">
            <v>08</v>
          </cell>
        </row>
        <row r="281">
          <cell r="F281">
            <v>98</v>
          </cell>
        </row>
        <row r="282">
          <cell r="A282" t="str">
            <v>redquan.com</v>
          </cell>
        </row>
        <row r="282">
          <cell r="C282" t="str">
            <v>07</v>
          </cell>
        </row>
        <row r="282">
          <cell r="F282">
            <v>74</v>
          </cell>
        </row>
        <row r="283">
          <cell r="A283" t="str">
            <v>redquan.com</v>
          </cell>
        </row>
        <row r="283">
          <cell r="C283" t="str">
            <v>06</v>
          </cell>
        </row>
        <row r="283">
          <cell r="F283">
            <v>50</v>
          </cell>
        </row>
        <row r="284">
          <cell r="A284" t="str">
            <v>redquan.com</v>
          </cell>
        </row>
        <row r="284">
          <cell r="C284" t="str">
            <v>05</v>
          </cell>
        </row>
        <row r="284">
          <cell r="F284">
            <v>47</v>
          </cell>
        </row>
        <row r="285">
          <cell r="A285" t="str">
            <v>redquan.com</v>
          </cell>
        </row>
        <row r="285">
          <cell r="C285" t="str">
            <v>04</v>
          </cell>
        </row>
        <row r="285">
          <cell r="F285">
            <v>73</v>
          </cell>
        </row>
        <row r="286">
          <cell r="A286" t="str">
            <v>redquan.com</v>
          </cell>
        </row>
        <row r="286">
          <cell r="C286" t="str">
            <v>03</v>
          </cell>
        </row>
        <row r="286">
          <cell r="F286">
            <v>82</v>
          </cell>
        </row>
        <row r="287">
          <cell r="A287" t="str">
            <v>redquan.com</v>
          </cell>
        </row>
        <row r="287">
          <cell r="C287" t="str">
            <v>02</v>
          </cell>
        </row>
        <row r="287">
          <cell r="F287">
            <v>94</v>
          </cell>
        </row>
        <row r="288">
          <cell r="A288" t="str">
            <v>redquan.com</v>
          </cell>
        </row>
        <row r="288">
          <cell r="C288" t="str">
            <v>01</v>
          </cell>
        </row>
        <row r="288">
          <cell r="F288">
            <v>151</v>
          </cell>
        </row>
        <row r="289">
          <cell r="A289" t="str">
            <v>redquan.com</v>
          </cell>
        </row>
        <row r="289">
          <cell r="C289" t="str">
            <v>00</v>
          </cell>
        </row>
        <row r="289">
          <cell r="F289">
            <v>176</v>
          </cell>
        </row>
        <row r="290">
          <cell r="A290" t="str">
            <v>zed.com</v>
          </cell>
        </row>
        <row r="290">
          <cell r="C290" t="str">
            <v>23</v>
          </cell>
        </row>
        <row r="290">
          <cell r="F290">
            <v>311</v>
          </cell>
        </row>
        <row r="291">
          <cell r="A291" t="str">
            <v>zed.com</v>
          </cell>
        </row>
        <row r="291">
          <cell r="C291" t="str">
            <v>22</v>
          </cell>
        </row>
        <row r="291">
          <cell r="F291">
            <v>302</v>
          </cell>
        </row>
        <row r="292">
          <cell r="A292" t="str">
            <v>zed.com</v>
          </cell>
        </row>
        <row r="292">
          <cell r="C292" t="str">
            <v>21</v>
          </cell>
        </row>
        <row r="292">
          <cell r="F292">
            <v>250</v>
          </cell>
        </row>
        <row r="293">
          <cell r="A293" t="str">
            <v>zed.com</v>
          </cell>
        </row>
        <row r="293">
          <cell r="C293" t="str">
            <v>20</v>
          </cell>
        </row>
        <row r="293">
          <cell r="F293">
            <v>228</v>
          </cell>
        </row>
        <row r="294">
          <cell r="A294" t="str">
            <v>zed.com</v>
          </cell>
        </row>
        <row r="294">
          <cell r="C294" t="str">
            <v>19</v>
          </cell>
        </row>
        <row r="294">
          <cell r="F294">
            <v>192</v>
          </cell>
        </row>
        <row r="295">
          <cell r="A295" t="str">
            <v>zed.com</v>
          </cell>
        </row>
        <row r="295">
          <cell r="C295" t="str">
            <v>18</v>
          </cell>
        </row>
        <row r="295">
          <cell r="F295">
            <v>204</v>
          </cell>
        </row>
        <row r="296">
          <cell r="A296" t="str">
            <v>zed.com</v>
          </cell>
        </row>
        <row r="296">
          <cell r="C296" t="str">
            <v>17</v>
          </cell>
        </row>
        <row r="296">
          <cell r="F296">
            <v>246</v>
          </cell>
        </row>
        <row r="297">
          <cell r="A297" t="str">
            <v>zed.com</v>
          </cell>
        </row>
        <row r="297">
          <cell r="C297" t="str">
            <v>16</v>
          </cell>
        </row>
        <row r="297">
          <cell r="F297">
            <v>219</v>
          </cell>
        </row>
        <row r="298">
          <cell r="A298" t="str">
            <v>zed.com</v>
          </cell>
        </row>
        <row r="298">
          <cell r="C298" t="str">
            <v>15</v>
          </cell>
        </row>
        <row r="298">
          <cell r="F298">
            <v>235</v>
          </cell>
        </row>
        <row r="299">
          <cell r="A299" t="str">
            <v>zed.com</v>
          </cell>
        </row>
        <row r="299">
          <cell r="C299" t="str">
            <v>14</v>
          </cell>
        </row>
        <row r="299">
          <cell r="F299">
            <v>237</v>
          </cell>
        </row>
        <row r="300">
          <cell r="A300" t="str">
            <v>zed.com</v>
          </cell>
        </row>
        <row r="300">
          <cell r="C300" t="str">
            <v>13</v>
          </cell>
        </row>
        <row r="300">
          <cell r="F300">
            <v>261</v>
          </cell>
        </row>
        <row r="301">
          <cell r="A301" t="str">
            <v>zed.com</v>
          </cell>
        </row>
        <row r="301">
          <cell r="C301" t="str">
            <v>12</v>
          </cell>
        </row>
        <row r="301">
          <cell r="F301">
            <v>234</v>
          </cell>
        </row>
        <row r="302">
          <cell r="A302" t="str">
            <v>zed.com</v>
          </cell>
        </row>
        <row r="302">
          <cell r="C302" t="str">
            <v>11</v>
          </cell>
        </row>
        <row r="302">
          <cell r="F302">
            <v>225</v>
          </cell>
        </row>
        <row r="303">
          <cell r="A303" t="str">
            <v>zed.com</v>
          </cell>
        </row>
        <row r="303">
          <cell r="C303" t="str">
            <v>10</v>
          </cell>
        </row>
        <row r="303">
          <cell r="F303">
            <v>218</v>
          </cell>
        </row>
        <row r="304">
          <cell r="A304" t="str">
            <v>zed.com</v>
          </cell>
        </row>
        <row r="304">
          <cell r="C304" t="str">
            <v>09</v>
          </cell>
        </row>
        <row r="304">
          <cell r="F304">
            <v>241</v>
          </cell>
        </row>
        <row r="305">
          <cell r="A305" t="str">
            <v>zed.com</v>
          </cell>
        </row>
        <row r="305">
          <cell r="C305" t="str">
            <v>08</v>
          </cell>
        </row>
        <row r="305">
          <cell r="F305">
            <v>175</v>
          </cell>
        </row>
        <row r="306">
          <cell r="A306" t="str">
            <v>zed.com</v>
          </cell>
        </row>
        <row r="306">
          <cell r="C306" t="str">
            <v>07</v>
          </cell>
        </row>
        <row r="306">
          <cell r="F306">
            <v>137</v>
          </cell>
        </row>
        <row r="307">
          <cell r="A307" t="str">
            <v>zed.com</v>
          </cell>
        </row>
        <row r="307">
          <cell r="C307" t="str">
            <v>06</v>
          </cell>
        </row>
        <row r="307">
          <cell r="F307">
            <v>97</v>
          </cell>
        </row>
        <row r="308">
          <cell r="A308" t="str">
            <v>zed.com</v>
          </cell>
        </row>
        <row r="308">
          <cell r="C308" t="str">
            <v>05</v>
          </cell>
        </row>
        <row r="308">
          <cell r="F308">
            <v>92</v>
          </cell>
        </row>
        <row r="309">
          <cell r="A309" t="str">
            <v>zed.com</v>
          </cell>
        </row>
        <row r="309">
          <cell r="C309" t="str">
            <v>04</v>
          </cell>
        </row>
        <row r="309">
          <cell r="F309">
            <v>95</v>
          </cell>
        </row>
        <row r="310">
          <cell r="A310" t="str">
            <v>zed.com</v>
          </cell>
        </row>
        <row r="310">
          <cell r="C310" t="str">
            <v>03</v>
          </cell>
        </row>
        <row r="310">
          <cell r="F310">
            <v>99</v>
          </cell>
        </row>
        <row r="311">
          <cell r="A311" t="str">
            <v>zed.com</v>
          </cell>
        </row>
        <row r="311">
          <cell r="C311" t="str">
            <v>02</v>
          </cell>
        </row>
        <row r="311">
          <cell r="F311">
            <v>126</v>
          </cell>
        </row>
        <row r="312">
          <cell r="A312" t="str">
            <v>zed.com</v>
          </cell>
        </row>
        <row r="312">
          <cell r="C312" t="str">
            <v>01</v>
          </cell>
        </row>
        <row r="312">
          <cell r="F312">
            <v>167</v>
          </cell>
        </row>
        <row r="313">
          <cell r="A313" t="str">
            <v>zed.com</v>
          </cell>
        </row>
        <row r="313">
          <cell r="C313" t="str">
            <v>00</v>
          </cell>
        </row>
        <row r="313">
          <cell r="F313">
            <v>262</v>
          </cell>
        </row>
        <row r="314">
          <cell r="A314" t="str">
            <v>hugo.com</v>
          </cell>
        </row>
        <row r="314">
          <cell r="C314" t="str">
            <v>23</v>
          </cell>
        </row>
        <row r="314">
          <cell r="F314">
            <v>6</v>
          </cell>
        </row>
        <row r="315">
          <cell r="A315" t="str">
            <v>hugo.com</v>
          </cell>
        </row>
        <row r="315">
          <cell r="C315" t="str">
            <v>22</v>
          </cell>
        </row>
        <row r="315">
          <cell r="F315">
            <v>6</v>
          </cell>
        </row>
        <row r="316">
          <cell r="A316" t="str">
            <v>hugo.com</v>
          </cell>
        </row>
        <row r="316">
          <cell r="C316" t="str">
            <v>21</v>
          </cell>
        </row>
        <row r="316">
          <cell r="F316">
            <v>5</v>
          </cell>
        </row>
        <row r="317">
          <cell r="A317" t="str">
            <v>hugo.com</v>
          </cell>
        </row>
        <row r="317">
          <cell r="C317" t="str">
            <v>20</v>
          </cell>
        </row>
        <row r="317">
          <cell r="F317">
            <v>6</v>
          </cell>
        </row>
        <row r="318">
          <cell r="A318" t="str">
            <v>hugo.com</v>
          </cell>
        </row>
        <row r="318">
          <cell r="C318" t="str">
            <v>19</v>
          </cell>
        </row>
        <row r="318">
          <cell r="F318">
            <v>6</v>
          </cell>
        </row>
        <row r="319">
          <cell r="A319" t="str">
            <v>hugo.com</v>
          </cell>
        </row>
        <row r="319">
          <cell r="C319" t="str">
            <v>18</v>
          </cell>
        </row>
        <row r="319">
          <cell r="F319">
            <v>3</v>
          </cell>
        </row>
        <row r="320">
          <cell r="A320" t="str">
            <v>hugo.com</v>
          </cell>
        </row>
        <row r="320">
          <cell r="C320" t="str">
            <v>17</v>
          </cell>
        </row>
        <row r="320">
          <cell r="F320">
            <v>5</v>
          </cell>
        </row>
        <row r="321">
          <cell r="A321" t="str">
            <v>hugo.com</v>
          </cell>
        </row>
        <row r="321">
          <cell r="C321" t="str">
            <v>16</v>
          </cell>
        </row>
        <row r="321">
          <cell r="F321">
            <v>7</v>
          </cell>
        </row>
        <row r="322">
          <cell r="A322" t="str">
            <v>hugo.com</v>
          </cell>
        </row>
        <row r="322">
          <cell r="C322" t="str">
            <v>15</v>
          </cell>
        </row>
        <row r="322">
          <cell r="F322">
            <v>5</v>
          </cell>
        </row>
        <row r="323">
          <cell r="A323" t="str">
            <v>hugo.com</v>
          </cell>
        </row>
        <row r="323">
          <cell r="C323" t="str">
            <v>14</v>
          </cell>
        </row>
        <row r="323">
          <cell r="F323">
            <v>6</v>
          </cell>
        </row>
        <row r="324">
          <cell r="A324" t="str">
            <v>hugo.com</v>
          </cell>
        </row>
        <row r="324">
          <cell r="C324" t="str">
            <v>13</v>
          </cell>
        </row>
        <row r="324">
          <cell r="F324">
            <v>4</v>
          </cell>
        </row>
        <row r="325">
          <cell r="A325" t="str">
            <v>hugo.com</v>
          </cell>
        </row>
        <row r="325">
          <cell r="C325" t="str">
            <v>12</v>
          </cell>
        </row>
        <row r="325">
          <cell r="F325">
            <v>3</v>
          </cell>
        </row>
        <row r="326">
          <cell r="A326" t="str">
            <v>hugo.com</v>
          </cell>
        </row>
        <row r="326">
          <cell r="C326" t="str">
            <v>11</v>
          </cell>
        </row>
        <row r="326">
          <cell r="F326">
            <v>3</v>
          </cell>
        </row>
        <row r="327">
          <cell r="A327" t="str">
            <v>hugo.com</v>
          </cell>
        </row>
        <row r="327">
          <cell r="C327" t="str">
            <v>10</v>
          </cell>
        </row>
        <row r="327">
          <cell r="F327">
            <v>6</v>
          </cell>
        </row>
        <row r="328">
          <cell r="A328" t="str">
            <v>hugo.com</v>
          </cell>
        </row>
        <row r="328">
          <cell r="C328" t="str">
            <v>09</v>
          </cell>
        </row>
        <row r="328">
          <cell r="F328">
            <v>2</v>
          </cell>
        </row>
        <row r="329">
          <cell r="A329" t="str">
            <v>hugo.com</v>
          </cell>
        </row>
        <row r="329">
          <cell r="C329" t="str">
            <v>08</v>
          </cell>
        </row>
        <row r="329">
          <cell r="F329">
            <v>5</v>
          </cell>
        </row>
        <row r="330">
          <cell r="A330" t="str">
            <v>hugo.com</v>
          </cell>
        </row>
        <row r="330">
          <cell r="C330" t="str">
            <v>07</v>
          </cell>
        </row>
        <row r="330">
          <cell r="F330">
            <v>3</v>
          </cell>
        </row>
        <row r="331">
          <cell r="A331" t="str">
            <v>hugo.com</v>
          </cell>
        </row>
        <row r="331">
          <cell r="C331" t="str">
            <v>06</v>
          </cell>
        </row>
        <row r="331">
          <cell r="F331">
            <v>1</v>
          </cell>
        </row>
        <row r="332">
          <cell r="A332" t="str">
            <v>hugo.com</v>
          </cell>
        </row>
        <row r="332">
          <cell r="C332" t="str">
            <v>05</v>
          </cell>
        </row>
        <row r="332">
          <cell r="F332">
            <v>1</v>
          </cell>
        </row>
        <row r="333">
          <cell r="A333" t="str">
            <v>hugo.com</v>
          </cell>
        </row>
        <row r="333">
          <cell r="C333" t="str">
            <v>04</v>
          </cell>
        </row>
        <row r="333">
          <cell r="F333">
            <v>2</v>
          </cell>
        </row>
        <row r="334">
          <cell r="A334" t="str">
            <v>hugo.com</v>
          </cell>
        </row>
        <row r="334">
          <cell r="C334" t="str">
            <v>03</v>
          </cell>
        </row>
        <row r="334">
          <cell r="F334">
            <v>1</v>
          </cell>
        </row>
        <row r="335">
          <cell r="A335" t="str">
            <v>hugo.com</v>
          </cell>
        </row>
        <row r="335">
          <cell r="C335" t="str">
            <v>02</v>
          </cell>
        </row>
        <row r="335">
          <cell r="F335">
            <v>4</v>
          </cell>
        </row>
        <row r="336">
          <cell r="A336" t="str">
            <v>hugo.com</v>
          </cell>
        </row>
        <row r="336">
          <cell r="C336" t="str">
            <v>01</v>
          </cell>
        </row>
        <row r="336">
          <cell r="F336">
            <v>6</v>
          </cell>
        </row>
        <row r="337">
          <cell r="A337" t="str">
            <v>hugo.com</v>
          </cell>
        </row>
        <row r="337">
          <cell r="C337" t="str">
            <v>00</v>
          </cell>
        </row>
        <row r="337">
          <cell r="F337">
            <v>7</v>
          </cell>
        </row>
        <row r="338">
          <cell r="A338" t="str">
            <v>maxmile.com</v>
          </cell>
        </row>
        <row r="338">
          <cell r="C338" t="str">
            <v>23</v>
          </cell>
        </row>
        <row r="338">
          <cell r="F338">
            <v>21</v>
          </cell>
        </row>
        <row r="339">
          <cell r="A339" t="str">
            <v>maxmile.com</v>
          </cell>
        </row>
        <row r="339">
          <cell r="C339" t="str">
            <v>22</v>
          </cell>
        </row>
        <row r="339">
          <cell r="F339">
            <v>17</v>
          </cell>
        </row>
        <row r="340">
          <cell r="A340" t="str">
            <v>maxmile.com</v>
          </cell>
        </row>
        <row r="340">
          <cell r="C340" t="str">
            <v>21</v>
          </cell>
        </row>
        <row r="340">
          <cell r="F340">
            <v>18</v>
          </cell>
        </row>
        <row r="341">
          <cell r="A341" t="str">
            <v>maxmile.com</v>
          </cell>
        </row>
        <row r="341">
          <cell r="C341" t="str">
            <v>20</v>
          </cell>
        </row>
        <row r="341">
          <cell r="F341">
            <v>14</v>
          </cell>
        </row>
        <row r="342">
          <cell r="A342" t="str">
            <v>maxmile.com</v>
          </cell>
        </row>
        <row r="342">
          <cell r="C342" t="str">
            <v>19</v>
          </cell>
        </row>
        <row r="342">
          <cell r="F342">
            <v>15</v>
          </cell>
        </row>
        <row r="343">
          <cell r="A343" t="str">
            <v>maxmile.com</v>
          </cell>
        </row>
        <row r="343">
          <cell r="C343" t="str">
            <v>18</v>
          </cell>
        </row>
        <row r="343">
          <cell r="F343">
            <v>15</v>
          </cell>
        </row>
        <row r="344">
          <cell r="A344" t="str">
            <v>maxmile.com</v>
          </cell>
        </row>
        <row r="344">
          <cell r="C344" t="str">
            <v>17</v>
          </cell>
        </row>
        <row r="344">
          <cell r="F344">
            <v>9</v>
          </cell>
        </row>
        <row r="345">
          <cell r="A345" t="str">
            <v>maxmile.com</v>
          </cell>
        </row>
        <row r="345">
          <cell r="C345" t="str">
            <v>16</v>
          </cell>
        </row>
        <row r="345">
          <cell r="F345">
            <v>15</v>
          </cell>
        </row>
        <row r="346">
          <cell r="A346" t="str">
            <v>maxmile.com</v>
          </cell>
        </row>
        <row r="346">
          <cell r="C346" t="str">
            <v>15</v>
          </cell>
        </row>
        <row r="346">
          <cell r="F346">
            <v>16</v>
          </cell>
        </row>
        <row r="347">
          <cell r="A347" t="str">
            <v>maxmile.com</v>
          </cell>
        </row>
        <row r="347">
          <cell r="C347" t="str">
            <v>14</v>
          </cell>
        </row>
        <row r="347">
          <cell r="F347">
            <v>15</v>
          </cell>
        </row>
        <row r="348">
          <cell r="A348" t="str">
            <v>maxmile.com</v>
          </cell>
        </row>
        <row r="348">
          <cell r="C348" t="str">
            <v>13</v>
          </cell>
        </row>
        <row r="348">
          <cell r="F348">
            <v>14</v>
          </cell>
        </row>
        <row r="349">
          <cell r="A349" t="str">
            <v>maxmile.com</v>
          </cell>
        </row>
        <row r="349">
          <cell r="C349" t="str">
            <v>12</v>
          </cell>
        </row>
        <row r="349">
          <cell r="F349">
            <v>9</v>
          </cell>
        </row>
        <row r="350">
          <cell r="A350" t="str">
            <v>maxmile.com</v>
          </cell>
        </row>
        <row r="350">
          <cell r="C350" t="str">
            <v>11</v>
          </cell>
        </row>
        <row r="350">
          <cell r="F350">
            <v>11</v>
          </cell>
        </row>
        <row r="351">
          <cell r="A351" t="str">
            <v>maxmile.com</v>
          </cell>
        </row>
        <row r="351">
          <cell r="C351" t="str">
            <v>10</v>
          </cell>
        </row>
        <row r="351">
          <cell r="F351">
            <v>12</v>
          </cell>
        </row>
        <row r="352">
          <cell r="A352" t="str">
            <v>maxmile.com</v>
          </cell>
        </row>
        <row r="352">
          <cell r="C352" t="str">
            <v>09</v>
          </cell>
        </row>
        <row r="352">
          <cell r="F352">
            <v>8</v>
          </cell>
        </row>
        <row r="353">
          <cell r="A353" t="str">
            <v>maxmile.com</v>
          </cell>
        </row>
        <row r="353">
          <cell r="C353" t="str">
            <v>08</v>
          </cell>
        </row>
        <row r="353">
          <cell r="F353">
            <v>12</v>
          </cell>
        </row>
        <row r="354">
          <cell r="A354" t="str">
            <v>maxmile.com</v>
          </cell>
        </row>
        <row r="354">
          <cell r="C354" t="str">
            <v>07</v>
          </cell>
        </row>
        <row r="354">
          <cell r="F354">
            <v>5</v>
          </cell>
        </row>
        <row r="355">
          <cell r="A355" t="str">
            <v>maxmile.com</v>
          </cell>
        </row>
        <row r="355">
          <cell r="C355" t="str">
            <v>06</v>
          </cell>
        </row>
        <row r="355">
          <cell r="F355">
            <v>4</v>
          </cell>
        </row>
        <row r="356">
          <cell r="A356" t="str">
            <v>maxmile.com</v>
          </cell>
        </row>
        <row r="356">
          <cell r="C356" t="str">
            <v>05</v>
          </cell>
        </row>
        <row r="356">
          <cell r="F356">
            <v>6</v>
          </cell>
        </row>
        <row r="357">
          <cell r="A357" t="str">
            <v>maxmile.com</v>
          </cell>
        </row>
        <row r="357">
          <cell r="C357" t="str">
            <v>04</v>
          </cell>
        </row>
        <row r="357">
          <cell r="F357">
            <v>4</v>
          </cell>
        </row>
        <row r="358">
          <cell r="A358" t="str">
            <v>maxmile.com</v>
          </cell>
        </row>
        <row r="358">
          <cell r="C358" t="str">
            <v>03</v>
          </cell>
        </row>
        <row r="358">
          <cell r="F358">
            <v>12</v>
          </cell>
        </row>
        <row r="359">
          <cell r="A359" t="str">
            <v>maxmile.com</v>
          </cell>
        </row>
        <row r="359">
          <cell r="C359" t="str">
            <v>02</v>
          </cell>
        </row>
        <row r="359">
          <cell r="F359">
            <v>5</v>
          </cell>
        </row>
        <row r="360">
          <cell r="A360" t="str">
            <v>maxmile.com</v>
          </cell>
        </row>
        <row r="360">
          <cell r="C360" t="str">
            <v>01</v>
          </cell>
        </row>
        <row r="360">
          <cell r="F360">
            <v>9</v>
          </cell>
        </row>
        <row r="361">
          <cell r="A361" t="str">
            <v>maxmile.com</v>
          </cell>
        </row>
        <row r="361">
          <cell r="C361" t="str">
            <v>00</v>
          </cell>
        </row>
        <row r="361">
          <cell r="F361">
            <v>19</v>
          </cell>
        </row>
        <row r="362">
          <cell r="A362" t="str">
            <v>mulu.com</v>
          </cell>
        </row>
        <row r="362">
          <cell r="C362" t="str">
            <v>23</v>
          </cell>
        </row>
        <row r="362">
          <cell r="F362">
            <v>21</v>
          </cell>
        </row>
        <row r="363">
          <cell r="A363" t="str">
            <v>mulu.com</v>
          </cell>
        </row>
        <row r="363">
          <cell r="C363" t="str">
            <v>22</v>
          </cell>
        </row>
        <row r="363">
          <cell r="F363">
            <v>17</v>
          </cell>
        </row>
        <row r="364">
          <cell r="A364" t="str">
            <v>mulu.com</v>
          </cell>
        </row>
        <row r="364">
          <cell r="C364" t="str">
            <v>21</v>
          </cell>
        </row>
        <row r="364">
          <cell r="F364">
            <v>18</v>
          </cell>
        </row>
        <row r="365">
          <cell r="A365" t="str">
            <v>mulu.com</v>
          </cell>
        </row>
        <row r="365">
          <cell r="C365" t="str">
            <v>20</v>
          </cell>
        </row>
        <row r="365">
          <cell r="F365">
            <v>13</v>
          </cell>
        </row>
        <row r="366">
          <cell r="A366" t="str">
            <v>mulu.com</v>
          </cell>
        </row>
        <row r="366">
          <cell r="C366" t="str">
            <v>19</v>
          </cell>
        </row>
        <row r="366">
          <cell r="F366">
            <v>15</v>
          </cell>
        </row>
        <row r="367">
          <cell r="A367" t="str">
            <v>mulu.com</v>
          </cell>
        </row>
        <row r="367">
          <cell r="C367" t="str">
            <v>18</v>
          </cell>
        </row>
        <row r="367">
          <cell r="F367">
            <v>15</v>
          </cell>
        </row>
        <row r="368">
          <cell r="A368" t="str">
            <v>mulu.com</v>
          </cell>
        </row>
        <row r="368">
          <cell r="C368" t="str">
            <v>17</v>
          </cell>
        </row>
        <row r="368">
          <cell r="F368">
            <v>9</v>
          </cell>
        </row>
        <row r="369">
          <cell r="A369" t="str">
            <v>mulu.com</v>
          </cell>
        </row>
        <row r="369">
          <cell r="C369" t="str">
            <v>16</v>
          </cell>
        </row>
        <row r="369">
          <cell r="F369">
            <v>8</v>
          </cell>
        </row>
        <row r="370">
          <cell r="A370" t="str">
            <v>mulu.com</v>
          </cell>
        </row>
        <row r="370">
          <cell r="C370" t="str">
            <v>15</v>
          </cell>
        </row>
        <row r="370">
          <cell r="F370">
            <v>17</v>
          </cell>
        </row>
        <row r="371">
          <cell r="A371" t="str">
            <v>mulu.com</v>
          </cell>
        </row>
        <row r="371">
          <cell r="C371" t="str">
            <v>14</v>
          </cell>
        </row>
        <row r="371">
          <cell r="F371">
            <v>15</v>
          </cell>
        </row>
        <row r="372">
          <cell r="A372" t="str">
            <v>mulu.com</v>
          </cell>
        </row>
        <row r="372">
          <cell r="C372" t="str">
            <v>13</v>
          </cell>
        </row>
        <row r="372">
          <cell r="F372">
            <v>15</v>
          </cell>
        </row>
        <row r="373">
          <cell r="A373" t="str">
            <v>mulu.com</v>
          </cell>
        </row>
        <row r="373">
          <cell r="C373" t="str">
            <v>12</v>
          </cell>
        </row>
        <row r="373">
          <cell r="F373">
            <v>9</v>
          </cell>
        </row>
        <row r="374">
          <cell r="A374" t="str">
            <v>mulu.com</v>
          </cell>
        </row>
        <row r="374">
          <cell r="C374" t="str">
            <v>11</v>
          </cell>
        </row>
        <row r="374">
          <cell r="F374">
            <v>11</v>
          </cell>
        </row>
        <row r="375">
          <cell r="A375" t="str">
            <v>mulu.com</v>
          </cell>
        </row>
        <row r="375">
          <cell r="C375" t="str">
            <v>10</v>
          </cell>
        </row>
        <row r="375">
          <cell r="F375">
            <v>12</v>
          </cell>
        </row>
        <row r="376">
          <cell r="A376" t="str">
            <v>mulu.com</v>
          </cell>
        </row>
        <row r="376">
          <cell r="C376" t="str">
            <v>09</v>
          </cell>
        </row>
        <row r="376">
          <cell r="F376">
            <v>8</v>
          </cell>
        </row>
        <row r="377">
          <cell r="A377" t="str">
            <v>mulu.com</v>
          </cell>
        </row>
        <row r="377">
          <cell r="C377" t="str">
            <v>08</v>
          </cell>
        </row>
        <row r="377">
          <cell r="F377">
            <v>12</v>
          </cell>
        </row>
        <row r="378">
          <cell r="A378" t="str">
            <v>mulu.com</v>
          </cell>
        </row>
        <row r="378">
          <cell r="C378" t="str">
            <v>07</v>
          </cell>
        </row>
        <row r="378">
          <cell r="F378">
            <v>5</v>
          </cell>
        </row>
        <row r="379">
          <cell r="A379" t="str">
            <v>mulu.com</v>
          </cell>
        </row>
        <row r="379">
          <cell r="C379" t="str">
            <v>06</v>
          </cell>
        </row>
        <row r="379">
          <cell r="F379">
            <v>3</v>
          </cell>
        </row>
        <row r="380">
          <cell r="A380" t="str">
            <v>mulu.com</v>
          </cell>
        </row>
        <row r="380">
          <cell r="C380" t="str">
            <v>05</v>
          </cell>
        </row>
        <row r="380">
          <cell r="F380">
            <v>6</v>
          </cell>
        </row>
        <row r="381">
          <cell r="A381" t="str">
            <v>mulu.com</v>
          </cell>
        </row>
        <row r="381">
          <cell r="C381" t="str">
            <v>04</v>
          </cell>
        </row>
        <row r="381">
          <cell r="F381">
            <v>4</v>
          </cell>
        </row>
        <row r="382">
          <cell r="A382" t="str">
            <v>mulu.com</v>
          </cell>
        </row>
        <row r="382">
          <cell r="C382" t="str">
            <v>03</v>
          </cell>
        </row>
        <row r="382">
          <cell r="F382">
            <v>12</v>
          </cell>
        </row>
        <row r="383">
          <cell r="A383" t="str">
            <v>mulu.com</v>
          </cell>
        </row>
        <row r="383">
          <cell r="C383" t="str">
            <v>02</v>
          </cell>
        </row>
        <row r="383">
          <cell r="F383">
            <v>5</v>
          </cell>
        </row>
        <row r="384">
          <cell r="A384" t="str">
            <v>mulu.com</v>
          </cell>
        </row>
        <row r="384">
          <cell r="C384" t="str">
            <v>01</v>
          </cell>
        </row>
        <row r="384">
          <cell r="F384">
            <v>9</v>
          </cell>
        </row>
        <row r="385">
          <cell r="A385" t="str">
            <v>mulu.com</v>
          </cell>
        </row>
        <row r="385">
          <cell r="C385" t="str">
            <v>00</v>
          </cell>
        </row>
        <row r="385">
          <cell r="F385">
            <v>14</v>
          </cell>
        </row>
        <row r="386">
          <cell r="A386" t="str">
            <v>aber.com</v>
          </cell>
        </row>
        <row r="386">
          <cell r="C386" t="str">
            <v>23</v>
          </cell>
        </row>
        <row r="386">
          <cell r="F386">
            <v>459</v>
          </cell>
        </row>
        <row r="387">
          <cell r="A387" t="str">
            <v>aber.com</v>
          </cell>
        </row>
        <row r="387">
          <cell r="C387" t="str">
            <v>22</v>
          </cell>
        </row>
        <row r="387">
          <cell r="F387">
            <v>405</v>
          </cell>
        </row>
        <row r="388">
          <cell r="A388" t="str">
            <v>aber.com</v>
          </cell>
        </row>
        <row r="388">
          <cell r="C388" t="str">
            <v>21</v>
          </cell>
        </row>
        <row r="388">
          <cell r="F388">
            <v>403</v>
          </cell>
        </row>
        <row r="389">
          <cell r="A389" t="str">
            <v>aber.com</v>
          </cell>
        </row>
        <row r="389">
          <cell r="C389" t="str">
            <v>20</v>
          </cell>
        </row>
        <row r="389">
          <cell r="F389">
            <v>381</v>
          </cell>
        </row>
        <row r="390">
          <cell r="A390" t="str">
            <v>aber.com</v>
          </cell>
        </row>
        <row r="390">
          <cell r="C390" t="str">
            <v>19</v>
          </cell>
        </row>
        <row r="390">
          <cell r="F390">
            <v>337</v>
          </cell>
        </row>
        <row r="391">
          <cell r="A391" t="str">
            <v>aber.com</v>
          </cell>
        </row>
        <row r="391">
          <cell r="C391" t="str">
            <v>18</v>
          </cell>
        </row>
        <row r="391">
          <cell r="F391">
            <v>367</v>
          </cell>
        </row>
        <row r="392">
          <cell r="A392" t="str">
            <v>aber.com</v>
          </cell>
        </row>
        <row r="392">
          <cell r="C392" t="str">
            <v>17</v>
          </cell>
        </row>
        <row r="392">
          <cell r="F392">
            <v>407</v>
          </cell>
        </row>
        <row r="393">
          <cell r="A393" t="str">
            <v>aber.com</v>
          </cell>
        </row>
        <row r="393">
          <cell r="C393" t="str">
            <v>16</v>
          </cell>
        </row>
        <row r="393">
          <cell r="F393">
            <v>430</v>
          </cell>
        </row>
        <row r="394">
          <cell r="A394" t="str">
            <v>aber.com</v>
          </cell>
        </row>
        <row r="394">
          <cell r="C394" t="str">
            <v>15</v>
          </cell>
        </row>
        <row r="394">
          <cell r="F394">
            <v>456</v>
          </cell>
        </row>
        <row r="395">
          <cell r="A395" t="str">
            <v>aber.com</v>
          </cell>
        </row>
        <row r="395">
          <cell r="C395" t="str">
            <v>14</v>
          </cell>
        </row>
        <row r="395">
          <cell r="F395">
            <v>395</v>
          </cell>
        </row>
        <row r="396">
          <cell r="A396" t="str">
            <v>aber.com</v>
          </cell>
        </row>
        <row r="396">
          <cell r="C396" t="str">
            <v>13</v>
          </cell>
        </row>
        <row r="396">
          <cell r="F396">
            <v>365</v>
          </cell>
        </row>
        <row r="397">
          <cell r="A397" t="str">
            <v>aber.com</v>
          </cell>
        </row>
        <row r="397">
          <cell r="C397" t="str">
            <v>12</v>
          </cell>
        </row>
        <row r="397">
          <cell r="F397">
            <v>305</v>
          </cell>
        </row>
        <row r="398">
          <cell r="A398" t="str">
            <v>aber.com</v>
          </cell>
        </row>
        <row r="398">
          <cell r="C398" t="str">
            <v>11</v>
          </cell>
        </row>
        <row r="398">
          <cell r="F398">
            <v>343</v>
          </cell>
        </row>
        <row r="399">
          <cell r="A399" t="str">
            <v>aber.com</v>
          </cell>
        </row>
        <row r="399">
          <cell r="C399" t="str">
            <v>10</v>
          </cell>
        </row>
        <row r="399">
          <cell r="F399">
            <v>327</v>
          </cell>
        </row>
        <row r="400">
          <cell r="A400" t="str">
            <v>aber.com</v>
          </cell>
        </row>
        <row r="400">
          <cell r="C400" t="str">
            <v>09</v>
          </cell>
        </row>
        <row r="400">
          <cell r="F400">
            <v>318</v>
          </cell>
        </row>
        <row r="401">
          <cell r="A401" t="str">
            <v>aber.com</v>
          </cell>
        </row>
        <row r="401">
          <cell r="C401" t="str">
            <v>08</v>
          </cell>
        </row>
        <row r="401">
          <cell r="F401">
            <v>208</v>
          </cell>
        </row>
        <row r="402">
          <cell r="A402" t="str">
            <v>aber.com</v>
          </cell>
        </row>
        <row r="402">
          <cell r="C402" t="str">
            <v>07</v>
          </cell>
        </row>
        <row r="402">
          <cell r="F402">
            <v>124</v>
          </cell>
        </row>
        <row r="403">
          <cell r="A403" t="str">
            <v>aber.com</v>
          </cell>
        </row>
        <row r="403">
          <cell r="C403" t="str">
            <v>06</v>
          </cell>
        </row>
        <row r="403">
          <cell r="F403">
            <v>78</v>
          </cell>
        </row>
        <row r="404">
          <cell r="A404" t="str">
            <v>aber.com</v>
          </cell>
        </row>
        <row r="404">
          <cell r="C404" t="str">
            <v>05</v>
          </cell>
        </row>
        <row r="404">
          <cell r="F404">
            <v>96</v>
          </cell>
        </row>
        <row r="405">
          <cell r="A405" t="str">
            <v>aber.com</v>
          </cell>
        </row>
        <row r="405">
          <cell r="C405" t="str">
            <v>04</v>
          </cell>
        </row>
        <row r="405">
          <cell r="F405">
            <v>130</v>
          </cell>
        </row>
        <row r="406">
          <cell r="A406" t="str">
            <v>aber.com</v>
          </cell>
        </row>
        <row r="406">
          <cell r="C406" t="str">
            <v>03</v>
          </cell>
        </row>
        <row r="406">
          <cell r="F406">
            <v>130</v>
          </cell>
        </row>
        <row r="407">
          <cell r="A407" t="str">
            <v>aber.com</v>
          </cell>
        </row>
        <row r="407">
          <cell r="C407" t="str">
            <v>02</v>
          </cell>
        </row>
        <row r="407">
          <cell r="F407">
            <v>203</v>
          </cell>
        </row>
        <row r="408">
          <cell r="A408" t="str">
            <v>aber.com</v>
          </cell>
        </row>
        <row r="408">
          <cell r="C408" t="str">
            <v>01</v>
          </cell>
        </row>
        <row r="408">
          <cell r="F408">
            <v>260</v>
          </cell>
        </row>
        <row r="409">
          <cell r="A409" t="str">
            <v>aber.com</v>
          </cell>
        </row>
        <row r="409">
          <cell r="C409" t="str">
            <v>00</v>
          </cell>
        </row>
        <row r="409">
          <cell r="F409">
            <v>398</v>
          </cell>
        </row>
        <row r="410">
          <cell r="A410" t="str">
            <v>tonyb.com</v>
          </cell>
        </row>
        <row r="410">
          <cell r="C410" t="str">
            <v>23</v>
          </cell>
        </row>
        <row r="410">
          <cell r="F410">
            <v>43</v>
          </cell>
        </row>
        <row r="411">
          <cell r="A411" t="str">
            <v>tonyb.com</v>
          </cell>
        </row>
        <row r="411">
          <cell r="C411" t="str">
            <v>22</v>
          </cell>
        </row>
        <row r="411">
          <cell r="F411">
            <v>30</v>
          </cell>
        </row>
        <row r="412">
          <cell r="A412" t="str">
            <v>tonyb.com</v>
          </cell>
        </row>
        <row r="412">
          <cell r="C412" t="str">
            <v>21</v>
          </cell>
        </row>
        <row r="412">
          <cell r="F412">
            <v>38</v>
          </cell>
        </row>
        <row r="413">
          <cell r="A413" t="str">
            <v>tonyb.com</v>
          </cell>
        </row>
        <row r="413">
          <cell r="C413" t="str">
            <v>20</v>
          </cell>
        </row>
        <row r="413">
          <cell r="F413">
            <v>28</v>
          </cell>
        </row>
        <row r="414">
          <cell r="A414" t="str">
            <v>tonyb.com</v>
          </cell>
        </row>
        <row r="414">
          <cell r="C414" t="str">
            <v>19</v>
          </cell>
        </row>
        <row r="414">
          <cell r="F414">
            <v>18</v>
          </cell>
        </row>
        <row r="415">
          <cell r="A415" t="str">
            <v>tonyb.com</v>
          </cell>
        </row>
        <row r="415">
          <cell r="C415" t="str">
            <v>18</v>
          </cell>
        </row>
        <row r="415">
          <cell r="F415">
            <v>28</v>
          </cell>
        </row>
        <row r="416">
          <cell r="A416" t="str">
            <v>tonyb.com</v>
          </cell>
        </row>
        <row r="416">
          <cell r="C416" t="str">
            <v>17</v>
          </cell>
        </row>
        <row r="416">
          <cell r="F416">
            <v>36</v>
          </cell>
        </row>
        <row r="417">
          <cell r="A417" t="str">
            <v>tonyb.com</v>
          </cell>
        </row>
        <row r="417">
          <cell r="C417" t="str">
            <v>16</v>
          </cell>
        </row>
        <row r="417">
          <cell r="F417">
            <v>35</v>
          </cell>
        </row>
        <row r="418">
          <cell r="A418" t="str">
            <v>tonyb.com</v>
          </cell>
        </row>
        <row r="418">
          <cell r="C418" t="str">
            <v>15</v>
          </cell>
        </row>
        <row r="418">
          <cell r="F418">
            <v>36</v>
          </cell>
        </row>
        <row r="419">
          <cell r="A419" t="str">
            <v>tonyb.com</v>
          </cell>
        </row>
        <row r="419">
          <cell r="C419" t="str">
            <v>14</v>
          </cell>
        </row>
        <row r="419">
          <cell r="F419">
            <v>24</v>
          </cell>
        </row>
        <row r="420">
          <cell r="A420" t="str">
            <v>tonyb.com</v>
          </cell>
        </row>
        <row r="420">
          <cell r="C420" t="str">
            <v>13</v>
          </cell>
        </row>
        <row r="420">
          <cell r="F420">
            <v>32</v>
          </cell>
        </row>
        <row r="421">
          <cell r="A421" t="str">
            <v>tonyb.com</v>
          </cell>
        </row>
        <row r="421">
          <cell r="C421" t="str">
            <v>12</v>
          </cell>
        </row>
        <row r="421">
          <cell r="F421">
            <v>25</v>
          </cell>
        </row>
        <row r="422">
          <cell r="A422" t="str">
            <v>tonyb.com</v>
          </cell>
        </row>
        <row r="422">
          <cell r="C422" t="str">
            <v>11</v>
          </cell>
        </row>
        <row r="422">
          <cell r="F422">
            <v>22</v>
          </cell>
        </row>
        <row r="423">
          <cell r="A423" t="str">
            <v>tonyb.com</v>
          </cell>
        </row>
        <row r="423">
          <cell r="C423" t="str">
            <v>10</v>
          </cell>
        </row>
        <row r="423">
          <cell r="F423">
            <v>20</v>
          </cell>
        </row>
        <row r="424">
          <cell r="A424" t="str">
            <v>tonyb.com</v>
          </cell>
        </row>
        <row r="424">
          <cell r="C424" t="str">
            <v>09</v>
          </cell>
        </row>
        <row r="424">
          <cell r="F424">
            <v>20</v>
          </cell>
        </row>
        <row r="425">
          <cell r="A425" t="str">
            <v>tonyb.com</v>
          </cell>
        </row>
        <row r="425">
          <cell r="C425" t="str">
            <v>08</v>
          </cell>
        </row>
        <row r="425">
          <cell r="F425">
            <v>21</v>
          </cell>
        </row>
        <row r="426">
          <cell r="A426" t="str">
            <v>tonyb.com</v>
          </cell>
        </row>
        <row r="426">
          <cell r="C426" t="str">
            <v>07</v>
          </cell>
        </row>
        <row r="426">
          <cell r="F426">
            <v>6</v>
          </cell>
        </row>
        <row r="427">
          <cell r="A427" t="str">
            <v>tonyb.com</v>
          </cell>
        </row>
        <row r="427">
          <cell r="C427" t="str">
            <v>06</v>
          </cell>
        </row>
        <row r="427">
          <cell r="F427">
            <v>10</v>
          </cell>
        </row>
        <row r="428">
          <cell r="A428" t="str">
            <v>tonyb.com</v>
          </cell>
        </row>
        <row r="428">
          <cell r="C428" t="str">
            <v>05</v>
          </cell>
        </row>
        <row r="428">
          <cell r="F428">
            <v>7</v>
          </cell>
        </row>
        <row r="429">
          <cell r="A429" t="str">
            <v>tonyb.com</v>
          </cell>
        </row>
        <row r="429">
          <cell r="C429" t="str">
            <v>04</v>
          </cell>
        </row>
        <row r="429">
          <cell r="F429">
            <v>12</v>
          </cell>
        </row>
        <row r="430">
          <cell r="A430" t="str">
            <v>tonyb.com</v>
          </cell>
        </row>
        <row r="430">
          <cell r="C430" t="str">
            <v>03</v>
          </cell>
        </row>
        <row r="430">
          <cell r="F430">
            <v>17</v>
          </cell>
        </row>
        <row r="431">
          <cell r="A431" t="str">
            <v>tonyb.com</v>
          </cell>
        </row>
        <row r="431">
          <cell r="C431" t="str">
            <v>02</v>
          </cell>
        </row>
        <row r="431">
          <cell r="F431">
            <v>17</v>
          </cell>
        </row>
        <row r="432">
          <cell r="A432" t="str">
            <v>tonyb.com</v>
          </cell>
        </row>
        <row r="432">
          <cell r="C432" t="str">
            <v>01</v>
          </cell>
        </row>
        <row r="432">
          <cell r="F432">
            <v>24</v>
          </cell>
        </row>
        <row r="433">
          <cell r="A433" t="str">
            <v>tonyb.com</v>
          </cell>
        </row>
        <row r="433">
          <cell r="C433" t="str">
            <v>00</v>
          </cell>
        </row>
        <row r="433">
          <cell r="F433">
            <v>19</v>
          </cell>
        </row>
        <row r="434">
          <cell r="A434" t="str">
            <v>ben.com</v>
          </cell>
        </row>
        <row r="434">
          <cell r="C434" t="str">
            <v>23</v>
          </cell>
        </row>
        <row r="434">
          <cell r="F434">
            <v>123</v>
          </cell>
        </row>
        <row r="435">
          <cell r="A435" t="str">
            <v>ben.com</v>
          </cell>
        </row>
        <row r="435">
          <cell r="C435" t="str">
            <v>22</v>
          </cell>
        </row>
        <row r="435">
          <cell r="F435">
            <v>166</v>
          </cell>
        </row>
        <row r="436">
          <cell r="A436" t="str">
            <v>ben.com</v>
          </cell>
        </row>
        <row r="436">
          <cell r="C436" t="str">
            <v>21</v>
          </cell>
        </row>
        <row r="436">
          <cell r="F436">
            <v>227</v>
          </cell>
        </row>
        <row r="437">
          <cell r="A437" t="str">
            <v>ben.com</v>
          </cell>
        </row>
        <row r="437">
          <cell r="C437" t="str">
            <v>20</v>
          </cell>
        </row>
        <row r="437">
          <cell r="F437">
            <v>135</v>
          </cell>
        </row>
        <row r="438">
          <cell r="A438" t="str">
            <v>ben.com</v>
          </cell>
        </row>
        <row r="438">
          <cell r="C438" t="str">
            <v>19</v>
          </cell>
        </row>
        <row r="438">
          <cell r="F438">
            <v>108</v>
          </cell>
        </row>
        <row r="439">
          <cell r="A439" t="str">
            <v>ben.com</v>
          </cell>
        </row>
        <row r="439">
          <cell r="C439" t="str">
            <v>18</v>
          </cell>
        </row>
        <row r="439">
          <cell r="F439">
            <v>132</v>
          </cell>
        </row>
        <row r="440">
          <cell r="A440" t="str">
            <v>ben.com</v>
          </cell>
        </row>
        <row r="440">
          <cell r="C440" t="str">
            <v>17</v>
          </cell>
        </row>
        <row r="440">
          <cell r="F440">
            <v>129</v>
          </cell>
        </row>
        <row r="441">
          <cell r="A441" t="str">
            <v>ben.com</v>
          </cell>
        </row>
        <row r="441">
          <cell r="C441" t="str">
            <v>16</v>
          </cell>
        </row>
        <row r="441">
          <cell r="F441">
            <v>160</v>
          </cell>
        </row>
        <row r="442">
          <cell r="A442" t="str">
            <v>ben.com</v>
          </cell>
        </row>
        <row r="442">
          <cell r="C442" t="str">
            <v>15</v>
          </cell>
        </row>
        <row r="442">
          <cell r="F442">
            <v>134</v>
          </cell>
        </row>
        <row r="443">
          <cell r="A443" t="str">
            <v>ben.com</v>
          </cell>
        </row>
        <row r="443">
          <cell r="C443" t="str">
            <v>14</v>
          </cell>
        </row>
        <row r="443">
          <cell r="F443">
            <v>139</v>
          </cell>
        </row>
        <row r="444">
          <cell r="A444" t="str">
            <v>ben.com</v>
          </cell>
        </row>
        <row r="444">
          <cell r="C444" t="str">
            <v>13</v>
          </cell>
        </row>
        <row r="444">
          <cell r="F444">
            <v>112</v>
          </cell>
        </row>
        <row r="445">
          <cell r="A445" t="str">
            <v>ben.com</v>
          </cell>
        </row>
        <row r="445">
          <cell r="C445" t="str">
            <v>12</v>
          </cell>
        </row>
        <row r="445">
          <cell r="F445">
            <v>126</v>
          </cell>
        </row>
        <row r="446">
          <cell r="A446" t="str">
            <v>ben.com</v>
          </cell>
        </row>
        <row r="446">
          <cell r="C446" t="str">
            <v>11</v>
          </cell>
        </row>
        <row r="446">
          <cell r="F446">
            <v>137</v>
          </cell>
        </row>
        <row r="447">
          <cell r="A447" t="str">
            <v>ben.com</v>
          </cell>
        </row>
        <row r="447">
          <cell r="C447" t="str">
            <v>10</v>
          </cell>
        </row>
        <row r="447">
          <cell r="F447">
            <v>115</v>
          </cell>
        </row>
        <row r="448">
          <cell r="A448" t="str">
            <v>ben.com</v>
          </cell>
        </row>
        <row r="448">
          <cell r="C448" t="str">
            <v>09</v>
          </cell>
        </row>
        <row r="448">
          <cell r="F448">
            <v>128</v>
          </cell>
        </row>
        <row r="449">
          <cell r="A449" t="str">
            <v>ben.com</v>
          </cell>
        </row>
        <row r="449">
          <cell r="C449" t="str">
            <v>08</v>
          </cell>
        </row>
        <row r="449">
          <cell r="F449">
            <v>76</v>
          </cell>
        </row>
        <row r="450">
          <cell r="A450" t="str">
            <v>ben.com</v>
          </cell>
        </row>
        <row r="450">
          <cell r="C450" t="str">
            <v>07</v>
          </cell>
        </row>
        <row r="450">
          <cell r="F450">
            <v>117</v>
          </cell>
        </row>
        <row r="451">
          <cell r="A451" t="str">
            <v>ben.com</v>
          </cell>
        </row>
        <row r="451">
          <cell r="C451" t="str">
            <v>06</v>
          </cell>
        </row>
        <row r="451">
          <cell r="F451">
            <v>31</v>
          </cell>
        </row>
        <row r="452">
          <cell r="A452" t="str">
            <v>ben.com</v>
          </cell>
        </row>
        <row r="452">
          <cell r="C452" t="str">
            <v>05</v>
          </cell>
        </row>
        <row r="452">
          <cell r="F452">
            <v>23</v>
          </cell>
        </row>
        <row r="453">
          <cell r="A453" t="str">
            <v>ben.com</v>
          </cell>
        </row>
        <row r="453">
          <cell r="C453" t="str">
            <v>04</v>
          </cell>
        </row>
        <row r="453">
          <cell r="F453">
            <v>18</v>
          </cell>
        </row>
        <row r="454">
          <cell r="A454" t="str">
            <v>ben.com</v>
          </cell>
        </row>
        <row r="454">
          <cell r="C454" t="str">
            <v>03</v>
          </cell>
        </row>
        <row r="454">
          <cell r="F454">
            <v>28</v>
          </cell>
        </row>
        <row r="455">
          <cell r="A455" t="str">
            <v>ben.com</v>
          </cell>
        </row>
        <row r="455">
          <cell r="C455" t="str">
            <v>02</v>
          </cell>
        </row>
        <row r="455">
          <cell r="F455">
            <v>45</v>
          </cell>
        </row>
        <row r="456">
          <cell r="A456" t="str">
            <v>ben.com</v>
          </cell>
        </row>
        <row r="456">
          <cell r="C456" t="str">
            <v>01</v>
          </cell>
        </row>
        <row r="456">
          <cell r="F456">
            <v>69</v>
          </cell>
        </row>
        <row r="457">
          <cell r="A457" t="str">
            <v>ben.com</v>
          </cell>
        </row>
        <row r="457">
          <cell r="C457" t="str">
            <v>00</v>
          </cell>
        </row>
        <row r="457">
          <cell r="F457">
            <v>87</v>
          </cell>
        </row>
        <row r="458">
          <cell r="A458" t="str">
            <v>dk.com</v>
          </cell>
        </row>
        <row r="458">
          <cell r="C458" t="str">
            <v>23</v>
          </cell>
        </row>
        <row r="458">
          <cell r="F458">
            <v>80</v>
          </cell>
        </row>
        <row r="459">
          <cell r="A459" t="str">
            <v>dk.com</v>
          </cell>
        </row>
        <row r="459">
          <cell r="C459" t="str">
            <v>22</v>
          </cell>
        </row>
        <row r="459">
          <cell r="F459">
            <v>80</v>
          </cell>
        </row>
        <row r="460">
          <cell r="A460" t="str">
            <v>dk.com</v>
          </cell>
        </row>
        <row r="460">
          <cell r="C460" t="str">
            <v>21</v>
          </cell>
        </row>
        <row r="460">
          <cell r="F460">
            <v>81</v>
          </cell>
        </row>
        <row r="461">
          <cell r="A461" t="str">
            <v>dk.com</v>
          </cell>
        </row>
        <row r="461">
          <cell r="C461" t="str">
            <v>20</v>
          </cell>
        </row>
        <row r="461">
          <cell r="F461">
            <v>91</v>
          </cell>
        </row>
        <row r="462">
          <cell r="A462" t="str">
            <v>dk.com</v>
          </cell>
        </row>
        <row r="462">
          <cell r="C462" t="str">
            <v>19</v>
          </cell>
        </row>
        <row r="462">
          <cell r="F462">
            <v>74</v>
          </cell>
        </row>
        <row r="463">
          <cell r="A463" t="str">
            <v>dk.com</v>
          </cell>
        </row>
        <row r="463">
          <cell r="C463" t="str">
            <v>18</v>
          </cell>
        </row>
        <row r="463">
          <cell r="F463">
            <v>74</v>
          </cell>
        </row>
        <row r="464">
          <cell r="A464" t="str">
            <v>dk.com</v>
          </cell>
        </row>
        <row r="464">
          <cell r="C464" t="str">
            <v>17</v>
          </cell>
        </row>
        <row r="464">
          <cell r="F464">
            <v>90</v>
          </cell>
        </row>
        <row r="465">
          <cell r="A465" t="str">
            <v>dk.com</v>
          </cell>
        </row>
        <row r="465">
          <cell r="C465" t="str">
            <v>16</v>
          </cell>
        </row>
        <row r="465">
          <cell r="F465">
            <v>89</v>
          </cell>
        </row>
        <row r="466">
          <cell r="A466" t="str">
            <v>dk.com</v>
          </cell>
        </row>
        <row r="466">
          <cell r="C466" t="str">
            <v>15</v>
          </cell>
        </row>
        <row r="466">
          <cell r="F466">
            <v>93</v>
          </cell>
        </row>
        <row r="467">
          <cell r="A467" t="str">
            <v>dk.com</v>
          </cell>
        </row>
        <row r="467">
          <cell r="C467" t="str">
            <v>14</v>
          </cell>
        </row>
        <row r="467">
          <cell r="F467">
            <v>99</v>
          </cell>
        </row>
        <row r="468">
          <cell r="A468" t="str">
            <v>dk.com</v>
          </cell>
        </row>
        <row r="468">
          <cell r="C468" t="str">
            <v>13</v>
          </cell>
        </row>
        <row r="468">
          <cell r="F468">
            <v>89</v>
          </cell>
        </row>
        <row r="469">
          <cell r="A469" t="str">
            <v>dk.com</v>
          </cell>
        </row>
        <row r="469">
          <cell r="C469" t="str">
            <v>12</v>
          </cell>
        </row>
        <row r="469">
          <cell r="F469">
            <v>67</v>
          </cell>
        </row>
        <row r="470">
          <cell r="A470" t="str">
            <v>dk.com</v>
          </cell>
        </row>
        <row r="470">
          <cell r="C470" t="str">
            <v>11</v>
          </cell>
        </row>
        <row r="470">
          <cell r="F470">
            <v>63</v>
          </cell>
        </row>
        <row r="471">
          <cell r="A471" t="str">
            <v>dk.com</v>
          </cell>
        </row>
        <row r="471">
          <cell r="C471" t="str">
            <v>10</v>
          </cell>
        </row>
        <row r="471">
          <cell r="F471">
            <v>59</v>
          </cell>
        </row>
        <row r="472">
          <cell r="A472" t="str">
            <v>dk.com</v>
          </cell>
        </row>
        <row r="472">
          <cell r="C472" t="str">
            <v>09</v>
          </cell>
        </row>
        <row r="472">
          <cell r="F472">
            <v>62</v>
          </cell>
        </row>
        <row r="473">
          <cell r="A473" t="str">
            <v>dk.com</v>
          </cell>
        </row>
        <row r="473">
          <cell r="C473" t="str">
            <v>08</v>
          </cell>
        </row>
        <row r="473">
          <cell r="F473">
            <v>37</v>
          </cell>
        </row>
        <row r="474">
          <cell r="A474" t="str">
            <v>dk.com</v>
          </cell>
        </row>
        <row r="474">
          <cell r="C474" t="str">
            <v>07</v>
          </cell>
        </row>
        <row r="474">
          <cell r="F474">
            <v>35</v>
          </cell>
        </row>
        <row r="475">
          <cell r="A475" t="str">
            <v>dk.com</v>
          </cell>
        </row>
        <row r="475">
          <cell r="C475" t="str">
            <v>06</v>
          </cell>
        </row>
        <row r="475">
          <cell r="F475">
            <v>25</v>
          </cell>
        </row>
        <row r="476">
          <cell r="A476" t="str">
            <v>dk.com</v>
          </cell>
        </row>
        <row r="476">
          <cell r="C476" t="str">
            <v>05</v>
          </cell>
        </row>
        <row r="476">
          <cell r="F476">
            <v>18</v>
          </cell>
        </row>
        <row r="477">
          <cell r="A477" t="str">
            <v>dk.com</v>
          </cell>
        </row>
        <row r="477">
          <cell r="C477" t="str">
            <v>04</v>
          </cell>
        </row>
        <row r="477">
          <cell r="F477">
            <v>32</v>
          </cell>
        </row>
        <row r="478">
          <cell r="A478" t="str">
            <v>dk.com</v>
          </cell>
        </row>
        <row r="478">
          <cell r="C478" t="str">
            <v>03</v>
          </cell>
        </row>
        <row r="478">
          <cell r="F478">
            <v>34</v>
          </cell>
        </row>
        <row r="479">
          <cell r="A479" t="str">
            <v>dk.com</v>
          </cell>
        </row>
        <row r="479">
          <cell r="C479" t="str">
            <v>02</v>
          </cell>
        </row>
        <row r="479">
          <cell r="F479">
            <v>35</v>
          </cell>
        </row>
        <row r="480">
          <cell r="A480" t="str">
            <v>dk.com</v>
          </cell>
        </row>
        <row r="480">
          <cell r="C480" t="str">
            <v>01</v>
          </cell>
        </row>
        <row r="480">
          <cell r="F480">
            <v>47</v>
          </cell>
        </row>
        <row r="481">
          <cell r="A481" t="str">
            <v>dk.com</v>
          </cell>
        </row>
        <row r="481">
          <cell r="C481" t="str">
            <v>00</v>
          </cell>
        </row>
        <row r="481">
          <cell r="F481">
            <v>71</v>
          </cell>
        </row>
        <row r="482">
          <cell r="A482" t="str">
            <v>billy.com</v>
          </cell>
        </row>
        <row r="482">
          <cell r="C482" t="str">
            <v>23</v>
          </cell>
        </row>
        <row r="482">
          <cell r="F482" t="str">
            <v>--</v>
          </cell>
        </row>
        <row r="483">
          <cell r="A483" t="str">
            <v>billy.com</v>
          </cell>
        </row>
        <row r="483">
          <cell r="C483" t="str">
            <v>22</v>
          </cell>
        </row>
        <row r="483">
          <cell r="F483" t="str">
            <v>--</v>
          </cell>
        </row>
        <row r="484">
          <cell r="A484" t="str">
            <v>billy.com</v>
          </cell>
        </row>
        <row r="484">
          <cell r="C484" t="str">
            <v>21</v>
          </cell>
        </row>
        <row r="484">
          <cell r="F484" t="str">
            <v>--</v>
          </cell>
        </row>
        <row r="485">
          <cell r="A485" t="str">
            <v>billy.com</v>
          </cell>
        </row>
        <row r="485">
          <cell r="C485" t="str">
            <v>20</v>
          </cell>
        </row>
        <row r="485">
          <cell r="F485" t="str">
            <v>--</v>
          </cell>
        </row>
        <row r="486">
          <cell r="A486" t="str">
            <v>billy.com</v>
          </cell>
        </row>
        <row r="486">
          <cell r="C486" t="str">
            <v>19</v>
          </cell>
        </row>
        <row r="486">
          <cell r="F486" t="str">
            <v>--</v>
          </cell>
        </row>
        <row r="487">
          <cell r="A487" t="str">
            <v>billy.com</v>
          </cell>
        </row>
        <row r="487">
          <cell r="C487" t="str">
            <v>18</v>
          </cell>
        </row>
        <row r="487">
          <cell r="F487" t="str">
            <v>--</v>
          </cell>
        </row>
        <row r="488">
          <cell r="A488" t="str">
            <v>billy.com</v>
          </cell>
        </row>
        <row r="488">
          <cell r="C488" t="str">
            <v>17</v>
          </cell>
        </row>
        <row r="488">
          <cell r="F488" t="str">
            <v>--</v>
          </cell>
        </row>
        <row r="489">
          <cell r="A489" t="str">
            <v>billy.com</v>
          </cell>
        </row>
        <row r="489">
          <cell r="C489" t="str">
            <v>16</v>
          </cell>
        </row>
        <row r="489">
          <cell r="F489" t="str">
            <v>--</v>
          </cell>
        </row>
        <row r="490">
          <cell r="A490" t="str">
            <v>billy.com</v>
          </cell>
        </row>
        <row r="490">
          <cell r="C490" t="str">
            <v>15</v>
          </cell>
        </row>
        <row r="490">
          <cell r="F490" t="str">
            <v>--</v>
          </cell>
        </row>
        <row r="491">
          <cell r="A491" t="str">
            <v>billy.com</v>
          </cell>
        </row>
        <row r="491">
          <cell r="C491" t="str">
            <v>14</v>
          </cell>
        </row>
        <row r="491">
          <cell r="F491" t="str">
            <v>--</v>
          </cell>
        </row>
        <row r="492">
          <cell r="A492" t="str">
            <v>billy.com</v>
          </cell>
        </row>
        <row r="492">
          <cell r="C492" t="str">
            <v>13</v>
          </cell>
        </row>
        <row r="492">
          <cell r="F492" t="str">
            <v>--</v>
          </cell>
        </row>
        <row r="493">
          <cell r="A493" t="str">
            <v>billy.com</v>
          </cell>
        </row>
        <row r="493">
          <cell r="C493" t="str">
            <v>12</v>
          </cell>
        </row>
        <row r="493">
          <cell r="F493" t="str">
            <v>--</v>
          </cell>
        </row>
        <row r="494">
          <cell r="A494" t="str">
            <v>billy.com</v>
          </cell>
        </row>
        <row r="494">
          <cell r="C494" t="str">
            <v>11</v>
          </cell>
        </row>
        <row r="494">
          <cell r="F494" t="str">
            <v>--</v>
          </cell>
        </row>
        <row r="495">
          <cell r="A495" t="str">
            <v>billy.com</v>
          </cell>
        </row>
        <row r="495">
          <cell r="C495" t="str">
            <v>10</v>
          </cell>
        </row>
        <row r="495">
          <cell r="F495" t="str">
            <v>--</v>
          </cell>
        </row>
        <row r="496">
          <cell r="A496" t="str">
            <v>billy.com</v>
          </cell>
        </row>
        <row r="496">
          <cell r="C496" t="str">
            <v>09</v>
          </cell>
        </row>
        <row r="496">
          <cell r="F496" t="str">
            <v>--</v>
          </cell>
        </row>
        <row r="497">
          <cell r="A497" t="str">
            <v>billy.com</v>
          </cell>
        </row>
        <row r="497">
          <cell r="C497" t="str">
            <v>08</v>
          </cell>
        </row>
        <row r="497">
          <cell r="F497" t="str">
            <v>--</v>
          </cell>
        </row>
        <row r="498">
          <cell r="A498" t="str">
            <v>billy.com</v>
          </cell>
        </row>
        <row r="498">
          <cell r="C498" t="str">
            <v>07</v>
          </cell>
        </row>
        <row r="498">
          <cell r="F498" t="str">
            <v>--</v>
          </cell>
        </row>
        <row r="499">
          <cell r="A499" t="str">
            <v>billy.com</v>
          </cell>
        </row>
        <row r="499">
          <cell r="C499" t="str">
            <v>06</v>
          </cell>
        </row>
        <row r="499">
          <cell r="F499" t="str">
            <v>--</v>
          </cell>
        </row>
        <row r="500">
          <cell r="A500" t="str">
            <v>billy.com</v>
          </cell>
        </row>
        <row r="500">
          <cell r="C500" t="str">
            <v>05</v>
          </cell>
        </row>
        <row r="500">
          <cell r="F500" t="str">
            <v>--</v>
          </cell>
        </row>
        <row r="501">
          <cell r="A501" t="str">
            <v>billy.com</v>
          </cell>
        </row>
        <row r="501">
          <cell r="C501" t="str">
            <v>04</v>
          </cell>
        </row>
        <row r="501">
          <cell r="F501" t="str">
            <v>--</v>
          </cell>
        </row>
        <row r="502">
          <cell r="A502" t="str">
            <v>billy.com</v>
          </cell>
        </row>
        <row r="502">
          <cell r="C502" t="str">
            <v>03</v>
          </cell>
        </row>
        <row r="502">
          <cell r="F502" t="str">
            <v>--</v>
          </cell>
        </row>
        <row r="503">
          <cell r="A503" t="str">
            <v>billy.com</v>
          </cell>
        </row>
        <row r="503">
          <cell r="C503" t="str">
            <v>02</v>
          </cell>
        </row>
        <row r="503">
          <cell r="F503" t="str">
            <v>--</v>
          </cell>
        </row>
        <row r="504">
          <cell r="A504" t="str">
            <v>billy.com</v>
          </cell>
        </row>
        <row r="504">
          <cell r="C504" t="str">
            <v>01</v>
          </cell>
        </row>
        <row r="504">
          <cell r="F504" t="str">
            <v>--</v>
          </cell>
        </row>
        <row r="505">
          <cell r="A505" t="str">
            <v>billy.com</v>
          </cell>
        </row>
        <row r="505">
          <cell r="C505" t="str">
            <v>00</v>
          </cell>
        </row>
        <row r="505">
          <cell r="F505" t="str">
            <v>--</v>
          </cell>
        </row>
        <row r="506">
          <cell r="A506" t="str">
            <v>zed.zz</v>
          </cell>
        </row>
        <row r="506">
          <cell r="C506" t="str">
            <v>23</v>
          </cell>
        </row>
        <row r="506">
          <cell r="F506" t="str">
            <v>--</v>
          </cell>
        </row>
        <row r="507">
          <cell r="A507" t="str">
            <v>zed.zz</v>
          </cell>
        </row>
        <row r="507">
          <cell r="C507" t="str">
            <v>22</v>
          </cell>
        </row>
        <row r="507">
          <cell r="F507" t="str">
            <v>--</v>
          </cell>
        </row>
        <row r="508">
          <cell r="A508" t="str">
            <v>zed.zz</v>
          </cell>
        </row>
        <row r="508">
          <cell r="C508" t="str">
            <v>21</v>
          </cell>
        </row>
        <row r="508">
          <cell r="F508" t="str">
            <v>--</v>
          </cell>
        </row>
        <row r="509">
          <cell r="A509" t="str">
            <v>zed.zz</v>
          </cell>
        </row>
        <row r="509">
          <cell r="C509" t="str">
            <v>20</v>
          </cell>
        </row>
        <row r="509">
          <cell r="F509" t="str">
            <v>--</v>
          </cell>
        </row>
        <row r="510">
          <cell r="A510" t="str">
            <v>zed.zz</v>
          </cell>
        </row>
        <row r="510">
          <cell r="C510" t="str">
            <v>19</v>
          </cell>
        </row>
        <row r="510">
          <cell r="F510" t="str">
            <v>--</v>
          </cell>
        </row>
        <row r="511">
          <cell r="A511" t="str">
            <v>zed.zz</v>
          </cell>
        </row>
        <row r="511">
          <cell r="C511" t="str">
            <v>18</v>
          </cell>
        </row>
        <row r="511">
          <cell r="F511" t="str">
            <v>--</v>
          </cell>
        </row>
        <row r="512">
          <cell r="A512" t="str">
            <v>zed.zz</v>
          </cell>
        </row>
        <row r="512">
          <cell r="C512" t="str">
            <v>17</v>
          </cell>
        </row>
        <row r="512">
          <cell r="F512" t="str">
            <v>--</v>
          </cell>
        </row>
        <row r="513">
          <cell r="A513" t="str">
            <v>zed.zz</v>
          </cell>
        </row>
        <row r="513">
          <cell r="C513" t="str">
            <v>16</v>
          </cell>
        </row>
        <row r="513">
          <cell r="F513" t="str">
            <v>--</v>
          </cell>
        </row>
        <row r="514">
          <cell r="A514" t="str">
            <v>zed.zz</v>
          </cell>
        </row>
        <row r="514">
          <cell r="C514" t="str">
            <v>15</v>
          </cell>
        </row>
        <row r="514">
          <cell r="F514" t="str">
            <v>--</v>
          </cell>
        </row>
        <row r="515">
          <cell r="A515" t="str">
            <v>zed.zz</v>
          </cell>
        </row>
        <row r="515">
          <cell r="C515" t="str">
            <v>14</v>
          </cell>
        </row>
        <row r="515">
          <cell r="F515" t="str">
            <v>--</v>
          </cell>
        </row>
        <row r="516">
          <cell r="A516" t="str">
            <v>zed.zz</v>
          </cell>
        </row>
        <row r="516">
          <cell r="C516" t="str">
            <v>13</v>
          </cell>
        </row>
        <row r="516">
          <cell r="F516" t="str">
            <v>--</v>
          </cell>
        </row>
        <row r="517">
          <cell r="A517" t="str">
            <v>zed.zz</v>
          </cell>
        </row>
        <row r="517">
          <cell r="C517" t="str">
            <v>12</v>
          </cell>
        </row>
        <row r="517">
          <cell r="F517" t="str">
            <v>--</v>
          </cell>
        </row>
        <row r="518">
          <cell r="A518" t="str">
            <v>zed.zz</v>
          </cell>
        </row>
        <row r="518">
          <cell r="C518" t="str">
            <v>11</v>
          </cell>
        </row>
        <row r="518">
          <cell r="F518" t="str">
            <v>--</v>
          </cell>
        </row>
        <row r="519">
          <cell r="A519" t="str">
            <v>zed.zz</v>
          </cell>
        </row>
        <row r="519">
          <cell r="C519" t="str">
            <v>10</v>
          </cell>
        </row>
        <row r="519">
          <cell r="F519" t="str">
            <v>--</v>
          </cell>
        </row>
        <row r="520">
          <cell r="A520" t="str">
            <v>zed.zz</v>
          </cell>
        </row>
        <row r="520">
          <cell r="C520" t="str">
            <v>09</v>
          </cell>
        </row>
        <row r="520">
          <cell r="F520" t="str">
            <v>--</v>
          </cell>
        </row>
        <row r="521">
          <cell r="A521" t="str">
            <v>zed.zz</v>
          </cell>
        </row>
        <row r="521">
          <cell r="C521" t="str">
            <v>08</v>
          </cell>
        </row>
        <row r="521">
          <cell r="F521" t="str">
            <v>--</v>
          </cell>
        </row>
        <row r="522">
          <cell r="A522" t="str">
            <v>zed.zz</v>
          </cell>
        </row>
        <row r="522">
          <cell r="C522" t="str">
            <v>07</v>
          </cell>
        </row>
        <row r="522">
          <cell r="F522" t="str">
            <v>--</v>
          </cell>
        </row>
        <row r="523">
          <cell r="A523" t="str">
            <v>zed.zz</v>
          </cell>
        </row>
        <row r="523">
          <cell r="C523" t="str">
            <v>06</v>
          </cell>
        </row>
        <row r="523">
          <cell r="F523" t="str">
            <v>--</v>
          </cell>
        </row>
        <row r="524">
          <cell r="A524" t="str">
            <v>zed.zz</v>
          </cell>
        </row>
        <row r="524">
          <cell r="C524" t="str">
            <v>05</v>
          </cell>
        </row>
        <row r="524">
          <cell r="F524" t="str">
            <v>--</v>
          </cell>
        </row>
        <row r="525">
          <cell r="A525" t="str">
            <v>zed.zz</v>
          </cell>
        </row>
        <row r="525">
          <cell r="C525" t="str">
            <v>04</v>
          </cell>
        </row>
        <row r="525">
          <cell r="F525" t="str">
            <v>--</v>
          </cell>
        </row>
        <row r="526">
          <cell r="A526" t="str">
            <v>zed.zz</v>
          </cell>
        </row>
        <row r="526">
          <cell r="C526" t="str">
            <v>03</v>
          </cell>
        </row>
        <row r="526">
          <cell r="F526" t="str">
            <v>--</v>
          </cell>
        </row>
        <row r="527">
          <cell r="A527" t="str">
            <v>zed.zz</v>
          </cell>
        </row>
        <row r="527">
          <cell r="C527" t="str">
            <v>02</v>
          </cell>
        </row>
        <row r="527">
          <cell r="F527" t="str">
            <v>--</v>
          </cell>
        </row>
        <row r="528">
          <cell r="A528" t="str">
            <v>zed.zz</v>
          </cell>
        </row>
        <row r="528">
          <cell r="C528" t="str">
            <v>01</v>
          </cell>
        </row>
        <row r="528">
          <cell r="F528" t="str">
            <v>--</v>
          </cell>
        </row>
        <row r="529">
          <cell r="A529" t="str">
            <v>zed.zz</v>
          </cell>
        </row>
        <row r="529">
          <cell r="C529" t="str">
            <v>00</v>
          </cell>
        </row>
        <row r="529">
          <cell r="F529" t="str">
            <v>--</v>
          </cell>
        </row>
        <row r="530">
          <cell r="A530" t="str">
            <v>martin.zz</v>
          </cell>
        </row>
        <row r="530">
          <cell r="C530" t="str">
            <v>23</v>
          </cell>
        </row>
        <row r="530">
          <cell r="F530" t="str">
            <v>--</v>
          </cell>
        </row>
        <row r="531">
          <cell r="A531" t="str">
            <v>martin.zz</v>
          </cell>
        </row>
        <row r="531">
          <cell r="C531" t="str">
            <v>22</v>
          </cell>
        </row>
        <row r="531">
          <cell r="F531" t="str">
            <v>--</v>
          </cell>
        </row>
        <row r="532">
          <cell r="A532" t="str">
            <v>martin.zz</v>
          </cell>
        </row>
        <row r="532">
          <cell r="C532" t="str">
            <v>21</v>
          </cell>
        </row>
        <row r="532">
          <cell r="F532" t="str">
            <v>--</v>
          </cell>
        </row>
        <row r="533">
          <cell r="A533" t="str">
            <v>martin.zz</v>
          </cell>
        </row>
        <row r="533">
          <cell r="C533" t="str">
            <v>20</v>
          </cell>
        </row>
        <row r="533">
          <cell r="F533" t="str">
            <v>--</v>
          </cell>
        </row>
        <row r="534">
          <cell r="A534" t="str">
            <v>martin.zz</v>
          </cell>
        </row>
        <row r="534">
          <cell r="C534" t="str">
            <v>19</v>
          </cell>
        </row>
        <row r="534">
          <cell r="F534" t="str">
            <v>--</v>
          </cell>
        </row>
        <row r="535">
          <cell r="A535" t="str">
            <v>martin.zz</v>
          </cell>
        </row>
        <row r="535">
          <cell r="C535" t="str">
            <v>18</v>
          </cell>
        </row>
        <row r="535">
          <cell r="F535" t="str">
            <v>--</v>
          </cell>
        </row>
        <row r="536">
          <cell r="A536" t="str">
            <v>martin.zz</v>
          </cell>
        </row>
        <row r="536">
          <cell r="C536" t="str">
            <v>17</v>
          </cell>
        </row>
        <row r="536">
          <cell r="F536" t="str">
            <v>--</v>
          </cell>
        </row>
        <row r="537">
          <cell r="A537" t="str">
            <v>martin.zz</v>
          </cell>
        </row>
        <row r="537">
          <cell r="C537" t="str">
            <v>16</v>
          </cell>
        </row>
        <row r="537">
          <cell r="F537" t="str">
            <v>--</v>
          </cell>
        </row>
        <row r="538">
          <cell r="A538" t="str">
            <v>martin.zz</v>
          </cell>
        </row>
        <row r="538">
          <cell r="C538" t="str">
            <v>15</v>
          </cell>
        </row>
        <row r="538">
          <cell r="F538" t="str">
            <v>--</v>
          </cell>
        </row>
        <row r="539">
          <cell r="A539" t="str">
            <v>martin.zz</v>
          </cell>
        </row>
        <row r="539">
          <cell r="C539" t="str">
            <v>14</v>
          </cell>
        </row>
        <row r="539">
          <cell r="F539" t="str">
            <v>--</v>
          </cell>
        </row>
        <row r="540">
          <cell r="A540" t="str">
            <v>martin.zz</v>
          </cell>
        </row>
        <row r="540">
          <cell r="C540" t="str">
            <v>13</v>
          </cell>
        </row>
        <row r="540">
          <cell r="F540" t="str">
            <v>--</v>
          </cell>
        </row>
        <row r="541">
          <cell r="A541" t="str">
            <v>martin.zz</v>
          </cell>
        </row>
        <row r="541">
          <cell r="C541" t="str">
            <v>12</v>
          </cell>
        </row>
        <row r="541">
          <cell r="F541" t="str">
            <v>--</v>
          </cell>
        </row>
        <row r="542">
          <cell r="A542" t="str">
            <v>martin.zz</v>
          </cell>
        </row>
        <row r="542">
          <cell r="C542" t="str">
            <v>11</v>
          </cell>
        </row>
        <row r="542">
          <cell r="F542" t="str">
            <v>--</v>
          </cell>
        </row>
        <row r="543">
          <cell r="A543" t="str">
            <v>martin.zz</v>
          </cell>
        </row>
        <row r="543">
          <cell r="C543" t="str">
            <v>10</v>
          </cell>
        </row>
        <row r="543">
          <cell r="F543" t="str">
            <v>--</v>
          </cell>
        </row>
        <row r="544">
          <cell r="A544" t="str">
            <v>martin.zz</v>
          </cell>
        </row>
        <row r="544">
          <cell r="C544" t="str">
            <v>09</v>
          </cell>
        </row>
        <row r="544">
          <cell r="F544" t="str">
            <v>--</v>
          </cell>
        </row>
        <row r="545">
          <cell r="A545" t="str">
            <v>martin.zz</v>
          </cell>
        </row>
        <row r="545">
          <cell r="C545" t="str">
            <v>08</v>
          </cell>
        </row>
        <row r="545">
          <cell r="F545" t="str">
            <v>--</v>
          </cell>
        </row>
        <row r="546">
          <cell r="A546" t="str">
            <v>martin.zz</v>
          </cell>
        </row>
        <row r="546">
          <cell r="C546" t="str">
            <v>07</v>
          </cell>
        </row>
        <row r="546">
          <cell r="F546" t="str">
            <v>--</v>
          </cell>
        </row>
        <row r="547">
          <cell r="A547" t="str">
            <v>martin.zz</v>
          </cell>
        </row>
        <row r="547">
          <cell r="C547" t="str">
            <v>06</v>
          </cell>
        </row>
        <row r="547">
          <cell r="F547" t="str">
            <v>--</v>
          </cell>
        </row>
        <row r="548">
          <cell r="A548" t="str">
            <v>martin.zz</v>
          </cell>
        </row>
        <row r="548">
          <cell r="C548" t="str">
            <v>05</v>
          </cell>
        </row>
        <row r="548">
          <cell r="F548" t="str">
            <v>--</v>
          </cell>
        </row>
        <row r="549">
          <cell r="A549" t="str">
            <v>martin.zz</v>
          </cell>
        </row>
        <row r="549">
          <cell r="C549" t="str">
            <v>04</v>
          </cell>
        </row>
        <row r="549">
          <cell r="F549" t="str">
            <v>--</v>
          </cell>
        </row>
        <row r="550">
          <cell r="A550" t="str">
            <v>martin.zz</v>
          </cell>
        </row>
        <row r="550">
          <cell r="C550" t="str">
            <v>03</v>
          </cell>
        </row>
        <row r="550">
          <cell r="F550" t="str">
            <v>--</v>
          </cell>
        </row>
        <row r="551">
          <cell r="A551" t="str">
            <v>martin.zz</v>
          </cell>
        </row>
        <row r="551">
          <cell r="C551" t="str">
            <v>02</v>
          </cell>
        </row>
        <row r="551">
          <cell r="F551" t="str">
            <v>--</v>
          </cell>
        </row>
        <row r="552">
          <cell r="A552" t="str">
            <v>martin.zz</v>
          </cell>
        </row>
        <row r="552">
          <cell r="C552" t="str">
            <v>01</v>
          </cell>
        </row>
        <row r="552">
          <cell r="F552" t="str">
            <v>--</v>
          </cell>
        </row>
        <row r="553">
          <cell r="A553" t="str">
            <v>martin.zz</v>
          </cell>
        </row>
        <row r="553">
          <cell r="C553" t="str">
            <v>00</v>
          </cell>
        </row>
        <row r="553">
          <cell r="F553" t="str">
            <v>--</v>
          </cell>
        </row>
        <row r="554">
          <cell r="A554" t="str">
            <v>hugo.zz</v>
          </cell>
        </row>
        <row r="554">
          <cell r="C554" t="str">
            <v>23</v>
          </cell>
        </row>
        <row r="554">
          <cell r="F554" t="str">
            <v>--</v>
          </cell>
        </row>
        <row r="555">
          <cell r="A555" t="str">
            <v>hugo.zz</v>
          </cell>
        </row>
        <row r="555">
          <cell r="C555" t="str">
            <v>22</v>
          </cell>
        </row>
        <row r="555">
          <cell r="F555" t="str">
            <v>--</v>
          </cell>
        </row>
        <row r="556">
          <cell r="A556" t="str">
            <v>hugo.zz</v>
          </cell>
        </row>
        <row r="556">
          <cell r="C556" t="str">
            <v>21</v>
          </cell>
        </row>
        <row r="556">
          <cell r="F556" t="str">
            <v>--</v>
          </cell>
        </row>
        <row r="557">
          <cell r="A557" t="str">
            <v>hugo.zz</v>
          </cell>
        </row>
        <row r="557">
          <cell r="C557" t="str">
            <v>20</v>
          </cell>
        </row>
        <row r="557">
          <cell r="F557" t="str">
            <v>--</v>
          </cell>
        </row>
        <row r="558">
          <cell r="A558" t="str">
            <v>hugo.zz</v>
          </cell>
        </row>
        <row r="558">
          <cell r="C558" t="str">
            <v>19</v>
          </cell>
        </row>
        <row r="558">
          <cell r="F558" t="str">
            <v>--</v>
          </cell>
        </row>
        <row r="559">
          <cell r="A559" t="str">
            <v>hugo.zz</v>
          </cell>
        </row>
        <row r="559">
          <cell r="C559" t="str">
            <v>18</v>
          </cell>
        </row>
        <row r="559">
          <cell r="F559" t="str">
            <v>--</v>
          </cell>
        </row>
        <row r="560">
          <cell r="A560" t="str">
            <v>hugo.zz</v>
          </cell>
        </row>
        <row r="560">
          <cell r="C560" t="str">
            <v>17</v>
          </cell>
        </row>
        <row r="560">
          <cell r="F560" t="str">
            <v>--</v>
          </cell>
        </row>
        <row r="561">
          <cell r="A561" t="str">
            <v>hugo.zz</v>
          </cell>
        </row>
        <row r="561">
          <cell r="C561" t="str">
            <v>16</v>
          </cell>
        </row>
        <row r="561">
          <cell r="F561" t="str">
            <v>--</v>
          </cell>
        </row>
        <row r="562">
          <cell r="A562" t="str">
            <v>hugo.zz</v>
          </cell>
        </row>
        <row r="562">
          <cell r="C562" t="str">
            <v>15</v>
          </cell>
        </row>
        <row r="562">
          <cell r="F562" t="str">
            <v>--</v>
          </cell>
        </row>
        <row r="563">
          <cell r="A563" t="str">
            <v>hugo.zz</v>
          </cell>
        </row>
        <row r="563">
          <cell r="C563" t="str">
            <v>14</v>
          </cell>
        </row>
        <row r="563">
          <cell r="F563" t="str">
            <v>--</v>
          </cell>
        </row>
        <row r="564">
          <cell r="A564" t="str">
            <v>hugo.zz</v>
          </cell>
        </row>
        <row r="564">
          <cell r="C564" t="str">
            <v>13</v>
          </cell>
        </row>
        <row r="564">
          <cell r="F564" t="str">
            <v>--</v>
          </cell>
        </row>
        <row r="565">
          <cell r="A565" t="str">
            <v>hugo.zz</v>
          </cell>
        </row>
        <row r="565">
          <cell r="C565" t="str">
            <v>12</v>
          </cell>
        </row>
        <row r="565">
          <cell r="F565" t="str">
            <v>--</v>
          </cell>
        </row>
        <row r="566">
          <cell r="A566" t="str">
            <v>hugo.zz</v>
          </cell>
        </row>
        <row r="566">
          <cell r="C566" t="str">
            <v>11</v>
          </cell>
        </row>
        <row r="566">
          <cell r="F566" t="str">
            <v>--</v>
          </cell>
        </row>
        <row r="567">
          <cell r="A567" t="str">
            <v>hugo.zz</v>
          </cell>
        </row>
        <row r="567">
          <cell r="C567" t="str">
            <v>10</v>
          </cell>
        </row>
        <row r="567">
          <cell r="F567" t="str">
            <v>--</v>
          </cell>
        </row>
        <row r="568">
          <cell r="A568" t="str">
            <v>hugo.zz</v>
          </cell>
        </row>
        <row r="568">
          <cell r="C568" t="str">
            <v>09</v>
          </cell>
        </row>
        <row r="568">
          <cell r="F568" t="str">
            <v>--</v>
          </cell>
        </row>
        <row r="569">
          <cell r="A569" t="str">
            <v>hugo.zz</v>
          </cell>
        </row>
        <row r="569">
          <cell r="C569" t="str">
            <v>08</v>
          </cell>
        </row>
        <row r="569">
          <cell r="F569" t="str">
            <v>--</v>
          </cell>
        </row>
        <row r="570">
          <cell r="A570" t="str">
            <v>hugo.zz</v>
          </cell>
        </row>
        <row r="570">
          <cell r="C570" t="str">
            <v>07</v>
          </cell>
        </row>
        <row r="570">
          <cell r="F570" t="str">
            <v>--</v>
          </cell>
        </row>
        <row r="571">
          <cell r="A571" t="str">
            <v>hugo.zz</v>
          </cell>
        </row>
        <row r="571">
          <cell r="C571" t="str">
            <v>06</v>
          </cell>
        </row>
        <row r="571">
          <cell r="F571" t="str">
            <v>--</v>
          </cell>
        </row>
        <row r="572">
          <cell r="A572" t="str">
            <v>hugo.zz</v>
          </cell>
        </row>
        <row r="572">
          <cell r="C572" t="str">
            <v>05</v>
          </cell>
        </row>
        <row r="572">
          <cell r="F572" t="str">
            <v>--</v>
          </cell>
        </row>
        <row r="573">
          <cell r="A573" t="str">
            <v>hugo.zz</v>
          </cell>
        </row>
        <row r="573">
          <cell r="C573" t="str">
            <v>04</v>
          </cell>
        </row>
        <row r="573">
          <cell r="F573" t="str">
            <v>--</v>
          </cell>
        </row>
        <row r="574">
          <cell r="A574" t="str">
            <v>hugo.zz</v>
          </cell>
        </row>
        <row r="574">
          <cell r="C574" t="str">
            <v>03</v>
          </cell>
        </row>
        <row r="574">
          <cell r="F574" t="str">
            <v>--</v>
          </cell>
        </row>
        <row r="575">
          <cell r="A575" t="str">
            <v>hugo.zz</v>
          </cell>
        </row>
        <row r="575">
          <cell r="C575" t="str">
            <v>02</v>
          </cell>
        </row>
        <row r="575">
          <cell r="F575" t="str">
            <v>--</v>
          </cell>
        </row>
        <row r="576">
          <cell r="A576" t="str">
            <v>hugo.zz</v>
          </cell>
        </row>
        <row r="576">
          <cell r="C576" t="str">
            <v>01</v>
          </cell>
        </row>
        <row r="576">
          <cell r="F576" t="str">
            <v>--</v>
          </cell>
        </row>
        <row r="577">
          <cell r="A577" t="str">
            <v>hugo.zz</v>
          </cell>
        </row>
        <row r="577">
          <cell r="C577" t="str">
            <v>00</v>
          </cell>
        </row>
        <row r="577">
          <cell r="F577" t="str">
            <v>--</v>
          </cell>
        </row>
        <row r="578">
          <cell r="A578" t="str">
            <v>dk.zz</v>
          </cell>
        </row>
        <row r="578">
          <cell r="C578" t="str">
            <v>23</v>
          </cell>
        </row>
        <row r="578">
          <cell r="F578" t="str">
            <v>--</v>
          </cell>
        </row>
        <row r="579">
          <cell r="A579" t="str">
            <v>dk.zz</v>
          </cell>
        </row>
        <row r="579">
          <cell r="C579" t="str">
            <v>22</v>
          </cell>
        </row>
        <row r="579">
          <cell r="F579" t="str">
            <v>--</v>
          </cell>
        </row>
        <row r="580">
          <cell r="A580" t="str">
            <v>dk.zz</v>
          </cell>
        </row>
        <row r="580">
          <cell r="C580" t="str">
            <v>21</v>
          </cell>
        </row>
        <row r="580">
          <cell r="F580" t="str">
            <v>--</v>
          </cell>
        </row>
        <row r="581">
          <cell r="A581" t="str">
            <v>dk.zz</v>
          </cell>
        </row>
        <row r="581">
          <cell r="C581" t="str">
            <v>20</v>
          </cell>
        </row>
        <row r="581">
          <cell r="F581" t="str">
            <v>--</v>
          </cell>
        </row>
        <row r="582">
          <cell r="A582" t="str">
            <v>dk.zz</v>
          </cell>
        </row>
        <row r="582">
          <cell r="C582" t="str">
            <v>19</v>
          </cell>
        </row>
        <row r="582">
          <cell r="F582" t="str">
            <v>--</v>
          </cell>
        </row>
        <row r="583">
          <cell r="A583" t="str">
            <v>dk.zz</v>
          </cell>
        </row>
        <row r="583">
          <cell r="C583" t="str">
            <v>18</v>
          </cell>
        </row>
        <row r="583">
          <cell r="F583" t="str">
            <v>--</v>
          </cell>
        </row>
        <row r="584">
          <cell r="A584" t="str">
            <v>dk.zz</v>
          </cell>
        </row>
        <row r="584">
          <cell r="C584" t="str">
            <v>17</v>
          </cell>
        </row>
        <row r="584">
          <cell r="F584" t="str">
            <v>--</v>
          </cell>
        </row>
        <row r="585">
          <cell r="A585" t="str">
            <v>dk.zz</v>
          </cell>
        </row>
        <row r="585">
          <cell r="C585" t="str">
            <v>16</v>
          </cell>
        </row>
        <row r="585">
          <cell r="F585" t="str">
            <v>--</v>
          </cell>
        </row>
        <row r="586">
          <cell r="A586" t="str">
            <v>dk.zz</v>
          </cell>
        </row>
        <row r="586">
          <cell r="C586" t="str">
            <v>15</v>
          </cell>
        </row>
        <row r="586">
          <cell r="F586" t="str">
            <v>--</v>
          </cell>
        </row>
        <row r="587">
          <cell r="A587" t="str">
            <v>dk.zz</v>
          </cell>
        </row>
        <row r="587">
          <cell r="C587" t="str">
            <v>14</v>
          </cell>
        </row>
        <row r="587">
          <cell r="F587" t="str">
            <v>--</v>
          </cell>
        </row>
        <row r="588">
          <cell r="A588" t="str">
            <v>dk.zz</v>
          </cell>
        </row>
        <row r="588">
          <cell r="C588" t="str">
            <v>13</v>
          </cell>
        </row>
        <row r="588">
          <cell r="F588" t="str">
            <v>--</v>
          </cell>
        </row>
        <row r="589">
          <cell r="A589" t="str">
            <v>dk.zz</v>
          </cell>
        </row>
        <row r="589">
          <cell r="C589" t="str">
            <v>12</v>
          </cell>
        </row>
        <row r="589">
          <cell r="F589" t="str">
            <v>--</v>
          </cell>
        </row>
        <row r="590">
          <cell r="A590" t="str">
            <v>dk.zz</v>
          </cell>
        </row>
        <row r="590">
          <cell r="C590" t="str">
            <v>11</v>
          </cell>
        </row>
        <row r="590">
          <cell r="F590" t="str">
            <v>--</v>
          </cell>
        </row>
        <row r="591">
          <cell r="A591" t="str">
            <v>dk.zz</v>
          </cell>
        </row>
        <row r="591">
          <cell r="C591" t="str">
            <v>10</v>
          </cell>
        </row>
        <row r="591">
          <cell r="F591" t="str">
            <v>--</v>
          </cell>
        </row>
        <row r="592">
          <cell r="A592" t="str">
            <v>dk.zz</v>
          </cell>
        </row>
        <row r="592">
          <cell r="C592" t="str">
            <v>09</v>
          </cell>
        </row>
        <row r="592">
          <cell r="F592" t="str">
            <v>--</v>
          </cell>
        </row>
        <row r="593">
          <cell r="A593" t="str">
            <v>dk.zz</v>
          </cell>
        </row>
        <row r="593">
          <cell r="C593" t="str">
            <v>08</v>
          </cell>
        </row>
        <row r="593">
          <cell r="F593" t="str">
            <v>--</v>
          </cell>
        </row>
        <row r="594">
          <cell r="A594" t="str">
            <v>dk.zz</v>
          </cell>
        </row>
        <row r="594">
          <cell r="C594" t="str">
            <v>07</v>
          </cell>
        </row>
        <row r="594">
          <cell r="F594" t="str">
            <v>--</v>
          </cell>
        </row>
        <row r="595">
          <cell r="A595" t="str">
            <v>dk.zz</v>
          </cell>
        </row>
        <row r="595">
          <cell r="C595" t="str">
            <v>06</v>
          </cell>
        </row>
        <row r="595">
          <cell r="F595" t="str">
            <v>--</v>
          </cell>
        </row>
        <row r="596">
          <cell r="A596" t="str">
            <v>dk.zz</v>
          </cell>
        </row>
        <row r="596">
          <cell r="C596" t="str">
            <v>05</v>
          </cell>
        </row>
        <row r="596">
          <cell r="F596" t="str">
            <v>--</v>
          </cell>
        </row>
        <row r="597">
          <cell r="A597" t="str">
            <v>dk.zz</v>
          </cell>
        </row>
        <row r="597">
          <cell r="C597" t="str">
            <v>04</v>
          </cell>
        </row>
        <row r="597">
          <cell r="F597" t="str">
            <v>--</v>
          </cell>
        </row>
        <row r="598">
          <cell r="A598" t="str">
            <v>dk.zz</v>
          </cell>
        </row>
        <row r="598">
          <cell r="C598" t="str">
            <v>03</v>
          </cell>
        </row>
        <row r="598">
          <cell r="F598" t="str">
            <v>--</v>
          </cell>
        </row>
        <row r="599">
          <cell r="A599" t="str">
            <v>dk.zz</v>
          </cell>
        </row>
        <row r="599">
          <cell r="C599" t="str">
            <v>02</v>
          </cell>
        </row>
        <row r="599">
          <cell r="F599" t="str">
            <v>--</v>
          </cell>
        </row>
        <row r="600">
          <cell r="A600" t="str">
            <v>dk.zz</v>
          </cell>
        </row>
        <row r="600">
          <cell r="C600" t="str">
            <v>01</v>
          </cell>
        </row>
        <row r="600">
          <cell r="F600" t="str">
            <v>--</v>
          </cell>
        </row>
        <row r="601">
          <cell r="A601" t="str">
            <v>dk.zz</v>
          </cell>
        </row>
        <row r="601">
          <cell r="C601" t="str">
            <v>00</v>
          </cell>
        </row>
        <row r="601">
          <cell r="F601" t="str">
            <v>--</v>
          </cell>
        </row>
        <row r="602">
          <cell r="A602" t="str">
            <v>max.zz</v>
          </cell>
        </row>
        <row r="602">
          <cell r="C602" t="str">
            <v>23</v>
          </cell>
        </row>
        <row r="602">
          <cell r="F602" t="str">
            <v>--</v>
          </cell>
        </row>
        <row r="603">
          <cell r="A603" t="str">
            <v>max.zz</v>
          </cell>
        </row>
        <row r="603">
          <cell r="C603" t="str">
            <v>22</v>
          </cell>
        </row>
        <row r="603">
          <cell r="F603" t="str">
            <v>--</v>
          </cell>
        </row>
        <row r="604">
          <cell r="A604" t="str">
            <v>max.zz</v>
          </cell>
        </row>
        <row r="604">
          <cell r="C604" t="str">
            <v>21</v>
          </cell>
        </row>
        <row r="604">
          <cell r="F604" t="str">
            <v>--</v>
          </cell>
        </row>
        <row r="605">
          <cell r="A605" t="str">
            <v>max.zz</v>
          </cell>
        </row>
        <row r="605">
          <cell r="C605" t="str">
            <v>20</v>
          </cell>
        </row>
        <row r="605">
          <cell r="F605" t="str">
            <v>--</v>
          </cell>
        </row>
        <row r="606">
          <cell r="A606" t="str">
            <v>max.zz</v>
          </cell>
        </row>
        <row r="606">
          <cell r="C606" t="str">
            <v>19</v>
          </cell>
        </row>
        <row r="606">
          <cell r="F606" t="str">
            <v>--</v>
          </cell>
        </row>
        <row r="607">
          <cell r="A607" t="str">
            <v>max.zz</v>
          </cell>
        </row>
        <row r="607">
          <cell r="C607" t="str">
            <v>18</v>
          </cell>
        </row>
        <row r="607">
          <cell r="F607" t="str">
            <v>--</v>
          </cell>
        </row>
        <row r="608">
          <cell r="A608" t="str">
            <v>max.zz</v>
          </cell>
        </row>
        <row r="608">
          <cell r="C608" t="str">
            <v>17</v>
          </cell>
        </row>
        <row r="608">
          <cell r="F608" t="str">
            <v>--</v>
          </cell>
        </row>
        <row r="609">
          <cell r="A609" t="str">
            <v>max.zz</v>
          </cell>
        </row>
        <row r="609">
          <cell r="C609" t="str">
            <v>16</v>
          </cell>
        </row>
        <row r="609">
          <cell r="F609" t="str">
            <v>--</v>
          </cell>
        </row>
        <row r="610">
          <cell r="A610" t="str">
            <v>max.zz</v>
          </cell>
        </row>
        <row r="610">
          <cell r="C610" t="str">
            <v>15</v>
          </cell>
        </row>
        <row r="610">
          <cell r="F610" t="str">
            <v>--</v>
          </cell>
        </row>
        <row r="611">
          <cell r="A611" t="str">
            <v>max.zz</v>
          </cell>
        </row>
        <row r="611">
          <cell r="C611" t="str">
            <v>14</v>
          </cell>
        </row>
        <row r="611">
          <cell r="F611" t="str">
            <v>--</v>
          </cell>
        </row>
        <row r="612">
          <cell r="A612" t="str">
            <v>max.zz</v>
          </cell>
        </row>
        <row r="612">
          <cell r="C612" t="str">
            <v>13</v>
          </cell>
        </row>
        <row r="612">
          <cell r="F612" t="str">
            <v>--</v>
          </cell>
        </row>
        <row r="613">
          <cell r="A613" t="str">
            <v>max.zz</v>
          </cell>
        </row>
        <row r="613">
          <cell r="C613" t="str">
            <v>12</v>
          </cell>
        </row>
        <row r="613">
          <cell r="F613" t="str">
            <v>--</v>
          </cell>
        </row>
        <row r="614">
          <cell r="A614" t="str">
            <v>max.zz</v>
          </cell>
        </row>
        <row r="614">
          <cell r="C614" t="str">
            <v>11</v>
          </cell>
        </row>
        <row r="614">
          <cell r="F614" t="str">
            <v>--</v>
          </cell>
        </row>
        <row r="615">
          <cell r="A615" t="str">
            <v>max.zz</v>
          </cell>
        </row>
        <row r="615">
          <cell r="C615" t="str">
            <v>10</v>
          </cell>
        </row>
        <row r="615">
          <cell r="F615" t="str">
            <v>--</v>
          </cell>
        </row>
        <row r="616">
          <cell r="A616" t="str">
            <v>max.zz</v>
          </cell>
        </row>
        <row r="616">
          <cell r="C616" t="str">
            <v>09</v>
          </cell>
        </row>
        <row r="616">
          <cell r="F616" t="str">
            <v>--</v>
          </cell>
        </row>
        <row r="617">
          <cell r="A617" t="str">
            <v>max.zz</v>
          </cell>
        </row>
        <row r="617">
          <cell r="C617" t="str">
            <v>08</v>
          </cell>
        </row>
        <row r="617">
          <cell r="F617" t="str">
            <v>--</v>
          </cell>
        </row>
        <row r="618">
          <cell r="A618" t="str">
            <v>max.zz</v>
          </cell>
        </row>
        <row r="618">
          <cell r="C618" t="str">
            <v>07</v>
          </cell>
        </row>
        <row r="618">
          <cell r="F618" t="str">
            <v>--</v>
          </cell>
        </row>
        <row r="619">
          <cell r="A619" t="str">
            <v>max.zz</v>
          </cell>
        </row>
        <row r="619">
          <cell r="C619" t="str">
            <v>06</v>
          </cell>
        </row>
        <row r="619">
          <cell r="F619" t="str">
            <v>--</v>
          </cell>
        </row>
        <row r="620">
          <cell r="A620" t="str">
            <v>max.zz</v>
          </cell>
        </row>
        <row r="620">
          <cell r="C620" t="str">
            <v>05</v>
          </cell>
        </row>
        <row r="620">
          <cell r="F620" t="str">
            <v>--</v>
          </cell>
        </row>
        <row r="621">
          <cell r="A621" t="str">
            <v>max.zz</v>
          </cell>
        </row>
        <row r="621">
          <cell r="C621" t="str">
            <v>04</v>
          </cell>
        </row>
        <row r="621">
          <cell r="F621" t="str">
            <v>--</v>
          </cell>
        </row>
        <row r="622">
          <cell r="A622" t="str">
            <v>max.zz</v>
          </cell>
        </row>
        <row r="622">
          <cell r="C622" t="str">
            <v>03</v>
          </cell>
        </row>
        <row r="622">
          <cell r="F622" t="str">
            <v>--</v>
          </cell>
        </row>
        <row r="623">
          <cell r="A623" t="str">
            <v>max.zz</v>
          </cell>
        </row>
        <row r="623">
          <cell r="C623" t="str">
            <v>02</v>
          </cell>
        </row>
        <row r="623">
          <cell r="F623" t="str">
            <v>--</v>
          </cell>
        </row>
        <row r="624">
          <cell r="A624" t="str">
            <v>max.zz</v>
          </cell>
        </row>
        <row r="624">
          <cell r="C624" t="str">
            <v>01</v>
          </cell>
        </row>
        <row r="624">
          <cell r="F624" t="str">
            <v>--</v>
          </cell>
        </row>
        <row r="625">
          <cell r="A625" t="str">
            <v>max.zz</v>
          </cell>
        </row>
        <row r="625">
          <cell r="C625" t="str">
            <v>00</v>
          </cell>
        </row>
        <row r="625">
          <cell r="F625" t="str">
            <v>--</v>
          </cell>
        </row>
        <row r="626">
          <cell r="A626" t="str">
            <v>aber.zz</v>
          </cell>
        </row>
        <row r="626">
          <cell r="C626" t="str">
            <v>23</v>
          </cell>
        </row>
        <row r="626">
          <cell r="F626" t="str">
            <v>--</v>
          </cell>
        </row>
        <row r="627">
          <cell r="A627" t="str">
            <v>aber.zz</v>
          </cell>
        </row>
        <row r="627">
          <cell r="C627" t="str">
            <v>22</v>
          </cell>
        </row>
        <row r="627">
          <cell r="F627" t="str">
            <v>--</v>
          </cell>
        </row>
        <row r="628">
          <cell r="A628" t="str">
            <v>aber.zz</v>
          </cell>
        </row>
        <row r="628">
          <cell r="C628" t="str">
            <v>21</v>
          </cell>
        </row>
        <row r="628">
          <cell r="F628" t="str">
            <v>--</v>
          </cell>
        </row>
        <row r="629">
          <cell r="A629" t="str">
            <v>aber.zz</v>
          </cell>
        </row>
        <row r="629">
          <cell r="C629" t="str">
            <v>20</v>
          </cell>
        </row>
        <row r="629">
          <cell r="F629" t="str">
            <v>--</v>
          </cell>
        </row>
        <row r="630">
          <cell r="A630" t="str">
            <v>aber.zz</v>
          </cell>
        </row>
        <row r="630">
          <cell r="C630" t="str">
            <v>19</v>
          </cell>
        </row>
        <row r="630">
          <cell r="F630" t="str">
            <v>--</v>
          </cell>
        </row>
        <row r="631">
          <cell r="A631" t="str">
            <v>aber.zz</v>
          </cell>
        </row>
        <row r="631">
          <cell r="C631" t="str">
            <v>18</v>
          </cell>
        </row>
        <row r="631">
          <cell r="F631" t="str">
            <v>--</v>
          </cell>
        </row>
        <row r="632">
          <cell r="A632" t="str">
            <v>aber.zz</v>
          </cell>
        </row>
        <row r="632">
          <cell r="C632" t="str">
            <v>17</v>
          </cell>
        </row>
        <row r="632">
          <cell r="F632" t="str">
            <v>--</v>
          </cell>
        </row>
        <row r="633">
          <cell r="A633" t="str">
            <v>aber.zz</v>
          </cell>
        </row>
        <row r="633">
          <cell r="C633" t="str">
            <v>16</v>
          </cell>
        </row>
        <row r="633">
          <cell r="F633" t="str">
            <v>--</v>
          </cell>
        </row>
        <row r="634">
          <cell r="A634" t="str">
            <v>aber.zz</v>
          </cell>
        </row>
        <row r="634">
          <cell r="C634" t="str">
            <v>15</v>
          </cell>
        </row>
        <row r="634">
          <cell r="F634" t="str">
            <v>--</v>
          </cell>
        </row>
        <row r="635">
          <cell r="A635" t="str">
            <v>aber.zz</v>
          </cell>
        </row>
        <row r="635">
          <cell r="C635" t="str">
            <v>14</v>
          </cell>
        </row>
        <row r="635">
          <cell r="F635" t="str">
            <v>--</v>
          </cell>
        </row>
        <row r="636">
          <cell r="A636" t="str">
            <v>aber.zz</v>
          </cell>
        </row>
        <row r="636">
          <cell r="C636" t="str">
            <v>13</v>
          </cell>
        </row>
        <row r="636">
          <cell r="F636" t="str">
            <v>--</v>
          </cell>
        </row>
        <row r="637">
          <cell r="A637" t="str">
            <v>aber.zz</v>
          </cell>
        </row>
        <row r="637">
          <cell r="C637" t="str">
            <v>12</v>
          </cell>
        </row>
        <row r="637">
          <cell r="F637" t="str">
            <v>--</v>
          </cell>
        </row>
        <row r="638">
          <cell r="A638" t="str">
            <v>aber.zz</v>
          </cell>
        </row>
        <row r="638">
          <cell r="C638" t="str">
            <v>11</v>
          </cell>
        </row>
        <row r="638">
          <cell r="F638" t="str">
            <v>--</v>
          </cell>
        </row>
        <row r="639">
          <cell r="A639" t="str">
            <v>aber.zz</v>
          </cell>
        </row>
        <row r="639">
          <cell r="C639" t="str">
            <v>10</v>
          </cell>
        </row>
        <row r="639">
          <cell r="F639" t="str">
            <v>--</v>
          </cell>
        </row>
        <row r="640">
          <cell r="A640" t="str">
            <v>aber.zz</v>
          </cell>
        </row>
        <row r="640">
          <cell r="C640" t="str">
            <v>09</v>
          </cell>
        </row>
        <row r="640">
          <cell r="F640" t="str">
            <v>--</v>
          </cell>
        </row>
        <row r="641">
          <cell r="A641" t="str">
            <v>aber.zz</v>
          </cell>
        </row>
        <row r="641">
          <cell r="C641" t="str">
            <v>08</v>
          </cell>
        </row>
        <row r="641">
          <cell r="F641" t="str">
            <v>--</v>
          </cell>
        </row>
        <row r="642">
          <cell r="A642" t="str">
            <v>aber.zz</v>
          </cell>
        </row>
        <row r="642">
          <cell r="C642" t="str">
            <v>07</v>
          </cell>
        </row>
        <row r="642">
          <cell r="F642" t="str">
            <v>--</v>
          </cell>
        </row>
        <row r="643">
          <cell r="A643" t="str">
            <v>aber.zz</v>
          </cell>
        </row>
        <row r="643">
          <cell r="C643" t="str">
            <v>06</v>
          </cell>
        </row>
        <row r="643">
          <cell r="F643" t="str">
            <v>--</v>
          </cell>
        </row>
        <row r="644">
          <cell r="A644" t="str">
            <v>aber.zz</v>
          </cell>
        </row>
        <row r="644">
          <cell r="C644" t="str">
            <v>05</v>
          </cell>
        </row>
        <row r="644">
          <cell r="F644" t="str">
            <v>--</v>
          </cell>
        </row>
        <row r="645">
          <cell r="A645" t="str">
            <v>aber.zz</v>
          </cell>
        </row>
        <row r="645">
          <cell r="C645" t="str">
            <v>04</v>
          </cell>
        </row>
        <row r="645">
          <cell r="F645" t="str">
            <v>--</v>
          </cell>
        </row>
        <row r="646">
          <cell r="A646" t="str">
            <v>aber.zz</v>
          </cell>
        </row>
        <row r="646">
          <cell r="C646" t="str">
            <v>03</v>
          </cell>
        </row>
        <row r="646">
          <cell r="F646" t="str">
            <v>--</v>
          </cell>
        </row>
        <row r="647">
          <cell r="A647" t="str">
            <v>aber.zz</v>
          </cell>
        </row>
        <row r="647">
          <cell r="C647" t="str">
            <v>02</v>
          </cell>
        </row>
        <row r="647">
          <cell r="F647" t="str">
            <v>--</v>
          </cell>
        </row>
        <row r="648">
          <cell r="A648" t="str">
            <v>aber.zz</v>
          </cell>
        </row>
        <row r="648">
          <cell r="C648" t="str">
            <v>01</v>
          </cell>
        </row>
        <row r="648">
          <cell r="F648" t="str">
            <v>--</v>
          </cell>
        </row>
        <row r="649">
          <cell r="A649" t="str">
            <v>aber.zz</v>
          </cell>
        </row>
        <row r="649">
          <cell r="C649" t="str">
            <v>00</v>
          </cell>
        </row>
        <row r="649">
          <cell r="F649" t="str">
            <v>--</v>
          </cell>
        </row>
        <row r="650">
          <cell r="A650" t="str">
            <v>ben.zz</v>
          </cell>
        </row>
        <row r="650">
          <cell r="C650" t="str">
            <v>23</v>
          </cell>
        </row>
        <row r="650">
          <cell r="F650" t="str">
            <v>--</v>
          </cell>
        </row>
        <row r="651">
          <cell r="A651" t="str">
            <v>ben.zz</v>
          </cell>
        </row>
        <row r="651">
          <cell r="C651" t="str">
            <v>22</v>
          </cell>
        </row>
        <row r="651">
          <cell r="F651" t="str">
            <v>--</v>
          </cell>
        </row>
        <row r="652">
          <cell r="A652" t="str">
            <v>ben.zz</v>
          </cell>
        </row>
        <row r="652">
          <cell r="C652" t="str">
            <v>21</v>
          </cell>
        </row>
        <row r="652">
          <cell r="F652" t="str">
            <v>--</v>
          </cell>
        </row>
        <row r="653">
          <cell r="A653" t="str">
            <v>ben.zz</v>
          </cell>
        </row>
        <row r="653">
          <cell r="C653" t="str">
            <v>20</v>
          </cell>
        </row>
        <row r="653">
          <cell r="F653" t="str">
            <v>--</v>
          </cell>
        </row>
        <row r="654">
          <cell r="A654" t="str">
            <v>ben.zz</v>
          </cell>
        </row>
        <row r="654">
          <cell r="C654" t="str">
            <v>19</v>
          </cell>
        </row>
        <row r="654">
          <cell r="F654" t="str">
            <v>--</v>
          </cell>
        </row>
        <row r="655">
          <cell r="A655" t="str">
            <v>ben.zz</v>
          </cell>
        </row>
        <row r="655">
          <cell r="C655" t="str">
            <v>18</v>
          </cell>
        </row>
        <row r="655">
          <cell r="F655" t="str">
            <v>--</v>
          </cell>
        </row>
        <row r="656">
          <cell r="A656" t="str">
            <v>ben.zz</v>
          </cell>
        </row>
        <row r="656">
          <cell r="C656" t="str">
            <v>17</v>
          </cell>
        </row>
        <row r="656">
          <cell r="F656" t="str">
            <v>--</v>
          </cell>
        </row>
        <row r="657">
          <cell r="A657" t="str">
            <v>ben.zz</v>
          </cell>
        </row>
        <row r="657">
          <cell r="C657" t="str">
            <v>16</v>
          </cell>
        </row>
        <row r="657">
          <cell r="F657" t="str">
            <v>--</v>
          </cell>
        </row>
        <row r="658">
          <cell r="A658" t="str">
            <v>ben.zz</v>
          </cell>
        </row>
        <row r="658">
          <cell r="C658" t="str">
            <v>15</v>
          </cell>
        </row>
        <row r="658">
          <cell r="F658" t="str">
            <v>--</v>
          </cell>
        </row>
        <row r="659">
          <cell r="A659" t="str">
            <v>ben.zz</v>
          </cell>
        </row>
        <row r="659">
          <cell r="C659" t="str">
            <v>14</v>
          </cell>
        </row>
        <row r="659">
          <cell r="F659" t="str">
            <v>--</v>
          </cell>
        </row>
        <row r="660">
          <cell r="A660" t="str">
            <v>ben.zz</v>
          </cell>
        </row>
        <row r="660">
          <cell r="C660" t="str">
            <v>13</v>
          </cell>
        </row>
        <row r="660">
          <cell r="F660" t="str">
            <v>--</v>
          </cell>
        </row>
        <row r="661">
          <cell r="A661" t="str">
            <v>ben.zz</v>
          </cell>
        </row>
        <row r="661">
          <cell r="C661" t="str">
            <v>12</v>
          </cell>
        </row>
        <row r="661">
          <cell r="F661" t="str">
            <v>--</v>
          </cell>
        </row>
        <row r="662">
          <cell r="A662" t="str">
            <v>ben.zz</v>
          </cell>
        </row>
        <row r="662">
          <cell r="C662" t="str">
            <v>11</v>
          </cell>
        </row>
        <row r="662">
          <cell r="F662" t="str">
            <v>--</v>
          </cell>
        </row>
        <row r="663">
          <cell r="A663" t="str">
            <v>ben.zz</v>
          </cell>
        </row>
        <row r="663">
          <cell r="C663" t="str">
            <v>10</v>
          </cell>
        </row>
        <row r="663">
          <cell r="F663" t="str">
            <v>--</v>
          </cell>
        </row>
        <row r="664">
          <cell r="A664" t="str">
            <v>ben.zz</v>
          </cell>
        </row>
        <row r="664">
          <cell r="C664" t="str">
            <v>09</v>
          </cell>
        </row>
        <row r="664">
          <cell r="F664" t="str">
            <v>--</v>
          </cell>
        </row>
        <row r="665">
          <cell r="A665" t="str">
            <v>ben.zz</v>
          </cell>
        </row>
        <row r="665">
          <cell r="C665" t="str">
            <v>08</v>
          </cell>
        </row>
        <row r="665">
          <cell r="F665" t="str">
            <v>--</v>
          </cell>
        </row>
        <row r="666">
          <cell r="A666" t="str">
            <v>ben.zz</v>
          </cell>
        </row>
        <row r="666">
          <cell r="C666" t="str">
            <v>07</v>
          </cell>
        </row>
        <row r="666">
          <cell r="F666" t="str">
            <v>--</v>
          </cell>
        </row>
        <row r="667">
          <cell r="A667" t="str">
            <v>ben.zz</v>
          </cell>
        </row>
        <row r="667">
          <cell r="C667" t="str">
            <v>06</v>
          </cell>
        </row>
        <row r="667">
          <cell r="F667" t="str">
            <v>--</v>
          </cell>
        </row>
        <row r="668">
          <cell r="A668" t="str">
            <v>ben.zz</v>
          </cell>
        </row>
        <row r="668">
          <cell r="C668" t="str">
            <v>05</v>
          </cell>
        </row>
        <row r="668">
          <cell r="F668" t="str">
            <v>--</v>
          </cell>
        </row>
        <row r="669">
          <cell r="A669" t="str">
            <v>ben.zz</v>
          </cell>
        </row>
        <row r="669">
          <cell r="C669" t="str">
            <v>04</v>
          </cell>
        </row>
        <row r="669">
          <cell r="F669" t="str">
            <v>--</v>
          </cell>
        </row>
        <row r="670">
          <cell r="A670" t="str">
            <v>ben.zz</v>
          </cell>
        </row>
        <row r="670">
          <cell r="C670" t="str">
            <v>03</v>
          </cell>
        </row>
        <row r="670">
          <cell r="F670" t="str">
            <v>--</v>
          </cell>
        </row>
        <row r="671">
          <cell r="A671" t="str">
            <v>ben.zz</v>
          </cell>
        </row>
        <row r="671">
          <cell r="C671" t="str">
            <v>02</v>
          </cell>
        </row>
        <row r="671">
          <cell r="F671" t="str">
            <v>--</v>
          </cell>
        </row>
        <row r="672">
          <cell r="A672" t="str">
            <v>ben.zz</v>
          </cell>
        </row>
        <row r="672">
          <cell r="C672" t="str">
            <v>01</v>
          </cell>
        </row>
        <row r="672">
          <cell r="F672" t="str">
            <v>--</v>
          </cell>
        </row>
        <row r="673">
          <cell r="A673" t="str">
            <v>ben.zz</v>
          </cell>
        </row>
        <row r="673">
          <cell r="C673" t="str">
            <v>00</v>
          </cell>
        </row>
        <row r="673">
          <cell r="F673" t="str">
            <v>--</v>
          </cell>
        </row>
        <row r="674">
          <cell r="A674" t="str">
            <v>paddy.zz</v>
          </cell>
        </row>
        <row r="674">
          <cell r="C674" t="str">
            <v>23</v>
          </cell>
        </row>
        <row r="674">
          <cell r="F674" t="str">
            <v>--</v>
          </cell>
        </row>
        <row r="675">
          <cell r="A675" t="str">
            <v>paddy.zz</v>
          </cell>
        </row>
        <row r="675">
          <cell r="C675" t="str">
            <v>22</v>
          </cell>
        </row>
        <row r="675">
          <cell r="F675" t="str">
            <v>--</v>
          </cell>
        </row>
        <row r="676">
          <cell r="A676" t="str">
            <v>paddy.zz</v>
          </cell>
        </row>
        <row r="676">
          <cell r="C676" t="str">
            <v>21</v>
          </cell>
        </row>
        <row r="676">
          <cell r="F676" t="str">
            <v>--</v>
          </cell>
        </row>
        <row r="677">
          <cell r="A677" t="str">
            <v>paddy.zz</v>
          </cell>
        </row>
        <row r="677">
          <cell r="C677" t="str">
            <v>20</v>
          </cell>
        </row>
        <row r="677">
          <cell r="F677" t="str">
            <v>--</v>
          </cell>
        </row>
        <row r="678">
          <cell r="A678" t="str">
            <v>paddy.zz</v>
          </cell>
        </row>
        <row r="678">
          <cell r="C678" t="str">
            <v>19</v>
          </cell>
        </row>
        <row r="678">
          <cell r="F678" t="str">
            <v>--</v>
          </cell>
        </row>
        <row r="679">
          <cell r="A679" t="str">
            <v>paddy.zz</v>
          </cell>
        </row>
        <row r="679">
          <cell r="C679" t="str">
            <v>18</v>
          </cell>
        </row>
        <row r="679">
          <cell r="F679" t="str">
            <v>--</v>
          </cell>
        </row>
        <row r="680">
          <cell r="A680" t="str">
            <v>paddy.zz</v>
          </cell>
        </row>
        <row r="680">
          <cell r="C680" t="str">
            <v>17</v>
          </cell>
        </row>
        <row r="680">
          <cell r="F680" t="str">
            <v>--</v>
          </cell>
        </row>
        <row r="681">
          <cell r="A681" t="str">
            <v>paddy.zz</v>
          </cell>
        </row>
        <row r="681">
          <cell r="C681" t="str">
            <v>16</v>
          </cell>
        </row>
        <row r="681">
          <cell r="F681" t="str">
            <v>--</v>
          </cell>
        </row>
        <row r="682">
          <cell r="A682" t="str">
            <v>paddy.zz</v>
          </cell>
        </row>
        <row r="682">
          <cell r="C682" t="str">
            <v>15</v>
          </cell>
        </row>
        <row r="682">
          <cell r="F682" t="str">
            <v>--</v>
          </cell>
        </row>
        <row r="683">
          <cell r="A683" t="str">
            <v>paddy.zz</v>
          </cell>
        </row>
        <row r="683">
          <cell r="C683" t="str">
            <v>14</v>
          </cell>
        </row>
        <row r="683">
          <cell r="F683" t="str">
            <v>--</v>
          </cell>
        </row>
        <row r="684">
          <cell r="A684" t="str">
            <v>paddy.zz</v>
          </cell>
        </row>
        <row r="684">
          <cell r="C684" t="str">
            <v>13</v>
          </cell>
        </row>
        <row r="684">
          <cell r="F684" t="str">
            <v>--</v>
          </cell>
        </row>
        <row r="685">
          <cell r="A685" t="str">
            <v>paddy.zz</v>
          </cell>
        </row>
        <row r="685">
          <cell r="C685" t="str">
            <v>12</v>
          </cell>
        </row>
        <row r="685">
          <cell r="F685" t="str">
            <v>--</v>
          </cell>
        </row>
        <row r="686">
          <cell r="A686" t="str">
            <v>paddy.zz</v>
          </cell>
        </row>
        <row r="686">
          <cell r="C686" t="str">
            <v>11</v>
          </cell>
        </row>
        <row r="686">
          <cell r="F686" t="str">
            <v>--</v>
          </cell>
        </row>
        <row r="687">
          <cell r="A687" t="str">
            <v>paddy.zz</v>
          </cell>
        </row>
        <row r="687">
          <cell r="C687" t="str">
            <v>10</v>
          </cell>
        </row>
        <row r="687">
          <cell r="F687" t="str">
            <v>--</v>
          </cell>
        </row>
        <row r="688">
          <cell r="A688" t="str">
            <v>paddy.zz</v>
          </cell>
        </row>
        <row r="688">
          <cell r="C688" t="str">
            <v>09</v>
          </cell>
        </row>
        <row r="688">
          <cell r="F688" t="str">
            <v>--</v>
          </cell>
        </row>
        <row r="689">
          <cell r="A689" t="str">
            <v>paddy.zz</v>
          </cell>
        </row>
        <row r="689">
          <cell r="C689" t="str">
            <v>08</v>
          </cell>
        </row>
        <row r="689">
          <cell r="F689" t="str">
            <v>--</v>
          </cell>
        </row>
        <row r="690">
          <cell r="A690" t="str">
            <v>paddy.zz</v>
          </cell>
        </row>
        <row r="690">
          <cell r="C690" t="str">
            <v>07</v>
          </cell>
        </row>
        <row r="690">
          <cell r="F690" t="str">
            <v>--</v>
          </cell>
        </row>
        <row r="691">
          <cell r="A691" t="str">
            <v>paddy.zz</v>
          </cell>
        </row>
        <row r="691">
          <cell r="C691" t="str">
            <v>06</v>
          </cell>
        </row>
        <row r="691">
          <cell r="F691" t="str">
            <v>--</v>
          </cell>
        </row>
        <row r="692">
          <cell r="A692" t="str">
            <v>paddy.zz</v>
          </cell>
        </row>
        <row r="692">
          <cell r="C692" t="str">
            <v>05</v>
          </cell>
        </row>
        <row r="692">
          <cell r="F692" t="str">
            <v>--</v>
          </cell>
        </row>
        <row r="693">
          <cell r="A693" t="str">
            <v>paddy.zz</v>
          </cell>
        </row>
        <row r="693">
          <cell r="C693" t="str">
            <v>04</v>
          </cell>
        </row>
        <row r="693">
          <cell r="F693" t="str">
            <v>--</v>
          </cell>
        </row>
        <row r="694">
          <cell r="A694" t="str">
            <v>paddy.zz</v>
          </cell>
        </row>
        <row r="694">
          <cell r="C694" t="str">
            <v>03</v>
          </cell>
        </row>
        <row r="694">
          <cell r="F694" t="str">
            <v>--</v>
          </cell>
        </row>
        <row r="695">
          <cell r="A695" t="str">
            <v>paddy.zz</v>
          </cell>
        </row>
        <row r="695">
          <cell r="C695" t="str">
            <v>02</v>
          </cell>
        </row>
        <row r="695">
          <cell r="F695" t="str">
            <v>--</v>
          </cell>
        </row>
        <row r="696">
          <cell r="A696" t="str">
            <v>paddy.zz</v>
          </cell>
        </row>
        <row r="696">
          <cell r="C696" t="str">
            <v>01</v>
          </cell>
        </row>
        <row r="696">
          <cell r="F696" t="str">
            <v>--</v>
          </cell>
        </row>
        <row r="697">
          <cell r="A697" t="str">
            <v>paddy.zz</v>
          </cell>
        </row>
        <row r="697">
          <cell r="C697" t="str">
            <v>00</v>
          </cell>
        </row>
        <row r="697">
          <cell r="F697" t="str">
            <v>--</v>
          </cell>
        </row>
        <row r="698">
          <cell r="A698" t="str">
            <v>tony.zz</v>
          </cell>
        </row>
        <row r="698">
          <cell r="C698" t="str">
            <v>23</v>
          </cell>
        </row>
        <row r="698">
          <cell r="F698" t="str">
            <v>--</v>
          </cell>
        </row>
        <row r="699">
          <cell r="A699" t="str">
            <v>tony.zz</v>
          </cell>
        </row>
        <row r="699">
          <cell r="C699" t="str">
            <v>22</v>
          </cell>
        </row>
        <row r="699">
          <cell r="F699" t="str">
            <v>--</v>
          </cell>
        </row>
        <row r="700">
          <cell r="A700" t="str">
            <v>tony.zz</v>
          </cell>
        </row>
        <row r="700">
          <cell r="C700" t="str">
            <v>21</v>
          </cell>
        </row>
        <row r="700">
          <cell r="F700" t="str">
            <v>--</v>
          </cell>
        </row>
        <row r="701">
          <cell r="A701" t="str">
            <v>tony.zz</v>
          </cell>
        </row>
        <row r="701">
          <cell r="C701" t="str">
            <v>20</v>
          </cell>
        </row>
        <row r="701">
          <cell r="F701" t="str">
            <v>--</v>
          </cell>
        </row>
        <row r="702">
          <cell r="A702" t="str">
            <v>tony.zz</v>
          </cell>
        </row>
        <row r="702">
          <cell r="C702" t="str">
            <v>19</v>
          </cell>
        </row>
        <row r="702">
          <cell r="F702" t="str">
            <v>--</v>
          </cell>
        </row>
        <row r="703">
          <cell r="A703" t="str">
            <v>tony.zz</v>
          </cell>
        </row>
        <row r="703">
          <cell r="C703" t="str">
            <v>18</v>
          </cell>
        </row>
        <row r="703">
          <cell r="F703" t="str">
            <v>--</v>
          </cell>
        </row>
        <row r="704">
          <cell r="A704" t="str">
            <v>tony.zz</v>
          </cell>
        </row>
        <row r="704">
          <cell r="C704" t="str">
            <v>17</v>
          </cell>
        </row>
        <row r="704">
          <cell r="F704" t="str">
            <v>--</v>
          </cell>
        </row>
        <row r="705">
          <cell r="A705" t="str">
            <v>tony.zz</v>
          </cell>
        </row>
        <row r="705">
          <cell r="C705" t="str">
            <v>16</v>
          </cell>
        </row>
        <row r="705">
          <cell r="F705" t="str">
            <v>--</v>
          </cell>
        </row>
        <row r="706">
          <cell r="A706" t="str">
            <v>tony.zz</v>
          </cell>
        </row>
        <row r="706">
          <cell r="C706" t="str">
            <v>15</v>
          </cell>
        </row>
        <row r="706">
          <cell r="F706" t="str">
            <v>--</v>
          </cell>
        </row>
        <row r="707">
          <cell r="A707" t="str">
            <v>tony.zz</v>
          </cell>
        </row>
        <row r="707">
          <cell r="C707" t="str">
            <v>14</v>
          </cell>
        </row>
        <row r="707">
          <cell r="F707" t="str">
            <v>--</v>
          </cell>
        </row>
        <row r="708">
          <cell r="A708" t="str">
            <v>tony.zz</v>
          </cell>
        </row>
        <row r="708">
          <cell r="C708" t="str">
            <v>13</v>
          </cell>
        </row>
        <row r="708">
          <cell r="F708" t="str">
            <v>--</v>
          </cell>
        </row>
        <row r="709">
          <cell r="A709" t="str">
            <v>tony.zz</v>
          </cell>
        </row>
        <row r="709">
          <cell r="C709" t="str">
            <v>12</v>
          </cell>
        </row>
        <row r="709">
          <cell r="F709" t="str">
            <v>--</v>
          </cell>
        </row>
        <row r="710">
          <cell r="A710" t="str">
            <v>tony.zz</v>
          </cell>
        </row>
        <row r="710">
          <cell r="C710" t="str">
            <v>11</v>
          </cell>
        </row>
        <row r="710">
          <cell r="F710" t="str">
            <v>--</v>
          </cell>
        </row>
        <row r="711">
          <cell r="A711" t="str">
            <v>tony.zz</v>
          </cell>
        </row>
        <row r="711">
          <cell r="C711" t="str">
            <v>10</v>
          </cell>
        </row>
        <row r="711">
          <cell r="F711" t="str">
            <v>--</v>
          </cell>
        </row>
        <row r="712">
          <cell r="A712" t="str">
            <v>tony.zz</v>
          </cell>
        </row>
        <row r="712">
          <cell r="C712" t="str">
            <v>09</v>
          </cell>
        </row>
        <row r="712">
          <cell r="F712" t="str">
            <v>--</v>
          </cell>
        </row>
        <row r="713">
          <cell r="A713" t="str">
            <v>tony.zz</v>
          </cell>
        </row>
        <row r="713">
          <cell r="C713" t="str">
            <v>08</v>
          </cell>
        </row>
        <row r="713">
          <cell r="F713" t="str">
            <v>--</v>
          </cell>
        </row>
        <row r="714">
          <cell r="A714" t="str">
            <v>tony.zz</v>
          </cell>
        </row>
        <row r="714">
          <cell r="C714" t="str">
            <v>07</v>
          </cell>
        </row>
        <row r="714">
          <cell r="F714" t="str">
            <v>--</v>
          </cell>
        </row>
        <row r="715">
          <cell r="A715" t="str">
            <v>tony.zz</v>
          </cell>
        </row>
        <row r="715">
          <cell r="C715" t="str">
            <v>06</v>
          </cell>
        </row>
        <row r="715">
          <cell r="F715" t="str">
            <v>--</v>
          </cell>
        </row>
        <row r="716">
          <cell r="A716" t="str">
            <v>tony.zz</v>
          </cell>
        </row>
        <row r="716">
          <cell r="C716" t="str">
            <v>05</v>
          </cell>
        </row>
        <row r="716">
          <cell r="F716" t="str">
            <v>--</v>
          </cell>
        </row>
        <row r="717">
          <cell r="A717" t="str">
            <v>tony.zz</v>
          </cell>
        </row>
        <row r="717">
          <cell r="C717" t="str">
            <v>04</v>
          </cell>
        </row>
        <row r="717">
          <cell r="F717" t="str">
            <v>--</v>
          </cell>
        </row>
        <row r="718">
          <cell r="A718" t="str">
            <v>tony.zz</v>
          </cell>
        </row>
        <row r="718">
          <cell r="C718" t="str">
            <v>03</v>
          </cell>
        </row>
        <row r="718">
          <cell r="F718" t="str">
            <v>--</v>
          </cell>
        </row>
        <row r="719">
          <cell r="A719" t="str">
            <v>tony.zz</v>
          </cell>
        </row>
        <row r="719">
          <cell r="C719" t="str">
            <v>02</v>
          </cell>
        </row>
        <row r="719">
          <cell r="F719" t="str">
            <v>--</v>
          </cell>
        </row>
        <row r="720">
          <cell r="A720" t="str">
            <v>tony.zz</v>
          </cell>
        </row>
        <row r="720">
          <cell r="C720" t="str">
            <v>01</v>
          </cell>
        </row>
        <row r="720">
          <cell r="F720" t="str">
            <v>--</v>
          </cell>
        </row>
        <row r="721">
          <cell r="A721" t="str">
            <v>tony.zz</v>
          </cell>
        </row>
        <row r="721">
          <cell r="C721" t="str">
            <v>00</v>
          </cell>
        </row>
        <row r="721">
          <cell r="F721" t="str">
            <v>--</v>
          </cell>
        </row>
        <row r="722">
          <cell r="A722" t="str">
            <v>ben.zb</v>
          </cell>
        </row>
        <row r="722">
          <cell r="C722" t="str">
            <v>23</v>
          </cell>
        </row>
        <row r="722">
          <cell r="F722" t="str">
            <v>--</v>
          </cell>
        </row>
        <row r="723">
          <cell r="A723" t="str">
            <v>ben.zb</v>
          </cell>
        </row>
        <row r="723">
          <cell r="C723" t="str">
            <v>22</v>
          </cell>
        </row>
        <row r="723">
          <cell r="F723" t="str">
            <v>--</v>
          </cell>
        </row>
        <row r="724">
          <cell r="A724" t="str">
            <v>ben.zb</v>
          </cell>
        </row>
        <row r="724">
          <cell r="C724" t="str">
            <v>21</v>
          </cell>
        </row>
        <row r="724">
          <cell r="F724" t="str">
            <v>--</v>
          </cell>
        </row>
        <row r="725">
          <cell r="A725" t="str">
            <v>ben.zb</v>
          </cell>
        </row>
        <row r="725">
          <cell r="C725" t="str">
            <v>20</v>
          </cell>
        </row>
        <row r="725">
          <cell r="F725" t="str">
            <v>--</v>
          </cell>
        </row>
        <row r="726">
          <cell r="A726" t="str">
            <v>ben.zb</v>
          </cell>
        </row>
        <row r="726">
          <cell r="C726" t="str">
            <v>19</v>
          </cell>
        </row>
        <row r="726">
          <cell r="F726" t="str">
            <v>--</v>
          </cell>
        </row>
        <row r="727">
          <cell r="A727" t="str">
            <v>ben.zb</v>
          </cell>
        </row>
        <row r="727">
          <cell r="C727" t="str">
            <v>18</v>
          </cell>
        </row>
        <row r="727">
          <cell r="F727" t="str">
            <v>--</v>
          </cell>
        </row>
        <row r="728">
          <cell r="A728" t="str">
            <v>ben.zb</v>
          </cell>
        </row>
        <row r="728">
          <cell r="C728" t="str">
            <v>17</v>
          </cell>
        </row>
        <row r="728">
          <cell r="F728" t="str">
            <v>--</v>
          </cell>
        </row>
        <row r="729">
          <cell r="A729" t="str">
            <v>ben.zb</v>
          </cell>
        </row>
        <row r="729">
          <cell r="C729" t="str">
            <v>16</v>
          </cell>
        </row>
        <row r="729">
          <cell r="F729" t="str">
            <v>--</v>
          </cell>
        </row>
        <row r="730">
          <cell r="A730" t="str">
            <v>ben.zb</v>
          </cell>
        </row>
        <row r="730">
          <cell r="C730" t="str">
            <v>15</v>
          </cell>
        </row>
        <row r="730">
          <cell r="F730">
            <v>1</v>
          </cell>
        </row>
        <row r="731">
          <cell r="A731" t="str">
            <v>ben.zb</v>
          </cell>
        </row>
        <row r="731">
          <cell r="C731" t="str">
            <v>14</v>
          </cell>
        </row>
        <row r="731">
          <cell r="F731" t="str">
            <v>--</v>
          </cell>
        </row>
        <row r="732">
          <cell r="A732" t="str">
            <v>ben.zb</v>
          </cell>
        </row>
        <row r="732">
          <cell r="C732" t="str">
            <v>13</v>
          </cell>
        </row>
        <row r="732">
          <cell r="F732" t="str">
            <v>--</v>
          </cell>
        </row>
        <row r="733">
          <cell r="A733" t="str">
            <v>ben.zb</v>
          </cell>
        </row>
        <row r="733">
          <cell r="C733" t="str">
            <v>12</v>
          </cell>
        </row>
        <row r="733">
          <cell r="F733">
            <v>1</v>
          </cell>
        </row>
        <row r="734">
          <cell r="A734" t="str">
            <v>ben.zb</v>
          </cell>
        </row>
        <row r="734">
          <cell r="C734" t="str">
            <v>11</v>
          </cell>
        </row>
        <row r="734">
          <cell r="F734" t="str">
            <v>--</v>
          </cell>
        </row>
        <row r="735">
          <cell r="A735" t="str">
            <v>ben.zb</v>
          </cell>
        </row>
        <row r="735">
          <cell r="C735" t="str">
            <v>10</v>
          </cell>
        </row>
        <row r="735">
          <cell r="F735" t="str">
            <v>--</v>
          </cell>
        </row>
        <row r="736">
          <cell r="A736" t="str">
            <v>ben.zb</v>
          </cell>
        </row>
        <row r="736">
          <cell r="C736" t="str">
            <v>09</v>
          </cell>
        </row>
        <row r="736">
          <cell r="F736" t="str">
            <v>--</v>
          </cell>
        </row>
        <row r="737">
          <cell r="A737" t="str">
            <v>ben.zb</v>
          </cell>
        </row>
        <row r="737">
          <cell r="C737" t="str">
            <v>08</v>
          </cell>
        </row>
        <row r="737">
          <cell r="F737" t="str">
            <v>--</v>
          </cell>
        </row>
        <row r="738">
          <cell r="A738" t="str">
            <v>ben.zb</v>
          </cell>
        </row>
        <row r="738">
          <cell r="C738" t="str">
            <v>07</v>
          </cell>
        </row>
        <row r="738">
          <cell r="F738" t="str">
            <v>--</v>
          </cell>
        </row>
        <row r="739">
          <cell r="A739" t="str">
            <v>ben.zb</v>
          </cell>
        </row>
        <row r="739">
          <cell r="C739" t="str">
            <v>06</v>
          </cell>
        </row>
        <row r="739">
          <cell r="F739" t="str">
            <v>--</v>
          </cell>
        </row>
        <row r="740">
          <cell r="A740" t="str">
            <v>ben.zb</v>
          </cell>
        </row>
        <row r="740">
          <cell r="C740" t="str">
            <v>05</v>
          </cell>
        </row>
        <row r="740">
          <cell r="F740" t="str">
            <v>--</v>
          </cell>
        </row>
        <row r="741">
          <cell r="A741" t="str">
            <v>ben.zb</v>
          </cell>
        </row>
        <row r="741">
          <cell r="C741" t="str">
            <v>04</v>
          </cell>
        </row>
        <row r="741">
          <cell r="F741" t="str">
            <v>--</v>
          </cell>
        </row>
        <row r="742">
          <cell r="A742" t="str">
            <v>ben.zb</v>
          </cell>
        </row>
        <row r="742">
          <cell r="C742" t="str">
            <v>03</v>
          </cell>
        </row>
        <row r="742">
          <cell r="F742" t="str">
            <v>--</v>
          </cell>
        </row>
        <row r="743">
          <cell r="A743" t="str">
            <v>ben.zb</v>
          </cell>
        </row>
        <row r="743">
          <cell r="C743" t="str">
            <v>02</v>
          </cell>
        </row>
        <row r="743">
          <cell r="F743" t="str">
            <v>--</v>
          </cell>
        </row>
        <row r="744">
          <cell r="A744" t="str">
            <v>ben.zb</v>
          </cell>
        </row>
        <row r="744">
          <cell r="C744" t="str">
            <v>01</v>
          </cell>
        </row>
        <row r="744">
          <cell r="F744" t="str">
            <v>--</v>
          </cell>
        </row>
        <row r="745">
          <cell r="A745" t="str">
            <v>ben.zb</v>
          </cell>
        </row>
        <row r="745">
          <cell r="C745" t="str">
            <v>00</v>
          </cell>
        </row>
        <row r="745">
          <cell r="F745">
            <v>2</v>
          </cell>
        </row>
        <row r="746">
          <cell r="A746" t="str">
            <v>zed.zb</v>
          </cell>
        </row>
        <row r="746">
          <cell r="C746" t="str">
            <v>23</v>
          </cell>
        </row>
        <row r="746">
          <cell r="F746" t="str">
            <v>--</v>
          </cell>
        </row>
        <row r="747">
          <cell r="A747" t="str">
            <v>zed.zb</v>
          </cell>
        </row>
        <row r="747">
          <cell r="C747" t="str">
            <v>22</v>
          </cell>
        </row>
        <row r="747">
          <cell r="F747" t="str">
            <v>--</v>
          </cell>
        </row>
        <row r="748">
          <cell r="A748" t="str">
            <v>zed.zb</v>
          </cell>
        </row>
        <row r="748">
          <cell r="C748" t="str">
            <v>21</v>
          </cell>
        </row>
        <row r="748">
          <cell r="F748" t="str">
            <v>--</v>
          </cell>
        </row>
        <row r="749">
          <cell r="A749" t="str">
            <v>zed.zb</v>
          </cell>
        </row>
        <row r="749">
          <cell r="C749" t="str">
            <v>20</v>
          </cell>
        </row>
        <row r="749">
          <cell r="F749" t="str">
            <v>--</v>
          </cell>
        </row>
        <row r="750">
          <cell r="A750" t="str">
            <v>zed.zb</v>
          </cell>
        </row>
        <row r="750">
          <cell r="C750" t="str">
            <v>19</v>
          </cell>
        </row>
        <row r="750">
          <cell r="F750" t="str">
            <v>--</v>
          </cell>
        </row>
        <row r="751">
          <cell r="A751" t="str">
            <v>zed.zb</v>
          </cell>
        </row>
        <row r="751">
          <cell r="C751" t="str">
            <v>18</v>
          </cell>
        </row>
        <row r="751">
          <cell r="F751" t="str">
            <v>--</v>
          </cell>
        </row>
        <row r="752">
          <cell r="A752" t="str">
            <v>zed.zb</v>
          </cell>
        </row>
        <row r="752">
          <cell r="C752" t="str">
            <v>17</v>
          </cell>
        </row>
        <row r="752">
          <cell r="F752" t="str">
            <v>--</v>
          </cell>
        </row>
        <row r="753">
          <cell r="A753" t="str">
            <v>zed.zb</v>
          </cell>
        </row>
        <row r="753">
          <cell r="C753" t="str">
            <v>16</v>
          </cell>
        </row>
        <row r="753">
          <cell r="F753" t="str">
            <v>--</v>
          </cell>
        </row>
        <row r="754">
          <cell r="A754" t="str">
            <v>zed.zb</v>
          </cell>
        </row>
        <row r="754">
          <cell r="C754" t="str">
            <v>15</v>
          </cell>
        </row>
        <row r="754">
          <cell r="F754" t="str">
            <v>--</v>
          </cell>
        </row>
        <row r="755">
          <cell r="A755" t="str">
            <v>zed.zb</v>
          </cell>
        </row>
        <row r="755">
          <cell r="C755" t="str">
            <v>14</v>
          </cell>
        </row>
        <row r="755">
          <cell r="F755" t="str">
            <v>--</v>
          </cell>
        </row>
        <row r="756">
          <cell r="A756" t="str">
            <v>zed.zb</v>
          </cell>
        </row>
        <row r="756">
          <cell r="C756" t="str">
            <v>13</v>
          </cell>
        </row>
        <row r="756">
          <cell r="F756" t="str">
            <v>--</v>
          </cell>
        </row>
        <row r="757">
          <cell r="A757" t="str">
            <v>zed.zb</v>
          </cell>
        </row>
        <row r="757">
          <cell r="C757" t="str">
            <v>12</v>
          </cell>
        </row>
        <row r="757">
          <cell r="F757" t="str">
            <v>--</v>
          </cell>
        </row>
        <row r="758">
          <cell r="A758" t="str">
            <v>zed.zb</v>
          </cell>
        </row>
        <row r="758">
          <cell r="C758" t="str">
            <v>11</v>
          </cell>
        </row>
        <row r="758">
          <cell r="F758" t="str">
            <v>--</v>
          </cell>
        </row>
        <row r="759">
          <cell r="A759" t="str">
            <v>zed.zb</v>
          </cell>
        </row>
        <row r="759">
          <cell r="C759" t="str">
            <v>10</v>
          </cell>
        </row>
        <row r="759">
          <cell r="F759" t="str">
            <v>--</v>
          </cell>
        </row>
        <row r="760">
          <cell r="A760" t="str">
            <v>zed.zb</v>
          </cell>
        </row>
        <row r="760">
          <cell r="C760" t="str">
            <v>09</v>
          </cell>
        </row>
        <row r="760">
          <cell r="F760" t="str">
            <v>--</v>
          </cell>
        </row>
        <row r="761">
          <cell r="A761" t="str">
            <v>zed.zb</v>
          </cell>
        </row>
        <row r="761">
          <cell r="C761" t="str">
            <v>08</v>
          </cell>
        </row>
        <row r="761">
          <cell r="F761" t="str">
            <v>--</v>
          </cell>
        </row>
        <row r="762">
          <cell r="A762" t="str">
            <v>zed.zb</v>
          </cell>
        </row>
        <row r="762">
          <cell r="C762" t="str">
            <v>07</v>
          </cell>
        </row>
        <row r="762">
          <cell r="F762" t="str">
            <v>--</v>
          </cell>
        </row>
        <row r="763">
          <cell r="A763" t="str">
            <v>zed.zb</v>
          </cell>
        </row>
        <row r="763">
          <cell r="C763" t="str">
            <v>06</v>
          </cell>
        </row>
        <row r="763">
          <cell r="F763" t="str">
            <v>--</v>
          </cell>
        </row>
        <row r="764">
          <cell r="A764" t="str">
            <v>zed.zb</v>
          </cell>
        </row>
        <row r="764">
          <cell r="C764" t="str">
            <v>05</v>
          </cell>
        </row>
        <row r="764">
          <cell r="F764" t="str">
            <v>--</v>
          </cell>
        </row>
        <row r="765">
          <cell r="A765" t="str">
            <v>zed.zb</v>
          </cell>
        </row>
        <row r="765">
          <cell r="C765" t="str">
            <v>04</v>
          </cell>
        </row>
        <row r="765">
          <cell r="F765" t="str">
            <v>--</v>
          </cell>
        </row>
        <row r="766">
          <cell r="A766" t="str">
            <v>zed.zb</v>
          </cell>
        </row>
        <row r="766">
          <cell r="C766" t="str">
            <v>03</v>
          </cell>
        </row>
        <row r="766">
          <cell r="F766" t="str">
            <v>--</v>
          </cell>
        </row>
        <row r="767">
          <cell r="A767" t="str">
            <v>zed.zb</v>
          </cell>
        </row>
        <row r="767">
          <cell r="C767" t="str">
            <v>02</v>
          </cell>
        </row>
        <row r="767">
          <cell r="F767" t="str">
            <v>--</v>
          </cell>
        </row>
        <row r="768">
          <cell r="A768" t="str">
            <v>zed.zb</v>
          </cell>
        </row>
        <row r="768">
          <cell r="C768" t="str">
            <v>01</v>
          </cell>
        </row>
        <row r="768">
          <cell r="F768" t="str">
            <v>--</v>
          </cell>
        </row>
        <row r="769">
          <cell r="A769" t="str">
            <v>zed.zb</v>
          </cell>
        </row>
        <row r="769">
          <cell r="C769" t="str">
            <v>00</v>
          </cell>
        </row>
        <row r="769">
          <cell r="F769" t="str">
            <v>--</v>
          </cell>
        </row>
        <row r="770">
          <cell r="A770" t="str">
            <v>aber.zb</v>
          </cell>
        </row>
        <row r="770">
          <cell r="C770" t="str">
            <v>23</v>
          </cell>
        </row>
        <row r="770">
          <cell r="F770" t="str">
            <v>--</v>
          </cell>
        </row>
        <row r="771">
          <cell r="A771" t="str">
            <v>aber.zb</v>
          </cell>
        </row>
        <row r="771">
          <cell r="C771" t="str">
            <v>22</v>
          </cell>
        </row>
        <row r="771">
          <cell r="F771" t="str">
            <v>--</v>
          </cell>
        </row>
        <row r="772">
          <cell r="A772" t="str">
            <v>aber.zb</v>
          </cell>
        </row>
        <row r="772">
          <cell r="C772" t="str">
            <v>21</v>
          </cell>
        </row>
        <row r="772">
          <cell r="F772" t="str">
            <v>--</v>
          </cell>
        </row>
        <row r="773">
          <cell r="A773" t="str">
            <v>aber.zb</v>
          </cell>
        </row>
        <row r="773">
          <cell r="C773" t="str">
            <v>20</v>
          </cell>
        </row>
        <row r="773">
          <cell r="F773" t="str">
            <v>--</v>
          </cell>
        </row>
        <row r="774">
          <cell r="A774" t="str">
            <v>aber.zb</v>
          </cell>
        </row>
        <row r="774">
          <cell r="C774" t="str">
            <v>19</v>
          </cell>
        </row>
        <row r="774">
          <cell r="F774" t="str">
            <v>--</v>
          </cell>
        </row>
        <row r="775">
          <cell r="A775" t="str">
            <v>aber.zb</v>
          </cell>
        </row>
        <row r="775">
          <cell r="C775" t="str">
            <v>18</v>
          </cell>
        </row>
        <row r="775">
          <cell r="F775" t="str">
            <v>--</v>
          </cell>
        </row>
        <row r="776">
          <cell r="A776" t="str">
            <v>aber.zb</v>
          </cell>
        </row>
        <row r="776">
          <cell r="C776" t="str">
            <v>17</v>
          </cell>
        </row>
        <row r="776">
          <cell r="F776" t="str">
            <v>--</v>
          </cell>
        </row>
        <row r="777">
          <cell r="A777" t="str">
            <v>aber.zb</v>
          </cell>
        </row>
        <row r="777">
          <cell r="C777" t="str">
            <v>16</v>
          </cell>
        </row>
        <row r="777">
          <cell r="F777" t="str">
            <v>--</v>
          </cell>
        </row>
        <row r="778">
          <cell r="A778" t="str">
            <v>aber.zb</v>
          </cell>
        </row>
        <row r="778">
          <cell r="C778" t="str">
            <v>15</v>
          </cell>
        </row>
        <row r="778">
          <cell r="F778" t="str">
            <v>--</v>
          </cell>
        </row>
        <row r="779">
          <cell r="A779" t="str">
            <v>aber.zb</v>
          </cell>
        </row>
        <row r="779">
          <cell r="C779" t="str">
            <v>14</v>
          </cell>
        </row>
        <row r="779">
          <cell r="F779" t="str">
            <v>--</v>
          </cell>
        </row>
        <row r="780">
          <cell r="A780" t="str">
            <v>aber.zb</v>
          </cell>
        </row>
        <row r="780">
          <cell r="C780" t="str">
            <v>13</v>
          </cell>
        </row>
        <row r="780">
          <cell r="F780" t="str">
            <v>--</v>
          </cell>
        </row>
        <row r="781">
          <cell r="A781" t="str">
            <v>aber.zb</v>
          </cell>
        </row>
        <row r="781">
          <cell r="C781" t="str">
            <v>12</v>
          </cell>
        </row>
        <row r="781">
          <cell r="F781" t="str">
            <v>--</v>
          </cell>
        </row>
        <row r="782">
          <cell r="A782" t="str">
            <v>aber.zb</v>
          </cell>
        </row>
        <row r="782">
          <cell r="C782" t="str">
            <v>11</v>
          </cell>
        </row>
        <row r="782">
          <cell r="F782" t="str">
            <v>--</v>
          </cell>
        </row>
        <row r="783">
          <cell r="A783" t="str">
            <v>aber.zb</v>
          </cell>
        </row>
        <row r="783">
          <cell r="C783" t="str">
            <v>10</v>
          </cell>
        </row>
        <row r="783">
          <cell r="F783" t="str">
            <v>--</v>
          </cell>
        </row>
        <row r="784">
          <cell r="A784" t="str">
            <v>aber.zb</v>
          </cell>
        </row>
        <row r="784">
          <cell r="C784" t="str">
            <v>09</v>
          </cell>
        </row>
        <row r="784">
          <cell r="F784" t="str">
            <v>--</v>
          </cell>
        </row>
        <row r="785">
          <cell r="A785" t="str">
            <v>aber.zb</v>
          </cell>
        </row>
        <row r="785">
          <cell r="C785" t="str">
            <v>08</v>
          </cell>
        </row>
        <row r="785">
          <cell r="F785" t="str">
            <v>--</v>
          </cell>
        </row>
        <row r="786">
          <cell r="A786" t="str">
            <v>aber.zb</v>
          </cell>
        </row>
        <row r="786">
          <cell r="C786" t="str">
            <v>07</v>
          </cell>
        </row>
        <row r="786">
          <cell r="F786" t="str">
            <v>--</v>
          </cell>
        </row>
        <row r="787">
          <cell r="A787" t="str">
            <v>aber.zb</v>
          </cell>
        </row>
        <row r="787">
          <cell r="C787" t="str">
            <v>06</v>
          </cell>
        </row>
        <row r="787">
          <cell r="F787" t="str">
            <v>--</v>
          </cell>
        </row>
        <row r="788">
          <cell r="A788" t="str">
            <v>aber.zb</v>
          </cell>
        </row>
        <row r="788">
          <cell r="C788" t="str">
            <v>05</v>
          </cell>
        </row>
        <row r="788">
          <cell r="F788" t="str">
            <v>--</v>
          </cell>
        </row>
        <row r="789">
          <cell r="A789" t="str">
            <v>aber.zb</v>
          </cell>
        </row>
        <row r="789">
          <cell r="C789" t="str">
            <v>04</v>
          </cell>
        </row>
        <row r="789">
          <cell r="F789" t="str">
            <v>--</v>
          </cell>
        </row>
        <row r="790">
          <cell r="A790" t="str">
            <v>aber.zb</v>
          </cell>
        </row>
        <row r="790">
          <cell r="C790" t="str">
            <v>03</v>
          </cell>
        </row>
        <row r="790">
          <cell r="F790" t="str">
            <v>--</v>
          </cell>
        </row>
        <row r="791">
          <cell r="A791" t="str">
            <v>aber.zb</v>
          </cell>
        </row>
        <row r="791">
          <cell r="C791" t="str">
            <v>02</v>
          </cell>
        </row>
        <row r="791">
          <cell r="F791" t="str">
            <v>--</v>
          </cell>
        </row>
        <row r="792">
          <cell r="A792" t="str">
            <v>aber.zb</v>
          </cell>
        </row>
        <row r="792">
          <cell r="C792" t="str">
            <v>01</v>
          </cell>
        </row>
        <row r="792">
          <cell r="F792" t="str">
            <v>--</v>
          </cell>
        </row>
        <row r="793">
          <cell r="A793" t="str">
            <v>aber.zb</v>
          </cell>
        </row>
        <row r="793">
          <cell r="C793" t="str">
            <v>00</v>
          </cell>
        </row>
        <row r="793">
          <cell r="F793" t="str">
            <v>--</v>
          </cell>
        </row>
        <row r="794">
          <cell r="A794" t="str">
            <v>martin.zb</v>
          </cell>
        </row>
        <row r="794">
          <cell r="C794" t="str">
            <v>23</v>
          </cell>
        </row>
        <row r="794">
          <cell r="F794" t="str">
            <v>--</v>
          </cell>
        </row>
        <row r="795">
          <cell r="A795" t="str">
            <v>martin.zb</v>
          </cell>
        </row>
        <row r="795">
          <cell r="C795" t="str">
            <v>22</v>
          </cell>
        </row>
        <row r="795">
          <cell r="F795">
            <v>3</v>
          </cell>
        </row>
        <row r="796">
          <cell r="A796" t="str">
            <v>martin.zb</v>
          </cell>
        </row>
        <row r="796">
          <cell r="C796" t="str">
            <v>21</v>
          </cell>
        </row>
        <row r="796">
          <cell r="F796">
            <v>2</v>
          </cell>
        </row>
        <row r="797">
          <cell r="A797" t="str">
            <v>martin.zb</v>
          </cell>
        </row>
        <row r="797">
          <cell r="C797" t="str">
            <v>20</v>
          </cell>
        </row>
        <row r="797">
          <cell r="F797">
            <v>6</v>
          </cell>
        </row>
        <row r="798">
          <cell r="A798" t="str">
            <v>martin.zb</v>
          </cell>
        </row>
        <row r="798">
          <cell r="C798" t="str">
            <v>19</v>
          </cell>
        </row>
        <row r="798">
          <cell r="F798">
            <v>1</v>
          </cell>
        </row>
        <row r="799">
          <cell r="A799" t="str">
            <v>martin.zb</v>
          </cell>
        </row>
        <row r="799">
          <cell r="C799" t="str">
            <v>18</v>
          </cell>
        </row>
        <row r="799">
          <cell r="F799">
            <v>2</v>
          </cell>
        </row>
        <row r="800">
          <cell r="A800" t="str">
            <v>martin.zb</v>
          </cell>
        </row>
        <row r="800">
          <cell r="C800" t="str">
            <v>17</v>
          </cell>
        </row>
        <row r="800">
          <cell r="F800">
            <v>0</v>
          </cell>
        </row>
        <row r="801">
          <cell r="A801" t="str">
            <v>martin.zb</v>
          </cell>
        </row>
        <row r="801">
          <cell r="C801" t="str">
            <v>16</v>
          </cell>
        </row>
        <row r="801">
          <cell r="F801">
            <v>4</v>
          </cell>
        </row>
        <row r="802">
          <cell r="A802" t="str">
            <v>martin.zb</v>
          </cell>
        </row>
        <row r="802">
          <cell r="C802" t="str">
            <v>15</v>
          </cell>
        </row>
        <row r="802">
          <cell r="F802">
            <v>4</v>
          </cell>
        </row>
        <row r="803">
          <cell r="A803" t="str">
            <v>martin.zb</v>
          </cell>
        </row>
        <row r="803">
          <cell r="C803" t="str">
            <v>14</v>
          </cell>
        </row>
        <row r="803">
          <cell r="F803">
            <v>2</v>
          </cell>
        </row>
        <row r="804">
          <cell r="A804" t="str">
            <v>martin.zb</v>
          </cell>
        </row>
        <row r="804">
          <cell r="C804" t="str">
            <v>13</v>
          </cell>
        </row>
        <row r="804">
          <cell r="F804">
            <v>3</v>
          </cell>
        </row>
        <row r="805">
          <cell r="A805" t="str">
            <v>martin.zb</v>
          </cell>
        </row>
        <row r="805">
          <cell r="C805" t="str">
            <v>12</v>
          </cell>
        </row>
        <row r="805">
          <cell r="F805">
            <v>1</v>
          </cell>
        </row>
        <row r="806">
          <cell r="A806" t="str">
            <v>martin.zb</v>
          </cell>
        </row>
        <row r="806">
          <cell r="C806" t="str">
            <v>11</v>
          </cell>
        </row>
        <row r="806">
          <cell r="F806">
            <v>7</v>
          </cell>
        </row>
        <row r="807">
          <cell r="A807" t="str">
            <v>martin.zb</v>
          </cell>
        </row>
        <row r="807">
          <cell r="C807" t="str">
            <v>10</v>
          </cell>
        </row>
        <row r="807">
          <cell r="F807">
            <v>4</v>
          </cell>
        </row>
        <row r="808">
          <cell r="A808" t="str">
            <v>martin.zb</v>
          </cell>
        </row>
        <row r="808">
          <cell r="C808" t="str">
            <v>09</v>
          </cell>
        </row>
        <row r="808">
          <cell r="F808">
            <v>7</v>
          </cell>
        </row>
        <row r="809">
          <cell r="A809" t="str">
            <v>martin.zb</v>
          </cell>
        </row>
        <row r="809">
          <cell r="C809" t="str">
            <v>08</v>
          </cell>
        </row>
        <row r="809">
          <cell r="F809">
            <v>1</v>
          </cell>
        </row>
        <row r="810">
          <cell r="A810" t="str">
            <v>martin.zb</v>
          </cell>
        </row>
        <row r="810">
          <cell r="C810" t="str">
            <v>07</v>
          </cell>
        </row>
        <row r="810">
          <cell r="F810">
            <v>1</v>
          </cell>
        </row>
        <row r="811">
          <cell r="A811" t="str">
            <v>martin.zb</v>
          </cell>
        </row>
        <row r="811">
          <cell r="C811" t="str">
            <v>06</v>
          </cell>
        </row>
        <row r="811">
          <cell r="F811" t="str">
            <v>--</v>
          </cell>
        </row>
        <row r="812">
          <cell r="A812" t="str">
            <v>martin.zb</v>
          </cell>
        </row>
        <row r="812">
          <cell r="C812" t="str">
            <v>05</v>
          </cell>
        </row>
        <row r="812">
          <cell r="F812" t="str">
            <v>--</v>
          </cell>
        </row>
        <row r="813">
          <cell r="A813" t="str">
            <v>martin.zb</v>
          </cell>
        </row>
        <row r="813">
          <cell r="C813" t="str">
            <v>04</v>
          </cell>
        </row>
        <row r="813">
          <cell r="F813" t="str">
            <v>--</v>
          </cell>
        </row>
        <row r="814">
          <cell r="A814" t="str">
            <v>martin.zb</v>
          </cell>
        </row>
        <row r="814">
          <cell r="C814" t="str">
            <v>03</v>
          </cell>
        </row>
        <row r="814">
          <cell r="F814" t="str">
            <v>--</v>
          </cell>
        </row>
        <row r="815">
          <cell r="A815" t="str">
            <v>martin.zb</v>
          </cell>
        </row>
        <row r="815">
          <cell r="C815" t="str">
            <v>02</v>
          </cell>
        </row>
        <row r="815">
          <cell r="F815" t="str">
            <v>--</v>
          </cell>
        </row>
        <row r="816">
          <cell r="A816" t="str">
            <v>martin.zb</v>
          </cell>
        </row>
        <row r="816">
          <cell r="C816" t="str">
            <v>01</v>
          </cell>
        </row>
        <row r="816">
          <cell r="F816">
            <v>1</v>
          </cell>
        </row>
        <row r="817">
          <cell r="A817" t="str">
            <v>martin.zb</v>
          </cell>
        </row>
        <row r="817">
          <cell r="C817" t="str">
            <v>00</v>
          </cell>
        </row>
        <row r="817">
          <cell r="F817">
            <v>2</v>
          </cell>
        </row>
        <row r="818">
          <cell r="A818" t="str">
            <v>hugo.zb</v>
          </cell>
        </row>
        <row r="818">
          <cell r="C818" t="str">
            <v>23</v>
          </cell>
        </row>
        <row r="818">
          <cell r="F818">
            <v>4</v>
          </cell>
        </row>
        <row r="819">
          <cell r="A819" t="str">
            <v>hugo.zb</v>
          </cell>
        </row>
        <row r="819">
          <cell r="C819" t="str">
            <v>22</v>
          </cell>
        </row>
        <row r="819">
          <cell r="F819">
            <v>3</v>
          </cell>
        </row>
        <row r="820">
          <cell r="A820" t="str">
            <v>hugo.zb</v>
          </cell>
        </row>
        <row r="820">
          <cell r="C820" t="str">
            <v>21</v>
          </cell>
        </row>
        <row r="820">
          <cell r="F820">
            <v>1</v>
          </cell>
        </row>
        <row r="821">
          <cell r="A821" t="str">
            <v>hugo.zb</v>
          </cell>
        </row>
        <row r="821">
          <cell r="C821" t="str">
            <v>20</v>
          </cell>
        </row>
        <row r="821">
          <cell r="F821">
            <v>3</v>
          </cell>
        </row>
        <row r="822">
          <cell r="A822" t="str">
            <v>hugo.zb</v>
          </cell>
        </row>
        <row r="822">
          <cell r="C822" t="str">
            <v>19</v>
          </cell>
        </row>
        <row r="822">
          <cell r="F822">
            <v>2</v>
          </cell>
        </row>
        <row r="823">
          <cell r="A823" t="str">
            <v>hugo.zb</v>
          </cell>
        </row>
        <row r="823">
          <cell r="C823" t="str">
            <v>18</v>
          </cell>
        </row>
        <row r="823">
          <cell r="F823">
            <v>1</v>
          </cell>
        </row>
        <row r="824">
          <cell r="A824" t="str">
            <v>hugo.zb</v>
          </cell>
        </row>
        <row r="824">
          <cell r="C824" t="str">
            <v>17</v>
          </cell>
        </row>
        <row r="824">
          <cell r="F824">
            <v>1</v>
          </cell>
        </row>
        <row r="825">
          <cell r="A825" t="str">
            <v>hugo.zb</v>
          </cell>
        </row>
        <row r="825">
          <cell r="C825" t="str">
            <v>16</v>
          </cell>
        </row>
        <row r="825">
          <cell r="F825">
            <v>3</v>
          </cell>
        </row>
        <row r="826">
          <cell r="A826" t="str">
            <v>hugo.zb</v>
          </cell>
        </row>
        <row r="826">
          <cell r="C826" t="str">
            <v>15</v>
          </cell>
        </row>
        <row r="826">
          <cell r="F826">
            <v>1</v>
          </cell>
        </row>
        <row r="827">
          <cell r="A827" t="str">
            <v>hugo.zb</v>
          </cell>
        </row>
        <row r="827">
          <cell r="C827" t="str">
            <v>14</v>
          </cell>
        </row>
        <row r="827">
          <cell r="F827">
            <v>1</v>
          </cell>
        </row>
        <row r="828">
          <cell r="A828" t="str">
            <v>hugo.zb</v>
          </cell>
        </row>
        <row r="828">
          <cell r="C828" t="str">
            <v>13</v>
          </cell>
        </row>
        <row r="828">
          <cell r="F828">
            <v>1</v>
          </cell>
        </row>
        <row r="829">
          <cell r="A829" t="str">
            <v>hugo.zb</v>
          </cell>
        </row>
        <row r="829">
          <cell r="C829" t="str">
            <v>12</v>
          </cell>
        </row>
        <row r="829">
          <cell r="F829">
            <v>4</v>
          </cell>
        </row>
        <row r="830">
          <cell r="A830" t="str">
            <v>hugo.zb</v>
          </cell>
        </row>
        <row r="830">
          <cell r="C830" t="str">
            <v>11</v>
          </cell>
        </row>
        <row r="830">
          <cell r="F830">
            <v>1</v>
          </cell>
        </row>
        <row r="831">
          <cell r="A831" t="str">
            <v>hugo.zb</v>
          </cell>
        </row>
        <row r="831">
          <cell r="C831" t="str">
            <v>10</v>
          </cell>
        </row>
        <row r="831">
          <cell r="F831">
            <v>2</v>
          </cell>
        </row>
        <row r="832">
          <cell r="A832" t="str">
            <v>hugo.zb</v>
          </cell>
        </row>
        <row r="832">
          <cell r="C832" t="str">
            <v>09</v>
          </cell>
        </row>
        <row r="832">
          <cell r="F832">
            <v>2</v>
          </cell>
        </row>
        <row r="833">
          <cell r="A833" t="str">
            <v>hugo.zb</v>
          </cell>
        </row>
        <row r="833">
          <cell r="C833" t="str">
            <v>08</v>
          </cell>
        </row>
        <row r="833">
          <cell r="F833" t="str">
            <v>--</v>
          </cell>
        </row>
        <row r="834">
          <cell r="A834" t="str">
            <v>hugo.zb</v>
          </cell>
        </row>
        <row r="834">
          <cell r="C834" t="str">
            <v>07</v>
          </cell>
        </row>
        <row r="834">
          <cell r="F834" t="str">
            <v>--</v>
          </cell>
        </row>
        <row r="835">
          <cell r="A835" t="str">
            <v>hugo.zb</v>
          </cell>
        </row>
        <row r="835">
          <cell r="C835" t="str">
            <v>06</v>
          </cell>
        </row>
        <row r="835">
          <cell r="F835" t="str">
            <v>--</v>
          </cell>
        </row>
        <row r="836">
          <cell r="A836" t="str">
            <v>hugo.zb</v>
          </cell>
        </row>
        <row r="836">
          <cell r="C836" t="str">
            <v>05</v>
          </cell>
        </row>
        <row r="836">
          <cell r="F836" t="str">
            <v>--</v>
          </cell>
        </row>
        <row r="837">
          <cell r="A837" t="str">
            <v>hugo.zb</v>
          </cell>
        </row>
        <row r="837">
          <cell r="C837" t="str">
            <v>04</v>
          </cell>
        </row>
        <row r="837">
          <cell r="F837" t="str">
            <v>--</v>
          </cell>
        </row>
        <row r="838">
          <cell r="A838" t="str">
            <v>hugo.zb</v>
          </cell>
        </row>
        <row r="838">
          <cell r="C838" t="str">
            <v>03</v>
          </cell>
        </row>
        <row r="838">
          <cell r="F838" t="str">
            <v>--</v>
          </cell>
        </row>
        <row r="839">
          <cell r="A839" t="str">
            <v>hugo.zb</v>
          </cell>
        </row>
        <row r="839">
          <cell r="C839" t="str">
            <v>02</v>
          </cell>
        </row>
        <row r="839">
          <cell r="F839" t="str">
            <v>--</v>
          </cell>
        </row>
        <row r="840">
          <cell r="A840" t="str">
            <v>hugo.zb</v>
          </cell>
        </row>
        <row r="840">
          <cell r="C840" t="str">
            <v>01</v>
          </cell>
        </row>
        <row r="840">
          <cell r="F840">
            <v>1</v>
          </cell>
        </row>
        <row r="841">
          <cell r="A841" t="str">
            <v>hugo.zb</v>
          </cell>
        </row>
        <row r="841">
          <cell r="C841" t="str">
            <v>00</v>
          </cell>
        </row>
        <row r="841">
          <cell r="F841" t="str">
            <v>--</v>
          </cell>
        </row>
        <row r="842">
          <cell r="A842" t="str">
            <v>dk.zb</v>
          </cell>
        </row>
        <row r="842">
          <cell r="C842" t="str">
            <v>23</v>
          </cell>
        </row>
        <row r="842">
          <cell r="F842">
            <v>4</v>
          </cell>
        </row>
        <row r="843">
          <cell r="A843" t="str">
            <v>dk.zb</v>
          </cell>
        </row>
        <row r="843">
          <cell r="C843" t="str">
            <v>22</v>
          </cell>
        </row>
        <row r="843">
          <cell r="F843">
            <v>4</v>
          </cell>
        </row>
        <row r="844">
          <cell r="A844" t="str">
            <v>dk.zb</v>
          </cell>
        </row>
        <row r="844">
          <cell r="C844" t="str">
            <v>21</v>
          </cell>
        </row>
        <row r="844">
          <cell r="F844">
            <v>2</v>
          </cell>
        </row>
        <row r="845">
          <cell r="A845" t="str">
            <v>dk.zb</v>
          </cell>
        </row>
        <row r="845">
          <cell r="C845" t="str">
            <v>20</v>
          </cell>
        </row>
        <row r="845">
          <cell r="F845">
            <v>5</v>
          </cell>
        </row>
        <row r="846">
          <cell r="A846" t="str">
            <v>dk.zb</v>
          </cell>
        </row>
        <row r="846">
          <cell r="C846" t="str">
            <v>19</v>
          </cell>
        </row>
        <row r="846">
          <cell r="F846">
            <v>8</v>
          </cell>
        </row>
        <row r="847">
          <cell r="A847" t="str">
            <v>dk.zb</v>
          </cell>
        </row>
        <row r="847">
          <cell r="C847" t="str">
            <v>18</v>
          </cell>
        </row>
        <row r="847">
          <cell r="F847">
            <v>6</v>
          </cell>
        </row>
        <row r="848">
          <cell r="A848" t="str">
            <v>dk.zb</v>
          </cell>
        </row>
        <row r="848">
          <cell r="C848" t="str">
            <v>17</v>
          </cell>
        </row>
        <row r="848">
          <cell r="F848">
            <v>6</v>
          </cell>
        </row>
        <row r="849">
          <cell r="A849" t="str">
            <v>dk.zb</v>
          </cell>
        </row>
        <row r="849">
          <cell r="C849" t="str">
            <v>16</v>
          </cell>
        </row>
        <row r="849">
          <cell r="F849">
            <v>2</v>
          </cell>
        </row>
        <row r="850">
          <cell r="A850" t="str">
            <v>dk.zb</v>
          </cell>
        </row>
        <row r="850">
          <cell r="C850" t="str">
            <v>15</v>
          </cell>
        </row>
        <row r="850">
          <cell r="F850">
            <v>4</v>
          </cell>
        </row>
        <row r="851">
          <cell r="A851" t="str">
            <v>dk.zb</v>
          </cell>
        </row>
        <row r="851">
          <cell r="C851" t="str">
            <v>14</v>
          </cell>
        </row>
        <row r="851">
          <cell r="F851">
            <v>4</v>
          </cell>
        </row>
        <row r="852">
          <cell r="A852" t="str">
            <v>dk.zb</v>
          </cell>
        </row>
        <row r="852">
          <cell r="C852" t="str">
            <v>13</v>
          </cell>
        </row>
        <row r="852">
          <cell r="F852">
            <v>3</v>
          </cell>
        </row>
        <row r="853">
          <cell r="A853" t="str">
            <v>dk.zb</v>
          </cell>
        </row>
        <row r="853">
          <cell r="C853" t="str">
            <v>12</v>
          </cell>
        </row>
        <row r="853">
          <cell r="F853">
            <v>1</v>
          </cell>
        </row>
        <row r="854">
          <cell r="A854" t="str">
            <v>dk.zb</v>
          </cell>
        </row>
        <row r="854">
          <cell r="C854" t="str">
            <v>11</v>
          </cell>
        </row>
        <row r="854">
          <cell r="F854">
            <v>7</v>
          </cell>
        </row>
        <row r="855">
          <cell r="A855" t="str">
            <v>dk.zb</v>
          </cell>
        </row>
        <row r="855">
          <cell r="C855" t="str">
            <v>10</v>
          </cell>
        </row>
        <row r="855">
          <cell r="F855">
            <v>4</v>
          </cell>
        </row>
        <row r="856">
          <cell r="A856" t="str">
            <v>dk.zb</v>
          </cell>
        </row>
        <row r="856">
          <cell r="C856" t="str">
            <v>09</v>
          </cell>
        </row>
        <row r="856">
          <cell r="F856">
            <v>7</v>
          </cell>
        </row>
        <row r="857">
          <cell r="A857" t="str">
            <v>dk.zb</v>
          </cell>
        </row>
        <row r="857">
          <cell r="C857" t="str">
            <v>08</v>
          </cell>
        </row>
        <row r="857">
          <cell r="F857">
            <v>4</v>
          </cell>
        </row>
        <row r="858">
          <cell r="A858" t="str">
            <v>dk.zb</v>
          </cell>
        </row>
        <row r="858">
          <cell r="C858" t="str">
            <v>07</v>
          </cell>
        </row>
        <row r="858">
          <cell r="F858">
            <v>2</v>
          </cell>
        </row>
        <row r="859">
          <cell r="A859" t="str">
            <v>dk.zb</v>
          </cell>
        </row>
        <row r="859">
          <cell r="C859" t="str">
            <v>06</v>
          </cell>
        </row>
        <row r="859">
          <cell r="F859">
            <v>1</v>
          </cell>
        </row>
        <row r="860">
          <cell r="A860" t="str">
            <v>dk.zb</v>
          </cell>
        </row>
        <row r="860">
          <cell r="C860" t="str">
            <v>05</v>
          </cell>
        </row>
        <row r="860">
          <cell r="F860">
            <v>4</v>
          </cell>
        </row>
        <row r="861">
          <cell r="A861" t="str">
            <v>dk.zb</v>
          </cell>
        </row>
        <row r="861">
          <cell r="C861" t="str">
            <v>04</v>
          </cell>
        </row>
        <row r="861">
          <cell r="F861">
            <v>1</v>
          </cell>
        </row>
        <row r="862">
          <cell r="A862" t="str">
            <v>dk.zb</v>
          </cell>
        </row>
        <row r="862">
          <cell r="C862" t="str">
            <v>03</v>
          </cell>
        </row>
        <row r="862">
          <cell r="F862" t="str">
            <v>--</v>
          </cell>
        </row>
        <row r="863">
          <cell r="A863" t="str">
            <v>dk.zb</v>
          </cell>
        </row>
        <row r="863">
          <cell r="C863" t="str">
            <v>02</v>
          </cell>
        </row>
        <row r="863">
          <cell r="F863">
            <v>2</v>
          </cell>
        </row>
        <row r="864">
          <cell r="A864" t="str">
            <v>dk.zb</v>
          </cell>
        </row>
        <row r="864">
          <cell r="C864" t="str">
            <v>01</v>
          </cell>
        </row>
        <row r="864">
          <cell r="F864">
            <v>2</v>
          </cell>
        </row>
        <row r="865">
          <cell r="A865" t="str">
            <v>dk.zb</v>
          </cell>
        </row>
        <row r="865">
          <cell r="C865" t="str">
            <v>00</v>
          </cell>
        </row>
        <row r="865">
          <cell r="F865">
            <v>7</v>
          </cell>
        </row>
        <row r="866">
          <cell r="A866" t="str">
            <v>tony.zb</v>
          </cell>
        </row>
        <row r="866">
          <cell r="C866" t="str">
            <v>23</v>
          </cell>
        </row>
        <row r="866">
          <cell r="F866" t="str">
            <v>--</v>
          </cell>
        </row>
        <row r="867">
          <cell r="A867" t="str">
            <v>tony.zb</v>
          </cell>
        </row>
        <row r="867">
          <cell r="C867" t="str">
            <v>22</v>
          </cell>
        </row>
        <row r="867">
          <cell r="F867" t="str">
            <v>--</v>
          </cell>
        </row>
        <row r="868">
          <cell r="A868" t="str">
            <v>tony.zb</v>
          </cell>
        </row>
        <row r="868">
          <cell r="C868" t="str">
            <v>21</v>
          </cell>
        </row>
        <row r="868">
          <cell r="F868" t="str">
            <v>--</v>
          </cell>
        </row>
        <row r="869">
          <cell r="A869" t="str">
            <v>tony.zb</v>
          </cell>
        </row>
        <row r="869">
          <cell r="C869" t="str">
            <v>20</v>
          </cell>
        </row>
        <row r="869">
          <cell r="F869" t="str">
            <v>--</v>
          </cell>
        </row>
        <row r="870">
          <cell r="A870" t="str">
            <v>tony.zb</v>
          </cell>
        </row>
        <row r="870">
          <cell r="C870" t="str">
            <v>19</v>
          </cell>
        </row>
        <row r="870">
          <cell r="F870" t="str">
            <v>--</v>
          </cell>
        </row>
        <row r="871">
          <cell r="A871" t="str">
            <v>tony.zb</v>
          </cell>
        </row>
        <row r="871">
          <cell r="C871" t="str">
            <v>18</v>
          </cell>
        </row>
        <row r="871">
          <cell r="F871" t="str">
            <v>--</v>
          </cell>
        </row>
        <row r="872">
          <cell r="A872" t="str">
            <v>tony.zb</v>
          </cell>
        </row>
        <row r="872">
          <cell r="C872" t="str">
            <v>17</v>
          </cell>
        </row>
        <row r="872">
          <cell r="F872" t="str">
            <v>--</v>
          </cell>
        </row>
        <row r="873">
          <cell r="A873" t="str">
            <v>tony.zb</v>
          </cell>
        </row>
        <row r="873">
          <cell r="C873" t="str">
            <v>16</v>
          </cell>
        </row>
        <row r="873">
          <cell r="F873" t="str">
            <v>--</v>
          </cell>
        </row>
        <row r="874">
          <cell r="A874" t="str">
            <v>tony.zb</v>
          </cell>
        </row>
        <row r="874">
          <cell r="C874" t="str">
            <v>15</v>
          </cell>
        </row>
        <row r="874">
          <cell r="F874" t="str">
            <v>--</v>
          </cell>
        </row>
        <row r="875">
          <cell r="A875" t="str">
            <v>tony.zb</v>
          </cell>
        </row>
        <row r="875">
          <cell r="C875" t="str">
            <v>14</v>
          </cell>
        </row>
        <row r="875">
          <cell r="F875" t="str">
            <v>--</v>
          </cell>
        </row>
        <row r="876">
          <cell r="A876" t="str">
            <v>tony.zb</v>
          </cell>
        </row>
        <row r="876">
          <cell r="C876" t="str">
            <v>13</v>
          </cell>
        </row>
        <row r="876">
          <cell r="F876" t="str">
            <v>--</v>
          </cell>
        </row>
        <row r="877">
          <cell r="A877" t="str">
            <v>tony.zb</v>
          </cell>
        </row>
        <row r="877">
          <cell r="C877" t="str">
            <v>12</v>
          </cell>
        </row>
        <row r="877">
          <cell r="F877" t="str">
            <v>--</v>
          </cell>
        </row>
        <row r="878">
          <cell r="A878" t="str">
            <v>tony.zb</v>
          </cell>
        </row>
        <row r="878">
          <cell r="C878" t="str">
            <v>11</v>
          </cell>
        </row>
        <row r="878">
          <cell r="F878" t="str">
            <v>--</v>
          </cell>
        </row>
        <row r="879">
          <cell r="A879" t="str">
            <v>tony.zb</v>
          </cell>
        </row>
        <row r="879">
          <cell r="C879" t="str">
            <v>10</v>
          </cell>
        </row>
        <row r="879">
          <cell r="F879" t="str">
            <v>--</v>
          </cell>
        </row>
        <row r="880">
          <cell r="A880" t="str">
            <v>tony.zb</v>
          </cell>
        </row>
        <row r="880">
          <cell r="C880" t="str">
            <v>09</v>
          </cell>
        </row>
        <row r="880">
          <cell r="F880" t="str">
            <v>--</v>
          </cell>
        </row>
        <row r="881">
          <cell r="A881" t="str">
            <v>tony.zb</v>
          </cell>
        </row>
        <row r="881">
          <cell r="C881" t="str">
            <v>08</v>
          </cell>
        </row>
        <row r="881">
          <cell r="F881" t="str">
            <v>--</v>
          </cell>
        </row>
        <row r="882">
          <cell r="A882" t="str">
            <v>tony.zb</v>
          </cell>
        </row>
        <row r="882">
          <cell r="C882" t="str">
            <v>07</v>
          </cell>
        </row>
        <row r="882">
          <cell r="F882" t="str">
            <v>--</v>
          </cell>
        </row>
        <row r="883">
          <cell r="A883" t="str">
            <v>tony.zb</v>
          </cell>
        </row>
        <row r="883">
          <cell r="C883" t="str">
            <v>06</v>
          </cell>
        </row>
        <row r="883">
          <cell r="F883" t="str">
            <v>--</v>
          </cell>
        </row>
        <row r="884">
          <cell r="A884" t="str">
            <v>tony.zb</v>
          </cell>
        </row>
        <row r="884">
          <cell r="C884" t="str">
            <v>05</v>
          </cell>
        </row>
        <row r="884">
          <cell r="F884" t="str">
            <v>--</v>
          </cell>
        </row>
        <row r="885">
          <cell r="A885" t="str">
            <v>tony.zb</v>
          </cell>
        </row>
        <row r="885">
          <cell r="C885" t="str">
            <v>04</v>
          </cell>
        </row>
        <row r="885">
          <cell r="F885" t="str">
            <v>--</v>
          </cell>
        </row>
        <row r="886">
          <cell r="A886" t="str">
            <v>tony.zb</v>
          </cell>
        </row>
        <row r="886">
          <cell r="C886" t="str">
            <v>03</v>
          </cell>
        </row>
        <row r="886">
          <cell r="F886" t="str">
            <v>--</v>
          </cell>
        </row>
        <row r="887">
          <cell r="A887" t="str">
            <v>tony.zb</v>
          </cell>
        </row>
        <row r="887">
          <cell r="C887" t="str">
            <v>02</v>
          </cell>
        </row>
        <row r="887">
          <cell r="F887" t="str">
            <v>--</v>
          </cell>
        </row>
        <row r="888">
          <cell r="A888" t="str">
            <v>tony.zb</v>
          </cell>
        </row>
        <row r="888">
          <cell r="C888" t="str">
            <v>01</v>
          </cell>
        </row>
        <row r="888">
          <cell r="F888" t="str">
            <v>--</v>
          </cell>
        </row>
        <row r="889">
          <cell r="A889" t="str">
            <v>tony.zb</v>
          </cell>
        </row>
        <row r="889">
          <cell r="C889" t="str">
            <v>00</v>
          </cell>
        </row>
        <row r="889">
          <cell r="F889" t="str">
            <v>--</v>
          </cell>
        </row>
        <row r="890">
          <cell r="A890" t="str">
            <v>max.zb</v>
          </cell>
        </row>
        <row r="890">
          <cell r="C890" t="str">
            <v>23</v>
          </cell>
        </row>
        <row r="890">
          <cell r="F890" t="str">
            <v>--</v>
          </cell>
        </row>
        <row r="891">
          <cell r="A891" t="str">
            <v>max.zb</v>
          </cell>
        </row>
        <row r="891">
          <cell r="C891" t="str">
            <v>22</v>
          </cell>
        </row>
        <row r="891">
          <cell r="F891" t="str">
            <v>--</v>
          </cell>
        </row>
        <row r="892">
          <cell r="A892" t="str">
            <v>max.zb</v>
          </cell>
        </row>
        <row r="892">
          <cell r="C892" t="str">
            <v>21</v>
          </cell>
        </row>
        <row r="892">
          <cell r="F892" t="str">
            <v>--</v>
          </cell>
        </row>
        <row r="893">
          <cell r="A893" t="str">
            <v>max.zb</v>
          </cell>
        </row>
        <row r="893">
          <cell r="C893" t="str">
            <v>20</v>
          </cell>
        </row>
        <row r="893">
          <cell r="F893" t="str">
            <v>--</v>
          </cell>
        </row>
        <row r="894">
          <cell r="A894" t="str">
            <v>max.zb</v>
          </cell>
        </row>
        <row r="894">
          <cell r="C894" t="str">
            <v>19</v>
          </cell>
        </row>
        <row r="894">
          <cell r="F894" t="str">
            <v>--</v>
          </cell>
        </row>
        <row r="895">
          <cell r="A895" t="str">
            <v>max.zb</v>
          </cell>
        </row>
        <row r="895">
          <cell r="C895" t="str">
            <v>18</v>
          </cell>
        </row>
        <row r="895">
          <cell r="F895" t="str">
            <v>--</v>
          </cell>
        </row>
        <row r="896">
          <cell r="A896" t="str">
            <v>max.zb</v>
          </cell>
        </row>
        <row r="896">
          <cell r="C896" t="str">
            <v>17</v>
          </cell>
        </row>
        <row r="896">
          <cell r="F896">
            <v>0</v>
          </cell>
        </row>
        <row r="897">
          <cell r="A897" t="str">
            <v>max.zb</v>
          </cell>
        </row>
        <row r="897">
          <cell r="C897" t="str">
            <v>16</v>
          </cell>
        </row>
        <row r="897">
          <cell r="F897">
            <v>1</v>
          </cell>
        </row>
        <row r="898">
          <cell r="A898" t="str">
            <v>max.zb</v>
          </cell>
        </row>
        <row r="898">
          <cell r="C898" t="str">
            <v>15</v>
          </cell>
        </row>
        <row r="898">
          <cell r="F898" t="str">
            <v>--</v>
          </cell>
        </row>
        <row r="899">
          <cell r="A899" t="str">
            <v>max.zb</v>
          </cell>
        </row>
        <row r="899">
          <cell r="C899" t="str">
            <v>14</v>
          </cell>
        </row>
        <row r="899">
          <cell r="F899" t="str">
            <v>--</v>
          </cell>
        </row>
        <row r="900">
          <cell r="A900" t="str">
            <v>max.zb</v>
          </cell>
        </row>
        <row r="900">
          <cell r="C900" t="str">
            <v>13</v>
          </cell>
        </row>
        <row r="900">
          <cell r="F900" t="str">
            <v>--</v>
          </cell>
        </row>
        <row r="901">
          <cell r="A901" t="str">
            <v>max.zb</v>
          </cell>
        </row>
        <row r="901">
          <cell r="C901" t="str">
            <v>12</v>
          </cell>
        </row>
        <row r="901">
          <cell r="F901" t="str">
            <v>--</v>
          </cell>
        </row>
        <row r="902">
          <cell r="A902" t="str">
            <v>max.zb</v>
          </cell>
        </row>
        <row r="902">
          <cell r="C902" t="str">
            <v>11</v>
          </cell>
        </row>
        <row r="902">
          <cell r="F902" t="str">
            <v>--</v>
          </cell>
        </row>
        <row r="903">
          <cell r="A903" t="str">
            <v>max.zb</v>
          </cell>
        </row>
        <row r="903">
          <cell r="C903" t="str">
            <v>10</v>
          </cell>
        </row>
        <row r="903">
          <cell r="F903" t="str">
            <v>--</v>
          </cell>
        </row>
        <row r="904">
          <cell r="A904" t="str">
            <v>max.zb</v>
          </cell>
        </row>
        <row r="904">
          <cell r="C904" t="str">
            <v>09</v>
          </cell>
        </row>
        <row r="904">
          <cell r="F904" t="str">
            <v>--</v>
          </cell>
        </row>
        <row r="905">
          <cell r="A905" t="str">
            <v>max.zb</v>
          </cell>
        </row>
        <row r="905">
          <cell r="C905" t="str">
            <v>08</v>
          </cell>
        </row>
        <row r="905">
          <cell r="F905" t="str">
            <v>--</v>
          </cell>
        </row>
        <row r="906">
          <cell r="A906" t="str">
            <v>max.zb</v>
          </cell>
        </row>
        <row r="906">
          <cell r="C906" t="str">
            <v>07</v>
          </cell>
        </row>
        <row r="906">
          <cell r="F906" t="str">
            <v>--</v>
          </cell>
        </row>
        <row r="907">
          <cell r="A907" t="str">
            <v>max.zb</v>
          </cell>
        </row>
        <row r="907">
          <cell r="C907" t="str">
            <v>06</v>
          </cell>
        </row>
        <row r="907">
          <cell r="F907" t="str">
            <v>--</v>
          </cell>
        </row>
        <row r="908">
          <cell r="A908" t="str">
            <v>max.zb</v>
          </cell>
        </row>
        <row r="908">
          <cell r="C908" t="str">
            <v>05</v>
          </cell>
        </row>
        <row r="908">
          <cell r="F908" t="str">
            <v>--</v>
          </cell>
        </row>
        <row r="909">
          <cell r="A909" t="str">
            <v>max.zb</v>
          </cell>
        </row>
        <row r="909">
          <cell r="C909" t="str">
            <v>04</v>
          </cell>
        </row>
        <row r="909">
          <cell r="F909" t="str">
            <v>--</v>
          </cell>
        </row>
        <row r="910">
          <cell r="A910" t="str">
            <v>max.zb</v>
          </cell>
        </row>
        <row r="910">
          <cell r="C910" t="str">
            <v>03</v>
          </cell>
        </row>
        <row r="910">
          <cell r="F910" t="str">
            <v>--</v>
          </cell>
        </row>
        <row r="911">
          <cell r="A911" t="str">
            <v>max.zb</v>
          </cell>
        </row>
        <row r="911">
          <cell r="C911" t="str">
            <v>02</v>
          </cell>
        </row>
        <row r="911">
          <cell r="F911" t="str">
            <v>--</v>
          </cell>
        </row>
        <row r="912">
          <cell r="A912" t="str">
            <v>max.zb</v>
          </cell>
        </row>
        <row r="912">
          <cell r="C912" t="str">
            <v>01</v>
          </cell>
        </row>
        <row r="912">
          <cell r="F912" t="str">
            <v>--</v>
          </cell>
        </row>
        <row r="913">
          <cell r="A913" t="str">
            <v>max.zb</v>
          </cell>
        </row>
        <row r="913">
          <cell r="C913" t="str">
            <v>00</v>
          </cell>
        </row>
        <row r="913">
          <cell r="F913" t="str">
            <v>--</v>
          </cell>
        </row>
        <row r="914">
          <cell r="A914" t="str">
            <v>paddy.bty</v>
          </cell>
        </row>
        <row r="914">
          <cell r="C914" t="str">
            <v>23</v>
          </cell>
        </row>
        <row r="914">
          <cell r="F914">
            <v>2</v>
          </cell>
        </row>
        <row r="915">
          <cell r="A915" t="str">
            <v>paddy.bty</v>
          </cell>
        </row>
        <row r="915">
          <cell r="C915" t="str">
            <v>22</v>
          </cell>
        </row>
        <row r="915">
          <cell r="F915">
            <v>4</v>
          </cell>
        </row>
        <row r="916">
          <cell r="A916" t="str">
            <v>paddy.bty</v>
          </cell>
        </row>
        <row r="916">
          <cell r="C916" t="str">
            <v>21</v>
          </cell>
        </row>
        <row r="916">
          <cell r="F916" t="str">
            <v>--</v>
          </cell>
        </row>
        <row r="917">
          <cell r="A917" t="str">
            <v>paddy.bty</v>
          </cell>
        </row>
        <row r="917">
          <cell r="C917" t="str">
            <v>20</v>
          </cell>
        </row>
        <row r="917">
          <cell r="F917">
            <v>3</v>
          </cell>
        </row>
        <row r="918">
          <cell r="A918" t="str">
            <v>paddy.bty</v>
          </cell>
        </row>
        <row r="918">
          <cell r="C918" t="str">
            <v>19</v>
          </cell>
        </row>
        <row r="918">
          <cell r="F918">
            <v>2</v>
          </cell>
        </row>
        <row r="919">
          <cell r="A919" t="str">
            <v>paddy.bty</v>
          </cell>
        </row>
        <row r="919">
          <cell r="C919" t="str">
            <v>18</v>
          </cell>
        </row>
        <row r="919">
          <cell r="F919">
            <v>9</v>
          </cell>
        </row>
        <row r="920">
          <cell r="A920" t="str">
            <v>paddy.bty</v>
          </cell>
        </row>
        <row r="920">
          <cell r="C920" t="str">
            <v>17</v>
          </cell>
        </row>
        <row r="920">
          <cell r="F920">
            <v>3</v>
          </cell>
        </row>
        <row r="921">
          <cell r="A921" t="str">
            <v>paddy.bty</v>
          </cell>
        </row>
        <row r="921">
          <cell r="C921" t="str">
            <v>16</v>
          </cell>
        </row>
        <row r="921">
          <cell r="F921">
            <v>3</v>
          </cell>
        </row>
        <row r="922">
          <cell r="A922" t="str">
            <v>paddy.bty</v>
          </cell>
        </row>
        <row r="922">
          <cell r="C922" t="str">
            <v>15</v>
          </cell>
        </row>
        <row r="922">
          <cell r="F922">
            <v>1</v>
          </cell>
        </row>
        <row r="923">
          <cell r="A923" t="str">
            <v>paddy.bty</v>
          </cell>
        </row>
        <row r="923">
          <cell r="C923" t="str">
            <v>14</v>
          </cell>
        </row>
        <row r="923">
          <cell r="F923">
            <v>3</v>
          </cell>
        </row>
        <row r="924">
          <cell r="A924" t="str">
            <v>paddy.bty</v>
          </cell>
        </row>
        <row r="924">
          <cell r="C924" t="str">
            <v>13</v>
          </cell>
        </row>
        <row r="924">
          <cell r="F924">
            <v>4</v>
          </cell>
        </row>
        <row r="925">
          <cell r="A925" t="str">
            <v>paddy.bty</v>
          </cell>
        </row>
        <row r="925">
          <cell r="C925" t="str">
            <v>12</v>
          </cell>
        </row>
        <row r="925">
          <cell r="F925">
            <v>1</v>
          </cell>
        </row>
        <row r="926">
          <cell r="A926" t="str">
            <v>paddy.bty</v>
          </cell>
        </row>
        <row r="926">
          <cell r="C926" t="str">
            <v>11</v>
          </cell>
        </row>
        <row r="926">
          <cell r="F926">
            <v>3</v>
          </cell>
        </row>
        <row r="927">
          <cell r="A927" t="str">
            <v>paddy.bty</v>
          </cell>
        </row>
        <row r="927">
          <cell r="C927" t="str">
            <v>10</v>
          </cell>
        </row>
        <row r="927">
          <cell r="F927">
            <v>1</v>
          </cell>
        </row>
        <row r="928">
          <cell r="A928" t="str">
            <v>paddy.bty</v>
          </cell>
        </row>
        <row r="928">
          <cell r="C928" t="str">
            <v>09</v>
          </cell>
        </row>
        <row r="928">
          <cell r="F928">
            <v>3</v>
          </cell>
        </row>
        <row r="929">
          <cell r="A929" t="str">
            <v>paddy.bty</v>
          </cell>
        </row>
        <row r="929">
          <cell r="C929" t="str">
            <v>08</v>
          </cell>
        </row>
        <row r="929">
          <cell r="F929">
            <v>1</v>
          </cell>
        </row>
        <row r="930">
          <cell r="A930" t="str">
            <v>paddy.bty</v>
          </cell>
        </row>
        <row r="930">
          <cell r="C930" t="str">
            <v>07</v>
          </cell>
        </row>
        <row r="930">
          <cell r="F930">
            <v>1</v>
          </cell>
        </row>
        <row r="931">
          <cell r="A931" t="str">
            <v>paddy.bty</v>
          </cell>
        </row>
        <row r="931">
          <cell r="C931" t="str">
            <v>06</v>
          </cell>
        </row>
        <row r="931">
          <cell r="F931">
            <v>2</v>
          </cell>
        </row>
        <row r="932">
          <cell r="A932" t="str">
            <v>paddy.bty</v>
          </cell>
        </row>
        <row r="932">
          <cell r="C932" t="str">
            <v>05</v>
          </cell>
        </row>
        <row r="932">
          <cell r="F932" t="str">
            <v>--</v>
          </cell>
        </row>
        <row r="933">
          <cell r="A933" t="str">
            <v>paddy.bty</v>
          </cell>
        </row>
        <row r="933">
          <cell r="C933" t="str">
            <v>04</v>
          </cell>
        </row>
        <row r="933">
          <cell r="F933" t="str">
            <v>--</v>
          </cell>
        </row>
        <row r="934">
          <cell r="A934" t="str">
            <v>paddy.bty</v>
          </cell>
        </row>
        <row r="934">
          <cell r="C934" t="str">
            <v>03</v>
          </cell>
        </row>
        <row r="934">
          <cell r="F934" t="str">
            <v>--</v>
          </cell>
        </row>
        <row r="935">
          <cell r="A935" t="str">
            <v>paddy.bty</v>
          </cell>
        </row>
        <row r="935">
          <cell r="C935" t="str">
            <v>02</v>
          </cell>
        </row>
        <row r="935">
          <cell r="F935">
            <v>3</v>
          </cell>
        </row>
        <row r="936">
          <cell r="A936" t="str">
            <v>paddy.bty</v>
          </cell>
        </row>
        <row r="936">
          <cell r="C936" t="str">
            <v>01</v>
          </cell>
        </row>
        <row r="936">
          <cell r="F936">
            <v>1</v>
          </cell>
        </row>
        <row r="937">
          <cell r="A937" t="str">
            <v>paddy.bty</v>
          </cell>
        </row>
        <row r="937">
          <cell r="C937" t="str">
            <v>00</v>
          </cell>
        </row>
        <row r="937">
          <cell r="F937">
            <v>1</v>
          </cell>
        </row>
        <row r="938">
          <cell r="A938" t="str">
            <v>paddy.com</v>
          </cell>
        </row>
        <row r="938">
          <cell r="C938" t="str">
            <v>23</v>
          </cell>
        </row>
        <row r="938">
          <cell r="F938" t="str">
            <v>--</v>
          </cell>
        </row>
        <row r="939">
          <cell r="A939" t="str">
            <v>paddy.com</v>
          </cell>
        </row>
        <row r="939">
          <cell r="C939" t="str">
            <v>22</v>
          </cell>
        </row>
        <row r="939">
          <cell r="F939" t="str">
            <v>--</v>
          </cell>
        </row>
        <row r="940">
          <cell r="A940" t="str">
            <v>paddy.com</v>
          </cell>
        </row>
        <row r="940">
          <cell r="C940" t="str">
            <v>21</v>
          </cell>
        </row>
        <row r="940">
          <cell r="F940" t="str">
            <v>--</v>
          </cell>
        </row>
        <row r="941">
          <cell r="A941" t="str">
            <v>paddy.com</v>
          </cell>
        </row>
        <row r="941">
          <cell r="C941" t="str">
            <v>20</v>
          </cell>
        </row>
        <row r="941">
          <cell r="F941" t="str">
            <v>--</v>
          </cell>
        </row>
        <row r="942">
          <cell r="A942" t="str">
            <v>paddy.com</v>
          </cell>
        </row>
        <row r="942">
          <cell r="C942" t="str">
            <v>19</v>
          </cell>
        </row>
        <row r="942">
          <cell r="F942" t="str">
            <v>--</v>
          </cell>
        </row>
        <row r="943">
          <cell r="A943" t="str">
            <v>paddy.com</v>
          </cell>
        </row>
        <row r="943">
          <cell r="C943" t="str">
            <v>18</v>
          </cell>
        </row>
        <row r="943">
          <cell r="F943" t="str">
            <v>--</v>
          </cell>
        </row>
        <row r="944">
          <cell r="A944" t="str">
            <v>paddy.com</v>
          </cell>
        </row>
        <row r="944">
          <cell r="C944" t="str">
            <v>17</v>
          </cell>
        </row>
        <row r="944">
          <cell r="F944" t="str">
            <v>--</v>
          </cell>
        </row>
        <row r="945">
          <cell r="A945" t="str">
            <v>paddy.com</v>
          </cell>
        </row>
        <row r="945">
          <cell r="C945" t="str">
            <v>16</v>
          </cell>
        </row>
        <row r="945">
          <cell r="F945" t="str">
            <v>--</v>
          </cell>
        </row>
        <row r="946">
          <cell r="A946" t="str">
            <v>paddy.com</v>
          </cell>
        </row>
        <row r="946">
          <cell r="C946" t="str">
            <v>15</v>
          </cell>
        </row>
        <row r="946">
          <cell r="F946" t="str">
            <v>--</v>
          </cell>
        </row>
        <row r="947">
          <cell r="A947" t="str">
            <v>paddy.com</v>
          </cell>
        </row>
        <row r="947">
          <cell r="C947" t="str">
            <v>14</v>
          </cell>
        </row>
        <row r="947">
          <cell r="F947" t="str">
            <v>--</v>
          </cell>
        </row>
        <row r="948">
          <cell r="A948" t="str">
            <v>paddy.com</v>
          </cell>
        </row>
        <row r="948">
          <cell r="C948" t="str">
            <v>13</v>
          </cell>
        </row>
        <row r="948">
          <cell r="F948" t="str">
            <v>--</v>
          </cell>
        </row>
        <row r="949">
          <cell r="A949" t="str">
            <v>paddy.com</v>
          </cell>
        </row>
        <row r="949">
          <cell r="C949" t="str">
            <v>12</v>
          </cell>
        </row>
        <row r="949">
          <cell r="F949" t="str">
            <v>--</v>
          </cell>
        </row>
        <row r="950">
          <cell r="A950" t="str">
            <v>paddy.com</v>
          </cell>
        </row>
        <row r="950">
          <cell r="C950" t="str">
            <v>11</v>
          </cell>
        </row>
        <row r="950">
          <cell r="F950" t="str">
            <v>--</v>
          </cell>
        </row>
        <row r="951">
          <cell r="A951" t="str">
            <v>paddy.com</v>
          </cell>
        </row>
        <row r="951">
          <cell r="C951" t="str">
            <v>10</v>
          </cell>
        </row>
        <row r="951">
          <cell r="F951" t="str">
            <v>--</v>
          </cell>
        </row>
        <row r="952">
          <cell r="A952" t="str">
            <v>paddy.com</v>
          </cell>
        </row>
        <row r="952">
          <cell r="C952" t="str">
            <v>09</v>
          </cell>
        </row>
        <row r="952">
          <cell r="F952" t="str">
            <v>--</v>
          </cell>
        </row>
        <row r="953">
          <cell r="A953" t="str">
            <v>paddy.com</v>
          </cell>
        </row>
        <row r="953">
          <cell r="C953" t="str">
            <v>08</v>
          </cell>
        </row>
        <row r="953">
          <cell r="F953" t="str">
            <v>--</v>
          </cell>
        </row>
        <row r="954">
          <cell r="A954" t="str">
            <v>paddy.com</v>
          </cell>
        </row>
        <row r="954">
          <cell r="C954" t="str">
            <v>07</v>
          </cell>
        </row>
        <row r="954">
          <cell r="F954" t="str">
            <v>--</v>
          </cell>
        </row>
        <row r="955">
          <cell r="A955" t="str">
            <v>paddy.com</v>
          </cell>
        </row>
        <row r="955">
          <cell r="C955" t="str">
            <v>06</v>
          </cell>
        </row>
        <row r="955">
          <cell r="F955" t="str">
            <v>--</v>
          </cell>
        </row>
        <row r="956">
          <cell r="A956" t="str">
            <v>paddy.com</v>
          </cell>
        </row>
        <row r="956">
          <cell r="C956" t="str">
            <v>05</v>
          </cell>
        </row>
        <row r="956">
          <cell r="F956" t="str">
            <v>--</v>
          </cell>
        </row>
        <row r="957">
          <cell r="A957" t="str">
            <v>paddy.com</v>
          </cell>
        </row>
        <row r="957">
          <cell r="C957" t="str">
            <v>04</v>
          </cell>
        </row>
        <row r="957">
          <cell r="F957" t="str">
            <v>--</v>
          </cell>
        </row>
        <row r="958">
          <cell r="A958" t="str">
            <v>paddy.com</v>
          </cell>
        </row>
        <row r="958">
          <cell r="C958" t="str">
            <v>03</v>
          </cell>
        </row>
        <row r="958">
          <cell r="F958" t="str">
            <v>--</v>
          </cell>
        </row>
        <row r="959">
          <cell r="A959" t="str">
            <v>paddy.com</v>
          </cell>
        </row>
        <row r="959">
          <cell r="C959" t="str">
            <v>02</v>
          </cell>
        </row>
        <row r="959">
          <cell r="F959" t="str">
            <v>--</v>
          </cell>
        </row>
        <row r="960">
          <cell r="A960" t="str">
            <v>paddy.com</v>
          </cell>
        </row>
        <row r="960">
          <cell r="C960" t="str">
            <v>01</v>
          </cell>
        </row>
        <row r="960">
          <cell r="F960" t="str">
            <v>--</v>
          </cell>
        </row>
        <row r="961">
          <cell r="A961" t="str">
            <v>paddy.com</v>
          </cell>
        </row>
        <row r="961">
          <cell r="C961" t="str">
            <v>00</v>
          </cell>
        </row>
        <row r="961">
          <cell r="F961" t="str">
            <v>--</v>
          </cell>
        </row>
        <row r="962">
          <cell r="A962" t="str">
            <v>aber.bty</v>
          </cell>
        </row>
        <row r="962">
          <cell r="C962" t="str">
            <v>23</v>
          </cell>
        </row>
        <row r="962">
          <cell r="F962">
            <v>33</v>
          </cell>
        </row>
        <row r="963">
          <cell r="A963" t="str">
            <v>aber.bty</v>
          </cell>
        </row>
        <row r="963">
          <cell r="C963" t="str">
            <v>22</v>
          </cell>
        </row>
        <row r="963">
          <cell r="F963">
            <v>28</v>
          </cell>
        </row>
        <row r="964">
          <cell r="A964" t="str">
            <v>aber.bty</v>
          </cell>
        </row>
        <row r="964">
          <cell r="C964" t="str">
            <v>21</v>
          </cell>
        </row>
        <row r="964">
          <cell r="F964">
            <v>37</v>
          </cell>
        </row>
        <row r="965">
          <cell r="A965" t="str">
            <v>aber.bty</v>
          </cell>
        </row>
        <row r="965">
          <cell r="C965" t="str">
            <v>20</v>
          </cell>
        </row>
        <row r="965">
          <cell r="F965">
            <v>19</v>
          </cell>
        </row>
        <row r="966">
          <cell r="A966" t="str">
            <v>aber.bty</v>
          </cell>
        </row>
        <row r="966">
          <cell r="C966" t="str">
            <v>19</v>
          </cell>
        </row>
        <row r="966">
          <cell r="F966">
            <v>26</v>
          </cell>
        </row>
        <row r="967">
          <cell r="A967" t="str">
            <v>aber.bty</v>
          </cell>
        </row>
        <row r="967">
          <cell r="C967" t="str">
            <v>18</v>
          </cell>
        </row>
        <row r="967">
          <cell r="F967">
            <v>21</v>
          </cell>
        </row>
        <row r="968">
          <cell r="A968" t="str">
            <v>aber.bty</v>
          </cell>
        </row>
        <row r="968">
          <cell r="C968" t="str">
            <v>17</v>
          </cell>
        </row>
        <row r="968">
          <cell r="F968">
            <v>24</v>
          </cell>
        </row>
        <row r="969">
          <cell r="A969" t="str">
            <v>aber.bty</v>
          </cell>
        </row>
        <row r="969">
          <cell r="C969" t="str">
            <v>16</v>
          </cell>
        </row>
        <row r="969">
          <cell r="F969">
            <v>21</v>
          </cell>
        </row>
        <row r="970">
          <cell r="A970" t="str">
            <v>aber.bty</v>
          </cell>
        </row>
        <row r="970">
          <cell r="C970" t="str">
            <v>15</v>
          </cell>
        </row>
        <row r="970">
          <cell r="F970">
            <v>32</v>
          </cell>
        </row>
        <row r="971">
          <cell r="A971" t="str">
            <v>aber.bty</v>
          </cell>
        </row>
        <row r="971">
          <cell r="C971" t="str">
            <v>14</v>
          </cell>
        </row>
        <row r="971">
          <cell r="F971">
            <v>27</v>
          </cell>
        </row>
        <row r="972">
          <cell r="A972" t="str">
            <v>aber.bty</v>
          </cell>
        </row>
        <row r="972">
          <cell r="C972" t="str">
            <v>13</v>
          </cell>
        </row>
        <row r="972">
          <cell r="F972">
            <v>26</v>
          </cell>
        </row>
        <row r="973">
          <cell r="A973" t="str">
            <v>aber.bty</v>
          </cell>
        </row>
        <row r="973">
          <cell r="C973" t="str">
            <v>12</v>
          </cell>
        </row>
        <row r="973">
          <cell r="F973">
            <v>16</v>
          </cell>
        </row>
        <row r="974">
          <cell r="A974" t="str">
            <v>aber.bty</v>
          </cell>
        </row>
        <row r="974">
          <cell r="C974" t="str">
            <v>11</v>
          </cell>
        </row>
        <row r="974">
          <cell r="F974">
            <v>22</v>
          </cell>
        </row>
        <row r="975">
          <cell r="A975" t="str">
            <v>aber.bty</v>
          </cell>
        </row>
        <row r="975">
          <cell r="C975" t="str">
            <v>10</v>
          </cell>
        </row>
        <row r="975">
          <cell r="F975">
            <v>18</v>
          </cell>
        </row>
        <row r="976">
          <cell r="A976" t="str">
            <v>aber.bty</v>
          </cell>
        </row>
        <row r="976">
          <cell r="C976" t="str">
            <v>09</v>
          </cell>
        </row>
        <row r="976">
          <cell r="F976">
            <v>23</v>
          </cell>
        </row>
        <row r="977">
          <cell r="A977" t="str">
            <v>aber.bty</v>
          </cell>
        </row>
        <row r="977">
          <cell r="C977" t="str">
            <v>08</v>
          </cell>
        </row>
        <row r="977">
          <cell r="F977">
            <v>23</v>
          </cell>
        </row>
        <row r="978">
          <cell r="A978" t="str">
            <v>aber.bty</v>
          </cell>
        </row>
        <row r="978">
          <cell r="C978" t="str">
            <v>07</v>
          </cell>
        </row>
        <row r="978">
          <cell r="F978">
            <v>14</v>
          </cell>
        </row>
        <row r="979">
          <cell r="A979" t="str">
            <v>aber.bty</v>
          </cell>
        </row>
        <row r="979">
          <cell r="C979" t="str">
            <v>06</v>
          </cell>
        </row>
        <row r="979">
          <cell r="F979">
            <v>12</v>
          </cell>
        </row>
        <row r="980">
          <cell r="A980" t="str">
            <v>aber.bty</v>
          </cell>
        </row>
        <row r="980">
          <cell r="C980" t="str">
            <v>05</v>
          </cell>
        </row>
        <row r="980">
          <cell r="F980">
            <v>9</v>
          </cell>
        </row>
        <row r="981">
          <cell r="A981" t="str">
            <v>aber.bty</v>
          </cell>
        </row>
        <row r="981">
          <cell r="C981" t="str">
            <v>04</v>
          </cell>
        </row>
        <row r="981">
          <cell r="F981">
            <v>22</v>
          </cell>
        </row>
        <row r="982">
          <cell r="A982" t="str">
            <v>aber.bty</v>
          </cell>
        </row>
        <row r="982">
          <cell r="C982" t="str">
            <v>03</v>
          </cell>
        </row>
        <row r="982">
          <cell r="F982">
            <v>15</v>
          </cell>
        </row>
        <row r="983">
          <cell r="A983" t="str">
            <v>aber.bty</v>
          </cell>
        </row>
        <row r="983">
          <cell r="C983" t="str">
            <v>02</v>
          </cell>
        </row>
        <row r="983">
          <cell r="F983">
            <v>18</v>
          </cell>
        </row>
        <row r="984">
          <cell r="A984" t="str">
            <v>aber.bty</v>
          </cell>
        </row>
        <row r="984">
          <cell r="C984" t="str">
            <v>01</v>
          </cell>
        </row>
        <row r="984">
          <cell r="F984">
            <v>35</v>
          </cell>
        </row>
        <row r="985">
          <cell r="A985" t="str">
            <v>aber.bty</v>
          </cell>
        </row>
        <row r="985">
          <cell r="C985" t="str">
            <v>00</v>
          </cell>
        </row>
        <row r="985">
          <cell r="F985">
            <v>41</v>
          </cell>
        </row>
        <row r="986">
          <cell r="A986" t="str">
            <v>max.bty</v>
          </cell>
        </row>
        <row r="986">
          <cell r="C986" t="str">
            <v>23</v>
          </cell>
        </row>
        <row r="986">
          <cell r="F986">
            <v>17</v>
          </cell>
        </row>
        <row r="987">
          <cell r="A987" t="str">
            <v>max.bty</v>
          </cell>
        </row>
        <row r="987">
          <cell r="C987" t="str">
            <v>22</v>
          </cell>
        </row>
        <row r="987">
          <cell r="F987">
            <v>13</v>
          </cell>
        </row>
        <row r="988">
          <cell r="A988" t="str">
            <v>max.bty</v>
          </cell>
        </row>
        <row r="988">
          <cell r="C988" t="str">
            <v>21</v>
          </cell>
        </row>
        <row r="988">
          <cell r="F988">
            <v>15</v>
          </cell>
        </row>
        <row r="989">
          <cell r="A989" t="str">
            <v>max.bty</v>
          </cell>
        </row>
        <row r="989">
          <cell r="C989" t="str">
            <v>20</v>
          </cell>
        </row>
        <row r="989">
          <cell r="F989">
            <v>17</v>
          </cell>
        </row>
        <row r="990">
          <cell r="A990" t="str">
            <v>max.bty</v>
          </cell>
        </row>
        <row r="990">
          <cell r="C990" t="str">
            <v>19</v>
          </cell>
        </row>
        <row r="990">
          <cell r="F990">
            <v>13</v>
          </cell>
        </row>
        <row r="991">
          <cell r="A991" t="str">
            <v>max.bty</v>
          </cell>
        </row>
        <row r="991">
          <cell r="C991" t="str">
            <v>18</v>
          </cell>
        </row>
        <row r="991">
          <cell r="F991">
            <v>7</v>
          </cell>
        </row>
        <row r="992">
          <cell r="A992" t="str">
            <v>max.bty</v>
          </cell>
        </row>
        <row r="992">
          <cell r="C992" t="str">
            <v>17</v>
          </cell>
        </row>
        <row r="992">
          <cell r="F992">
            <v>7</v>
          </cell>
        </row>
        <row r="993">
          <cell r="A993" t="str">
            <v>max.bty</v>
          </cell>
        </row>
        <row r="993">
          <cell r="C993" t="str">
            <v>16</v>
          </cell>
        </row>
        <row r="993">
          <cell r="F993">
            <v>8</v>
          </cell>
        </row>
        <row r="994">
          <cell r="A994" t="str">
            <v>max.bty</v>
          </cell>
        </row>
        <row r="994">
          <cell r="C994" t="str">
            <v>15</v>
          </cell>
        </row>
        <row r="994">
          <cell r="F994">
            <v>11</v>
          </cell>
        </row>
        <row r="995">
          <cell r="A995" t="str">
            <v>max.bty</v>
          </cell>
        </row>
        <row r="995">
          <cell r="C995" t="str">
            <v>14</v>
          </cell>
        </row>
        <row r="995">
          <cell r="F995">
            <v>14</v>
          </cell>
        </row>
        <row r="996">
          <cell r="A996" t="str">
            <v>max.bty</v>
          </cell>
        </row>
        <row r="996">
          <cell r="C996" t="str">
            <v>13</v>
          </cell>
        </row>
        <row r="996">
          <cell r="F996">
            <v>13</v>
          </cell>
        </row>
        <row r="997">
          <cell r="A997" t="str">
            <v>max.bty</v>
          </cell>
        </row>
        <row r="997">
          <cell r="C997" t="str">
            <v>12</v>
          </cell>
        </row>
        <row r="997">
          <cell r="F997">
            <v>6</v>
          </cell>
        </row>
        <row r="998">
          <cell r="A998" t="str">
            <v>max.bty</v>
          </cell>
        </row>
        <row r="998">
          <cell r="C998" t="str">
            <v>11</v>
          </cell>
        </row>
        <row r="998">
          <cell r="F998">
            <v>10</v>
          </cell>
        </row>
        <row r="999">
          <cell r="A999" t="str">
            <v>max.bty</v>
          </cell>
        </row>
        <row r="999">
          <cell r="C999" t="str">
            <v>10</v>
          </cell>
        </row>
        <row r="999">
          <cell r="F999">
            <v>10</v>
          </cell>
        </row>
        <row r="1000">
          <cell r="A1000" t="str">
            <v>max.bty</v>
          </cell>
        </row>
        <row r="1000">
          <cell r="C1000" t="str">
            <v>09</v>
          </cell>
        </row>
        <row r="1000">
          <cell r="F1000">
            <v>8</v>
          </cell>
        </row>
        <row r="1001">
          <cell r="A1001" t="str">
            <v>max.bty</v>
          </cell>
        </row>
        <row r="1001">
          <cell r="C1001" t="str">
            <v>08</v>
          </cell>
        </row>
        <row r="1001">
          <cell r="F1001">
            <v>8</v>
          </cell>
        </row>
        <row r="1002">
          <cell r="A1002" t="str">
            <v>max.bty</v>
          </cell>
        </row>
        <row r="1002">
          <cell r="C1002" t="str">
            <v>07</v>
          </cell>
        </row>
        <row r="1002">
          <cell r="F1002">
            <v>5</v>
          </cell>
        </row>
        <row r="1003">
          <cell r="A1003" t="str">
            <v>max.bty</v>
          </cell>
        </row>
        <row r="1003">
          <cell r="C1003" t="str">
            <v>06</v>
          </cell>
        </row>
        <row r="1003">
          <cell r="F1003">
            <v>3</v>
          </cell>
        </row>
        <row r="1004">
          <cell r="A1004" t="str">
            <v>max.bty</v>
          </cell>
        </row>
        <row r="1004">
          <cell r="C1004" t="str">
            <v>05</v>
          </cell>
        </row>
        <row r="1004">
          <cell r="F1004">
            <v>5</v>
          </cell>
        </row>
        <row r="1005">
          <cell r="A1005" t="str">
            <v>max.bty</v>
          </cell>
        </row>
        <row r="1005">
          <cell r="C1005" t="str">
            <v>04</v>
          </cell>
        </row>
        <row r="1005">
          <cell r="F1005">
            <v>3</v>
          </cell>
        </row>
        <row r="1006">
          <cell r="A1006" t="str">
            <v>max.bty</v>
          </cell>
        </row>
        <row r="1006">
          <cell r="C1006" t="str">
            <v>03</v>
          </cell>
        </row>
        <row r="1006">
          <cell r="F1006">
            <v>6</v>
          </cell>
        </row>
        <row r="1007">
          <cell r="A1007" t="str">
            <v>max.bty</v>
          </cell>
        </row>
        <row r="1007">
          <cell r="C1007" t="str">
            <v>02</v>
          </cell>
        </row>
        <row r="1007">
          <cell r="F1007">
            <v>9</v>
          </cell>
        </row>
        <row r="1008">
          <cell r="A1008" t="str">
            <v>max.bty</v>
          </cell>
        </row>
        <row r="1008">
          <cell r="C1008" t="str">
            <v>01</v>
          </cell>
        </row>
        <row r="1008">
          <cell r="F1008">
            <v>8</v>
          </cell>
        </row>
        <row r="1009">
          <cell r="A1009" t="str">
            <v>max.bty</v>
          </cell>
        </row>
        <row r="1009">
          <cell r="C1009" t="str">
            <v>00</v>
          </cell>
        </row>
        <row r="1009">
          <cell r="F1009">
            <v>9</v>
          </cell>
        </row>
        <row r="1010">
          <cell r="A1010" t="str">
            <v>zed.cn</v>
          </cell>
        </row>
        <row r="1010">
          <cell r="C1010" t="str">
            <v>23</v>
          </cell>
        </row>
        <row r="1010">
          <cell r="F1010" t="str">
            <v>--</v>
          </cell>
        </row>
        <row r="1011">
          <cell r="A1011" t="str">
            <v>zed.cn</v>
          </cell>
        </row>
        <row r="1011">
          <cell r="C1011" t="str">
            <v>22</v>
          </cell>
        </row>
        <row r="1011">
          <cell r="F1011" t="str">
            <v>--</v>
          </cell>
        </row>
        <row r="1012">
          <cell r="A1012" t="str">
            <v>zed.cn</v>
          </cell>
        </row>
        <row r="1012">
          <cell r="C1012" t="str">
            <v>21</v>
          </cell>
        </row>
        <row r="1012">
          <cell r="F1012" t="str">
            <v>--</v>
          </cell>
        </row>
        <row r="1013">
          <cell r="A1013" t="str">
            <v>zed.cn</v>
          </cell>
        </row>
        <row r="1013">
          <cell r="C1013" t="str">
            <v>20</v>
          </cell>
        </row>
        <row r="1013">
          <cell r="F1013" t="str">
            <v>--</v>
          </cell>
        </row>
        <row r="1014">
          <cell r="A1014" t="str">
            <v>zed.cn</v>
          </cell>
        </row>
        <row r="1014">
          <cell r="C1014" t="str">
            <v>19</v>
          </cell>
        </row>
        <row r="1014">
          <cell r="F1014" t="str">
            <v>--</v>
          </cell>
        </row>
        <row r="1015">
          <cell r="A1015" t="str">
            <v>zed.cn</v>
          </cell>
        </row>
        <row r="1015">
          <cell r="C1015" t="str">
            <v>18</v>
          </cell>
        </row>
        <row r="1015">
          <cell r="F1015" t="str">
            <v>--</v>
          </cell>
        </row>
        <row r="1016">
          <cell r="A1016" t="str">
            <v>zed.cn</v>
          </cell>
        </row>
        <row r="1016">
          <cell r="C1016" t="str">
            <v>17</v>
          </cell>
        </row>
        <row r="1016">
          <cell r="F1016" t="str">
            <v>--</v>
          </cell>
        </row>
        <row r="1017">
          <cell r="A1017" t="str">
            <v>zed.cn</v>
          </cell>
        </row>
        <row r="1017">
          <cell r="C1017" t="str">
            <v>16</v>
          </cell>
        </row>
        <row r="1017">
          <cell r="F1017" t="str">
            <v>--</v>
          </cell>
        </row>
        <row r="1018">
          <cell r="A1018" t="str">
            <v>zed.cn</v>
          </cell>
        </row>
        <row r="1018">
          <cell r="C1018" t="str">
            <v>15</v>
          </cell>
        </row>
        <row r="1018">
          <cell r="F1018" t="str">
            <v>--</v>
          </cell>
        </row>
        <row r="1019">
          <cell r="A1019" t="str">
            <v>zed.cn</v>
          </cell>
        </row>
        <row r="1019">
          <cell r="C1019" t="str">
            <v>14</v>
          </cell>
        </row>
        <row r="1019">
          <cell r="F1019" t="str">
            <v>--</v>
          </cell>
        </row>
        <row r="1020">
          <cell r="A1020" t="str">
            <v>zed.cn</v>
          </cell>
        </row>
        <row r="1020">
          <cell r="C1020" t="str">
            <v>13</v>
          </cell>
        </row>
        <row r="1020">
          <cell r="F1020" t="str">
            <v>--</v>
          </cell>
        </row>
        <row r="1021">
          <cell r="A1021" t="str">
            <v>zed.cn</v>
          </cell>
        </row>
        <row r="1021">
          <cell r="C1021" t="str">
            <v>12</v>
          </cell>
        </row>
        <row r="1021">
          <cell r="F1021" t="str">
            <v>--</v>
          </cell>
        </row>
        <row r="1022">
          <cell r="A1022" t="str">
            <v>zed.cn</v>
          </cell>
        </row>
        <row r="1022">
          <cell r="C1022" t="str">
            <v>11</v>
          </cell>
        </row>
        <row r="1022">
          <cell r="F1022" t="str">
            <v>--</v>
          </cell>
        </row>
        <row r="1023">
          <cell r="A1023" t="str">
            <v>zed.cn</v>
          </cell>
        </row>
        <row r="1023">
          <cell r="C1023" t="str">
            <v>10</v>
          </cell>
        </row>
        <row r="1023">
          <cell r="F1023" t="str">
            <v>--</v>
          </cell>
        </row>
        <row r="1024">
          <cell r="A1024" t="str">
            <v>zed.cn</v>
          </cell>
        </row>
        <row r="1024">
          <cell r="C1024" t="str">
            <v>09</v>
          </cell>
        </row>
        <row r="1024">
          <cell r="F1024" t="str">
            <v>--</v>
          </cell>
        </row>
        <row r="1025">
          <cell r="A1025" t="str">
            <v>zed.cn</v>
          </cell>
        </row>
        <row r="1025">
          <cell r="C1025" t="str">
            <v>08</v>
          </cell>
        </row>
        <row r="1025">
          <cell r="F1025" t="str">
            <v>--</v>
          </cell>
        </row>
        <row r="1026">
          <cell r="A1026" t="str">
            <v>zed.cn</v>
          </cell>
        </row>
        <row r="1026">
          <cell r="C1026" t="str">
            <v>07</v>
          </cell>
        </row>
        <row r="1026">
          <cell r="F1026" t="str">
            <v>--</v>
          </cell>
        </row>
        <row r="1027">
          <cell r="A1027" t="str">
            <v>zed.cn</v>
          </cell>
        </row>
        <row r="1027">
          <cell r="C1027" t="str">
            <v>06</v>
          </cell>
        </row>
        <row r="1027">
          <cell r="F1027" t="str">
            <v>--</v>
          </cell>
        </row>
        <row r="1028">
          <cell r="A1028" t="str">
            <v>zed.cn</v>
          </cell>
        </row>
        <row r="1028">
          <cell r="C1028" t="str">
            <v>05</v>
          </cell>
        </row>
        <row r="1028">
          <cell r="F1028" t="str">
            <v>--</v>
          </cell>
        </row>
        <row r="1029">
          <cell r="A1029" t="str">
            <v>zed.cn</v>
          </cell>
        </row>
        <row r="1029">
          <cell r="C1029" t="str">
            <v>04</v>
          </cell>
        </row>
        <row r="1029">
          <cell r="F1029" t="str">
            <v>--</v>
          </cell>
        </row>
        <row r="1030">
          <cell r="A1030" t="str">
            <v>zed.cn</v>
          </cell>
        </row>
        <row r="1030">
          <cell r="C1030" t="str">
            <v>03</v>
          </cell>
        </row>
        <row r="1030">
          <cell r="F1030" t="str">
            <v>--</v>
          </cell>
        </row>
        <row r="1031">
          <cell r="A1031" t="str">
            <v>zed.cn</v>
          </cell>
        </row>
        <row r="1031">
          <cell r="C1031" t="str">
            <v>02</v>
          </cell>
        </row>
        <row r="1031">
          <cell r="F1031" t="str">
            <v>--</v>
          </cell>
        </row>
        <row r="1032">
          <cell r="A1032" t="str">
            <v>zed.cn</v>
          </cell>
        </row>
        <row r="1032">
          <cell r="C1032" t="str">
            <v>01</v>
          </cell>
        </row>
        <row r="1032">
          <cell r="F1032" t="str">
            <v>--</v>
          </cell>
        </row>
        <row r="1033">
          <cell r="A1033" t="str">
            <v>zed.cn</v>
          </cell>
        </row>
        <row r="1033">
          <cell r="C1033" t="str">
            <v>00</v>
          </cell>
        </row>
        <row r="1033">
          <cell r="F1033" t="str">
            <v>--</v>
          </cell>
        </row>
        <row r="1034">
          <cell r="A1034" t="str">
            <v>hugo.cn</v>
          </cell>
        </row>
        <row r="1034">
          <cell r="C1034" t="str">
            <v>23</v>
          </cell>
        </row>
        <row r="1034">
          <cell r="F1034" t="str">
            <v>--</v>
          </cell>
        </row>
        <row r="1035">
          <cell r="A1035" t="str">
            <v>hugo.cn</v>
          </cell>
        </row>
        <row r="1035">
          <cell r="C1035" t="str">
            <v>22</v>
          </cell>
        </row>
        <row r="1035">
          <cell r="F1035" t="str">
            <v>--</v>
          </cell>
        </row>
        <row r="1036">
          <cell r="A1036" t="str">
            <v>hugo.cn</v>
          </cell>
        </row>
        <row r="1036">
          <cell r="C1036" t="str">
            <v>21</v>
          </cell>
        </row>
        <row r="1036">
          <cell r="F1036" t="str">
            <v>--</v>
          </cell>
        </row>
        <row r="1037">
          <cell r="A1037" t="str">
            <v>hugo.cn</v>
          </cell>
        </row>
        <row r="1037">
          <cell r="C1037" t="str">
            <v>20</v>
          </cell>
        </row>
        <row r="1037">
          <cell r="F1037" t="str">
            <v>--</v>
          </cell>
        </row>
        <row r="1038">
          <cell r="A1038" t="str">
            <v>hugo.cn</v>
          </cell>
        </row>
        <row r="1038">
          <cell r="C1038" t="str">
            <v>19</v>
          </cell>
        </row>
        <row r="1038">
          <cell r="F1038" t="str">
            <v>--</v>
          </cell>
        </row>
        <row r="1039">
          <cell r="A1039" t="str">
            <v>hugo.cn</v>
          </cell>
        </row>
        <row r="1039">
          <cell r="C1039" t="str">
            <v>18</v>
          </cell>
        </row>
        <row r="1039">
          <cell r="F1039" t="str">
            <v>--</v>
          </cell>
        </row>
        <row r="1040">
          <cell r="A1040" t="str">
            <v>hugo.cn</v>
          </cell>
        </row>
        <row r="1040">
          <cell r="C1040" t="str">
            <v>17</v>
          </cell>
        </row>
        <row r="1040">
          <cell r="F1040" t="str">
            <v>--</v>
          </cell>
        </row>
        <row r="1041">
          <cell r="A1041" t="str">
            <v>hugo.cn</v>
          </cell>
        </row>
        <row r="1041">
          <cell r="C1041" t="str">
            <v>16</v>
          </cell>
        </row>
        <row r="1041">
          <cell r="F1041" t="str">
            <v>--</v>
          </cell>
        </row>
        <row r="1042">
          <cell r="A1042" t="str">
            <v>hugo.cn</v>
          </cell>
        </row>
        <row r="1042">
          <cell r="C1042" t="str">
            <v>15</v>
          </cell>
        </row>
        <row r="1042">
          <cell r="F1042" t="str">
            <v>--</v>
          </cell>
        </row>
        <row r="1043">
          <cell r="A1043" t="str">
            <v>hugo.cn</v>
          </cell>
        </row>
        <row r="1043">
          <cell r="C1043" t="str">
            <v>14</v>
          </cell>
        </row>
        <row r="1043">
          <cell r="F1043" t="str">
            <v>--</v>
          </cell>
        </row>
        <row r="1044">
          <cell r="A1044" t="str">
            <v>hugo.cn</v>
          </cell>
        </row>
        <row r="1044">
          <cell r="C1044" t="str">
            <v>13</v>
          </cell>
        </row>
        <row r="1044">
          <cell r="F1044" t="str">
            <v>--</v>
          </cell>
        </row>
        <row r="1045">
          <cell r="A1045" t="str">
            <v>hugo.cn</v>
          </cell>
        </row>
        <row r="1045">
          <cell r="C1045" t="str">
            <v>12</v>
          </cell>
        </row>
        <row r="1045">
          <cell r="F1045" t="str">
            <v>--</v>
          </cell>
        </row>
        <row r="1046">
          <cell r="A1046" t="str">
            <v>hugo.cn</v>
          </cell>
        </row>
        <row r="1046">
          <cell r="C1046" t="str">
            <v>11</v>
          </cell>
        </row>
        <row r="1046">
          <cell r="F1046" t="str">
            <v>--</v>
          </cell>
        </row>
        <row r="1047">
          <cell r="A1047" t="str">
            <v>hugo.cn</v>
          </cell>
        </row>
        <row r="1047">
          <cell r="C1047" t="str">
            <v>10</v>
          </cell>
        </row>
        <row r="1047">
          <cell r="F1047" t="str">
            <v>--</v>
          </cell>
        </row>
        <row r="1048">
          <cell r="A1048" t="str">
            <v>hugo.cn</v>
          </cell>
        </row>
        <row r="1048">
          <cell r="C1048" t="str">
            <v>09</v>
          </cell>
        </row>
        <row r="1048">
          <cell r="F1048" t="str">
            <v>--</v>
          </cell>
        </row>
        <row r="1049">
          <cell r="A1049" t="str">
            <v>hugo.cn</v>
          </cell>
        </row>
        <row r="1049">
          <cell r="C1049" t="str">
            <v>08</v>
          </cell>
        </row>
        <row r="1049">
          <cell r="F1049" t="str">
            <v>--</v>
          </cell>
        </row>
        <row r="1050">
          <cell r="A1050" t="str">
            <v>hugo.cn</v>
          </cell>
        </row>
        <row r="1050">
          <cell r="C1050" t="str">
            <v>07</v>
          </cell>
        </row>
        <row r="1050">
          <cell r="F1050" t="str">
            <v>--</v>
          </cell>
        </row>
        <row r="1051">
          <cell r="A1051" t="str">
            <v>hugo.cn</v>
          </cell>
        </row>
        <row r="1051">
          <cell r="C1051" t="str">
            <v>06</v>
          </cell>
        </row>
        <row r="1051">
          <cell r="F1051" t="str">
            <v>--</v>
          </cell>
        </row>
        <row r="1052">
          <cell r="A1052" t="str">
            <v>hugo.cn</v>
          </cell>
        </row>
        <row r="1052">
          <cell r="C1052" t="str">
            <v>05</v>
          </cell>
        </row>
        <row r="1052">
          <cell r="F1052" t="str">
            <v>--</v>
          </cell>
        </row>
        <row r="1053">
          <cell r="A1053" t="str">
            <v>hugo.cn</v>
          </cell>
        </row>
        <row r="1053">
          <cell r="C1053" t="str">
            <v>04</v>
          </cell>
        </row>
        <row r="1053">
          <cell r="F1053" t="str">
            <v>--</v>
          </cell>
        </row>
        <row r="1054">
          <cell r="A1054" t="str">
            <v>hugo.cn</v>
          </cell>
        </row>
        <row r="1054">
          <cell r="C1054" t="str">
            <v>03</v>
          </cell>
        </row>
        <row r="1054">
          <cell r="F1054" t="str">
            <v>--</v>
          </cell>
        </row>
        <row r="1055">
          <cell r="A1055" t="str">
            <v>hugo.cn</v>
          </cell>
        </row>
        <row r="1055">
          <cell r="C1055" t="str">
            <v>02</v>
          </cell>
        </row>
        <row r="1055">
          <cell r="F1055" t="str">
            <v>--</v>
          </cell>
        </row>
        <row r="1056">
          <cell r="A1056" t="str">
            <v>hugo.cn</v>
          </cell>
        </row>
        <row r="1056">
          <cell r="C1056" t="str">
            <v>01</v>
          </cell>
        </row>
        <row r="1056">
          <cell r="F1056" t="str">
            <v>--</v>
          </cell>
        </row>
        <row r="1057">
          <cell r="A1057" t="str">
            <v>hugo.cn</v>
          </cell>
        </row>
        <row r="1057">
          <cell r="C1057" t="str">
            <v>00</v>
          </cell>
        </row>
        <row r="1057">
          <cell r="F1057" t="str">
            <v>--</v>
          </cell>
        </row>
        <row r="1058">
          <cell r="A1058" t="str">
            <v>zed.kty</v>
          </cell>
        </row>
        <row r="1058">
          <cell r="C1058" t="str">
            <v>23</v>
          </cell>
        </row>
        <row r="1058">
          <cell r="F1058" t="str">
            <v>--</v>
          </cell>
        </row>
        <row r="1059">
          <cell r="A1059" t="str">
            <v>zed.kty</v>
          </cell>
        </row>
        <row r="1059">
          <cell r="C1059" t="str">
            <v>22</v>
          </cell>
        </row>
        <row r="1059">
          <cell r="F1059" t="str">
            <v>--</v>
          </cell>
        </row>
        <row r="1060">
          <cell r="A1060" t="str">
            <v>zed.kty</v>
          </cell>
        </row>
        <row r="1060">
          <cell r="C1060" t="str">
            <v>21</v>
          </cell>
        </row>
        <row r="1060">
          <cell r="F1060" t="str">
            <v>--</v>
          </cell>
        </row>
        <row r="1061">
          <cell r="A1061" t="str">
            <v>zed.kty</v>
          </cell>
        </row>
        <row r="1061">
          <cell r="C1061" t="str">
            <v>20</v>
          </cell>
        </row>
        <row r="1061">
          <cell r="F1061" t="str">
            <v>--</v>
          </cell>
        </row>
        <row r="1062">
          <cell r="A1062" t="str">
            <v>zed.kty</v>
          </cell>
        </row>
        <row r="1062">
          <cell r="C1062" t="str">
            <v>19</v>
          </cell>
        </row>
        <row r="1062">
          <cell r="F1062" t="str">
            <v>--</v>
          </cell>
        </row>
        <row r="1063">
          <cell r="A1063" t="str">
            <v>zed.kty</v>
          </cell>
        </row>
        <row r="1063">
          <cell r="C1063" t="str">
            <v>18</v>
          </cell>
        </row>
        <row r="1063">
          <cell r="F1063" t="str">
            <v>--</v>
          </cell>
        </row>
        <row r="1064">
          <cell r="A1064" t="str">
            <v>zed.kty</v>
          </cell>
        </row>
        <row r="1064">
          <cell r="C1064" t="str">
            <v>17</v>
          </cell>
        </row>
        <row r="1064">
          <cell r="F1064" t="str">
            <v>--</v>
          </cell>
        </row>
        <row r="1065">
          <cell r="A1065" t="str">
            <v>zed.kty</v>
          </cell>
        </row>
        <row r="1065">
          <cell r="C1065" t="str">
            <v>16</v>
          </cell>
        </row>
        <row r="1065">
          <cell r="F1065" t="str">
            <v>--</v>
          </cell>
        </row>
        <row r="1066">
          <cell r="A1066" t="str">
            <v>zed.kty</v>
          </cell>
        </row>
        <row r="1066">
          <cell r="C1066" t="str">
            <v>15</v>
          </cell>
        </row>
        <row r="1066">
          <cell r="F1066" t="str">
            <v>--</v>
          </cell>
        </row>
        <row r="1067">
          <cell r="A1067" t="str">
            <v>zed.kty</v>
          </cell>
        </row>
        <row r="1067">
          <cell r="C1067" t="str">
            <v>14</v>
          </cell>
        </row>
        <row r="1067">
          <cell r="F1067" t="str">
            <v>--</v>
          </cell>
        </row>
        <row r="1068">
          <cell r="A1068" t="str">
            <v>zed.kty</v>
          </cell>
        </row>
        <row r="1068">
          <cell r="C1068" t="str">
            <v>13</v>
          </cell>
        </row>
        <row r="1068">
          <cell r="F1068" t="str">
            <v>--</v>
          </cell>
        </row>
        <row r="1069">
          <cell r="A1069" t="str">
            <v>zed.kty</v>
          </cell>
        </row>
        <row r="1069">
          <cell r="C1069" t="str">
            <v>12</v>
          </cell>
        </row>
        <row r="1069">
          <cell r="F1069" t="str">
            <v>--</v>
          </cell>
        </row>
        <row r="1070">
          <cell r="A1070" t="str">
            <v>zed.kty</v>
          </cell>
        </row>
        <row r="1070">
          <cell r="C1070" t="str">
            <v>11</v>
          </cell>
        </row>
        <row r="1070">
          <cell r="F1070" t="str">
            <v>--</v>
          </cell>
        </row>
        <row r="1071">
          <cell r="A1071" t="str">
            <v>zed.kty</v>
          </cell>
        </row>
        <row r="1071">
          <cell r="C1071" t="str">
            <v>10</v>
          </cell>
        </row>
        <row r="1071">
          <cell r="F1071" t="str">
            <v>--</v>
          </cell>
        </row>
        <row r="1072">
          <cell r="A1072" t="str">
            <v>zed.kty</v>
          </cell>
        </row>
        <row r="1072">
          <cell r="C1072" t="str">
            <v>09</v>
          </cell>
        </row>
        <row r="1072">
          <cell r="F1072" t="str">
            <v>--</v>
          </cell>
        </row>
        <row r="1073">
          <cell r="A1073" t="str">
            <v>zed.kty</v>
          </cell>
        </row>
        <row r="1073">
          <cell r="C1073" t="str">
            <v>08</v>
          </cell>
        </row>
        <row r="1073">
          <cell r="F1073" t="str">
            <v>--</v>
          </cell>
        </row>
        <row r="1074">
          <cell r="A1074" t="str">
            <v>zed.kty</v>
          </cell>
        </row>
        <row r="1074">
          <cell r="C1074" t="str">
            <v>07</v>
          </cell>
        </row>
        <row r="1074">
          <cell r="F1074" t="str">
            <v>--</v>
          </cell>
        </row>
        <row r="1075">
          <cell r="A1075" t="str">
            <v>zed.kty</v>
          </cell>
        </row>
        <row r="1075">
          <cell r="C1075" t="str">
            <v>06</v>
          </cell>
        </row>
        <row r="1075">
          <cell r="F1075" t="str">
            <v>--</v>
          </cell>
        </row>
        <row r="1076">
          <cell r="A1076" t="str">
            <v>zed.kty</v>
          </cell>
        </row>
        <row r="1076">
          <cell r="C1076" t="str">
            <v>05</v>
          </cell>
        </row>
        <row r="1076">
          <cell r="F1076" t="str">
            <v>--</v>
          </cell>
        </row>
        <row r="1077">
          <cell r="A1077" t="str">
            <v>zed.kty</v>
          </cell>
        </row>
        <row r="1077">
          <cell r="C1077" t="str">
            <v>04</v>
          </cell>
        </row>
        <row r="1077">
          <cell r="F1077" t="str">
            <v>--</v>
          </cell>
        </row>
        <row r="1078">
          <cell r="A1078" t="str">
            <v>zed.kty</v>
          </cell>
        </row>
        <row r="1078">
          <cell r="C1078" t="str">
            <v>03</v>
          </cell>
        </row>
        <row r="1078">
          <cell r="F1078" t="str">
            <v>--</v>
          </cell>
        </row>
        <row r="1079">
          <cell r="A1079" t="str">
            <v>zed.kty</v>
          </cell>
        </row>
        <row r="1079">
          <cell r="C1079" t="str">
            <v>02</v>
          </cell>
        </row>
        <row r="1079">
          <cell r="F1079" t="str">
            <v>--</v>
          </cell>
        </row>
        <row r="1080">
          <cell r="A1080" t="str">
            <v>zed.kty</v>
          </cell>
        </row>
        <row r="1080">
          <cell r="C1080" t="str">
            <v>01</v>
          </cell>
        </row>
        <row r="1080">
          <cell r="F1080" t="str">
            <v>--</v>
          </cell>
        </row>
        <row r="1081">
          <cell r="A1081" t="str">
            <v>zed.kty</v>
          </cell>
        </row>
        <row r="1081">
          <cell r="C1081" t="str">
            <v>00</v>
          </cell>
        </row>
        <row r="1081">
          <cell r="F1081" t="str">
            <v>--</v>
          </cell>
        </row>
        <row r="1082">
          <cell r="A1082" t="str">
            <v>hugo.kty</v>
          </cell>
        </row>
        <row r="1082">
          <cell r="C1082" t="str">
            <v>23</v>
          </cell>
        </row>
        <row r="1082">
          <cell r="F1082" t="str">
            <v>--</v>
          </cell>
        </row>
        <row r="1083">
          <cell r="A1083" t="str">
            <v>hugo.kty</v>
          </cell>
        </row>
        <row r="1083">
          <cell r="C1083" t="str">
            <v>22</v>
          </cell>
        </row>
        <row r="1083">
          <cell r="F1083" t="str">
            <v>--</v>
          </cell>
        </row>
        <row r="1084">
          <cell r="A1084" t="str">
            <v>hugo.kty</v>
          </cell>
        </row>
        <row r="1084">
          <cell r="C1084" t="str">
            <v>21</v>
          </cell>
        </row>
        <row r="1084">
          <cell r="F1084" t="str">
            <v>--</v>
          </cell>
        </row>
        <row r="1085">
          <cell r="A1085" t="str">
            <v>hugo.kty</v>
          </cell>
        </row>
        <row r="1085">
          <cell r="C1085" t="str">
            <v>20</v>
          </cell>
        </row>
        <row r="1085">
          <cell r="F1085" t="str">
            <v>--</v>
          </cell>
        </row>
        <row r="1086">
          <cell r="A1086" t="str">
            <v>hugo.kty</v>
          </cell>
        </row>
        <row r="1086">
          <cell r="C1086" t="str">
            <v>19</v>
          </cell>
        </row>
        <row r="1086">
          <cell r="F1086" t="str">
            <v>--</v>
          </cell>
        </row>
        <row r="1087">
          <cell r="A1087" t="str">
            <v>hugo.kty</v>
          </cell>
        </row>
        <row r="1087">
          <cell r="C1087" t="str">
            <v>18</v>
          </cell>
        </row>
        <row r="1087">
          <cell r="F1087" t="str">
            <v>--</v>
          </cell>
        </row>
        <row r="1088">
          <cell r="A1088" t="str">
            <v>hugo.kty</v>
          </cell>
        </row>
        <row r="1088">
          <cell r="C1088" t="str">
            <v>17</v>
          </cell>
        </row>
        <row r="1088">
          <cell r="F1088" t="str">
            <v>--</v>
          </cell>
        </row>
        <row r="1089">
          <cell r="A1089" t="str">
            <v>hugo.kty</v>
          </cell>
        </row>
        <row r="1089">
          <cell r="C1089" t="str">
            <v>16</v>
          </cell>
        </row>
        <row r="1089">
          <cell r="F1089" t="str">
            <v>--</v>
          </cell>
        </row>
        <row r="1090">
          <cell r="A1090" t="str">
            <v>hugo.kty</v>
          </cell>
        </row>
        <row r="1090">
          <cell r="C1090" t="str">
            <v>15</v>
          </cell>
        </row>
        <row r="1090">
          <cell r="F1090" t="str">
            <v>--</v>
          </cell>
        </row>
        <row r="1091">
          <cell r="A1091" t="str">
            <v>hugo.kty</v>
          </cell>
        </row>
        <row r="1091">
          <cell r="C1091" t="str">
            <v>14</v>
          </cell>
        </row>
        <row r="1091">
          <cell r="F1091" t="str">
            <v>--</v>
          </cell>
        </row>
        <row r="1092">
          <cell r="A1092" t="str">
            <v>hugo.kty</v>
          </cell>
        </row>
        <row r="1092">
          <cell r="C1092" t="str">
            <v>13</v>
          </cell>
        </row>
        <row r="1092">
          <cell r="F1092" t="str">
            <v>--</v>
          </cell>
        </row>
        <row r="1093">
          <cell r="A1093" t="str">
            <v>hugo.kty</v>
          </cell>
        </row>
        <row r="1093">
          <cell r="C1093" t="str">
            <v>12</v>
          </cell>
        </row>
        <row r="1093">
          <cell r="F1093" t="str">
            <v>--</v>
          </cell>
        </row>
        <row r="1094">
          <cell r="A1094" t="str">
            <v>hugo.kty</v>
          </cell>
        </row>
        <row r="1094">
          <cell r="C1094" t="str">
            <v>11</v>
          </cell>
        </row>
        <row r="1094">
          <cell r="F1094" t="str">
            <v>--</v>
          </cell>
        </row>
        <row r="1095">
          <cell r="A1095" t="str">
            <v>hugo.kty</v>
          </cell>
        </row>
        <row r="1095">
          <cell r="C1095" t="str">
            <v>10</v>
          </cell>
        </row>
        <row r="1095">
          <cell r="F1095" t="str">
            <v>--</v>
          </cell>
        </row>
        <row r="1096">
          <cell r="A1096" t="str">
            <v>hugo.kty</v>
          </cell>
        </row>
        <row r="1096">
          <cell r="C1096" t="str">
            <v>09</v>
          </cell>
        </row>
        <row r="1096">
          <cell r="F1096" t="str">
            <v>--</v>
          </cell>
        </row>
        <row r="1097">
          <cell r="A1097" t="str">
            <v>hugo.kty</v>
          </cell>
        </row>
        <row r="1097">
          <cell r="C1097" t="str">
            <v>08</v>
          </cell>
        </row>
        <row r="1097">
          <cell r="F1097" t="str">
            <v>--</v>
          </cell>
        </row>
        <row r="1098">
          <cell r="A1098" t="str">
            <v>hugo.kty</v>
          </cell>
        </row>
        <row r="1098">
          <cell r="C1098" t="str">
            <v>07</v>
          </cell>
        </row>
        <row r="1098">
          <cell r="F1098" t="str">
            <v>--</v>
          </cell>
        </row>
        <row r="1099">
          <cell r="A1099" t="str">
            <v>hugo.kty</v>
          </cell>
        </row>
        <row r="1099">
          <cell r="C1099" t="str">
            <v>06</v>
          </cell>
        </row>
        <row r="1099">
          <cell r="F1099" t="str">
            <v>--</v>
          </cell>
        </row>
        <row r="1100">
          <cell r="A1100" t="str">
            <v>hugo.kty</v>
          </cell>
        </row>
        <row r="1100">
          <cell r="C1100" t="str">
            <v>05</v>
          </cell>
        </row>
        <row r="1100">
          <cell r="F1100" t="str">
            <v>--</v>
          </cell>
        </row>
        <row r="1101">
          <cell r="A1101" t="str">
            <v>hugo.kty</v>
          </cell>
        </row>
        <row r="1101">
          <cell r="C1101" t="str">
            <v>04</v>
          </cell>
        </row>
        <row r="1101">
          <cell r="F1101" t="str">
            <v>--</v>
          </cell>
        </row>
        <row r="1102">
          <cell r="A1102" t="str">
            <v>hugo.kty</v>
          </cell>
        </row>
        <row r="1102">
          <cell r="C1102" t="str">
            <v>03</v>
          </cell>
        </row>
        <row r="1102">
          <cell r="F1102" t="str">
            <v>--</v>
          </cell>
        </row>
        <row r="1103">
          <cell r="A1103" t="str">
            <v>hugo.kty</v>
          </cell>
        </row>
        <row r="1103">
          <cell r="C1103" t="str">
            <v>02</v>
          </cell>
        </row>
        <row r="1103">
          <cell r="F1103" t="str">
            <v>--</v>
          </cell>
        </row>
        <row r="1104">
          <cell r="A1104" t="str">
            <v>hugo.kty</v>
          </cell>
        </row>
        <row r="1104">
          <cell r="C1104" t="str">
            <v>01</v>
          </cell>
        </row>
        <row r="1104">
          <cell r="F1104" t="str">
            <v>--</v>
          </cell>
        </row>
        <row r="1105">
          <cell r="A1105" t="str">
            <v>hugo.kty</v>
          </cell>
        </row>
        <row r="1105">
          <cell r="C1105" t="str">
            <v>00</v>
          </cell>
        </row>
        <row r="1105">
          <cell r="F1105" t="str">
            <v>--</v>
          </cell>
        </row>
        <row r="1106">
          <cell r="A1106" t="str">
            <v>martin.bty</v>
          </cell>
        </row>
        <row r="1106">
          <cell r="C1106" t="str">
            <v>23</v>
          </cell>
        </row>
        <row r="1106">
          <cell r="F1106">
            <v>79</v>
          </cell>
        </row>
        <row r="1107">
          <cell r="A1107" t="str">
            <v>martin.bty</v>
          </cell>
        </row>
        <row r="1107">
          <cell r="C1107" t="str">
            <v>22</v>
          </cell>
        </row>
        <row r="1107">
          <cell r="F1107">
            <v>49</v>
          </cell>
        </row>
        <row r="1108">
          <cell r="A1108" t="str">
            <v>martin.bty</v>
          </cell>
        </row>
        <row r="1108">
          <cell r="C1108" t="str">
            <v>21</v>
          </cell>
        </row>
        <row r="1108">
          <cell r="F1108">
            <v>81</v>
          </cell>
        </row>
        <row r="1109">
          <cell r="A1109" t="str">
            <v>martin.bty</v>
          </cell>
        </row>
        <row r="1109">
          <cell r="C1109" t="str">
            <v>20</v>
          </cell>
        </row>
        <row r="1109">
          <cell r="F1109">
            <v>51</v>
          </cell>
        </row>
        <row r="1110">
          <cell r="A1110" t="str">
            <v>martin.bty</v>
          </cell>
        </row>
        <row r="1110">
          <cell r="C1110" t="str">
            <v>19</v>
          </cell>
        </row>
        <row r="1110">
          <cell r="F1110">
            <v>43</v>
          </cell>
        </row>
        <row r="1111">
          <cell r="A1111" t="str">
            <v>martin.bty</v>
          </cell>
        </row>
        <row r="1111">
          <cell r="C1111" t="str">
            <v>18</v>
          </cell>
        </row>
        <row r="1111">
          <cell r="F1111">
            <v>45</v>
          </cell>
        </row>
        <row r="1112">
          <cell r="A1112" t="str">
            <v>martin.bty</v>
          </cell>
        </row>
        <row r="1112">
          <cell r="C1112" t="str">
            <v>17</v>
          </cell>
        </row>
        <row r="1112">
          <cell r="F1112">
            <v>63</v>
          </cell>
        </row>
        <row r="1113">
          <cell r="A1113" t="str">
            <v>martin.bty</v>
          </cell>
        </row>
        <row r="1113">
          <cell r="C1113" t="str">
            <v>16</v>
          </cell>
        </row>
        <row r="1113">
          <cell r="F1113">
            <v>44</v>
          </cell>
        </row>
        <row r="1114">
          <cell r="A1114" t="str">
            <v>martin.bty</v>
          </cell>
        </row>
        <row r="1114">
          <cell r="C1114" t="str">
            <v>15</v>
          </cell>
        </row>
        <row r="1114">
          <cell r="F1114">
            <v>49</v>
          </cell>
        </row>
        <row r="1115">
          <cell r="A1115" t="str">
            <v>martin.bty</v>
          </cell>
        </row>
        <row r="1115">
          <cell r="C1115" t="str">
            <v>14</v>
          </cell>
        </row>
        <row r="1115">
          <cell r="F1115">
            <v>49</v>
          </cell>
        </row>
        <row r="1116">
          <cell r="A1116" t="str">
            <v>martin.bty</v>
          </cell>
        </row>
        <row r="1116">
          <cell r="C1116" t="str">
            <v>13</v>
          </cell>
        </row>
        <row r="1116">
          <cell r="F1116">
            <v>61</v>
          </cell>
        </row>
        <row r="1117">
          <cell r="A1117" t="str">
            <v>martin.bty</v>
          </cell>
        </row>
        <row r="1117">
          <cell r="C1117" t="str">
            <v>12</v>
          </cell>
        </row>
        <row r="1117">
          <cell r="F1117">
            <v>40</v>
          </cell>
        </row>
        <row r="1118">
          <cell r="A1118" t="str">
            <v>martin.bty</v>
          </cell>
        </row>
        <row r="1118">
          <cell r="C1118" t="str">
            <v>11</v>
          </cell>
        </row>
        <row r="1118">
          <cell r="F1118">
            <v>32</v>
          </cell>
        </row>
        <row r="1119">
          <cell r="A1119" t="str">
            <v>martin.bty</v>
          </cell>
        </row>
        <row r="1119">
          <cell r="C1119" t="str">
            <v>10</v>
          </cell>
        </row>
        <row r="1119">
          <cell r="F1119">
            <v>39</v>
          </cell>
        </row>
        <row r="1120">
          <cell r="A1120" t="str">
            <v>martin.bty</v>
          </cell>
        </row>
        <row r="1120">
          <cell r="C1120" t="str">
            <v>09</v>
          </cell>
        </row>
        <row r="1120">
          <cell r="F1120">
            <v>29</v>
          </cell>
        </row>
        <row r="1121">
          <cell r="A1121" t="str">
            <v>martin.bty</v>
          </cell>
        </row>
        <row r="1121">
          <cell r="C1121" t="str">
            <v>08</v>
          </cell>
        </row>
        <row r="1121">
          <cell r="F1121">
            <v>30</v>
          </cell>
        </row>
        <row r="1122">
          <cell r="A1122" t="str">
            <v>martin.bty</v>
          </cell>
        </row>
        <row r="1122">
          <cell r="C1122" t="str">
            <v>07</v>
          </cell>
        </row>
        <row r="1122">
          <cell r="F1122">
            <v>38</v>
          </cell>
        </row>
        <row r="1123">
          <cell r="A1123" t="str">
            <v>martin.bty</v>
          </cell>
        </row>
        <row r="1123">
          <cell r="C1123" t="str">
            <v>06</v>
          </cell>
        </row>
        <row r="1123">
          <cell r="F1123">
            <v>19</v>
          </cell>
        </row>
        <row r="1124">
          <cell r="A1124" t="str">
            <v>martin.bty</v>
          </cell>
        </row>
        <row r="1124">
          <cell r="C1124" t="str">
            <v>05</v>
          </cell>
        </row>
        <row r="1124">
          <cell r="F1124">
            <v>18</v>
          </cell>
        </row>
        <row r="1125">
          <cell r="A1125" t="str">
            <v>martin.bty</v>
          </cell>
        </row>
        <row r="1125">
          <cell r="C1125" t="str">
            <v>04</v>
          </cell>
        </row>
        <row r="1125">
          <cell r="F1125">
            <v>25</v>
          </cell>
        </row>
        <row r="1126">
          <cell r="A1126" t="str">
            <v>martin.bty</v>
          </cell>
        </row>
        <row r="1126">
          <cell r="C1126" t="str">
            <v>03</v>
          </cell>
        </row>
        <row r="1126">
          <cell r="F1126">
            <v>36</v>
          </cell>
        </row>
        <row r="1127">
          <cell r="A1127" t="str">
            <v>martin.bty</v>
          </cell>
        </row>
        <row r="1127">
          <cell r="C1127" t="str">
            <v>02</v>
          </cell>
        </row>
        <row r="1127">
          <cell r="F1127">
            <v>28</v>
          </cell>
        </row>
        <row r="1128">
          <cell r="A1128" t="str">
            <v>martin.bty</v>
          </cell>
        </row>
        <row r="1128">
          <cell r="C1128" t="str">
            <v>01</v>
          </cell>
        </row>
        <row r="1128">
          <cell r="F1128">
            <v>50</v>
          </cell>
        </row>
        <row r="1129">
          <cell r="A1129" t="str">
            <v>martin.bty</v>
          </cell>
        </row>
        <row r="1129">
          <cell r="C1129" t="str">
            <v>00</v>
          </cell>
        </row>
        <row r="1129">
          <cell r="F1129">
            <v>74</v>
          </cell>
        </row>
        <row r="1130">
          <cell r="A1130" t="str">
            <v>tony.bty</v>
          </cell>
        </row>
        <row r="1130">
          <cell r="C1130" t="str">
            <v>23</v>
          </cell>
        </row>
        <row r="1130">
          <cell r="F1130">
            <v>28</v>
          </cell>
        </row>
        <row r="1131">
          <cell r="A1131" t="str">
            <v>tony.bty</v>
          </cell>
        </row>
        <row r="1131">
          <cell r="C1131" t="str">
            <v>22</v>
          </cell>
        </row>
        <row r="1131">
          <cell r="F1131">
            <v>21</v>
          </cell>
        </row>
        <row r="1132">
          <cell r="A1132" t="str">
            <v>tony.bty</v>
          </cell>
        </row>
        <row r="1132">
          <cell r="C1132" t="str">
            <v>21</v>
          </cell>
        </row>
        <row r="1132">
          <cell r="F1132">
            <v>19</v>
          </cell>
        </row>
        <row r="1133">
          <cell r="A1133" t="str">
            <v>tony.bty</v>
          </cell>
        </row>
        <row r="1133">
          <cell r="C1133" t="str">
            <v>20</v>
          </cell>
        </row>
        <row r="1133">
          <cell r="F1133">
            <v>17</v>
          </cell>
        </row>
        <row r="1134">
          <cell r="A1134" t="str">
            <v>tony.bty</v>
          </cell>
        </row>
        <row r="1134">
          <cell r="C1134" t="str">
            <v>19</v>
          </cell>
        </row>
        <row r="1134">
          <cell r="F1134">
            <v>15</v>
          </cell>
        </row>
        <row r="1135">
          <cell r="A1135" t="str">
            <v>tony.bty</v>
          </cell>
        </row>
        <row r="1135">
          <cell r="C1135" t="str">
            <v>18</v>
          </cell>
        </row>
        <row r="1135">
          <cell r="F1135">
            <v>11</v>
          </cell>
        </row>
        <row r="1136">
          <cell r="A1136" t="str">
            <v>tony.bty</v>
          </cell>
        </row>
        <row r="1136">
          <cell r="C1136" t="str">
            <v>17</v>
          </cell>
        </row>
        <row r="1136">
          <cell r="F1136">
            <v>17</v>
          </cell>
        </row>
        <row r="1137">
          <cell r="A1137" t="str">
            <v>tony.bty</v>
          </cell>
        </row>
        <row r="1137">
          <cell r="C1137" t="str">
            <v>16</v>
          </cell>
        </row>
        <row r="1137">
          <cell r="F1137">
            <v>16</v>
          </cell>
        </row>
        <row r="1138">
          <cell r="A1138" t="str">
            <v>tony.bty</v>
          </cell>
        </row>
        <row r="1138">
          <cell r="C1138" t="str">
            <v>15</v>
          </cell>
        </row>
        <row r="1138">
          <cell r="F1138">
            <v>23</v>
          </cell>
        </row>
        <row r="1139">
          <cell r="A1139" t="str">
            <v>tony.bty</v>
          </cell>
        </row>
        <row r="1139">
          <cell r="C1139" t="str">
            <v>14</v>
          </cell>
        </row>
        <row r="1139">
          <cell r="F1139">
            <v>14</v>
          </cell>
        </row>
        <row r="1140">
          <cell r="A1140" t="str">
            <v>tony.bty</v>
          </cell>
        </row>
        <row r="1140">
          <cell r="C1140" t="str">
            <v>13</v>
          </cell>
        </row>
        <row r="1140">
          <cell r="F1140">
            <v>25</v>
          </cell>
        </row>
        <row r="1141">
          <cell r="A1141" t="str">
            <v>tony.bty</v>
          </cell>
        </row>
        <row r="1141">
          <cell r="C1141" t="str">
            <v>12</v>
          </cell>
        </row>
        <row r="1141">
          <cell r="F1141">
            <v>19</v>
          </cell>
        </row>
        <row r="1142">
          <cell r="A1142" t="str">
            <v>tony.bty</v>
          </cell>
        </row>
        <row r="1142">
          <cell r="C1142" t="str">
            <v>11</v>
          </cell>
        </row>
        <row r="1142">
          <cell r="F1142">
            <v>18</v>
          </cell>
        </row>
        <row r="1143">
          <cell r="A1143" t="str">
            <v>tony.bty</v>
          </cell>
        </row>
        <row r="1143">
          <cell r="C1143" t="str">
            <v>10</v>
          </cell>
        </row>
        <row r="1143">
          <cell r="F1143">
            <v>15</v>
          </cell>
        </row>
        <row r="1144">
          <cell r="A1144" t="str">
            <v>tony.bty</v>
          </cell>
        </row>
        <row r="1144">
          <cell r="C1144" t="str">
            <v>09</v>
          </cell>
        </row>
        <row r="1144">
          <cell r="F1144">
            <v>15</v>
          </cell>
        </row>
        <row r="1145">
          <cell r="A1145" t="str">
            <v>tony.bty</v>
          </cell>
        </row>
        <row r="1145">
          <cell r="C1145" t="str">
            <v>08</v>
          </cell>
        </row>
        <row r="1145">
          <cell r="F1145">
            <v>20</v>
          </cell>
        </row>
        <row r="1146">
          <cell r="A1146" t="str">
            <v>tony.bty</v>
          </cell>
        </row>
        <row r="1146">
          <cell r="C1146" t="str">
            <v>07</v>
          </cell>
        </row>
        <row r="1146">
          <cell r="F1146">
            <v>13</v>
          </cell>
        </row>
        <row r="1147">
          <cell r="A1147" t="str">
            <v>tony.bty</v>
          </cell>
        </row>
        <row r="1147">
          <cell r="C1147" t="str">
            <v>06</v>
          </cell>
        </row>
        <row r="1147">
          <cell r="F1147">
            <v>6</v>
          </cell>
        </row>
        <row r="1148">
          <cell r="A1148" t="str">
            <v>tony.bty</v>
          </cell>
        </row>
        <row r="1148">
          <cell r="C1148" t="str">
            <v>05</v>
          </cell>
        </row>
        <row r="1148">
          <cell r="F1148">
            <v>8</v>
          </cell>
        </row>
        <row r="1149">
          <cell r="A1149" t="str">
            <v>tony.bty</v>
          </cell>
        </row>
        <row r="1149">
          <cell r="C1149" t="str">
            <v>04</v>
          </cell>
        </row>
        <row r="1149">
          <cell r="F1149">
            <v>17</v>
          </cell>
        </row>
        <row r="1150">
          <cell r="A1150" t="str">
            <v>tony.bty</v>
          </cell>
        </row>
        <row r="1150">
          <cell r="C1150" t="str">
            <v>03</v>
          </cell>
        </row>
        <row r="1150">
          <cell r="F1150">
            <v>17</v>
          </cell>
        </row>
        <row r="1151">
          <cell r="A1151" t="str">
            <v>tony.bty</v>
          </cell>
        </row>
        <row r="1151">
          <cell r="C1151" t="str">
            <v>02</v>
          </cell>
        </row>
        <row r="1151">
          <cell r="F1151">
            <v>12</v>
          </cell>
        </row>
        <row r="1152">
          <cell r="A1152" t="str">
            <v>tony.bty</v>
          </cell>
        </row>
        <row r="1152">
          <cell r="C1152" t="str">
            <v>01</v>
          </cell>
        </row>
        <row r="1152">
          <cell r="F1152">
            <v>37</v>
          </cell>
        </row>
        <row r="1153">
          <cell r="A1153" t="str">
            <v>tony.bty</v>
          </cell>
        </row>
        <row r="1153">
          <cell r="C1153" t="str">
            <v>00</v>
          </cell>
        </row>
        <row r="1153">
          <cell r="F1153">
            <v>24</v>
          </cell>
        </row>
        <row r="1154">
          <cell r="A1154" t="str">
            <v>dk.bty</v>
          </cell>
        </row>
        <row r="1154">
          <cell r="C1154" t="str">
            <v>23</v>
          </cell>
        </row>
        <row r="1154">
          <cell r="F1154">
            <v>109</v>
          </cell>
        </row>
        <row r="1155">
          <cell r="A1155" t="str">
            <v>dk.bty</v>
          </cell>
        </row>
        <row r="1155">
          <cell r="C1155" t="str">
            <v>22</v>
          </cell>
        </row>
        <row r="1155">
          <cell r="F1155">
            <v>109</v>
          </cell>
        </row>
        <row r="1156">
          <cell r="A1156" t="str">
            <v>dk.bty</v>
          </cell>
        </row>
        <row r="1156">
          <cell r="C1156" t="str">
            <v>21</v>
          </cell>
        </row>
        <row r="1156">
          <cell r="F1156">
            <v>122</v>
          </cell>
        </row>
        <row r="1157">
          <cell r="A1157" t="str">
            <v>dk.bty</v>
          </cell>
        </row>
        <row r="1157">
          <cell r="C1157" t="str">
            <v>20</v>
          </cell>
        </row>
        <row r="1157">
          <cell r="F1157">
            <v>117</v>
          </cell>
        </row>
        <row r="1158">
          <cell r="A1158" t="str">
            <v>dk.bty</v>
          </cell>
        </row>
        <row r="1158">
          <cell r="C1158" t="str">
            <v>19</v>
          </cell>
        </row>
        <row r="1158">
          <cell r="F1158">
            <v>97</v>
          </cell>
        </row>
        <row r="1159">
          <cell r="A1159" t="str">
            <v>dk.bty</v>
          </cell>
        </row>
        <row r="1159">
          <cell r="C1159" t="str">
            <v>18</v>
          </cell>
        </row>
        <row r="1159">
          <cell r="F1159">
            <v>107</v>
          </cell>
        </row>
        <row r="1160">
          <cell r="A1160" t="str">
            <v>dk.bty</v>
          </cell>
        </row>
        <row r="1160">
          <cell r="C1160" t="str">
            <v>17</v>
          </cell>
        </row>
        <row r="1160">
          <cell r="F1160">
            <v>121</v>
          </cell>
        </row>
        <row r="1161">
          <cell r="A1161" t="str">
            <v>dk.bty</v>
          </cell>
        </row>
        <row r="1161">
          <cell r="C1161" t="str">
            <v>16</v>
          </cell>
        </row>
        <row r="1161">
          <cell r="F1161">
            <v>118</v>
          </cell>
        </row>
        <row r="1162">
          <cell r="A1162" t="str">
            <v>dk.bty</v>
          </cell>
        </row>
        <row r="1162">
          <cell r="C1162" t="str">
            <v>15</v>
          </cell>
        </row>
        <row r="1162">
          <cell r="F1162">
            <v>130</v>
          </cell>
        </row>
        <row r="1163">
          <cell r="A1163" t="str">
            <v>dk.bty</v>
          </cell>
        </row>
        <row r="1163">
          <cell r="C1163" t="str">
            <v>14</v>
          </cell>
        </row>
        <row r="1163">
          <cell r="F1163">
            <v>133</v>
          </cell>
        </row>
        <row r="1164">
          <cell r="A1164" t="str">
            <v>dk.bty</v>
          </cell>
        </row>
        <row r="1164">
          <cell r="C1164" t="str">
            <v>13</v>
          </cell>
        </row>
        <row r="1164">
          <cell r="F1164">
            <v>108</v>
          </cell>
        </row>
        <row r="1165">
          <cell r="A1165" t="str">
            <v>dk.bty</v>
          </cell>
        </row>
        <row r="1165">
          <cell r="C1165" t="str">
            <v>12</v>
          </cell>
        </row>
        <row r="1165">
          <cell r="F1165">
            <v>85</v>
          </cell>
        </row>
        <row r="1166">
          <cell r="A1166" t="str">
            <v>dk.bty</v>
          </cell>
        </row>
        <row r="1166">
          <cell r="C1166" t="str">
            <v>11</v>
          </cell>
        </row>
        <row r="1166">
          <cell r="F1166">
            <v>82</v>
          </cell>
        </row>
        <row r="1167">
          <cell r="A1167" t="str">
            <v>dk.bty</v>
          </cell>
        </row>
        <row r="1167">
          <cell r="C1167" t="str">
            <v>10</v>
          </cell>
        </row>
        <row r="1167">
          <cell r="F1167">
            <v>83</v>
          </cell>
        </row>
        <row r="1168">
          <cell r="A1168" t="str">
            <v>dk.bty</v>
          </cell>
        </row>
        <row r="1168">
          <cell r="C1168" t="str">
            <v>09</v>
          </cell>
        </row>
        <row r="1168">
          <cell r="F1168">
            <v>103</v>
          </cell>
        </row>
        <row r="1169">
          <cell r="A1169" t="str">
            <v>dk.bty</v>
          </cell>
        </row>
        <row r="1169">
          <cell r="C1169" t="str">
            <v>08</v>
          </cell>
        </row>
        <row r="1169">
          <cell r="F1169">
            <v>58</v>
          </cell>
        </row>
        <row r="1170">
          <cell r="A1170" t="str">
            <v>dk.bty</v>
          </cell>
        </row>
        <row r="1170">
          <cell r="C1170" t="str">
            <v>07</v>
          </cell>
        </row>
        <row r="1170">
          <cell r="F1170">
            <v>53</v>
          </cell>
        </row>
        <row r="1171">
          <cell r="A1171" t="str">
            <v>dk.bty</v>
          </cell>
        </row>
        <row r="1171">
          <cell r="C1171" t="str">
            <v>06</v>
          </cell>
        </row>
        <row r="1171">
          <cell r="F1171">
            <v>31</v>
          </cell>
        </row>
        <row r="1172">
          <cell r="A1172" t="str">
            <v>dk.bty</v>
          </cell>
        </row>
        <row r="1172">
          <cell r="C1172" t="str">
            <v>05</v>
          </cell>
        </row>
        <row r="1172">
          <cell r="F1172">
            <v>35</v>
          </cell>
        </row>
        <row r="1173">
          <cell r="A1173" t="str">
            <v>dk.bty</v>
          </cell>
        </row>
        <row r="1173">
          <cell r="C1173" t="str">
            <v>04</v>
          </cell>
        </row>
        <row r="1173">
          <cell r="F1173">
            <v>44</v>
          </cell>
        </row>
        <row r="1174">
          <cell r="A1174" t="str">
            <v>dk.bty</v>
          </cell>
        </row>
        <row r="1174">
          <cell r="C1174" t="str">
            <v>03</v>
          </cell>
        </row>
        <row r="1174">
          <cell r="F1174">
            <v>53</v>
          </cell>
        </row>
        <row r="1175">
          <cell r="A1175" t="str">
            <v>dk.bty</v>
          </cell>
        </row>
        <row r="1175">
          <cell r="C1175" t="str">
            <v>02</v>
          </cell>
        </row>
        <row r="1175">
          <cell r="F1175">
            <v>62</v>
          </cell>
        </row>
        <row r="1176">
          <cell r="A1176" t="str">
            <v>dk.bty</v>
          </cell>
        </row>
        <row r="1176">
          <cell r="C1176" t="str">
            <v>01</v>
          </cell>
        </row>
        <row r="1176">
          <cell r="F1176">
            <v>88</v>
          </cell>
        </row>
        <row r="1177">
          <cell r="A1177" t="str">
            <v>dk.bty</v>
          </cell>
        </row>
        <row r="1177">
          <cell r="C1177" t="str">
            <v>00</v>
          </cell>
        </row>
        <row r="1177">
          <cell r="F1177">
            <v>112</v>
          </cell>
        </row>
        <row r="1178">
          <cell r="A1178" t="str">
            <v>zed.bty</v>
          </cell>
        </row>
        <row r="1178">
          <cell r="C1178" t="str">
            <v>23</v>
          </cell>
        </row>
        <row r="1178">
          <cell r="F1178">
            <v>18</v>
          </cell>
        </row>
        <row r="1179">
          <cell r="A1179" t="str">
            <v>zed.bty</v>
          </cell>
        </row>
        <row r="1179">
          <cell r="C1179" t="str">
            <v>22</v>
          </cell>
        </row>
        <row r="1179">
          <cell r="F1179">
            <v>16</v>
          </cell>
        </row>
        <row r="1180">
          <cell r="A1180" t="str">
            <v>zed.bty</v>
          </cell>
        </row>
        <row r="1180">
          <cell r="C1180" t="str">
            <v>21</v>
          </cell>
        </row>
        <row r="1180">
          <cell r="F1180">
            <v>17</v>
          </cell>
        </row>
        <row r="1181">
          <cell r="A1181" t="str">
            <v>zed.bty</v>
          </cell>
        </row>
        <row r="1181">
          <cell r="C1181" t="str">
            <v>20</v>
          </cell>
        </row>
        <row r="1181">
          <cell r="F1181">
            <v>13</v>
          </cell>
        </row>
        <row r="1182">
          <cell r="A1182" t="str">
            <v>zed.bty</v>
          </cell>
        </row>
        <row r="1182">
          <cell r="C1182" t="str">
            <v>19</v>
          </cell>
        </row>
        <row r="1182">
          <cell r="F1182">
            <v>13</v>
          </cell>
        </row>
        <row r="1183">
          <cell r="A1183" t="str">
            <v>zed.bty</v>
          </cell>
        </row>
        <row r="1183">
          <cell r="C1183" t="str">
            <v>18</v>
          </cell>
        </row>
        <row r="1183">
          <cell r="F1183">
            <v>6</v>
          </cell>
        </row>
        <row r="1184">
          <cell r="A1184" t="str">
            <v>zed.bty</v>
          </cell>
        </row>
        <row r="1184">
          <cell r="C1184" t="str">
            <v>17</v>
          </cell>
        </row>
        <row r="1184">
          <cell r="F1184">
            <v>21</v>
          </cell>
        </row>
        <row r="1185">
          <cell r="A1185" t="str">
            <v>zed.bty</v>
          </cell>
        </row>
        <row r="1185">
          <cell r="C1185" t="str">
            <v>16</v>
          </cell>
        </row>
        <row r="1185">
          <cell r="F1185">
            <v>12</v>
          </cell>
        </row>
        <row r="1186">
          <cell r="A1186" t="str">
            <v>zed.bty</v>
          </cell>
        </row>
        <row r="1186">
          <cell r="C1186" t="str">
            <v>15</v>
          </cell>
        </row>
        <row r="1186">
          <cell r="F1186">
            <v>16</v>
          </cell>
        </row>
        <row r="1187">
          <cell r="A1187" t="str">
            <v>zed.bty</v>
          </cell>
        </row>
        <row r="1187">
          <cell r="C1187" t="str">
            <v>14</v>
          </cell>
        </row>
        <row r="1187">
          <cell r="F1187">
            <v>6</v>
          </cell>
        </row>
        <row r="1188">
          <cell r="A1188" t="str">
            <v>zed.bty</v>
          </cell>
        </row>
        <row r="1188">
          <cell r="C1188" t="str">
            <v>13</v>
          </cell>
        </row>
        <row r="1188">
          <cell r="F1188">
            <v>16</v>
          </cell>
        </row>
        <row r="1189">
          <cell r="A1189" t="str">
            <v>zed.bty</v>
          </cell>
        </row>
        <row r="1189">
          <cell r="C1189" t="str">
            <v>12</v>
          </cell>
        </row>
        <row r="1189">
          <cell r="F1189">
            <v>13</v>
          </cell>
        </row>
        <row r="1190">
          <cell r="A1190" t="str">
            <v>zed.bty</v>
          </cell>
        </row>
        <row r="1190">
          <cell r="C1190" t="str">
            <v>11</v>
          </cell>
        </row>
        <row r="1190">
          <cell r="F1190">
            <v>7</v>
          </cell>
        </row>
        <row r="1191">
          <cell r="A1191" t="str">
            <v>zed.bty</v>
          </cell>
        </row>
        <row r="1191">
          <cell r="C1191" t="str">
            <v>10</v>
          </cell>
        </row>
        <row r="1191">
          <cell r="F1191">
            <v>14</v>
          </cell>
        </row>
        <row r="1192">
          <cell r="A1192" t="str">
            <v>zed.bty</v>
          </cell>
        </row>
        <row r="1192">
          <cell r="C1192" t="str">
            <v>09</v>
          </cell>
        </row>
        <row r="1192">
          <cell r="F1192">
            <v>18</v>
          </cell>
        </row>
        <row r="1193">
          <cell r="A1193" t="str">
            <v>zed.bty</v>
          </cell>
        </row>
        <row r="1193">
          <cell r="C1193" t="str">
            <v>08</v>
          </cell>
        </row>
        <row r="1193">
          <cell r="F1193">
            <v>4</v>
          </cell>
        </row>
        <row r="1194">
          <cell r="A1194" t="str">
            <v>zed.bty</v>
          </cell>
        </row>
        <row r="1194">
          <cell r="C1194" t="str">
            <v>07</v>
          </cell>
        </row>
        <row r="1194">
          <cell r="F1194">
            <v>14</v>
          </cell>
        </row>
        <row r="1195">
          <cell r="A1195" t="str">
            <v>zed.bty</v>
          </cell>
        </row>
        <row r="1195">
          <cell r="C1195" t="str">
            <v>06</v>
          </cell>
        </row>
        <row r="1195">
          <cell r="F1195">
            <v>8</v>
          </cell>
        </row>
        <row r="1196">
          <cell r="A1196" t="str">
            <v>zed.bty</v>
          </cell>
        </row>
        <row r="1196">
          <cell r="C1196" t="str">
            <v>05</v>
          </cell>
        </row>
        <row r="1196">
          <cell r="F1196">
            <v>9</v>
          </cell>
        </row>
        <row r="1197">
          <cell r="A1197" t="str">
            <v>zed.bty</v>
          </cell>
        </row>
        <row r="1197">
          <cell r="C1197" t="str">
            <v>04</v>
          </cell>
        </row>
        <row r="1197">
          <cell r="F1197">
            <v>13</v>
          </cell>
        </row>
        <row r="1198">
          <cell r="A1198" t="str">
            <v>zed.bty</v>
          </cell>
        </row>
        <row r="1198">
          <cell r="C1198" t="str">
            <v>03</v>
          </cell>
        </row>
        <row r="1198">
          <cell r="F1198">
            <v>12</v>
          </cell>
        </row>
        <row r="1199">
          <cell r="A1199" t="str">
            <v>zed.bty</v>
          </cell>
        </row>
        <row r="1199">
          <cell r="C1199" t="str">
            <v>02</v>
          </cell>
        </row>
        <row r="1199">
          <cell r="F1199">
            <v>22</v>
          </cell>
        </row>
        <row r="1200">
          <cell r="A1200" t="str">
            <v>zed.bty</v>
          </cell>
        </row>
        <row r="1200">
          <cell r="C1200" t="str">
            <v>01</v>
          </cell>
        </row>
        <row r="1200">
          <cell r="F1200">
            <v>23</v>
          </cell>
        </row>
        <row r="1201">
          <cell r="A1201" t="str">
            <v>zed.bty</v>
          </cell>
        </row>
        <row r="1201">
          <cell r="C1201" t="str">
            <v>00</v>
          </cell>
        </row>
        <row r="1201">
          <cell r="F1201">
            <v>18</v>
          </cell>
        </row>
        <row r="1202">
          <cell r="A1202" t="str">
            <v>dazhi.bty</v>
          </cell>
        </row>
        <row r="1202">
          <cell r="C1202" t="str">
            <v>23</v>
          </cell>
        </row>
        <row r="1202">
          <cell r="F1202">
            <v>0</v>
          </cell>
        </row>
        <row r="1203">
          <cell r="A1203" t="str">
            <v>dazhi.bty</v>
          </cell>
        </row>
        <row r="1203">
          <cell r="C1203" t="str">
            <v>22</v>
          </cell>
        </row>
        <row r="1203">
          <cell r="F1203" t="str">
            <v>--</v>
          </cell>
        </row>
        <row r="1204">
          <cell r="A1204" t="str">
            <v>dazhi.bty</v>
          </cell>
        </row>
        <row r="1204">
          <cell r="C1204" t="str">
            <v>21</v>
          </cell>
        </row>
        <row r="1204">
          <cell r="F1204">
            <v>0</v>
          </cell>
        </row>
        <row r="1205">
          <cell r="A1205" t="str">
            <v>dazhi.bty</v>
          </cell>
        </row>
        <row r="1205">
          <cell r="C1205" t="str">
            <v>20</v>
          </cell>
        </row>
        <row r="1205">
          <cell r="F1205">
            <v>1</v>
          </cell>
        </row>
        <row r="1206">
          <cell r="A1206" t="str">
            <v>dazhi.bty</v>
          </cell>
        </row>
        <row r="1206">
          <cell r="C1206" t="str">
            <v>19</v>
          </cell>
        </row>
        <row r="1206">
          <cell r="F1206" t="str">
            <v>--</v>
          </cell>
        </row>
        <row r="1207">
          <cell r="A1207" t="str">
            <v>dazhi.bty</v>
          </cell>
        </row>
        <row r="1207">
          <cell r="C1207" t="str">
            <v>18</v>
          </cell>
        </row>
        <row r="1207">
          <cell r="F1207">
            <v>0</v>
          </cell>
        </row>
        <row r="1208">
          <cell r="A1208" t="str">
            <v>dazhi.bty</v>
          </cell>
        </row>
        <row r="1208">
          <cell r="C1208" t="str">
            <v>17</v>
          </cell>
        </row>
        <row r="1208">
          <cell r="F1208">
            <v>0</v>
          </cell>
        </row>
        <row r="1209">
          <cell r="A1209" t="str">
            <v>dazhi.bty</v>
          </cell>
        </row>
        <row r="1209">
          <cell r="C1209" t="str">
            <v>16</v>
          </cell>
        </row>
        <row r="1209">
          <cell r="F1209">
            <v>0</v>
          </cell>
        </row>
        <row r="1210">
          <cell r="A1210" t="str">
            <v>dazhi.bty</v>
          </cell>
        </row>
        <row r="1210">
          <cell r="C1210" t="str">
            <v>15</v>
          </cell>
        </row>
        <row r="1210">
          <cell r="F1210">
            <v>0</v>
          </cell>
        </row>
        <row r="1211">
          <cell r="A1211" t="str">
            <v>dazhi.bty</v>
          </cell>
        </row>
        <row r="1211">
          <cell r="C1211" t="str">
            <v>14</v>
          </cell>
        </row>
        <row r="1211">
          <cell r="F1211" t="str">
            <v>--</v>
          </cell>
        </row>
        <row r="1212">
          <cell r="A1212" t="str">
            <v>dazhi.bty</v>
          </cell>
        </row>
        <row r="1212">
          <cell r="C1212" t="str">
            <v>13</v>
          </cell>
        </row>
        <row r="1212">
          <cell r="F1212" t="str">
            <v>--</v>
          </cell>
        </row>
        <row r="1213">
          <cell r="A1213" t="str">
            <v>dazhi.bty</v>
          </cell>
        </row>
        <row r="1213">
          <cell r="C1213" t="str">
            <v>12</v>
          </cell>
        </row>
        <row r="1213">
          <cell r="F1213" t="str">
            <v>--</v>
          </cell>
        </row>
        <row r="1214">
          <cell r="A1214" t="str">
            <v>dazhi.bty</v>
          </cell>
        </row>
        <row r="1214">
          <cell r="C1214" t="str">
            <v>11</v>
          </cell>
        </row>
        <row r="1214">
          <cell r="F1214" t="str">
            <v>--</v>
          </cell>
        </row>
        <row r="1215">
          <cell r="A1215" t="str">
            <v>dazhi.bty</v>
          </cell>
        </row>
        <row r="1215">
          <cell r="C1215" t="str">
            <v>10</v>
          </cell>
        </row>
        <row r="1215">
          <cell r="F1215" t="str">
            <v>--</v>
          </cell>
        </row>
        <row r="1216">
          <cell r="A1216" t="str">
            <v>dazhi.bty</v>
          </cell>
        </row>
        <row r="1216">
          <cell r="C1216" t="str">
            <v>09</v>
          </cell>
        </row>
        <row r="1216">
          <cell r="F1216">
            <v>1</v>
          </cell>
        </row>
        <row r="1217">
          <cell r="A1217" t="str">
            <v>dazhi.bty</v>
          </cell>
        </row>
        <row r="1217">
          <cell r="C1217" t="str">
            <v>08</v>
          </cell>
        </row>
        <row r="1217">
          <cell r="F1217" t="str">
            <v>--</v>
          </cell>
        </row>
        <row r="1218">
          <cell r="A1218" t="str">
            <v>dazhi.bty</v>
          </cell>
        </row>
        <row r="1218">
          <cell r="C1218" t="str">
            <v>07</v>
          </cell>
        </row>
        <row r="1218">
          <cell r="F1218" t="str">
            <v>--</v>
          </cell>
        </row>
        <row r="1219">
          <cell r="A1219" t="str">
            <v>dazhi.bty</v>
          </cell>
        </row>
        <row r="1219">
          <cell r="C1219" t="str">
            <v>06</v>
          </cell>
        </row>
        <row r="1219">
          <cell r="F1219" t="str">
            <v>--</v>
          </cell>
        </row>
        <row r="1220">
          <cell r="A1220" t="str">
            <v>dazhi.bty</v>
          </cell>
        </row>
        <row r="1220">
          <cell r="C1220" t="str">
            <v>05</v>
          </cell>
        </row>
        <row r="1220">
          <cell r="F1220" t="str">
            <v>--</v>
          </cell>
        </row>
        <row r="1221">
          <cell r="A1221" t="str">
            <v>dazhi.bty</v>
          </cell>
        </row>
        <row r="1221">
          <cell r="C1221" t="str">
            <v>04</v>
          </cell>
        </row>
        <row r="1221">
          <cell r="F1221" t="str">
            <v>--</v>
          </cell>
        </row>
        <row r="1222">
          <cell r="A1222" t="str">
            <v>dazhi.bty</v>
          </cell>
        </row>
        <row r="1222">
          <cell r="C1222" t="str">
            <v>03</v>
          </cell>
        </row>
        <row r="1222">
          <cell r="F1222" t="str">
            <v>--</v>
          </cell>
        </row>
        <row r="1223">
          <cell r="A1223" t="str">
            <v>dazhi.bty</v>
          </cell>
        </row>
        <row r="1223">
          <cell r="C1223" t="str">
            <v>02</v>
          </cell>
        </row>
        <row r="1223">
          <cell r="F1223" t="str">
            <v>--</v>
          </cell>
        </row>
        <row r="1224">
          <cell r="A1224" t="str">
            <v>dazhi.bty</v>
          </cell>
        </row>
        <row r="1224">
          <cell r="C1224" t="str">
            <v>01</v>
          </cell>
        </row>
        <row r="1224">
          <cell r="F1224" t="str">
            <v>--</v>
          </cell>
        </row>
        <row r="1225">
          <cell r="A1225" t="str">
            <v>dazhi.bty</v>
          </cell>
        </row>
        <row r="1225">
          <cell r="C1225" t="str">
            <v>00</v>
          </cell>
        </row>
        <row r="1225">
          <cell r="F1225" t="str">
            <v>--</v>
          </cell>
        </row>
        <row r="1226">
          <cell r="A1226" t="str">
            <v>ben.bty</v>
          </cell>
        </row>
        <row r="1226">
          <cell r="C1226" t="str">
            <v>23</v>
          </cell>
        </row>
        <row r="1226">
          <cell r="F1226">
            <v>12</v>
          </cell>
        </row>
        <row r="1227">
          <cell r="A1227" t="str">
            <v>ben.bty</v>
          </cell>
        </row>
        <row r="1227">
          <cell r="C1227" t="str">
            <v>22</v>
          </cell>
        </row>
        <row r="1227">
          <cell r="F1227">
            <v>14</v>
          </cell>
        </row>
        <row r="1228">
          <cell r="A1228" t="str">
            <v>ben.bty</v>
          </cell>
        </row>
        <row r="1228">
          <cell r="C1228" t="str">
            <v>21</v>
          </cell>
        </row>
        <row r="1228">
          <cell r="F1228">
            <v>31</v>
          </cell>
        </row>
        <row r="1229">
          <cell r="A1229" t="str">
            <v>ben.bty</v>
          </cell>
        </row>
        <row r="1229">
          <cell r="C1229" t="str">
            <v>20</v>
          </cell>
        </row>
        <row r="1229">
          <cell r="F1229">
            <v>11</v>
          </cell>
        </row>
        <row r="1230">
          <cell r="A1230" t="str">
            <v>ben.bty</v>
          </cell>
        </row>
        <row r="1230">
          <cell r="C1230" t="str">
            <v>19</v>
          </cell>
        </row>
        <row r="1230">
          <cell r="F1230">
            <v>12</v>
          </cell>
        </row>
        <row r="1231">
          <cell r="A1231" t="str">
            <v>ben.bty</v>
          </cell>
        </row>
        <row r="1231">
          <cell r="C1231" t="str">
            <v>18</v>
          </cell>
        </row>
        <row r="1231">
          <cell r="F1231">
            <v>9</v>
          </cell>
        </row>
        <row r="1232">
          <cell r="A1232" t="str">
            <v>ben.bty</v>
          </cell>
        </row>
        <row r="1232">
          <cell r="C1232" t="str">
            <v>17</v>
          </cell>
        </row>
        <row r="1232">
          <cell r="F1232">
            <v>11</v>
          </cell>
        </row>
        <row r="1233">
          <cell r="A1233" t="str">
            <v>ben.bty</v>
          </cell>
        </row>
        <row r="1233">
          <cell r="C1233" t="str">
            <v>16</v>
          </cell>
        </row>
        <row r="1233">
          <cell r="F1233">
            <v>9</v>
          </cell>
        </row>
        <row r="1234">
          <cell r="A1234" t="str">
            <v>ben.bty</v>
          </cell>
        </row>
        <row r="1234">
          <cell r="C1234" t="str">
            <v>15</v>
          </cell>
        </row>
        <row r="1234">
          <cell r="F1234">
            <v>8</v>
          </cell>
        </row>
        <row r="1235">
          <cell r="A1235" t="str">
            <v>ben.bty</v>
          </cell>
        </row>
        <row r="1235">
          <cell r="C1235" t="str">
            <v>14</v>
          </cell>
        </row>
        <row r="1235">
          <cell r="F1235">
            <v>19</v>
          </cell>
        </row>
        <row r="1236">
          <cell r="A1236" t="str">
            <v>ben.bty</v>
          </cell>
        </row>
        <row r="1236">
          <cell r="C1236" t="str">
            <v>13</v>
          </cell>
        </row>
        <row r="1236">
          <cell r="F1236">
            <v>10</v>
          </cell>
        </row>
        <row r="1237">
          <cell r="A1237" t="str">
            <v>ben.bty</v>
          </cell>
        </row>
        <row r="1237">
          <cell r="C1237" t="str">
            <v>12</v>
          </cell>
        </row>
        <row r="1237">
          <cell r="F1237">
            <v>18</v>
          </cell>
        </row>
        <row r="1238">
          <cell r="A1238" t="str">
            <v>ben.bty</v>
          </cell>
        </row>
        <row r="1238">
          <cell r="C1238" t="str">
            <v>11</v>
          </cell>
        </row>
        <row r="1238">
          <cell r="F1238">
            <v>13</v>
          </cell>
        </row>
        <row r="1239">
          <cell r="A1239" t="str">
            <v>ben.bty</v>
          </cell>
        </row>
        <row r="1239">
          <cell r="C1239" t="str">
            <v>10</v>
          </cell>
        </row>
        <row r="1239">
          <cell r="F1239">
            <v>10</v>
          </cell>
        </row>
        <row r="1240">
          <cell r="A1240" t="str">
            <v>ben.bty</v>
          </cell>
        </row>
        <row r="1240">
          <cell r="C1240" t="str">
            <v>09</v>
          </cell>
        </row>
        <row r="1240">
          <cell r="F1240">
            <v>19</v>
          </cell>
        </row>
        <row r="1241">
          <cell r="A1241" t="str">
            <v>ben.bty</v>
          </cell>
        </row>
        <row r="1241">
          <cell r="C1241" t="str">
            <v>08</v>
          </cell>
        </row>
        <row r="1241">
          <cell r="F1241">
            <v>7</v>
          </cell>
        </row>
        <row r="1242">
          <cell r="A1242" t="str">
            <v>ben.bty</v>
          </cell>
        </row>
        <row r="1242">
          <cell r="C1242" t="str">
            <v>07</v>
          </cell>
        </row>
        <row r="1242">
          <cell r="F1242">
            <v>13</v>
          </cell>
        </row>
        <row r="1243">
          <cell r="A1243" t="str">
            <v>ben.bty</v>
          </cell>
        </row>
        <row r="1243">
          <cell r="C1243" t="str">
            <v>06</v>
          </cell>
        </row>
        <row r="1243">
          <cell r="F1243">
            <v>4</v>
          </cell>
        </row>
        <row r="1244">
          <cell r="A1244" t="str">
            <v>ben.bty</v>
          </cell>
        </row>
        <row r="1244">
          <cell r="C1244" t="str">
            <v>05</v>
          </cell>
        </row>
        <row r="1244">
          <cell r="F1244">
            <v>5</v>
          </cell>
        </row>
        <row r="1245">
          <cell r="A1245" t="str">
            <v>ben.bty</v>
          </cell>
        </row>
        <row r="1245">
          <cell r="C1245" t="str">
            <v>04</v>
          </cell>
        </row>
        <row r="1245">
          <cell r="F1245">
            <v>9</v>
          </cell>
        </row>
        <row r="1246">
          <cell r="A1246" t="str">
            <v>ben.bty</v>
          </cell>
        </row>
        <row r="1246">
          <cell r="C1246" t="str">
            <v>03</v>
          </cell>
        </row>
        <row r="1246">
          <cell r="F1246">
            <v>8</v>
          </cell>
        </row>
        <row r="1247">
          <cell r="A1247" t="str">
            <v>ben.bty</v>
          </cell>
        </row>
        <row r="1247">
          <cell r="C1247" t="str">
            <v>02</v>
          </cell>
        </row>
        <row r="1247">
          <cell r="F1247">
            <v>10</v>
          </cell>
        </row>
        <row r="1248">
          <cell r="A1248" t="str">
            <v>ben.bty</v>
          </cell>
        </row>
        <row r="1248">
          <cell r="C1248" t="str">
            <v>01</v>
          </cell>
        </row>
        <row r="1248">
          <cell r="F1248">
            <v>16</v>
          </cell>
        </row>
        <row r="1249">
          <cell r="A1249" t="str">
            <v>ben.bty</v>
          </cell>
        </row>
        <row r="1249">
          <cell r="C1249" t="str">
            <v>00</v>
          </cell>
        </row>
        <row r="1249">
          <cell r="F1249">
            <v>20</v>
          </cell>
        </row>
        <row r="1250">
          <cell r="A1250" t="str">
            <v>bike.bty</v>
          </cell>
        </row>
        <row r="1250">
          <cell r="C1250" t="str">
            <v>23</v>
          </cell>
        </row>
        <row r="1250">
          <cell r="F1250" t="str">
            <v>--</v>
          </cell>
        </row>
        <row r="1251">
          <cell r="A1251" t="str">
            <v>bike.bty</v>
          </cell>
        </row>
        <row r="1251">
          <cell r="C1251" t="str">
            <v>22</v>
          </cell>
        </row>
        <row r="1251">
          <cell r="F1251" t="str">
            <v>--</v>
          </cell>
        </row>
        <row r="1252">
          <cell r="A1252" t="str">
            <v>bike.bty</v>
          </cell>
        </row>
        <row r="1252">
          <cell r="C1252" t="str">
            <v>21</v>
          </cell>
        </row>
        <row r="1252">
          <cell r="F1252" t="str">
            <v>--</v>
          </cell>
        </row>
        <row r="1253">
          <cell r="A1253" t="str">
            <v>bike.bty</v>
          </cell>
        </row>
        <row r="1253">
          <cell r="C1253" t="str">
            <v>20</v>
          </cell>
        </row>
        <row r="1253">
          <cell r="F1253" t="str">
            <v>--</v>
          </cell>
        </row>
        <row r="1254">
          <cell r="A1254" t="str">
            <v>bike.bty</v>
          </cell>
        </row>
        <row r="1254">
          <cell r="C1254" t="str">
            <v>19</v>
          </cell>
        </row>
        <row r="1254">
          <cell r="F1254" t="str">
            <v>--</v>
          </cell>
        </row>
        <row r="1255">
          <cell r="A1255" t="str">
            <v>bike.bty</v>
          </cell>
        </row>
        <row r="1255">
          <cell r="C1255" t="str">
            <v>18</v>
          </cell>
        </row>
        <row r="1255">
          <cell r="F1255" t="str">
            <v>--</v>
          </cell>
        </row>
        <row r="1256">
          <cell r="A1256" t="str">
            <v>bike.bty</v>
          </cell>
        </row>
        <row r="1256">
          <cell r="C1256" t="str">
            <v>17</v>
          </cell>
        </row>
        <row r="1256">
          <cell r="F1256" t="str">
            <v>--</v>
          </cell>
        </row>
        <row r="1257">
          <cell r="A1257" t="str">
            <v>bike.bty</v>
          </cell>
        </row>
        <row r="1257">
          <cell r="C1257" t="str">
            <v>16</v>
          </cell>
        </row>
        <row r="1257">
          <cell r="F1257">
            <v>1</v>
          </cell>
        </row>
        <row r="1258">
          <cell r="A1258" t="str">
            <v>bike.bty</v>
          </cell>
        </row>
        <row r="1258">
          <cell r="C1258" t="str">
            <v>15</v>
          </cell>
        </row>
        <row r="1258">
          <cell r="F1258" t="str">
            <v>--</v>
          </cell>
        </row>
        <row r="1259">
          <cell r="A1259" t="str">
            <v>bike.bty</v>
          </cell>
        </row>
        <row r="1259">
          <cell r="C1259" t="str">
            <v>14</v>
          </cell>
        </row>
        <row r="1259">
          <cell r="F1259" t="str">
            <v>--</v>
          </cell>
        </row>
        <row r="1260">
          <cell r="A1260" t="str">
            <v>bike.bty</v>
          </cell>
        </row>
        <row r="1260">
          <cell r="C1260" t="str">
            <v>13</v>
          </cell>
        </row>
        <row r="1260">
          <cell r="F1260" t="str">
            <v>--</v>
          </cell>
        </row>
        <row r="1261">
          <cell r="A1261" t="str">
            <v>bike.bty</v>
          </cell>
        </row>
        <row r="1261">
          <cell r="C1261" t="str">
            <v>12</v>
          </cell>
        </row>
        <row r="1261">
          <cell r="F1261" t="str">
            <v>--</v>
          </cell>
        </row>
        <row r="1262">
          <cell r="A1262" t="str">
            <v>bike.bty</v>
          </cell>
        </row>
        <row r="1262">
          <cell r="C1262" t="str">
            <v>11</v>
          </cell>
        </row>
        <row r="1262">
          <cell r="F1262" t="str">
            <v>--</v>
          </cell>
        </row>
        <row r="1263">
          <cell r="A1263" t="str">
            <v>bike.bty</v>
          </cell>
        </row>
        <row r="1263">
          <cell r="C1263" t="str">
            <v>10</v>
          </cell>
        </row>
        <row r="1263">
          <cell r="F1263" t="str">
            <v>--</v>
          </cell>
        </row>
        <row r="1264">
          <cell r="A1264" t="str">
            <v>bike.bty</v>
          </cell>
        </row>
        <row r="1264">
          <cell r="C1264" t="str">
            <v>09</v>
          </cell>
        </row>
        <row r="1264">
          <cell r="F1264" t="str">
            <v>--</v>
          </cell>
        </row>
        <row r="1265">
          <cell r="A1265" t="str">
            <v>bike.bty</v>
          </cell>
        </row>
        <row r="1265">
          <cell r="C1265" t="str">
            <v>08</v>
          </cell>
        </row>
        <row r="1265">
          <cell r="F1265" t="str">
            <v>--</v>
          </cell>
        </row>
        <row r="1266">
          <cell r="A1266" t="str">
            <v>bike.bty</v>
          </cell>
        </row>
        <row r="1266">
          <cell r="C1266" t="str">
            <v>07</v>
          </cell>
        </row>
        <row r="1266">
          <cell r="F1266" t="str">
            <v>--</v>
          </cell>
        </row>
        <row r="1267">
          <cell r="A1267" t="str">
            <v>bike.bty</v>
          </cell>
        </row>
        <row r="1267">
          <cell r="C1267" t="str">
            <v>06</v>
          </cell>
        </row>
        <row r="1267">
          <cell r="F1267" t="str">
            <v>--</v>
          </cell>
        </row>
        <row r="1268">
          <cell r="A1268" t="str">
            <v>bike.bty</v>
          </cell>
        </row>
        <row r="1268">
          <cell r="C1268" t="str">
            <v>05</v>
          </cell>
        </row>
        <row r="1268">
          <cell r="F1268" t="str">
            <v>--</v>
          </cell>
        </row>
        <row r="1269">
          <cell r="A1269" t="str">
            <v>bike.bty</v>
          </cell>
        </row>
        <row r="1269">
          <cell r="C1269" t="str">
            <v>04</v>
          </cell>
        </row>
        <row r="1269">
          <cell r="F1269" t="str">
            <v>--</v>
          </cell>
        </row>
        <row r="1270">
          <cell r="A1270" t="str">
            <v>bike.bty</v>
          </cell>
        </row>
        <row r="1270">
          <cell r="C1270" t="str">
            <v>03</v>
          </cell>
        </row>
        <row r="1270">
          <cell r="F1270" t="str">
            <v>--</v>
          </cell>
        </row>
        <row r="1271">
          <cell r="A1271" t="str">
            <v>bike.bty</v>
          </cell>
        </row>
        <row r="1271">
          <cell r="C1271" t="str">
            <v>02</v>
          </cell>
        </row>
        <row r="1271">
          <cell r="F1271" t="str">
            <v>--</v>
          </cell>
        </row>
        <row r="1272">
          <cell r="A1272" t="str">
            <v>bike.bty</v>
          </cell>
        </row>
        <row r="1272">
          <cell r="C1272" t="str">
            <v>01</v>
          </cell>
        </row>
        <row r="1272">
          <cell r="F1272" t="str">
            <v>--</v>
          </cell>
        </row>
        <row r="1273">
          <cell r="A1273" t="str">
            <v>bike.bty</v>
          </cell>
        </row>
        <row r="1273">
          <cell r="C1273" t="str">
            <v>00</v>
          </cell>
        </row>
        <row r="1273">
          <cell r="F1273" t="str">
            <v>--</v>
          </cell>
        </row>
        <row r="1274">
          <cell r="A1274" t="str">
            <v>duobo.bty</v>
          </cell>
        </row>
        <row r="1274">
          <cell r="C1274" t="str">
            <v>23</v>
          </cell>
        </row>
        <row r="1274">
          <cell r="F1274">
            <v>2</v>
          </cell>
        </row>
        <row r="1275">
          <cell r="A1275" t="str">
            <v>duobo.bty</v>
          </cell>
        </row>
        <row r="1275">
          <cell r="C1275" t="str">
            <v>22</v>
          </cell>
        </row>
        <row r="1275">
          <cell r="F1275">
            <v>1</v>
          </cell>
        </row>
        <row r="1276">
          <cell r="A1276" t="str">
            <v>duobo.bty</v>
          </cell>
        </row>
        <row r="1276">
          <cell r="C1276" t="str">
            <v>21</v>
          </cell>
        </row>
        <row r="1276">
          <cell r="F1276" t="str">
            <v>--</v>
          </cell>
        </row>
        <row r="1277">
          <cell r="A1277" t="str">
            <v>duobo.bty</v>
          </cell>
        </row>
        <row r="1277">
          <cell r="C1277" t="str">
            <v>20</v>
          </cell>
        </row>
        <row r="1277">
          <cell r="F1277">
            <v>3</v>
          </cell>
        </row>
        <row r="1278">
          <cell r="A1278" t="str">
            <v>duobo.bty</v>
          </cell>
        </row>
        <row r="1278">
          <cell r="C1278" t="str">
            <v>19</v>
          </cell>
        </row>
        <row r="1278">
          <cell r="F1278">
            <v>2</v>
          </cell>
        </row>
        <row r="1279">
          <cell r="A1279" t="str">
            <v>duobo.bty</v>
          </cell>
        </row>
        <row r="1279">
          <cell r="C1279" t="str">
            <v>18</v>
          </cell>
        </row>
        <row r="1279">
          <cell r="F1279">
            <v>2</v>
          </cell>
        </row>
        <row r="1280">
          <cell r="A1280" t="str">
            <v>duobo.bty</v>
          </cell>
        </row>
        <row r="1280">
          <cell r="C1280" t="str">
            <v>17</v>
          </cell>
        </row>
        <row r="1280">
          <cell r="F1280">
            <v>1</v>
          </cell>
        </row>
        <row r="1281">
          <cell r="A1281" t="str">
            <v>duobo.bty</v>
          </cell>
        </row>
        <row r="1281">
          <cell r="C1281" t="str">
            <v>16</v>
          </cell>
        </row>
        <row r="1281">
          <cell r="F1281">
            <v>4</v>
          </cell>
        </row>
        <row r="1282">
          <cell r="A1282" t="str">
            <v>duobo.bty</v>
          </cell>
        </row>
        <row r="1282">
          <cell r="C1282" t="str">
            <v>15</v>
          </cell>
        </row>
        <row r="1282">
          <cell r="F1282">
            <v>2</v>
          </cell>
        </row>
        <row r="1283">
          <cell r="A1283" t="str">
            <v>duobo.bty</v>
          </cell>
        </row>
        <row r="1283">
          <cell r="C1283" t="str">
            <v>14</v>
          </cell>
        </row>
        <row r="1283">
          <cell r="F1283">
            <v>2</v>
          </cell>
        </row>
        <row r="1284">
          <cell r="A1284" t="str">
            <v>duobo.bty</v>
          </cell>
        </row>
        <row r="1284">
          <cell r="C1284" t="str">
            <v>13</v>
          </cell>
        </row>
        <row r="1284">
          <cell r="F1284">
            <v>4</v>
          </cell>
        </row>
        <row r="1285">
          <cell r="A1285" t="str">
            <v>duobo.bty</v>
          </cell>
        </row>
        <row r="1285">
          <cell r="C1285" t="str">
            <v>12</v>
          </cell>
        </row>
        <row r="1285">
          <cell r="F1285">
            <v>1</v>
          </cell>
        </row>
        <row r="1286">
          <cell r="A1286" t="str">
            <v>duobo.bty</v>
          </cell>
        </row>
        <row r="1286">
          <cell r="C1286" t="str">
            <v>11</v>
          </cell>
        </row>
        <row r="1286">
          <cell r="F1286">
            <v>2</v>
          </cell>
        </row>
        <row r="1287">
          <cell r="A1287" t="str">
            <v>duobo.bty</v>
          </cell>
        </row>
        <row r="1287">
          <cell r="C1287" t="str">
            <v>10</v>
          </cell>
        </row>
        <row r="1287">
          <cell r="F1287">
            <v>2</v>
          </cell>
        </row>
        <row r="1288">
          <cell r="A1288" t="str">
            <v>duobo.bty</v>
          </cell>
        </row>
        <row r="1288">
          <cell r="C1288" t="str">
            <v>09</v>
          </cell>
        </row>
        <row r="1288">
          <cell r="F1288">
            <v>3</v>
          </cell>
        </row>
        <row r="1289">
          <cell r="A1289" t="str">
            <v>duobo.bty</v>
          </cell>
        </row>
        <row r="1289">
          <cell r="C1289" t="str">
            <v>08</v>
          </cell>
        </row>
        <row r="1289">
          <cell r="F1289">
            <v>1</v>
          </cell>
        </row>
        <row r="1290">
          <cell r="A1290" t="str">
            <v>duobo.bty</v>
          </cell>
        </row>
        <row r="1290">
          <cell r="C1290" t="str">
            <v>07</v>
          </cell>
        </row>
        <row r="1290">
          <cell r="F1290">
            <v>1</v>
          </cell>
        </row>
        <row r="1291">
          <cell r="A1291" t="str">
            <v>duobo.bty</v>
          </cell>
        </row>
        <row r="1291">
          <cell r="C1291" t="str">
            <v>06</v>
          </cell>
        </row>
        <row r="1291">
          <cell r="F1291">
            <v>2</v>
          </cell>
        </row>
        <row r="1292">
          <cell r="A1292" t="str">
            <v>duobo.bty</v>
          </cell>
        </row>
        <row r="1292">
          <cell r="C1292" t="str">
            <v>05</v>
          </cell>
        </row>
        <row r="1292">
          <cell r="F1292" t="str">
            <v>--</v>
          </cell>
        </row>
        <row r="1293">
          <cell r="A1293" t="str">
            <v>duobo.bty</v>
          </cell>
        </row>
        <row r="1293">
          <cell r="C1293" t="str">
            <v>04</v>
          </cell>
        </row>
        <row r="1293">
          <cell r="F1293" t="str">
            <v>--</v>
          </cell>
        </row>
        <row r="1294">
          <cell r="A1294" t="str">
            <v>duobo.bty</v>
          </cell>
        </row>
        <row r="1294">
          <cell r="C1294" t="str">
            <v>03</v>
          </cell>
        </row>
        <row r="1294">
          <cell r="F1294" t="str">
            <v>--</v>
          </cell>
        </row>
        <row r="1295">
          <cell r="A1295" t="str">
            <v>duobo.bty</v>
          </cell>
        </row>
        <row r="1295">
          <cell r="C1295" t="str">
            <v>02</v>
          </cell>
        </row>
        <row r="1295">
          <cell r="F1295" t="str">
            <v>--</v>
          </cell>
        </row>
        <row r="1296">
          <cell r="A1296" t="str">
            <v>duobo.bty</v>
          </cell>
        </row>
        <row r="1296">
          <cell r="C1296" t="str">
            <v>01</v>
          </cell>
        </row>
        <row r="1296">
          <cell r="F1296">
            <v>1</v>
          </cell>
        </row>
        <row r="1297">
          <cell r="A1297" t="str">
            <v>duobo.bty</v>
          </cell>
        </row>
        <row r="1297">
          <cell r="C1297" t="str">
            <v>00</v>
          </cell>
        </row>
        <row r="1297">
          <cell r="F1297">
            <v>1</v>
          </cell>
        </row>
        <row r="1298">
          <cell r="A1298" t="str">
            <v>alen.bty</v>
          </cell>
        </row>
        <row r="1298">
          <cell r="C1298" t="str">
            <v>23</v>
          </cell>
        </row>
        <row r="1298">
          <cell r="F1298" t="str">
            <v>--</v>
          </cell>
        </row>
        <row r="1299">
          <cell r="A1299" t="str">
            <v>alen.bty</v>
          </cell>
        </row>
        <row r="1299">
          <cell r="C1299" t="str">
            <v>22</v>
          </cell>
        </row>
        <row r="1299">
          <cell r="F1299" t="str">
            <v>--</v>
          </cell>
        </row>
        <row r="1300">
          <cell r="A1300" t="str">
            <v>alen.bty</v>
          </cell>
        </row>
        <row r="1300">
          <cell r="C1300" t="str">
            <v>21</v>
          </cell>
        </row>
        <row r="1300">
          <cell r="F1300" t="str">
            <v>--</v>
          </cell>
        </row>
        <row r="1301">
          <cell r="A1301" t="str">
            <v>alen.bty</v>
          </cell>
        </row>
        <row r="1301">
          <cell r="C1301" t="str">
            <v>20</v>
          </cell>
        </row>
        <row r="1301">
          <cell r="F1301" t="str">
            <v>--</v>
          </cell>
        </row>
        <row r="1302">
          <cell r="A1302" t="str">
            <v>alen.bty</v>
          </cell>
        </row>
        <row r="1302">
          <cell r="C1302" t="str">
            <v>19</v>
          </cell>
        </row>
        <row r="1302">
          <cell r="F1302" t="str">
            <v>--</v>
          </cell>
        </row>
        <row r="1303">
          <cell r="A1303" t="str">
            <v>alen.bty</v>
          </cell>
        </row>
        <row r="1303">
          <cell r="C1303" t="str">
            <v>18</v>
          </cell>
        </row>
        <row r="1303">
          <cell r="F1303" t="str">
            <v>--</v>
          </cell>
        </row>
        <row r="1304">
          <cell r="A1304" t="str">
            <v>alen.bty</v>
          </cell>
        </row>
        <row r="1304">
          <cell r="C1304" t="str">
            <v>17</v>
          </cell>
        </row>
        <row r="1304">
          <cell r="F1304" t="str">
            <v>--</v>
          </cell>
        </row>
        <row r="1305">
          <cell r="A1305" t="str">
            <v>alen.bty</v>
          </cell>
        </row>
        <row r="1305">
          <cell r="C1305" t="str">
            <v>16</v>
          </cell>
        </row>
        <row r="1305">
          <cell r="F1305" t="str">
            <v>--</v>
          </cell>
        </row>
        <row r="1306">
          <cell r="A1306" t="str">
            <v>alen.bty</v>
          </cell>
        </row>
        <row r="1306">
          <cell r="C1306" t="str">
            <v>15</v>
          </cell>
        </row>
        <row r="1306">
          <cell r="F1306" t="str">
            <v>--</v>
          </cell>
        </row>
        <row r="1307">
          <cell r="A1307" t="str">
            <v>alen.bty</v>
          </cell>
        </row>
        <row r="1307">
          <cell r="C1307" t="str">
            <v>14</v>
          </cell>
        </row>
        <row r="1307">
          <cell r="F1307" t="str">
            <v>--</v>
          </cell>
        </row>
        <row r="1308">
          <cell r="A1308" t="str">
            <v>alen.bty</v>
          </cell>
        </row>
        <row r="1308">
          <cell r="C1308" t="str">
            <v>13</v>
          </cell>
        </row>
        <row r="1308">
          <cell r="F1308" t="str">
            <v>--</v>
          </cell>
        </row>
        <row r="1309">
          <cell r="A1309" t="str">
            <v>alen.bty</v>
          </cell>
        </row>
        <row r="1309">
          <cell r="C1309" t="str">
            <v>12</v>
          </cell>
        </row>
        <row r="1309">
          <cell r="F1309" t="str">
            <v>--</v>
          </cell>
        </row>
        <row r="1310">
          <cell r="A1310" t="str">
            <v>alen.bty</v>
          </cell>
        </row>
        <row r="1310">
          <cell r="C1310" t="str">
            <v>11</v>
          </cell>
        </row>
        <row r="1310">
          <cell r="F1310" t="str">
            <v>--</v>
          </cell>
        </row>
        <row r="1311">
          <cell r="A1311" t="str">
            <v>alen.bty</v>
          </cell>
        </row>
        <row r="1311">
          <cell r="C1311" t="str">
            <v>10</v>
          </cell>
        </row>
        <row r="1311">
          <cell r="F1311" t="str">
            <v>--</v>
          </cell>
        </row>
        <row r="1312">
          <cell r="A1312" t="str">
            <v>alen.bty</v>
          </cell>
        </row>
        <row r="1312">
          <cell r="C1312" t="str">
            <v>09</v>
          </cell>
        </row>
        <row r="1312">
          <cell r="F1312" t="str">
            <v>--</v>
          </cell>
        </row>
        <row r="1313">
          <cell r="A1313" t="str">
            <v>alen.bty</v>
          </cell>
        </row>
        <row r="1313">
          <cell r="C1313" t="str">
            <v>08</v>
          </cell>
        </row>
        <row r="1313">
          <cell r="F1313" t="str">
            <v>--</v>
          </cell>
        </row>
        <row r="1314">
          <cell r="A1314" t="str">
            <v>alen.bty</v>
          </cell>
        </row>
        <row r="1314">
          <cell r="C1314" t="str">
            <v>07</v>
          </cell>
        </row>
        <row r="1314">
          <cell r="F1314" t="str">
            <v>--</v>
          </cell>
        </row>
        <row r="1315">
          <cell r="A1315" t="str">
            <v>alen.bty</v>
          </cell>
        </row>
        <row r="1315">
          <cell r="C1315" t="str">
            <v>06</v>
          </cell>
        </row>
        <row r="1315">
          <cell r="F1315" t="str">
            <v>--</v>
          </cell>
        </row>
        <row r="1316">
          <cell r="A1316" t="str">
            <v>alen.bty</v>
          </cell>
        </row>
        <row r="1316">
          <cell r="C1316" t="str">
            <v>05</v>
          </cell>
        </row>
        <row r="1316">
          <cell r="F1316" t="str">
            <v>--</v>
          </cell>
        </row>
        <row r="1317">
          <cell r="A1317" t="str">
            <v>alen.bty</v>
          </cell>
        </row>
        <row r="1317">
          <cell r="C1317" t="str">
            <v>04</v>
          </cell>
        </row>
        <row r="1317">
          <cell r="F1317" t="str">
            <v>--</v>
          </cell>
        </row>
        <row r="1318">
          <cell r="A1318" t="str">
            <v>alen.bty</v>
          </cell>
        </row>
        <row r="1318">
          <cell r="C1318" t="str">
            <v>03</v>
          </cell>
        </row>
        <row r="1318">
          <cell r="F1318" t="str">
            <v>--</v>
          </cell>
        </row>
        <row r="1319">
          <cell r="A1319" t="str">
            <v>alen.bty</v>
          </cell>
        </row>
        <row r="1319">
          <cell r="C1319" t="str">
            <v>02</v>
          </cell>
        </row>
        <row r="1319">
          <cell r="F1319" t="str">
            <v>--</v>
          </cell>
        </row>
        <row r="1320">
          <cell r="A1320" t="str">
            <v>alen.bty</v>
          </cell>
        </row>
        <row r="1320">
          <cell r="C1320" t="str">
            <v>01</v>
          </cell>
        </row>
        <row r="1320">
          <cell r="F1320" t="str">
            <v>--</v>
          </cell>
        </row>
        <row r="1321">
          <cell r="A1321" t="str">
            <v>alen.bty</v>
          </cell>
        </row>
        <row r="1321">
          <cell r="C1321" t="str">
            <v>00</v>
          </cell>
        </row>
        <row r="1321">
          <cell r="F1321" t="str">
            <v>--</v>
          </cell>
        </row>
        <row r="1322">
          <cell r="A1322" t="str">
            <v>peter.bty</v>
          </cell>
        </row>
        <row r="1322">
          <cell r="C1322" t="str">
            <v>23</v>
          </cell>
        </row>
        <row r="1322">
          <cell r="F1322">
            <v>7</v>
          </cell>
        </row>
        <row r="1323">
          <cell r="A1323" t="str">
            <v>peter.bty</v>
          </cell>
        </row>
        <row r="1323">
          <cell r="C1323" t="str">
            <v>22</v>
          </cell>
        </row>
        <row r="1323">
          <cell r="F1323">
            <v>9</v>
          </cell>
        </row>
        <row r="1324">
          <cell r="A1324" t="str">
            <v>peter.bty</v>
          </cell>
        </row>
        <row r="1324">
          <cell r="C1324" t="str">
            <v>21</v>
          </cell>
        </row>
        <row r="1324">
          <cell r="F1324">
            <v>8</v>
          </cell>
        </row>
        <row r="1325">
          <cell r="A1325" t="str">
            <v>peter.bty</v>
          </cell>
        </row>
        <row r="1325">
          <cell r="C1325" t="str">
            <v>20</v>
          </cell>
        </row>
        <row r="1325">
          <cell r="F1325">
            <v>5</v>
          </cell>
        </row>
        <row r="1326">
          <cell r="A1326" t="str">
            <v>peter.bty</v>
          </cell>
        </row>
        <row r="1326">
          <cell r="C1326" t="str">
            <v>19</v>
          </cell>
        </row>
        <row r="1326">
          <cell r="F1326">
            <v>10</v>
          </cell>
        </row>
        <row r="1327">
          <cell r="A1327" t="str">
            <v>peter.bty</v>
          </cell>
        </row>
        <row r="1327">
          <cell r="C1327" t="str">
            <v>18</v>
          </cell>
        </row>
        <row r="1327">
          <cell r="F1327">
            <v>13</v>
          </cell>
        </row>
        <row r="1328">
          <cell r="A1328" t="str">
            <v>peter.bty</v>
          </cell>
        </row>
        <row r="1328">
          <cell r="C1328" t="str">
            <v>17</v>
          </cell>
        </row>
        <row r="1328">
          <cell r="F1328">
            <v>6</v>
          </cell>
        </row>
        <row r="1329">
          <cell r="A1329" t="str">
            <v>peter.bty</v>
          </cell>
        </row>
        <row r="1329">
          <cell r="C1329" t="str">
            <v>16</v>
          </cell>
        </row>
        <row r="1329">
          <cell r="F1329">
            <v>6</v>
          </cell>
        </row>
        <row r="1330">
          <cell r="A1330" t="str">
            <v>peter.bty</v>
          </cell>
        </row>
        <row r="1330">
          <cell r="C1330" t="str">
            <v>15</v>
          </cell>
        </row>
        <row r="1330">
          <cell r="F1330">
            <v>7</v>
          </cell>
        </row>
        <row r="1331">
          <cell r="A1331" t="str">
            <v>peter.bty</v>
          </cell>
        </row>
        <row r="1331">
          <cell r="C1331" t="str">
            <v>14</v>
          </cell>
        </row>
        <row r="1331">
          <cell r="F1331">
            <v>4</v>
          </cell>
        </row>
        <row r="1332">
          <cell r="A1332" t="str">
            <v>peter.bty</v>
          </cell>
        </row>
        <row r="1332">
          <cell r="C1332" t="str">
            <v>13</v>
          </cell>
        </row>
        <row r="1332">
          <cell r="F1332">
            <v>9</v>
          </cell>
        </row>
        <row r="1333">
          <cell r="A1333" t="str">
            <v>peter.bty</v>
          </cell>
        </row>
        <row r="1333">
          <cell r="C1333" t="str">
            <v>12</v>
          </cell>
        </row>
        <row r="1333">
          <cell r="F1333">
            <v>3</v>
          </cell>
        </row>
        <row r="1334">
          <cell r="A1334" t="str">
            <v>peter.bty</v>
          </cell>
        </row>
        <row r="1334">
          <cell r="C1334" t="str">
            <v>11</v>
          </cell>
        </row>
        <row r="1334">
          <cell r="F1334">
            <v>9</v>
          </cell>
        </row>
        <row r="1335">
          <cell r="A1335" t="str">
            <v>peter.bty</v>
          </cell>
        </row>
        <row r="1335">
          <cell r="C1335" t="str">
            <v>10</v>
          </cell>
        </row>
        <row r="1335">
          <cell r="F1335">
            <v>7</v>
          </cell>
        </row>
        <row r="1336">
          <cell r="A1336" t="str">
            <v>peter.bty</v>
          </cell>
        </row>
        <row r="1336">
          <cell r="C1336" t="str">
            <v>09</v>
          </cell>
        </row>
        <row r="1336">
          <cell r="F1336">
            <v>12</v>
          </cell>
        </row>
        <row r="1337">
          <cell r="A1337" t="str">
            <v>peter.bty</v>
          </cell>
        </row>
        <row r="1337">
          <cell r="C1337" t="str">
            <v>08</v>
          </cell>
        </row>
        <row r="1337">
          <cell r="F1337">
            <v>7</v>
          </cell>
        </row>
        <row r="1338">
          <cell r="A1338" t="str">
            <v>peter.bty</v>
          </cell>
        </row>
        <row r="1338">
          <cell r="C1338" t="str">
            <v>07</v>
          </cell>
        </row>
        <row r="1338">
          <cell r="F1338">
            <v>13</v>
          </cell>
        </row>
        <row r="1339">
          <cell r="A1339" t="str">
            <v>peter.bty</v>
          </cell>
        </row>
        <row r="1339">
          <cell r="C1339" t="str">
            <v>06</v>
          </cell>
        </row>
        <row r="1339">
          <cell r="F1339">
            <v>4</v>
          </cell>
        </row>
        <row r="1340">
          <cell r="A1340" t="str">
            <v>peter.bty</v>
          </cell>
        </row>
        <row r="1340">
          <cell r="C1340" t="str">
            <v>05</v>
          </cell>
        </row>
        <row r="1340">
          <cell r="F1340">
            <v>3</v>
          </cell>
        </row>
        <row r="1341">
          <cell r="A1341" t="str">
            <v>peter.bty</v>
          </cell>
        </row>
        <row r="1341">
          <cell r="C1341" t="str">
            <v>04</v>
          </cell>
        </row>
        <row r="1341">
          <cell r="F1341">
            <v>3</v>
          </cell>
        </row>
        <row r="1342">
          <cell r="A1342" t="str">
            <v>peter.bty</v>
          </cell>
        </row>
        <row r="1342">
          <cell r="C1342" t="str">
            <v>03</v>
          </cell>
        </row>
        <row r="1342">
          <cell r="F1342">
            <v>4</v>
          </cell>
        </row>
        <row r="1343">
          <cell r="A1343" t="str">
            <v>peter.bty</v>
          </cell>
        </row>
        <row r="1343">
          <cell r="C1343" t="str">
            <v>02</v>
          </cell>
        </row>
        <row r="1343">
          <cell r="F1343">
            <v>7</v>
          </cell>
        </row>
        <row r="1344">
          <cell r="A1344" t="str">
            <v>peter.bty</v>
          </cell>
        </row>
        <row r="1344">
          <cell r="C1344" t="str">
            <v>01</v>
          </cell>
        </row>
        <row r="1344">
          <cell r="F1344">
            <v>16</v>
          </cell>
        </row>
        <row r="1345">
          <cell r="A1345" t="str">
            <v>peter.bty</v>
          </cell>
        </row>
        <row r="1345">
          <cell r="C1345" t="str">
            <v>00</v>
          </cell>
        </row>
        <row r="1345">
          <cell r="F1345">
            <v>11</v>
          </cell>
        </row>
        <row r="1346">
          <cell r="A1346" t="str">
            <v>martin.pd</v>
          </cell>
        </row>
        <row r="1346">
          <cell r="C1346" t="str">
            <v>23</v>
          </cell>
        </row>
        <row r="1346">
          <cell r="F1346" t="str">
            <v>--</v>
          </cell>
        </row>
        <row r="1347">
          <cell r="A1347" t="str">
            <v>martin.pd</v>
          </cell>
        </row>
        <row r="1347">
          <cell r="C1347" t="str">
            <v>22</v>
          </cell>
        </row>
        <row r="1347">
          <cell r="F1347" t="str">
            <v>--</v>
          </cell>
        </row>
        <row r="1348">
          <cell r="A1348" t="str">
            <v>martin.pd</v>
          </cell>
        </row>
        <row r="1348">
          <cell r="C1348" t="str">
            <v>21</v>
          </cell>
        </row>
        <row r="1348">
          <cell r="F1348" t="str">
            <v>--</v>
          </cell>
        </row>
        <row r="1349">
          <cell r="A1349" t="str">
            <v>martin.pd</v>
          </cell>
        </row>
        <row r="1349">
          <cell r="C1349" t="str">
            <v>20</v>
          </cell>
        </row>
        <row r="1349">
          <cell r="F1349" t="str">
            <v>--</v>
          </cell>
        </row>
        <row r="1350">
          <cell r="A1350" t="str">
            <v>martin.pd</v>
          </cell>
        </row>
        <row r="1350">
          <cell r="C1350" t="str">
            <v>19</v>
          </cell>
        </row>
        <row r="1350">
          <cell r="F1350" t="str">
            <v>--</v>
          </cell>
        </row>
        <row r="1351">
          <cell r="A1351" t="str">
            <v>martin.pd</v>
          </cell>
        </row>
        <row r="1351">
          <cell r="C1351" t="str">
            <v>18</v>
          </cell>
        </row>
        <row r="1351">
          <cell r="F1351" t="str">
            <v>--</v>
          </cell>
        </row>
        <row r="1352">
          <cell r="A1352" t="str">
            <v>martin.pd</v>
          </cell>
        </row>
        <row r="1352">
          <cell r="C1352" t="str">
            <v>17</v>
          </cell>
        </row>
        <row r="1352">
          <cell r="F1352" t="str">
            <v>--</v>
          </cell>
        </row>
        <row r="1353">
          <cell r="A1353" t="str">
            <v>martin.pd</v>
          </cell>
        </row>
        <row r="1353">
          <cell r="C1353" t="str">
            <v>16</v>
          </cell>
        </row>
        <row r="1353">
          <cell r="F1353" t="str">
            <v>--</v>
          </cell>
        </row>
        <row r="1354">
          <cell r="A1354" t="str">
            <v>martin.pd</v>
          </cell>
        </row>
        <row r="1354">
          <cell r="C1354" t="str">
            <v>15</v>
          </cell>
        </row>
        <row r="1354">
          <cell r="F1354" t="str">
            <v>--</v>
          </cell>
        </row>
        <row r="1355">
          <cell r="A1355" t="str">
            <v>martin.pd</v>
          </cell>
        </row>
        <row r="1355">
          <cell r="C1355" t="str">
            <v>14</v>
          </cell>
        </row>
        <row r="1355">
          <cell r="F1355" t="str">
            <v>--</v>
          </cell>
        </row>
        <row r="1356">
          <cell r="A1356" t="str">
            <v>martin.pd</v>
          </cell>
        </row>
        <row r="1356">
          <cell r="C1356" t="str">
            <v>13</v>
          </cell>
        </row>
        <row r="1356">
          <cell r="F1356" t="str">
            <v>--</v>
          </cell>
        </row>
        <row r="1357">
          <cell r="A1357" t="str">
            <v>martin.pd</v>
          </cell>
        </row>
        <row r="1357">
          <cell r="C1357" t="str">
            <v>12</v>
          </cell>
        </row>
        <row r="1357">
          <cell r="F1357" t="str">
            <v>--</v>
          </cell>
        </row>
        <row r="1358">
          <cell r="A1358" t="str">
            <v>martin.pd</v>
          </cell>
        </row>
        <row r="1358">
          <cell r="C1358" t="str">
            <v>11</v>
          </cell>
        </row>
        <row r="1358">
          <cell r="F1358" t="str">
            <v>--</v>
          </cell>
        </row>
        <row r="1359">
          <cell r="A1359" t="str">
            <v>martin.pd</v>
          </cell>
        </row>
        <row r="1359">
          <cell r="C1359" t="str">
            <v>10</v>
          </cell>
        </row>
        <row r="1359">
          <cell r="F1359" t="str">
            <v>--</v>
          </cell>
        </row>
        <row r="1360">
          <cell r="A1360" t="str">
            <v>martin.pd</v>
          </cell>
        </row>
        <row r="1360">
          <cell r="C1360" t="str">
            <v>09</v>
          </cell>
        </row>
        <row r="1360">
          <cell r="F1360" t="str">
            <v>--</v>
          </cell>
        </row>
        <row r="1361">
          <cell r="A1361" t="str">
            <v>martin.pd</v>
          </cell>
        </row>
        <row r="1361">
          <cell r="C1361" t="str">
            <v>08</v>
          </cell>
        </row>
        <row r="1361">
          <cell r="F1361" t="str">
            <v>--</v>
          </cell>
        </row>
        <row r="1362">
          <cell r="A1362" t="str">
            <v>martin.pd</v>
          </cell>
        </row>
        <row r="1362">
          <cell r="C1362" t="str">
            <v>07</v>
          </cell>
        </row>
        <row r="1362">
          <cell r="F1362" t="str">
            <v>--</v>
          </cell>
        </row>
        <row r="1363">
          <cell r="A1363" t="str">
            <v>martin.pd</v>
          </cell>
        </row>
        <row r="1363">
          <cell r="C1363" t="str">
            <v>06</v>
          </cell>
        </row>
        <row r="1363">
          <cell r="F1363" t="str">
            <v>--</v>
          </cell>
        </row>
        <row r="1364">
          <cell r="A1364" t="str">
            <v>martin.pd</v>
          </cell>
        </row>
        <row r="1364">
          <cell r="C1364" t="str">
            <v>05</v>
          </cell>
        </row>
        <row r="1364">
          <cell r="F1364" t="str">
            <v>--</v>
          </cell>
        </row>
        <row r="1365">
          <cell r="A1365" t="str">
            <v>martin.pd</v>
          </cell>
        </row>
        <row r="1365">
          <cell r="C1365" t="str">
            <v>04</v>
          </cell>
        </row>
        <row r="1365">
          <cell r="F1365" t="str">
            <v>--</v>
          </cell>
        </row>
        <row r="1366">
          <cell r="A1366" t="str">
            <v>martin.pd</v>
          </cell>
        </row>
        <row r="1366">
          <cell r="C1366" t="str">
            <v>03</v>
          </cell>
        </row>
        <row r="1366">
          <cell r="F1366" t="str">
            <v>--</v>
          </cell>
        </row>
        <row r="1367">
          <cell r="A1367" t="str">
            <v>martin.pd</v>
          </cell>
        </row>
        <row r="1367">
          <cell r="C1367" t="str">
            <v>02</v>
          </cell>
        </row>
        <row r="1367">
          <cell r="F1367" t="str">
            <v>--</v>
          </cell>
        </row>
        <row r="1368">
          <cell r="A1368" t="str">
            <v>martin.pd</v>
          </cell>
        </row>
        <row r="1368">
          <cell r="C1368" t="str">
            <v>01</v>
          </cell>
        </row>
        <row r="1368">
          <cell r="F1368" t="str">
            <v>--</v>
          </cell>
        </row>
        <row r="1369">
          <cell r="A1369" t="str">
            <v>martin.pd</v>
          </cell>
        </row>
        <row r="1369">
          <cell r="C1369" t="str">
            <v>00</v>
          </cell>
        </row>
        <row r="1369">
          <cell r="F1369" t="str">
            <v>--</v>
          </cell>
        </row>
      </sheetData>
      <sheetData sheetId="2" refreshError="1">
        <row r="1">
          <cell r="A1" t="str">
            <v>网站名(domain)</v>
          </cell>
        </row>
        <row r="1">
          <cell r="E1" t="str">
            <v>IP</v>
          </cell>
        </row>
        <row r="2">
          <cell r="A2" t="str">
            <v>martin.com</v>
          </cell>
        </row>
        <row r="2">
          <cell r="E2" t="str">
            <v>--</v>
          </cell>
        </row>
        <row r="3">
          <cell r="A3" t="str">
            <v>groot.com</v>
          </cell>
        </row>
        <row r="3">
          <cell r="E3" t="str">
            <v>--</v>
          </cell>
        </row>
        <row r="4">
          <cell r="A4" t="str">
            <v>dk.com</v>
          </cell>
        </row>
        <row r="4">
          <cell r="E4">
            <v>1565</v>
          </cell>
        </row>
        <row r="5">
          <cell r="A5" t="str">
            <v>aber.com</v>
          </cell>
        </row>
        <row r="5">
          <cell r="E5">
            <v>7438</v>
          </cell>
        </row>
        <row r="6">
          <cell r="A6" t="str">
            <v>duobo.com</v>
          </cell>
        </row>
        <row r="6">
          <cell r="E6" t="str">
            <v>--</v>
          </cell>
        </row>
        <row r="7">
          <cell r="A7" t="str">
            <v>tonyb.com</v>
          </cell>
        </row>
        <row r="7">
          <cell r="E7">
            <v>599</v>
          </cell>
        </row>
        <row r="8">
          <cell r="A8" t="str">
            <v>ben.com</v>
          </cell>
        </row>
        <row r="8">
          <cell r="E8">
            <v>2593</v>
          </cell>
        </row>
        <row r="9">
          <cell r="A9" t="str">
            <v>leslie.com</v>
          </cell>
        </row>
        <row r="9">
          <cell r="E9" t="str">
            <v>--</v>
          </cell>
        </row>
        <row r="10">
          <cell r="A10" t="str">
            <v>kiwi.com</v>
          </cell>
        </row>
        <row r="10">
          <cell r="E10">
            <v>3</v>
          </cell>
        </row>
        <row r="11">
          <cell r="A11" t="str">
            <v>billy.com</v>
          </cell>
        </row>
        <row r="11">
          <cell r="E11" t="str">
            <v>--</v>
          </cell>
        </row>
        <row r="12">
          <cell r="A12" t="str">
            <v>dazhi.com</v>
          </cell>
        </row>
        <row r="12">
          <cell r="E12">
            <v>97</v>
          </cell>
        </row>
        <row r="13">
          <cell r="A13" t="str">
            <v>redquan.com</v>
          </cell>
        </row>
        <row r="13">
          <cell r="E13">
            <v>3648</v>
          </cell>
        </row>
        <row r="14">
          <cell r="A14" t="str">
            <v>zed.com</v>
          </cell>
        </row>
        <row r="14">
          <cell r="E14">
            <v>4876</v>
          </cell>
        </row>
        <row r="15">
          <cell r="A15" t="str">
            <v>hugo.com</v>
          </cell>
        </row>
        <row r="15">
          <cell r="E15">
            <v>104</v>
          </cell>
        </row>
        <row r="16">
          <cell r="A16" t="str">
            <v>maxmile.com</v>
          </cell>
        </row>
        <row r="16">
          <cell r="E16">
            <v>295</v>
          </cell>
        </row>
        <row r="17">
          <cell r="A17" t="str">
            <v>mulu.com</v>
          </cell>
        </row>
        <row r="17">
          <cell r="E17">
            <v>284</v>
          </cell>
        </row>
        <row r="18">
          <cell r="A18" t="str">
            <v>aber.com</v>
          </cell>
        </row>
        <row r="18">
          <cell r="E18">
            <v>7438</v>
          </cell>
        </row>
        <row r="19">
          <cell r="A19" t="str">
            <v>tonyb.com</v>
          </cell>
        </row>
        <row r="19">
          <cell r="E19">
            <v>599</v>
          </cell>
        </row>
        <row r="20">
          <cell r="A20" t="str">
            <v>ben.com</v>
          </cell>
        </row>
        <row r="20">
          <cell r="E20">
            <v>2593</v>
          </cell>
        </row>
        <row r="21">
          <cell r="A21" t="str">
            <v>dk.com</v>
          </cell>
        </row>
        <row r="21">
          <cell r="E21">
            <v>1565</v>
          </cell>
        </row>
        <row r="22">
          <cell r="A22" t="str">
            <v>billy.com</v>
          </cell>
        </row>
        <row r="22">
          <cell r="E22" t="str">
            <v>--</v>
          </cell>
        </row>
        <row r="23">
          <cell r="A23" t="str">
            <v>zed.zz</v>
          </cell>
        </row>
        <row r="23">
          <cell r="E23">
            <v>0</v>
          </cell>
        </row>
        <row r="24">
          <cell r="A24" t="str">
            <v>martin.zz</v>
          </cell>
        </row>
        <row r="24">
          <cell r="E24">
            <v>0</v>
          </cell>
        </row>
        <row r="25">
          <cell r="A25" t="str">
            <v>hugo.zz</v>
          </cell>
        </row>
        <row r="25">
          <cell r="E25">
            <v>0</v>
          </cell>
        </row>
        <row r="26">
          <cell r="A26" t="str">
            <v>dk.zz</v>
          </cell>
        </row>
        <row r="26">
          <cell r="E26">
            <v>0</v>
          </cell>
        </row>
        <row r="27">
          <cell r="A27" t="str">
            <v>max.zz</v>
          </cell>
        </row>
        <row r="27">
          <cell r="E27">
            <v>0</v>
          </cell>
        </row>
        <row r="28">
          <cell r="A28" t="str">
            <v>aber.zz</v>
          </cell>
        </row>
        <row r="28">
          <cell r="E28">
            <v>0</v>
          </cell>
        </row>
        <row r="29">
          <cell r="A29" t="str">
            <v>ben.zz</v>
          </cell>
        </row>
        <row r="29">
          <cell r="E29">
            <v>0</v>
          </cell>
        </row>
        <row r="30">
          <cell r="A30" t="str">
            <v>paddy.zz</v>
          </cell>
        </row>
        <row r="30">
          <cell r="E30">
            <v>0</v>
          </cell>
        </row>
        <row r="31">
          <cell r="A31" t="str">
            <v>tony.zz</v>
          </cell>
        </row>
        <row r="31">
          <cell r="E31">
            <v>0</v>
          </cell>
        </row>
        <row r="32">
          <cell r="A32" t="str">
            <v>ben.zb</v>
          </cell>
        </row>
        <row r="32">
          <cell r="E32">
            <v>4</v>
          </cell>
        </row>
        <row r="33">
          <cell r="A33" t="str">
            <v>zed.zb</v>
          </cell>
        </row>
        <row r="33">
          <cell r="E33" t="str">
            <v>--</v>
          </cell>
        </row>
        <row r="34">
          <cell r="A34" t="str">
            <v>aber.zb</v>
          </cell>
        </row>
        <row r="34">
          <cell r="E34" t="str">
            <v>--</v>
          </cell>
        </row>
        <row r="35">
          <cell r="A35" t="str">
            <v>martin.zb</v>
          </cell>
        </row>
        <row r="35">
          <cell r="E35">
            <v>51</v>
          </cell>
        </row>
        <row r="36">
          <cell r="A36" t="str">
            <v>hugo.zb</v>
          </cell>
        </row>
        <row r="36">
          <cell r="E36">
            <v>31</v>
          </cell>
        </row>
        <row r="37">
          <cell r="A37" t="str">
            <v>dk.zb</v>
          </cell>
        </row>
        <row r="37">
          <cell r="E37">
            <v>98</v>
          </cell>
        </row>
        <row r="38">
          <cell r="A38" t="str">
            <v>tony.zb</v>
          </cell>
        </row>
        <row r="38">
          <cell r="E38" t="str">
            <v>--</v>
          </cell>
        </row>
        <row r="39">
          <cell r="A39" t="str">
            <v>max.zb</v>
          </cell>
        </row>
        <row r="39">
          <cell r="E39">
            <v>1</v>
          </cell>
        </row>
        <row r="40">
          <cell r="A40" t="str">
            <v>paddy.bty</v>
          </cell>
        </row>
        <row r="40">
          <cell r="E40">
            <v>54</v>
          </cell>
        </row>
        <row r="41">
          <cell r="A41" t="str">
            <v>paddy.com</v>
          </cell>
        </row>
        <row r="41">
          <cell r="E41" t="str">
            <v>--</v>
          </cell>
        </row>
        <row r="42">
          <cell r="A42" t="str">
            <v>aber.bty</v>
          </cell>
        </row>
        <row r="42">
          <cell r="E42">
            <v>581</v>
          </cell>
        </row>
        <row r="43">
          <cell r="A43" t="str">
            <v>max.bty</v>
          </cell>
        </row>
        <row r="43">
          <cell r="E43">
            <v>225</v>
          </cell>
        </row>
        <row r="44">
          <cell r="A44" t="str">
            <v>zed.cn</v>
          </cell>
        </row>
        <row r="44">
          <cell r="E44" t="str">
            <v>--</v>
          </cell>
        </row>
        <row r="45">
          <cell r="A45" t="str">
            <v>hugo.cn</v>
          </cell>
        </row>
        <row r="45">
          <cell r="E45" t="str">
            <v>--</v>
          </cell>
        </row>
        <row r="46">
          <cell r="A46" t="str">
            <v>zed.kty</v>
          </cell>
        </row>
        <row r="46">
          <cell r="E46" t="str">
            <v>--</v>
          </cell>
        </row>
        <row r="47">
          <cell r="A47" t="str">
            <v>hugo.kty</v>
          </cell>
        </row>
        <row r="47">
          <cell r="E47" t="str">
            <v>--</v>
          </cell>
        </row>
        <row r="48">
          <cell r="A48" t="str">
            <v>martin.bty</v>
          </cell>
        </row>
        <row r="48">
          <cell r="E48">
            <v>1124</v>
          </cell>
        </row>
        <row r="49">
          <cell r="A49" t="str">
            <v>tony.bty</v>
          </cell>
        </row>
        <row r="49">
          <cell r="E49">
            <v>440</v>
          </cell>
        </row>
        <row r="50">
          <cell r="A50" t="str">
            <v>dk.bty</v>
          </cell>
        </row>
        <row r="50">
          <cell r="E50">
            <v>2228</v>
          </cell>
        </row>
        <row r="51">
          <cell r="A51" t="str">
            <v>zed.bty</v>
          </cell>
        </row>
        <row r="51">
          <cell r="E51">
            <v>331</v>
          </cell>
        </row>
        <row r="52">
          <cell r="A52" t="str">
            <v>dazhi.bty</v>
          </cell>
        </row>
        <row r="52">
          <cell r="E52">
            <v>2</v>
          </cell>
        </row>
        <row r="53">
          <cell r="A53" t="str">
            <v>ben.bty</v>
          </cell>
        </row>
        <row r="53">
          <cell r="E53">
            <v>306</v>
          </cell>
        </row>
        <row r="54">
          <cell r="A54" t="str">
            <v>bike.bty</v>
          </cell>
        </row>
        <row r="54">
          <cell r="E54">
            <v>1</v>
          </cell>
        </row>
        <row r="55">
          <cell r="A55" t="str">
            <v>duobo.bty</v>
          </cell>
        </row>
        <row r="55">
          <cell r="E55">
            <v>43</v>
          </cell>
        </row>
        <row r="56">
          <cell r="A56" t="str">
            <v>alen.bty</v>
          </cell>
        </row>
        <row r="56">
          <cell r="E56" t="str">
            <v>--</v>
          </cell>
        </row>
        <row r="57">
          <cell r="A57" t="str">
            <v>peter.bty</v>
          </cell>
        </row>
        <row r="57">
          <cell r="E57">
            <v>183</v>
          </cell>
        </row>
        <row r="58">
          <cell r="A58" t="str">
            <v>martin.pd</v>
          </cell>
        </row>
        <row r="58">
          <cell r="E58" t="str">
            <v>--</v>
          </cell>
        </row>
      </sheetData>
      <sheetData sheetId="3" refreshError="1"/>
    </sheetDataSet>
  </externalBook>
</externalLink>
</file>

<file path=xl/tables/table1.xml><?xml version="1.0" encoding="utf-8"?>
<table xmlns="http://schemas.openxmlformats.org/spreadsheetml/2006/main" id="1" name="表1" displayName="表1" ref="A1:AE57" totalsRowShown="0">
  <tableColumns count="31">
    <tableColumn id="1" name="人员" dataDxfId="6"/>
    <tableColumn id="2" name="项目" dataDxfId="7"/>
    <tableColumn id="3" name="9月月均" dataDxfId="8"/>
    <tableColumn id="4" name="最近7日平均" dataDxfId="9"/>
    <tableColumn id="31" name="9/5" dataDxfId="10"/>
    <tableColumn id="30" name="9/6" dataDxfId="11"/>
    <tableColumn id="29" name="9/7" dataDxfId="12"/>
    <tableColumn id="28" name="9/8" dataDxfId="13"/>
    <tableColumn id="27" name="9/9" dataDxfId="14"/>
    <tableColumn id="5" name="9/10" dataDxfId="15"/>
    <tableColumn id="6" name="9/11" dataDxfId="16"/>
    <tableColumn id="7" name="9/12" dataDxfId="17"/>
    <tableColumn id="8" name="9/13" dataDxfId="18"/>
    <tableColumn id="9" name="9/14" dataDxfId="19"/>
    <tableColumn id="10" name="9/15" dataDxfId="20"/>
    <tableColumn id="11" name="9/16" dataDxfId="21"/>
    <tableColumn id="12" name="9/17" dataDxfId="22"/>
    <tableColumn id="13" name="9/18" dataDxfId="23"/>
    <tableColumn id="14" name="9/19" dataDxfId="24"/>
    <tableColumn id="15" name="9/20" dataDxfId="25"/>
    <tableColumn id="16" name="9/21" dataDxfId="26"/>
    <tableColumn id="17" name="9/22" dataDxfId="27"/>
    <tableColumn id="18" name="9/23" dataDxfId="28"/>
    <tableColumn id="19" name="9/24" dataDxfId="29"/>
    <tableColumn id="20" name="9/25" dataDxfId="30"/>
    <tableColumn id="21" name="9/26" dataDxfId="31"/>
    <tableColumn id="22" name="9/27" dataDxfId="32"/>
    <tableColumn id="23" name="9/28" dataDxfId="33"/>
    <tableColumn id="24" name="9/29" dataDxfId="34"/>
    <tableColumn id="25" name="9/30" dataDxfId="35"/>
    <tableColumn id="26" name="昨日变化" dataDxfId="36"/>
  </tableColumns>
  <tableStyleInfo name="TableStyleLight20" showFirstColumn="0" showLastColumn="0" showRowStripes="1" showColumnStripes="0"/>
</table>
</file>

<file path=xl/tables/table2.xml><?xml version="1.0" encoding="utf-8"?>
<table xmlns="http://schemas.openxmlformats.org/spreadsheetml/2006/main" id="2" name="表1_3" displayName="表1_3" ref="A1:AJ57" totalsRowShown="0">
  <tableColumns count="36">
    <tableColumn id="1" name="人员"/>
    <tableColumn id="2" name="项目"/>
    <tableColumn id="3" name="10月月均"/>
    <tableColumn id="4" name="最近7日平均"/>
    <tableColumn id="5" name="10/1"/>
    <tableColumn id="6" name="10/2"/>
    <tableColumn id="7" name="10/3"/>
    <tableColumn id="8" name="10/4"/>
    <tableColumn id="9" name="10/5"/>
    <tableColumn id="10" name="10/6"/>
    <tableColumn id="11" name="10/7"/>
    <tableColumn id="12" name="10/8"/>
    <tableColumn id="13" name="10/9"/>
    <tableColumn id="14" name="10/10"/>
    <tableColumn id="15" name="10/11"/>
    <tableColumn id="16" name="10/12"/>
    <tableColumn id="17" name="10/13"/>
    <tableColumn id="18" name="10/14"/>
    <tableColumn id="19" name="10/15"/>
    <tableColumn id="20" name="10/16"/>
    <tableColumn id="21" name="10/17"/>
    <tableColumn id="22" name="10/18"/>
    <tableColumn id="23" name="10/19"/>
    <tableColumn id="24" name="10/20"/>
    <tableColumn id="25" name="10/21"/>
    <tableColumn id="26" name="10/22"/>
    <tableColumn id="27" name="10/23"/>
    <tableColumn id="28" name="10/24"/>
    <tableColumn id="29" name="10/25"/>
    <tableColumn id="30" name="10/26"/>
    <tableColumn id="32" name="10/27"/>
    <tableColumn id="33" name="10/28"/>
    <tableColumn id="34" name="10/29"/>
    <tableColumn id="35" name="10/30"/>
    <tableColumn id="36" name="10/31"/>
    <tableColumn id="31" name="昨日变化"/>
  </tableColumns>
  <tableStyleInfo name="TableStyleLight20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48"/>
  <sheetViews>
    <sheetView topLeftCell="B1" workbookViewId="0">
      <selection activeCell="A3" sqref="A3:V23"/>
    </sheetView>
  </sheetViews>
  <sheetFormatPr defaultColWidth="8.875" defaultRowHeight="13.5"/>
  <cols>
    <col min="1" max="1" width="15.625" customWidth="1"/>
    <col min="2" max="2" width="14.875" customWidth="1"/>
    <col min="3" max="5" width="7.375" customWidth="1"/>
    <col min="6" max="6" width="11.375" customWidth="1"/>
    <col min="7" max="8" width="7.375" customWidth="1"/>
    <col min="9" max="9" width="14.375" customWidth="1"/>
    <col min="10" max="10" width="16.375" customWidth="1"/>
    <col min="11" max="11" width="8.875" customWidth="1"/>
    <col min="12" max="13" width="11.25" customWidth="1"/>
    <col min="14" max="14" width="11.125" customWidth="1"/>
    <col min="15" max="15" width="7.50833333333333" customWidth="1"/>
    <col min="16" max="16" width="11.5083333333333" customWidth="1"/>
    <col min="17" max="18" width="11.125" customWidth="1"/>
    <col min="19" max="19" width="7.875" customWidth="1"/>
    <col min="20" max="22" width="11.875" customWidth="1"/>
  </cols>
  <sheetData>
    <row r="1" ht="15" customHeight="1" spans="1:22">
      <c r="A1" s="94" t="s">
        <v>0</v>
      </c>
      <c r="B1" s="94" t="s">
        <v>1</v>
      </c>
      <c r="C1" s="95" t="s">
        <v>2</v>
      </c>
      <c r="D1" s="95" t="s">
        <v>3</v>
      </c>
      <c r="E1" s="95" t="s">
        <v>4</v>
      </c>
      <c r="F1" s="96" t="s">
        <v>5</v>
      </c>
      <c r="G1" s="95" t="s">
        <v>6</v>
      </c>
      <c r="H1" s="96" t="s">
        <v>7</v>
      </c>
      <c r="I1" s="95" t="s">
        <v>8</v>
      </c>
      <c r="J1" s="96" t="s">
        <v>9</v>
      </c>
      <c r="K1" s="97" t="s">
        <v>10</v>
      </c>
      <c r="L1" s="114"/>
      <c r="M1" s="114"/>
      <c r="N1" s="114"/>
      <c r="O1" s="97" t="s">
        <v>11</v>
      </c>
      <c r="P1" s="114"/>
      <c r="Q1" s="114"/>
      <c r="R1" s="114"/>
      <c r="S1" s="97" t="s">
        <v>12</v>
      </c>
      <c r="T1" s="114"/>
      <c r="U1" s="114"/>
      <c r="V1" s="114"/>
    </row>
    <row r="2" ht="14.45" customHeight="1" spans="1:24">
      <c r="A2" s="98"/>
      <c r="B2" s="99"/>
      <c r="C2" s="100"/>
      <c r="D2" s="330"/>
      <c r="E2" s="100"/>
      <c r="F2" s="101"/>
      <c r="G2" s="100"/>
      <c r="H2" s="101"/>
      <c r="I2" s="100"/>
      <c r="J2" s="332"/>
      <c r="K2" s="102" t="s">
        <v>13</v>
      </c>
      <c r="L2" s="102" t="s">
        <v>14</v>
      </c>
      <c r="M2" s="102" t="s">
        <v>15</v>
      </c>
      <c r="N2" s="102" t="s">
        <v>16</v>
      </c>
      <c r="O2" s="102" t="s">
        <v>13</v>
      </c>
      <c r="P2" s="102" t="s">
        <v>14</v>
      </c>
      <c r="Q2" s="102" t="s">
        <v>15</v>
      </c>
      <c r="R2" s="102" t="s">
        <v>16</v>
      </c>
      <c r="S2" s="102" t="s">
        <v>13</v>
      </c>
      <c r="T2" s="102" t="s">
        <v>14</v>
      </c>
      <c r="U2" s="102" t="s">
        <v>15</v>
      </c>
      <c r="V2" s="102" t="s">
        <v>16</v>
      </c>
      <c r="W2" s="161"/>
      <c r="X2" s="161"/>
    </row>
    <row r="3" ht="14.45" customHeight="1" spans="1:24">
      <c r="A3" s="103">
        <f ca="1">TODAY()-1</f>
        <v>45145</v>
      </c>
      <c r="B3" s="104" t="s">
        <v>17</v>
      </c>
      <c r="C3" s="216">
        <f>SUMIFS([1]趋势分析!$F:$F,[1]趋势分析!$A:$A,"paddy.com")</f>
        <v>0</v>
      </c>
      <c r="D3" s="216">
        <f>SUMIFS([1]趋势分析!$F:$F,[1]趋势分析!$A:$A,"paddy.bty")</f>
        <v>51</v>
      </c>
      <c r="E3" s="217">
        <f>COUNTIF(bty注册!X:X,B3)</f>
        <v>3</v>
      </c>
      <c r="F3" s="236">
        <f>IF(C3=0,D3,E3/C3)</f>
        <v>51</v>
      </c>
      <c r="G3" s="107">
        <f>COUNTIF(bty首充!H:H,B3)</f>
        <v>2</v>
      </c>
      <c r="H3" s="106">
        <f>IF(E3=0,G3,G3/E3)</f>
        <v>0.666666666666667</v>
      </c>
      <c r="I3" s="104">
        <f>COUNTIFS(bty首充!$H:$H,$B3,bty首充!$K:$K,1)</f>
        <v>2</v>
      </c>
      <c r="J3" s="106">
        <f>IF(E3=0,I3,I3/E3)</f>
        <v>0.666666666666667</v>
      </c>
      <c r="K3" s="108">
        <f ca="1">C3-SUMIFS(历史数据!$C:$C,历史数据!$A:$A,$A$3-1,历史数据!$B:$B,$B3)</f>
        <v>0</v>
      </c>
      <c r="L3" s="108">
        <f ca="1">C3-(SUMIFS(历史数据!$C:$C,历史数据!$A:$A,$A$3-1,历史数据!$B:$B,$B3)+SUMIFS(历史数据!$C:$C,历史数据!$A:$A,$A$3-2,历史数据!$B:$B,$B3)+SUMIFS(历史数据!$C:$C,历史数据!$A:$A,$A$3-3,历史数据!$B:$B,$B3))/3</f>
        <v>0</v>
      </c>
      <c r="M3" s="108">
        <f ca="1">C3-(SUMIFS(历史数据!$C:$C,历史数据!$A:$A,$A$3-1,历史数据!$B:$B,$B3)+SUMIFS(历史数据!$C:$C,历史数据!$A:$A,$A$3-2,历史数据!$B:$B,$B3)+SUMIFS(历史数据!$C:$C,历史数据!$A:$A,$A$3-3,历史数据!$B:$B,$B3)+SUMIFS(历史数据!$C:$C,历史数据!$A:$A,$A$3-4,历史数据!$B:$B,$B3)+SUMIFS(历史数据!$C:$C,历史数据!$A:$A,$A$3-5,历史数据!$B:$B,$B3))/5</f>
        <v>-0.2</v>
      </c>
      <c r="N3" s="108">
        <f ca="1">C3-(SUMIFS(历史数据!$C:$C,历史数据!$A:$A,$A$3-1,历史数据!$B:$B,$B3)+SUMIFS(历史数据!$C:$C,历史数据!$A:$A,$A$3-2,历史数据!$B:$B,$B3)+SUMIFS(历史数据!$C:$C,历史数据!$A:$A,$A$3-3,历史数据!$B:$B,$B3)+SUMIFS(历史数据!$C:$C,历史数据!$A:$A,$A$3-4,历史数据!$B:$B,$B3)+SUMIFS(历史数据!$C:$C,历史数据!$A:$A,$A$3-5,历史数据!$B:$B,$B3)+SUMIFS(历史数据!$C:$C,历史数据!$A:$A,$A$3-6,历史数据!$B:$B,$B3)+SUMIFS(历史数据!$C:$C,历史数据!$A:$A,$A$3-7,历史数据!$B:$B,$B3))/7</f>
        <v>-59.2857142857143</v>
      </c>
      <c r="O3" s="108">
        <f ca="1">E3-SUMIFS(历史数据!$E:$E,历史数据!$A:$A,$A$3-1,历史数据!$B:$B,$B3)</f>
        <v>2</v>
      </c>
      <c r="P3" s="108">
        <f ca="1">E3-(SUMIFS(历史数据!$E:$E,历史数据!$A:$A,$A$3-1,历史数据!$B:$B,$B3)+SUMIFS(历史数据!$E:$E,历史数据!$A:$A,$A$3-2,历史数据!$B:$B,$B3)+SUMIFS(历史数据!$E:$E,历史数据!$A:$A,$A$3-3,历史数据!$B:$B,$B3))/3</f>
        <v>1.66666666666667</v>
      </c>
      <c r="Q3" s="108">
        <f ca="1">E3-(SUMIFS(历史数据!$E:$E,历史数据!$A:$A,$A$3-1,历史数据!$B:$B,$B3)+SUMIFS(历史数据!$E:$E,历史数据!$A:$A,$A$3-2,历史数据!$B:$B,$B3)+SUMIFS(历史数据!$E:$E,历史数据!$A:$A,$A$3-3,历史数据!$B:$B,$B3)+SUMIFS(历史数据!$E:$E,历史数据!$A:$A,$A$3-4,历史数据!$B:$B,$B3)+SUMIFS(历史数据!$E:$E,历史数据!$A:$A,$A$3-5,历史数据!$B:$B,$B3))/5</f>
        <v>1.8</v>
      </c>
      <c r="R3" s="108">
        <f ca="1">E3-(SUMIFS(历史数据!$E:$E,历史数据!$A:$A,$A$3-1,历史数据!$B:$B,$B3)+SUMIFS(历史数据!$E:$E,历史数据!$A:$A,$A$3-2,历史数据!$B:$B,$B3)+SUMIFS(历史数据!$E:$E,历史数据!$A:$A,$A$3-3,历史数据!$B:$B,$B3)+SUMIFS(历史数据!$E:$E,历史数据!$A:$A,$A$3-4,历史数据!$B:$B,$B3)+SUMIFS(历史数据!$E:$E,历史数据!$A:$A,$A$3-5,历史数据!$B:$B,$B3)+SUMIFS(历史数据!$E:$E,历史数据!$A:$A,$A$3-6,历史数据!$B:$B,$B3)+SUMIFS(历史数据!$E:$E,历史数据!$A:$A,$A$3-7,历史数据!$B:$B,$B3))/7</f>
        <v>2.14285714285714</v>
      </c>
      <c r="S3" s="108">
        <f ca="1">G3-SUMIFS(历史数据!$G:$G,历史数据!$A:$A,$A$3-1,历史数据!$B:$B,$B3)</f>
        <v>2</v>
      </c>
      <c r="T3" s="108">
        <f ca="1">G3-(SUMIFS(历史数据!$G:$G,历史数据!$A:$A,$A$3-1,历史数据!$B:$B,$B3)+SUMIFS(历史数据!$G:$G,历史数据!$A:$A,$A$3-2,历史数据!$B:$B,$B3)+SUMIFS(历史数据!$G:$G,历史数据!$A:$A,$A$3-3,历史数据!$B:$B,$B3))/3</f>
        <v>2</v>
      </c>
      <c r="U3" s="108">
        <f ca="1">G3-(SUMIFS(历史数据!$G:$G,历史数据!$A:$A,$A$3-1,历史数据!$B:$B,$B3)+SUMIFS(历史数据!$G:$G,历史数据!$A:$A,$A$3-2,历史数据!$B:$B,$B3)+SUMIFS(历史数据!$G:$G,历史数据!$A:$A,$A$3-3,历史数据!$B:$B,$B3)+SUMIFS(历史数据!$G:$G,历史数据!$A:$A,$A$3-4,历史数据!$B:$B,$B3)+SUMIFS(历史数据!$G:$G,历史数据!$A:$A,$A$3-5,历史数据!$B:$B,$B3))/5</f>
        <v>1.8</v>
      </c>
      <c r="V3" s="108">
        <f ca="1">G3-(SUMIFS(历史数据!$G:$G,历史数据!$A:$A,$A$3-1,历史数据!$B:$B,$B3)+SUMIFS(历史数据!$G:$G,历史数据!$A:$A,$A$3-2,历史数据!$B:$B,$B3)+SUMIFS(历史数据!$G:$G,历史数据!$A:$A,$A$3-3,历史数据!$B:$B,$B3)+SUMIFS(历史数据!$G:$G,历史数据!$A:$A,$A$3-4,历史数据!$B:$B,$B3)+SUMIFS(历史数据!$G:$G,历史数据!$A:$A,$A$3-5,历史数据!$B:$B,$B3)+SUMIFS(历史数据!$G:$G,历史数据!$A:$A,$A$3-6,历史数据!$B:$B,$B3)+SUMIFS(历史数据!$G:$G,历史数据!$A:$A,$A$3-7,历史数据!$B:$B,$B3))/7</f>
        <v>1.71428571428571</v>
      </c>
      <c r="X3" t="s">
        <v>18</v>
      </c>
    </row>
    <row r="4" ht="14.45" customHeight="1" spans="1:24">
      <c r="A4" s="109"/>
      <c r="B4" s="104" t="s">
        <v>19</v>
      </c>
      <c r="C4" s="216">
        <f>SUMIFS([1]趋势分析!$F:$F,[1]趋势分析!$A:$A,"tonyb.com")/2</f>
        <v>568</v>
      </c>
      <c r="D4" s="216">
        <f>SUMIFS([1]全部来源!$E:$E,[1]全部来源!$A:$A,"tony.bty")</f>
        <v>440</v>
      </c>
      <c r="E4" s="217">
        <f>COUNTIF(bty注册!X:X,B4)</f>
        <v>12</v>
      </c>
      <c r="F4" s="106">
        <f>IF(C4=0,D4,E4/C4)</f>
        <v>0.0211267605633803</v>
      </c>
      <c r="G4" s="107">
        <f>COUNTIF(bty首充!H:H,B4)</f>
        <v>3</v>
      </c>
      <c r="H4" s="106">
        <f t="shared" ref="H3:H15" si="0">IF(E4=0,G4,G4/E4)</f>
        <v>0.25</v>
      </c>
      <c r="I4" s="104">
        <f>COUNTIFS(bty首充!$H:$H,$B4,bty首充!$K:$K,1)</f>
        <v>3</v>
      </c>
      <c r="J4" s="106">
        <f t="shared" ref="J4:J23" si="1">IF(E4=0,I4,I4/E4)</f>
        <v>0.25</v>
      </c>
      <c r="K4" s="108">
        <f ca="1">C4-SUMIFS(历史数据!$C:$C,历史数据!$A:$A,$A$3-1,历史数据!$B:$B,$B4)</f>
        <v>-23</v>
      </c>
      <c r="L4" s="108">
        <f ca="1">C4-(SUMIFS(历史数据!$C:$C,历史数据!$A:$A,$A$3-1,历史数据!$B:$B,$B4)+SUMIFS(历史数据!$C:$C,历史数据!$A:$A,$A$3-2,历史数据!$B:$B,$B4)+SUMIFS(历史数据!$C:$C,历史数据!$A:$A,$A$3-3,历史数据!$B:$B,$B4))/3</f>
        <v>-100</v>
      </c>
      <c r="M4" s="108">
        <f ca="1">C4-(SUMIFS(历史数据!$C:$C,历史数据!$A:$A,$A$3-1,历史数据!$B:$B,$B4)+SUMIFS(历史数据!$C:$C,历史数据!$A:$A,$A$3-2,历史数据!$B:$B,$B4)+SUMIFS(历史数据!$C:$C,历史数据!$A:$A,$A$3-3,历史数据!$B:$B,$B4)+SUMIFS(历史数据!$C:$C,历史数据!$A:$A,$A$3-4,历史数据!$B:$B,$B4)+SUMIFS(历史数据!$C:$C,历史数据!$A:$A,$A$3-5,历史数据!$B:$B,$B4))/5</f>
        <v>-84.6</v>
      </c>
      <c r="N4" s="108">
        <f ca="1">C4-(SUMIFS(历史数据!$C:$C,历史数据!$A:$A,$A$3-1,历史数据!$B:$B,$B4)+SUMIFS(历史数据!$C:$C,历史数据!$A:$A,$A$3-2,历史数据!$B:$B,$B4)+SUMIFS(历史数据!$C:$C,历史数据!$A:$A,$A$3-3,历史数据!$B:$B,$B4)+SUMIFS(历史数据!$C:$C,历史数据!$A:$A,$A$3-4,历史数据!$B:$B,$B4)+SUMIFS(历史数据!$C:$C,历史数据!$A:$A,$A$3-5,历史数据!$B:$B,$B4)+SUMIFS(历史数据!$C:$C,历史数据!$A:$A,$A$3-6,历史数据!$B:$B,$B4)+SUMIFS(历史数据!$C:$C,历史数据!$A:$A,$A$3-7,历史数据!$B:$B,$B4))/7</f>
        <v>9.85714285714289</v>
      </c>
      <c r="O4" s="108">
        <f ca="1">E4-SUMIFS(历史数据!$E:$E,历史数据!$A:$A,$A$3-1,历史数据!$B:$B,$B4)</f>
        <v>-5</v>
      </c>
      <c r="P4" s="108">
        <f ca="1">E4-(SUMIFS(历史数据!$E:$E,历史数据!$A:$A,$A$3-1,历史数据!$B:$B,$B4)+SUMIFS(历史数据!$E:$E,历史数据!$A:$A,$A$3-2,历史数据!$B:$B,$B4)+SUMIFS(历史数据!$E:$E,历史数据!$A:$A,$A$3-3,历史数据!$B:$B,$B4))/3</f>
        <v>-6.66666666666667</v>
      </c>
      <c r="Q4" s="108">
        <f ca="1">E4-(SUMIFS(历史数据!$E:$E,历史数据!$A:$A,$A$3-1,历史数据!$B:$B,$B4)+SUMIFS(历史数据!$E:$E,历史数据!$A:$A,$A$3-2,历史数据!$B:$B,$B4)+SUMIFS(历史数据!$E:$E,历史数据!$A:$A,$A$3-3,历史数据!$B:$B,$B4)+SUMIFS(历史数据!$E:$E,历史数据!$A:$A,$A$3-4,历史数据!$B:$B,$B4)+SUMIFS(历史数据!$E:$E,历史数据!$A:$A,$A$3-5,历史数据!$B:$B,$B4))/5</f>
        <v>-2.4</v>
      </c>
      <c r="R4" s="108">
        <f ca="1">E4-(SUMIFS(历史数据!$E:$E,历史数据!$A:$A,$A$3-1,历史数据!$B:$B,$B4)+SUMIFS(历史数据!$E:$E,历史数据!$A:$A,$A$3-2,历史数据!$B:$B,$B4)+SUMIFS(历史数据!$E:$E,历史数据!$A:$A,$A$3-3,历史数据!$B:$B,$B4)+SUMIFS(历史数据!$E:$E,历史数据!$A:$A,$A$3-4,历史数据!$B:$B,$B4)+SUMIFS(历史数据!$E:$E,历史数据!$A:$A,$A$3-5,历史数据!$B:$B,$B4)+SUMIFS(历史数据!$E:$E,历史数据!$A:$A,$A$3-6,历史数据!$B:$B,$B4)+SUMIFS(历史数据!$E:$E,历史数据!$A:$A,$A$3-7,历史数据!$B:$B,$B4))/7</f>
        <v>0.571428571428571</v>
      </c>
      <c r="S4" s="108">
        <f ca="1">G4-SUMIFS(历史数据!$G:$G,历史数据!$A:$A,$A$3-1,历史数据!$B:$B,$B4)</f>
        <v>0</v>
      </c>
      <c r="T4" s="108">
        <f ca="1">G4-(SUMIFS(历史数据!$G:$G,历史数据!$A:$A,$A$3-1,历史数据!$B:$B,$B4)+SUMIFS(历史数据!$G:$G,历史数据!$A:$A,$A$3-2,历史数据!$B:$B,$B4)+SUMIFS(历史数据!$G:$G,历史数据!$A:$A,$A$3-3,历史数据!$B:$B,$B4))/3</f>
        <v>-4.33333333333333</v>
      </c>
      <c r="U4" s="108">
        <f ca="1">G4-(SUMIFS(历史数据!$G:$G,历史数据!$A:$A,$A$3-1,历史数据!$B:$B,$B4)+SUMIFS(历史数据!$G:$G,历史数据!$A:$A,$A$3-2,历史数据!$B:$B,$B4)+SUMIFS(历史数据!$G:$G,历史数据!$A:$A,$A$3-3,历史数据!$B:$B,$B4)+SUMIFS(历史数据!$G:$G,历史数据!$A:$A,$A$3-4,历史数据!$B:$B,$B4)+SUMIFS(历史数据!$G:$G,历史数据!$A:$A,$A$3-5,历史数据!$B:$B,$B4))/5</f>
        <v>-2.6</v>
      </c>
      <c r="V4" s="115">
        <f ca="1">G4-(SUMIFS(历史数据!$G:$G,历史数据!$A:$A,$A$3-1,历史数据!$B:$B,$B4)+SUMIFS(历史数据!$G:$G,历史数据!$A:$A,$A$3-2,历史数据!$B:$B,$B4)+SUMIFS(历史数据!$G:$G,历史数据!$A:$A,$A$3-3,历史数据!$B:$B,$B4)+SUMIFS(历史数据!$G:$G,历史数据!$A:$A,$A$3-4,历史数据!$B:$B,$B4)+SUMIFS(历史数据!$G:$G,历史数据!$A:$A,$A$3-5,历史数据!$B:$B,$B4)+SUMIFS(历史数据!$G:$G,历史数据!$A:$A,$A$3-6,历史数据!$B:$B,$B4)+SUMIFS(历史数据!$G:$G,历史数据!$A:$A,$A$3-7,历史数据!$B:$B,$B4))/7</f>
        <v>-2.28571428571429</v>
      </c>
      <c r="W4" s="154"/>
      <c r="X4" s="331" t="s">
        <v>20</v>
      </c>
    </row>
    <row r="5" ht="14.45" customHeight="1" spans="1:22">
      <c r="A5" s="109"/>
      <c r="B5" s="104" t="s">
        <v>21</v>
      </c>
      <c r="C5" s="218">
        <f>SUMIFS([1]趋势分析!$F:$F,[1]趋势分析!$A:$A,"mulu.com")</f>
        <v>273</v>
      </c>
      <c r="D5" s="218">
        <f>SUMIFS([1]趋势分析!$F:$F,[1]趋势分析!$A:$A,"max.bty")</f>
        <v>225</v>
      </c>
      <c r="E5" s="217">
        <f>COUNTIF(bty注册!X:X,B5)</f>
        <v>6</v>
      </c>
      <c r="F5" s="106">
        <f t="shared" ref="F3:F23" si="2">IF(C5=0,D5,E5/C5)</f>
        <v>0.021978021978022</v>
      </c>
      <c r="G5" s="107">
        <f>COUNTIF(bty首充!H:H,B5)</f>
        <v>0</v>
      </c>
      <c r="H5" s="106">
        <f t="shared" si="0"/>
        <v>0</v>
      </c>
      <c r="I5" s="104">
        <f>COUNTIFS(bty首充!$H:$H,$B5,bty首充!$K:$K,1)</f>
        <v>0</v>
      </c>
      <c r="J5" s="106">
        <f t="shared" si="1"/>
        <v>0</v>
      </c>
      <c r="K5" s="108">
        <f ca="1">C5-SUMIFS(历史数据!$C:$C,历史数据!$A:$A,$A$3-1,历史数据!$B:$B,$B5)</f>
        <v>-14</v>
      </c>
      <c r="L5" s="108">
        <f ca="1">C5-(SUMIFS(历史数据!$C:$C,历史数据!$A:$A,$A$3-1,历史数据!$B:$B,$B5)+SUMIFS(历史数据!$C:$C,历史数据!$A:$A,$A$3-2,历史数据!$B:$B,$B5)+SUMIFS(历史数据!$C:$C,历史数据!$A:$A,$A$3-3,历史数据!$B:$B,$B5))/3</f>
        <v>-11</v>
      </c>
      <c r="M5" s="108">
        <f ca="1">C5-(SUMIFS(历史数据!$C:$C,历史数据!$A:$A,$A$3-1,历史数据!$B:$B,$B5)+SUMIFS(历史数据!$C:$C,历史数据!$A:$A,$A$3-2,历史数据!$B:$B,$B5)+SUMIFS(历史数据!$C:$C,历史数据!$A:$A,$A$3-3,历史数据!$B:$B,$B5)+SUMIFS(历史数据!$C:$C,历史数据!$A:$A,$A$3-4,历史数据!$B:$B,$B5)+SUMIFS(历史数据!$C:$C,历史数据!$A:$A,$A$3-5,历史数据!$B:$B,$B5))/5</f>
        <v>-3.60000000000002</v>
      </c>
      <c r="N5" s="108">
        <f ca="1">C5-(SUMIFS(历史数据!$C:$C,历史数据!$A:$A,$A$3-1,历史数据!$B:$B,$B5)+SUMIFS(历史数据!$C:$C,历史数据!$A:$A,$A$3-2,历史数据!$B:$B,$B5)+SUMIFS(历史数据!$C:$C,历史数据!$A:$A,$A$3-3,历史数据!$B:$B,$B5)+SUMIFS(历史数据!$C:$C,历史数据!$A:$A,$A$3-4,历史数据!$B:$B,$B5)+SUMIFS(历史数据!$C:$C,历史数据!$A:$A,$A$3-5,历史数据!$B:$B,$B5)+SUMIFS(历史数据!$C:$C,历史数据!$A:$A,$A$3-6,历史数据!$B:$B,$B5)+SUMIFS(历史数据!$C:$C,历史数据!$A:$A,$A$3-7,历史数据!$B:$B,$B5))/7</f>
        <v>33.5714285714286</v>
      </c>
      <c r="O5" s="108">
        <f ca="1">E5-SUMIFS(历史数据!$E:$E,历史数据!$A:$A,$A$3-1,历史数据!$B:$B,$B5)</f>
        <v>-2</v>
      </c>
      <c r="P5" s="108">
        <f ca="1">E5-(SUMIFS(历史数据!$E:$E,历史数据!$A:$A,$A$3-1,历史数据!$B:$B,$B5)+SUMIFS(历史数据!$E:$E,历史数据!$A:$A,$A$3-2,历史数据!$B:$B,$B5)+SUMIFS(历史数据!$E:$E,历史数据!$A:$A,$A$3-3,历史数据!$B:$B,$B5))/3</f>
        <v>0.666666666666667</v>
      </c>
      <c r="Q5" s="108">
        <f ca="1">E5-(SUMIFS(历史数据!$E:$E,历史数据!$A:$A,$A$3-1,历史数据!$B:$B,$B5)+SUMIFS(历史数据!$E:$E,历史数据!$A:$A,$A$3-2,历史数据!$B:$B,$B5)+SUMIFS(历史数据!$E:$E,历史数据!$A:$A,$A$3-3,历史数据!$B:$B,$B5)+SUMIFS(历史数据!$E:$E,历史数据!$A:$A,$A$3-4,历史数据!$B:$B,$B5)+SUMIFS(历史数据!$E:$E,历史数据!$A:$A,$A$3-5,历史数据!$B:$B,$B5))/5</f>
        <v>0.6</v>
      </c>
      <c r="R5" s="108">
        <f ca="1">E5-(SUMIFS(历史数据!$E:$E,历史数据!$A:$A,$A$3-1,历史数据!$B:$B,$B5)+SUMIFS(历史数据!$E:$E,历史数据!$A:$A,$A$3-2,历史数据!$B:$B,$B5)+SUMIFS(历史数据!$E:$E,历史数据!$A:$A,$A$3-3,历史数据!$B:$B,$B5)+SUMIFS(历史数据!$E:$E,历史数据!$A:$A,$A$3-4,历史数据!$B:$B,$B5)+SUMIFS(历史数据!$E:$E,历史数据!$A:$A,$A$3-5,历史数据!$B:$B,$B5)+SUMIFS(历史数据!$E:$E,历史数据!$A:$A,$A$3-6,历史数据!$B:$B,$B5)+SUMIFS(历史数据!$E:$E,历史数据!$A:$A,$A$3-7,历史数据!$B:$B,$B5))/7</f>
        <v>1.42857142857143</v>
      </c>
      <c r="S5" s="108">
        <f ca="1">G5-SUMIFS(历史数据!$G:$G,历史数据!$A:$A,$A$3-1,历史数据!$B:$B,$B5)</f>
        <v>-3</v>
      </c>
      <c r="T5" s="108">
        <f ca="1">G5-(SUMIFS(历史数据!$G:$G,历史数据!$A:$A,$A$3-1,历史数据!$B:$B,$B5)+SUMIFS(历史数据!$G:$G,历史数据!$A:$A,$A$3-2,历史数据!$B:$B,$B5)+SUMIFS(历史数据!$G:$G,历史数据!$A:$A,$A$3-3,历史数据!$B:$B,$B5))/3</f>
        <v>-3.33333333333333</v>
      </c>
      <c r="U5" s="108">
        <f ca="1">G5-(SUMIFS(历史数据!$G:$G,历史数据!$A:$A,$A$3-1,历史数据!$B:$B,$B5)+SUMIFS(历史数据!$G:$G,历史数据!$A:$A,$A$3-2,历史数据!$B:$B,$B5)+SUMIFS(历史数据!$G:$G,历史数据!$A:$A,$A$3-3,历史数据!$B:$B,$B5)+SUMIFS(历史数据!$G:$G,历史数据!$A:$A,$A$3-4,历史数据!$B:$B,$B5)+SUMIFS(历史数据!$G:$G,历史数据!$A:$A,$A$3-5,历史数据!$B:$B,$B5))/5</f>
        <v>-2.4</v>
      </c>
      <c r="V5" s="108">
        <f ca="1">G5-(SUMIFS(历史数据!$G:$G,历史数据!$A:$A,$A$3-1,历史数据!$B:$B,$B5)+SUMIFS(历史数据!$G:$G,历史数据!$A:$A,$A$3-2,历史数据!$B:$B,$B5)+SUMIFS(历史数据!$G:$G,历史数据!$A:$A,$A$3-3,历史数据!$B:$B,$B5)+SUMIFS(历史数据!$G:$G,历史数据!$A:$A,$A$3-4,历史数据!$B:$B,$B5)+SUMIFS(历史数据!$G:$G,历史数据!$A:$A,$A$3-5,历史数据!$B:$B,$B5)+SUMIFS(历史数据!$G:$G,历史数据!$A:$A,$A$3-6,历史数据!$B:$B,$B5)+SUMIFS(历史数据!$G:$G,历史数据!$A:$A,$A$3-7,历史数据!$B:$B,$B5))/7</f>
        <v>-2.42857142857143</v>
      </c>
    </row>
    <row r="6" ht="18.95" customHeight="1" spans="1:24">
      <c r="A6" s="109"/>
      <c r="B6" s="104" t="s">
        <v>22</v>
      </c>
      <c r="C6" s="218">
        <f>SUMIFS([1]趋势分析!$F:$F,[1]趋势分析!$A:$A,"redquan.com")</f>
        <v>3445</v>
      </c>
      <c r="D6" s="218">
        <f>SUMIFS([1]趋势分析!$F:$F,[1]趋势分析!$A:$A,"martin.bty")</f>
        <v>1072</v>
      </c>
      <c r="E6" s="217">
        <f>COUNTIF(bty注册!X:X,B6)</f>
        <v>78</v>
      </c>
      <c r="F6" s="106">
        <f t="shared" si="2"/>
        <v>0.0226415094339623</v>
      </c>
      <c r="G6" s="107">
        <f>COUNTIF(bty首充!H:H,B6)</f>
        <v>24</v>
      </c>
      <c r="H6" s="106">
        <f t="shared" si="0"/>
        <v>0.307692307692308</v>
      </c>
      <c r="I6" s="104">
        <f>COUNTIFS(bty首充!$H:$H,$B6,bty首充!$K:$K,1)</f>
        <v>18</v>
      </c>
      <c r="J6" s="106">
        <f t="shared" si="1"/>
        <v>0.230769230769231</v>
      </c>
      <c r="K6" s="108">
        <f ca="1">C6-SUMIFS(历史数据!$C:$C,历史数据!$A:$A,$A$3-1,历史数据!$B:$B,$B6)</f>
        <v>193</v>
      </c>
      <c r="L6" s="108">
        <f ca="1">C6-(SUMIFS(历史数据!$C:$C,历史数据!$A:$A,$A$3-1,历史数据!$B:$B,$B6)+SUMIFS(历史数据!$C:$C,历史数据!$A:$A,$A$3-2,历史数据!$B:$B,$B6)+SUMIFS(历史数据!$C:$C,历史数据!$A:$A,$A$3-3,历史数据!$B:$B,$B6))/3</f>
        <v>293.666666666667</v>
      </c>
      <c r="M6" s="108">
        <f ca="1">C6-(SUMIFS(历史数据!$C:$C,历史数据!$A:$A,$A$3-1,历史数据!$B:$B,$B6)+SUMIFS(历史数据!$C:$C,历史数据!$A:$A,$A$3-2,历史数据!$B:$B,$B6)+SUMIFS(历史数据!$C:$C,历史数据!$A:$A,$A$3-3,历史数据!$B:$B,$B6)+SUMIFS(历史数据!$C:$C,历史数据!$A:$A,$A$3-4,历史数据!$B:$B,$B6)+SUMIFS(历史数据!$C:$C,历史数据!$A:$A,$A$3-5,历史数据!$B:$B,$B6))/5</f>
        <v>516.2</v>
      </c>
      <c r="N6" s="108">
        <f ca="1">C6-(SUMIFS(历史数据!$C:$C,历史数据!$A:$A,$A$3-1,历史数据!$B:$B,$B6)+SUMIFS(历史数据!$C:$C,历史数据!$A:$A,$A$3-2,历史数据!$B:$B,$B6)+SUMIFS(历史数据!$C:$C,历史数据!$A:$A,$A$3-3,历史数据!$B:$B,$B6)+SUMIFS(历史数据!$C:$C,历史数据!$A:$A,$A$3-4,历史数据!$B:$B,$B6)+SUMIFS(历史数据!$C:$C,历史数据!$A:$A,$A$3-5,历史数据!$B:$B,$B6)+SUMIFS(历史数据!$C:$C,历史数据!$A:$A,$A$3-6,历史数据!$B:$B,$B6)+SUMIFS(历史数据!$C:$C,历史数据!$A:$A,$A$3-7,历史数据!$B:$B,$B6))/7</f>
        <v>1112.85714285714</v>
      </c>
      <c r="O6" s="108">
        <f ca="1">E6-SUMIFS(历史数据!$E:$E,历史数据!$A:$A,$A$3-1,历史数据!$B:$B,$B6)</f>
        <v>-5</v>
      </c>
      <c r="P6" s="108">
        <f ca="1">E6-(SUMIFS(历史数据!$E:$E,历史数据!$A:$A,$A$3-1,历史数据!$B:$B,$B6)+SUMIFS(历史数据!$E:$E,历史数据!$A:$A,$A$3-2,历史数据!$B:$B,$B6)+SUMIFS(历史数据!$E:$E,历史数据!$A:$A,$A$3-3,历史数据!$B:$B,$B6))/3</f>
        <v>17.6666666666667</v>
      </c>
      <c r="Q6" s="108">
        <f ca="1">E6-(SUMIFS(历史数据!$E:$E,历史数据!$A:$A,$A$3-1,历史数据!$B:$B,$B6)+SUMIFS(历史数据!$E:$E,历史数据!$A:$A,$A$3-2,历史数据!$B:$B,$B6)+SUMIFS(历史数据!$E:$E,历史数据!$A:$A,$A$3-3,历史数据!$B:$B,$B6)+SUMIFS(历史数据!$E:$E,历史数据!$A:$A,$A$3-4,历史数据!$B:$B,$B6)+SUMIFS(历史数据!$E:$E,历史数据!$A:$A,$A$3-5,历史数据!$B:$B,$B6))/5</f>
        <v>26</v>
      </c>
      <c r="R6" s="115">
        <f ca="1">E6-(SUMIFS(历史数据!$E:$E,历史数据!$A:$A,$A$3-1,历史数据!$B:$B,$B6)+SUMIFS(历史数据!$E:$E,历史数据!$A:$A,$A$3-2,历史数据!$B:$B,$B6)+SUMIFS(历史数据!$E:$E,历史数据!$A:$A,$A$3-3,历史数据!$B:$B,$B6)+SUMIFS(历史数据!$E:$E,历史数据!$A:$A,$A$3-4,历史数据!$B:$B,$B6)+SUMIFS(历史数据!$E:$E,历史数据!$A:$A,$A$3-5,历史数据!$B:$B,$B6)+SUMIFS(历史数据!$E:$E,历史数据!$A:$A,$A$3-6,历史数据!$B:$B,$B6)+SUMIFS(历史数据!$E:$E,历史数据!$A:$A,$A$3-7,历史数据!$B:$B,$B6))/7</f>
        <v>35.8571428571429</v>
      </c>
      <c r="S6" s="108">
        <f ca="1">G6-SUMIFS(历史数据!$G:$G,历史数据!$A:$A,$A$3-1,历史数据!$B:$B,$B6)</f>
        <v>3</v>
      </c>
      <c r="T6" s="108">
        <f ca="1">G6-(SUMIFS(历史数据!$G:$G,历史数据!$A:$A,$A$3-1,历史数据!$B:$B,$B6)+SUMIFS(历史数据!$G:$G,历史数据!$A:$A,$A$3-2,历史数据!$B:$B,$B6)+SUMIFS(历史数据!$G:$G,历史数据!$A:$A,$A$3-3,历史数据!$B:$B,$B6))/3</f>
        <v>6.33333333333333</v>
      </c>
      <c r="U6" s="108">
        <f ca="1">G6-(SUMIFS(历史数据!$G:$G,历史数据!$A:$A,$A$3-1,历史数据!$B:$B,$B6)+SUMIFS(历史数据!$G:$G,历史数据!$A:$A,$A$3-2,历史数据!$B:$B,$B6)+SUMIFS(历史数据!$G:$G,历史数据!$A:$A,$A$3-3,历史数据!$B:$B,$B6)+SUMIFS(历史数据!$G:$G,历史数据!$A:$A,$A$3-4,历史数据!$B:$B,$B6)+SUMIFS(历史数据!$G:$G,历史数据!$A:$A,$A$3-5,历史数据!$B:$B,$B6))/5</f>
        <v>8.6</v>
      </c>
      <c r="V6" s="117">
        <f ca="1">G6-(SUMIFS(历史数据!$G:$G,历史数据!$A:$A,$A$3-1,历史数据!$B:$B,$B6)+SUMIFS(历史数据!$G:$G,历史数据!$A:$A,$A$3-2,历史数据!$B:$B,$B6)+SUMIFS(历史数据!$G:$G,历史数据!$A:$A,$A$3-3,历史数据!$B:$B,$B6)+SUMIFS(历史数据!$G:$G,历史数据!$A:$A,$A$3-4,历史数据!$B:$B,$B6)+SUMIFS(历史数据!$G:$G,历史数据!$A:$A,$A$3-5,历史数据!$B:$B,$B6)+SUMIFS(历史数据!$G:$G,历史数据!$A:$A,$A$3-6,历史数据!$B:$B,$B6)+SUMIFS(历史数据!$G:$G,历史数据!$A:$A,$A$3-7,历史数据!$B:$B,$B6))/7</f>
        <v>12</v>
      </c>
      <c r="W6" s="154"/>
      <c r="X6" s="154"/>
    </row>
    <row r="7" ht="14.45" customHeight="1" spans="1:22">
      <c r="A7" s="109"/>
      <c r="B7" s="104" t="s">
        <v>23</v>
      </c>
      <c r="C7" s="218">
        <f>SUMIFS([1]趋势分析!$F:$F,[1]趋势分析!$A:$A,"zed.com")</f>
        <v>4853</v>
      </c>
      <c r="D7" s="218">
        <f>SUMIFS([1]趋势分析!$F:$F,[1]趋势分析!$A:$A,"zed.bty")</f>
        <v>329</v>
      </c>
      <c r="E7" s="217">
        <f>COUNTIF(bty注册!X:X,B7)</f>
        <v>19</v>
      </c>
      <c r="F7" s="106">
        <f t="shared" si="2"/>
        <v>0.00391510405934473</v>
      </c>
      <c r="G7" s="107">
        <f>COUNTIF(bty首充!H:H,B7)</f>
        <v>8</v>
      </c>
      <c r="H7" s="106">
        <f t="shared" si="0"/>
        <v>0.421052631578947</v>
      </c>
      <c r="I7" s="104">
        <f>COUNTIFS(bty首充!$H:$H,$B7,bty首充!$K:$K,1)</f>
        <v>8</v>
      </c>
      <c r="J7" s="106">
        <f t="shared" si="1"/>
        <v>0.421052631578947</v>
      </c>
      <c r="K7" s="108">
        <f ca="1">C7-SUMIFS(历史数据!$C:$C,历史数据!$A:$A,$A$3-1,历史数据!$B:$B,$B7)</f>
        <v>157</v>
      </c>
      <c r="L7" s="108">
        <f ca="1">C7-(SUMIFS(历史数据!$C:$C,历史数据!$A:$A,$A$3-1,历史数据!$B:$B,$B7)+SUMIFS(历史数据!$C:$C,历史数据!$A:$A,$A$3-2,历史数据!$B:$B,$B7)+SUMIFS(历史数据!$C:$C,历史数据!$A:$A,$A$3-3,历史数据!$B:$B,$B7))/3</f>
        <v>431.666666666667</v>
      </c>
      <c r="M7" s="108">
        <f ca="1">C7-(SUMIFS(历史数据!$C:$C,历史数据!$A:$A,$A$3-1,历史数据!$B:$B,$B7)+SUMIFS(历史数据!$C:$C,历史数据!$A:$A,$A$3-2,历史数据!$B:$B,$B7)+SUMIFS(历史数据!$C:$C,历史数据!$A:$A,$A$3-3,历史数据!$B:$B,$B7)+SUMIFS(历史数据!$C:$C,历史数据!$A:$A,$A$3-4,历史数据!$B:$B,$B7)+SUMIFS(历史数据!$C:$C,历史数据!$A:$A,$A$3-5,历史数据!$B:$B,$B7))/5</f>
        <v>599.2</v>
      </c>
      <c r="N7" s="108">
        <f ca="1">C7-(SUMIFS(历史数据!$C:$C,历史数据!$A:$A,$A$3-1,历史数据!$B:$B,$B7)+SUMIFS(历史数据!$C:$C,历史数据!$A:$A,$A$3-2,历史数据!$B:$B,$B7)+SUMIFS(历史数据!$C:$C,历史数据!$A:$A,$A$3-3,历史数据!$B:$B,$B7)+SUMIFS(历史数据!$C:$C,历史数据!$A:$A,$A$3-4,历史数据!$B:$B,$B7)+SUMIFS(历史数据!$C:$C,历史数据!$A:$A,$A$3-5,历史数据!$B:$B,$B7)+SUMIFS(历史数据!$C:$C,历史数据!$A:$A,$A$3-6,历史数据!$B:$B,$B7)+SUMIFS(历史数据!$C:$C,历史数据!$A:$A,$A$3-7,历史数据!$B:$B,$B7))/7</f>
        <v>1304.14285714286</v>
      </c>
      <c r="O7" s="108">
        <f ca="1">E7-SUMIFS(历史数据!$E:$E,历史数据!$A:$A,$A$3-1,历史数据!$B:$B,$B7)</f>
        <v>9</v>
      </c>
      <c r="P7" s="108">
        <f ca="1">E7-(SUMIFS(历史数据!$E:$E,历史数据!$A:$A,$A$3-1,历史数据!$B:$B,$B7)+SUMIFS(历史数据!$E:$E,历史数据!$A:$A,$A$3-2,历史数据!$B:$B,$B7)+SUMIFS(历史数据!$E:$E,历史数据!$A:$A,$A$3-3,历史数据!$B:$B,$B7))/3</f>
        <v>11.3333333333333</v>
      </c>
      <c r="Q7" s="108">
        <f ca="1">E7-(SUMIFS(历史数据!$E:$E,历史数据!$A:$A,$A$3-1,历史数据!$B:$B,$B7)+SUMIFS(历史数据!$E:$E,历史数据!$A:$A,$A$3-2,历史数据!$B:$B,$B7)+SUMIFS(历史数据!$E:$E,历史数据!$A:$A,$A$3-3,历史数据!$B:$B,$B7)+SUMIFS(历史数据!$E:$E,历史数据!$A:$A,$A$3-4,历史数据!$B:$B,$B7)+SUMIFS(历史数据!$E:$E,历史数据!$A:$A,$A$3-5,历史数据!$B:$B,$B7))/5</f>
        <v>11.2</v>
      </c>
      <c r="R7" s="108">
        <f ca="1">E7-(SUMIFS(历史数据!$E:$E,历史数据!$A:$A,$A$3-1,历史数据!$B:$B,$B7)+SUMIFS(历史数据!$E:$E,历史数据!$A:$A,$A$3-2,历史数据!$B:$B,$B7)+SUMIFS(历史数据!$E:$E,历史数据!$A:$A,$A$3-3,历史数据!$B:$B,$B7)+SUMIFS(历史数据!$E:$E,历史数据!$A:$A,$A$3-4,历史数据!$B:$B,$B7)+SUMIFS(历史数据!$E:$E,历史数据!$A:$A,$A$3-5,历史数据!$B:$B,$B7)+SUMIFS(历史数据!$E:$E,历史数据!$A:$A,$A$3-6,历史数据!$B:$B,$B7)+SUMIFS(历史数据!$E:$E,历史数据!$A:$A,$A$3-7,历史数据!$B:$B,$B7))/7</f>
        <v>12.7142857142857</v>
      </c>
      <c r="S7" s="108">
        <f ca="1">G7-SUMIFS(历史数据!$G:$G,历史数据!$A:$A,$A$3-1,历史数据!$B:$B,$B7)</f>
        <v>1</v>
      </c>
      <c r="T7" s="116">
        <f ca="1">G7-(SUMIFS(历史数据!$G:$G,历史数据!$A:$A,$A$3-1,历史数据!$B:$B,$B7)+SUMIFS(历史数据!$G:$G,历史数据!$A:$A,$A$3-2,历史数据!$B:$B,$B7)+SUMIFS(历史数据!$G:$G,历史数据!$A:$A,$A$3-3,历史数据!$B:$B,$B7))/3</f>
        <v>3</v>
      </c>
      <c r="U7" s="108">
        <f ca="1">G7-(SUMIFS(历史数据!$G:$G,历史数据!$A:$A,$A$3-1,历史数据!$B:$B,$B7)+SUMIFS(历史数据!$G:$G,历史数据!$A:$A,$A$3-2,历史数据!$B:$B,$B7)+SUMIFS(历史数据!$G:$G,历史数据!$A:$A,$A$3-3,历史数据!$B:$B,$B7)+SUMIFS(历史数据!$G:$G,历史数据!$A:$A,$A$3-4,历史数据!$B:$B,$B7)+SUMIFS(历史数据!$G:$G,历史数据!$A:$A,$A$3-5,历史数据!$B:$B,$B7))/5</f>
        <v>4</v>
      </c>
      <c r="V7" s="108">
        <f ca="1">G7-(SUMIFS(历史数据!$G:$G,历史数据!$A:$A,$A$3-1,历史数据!$B:$B,$B7)+SUMIFS(历史数据!$G:$G,历史数据!$A:$A,$A$3-2,历史数据!$B:$B,$B7)+SUMIFS(历史数据!$G:$G,历史数据!$A:$A,$A$3-3,历史数据!$B:$B,$B7)+SUMIFS(历史数据!$G:$G,历史数据!$A:$A,$A$3-4,历史数据!$B:$B,$B7)+SUMIFS(历史数据!$G:$G,历史数据!$A:$A,$A$3-5,历史数据!$B:$B,$B7)+SUMIFS(历史数据!$G:$G,历史数据!$A:$A,$A$3-6,历史数据!$B:$B,$B7)+SUMIFS(历史数据!$G:$G,历史数据!$A:$A,$A$3-7,历史数据!$B:$B,$B7))/7</f>
        <v>4.85714285714286</v>
      </c>
    </row>
    <row r="8" ht="14.45" customHeight="1" spans="1:24">
      <c r="A8" s="109"/>
      <c r="B8" s="104" t="s">
        <v>24</v>
      </c>
      <c r="C8" s="218">
        <f>SUMIFS([1]趋势分析!$F:$F,[1]趋势分析!$A:$A,"hugo.com")</f>
        <v>103</v>
      </c>
      <c r="D8" s="218">
        <f>SUMIFS([1]趋势分析!$F:$F,[1]趋势分析!$A:$A,"hugo.bty")</f>
        <v>0</v>
      </c>
      <c r="E8" s="217">
        <f>COUNTIF(bty注册!X:X,B8)</f>
        <v>14</v>
      </c>
      <c r="F8" s="106">
        <f t="shared" si="2"/>
        <v>0.135922330097087</v>
      </c>
      <c r="G8" s="107">
        <f>COUNTIF(bty首充!H:H,B8)</f>
        <v>5</v>
      </c>
      <c r="H8" s="106">
        <f t="shared" si="0"/>
        <v>0.357142857142857</v>
      </c>
      <c r="I8" s="104">
        <f>COUNTIFS(bty首充!$H:$H,$B8,bty首充!$K:$K,1)</f>
        <v>2</v>
      </c>
      <c r="J8" s="106">
        <f t="shared" si="1"/>
        <v>0.142857142857143</v>
      </c>
      <c r="K8" s="108">
        <f ca="1">C8-SUMIFS(历史数据!$C:$C,历史数据!$A:$A,$A$3-1,历史数据!$B:$B,$B8)</f>
        <v>-22</v>
      </c>
      <c r="L8" s="108">
        <f ca="1">C8-(SUMIFS(历史数据!$C:$C,历史数据!$A:$A,$A$3-1,历史数据!$B:$B,$B8)+SUMIFS(历史数据!$C:$C,历史数据!$A:$A,$A$3-2,历史数据!$B:$B,$B8)+SUMIFS(历史数据!$C:$C,历史数据!$A:$A,$A$3-3,历史数据!$B:$B,$B8))/3</f>
        <v>-67.3333333333333</v>
      </c>
      <c r="M8" s="108">
        <f ca="1">C8-(SUMIFS(历史数据!$C:$C,历史数据!$A:$A,$A$3-1,历史数据!$B:$B,$B8)+SUMIFS(历史数据!$C:$C,历史数据!$A:$A,$A$3-2,历史数据!$B:$B,$B8)+SUMIFS(历史数据!$C:$C,历史数据!$A:$A,$A$3-3,历史数据!$B:$B,$B8)+SUMIFS(历史数据!$C:$C,历史数据!$A:$A,$A$3-4,历史数据!$B:$B,$B8)+SUMIFS(历史数据!$C:$C,历史数据!$A:$A,$A$3-5,历史数据!$B:$B,$B8))/5</f>
        <v>-424</v>
      </c>
      <c r="N8" s="108">
        <f ca="1">C8-(SUMIFS(历史数据!$C:$C,历史数据!$A:$A,$A$3-1,历史数据!$B:$B,$B8)+SUMIFS(历史数据!$C:$C,历史数据!$A:$A,$A$3-2,历史数据!$B:$B,$B8)+SUMIFS(历史数据!$C:$C,历史数据!$A:$A,$A$3-3,历史数据!$B:$B,$B8)+SUMIFS(历史数据!$C:$C,历史数据!$A:$A,$A$3-4,历史数据!$B:$B,$B8)+SUMIFS(历史数据!$C:$C,历史数据!$A:$A,$A$3-5,历史数据!$B:$B,$B8)+SUMIFS(历史数据!$C:$C,历史数据!$A:$A,$A$3-6,历史数据!$B:$B,$B8)+SUMIFS(历史数据!$C:$C,历史数据!$A:$A,$A$3-7,历史数据!$B:$B,$B8))/7</f>
        <v>-431.285714285714</v>
      </c>
      <c r="O8" s="115">
        <f ca="1">E8-SUMIFS(历史数据!$E:$E,历史数据!$A:$A,$A$3-1,历史数据!$B:$B,$B8)</f>
        <v>6</v>
      </c>
      <c r="P8" s="115">
        <f ca="1">E8-(SUMIFS(历史数据!$E:$E,历史数据!$A:$A,$A$3-1,历史数据!$B:$B,$B8)+SUMIFS(历史数据!$E:$E,历史数据!$A:$A,$A$3-2,历史数据!$B:$B,$B8)+SUMIFS(历史数据!$E:$E,历史数据!$A:$A,$A$3-3,历史数据!$B:$B,$B8))/3</f>
        <v>2.33333333333333</v>
      </c>
      <c r="Q8" s="115">
        <f ca="1">E8-(SUMIFS(历史数据!$E:$E,历史数据!$A:$A,$A$3-1,历史数据!$B:$B,$B8)+SUMIFS(历史数据!$E:$E,历史数据!$A:$A,$A$3-2,历史数据!$B:$B,$B8)+SUMIFS(历史数据!$E:$E,历史数据!$A:$A,$A$3-3,历史数据!$B:$B,$B8)+SUMIFS(历史数据!$E:$E,历史数据!$A:$A,$A$3-4,历史数据!$B:$B,$B8)+SUMIFS(历史数据!$E:$E,历史数据!$A:$A,$A$3-5,历史数据!$B:$B,$B8))/5</f>
        <v>-1.4</v>
      </c>
      <c r="R8" s="115">
        <f ca="1">E8-(SUMIFS(历史数据!$E:$E,历史数据!$A:$A,$A$3-1,历史数据!$B:$B,$B8)+SUMIFS(历史数据!$E:$E,历史数据!$A:$A,$A$3-2,历史数据!$B:$B,$B8)+SUMIFS(历史数据!$E:$E,历史数据!$A:$A,$A$3-3,历史数据!$B:$B,$B8)+SUMIFS(历史数据!$E:$E,历史数据!$A:$A,$A$3-4,历史数据!$B:$B,$B8)+SUMIFS(历史数据!$E:$E,历史数据!$A:$A,$A$3-5,历史数据!$B:$B,$B8)+SUMIFS(历史数据!$E:$E,历史数据!$A:$A,$A$3-6,历史数据!$B:$B,$B8)+SUMIFS(历史数据!$E:$E,历史数据!$A:$A,$A$3-7,历史数据!$B:$B,$B8))/7</f>
        <v>-0.285714285714286</v>
      </c>
      <c r="S8" s="115">
        <f ca="1">G8-SUMIFS(历史数据!$G:$G,历史数据!$A:$A,$A$3-1,历史数据!$B:$B,$B8)</f>
        <v>1</v>
      </c>
      <c r="T8" s="115">
        <f ca="1">G8-(SUMIFS(历史数据!$G:$G,历史数据!$A:$A,$A$3-1,历史数据!$B:$B,$B8)+SUMIFS(历史数据!$G:$G,历史数据!$A:$A,$A$3-2,历史数据!$B:$B,$B8)+SUMIFS(历史数据!$G:$G,历史数据!$A:$A,$A$3-3,历史数据!$B:$B,$B8))/3</f>
        <v>-1</v>
      </c>
      <c r="U8" s="115">
        <f ca="1">G8-(SUMIFS(历史数据!$G:$G,历史数据!$A:$A,$A$3-1,历史数据!$B:$B,$B8)+SUMIFS(历史数据!$G:$G,历史数据!$A:$A,$A$3-2,历史数据!$B:$B,$B8)+SUMIFS(历史数据!$G:$G,历史数据!$A:$A,$A$3-3,历史数据!$B:$B,$B8)+SUMIFS(历史数据!$G:$G,历史数据!$A:$A,$A$3-4,历史数据!$B:$B,$B8)+SUMIFS(历史数据!$G:$G,历史数据!$A:$A,$A$3-5,历史数据!$B:$B,$B8))/5</f>
        <v>-2.4</v>
      </c>
      <c r="V8" s="115">
        <f ca="1">G8-(SUMIFS(历史数据!$G:$G,历史数据!$A:$A,$A$3-1,历史数据!$B:$B,$B8)+SUMIFS(历史数据!$G:$G,历史数据!$A:$A,$A$3-2,历史数据!$B:$B,$B8)+SUMIFS(历史数据!$G:$G,历史数据!$A:$A,$A$3-3,历史数据!$B:$B,$B8)+SUMIFS(历史数据!$G:$G,历史数据!$A:$A,$A$3-4,历史数据!$B:$B,$B8)+SUMIFS(历史数据!$G:$G,历史数据!$A:$A,$A$3-5,历史数据!$B:$B,$B8)+SUMIFS(历史数据!$G:$G,历史数据!$A:$A,$A$3-6,历史数据!$B:$B,$B8)+SUMIFS(历史数据!$G:$G,历史数据!$A:$A,$A$3-7,历史数据!$B:$B,$B8))/7</f>
        <v>-1</v>
      </c>
      <c r="W8" s="154"/>
      <c r="X8" s="154"/>
    </row>
    <row r="9" ht="14.45" customHeight="1" spans="1:22">
      <c r="A9" s="109"/>
      <c r="B9" s="104" t="s">
        <v>25</v>
      </c>
      <c r="C9" s="218">
        <f>SUMIFS([1]趋势分析!$F:$F,[1]趋势分析!$A:$A,"aber.com")/2</f>
        <v>7325</v>
      </c>
      <c r="D9" s="218">
        <f>SUMIFS([1]趋势分析!$F:$F,[1]趋势分析!$A:$A,"aber.bty")</f>
        <v>562</v>
      </c>
      <c r="E9" s="217">
        <f>COUNTIF(bty注册!X:X,B9)</f>
        <v>37</v>
      </c>
      <c r="F9" s="106">
        <f t="shared" si="2"/>
        <v>0.00505119453924915</v>
      </c>
      <c r="G9" s="107">
        <f>COUNTIF(bty首充!H:H,B9)</f>
        <v>13</v>
      </c>
      <c r="H9" s="106">
        <f t="shared" si="0"/>
        <v>0.351351351351351</v>
      </c>
      <c r="I9" s="104">
        <f>COUNTIFS(bty首充!$H:$H,$B9,bty首充!$K:$K,1)</f>
        <v>9</v>
      </c>
      <c r="J9" s="106">
        <f t="shared" si="1"/>
        <v>0.243243243243243</v>
      </c>
      <c r="K9" s="108">
        <f ca="1">C9-SUMIFS(历史数据!$C:$C,历史数据!$A:$A,$A$3-1,历史数据!$B:$B,$B9)</f>
        <v>-2359</v>
      </c>
      <c r="L9" s="108">
        <f ca="1">C9-(SUMIFS(历史数据!$C:$C,历史数据!$A:$A,$A$3-1,历史数据!$B:$B,$B9)+SUMIFS(历史数据!$C:$C,历史数据!$A:$A,$A$3-2,历史数据!$B:$B,$B9)+SUMIFS(历史数据!$C:$C,历史数据!$A:$A,$A$3-3,历史数据!$B:$B,$B9))/3</f>
        <v>-1960</v>
      </c>
      <c r="M9" s="108">
        <f ca="1">C9-(SUMIFS(历史数据!$C:$C,历史数据!$A:$A,$A$3-1,历史数据!$B:$B,$B9)+SUMIFS(历史数据!$C:$C,历史数据!$A:$A,$A$3-2,历史数据!$B:$B,$B9)+SUMIFS(历史数据!$C:$C,历史数据!$A:$A,$A$3-3,历史数据!$B:$B,$B9)+SUMIFS(历史数据!$C:$C,历史数据!$A:$A,$A$3-4,历史数据!$B:$B,$B9)+SUMIFS(历史数据!$C:$C,历史数据!$A:$A,$A$3-5,历史数据!$B:$B,$B9))/5</f>
        <v>-1843.6</v>
      </c>
      <c r="N9" s="108">
        <f ca="1">C9-(SUMIFS(历史数据!$C:$C,历史数据!$A:$A,$A$3-1,历史数据!$B:$B,$B9)+SUMIFS(历史数据!$C:$C,历史数据!$A:$A,$A$3-2,历史数据!$B:$B,$B9)+SUMIFS(历史数据!$C:$C,历史数据!$A:$A,$A$3-3,历史数据!$B:$B,$B9)+SUMIFS(历史数据!$C:$C,历史数据!$A:$A,$A$3-4,历史数据!$B:$B,$B9)+SUMIFS(历史数据!$C:$C,历史数据!$A:$A,$A$3-5,历史数据!$B:$B,$B9)+SUMIFS(历史数据!$C:$C,历史数据!$A:$A,$A$3-6,历史数据!$B:$B,$B9)+SUMIFS(历史数据!$C:$C,历史数据!$A:$A,$A$3-7,历史数据!$B:$B,$B9))/7</f>
        <v>278.285714285715</v>
      </c>
      <c r="O9" s="115">
        <f ca="1">E9-SUMIFS(历史数据!$E:$E,历史数据!$A:$A,$A$3-1,历史数据!$B:$B,$B9)</f>
        <v>-12</v>
      </c>
      <c r="P9" s="115">
        <f ca="1">E9-(SUMIFS(历史数据!$E:$E,历史数据!$A:$A,$A$3-1,历史数据!$B:$B,$B9)+SUMIFS(历史数据!$E:$E,历史数据!$A:$A,$A$3-2,历史数据!$B:$B,$B9)+SUMIFS(历史数据!$E:$E,历史数据!$A:$A,$A$3-3,历史数据!$B:$B,$B9))/3</f>
        <v>-5.66666666666666</v>
      </c>
      <c r="Q9" s="115">
        <f ca="1">E9-(SUMIFS(历史数据!$E:$E,历史数据!$A:$A,$A$3-1,历史数据!$B:$B,$B9)+SUMIFS(历史数据!$E:$E,历史数据!$A:$A,$A$3-2,历史数据!$B:$B,$B9)+SUMIFS(历史数据!$E:$E,历史数据!$A:$A,$A$3-3,历史数据!$B:$B,$B9)+SUMIFS(历史数据!$E:$E,历史数据!$A:$A,$A$3-4,历史数据!$B:$B,$B9)+SUMIFS(历史数据!$E:$E,历史数据!$A:$A,$A$3-5,历史数据!$B:$B,$B9))/5</f>
        <v>-5</v>
      </c>
      <c r="R9" s="115">
        <f ca="1">E9-(SUMIFS(历史数据!$E:$E,历史数据!$A:$A,$A$3-1,历史数据!$B:$B,$B9)+SUMIFS(历史数据!$E:$E,历史数据!$A:$A,$A$3-2,历史数据!$B:$B,$B9)+SUMIFS(历史数据!$E:$E,历史数据!$A:$A,$A$3-3,历史数据!$B:$B,$B9)+SUMIFS(历史数据!$E:$E,历史数据!$A:$A,$A$3-4,历史数据!$B:$B,$B9)+SUMIFS(历史数据!$E:$E,历史数据!$A:$A,$A$3-5,历史数据!$B:$B,$B9)+SUMIFS(历史数据!$E:$E,历史数据!$A:$A,$A$3-6,历史数据!$B:$B,$B9)+SUMIFS(历史数据!$E:$E,历史数据!$A:$A,$A$3-7,历史数据!$B:$B,$B9))/7</f>
        <v>2.28571428571428</v>
      </c>
      <c r="S9" s="108">
        <f ca="1">G9-SUMIFS(历史数据!$G:$G,历史数据!$A:$A,$A$3-1,历史数据!$B:$B,$B9)</f>
        <v>-7</v>
      </c>
      <c r="T9" s="108">
        <f ca="1">G9-(SUMIFS(历史数据!$G:$G,历史数据!$A:$A,$A$3-1,历史数据!$B:$B,$B9)+SUMIFS(历史数据!$G:$G,历史数据!$A:$A,$A$3-2,历史数据!$B:$B,$B9)+SUMIFS(历史数据!$G:$G,历史数据!$A:$A,$A$3-3,历史数据!$B:$B,$B9))/3</f>
        <v>-4.33333333333333</v>
      </c>
      <c r="U9" s="108">
        <f ca="1">G9-(SUMIFS(历史数据!$G:$G,历史数据!$A:$A,$A$3-1,历史数据!$B:$B,$B9)+SUMIFS(历史数据!$G:$G,历史数据!$A:$A,$A$3-2,历史数据!$B:$B,$B9)+SUMIFS(历史数据!$G:$G,历史数据!$A:$A,$A$3-3,历史数据!$B:$B,$B9)+SUMIFS(历史数据!$G:$G,历史数据!$A:$A,$A$3-4,历史数据!$B:$B,$B9)+SUMIFS(历史数据!$G:$G,历史数据!$A:$A,$A$3-5,历史数据!$B:$B,$B9))/5</f>
        <v>-1.6</v>
      </c>
      <c r="V9" s="108">
        <f ca="1">G9-(SUMIFS(历史数据!$G:$G,历史数据!$A:$A,$A$3-1,历史数据!$B:$B,$B9)+SUMIFS(历史数据!$G:$G,历史数据!$A:$A,$A$3-2,历史数据!$B:$B,$B9)+SUMIFS(历史数据!$G:$G,历史数据!$A:$A,$A$3-3,历史数据!$B:$B,$B9)+SUMIFS(历史数据!$G:$G,历史数据!$A:$A,$A$3-4,历史数据!$B:$B,$B9)+SUMIFS(历史数据!$G:$G,历史数据!$A:$A,$A$3-5,历史数据!$B:$B,$B9)+SUMIFS(历史数据!$G:$G,历史数据!$A:$A,$A$3-6,历史数据!$B:$B,$B9)+SUMIFS(历史数据!$G:$G,历史数据!$A:$A,$A$3-7,历史数据!$B:$B,$B9))/7</f>
        <v>1</v>
      </c>
    </row>
    <row r="10" ht="14.45" customHeight="1" spans="1:22">
      <c r="A10" s="109"/>
      <c r="B10" s="104" t="s">
        <v>26</v>
      </c>
      <c r="C10" s="218">
        <f>SUMIFS([1]趋势分析!$F:$F,[1]趋势分析!$A:$A,"dk.com")/2</f>
        <v>1525</v>
      </c>
      <c r="D10" s="218">
        <f>SUMIFS([1]趋势分析!$F:$F,[1]趋势分析!$A:$A,"dk.bty")</f>
        <v>2160</v>
      </c>
      <c r="E10" s="217">
        <f>COUNTIF(bty注册!X:X,B10)</f>
        <v>27</v>
      </c>
      <c r="F10" s="106">
        <f t="shared" si="2"/>
        <v>0.0177049180327869</v>
      </c>
      <c r="G10" s="107">
        <f>COUNTIF(bty首充!H:H,B10)</f>
        <v>5</v>
      </c>
      <c r="H10" s="106">
        <f t="shared" si="0"/>
        <v>0.185185185185185</v>
      </c>
      <c r="I10" s="104">
        <f>COUNTIFS(bty首充!$H:$H,$B10,bty首充!$K:$K,1)</f>
        <v>5</v>
      </c>
      <c r="J10" s="106">
        <f t="shared" si="1"/>
        <v>0.185185185185185</v>
      </c>
      <c r="K10" s="108">
        <f ca="1">C10-SUMIFS(历史数据!$C:$C,历史数据!$A:$A,$A$3-1,历史数据!$B:$B,$B10)</f>
        <v>102</v>
      </c>
      <c r="L10" s="108">
        <f ca="1">C10-(SUMIFS(历史数据!$C:$C,历史数据!$A:$A,$A$3-1,历史数据!$B:$B,$B10)+SUMIFS(历史数据!$C:$C,历史数据!$A:$A,$A$3-2,历史数据!$B:$B,$B10)+SUMIFS(历史数据!$C:$C,历史数据!$A:$A,$A$3-3,历史数据!$B:$B,$B10))/3</f>
        <v>106.666666666667</v>
      </c>
      <c r="M10" s="108">
        <f ca="1">C10-(SUMIFS(历史数据!$C:$C,历史数据!$A:$A,$A$3-1,历史数据!$B:$B,$B10)+SUMIFS(历史数据!$C:$C,历史数据!$A:$A,$A$3-2,历史数据!$B:$B,$B10)+SUMIFS(历史数据!$C:$C,历史数据!$A:$A,$A$3-3,历史数据!$B:$B,$B10)+SUMIFS(历史数据!$C:$C,历史数据!$A:$A,$A$3-4,历史数据!$B:$B,$B10)+SUMIFS(历史数据!$C:$C,历史数据!$A:$A,$A$3-5,历史数据!$B:$B,$B10))/5</f>
        <v>49.4000000000001</v>
      </c>
      <c r="N10" s="108">
        <f ca="1">C10-(SUMIFS(历史数据!$C:$C,历史数据!$A:$A,$A$3-1,历史数据!$B:$B,$B10)+SUMIFS(历史数据!$C:$C,历史数据!$A:$A,$A$3-2,历史数据!$B:$B,$B10)+SUMIFS(历史数据!$C:$C,历史数据!$A:$A,$A$3-3,历史数据!$B:$B,$B10)+SUMIFS(历史数据!$C:$C,历史数据!$A:$A,$A$3-4,历史数据!$B:$B,$B10)+SUMIFS(历史数据!$C:$C,历史数据!$A:$A,$A$3-5,历史数据!$B:$B,$B10)+SUMIFS(历史数据!$C:$C,历史数据!$A:$A,$A$3-6,历史数据!$B:$B,$B10)+SUMIFS(历史数据!$C:$C,历史数据!$A:$A,$A$3-7,历史数据!$B:$B,$B10))/7</f>
        <v>265.714285714286</v>
      </c>
      <c r="O10" s="108">
        <f ca="1">E10-SUMIFS(历史数据!$E:$E,历史数据!$A:$A,$A$3-1,历史数据!$B:$B,$B10)</f>
        <v>3</v>
      </c>
      <c r="P10" s="108">
        <f ca="1">E10-(SUMIFS(历史数据!$E:$E,历史数据!$A:$A,$A$3-1,历史数据!$B:$B,$B10)+SUMIFS(历史数据!$E:$E,历史数据!$A:$A,$A$3-2,历史数据!$B:$B,$B10)+SUMIFS(历史数据!$E:$E,历史数据!$A:$A,$A$3-3,历史数据!$B:$B,$B10))/3</f>
        <v>-4.66666666666667</v>
      </c>
      <c r="Q10" s="108">
        <f ca="1">E10-(SUMIFS(历史数据!$E:$E,历史数据!$A:$A,$A$3-1,历史数据!$B:$B,$B10)+SUMIFS(历史数据!$E:$E,历史数据!$A:$A,$A$3-2,历史数据!$B:$B,$B10)+SUMIFS(历史数据!$E:$E,历史数据!$A:$A,$A$3-3,历史数据!$B:$B,$B10)+SUMIFS(历史数据!$E:$E,历史数据!$A:$A,$A$3-4,历史数据!$B:$B,$B10)+SUMIFS(历史数据!$E:$E,历史数据!$A:$A,$A$3-5,历史数据!$B:$B,$B10))/5</f>
        <v>-4.4</v>
      </c>
      <c r="R10" s="108">
        <f ca="1">E10-(SUMIFS(历史数据!$E:$E,历史数据!$A:$A,$A$3-1,历史数据!$B:$B,$B10)+SUMIFS(历史数据!$E:$E,历史数据!$A:$A,$A$3-2,历史数据!$B:$B,$B10)+SUMIFS(历史数据!$E:$E,历史数据!$A:$A,$A$3-3,历史数据!$B:$B,$B10)+SUMIFS(历史数据!$E:$E,历史数据!$A:$A,$A$3-4,历史数据!$B:$B,$B10)+SUMIFS(历史数据!$E:$E,历史数据!$A:$A,$A$3-5,历史数据!$B:$B,$B10)+SUMIFS(历史数据!$E:$E,历史数据!$A:$A,$A$3-6,历史数据!$B:$B,$B10)+SUMIFS(历史数据!$E:$E,历史数据!$A:$A,$A$3-7,历史数据!$B:$B,$B10))/7</f>
        <v>-0.571428571428573</v>
      </c>
      <c r="S10" s="108">
        <f ca="1">G10-SUMIFS(历史数据!$G:$G,历史数据!$A:$A,$A$3-1,历史数据!$B:$B,$B10)</f>
        <v>-1</v>
      </c>
      <c r="T10" s="108">
        <f ca="1">G10-(SUMIFS(历史数据!$G:$G,历史数据!$A:$A,$A$3-1,历史数据!$B:$B,$B10)+SUMIFS(历史数据!$G:$G,历史数据!$A:$A,$A$3-2,历史数据!$B:$B,$B10)+SUMIFS(历史数据!$G:$G,历史数据!$A:$A,$A$3-3,历史数据!$B:$B,$B10))/3</f>
        <v>-5.66666666666667</v>
      </c>
      <c r="U10" s="108">
        <f ca="1">G10-(SUMIFS(历史数据!$G:$G,历史数据!$A:$A,$A$3-1,历史数据!$B:$B,$B10)+SUMIFS(历史数据!$G:$G,历史数据!$A:$A,$A$3-2,历史数据!$B:$B,$B10)+SUMIFS(历史数据!$G:$G,历史数据!$A:$A,$A$3-3,历史数据!$B:$B,$B10)+SUMIFS(历史数据!$G:$G,历史数据!$A:$A,$A$3-4,历史数据!$B:$B,$B10)+SUMIFS(历史数据!$G:$G,历史数据!$A:$A,$A$3-5,历史数据!$B:$B,$B10))/5</f>
        <v>-5.8</v>
      </c>
      <c r="V10" s="108">
        <f ca="1">G10-(SUMIFS(历史数据!$G:$G,历史数据!$A:$A,$A$3-1,历史数据!$B:$B,$B10)+SUMIFS(历史数据!$G:$G,历史数据!$A:$A,$A$3-2,历史数据!$B:$B,$B10)+SUMIFS(历史数据!$G:$G,历史数据!$A:$A,$A$3-3,历史数据!$B:$B,$B10)+SUMIFS(历史数据!$G:$G,历史数据!$A:$A,$A$3-4,历史数据!$B:$B,$B10)+SUMIFS(历史数据!$G:$G,历史数据!$A:$A,$A$3-5,历史数据!$B:$B,$B10)+SUMIFS(历史数据!$G:$G,历史数据!$A:$A,$A$3-6,历史数据!$B:$B,$B10)+SUMIFS(历史数据!$G:$G,历史数据!$A:$A,$A$3-7,历史数据!$B:$B,$B10))/7</f>
        <v>-4</v>
      </c>
    </row>
    <row r="11" ht="14.45" customHeight="1" spans="1:22">
      <c r="A11" s="109"/>
      <c r="B11" s="104" t="s">
        <v>27</v>
      </c>
      <c r="C11" s="218">
        <f>(SUMIFS([1]趋势分析!$F:$F,[1]趋势分析!$A:$A,"ben.com"))/2</f>
        <v>2565</v>
      </c>
      <c r="D11" s="218">
        <f>SUMIFS([1]趋势分析!$F:$F,[1]趋势分析!$A:$A,"ben.bty")</f>
        <v>298</v>
      </c>
      <c r="E11" s="217">
        <f>COUNTIF(bty注册!X:X,B11)</f>
        <v>14</v>
      </c>
      <c r="F11" s="106">
        <f t="shared" si="2"/>
        <v>0.00545808966861598</v>
      </c>
      <c r="G11" s="107">
        <f>COUNTIF(bty首充!H:H,B11)</f>
        <v>6</v>
      </c>
      <c r="H11" s="106">
        <f t="shared" si="0"/>
        <v>0.428571428571429</v>
      </c>
      <c r="I11" s="104">
        <f>COUNTIFS(bty首充!$H:$H,$B11,bty首充!$K:$K,1)</f>
        <v>3</v>
      </c>
      <c r="J11" s="106">
        <f t="shared" si="1"/>
        <v>0.214285714285714</v>
      </c>
      <c r="K11" s="108">
        <f ca="1">C11-SUMIFS(历史数据!$C:$C,历史数据!$A:$A,$A$3-1,历史数据!$B:$B,$B11)</f>
        <v>0</v>
      </c>
      <c r="L11" s="108">
        <f ca="1">C11-(SUMIFS(历史数据!$C:$C,历史数据!$A:$A,$A$3-1,历史数据!$B:$B,$B11)+SUMIFS(历史数据!$C:$C,历史数据!$A:$A,$A$3-2,历史数据!$B:$B,$B11)+SUMIFS(历史数据!$C:$C,历史数据!$A:$A,$A$3-3,历史数据!$B:$B,$B11))/3</f>
        <v>-503.333333333333</v>
      </c>
      <c r="M11" s="108">
        <f ca="1">C11-(SUMIFS(历史数据!$C:$C,历史数据!$A:$A,$A$3-1,历史数据!$B:$B,$B11)+SUMIFS(历史数据!$C:$C,历史数据!$A:$A,$A$3-2,历史数据!$B:$B,$B11)+SUMIFS(历史数据!$C:$C,历史数据!$A:$A,$A$3-3,历史数据!$B:$B,$B11)+SUMIFS(历史数据!$C:$C,历史数据!$A:$A,$A$3-4,历史数据!$B:$B,$B11)+SUMIFS(历史数据!$C:$C,历史数据!$A:$A,$A$3-5,历史数据!$B:$B,$B11))/5</f>
        <v>-1438.8</v>
      </c>
      <c r="N11" s="108">
        <f ca="1">C11-(SUMIFS(历史数据!$C:$C,历史数据!$A:$A,$A$3-1,历史数据!$B:$B,$B11)+SUMIFS(历史数据!$C:$C,历史数据!$A:$A,$A$3-2,历史数据!$B:$B,$B11)+SUMIFS(历史数据!$C:$C,历史数据!$A:$A,$A$3-3,历史数据!$B:$B,$B11)+SUMIFS(历史数据!$C:$C,历史数据!$A:$A,$A$3-4,历史数据!$B:$B,$B11)+SUMIFS(历史数据!$C:$C,历史数据!$A:$A,$A$3-5,历史数据!$B:$B,$B11)+SUMIFS(历史数据!$C:$C,历史数据!$A:$A,$A$3-6,历史数据!$B:$B,$B11)+SUMIFS(历史数据!$C:$C,历史数据!$A:$A,$A$3-7,历史数据!$B:$B,$B11))/7</f>
        <v>-1697.28571428571</v>
      </c>
      <c r="O11" s="108">
        <f ca="1">E11-SUMIFS(历史数据!$E:$E,历史数据!$A:$A,$A$3-1,历史数据!$B:$B,$B11)</f>
        <v>7</v>
      </c>
      <c r="P11" s="108">
        <f ca="1">E11-(SUMIFS(历史数据!$E:$E,历史数据!$A:$A,$A$3-1,历史数据!$B:$B,$B11)+SUMIFS(历史数据!$E:$E,历史数据!$A:$A,$A$3-2,历史数据!$B:$B,$B11)+SUMIFS(历史数据!$E:$E,历史数据!$A:$A,$A$3-3,历史数据!$B:$B,$B11))/3</f>
        <v>5</v>
      </c>
      <c r="Q11" s="108">
        <f ca="1">E11-(SUMIFS(历史数据!$E:$E,历史数据!$A:$A,$A$3-1,历史数据!$B:$B,$B11)+SUMIFS(历史数据!$E:$E,历史数据!$A:$A,$A$3-2,历史数据!$B:$B,$B11)+SUMIFS(历史数据!$E:$E,历史数据!$A:$A,$A$3-3,历史数据!$B:$B,$B11)+SUMIFS(历史数据!$E:$E,历史数据!$A:$A,$A$3-4,历史数据!$B:$B,$B11)+SUMIFS(历史数据!$E:$E,历史数据!$A:$A,$A$3-5,历史数据!$B:$B,$B11))/5</f>
        <v>3</v>
      </c>
      <c r="R11" s="108">
        <f ca="1">E11-(SUMIFS(历史数据!$E:$E,历史数据!$A:$A,$A$3-1,历史数据!$B:$B,$B11)+SUMIFS(历史数据!$E:$E,历史数据!$A:$A,$A$3-2,历史数据!$B:$B,$B11)+SUMIFS(历史数据!$E:$E,历史数据!$A:$A,$A$3-3,历史数据!$B:$B,$B11)+SUMIFS(历史数据!$E:$E,历史数据!$A:$A,$A$3-4,历史数据!$B:$B,$B11)+SUMIFS(历史数据!$E:$E,历史数据!$A:$A,$A$3-5,历史数据!$B:$B,$B11)+SUMIFS(历史数据!$E:$E,历史数据!$A:$A,$A$3-6,历史数据!$B:$B,$B11)+SUMIFS(历史数据!$E:$E,历史数据!$A:$A,$A$3-7,历史数据!$B:$B,$B11))/7</f>
        <v>3.28571428571429</v>
      </c>
      <c r="S11" s="108">
        <f ca="1">G11-SUMIFS(历史数据!$G:$G,历史数据!$A:$A,$A$3-1,历史数据!$B:$B,$B11)</f>
        <v>6</v>
      </c>
      <c r="T11" s="108">
        <f ca="1">G11-(SUMIFS(历史数据!$G:$G,历史数据!$A:$A,$A$3-1,历史数据!$B:$B,$B11)+SUMIFS(历史数据!$G:$G,历史数据!$A:$A,$A$3-2,历史数据!$B:$B,$B11)+SUMIFS(历史数据!$G:$G,历史数据!$A:$A,$A$3-3,历史数据!$B:$B,$B11))/3</f>
        <v>4</v>
      </c>
      <c r="U11" s="108">
        <f ca="1">G11-(SUMIFS(历史数据!$G:$G,历史数据!$A:$A,$A$3-1,历史数据!$B:$B,$B11)+SUMIFS(历史数据!$G:$G,历史数据!$A:$A,$A$3-2,历史数据!$B:$B,$B11)+SUMIFS(历史数据!$G:$G,历史数据!$A:$A,$A$3-3,历史数据!$B:$B,$B11)+SUMIFS(历史数据!$G:$G,历史数据!$A:$A,$A$3-4,历史数据!$B:$B,$B11)+SUMIFS(历史数据!$G:$G,历史数据!$A:$A,$A$3-5,历史数据!$B:$B,$B11))/5</f>
        <v>3.8</v>
      </c>
      <c r="V11" s="108">
        <f ca="1">G11-(SUMIFS(历史数据!$G:$G,历史数据!$A:$A,$A$3-1,历史数据!$B:$B,$B11)+SUMIFS(历史数据!$G:$G,历史数据!$A:$A,$A$3-2,历史数据!$B:$B,$B11)+SUMIFS(历史数据!$G:$G,历史数据!$A:$A,$A$3-3,历史数据!$B:$B,$B11)+SUMIFS(历史数据!$G:$G,历史数据!$A:$A,$A$3-4,历史数据!$B:$B,$B11)+SUMIFS(历史数据!$G:$G,历史数据!$A:$A,$A$3-5,历史数据!$B:$B,$B11)+SUMIFS(历史数据!$G:$G,历史数据!$A:$A,$A$3-6,历史数据!$B:$B,$B11)+SUMIFS(历史数据!$G:$G,历史数据!$A:$A,$A$3-7,历史数据!$B:$B,$B11))/7</f>
        <v>4.14285714285714</v>
      </c>
    </row>
    <row r="12" ht="14.45" hidden="1" customHeight="1" spans="1:22">
      <c r="A12" s="109"/>
      <c r="B12" s="104" t="s">
        <v>28</v>
      </c>
      <c r="C12" s="145">
        <f>SUMIFS([1]趋势分析!$F:$F,[1]趋势分析!$A:$A,"mk.com")</f>
        <v>0</v>
      </c>
      <c r="D12" s="145"/>
      <c r="E12" s="104">
        <f>COUNTIF(bty注册!X:X,B12)</f>
        <v>0</v>
      </c>
      <c r="F12" s="106">
        <f t="shared" si="2"/>
        <v>0</v>
      </c>
      <c r="G12" s="107">
        <f>COUNTIF(bty首充!H:H,B12)</f>
        <v>0</v>
      </c>
      <c r="H12" s="106">
        <f t="shared" si="0"/>
        <v>0</v>
      </c>
      <c r="I12" s="104">
        <f>COUNTIFS(bty首充!$H:$H,$B12,bty首充!$K:$K,1)</f>
        <v>0</v>
      </c>
      <c r="J12" s="106">
        <f t="shared" si="1"/>
        <v>0</v>
      </c>
      <c r="K12" s="108">
        <f ca="1">C12-SUMIFS(历史数据!$C:$C,历史数据!$A:$A,$A$3-1,历史数据!$B:$B,$B12)</f>
        <v>0</v>
      </c>
      <c r="L12" s="108">
        <f ca="1">C12-(SUMIFS(历史数据!$C:$C,历史数据!$A:$A,$A$3-1,历史数据!$B:$B,$B12)+SUMIFS(历史数据!$C:$C,历史数据!$A:$A,$A$3-2,历史数据!$B:$B,$B12)+SUMIFS(历史数据!$C:$C,历史数据!$A:$A,$A$3-3,历史数据!$B:$B,$B12))/3</f>
        <v>0</v>
      </c>
      <c r="M12" s="108">
        <f ca="1">C12-(SUMIFS(历史数据!$C:$C,历史数据!$A:$A,$A$3-1,历史数据!$B:$B,$B12)+SUMIFS(历史数据!$C:$C,历史数据!$A:$A,$A$3-2,历史数据!$B:$B,$B12)+SUMIFS(历史数据!$C:$C,历史数据!$A:$A,$A$3-3,历史数据!$B:$B,$B12)+SUMIFS(历史数据!$C:$C,历史数据!$A:$A,$A$3-4,历史数据!$B:$B,$B12)+SUMIFS(历史数据!$C:$C,历史数据!$A:$A,$A$3-5,历史数据!$B:$B,$B12))/5</f>
        <v>0</v>
      </c>
      <c r="N12" s="108">
        <f ca="1">C12-(SUMIFS(历史数据!$C:$C,历史数据!$A:$A,$A$3-1,历史数据!$B:$B,$B12)+SUMIFS(历史数据!$C:$C,历史数据!$A:$A,$A$3-2,历史数据!$B:$B,$B12)+SUMIFS(历史数据!$C:$C,历史数据!$A:$A,$A$3-3,历史数据!$B:$B,$B12)+SUMIFS(历史数据!$C:$C,历史数据!$A:$A,$A$3-4,历史数据!$B:$B,$B12)+SUMIFS(历史数据!$C:$C,历史数据!$A:$A,$A$3-5,历史数据!$B:$B,$B12)+SUMIFS(历史数据!$C:$C,历史数据!$A:$A,$A$3-6,历史数据!$B:$B,$B12)+SUMIFS(历史数据!$C:$C,历史数据!$A:$A,$A$3-7,历史数据!$B:$B,$B12))/7</f>
        <v>0</v>
      </c>
      <c r="O12" s="108">
        <f ca="1">E12-SUMIFS(历史数据!$E:$E,历史数据!$A:$A,$A$3-1,历史数据!$B:$B,$B12)</f>
        <v>0</v>
      </c>
      <c r="P12" s="108">
        <f ca="1">E12-(SUMIFS(历史数据!$E:$E,历史数据!$A:$A,$A$3-1,历史数据!$B:$B,$B12)+SUMIFS(历史数据!$E:$E,历史数据!$A:$A,$A$3-2,历史数据!$B:$B,$B12)+SUMIFS(历史数据!$E:$E,历史数据!$A:$A,$A$3-3,历史数据!$B:$B,$B12))/3</f>
        <v>0</v>
      </c>
      <c r="Q12" s="108">
        <f ca="1">E12-(SUMIFS(历史数据!$E:$E,历史数据!$A:$A,$A$3-1,历史数据!$B:$B,$B12)+SUMIFS(历史数据!$E:$E,历史数据!$A:$A,$A$3-2,历史数据!$B:$B,$B12)+SUMIFS(历史数据!$E:$E,历史数据!$A:$A,$A$3-3,历史数据!$B:$B,$B12)+SUMIFS(历史数据!$E:$E,历史数据!$A:$A,$A$3-4,历史数据!$B:$B,$B12)+SUMIFS(历史数据!$E:$E,历史数据!$A:$A,$A$3-5,历史数据!$B:$B,$B12))/5</f>
        <v>0</v>
      </c>
      <c r="R12" s="108">
        <f ca="1">E12-(SUMIFS(历史数据!$E:$E,历史数据!$A:$A,$A$3-1,历史数据!$B:$B,$B12)+SUMIFS(历史数据!$E:$E,历史数据!$A:$A,$A$3-2,历史数据!$B:$B,$B12)+SUMIFS(历史数据!$E:$E,历史数据!$A:$A,$A$3-3,历史数据!$B:$B,$B12)+SUMIFS(历史数据!$E:$E,历史数据!$A:$A,$A$3-4,历史数据!$B:$B,$B12)+SUMIFS(历史数据!$E:$E,历史数据!$A:$A,$A$3-5,历史数据!$B:$B,$B12)+SUMIFS(历史数据!$E:$E,历史数据!$A:$A,$A$3-6,历史数据!$B:$B,$B12)+SUMIFS(历史数据!$E:$E,历史数据!$A:$A,$A$3-7,历史数据!$B:$B,$B12))/7</f>
        <v>0</v>
      </c>
      <c r="S12" s="108">
        <f ca="1">G12-SUMIFS(历史数据!$G:$G,历史数据!$A:$A,$A$3-1,历史数据!$B:$B,$B12)</f>
        <v>0</v>
      </c>
      <c r="T12" s="108">
        <f ca="1">G12-(SUMIFS(历史数据!$G:$G,历史数据!$A:$A,$A$3-1,历史数据!$B:$B,$B12)+SUMIFS(历史数据!$G:$G,历史数据!$A:$A,$A$3-2,历史数据!$B:$B,$B12)+SUMIFS(历史数据!$G:$G,历史数据!$A:$A,$A$3-3,历史数据!$B:$B,$B12))/3</f>
        <v>0</v>
      </c>
      <c r="U12" s="108">
        <f ca="1">G12-(SUMIFS(历史数据!$G:$G,历史数据!$A:$A,$A$3-1,历史数据!$B:$B,$B12)+SUMIFS(历史数据!$G:$G,历史数据!$A:$A,$A$3-2,历史数据!$B:$B,$B12)+SUMIFS(历史数据!$G:$G,历史数据!$A:$A,$A$3-3,历史数据!$B:$B,$B12)+SUMIFS(历史数据!$G:$G,历史数据!$A:$A,$A$3-4,历史数据!$B:$B,$B12)+SUMIFS(历史数据!$G:$G,历史数据!$A:$A,$A$3-5,历史数据!$B:$B,$B12))/5</f>
        <v>0</v>
      </c>
      <c r="V12" s="108">
        <f ca="1">G12-(SUMIFS(历史数据!$G:$G,历史数据!$A:$A,$A$3-1,历史数据!$B:$B,$B12)+SUMIFS(历史数据!$G:$G,历史数据!$A:$A,$A$3-2,历史数据!$B:$B,$B12)+SUMIFS(历史数据!$G:$G,历史数据!$A:$A,$A$3-3,历史数据!$B:$B,$B12)+SUMIFS(历史数据!$G:$G,历史数据!$A:$A,$A$3-4,历史数据!$B:$B,$B12)+SUMIFS(历史数据!$G:$G,历史数据!$A:$A,$A$3-5,历史数据!$B:$B,$B12)+SUMIFS(历史数据!$G:$G,历史数据!$A:$A,$A$3-6,历史数据!$B:$B,$B12)+SUMIFS(历史数据!$G:$G,历史数据!$A:$A,$A$3-7,历史数据!$B:$B,$B12))/7</f>
        <v>0</v>
      </c>
    </row>
    <row r="13" ht="14.45" hidden="1" customHeight="1" spans="1:22">
      <c r="A13" s="109"/>
      <c r="B13" s="104" t="s">
        <v>29</v>
      </c>
      <c r="C13" s="145">
        <f>SUMIFS([1]趋势分析!$F:$F,[1]趋势分析!$A:$A,"duobo.com")</f>
        <v>0</v>
      </c>
      <c r="D13" s="145"/>
      <c r="E13" s="104">
        <f>COUNTIF(bty注册!X:X,B13)</f>
        <v>1</v>
      </c>
      <c r="F13" s="106">
        <f t="shared" si="2"/>
        <v>0</v>
      </c>
      <c r="G13" s="107">
        <f>COUNTIF(bty首充!H:H,B13)</f>
        <v>1</v>
      </c>
      <c r="H13" s="106">
        <f t="shared" si="0"/>
        <v>1</v>
      </c>
      <c r="I13" s="104">
        <f>COUNTIFS(bty首充!$H:$H,$B13,bty首充!$K:$K,1)</f>
        <v>1</v>
      </c>
      <c r="J13" s="106">
        <f t="shared" si="1"/>
        <v>1</v>
      </c>
      <c r="K13" s="108">
        <f ca="1">C13-SUMIFS(历史数据!$C:$C,历史数据!$A:$A,$A$3-1,历史数据!$B:$B,$B13)</f>
        <v>0</v>
      </c>
      <c r="L13" s="108">
        <f ca="1">C13-(SUMIFS(历史数据!$C:$C,历史数据!$A:$A,$A$3-1,历史数据!$B:$B,$B13)+SUMIFS(历史数据!$C:$C,历史数据!$A:$A,$A$3-2,历史数据!$B:$B,$B13)+SUMIFS(历史数据!$C:$C,历史数据!$A:$A,$A$3-3,历史数据!$B:$B,$B13))/3</f>
        <v>0</v>
      </c>
      <c r="M13" s="108">
        <f ca="1">C13-(SUMIFS(历史数据!$C:$C,历史数据!$A:$A,$A$3-1,历史数据!$B:$B,$B13)+SUMIFS(历史数据!$C:$C,历史数据!$A:$A,$A$3-2,历史数据!$B:$B,$B13)+SUMIFS(历史数据!$C:$C,历史数据!$A:$A,$A$3-3,历史数据!$B:$B,$B13)+SUMIFS(历史数据!$C:$C,历史数据!$A:$A,$A$3-4,历史数据!$B:$B,$B13)+SUMIFS(历史数据!$C:$C,历史数据!$A:$A,$A$3-5,历史数据!$B:$B,$B13))/5</f>
        <v>0</v>
      </c>
      <c r="N13" s="108">
        <f ca="1">C13-(SUMIFS(历史数据!$C:$C,历史数据!$A:$A,$A$3-1,历史数据!$B:$B,$B13)+SUMIFS(历史数据!$C:$C,历史数据!$A:$A,$A$3-2,历史数据!$B:$B,$B13)+SUMIFS(历史数据!$C:$C,历史数据!$A:$A,$A$3-3,历史数据!$B:$B,$B13)+SUMIFS(历史数据!$C:$C,历史数据!$A:$A,$A$3-4,历史数据!$B:$B,$B13)+SUMIFS(历史数据!$C:$C,历史数据!$A:$A,$A$3-5,历史数据!$B:$B,$B13)+SUMIFS(历史数据!$C:$C,历史数据!$A:$A,$A$3-6,历史数据!$B:$B,$B13)+SUMIFS(历史数据!$C:$C,历史数据!$A:$A,$A$3-7,历史数据!$B:$B,$B13))/7</f>
        <v>0</v>
      </c>
      <c r="O13" s="108">
        <f ca="1">E13-SUMIFS(历史数据!$E:$E,历史数据!$A:$A,$A$3-1,历史数据!$B:$B,$B13)</f>
        <v>1</v>
      </c>
      <c r="P13" s="108">
        <f ca="1">E13-(SUMIFS(历史数据!$E:$E,历史数据!$A:$A,$A$3-1,历史数据!$B:$B,$B13)+SUMIFS(历史数据!$E:$E,历史数据!$A:$A,$A$3-2,历史数据!$B:$B,$B13)+SUMIFS(历史数据!$E:$E,历史数据!$A:$A,$A$3-3,历史数据!$B:$B,$B13))/3</f>
        <v>1</v>
      </c>
      <c r="Q13" s="108">
        <f ca="1">E13-(SUMIFS(历史数据!$E:$E,历史数据!$A:$A,$A$3-1,历史数据!$B:$B,$B13)+SUMIFS(历史数据!$E:$E,历史数据!$A:$A,$A$3-2,历史数据!$B:$B,$B13)+SUMIFS(历史数据!$E:$E,历史数据!$A:$A,$A$3-3,历史数据!$B:$B,$B13)+SUMIFS(历史数据!$E:$E,历史数据!$A:$A,$A$3-4,历史数据!$B:$B,$B13)+SUMIFS(历史数据!$E:$E,历史数据!$A:$A,$A$3-5,历史数据!$B:$B,$B13))/5</f>
        <v>0.8</v>
      </c>
      <c r="R13" s="108">
        <f ca="1">E13-(SUMIFS(历史数据!$E:$E,历史数据!$A:$A,$A$3-1,历史数据!$B:$B,$B13)+SUMIFS(历史数据!$E:$E,历史数据!$A:$A,$A$3-2,历史数据!$B:$B,$B13)+SUMIFS(历史数据!$E:$E,历史数据!$A:$A,$A$3-3,历史数据!$B:$B,$B13)+SUMIFS(历史数据!$E:$E,历史数据!$A:$A,$A$3-4,历史数据!$B:$B,$B13)+SUMIFS(历史数据!$E:$E,历史数据!$A:$A,$A$3-5,历史数据!$B:$B,$B13)+SUMIFS(历史数据!$E:$E,历史数据!$A:$A,$A$3-6,历史数据!$B:$B,$B13)+SUMIFS(历史数据!$E:$E,历史数据!$A:$A,$A$3-7,历史数据!$B:$B,$B13))/7</f>
        <v>0.857142857142857</v>
      </c>
      <c r="S13" s="108">
        <f ca="1">G13-SUMIFS(历史数据!$G:$G,历史数据!$A:$A,$A$3-1,历史数据!$B:$B,$B13)</f>
        <v>1</v>
      </c>
      <c r="T13" s="108">
        <f ca="1">G13-(SUMIFS(历史数据!$G:$G,历史数据!$A:$A,$A$3-1,历史数据!$B:$B,$B13)+SUMIFS(历史数据!$G:$G,历史数据!$A:$A,$A$3-2,历史数据!$B:$B,$B13)+SUMIFS(历史数据!$G:$G,历史数据!$A:$A,$A$3-3,历史数据!$B:$B,$B13))/3</f>
        <v>1</v>
      </c>
      <c r="U13" s="108">
        <f ca="1">G13-(SUMIFS(历史数据!$G:$G,历史数据!$A:$A,$A$3-1,历史数据!$B:$B,$B13)+SUMIFS(历史数据!$G:$G,历史数据!$A:$A,$A$3-2,历史数据!$B:$B,$B13)+SUMIFS(历史数据!$G:$G,历史数据!$A:$A,$A$3-3,历史数据!$B:$B,$B13)+SUMIFS(历史数据!$G:$G,历史数据!$A:$A,$A$3-4,历史数据!$B:$B,$B13)+SUMIFS(历史数据!$G:$G,历史数据!$A:$A,$A$3-5,历史数据!$B:$B,$B13))/5</f>
        <v>1</v>
      </c>
      <c r="V13" s="108">
        <f ca="1">G13-(SUMIFS(历史数据!$G:$G,历史数据!$A:$A,$A$3-1,历史数据!$B:$B,$B13)+SUMIFS(历史数据!$G:$G,历史数据!$A:$A,$A$3-2,历史数据!$B:$B,$B13)+SUMIFS(历史数据!$G:$G,历史数据!$A:$A,$A$3-3,历史数据!$B:$B,$B13)+SUMIFS(历史数据!$G:$G,历史数据!$A:$A,$A$3-4,历史数据!$B:$B,$B13)+SUMIFS(历史数据!$G:$G,历史数据!$A:$A,$A$3-5,历史数据!$B:$B,$B13)+SUMIFS(历史数据!$G:$G,历史数据!$A:$A,$A$3-6,历史数据!$B:$B,$B13)+SUMIFS(历史数据!$G:$G,历史数据!$A:$A,$A$3-7,历史数据!$B:$B,$B13))/7</f>
        <v>1</v>
      </c>
    </row>
    <row r="14" ht="14.45" hidden="1" customHeight="1" spans="1:22">
      <c r="A14" s="109"/>
      <c r="B14" s="104" t="s">
        <v>30</v>
      </c>
      <c r="C14" s="145">
        <f>SUMIFS([1]趋势分析!$F:$F,[1]趋势分析!$A:$A,"brain.com")</f>
        <v>0</v>
      </c>
      <c r="D14" s="145"/>
      <c r="E14" s="104">
        <f>COUNTIF(bty注册!X:X,B14)</f>
        <v>0</v>
      </c>
      <c r="F14" s="106">
        <f t="shared" si="2"/>
        <v>0</v>
      </c>
      <c r="G14" s="107">
        <f>COUNTIF(bty首充!H:H,B14)</f>
        <v>0</v>
      </c>
      <c r="H14" s="106">
        <f t="shared" si="0"/>
        <v>0</v>
      </c>
      <c r="I14" s="104">
        <f>COUNTIFS(bty首充!$H:$H,$B14,bty首充!$K:$K,1)</f>
        <v>0</v>
      </c>
      <c r="J14" s="106">
        <f t="shared" si="1"/>
        <v>0</v>
      </c>
      <c r="K14" s="108">
        <f ca="1">C14-SUMIFS(历史数据!$C:$C,历史数据!$A:$A,$A$3-1,历史数据!$B:$B,$B14)</f>
        <v>0</v>
      </c>
      <c r="L14" s="108">
        <f ca="1">C14-(SUMIFS(历史数据!$C:$C,历史数据!$A:$A,$A$3-1,历史数据!$B:$B,$B14)+SUMIFS(历史数据!$C:$C,历史数据!$A:$A,$A$3-2,历史数据!$B:$B,$B14)+SUMIFS(历史数据!$C:$C,历史数据!$A:$A,$A$3-3,历史数据!$B:$B,$B14))/3</f>
        <v>0</v>
      </c>
      <c r="M14" s="108">
        <f ca="1">C14-(SUMIFS(历史数据!$C:$C,历史数据!$A:$A,$A$3-1,历史数据!$B:$B,$B14)+SUMIFS(历史数据!$C:$C,历史数据!$A:$A,$A$3-2,历史数据!$B:$B,$B14)+SUMIFS(历史数据!$C:$C,历史数据!$A:$A,$A$3-3,历史数据!$B:$B,$B14)+SUMIFS(历史数据!$C:$C,历史数据!$A:$A,$A$3-4,历史数据!$B:$B,$B14)+SUMIFS(历史数据!$C:$C,历史数据!$A:$A,$A$3-5,历史数据!$B:$B,$B14))/5</f>
        <v>0</v>
      </c>
      <c r="N14" s="108">
        <f ca="1">C14-(SUMIFS(历史数据!$C:$C,历史数据!$A:$A,$A$3-1,历史数据!$B:$B,$B14)+SUMIFS(历史数据!$C:$C,历史数据!$A:$A,$A$3-2,历史数据!$B:$B,$B14)+SUMIFS(历史数据!$C:$C,历史数据!$A:$A,$A$3-3,历史数据!$B:$B,$B14)+SUMIFS(历史数据!$C:$C,历史数据!$A:$A,$A$3-4,历史数据!$B:$B,$B14)+SUMIFS(历史数据!$C:$C,历史数据!$A:$A,$A$3-5,历史数据!$B:$B,$B14)+SUMIFS(历史数据!$C:$C,历史数据!$A:$A,$A$3-6,历史数据!$B:$B,$B14)+SUMIFS(历史数据!$C:$C,历史数据!$A:$A,$A$3-7,历史数据!$B:$B,$B14))/7</f>
        <v>0</v>
      </c>
      <c r="O14" s="108">
        <f ca="1">E14-SUMIFS(历史数据!$E:$E,历史数据!$A:$A,$A$3-1,历史数据!$B:$B,$B14)</f>
        <v>0</v>
      </c>
      <c r="P14" s="108">
        <f ca="1">E14-(SUMIFS(历史数据!$E:$E,历史数据!$A:$A,$A$3-1,历史数据!$B:$B,$B14)+SUMIFS(历史数据!$E:$E,历史数据!$A:$A,$A$3-2,历史数据!$B:$B,$B14)+SUMIFS(历史数据!$E:$E,历史数据!$A:$A,$A$3-3,历史数据!$B:$B,$B14))/3</f>
        <v>0</v>
      </c>
      <c r="Q14" s="108">
        <f ca="1">E14-(SUMIFS(历史数据!$E:$E,历史数据!$A:$A,$A$3-1,历史数据!$B:$B,$B14)+SUMIFS(历史数据!$E:$E,历史数据!$A:$A,$A$3-2,历史数据!$B:$B,$B14)+SUMIFS(历史数据!$E:$E,历史数据!$A:$A,$A$3-3,历史数据!$B:$B,$B14)+SUMIFS(历史数据!$E:$E,历史数据!$A:$A,$A$3-4,历史数据!$B:$B,$B14)+SUMIFS(历史数据!$E:$E,历史数据!$A:$A,$A$3-5,历史数据!$B:$B,$B14))/5</f>
        <v>0</v>
      </c>
      <c r="R14" s="108">
        <f ca="1">E14-(SUMIFS(历史数据!$E:$E,历史数据!$A:$A,$A$3-1,历史数据!$B:$B,$B14)+SUMIFS(历史数据!$E:$E,历史数据!$A:$A,$A$3-2,历史数据!$B:$B,$B14)+SUMIFS(历史数据!$E:$E,历史数据!$A:$A,$A$3-3,历史数据!$B:$B,$B14)+SUMIFS(历史数据!$E:$E,历史数据!$A:$A,$A$3-4,历史数据!$B:$B,$B14)+SUMIFS(历史数据!$E:$E,历史数据!$A:$A,$A$3-5,历史数据!$B:$B,$B14)+SUMIFS(历史数据!$E:$E,历史数据!$A:$A,$A$3-6,历史数据!$B:$B,$B14)+SUMIFS(历史数据!$E:$E,历史数据!$A:$A,$A$3-7,历史数据!$B:$B,$B14))/7</f>
        <v>0</v>
      </c>
      <c r="S14" s="108">
        <f ca="1">G14-SUMIFS(历史数据!$G:$G,历史数据!$A:$A,$A$3-1,历史数据!$B:$B,$B14)</f>
        <v>0</v>
      </c>
      <c r="T14" s="108">
        <f ca="1">G14-(SUMIFS(历史数据!$G:$G,历史数据!$A:$A,$A$3-1,历史数据!$B:$B,$B14)+SUMIFS(历史数据!$G:$G,历史数据!$A:$A,$A$3-2,历史数据!$B:$B,$B14)+SUMIFS(历史数据!$G:$G,历史数据!$A:$A,$A$3-3,历史数据!$B:$B,$B14))/3</f>
        <v>0</v>
      </c>
      <c r="U14" s="108">
        <f ca="1">G14-(SUMIFS(历史数据!$G:$G,历史数据!$A:$A,$A$3-1,历史数据!$B:$B,$B14)+SUMIFS(历史数据!$G:$G,历史数据!$A:$A,$A$3-2,历史数据!$B:$B,$B14)+SUMIFS(历史数据!$G:$G,历史数据!$A:$A,$A$3-3,历史数据!$B:$B,$B14)+SUMIFS(历史数据!$G:$G,历史数据!$A:$A,$A$3-4,历史数据!$B:$B,$B14)+SUMIFS(历史数据!$G:$G,历史数据!$A:$A,$A$3-5,历史数据!$B:$B,$B14))/5</f>
        <v>0</v>
      </c>
      <c r="V14" s="108">
        <f ca="1">G14-(SUMIFS(历史数据!$G:$G,历史数据!$A:$A,$A$3-1,历史数据!$B:$B,$B14)+SUMIFS(历史数据!$G:$G,历史数据!$A:$A,$A$3-2,历史数据!$B:$B,$B14)+SUMIFS(历史数据!$G:$G,历史数据!$A:$A,$A$3-3,历史数据!$B:$B,$B14)+SUMIFS(历史数据!$G:$G,历史数据!$A:$A,$A$3-4,历史数据!$B:$B,$B14)+SUMIFS(历史数据!$G:$G,历史数据!$A:$A,$A$3-5,历史数据!$B:$B,$B14)+SUMIFS(历史数据!$G:$G,历史数据!$A:$A,$A$3-6,历史数据!$B:$B,$B14)+SUMIFS(历史数据!$G:$G,历史数据!$A:$A,$A$3-7,历史数据!$B:$B,$B14))/7</f>
        <v>0</v>
      </c>
    </row>
    <row r="15" ht="14.45" hidden="1" customHeight="1" spans="1:22">
      <c r="A15" s="109"/>
      <c r="B15" s="104" t="s">
        <v>31</v>
      </c>
      <c r="C15" s="145">
        <f>SUMIFS([1]趋势分析!$F:$F,[1]趋势分析!$A:$A,"Barry.com")</f>
        <v>0</v>
      </c>
      <c r="D15" s="145"/>
      <c r="E15" s="104">
        <f>COUNTIF(bty注册!X:X,B15)</f>
        <v>0</v>
      </c>
      <c r="F15" s="106">
        <f t="shared" si="2"/>
        <v>0</v>
      </c>
      <c r="G15" s="107">
        <f>COUNTIF(bty首充!H:H,B15)</f>
        <v>0</v>
      </c>
      <c r="H15" s="106">
        <f t="shared" si="0"/>
        <v>0</v>
      </c>
      <c r="I15" s="104">
        <f>COUNTIFS(bty首充!$H:$H,$B15,bty首充!$K:$K,1)</f>
        <v>0</v>
      </c>
      <c r="J15" s="106">
        <f t="shared" si="1"/>
        <v>0</v>
      </c>
      <c r="K15" s="108">
        <f ca="1">C15-SUMIFS(历史数据!$C:$C,历史数据!$A:$A,$A$3-1,历史数据!$B:$B,$B15)</f>
        <v>0</v>
      </c>
      <c r="L15" s="108">
        <f ca="1">C15-(SUMIFS(历史数据!$C:$C,历史数据!$A:$A,$A$3-1,历史数据!$B:$B,$B15)+SUMIFS(历史数据!$C:$C,历史数据!$A:$A,$A$3-2,历史数据!$B:$B,$B15)+SUMIFS(历史数据!$C:$C,历史数据!$A:$A,$A$3-3,历史数据!$B:$B,$B15))/3</f>
        <v>0</v>
      </c>
      <c r="M15" s="108">
        <f ca="1">C15-(SUMIFS(历史数据!$C:$C,历史数据!$A:$A,$A$3-1,历史数据!$B:$B,$B15)+SUMIFS(历史数据!$C:$C,历史数据!$A:$A,$A$3-2,历史数据!$B:$B,$B15)+SUMIFS(历史数据!$C:$C,历史数据!$A:$A,$A$3-3,历史数据!$B:$B,$B15)+SUMIFS(历史数据!$C:$C,历史数据!$A:$A,$A$3-4,历史数据!$B:$B,$B15)+SUMIFS(历史数据!$C:$C,历史数据!$A:$A,$A$3-5,历史数据!$B:$B,$B15))/5</f>
        <v>0</v>
      </c>
      <c r="N15" s="108">
        <f ca="1">C15-(SUMIFS(历史数据!$C:$C,历史数据!$A:$A,$A$3-1,历史数据!$B:$B,$B15)+SUMIFS(历史数据!$C:$C,历史数据!$A:$A,$A$3-2,历史数据!$B:$B,$B15)+SUMIFS(历史数据!$C:$C,历史数据!$A:$A,$A$3-3,历史数据!$B:$B,$B15)+SUMIFS(历史数据!$C:$C,历史数据!$A:$A,$A$3-4,历史数据!$B:$B,$B15)+SUMIFS(历史数据!$C:$C,历史数据!$A:$A,$A$3-5,历史数据!$B:$B,$B15)+SUMIFS(历史数据!$C:$C,历史数据!$A:$A,$A$3-6,历史数据!$B:$B,$B15)+SUMIFS(历史数据!$C:$C,历史数据!$A:$A,$A$3-7,历史数据!$B:$B,$B15))/7</f>
        <v>0</v>
      </c>
      <c r="O15" s="108">
        <f ca="1">E15-SUMIFS(历史数据!$E:$E,历史数据!$A:$A,$A$3-1,历史数据!$B:$B,$B15)</f>
        <v>0</v>
      </c>
      <c r="P15" s="108">
        <f ca="1">E15-(SUMIFS(历史数据!$E:$E,历史数据!$A:$A,$A$3-1,历史数据!$B:$B,$B15)+SUMIFS(历史数据!$E:$E,历史数据!$A:$A,$A$3-2,历史数据!$B:$B,$B15)+SUMIFS(历史数据!$E:$E,历史数据!$A:$A,$A$3-3,历史数据!$B:$B,$B15))/3</f>
        <v>0</v>
      </c>
      <c r="Q15" s="108">
        <f ca="1">E15-(SUMIFS(历史数据!$E:$E,历史数据!$A:$A,$A$3-1,历史数据!$B:$B,$B15)+SUMIFS(历史数据!$E:$E,历史数据!$A:$A,$A$3-2,历史数据!$B:$B,$B15)+SUMIFS(历史数据!$E:$E,历史数据!$A:$A,$A$3-3,历史数据!$B:$B,$B15)+SUMIFS(历史数据!$E:$E,历史数据!$A:$A,$A$3-4,历史数据!$B:$B,$B15)+SUMIFS(历史数据!$E:$E,历史数据!$A:$A,$A$3-5,历史数据!$B:$B,$B15))/5</f>
        <v>0</v>
      </c>
      <c r="R15" s="108">
        <f ca="1">E15-(SUMIFS(历史数据!$E:$E,历史数据!$A:$A,$A$3-1,历史数据!$B:$B,$B15)+SUMIFS(历史数据!$E:$E,历史数据!$A:$A,$A$3-2,历史数据!$B:$B,$B15)+SUMIFS(历史数据!$E:$E,历史数据!$A:$A,$A$3-3,历史数据!$B:$B,$B15)+SUMIFS(历史数据!$E:$E,历史数据!$A:$A,$A$3-4,历史数据!$B:$B,$B15)+SUMIFS(历史数据!$E:$E,历史数据!$A:$A,$A$3-5,历史数据!$B:$B,$B15)+SUMIFS(历史数据!$E:$E,历史数据!$A:$A,$A$3-6,历史数据!$B:$B,$B15)+SUMIFS(历史数据!$E:$E,历史数据!$A:$A,$A$3-7,历史数据!$B:$B,$B15))/7</f>
        <v>0</v>
      </c>
      <c r="S15" s="108">
        <f ca="1">G15-SUMIFS(历史数据!$G:$G,历史数据!$A:$A,$A$3-1,历史数据!$B:$B,$B15)</f>
        <v>0</v>
      </c>
      <c r="T15" s="108">
        <f ca="1">G15-(SUMIFS(历史数据!$G:$G,历史数据!$A:$A,$A$3-1,历史数据!$B:$B,$B15)+SUMIFS(历史数据!$G:$G,历史数据!$A:$A,$A$3-2,历史数据!$B:$B,$B15)+SUMIFS(历史数据!$G:$G,历史数据!$A:$A,$A$3-3,历史数据!$B:$B,$B15))/3</f>
        <v>0</v>
      </c>
      <c r="U15" s="108">
        <f ca="1">G15-(SUMIFS(历史数据!$G:$G,历史数据!$A:$A,$A$3-1,历史数据!$B:$B,$B15)+SUMIFS(历史数据!$G:$G,历史数据!$A:$A,$A$3-2,历史数据!$B:$B,$B15)+SUMIFS(历史数据!$G:$G,历史数据!$A:$A,$A$3-3,历史数据!$B:$B,$B15)+SUMIFS(历史数据!$G:$G,历史数据!$A:$A,$A$3-4,历史数据!$B:$B,$B15)+SUMIFS(历史数据!$G:$G,历史数据!$A:$A,$A$3-5,历史数据!$B:$B,$B15))/5</f>
        <v>0</v>
      </c>
      <c r="V15" s="108">
        <f ca="1">G15-(SUMIFS(历史数据!$G:$G,历史数据!$A:$A,$A$3-1,历史数据!$B:$B,$B15)+SUMIFS(历史数据!$G:$G,历史数据!$A:$A,$A$3-2,历史数据!$B:$B,$B15)+SUMIFS(历史数据!$G:$G,历史数据!$A:$A,$A$3-3,历史数据!$B:$B,$B15)+SUMIFS(历史数据!$G:$G,历史数据!$A:$A,$A$3-4,历史数据!$B:$B,$B15)+SUMIFS(历史数据!$G:$G,历史数据!$A:$A,$A$3-5,历史数据!$B:$B,$B15)+SUMIFS(历史数据!$G:$G,历史数据!$A:$A,$A$3-6,历史数据!$B:$B,$B15)+SUMIFS(历史数据!$G:$G,历史数据!$A:$A,$A$3-7,历史数据!$B:$B,$B15))/7</f>
        <v>0</v>
      </c>
    </row>
    <row r="16" ht="14.45" hidden="1" customHeight="1" spans="1:22">
      <c r="A16" s="109"/>
      <c r="B16" s="104" t="s">
        <v>32</v>
      </c>
      <c r="C16" s="145">
        <f>SUMIFS([1]趋势分析!$F:$F,[1]趋势分析!$A:$A,"Austin.com")</f>
        <v>0</v>
      </c>
      <c r="D16" s="145"/>
      <c r="E16" s="104">
        <f>COUNTIF(bty注册!X:X,B16)</f>
        <v>0</v>
      </c>
      <c r="F16" s="106">
        <f t="shared" si="2"/>
        <v>0</v>
      </c>
      <c r="G16" s="107">
        <f>COUNTIF(bty首充!H:H,B16)</f>
        <v>0</v>
      </c>
      <c r="H16" s="106">
        <f t="shared" ref="H16:H22" si="3">IF(E16=0,G16,G16/E16)</f>
        <v>0</v>
      </c>
      <c r="I16" s="104">
        <f>COUNTIFS(bty首充!$H:$H,$B16,bty首充!$K:$K,1)</f>
        <v>0</v>
      </c>
      <c r="J16" s="106">
        <f t="shared" si="1"/>
        <v>0</v>
      </c>
      <c r="K16" s="108">
        <f ca="1">C16-SUMIFS(历史数据!$C:$C,历史数据!$A:$A,$A$3-1,历史数据!$B:$B,$B16)</f>
        <v>0</v>
      </c>
      <c r="L16" s="108">
        <f ca="1">C16-(SUMIFS(历史数据!$C:$C,历史数据!$A:$A,$A$3-1,历史数据!$B:$B,$B16)+SUMIFS(历史数据!$C:$C,历史数据!$A:$A,$A$3-2,历史数据!$B:$B,$B16)+SUMIFS(历史数据!$C:$C,历史数据!$A:$A,$A$3-3,历史数据!$B:$B,$B16))/3</f>
        <v>0</v>
      </c>
      <c r="M16" s="108">
        <f ca="1">C16-(SUMIFS(历史数据!$C:$C,历史数据!$A:$A,$A$3-1,历史数据!$B:$B,$B16)+SUMIFS(历史数据!$C:$C,历史数据!$A:$A,$A$3-2,历史数据!$B:$B,$B16)+SUMIFS(历史数据!$C:$C,历史数据!$A:$A,$A$3-3,历史数据!$B:$B,$B16)+SUMIFS(历史数据!$C:$C,历史数据!$A:$A,$A$3-4,历史数据!$B:$B,$B16)+SUMIFS(历史数据!$C:$C,历史数据!$A:$A,$A$3-5,历史数据!$B:$B,$B16))/5</f>
        <v>0</v>
      </c>
      <c r="N16" s="108">
        <f ca="1">C16-(SUMIFS(历史数据!$C:$C,历史数据!$A:$A,$A$3-1,历史数据!$B:$B,$B16)+SUMIFS(历史数据!$C:$C,历史数据!$A:$A,$A$3-2,历史数据!$B:$B,$B16)+SUMIFS(历史数据!$C:$C,历史数据!$A:$A,$A$3-3,历史数据!$B:$B,$B16)+SUMIFS(历史数据!$C:$C,历史数据!$A:$A,$A$3-4,历史数据!$B:$B,$B16)+SUMIFS(历史数据!$C:$C,历史数据!$A:$A,$A$3-5,历史数据!$B:$B,$B16)+SUMIFS(历史数据!$C:$C,历史数据!$A:$A,$A$3-6,历史数据!$B:$B,$B16)+SUMIFS(历史数据!$C:$C,历史数据!$A:$A,$A$3-7,历史数据!$B:$B,$B16))/7</f>
        <v>0</v>
      </c>
      <c r="O16" s="108">
        <f ca="1">E16-SUMIFS(历史数据!$E:$E,历史数据!$A:$A,$A$3-1,历史数据!$B:$B,$B16)</f>
        <v>0</v>
      </c>
      <c r="P16" s="108">
        <f ca="1">E16-(SUMIFS(历史数据!$E:$E,历史数据!$A:$A,$A$3-1,历史数据!$B:$B,$B16)+SUMIFS(历史数据!$E:$E,历史数据!$A:$A,$A$3-2,历史数据!$B:$B,$B16)+SUMIFS(历史数据!$E:$E,历史数据!$A:$A,$A$3-3,历史数据!$B:$B,$B16))/3</f>
        <v>0</v>
      </c>
      <c r="Q16" s="108">
        <f ca="1">E16-(SUMIFS(历史数据!$E:$E,历史数据!$A:$A,$A$3-1,历史数据!$B:$B,$B16)+SUMIFS(历史数据!$E:$E,历史数据!$A:$A,$A$3-2,历史数据!$B:$B,$B16)+SUMIFS(历史数据!$E:$E,历史数据!$A:$A,$A$3-3,历史数据!$B:$B,$B16)+SUMIFS(历史数据!$E:$E,历史数据!$A:$A,$A$3-4,历史数据!$B:$B,$B16)+SUMIFS(历史数据!$E:$E,历史数据!$A:$A,$A$3-5,历史数据!$B:$B,$B16))/5</f>
        <v>0</v>
      </c>
      <c r="R16" s="108">
        <f ca="1">E16-(SUMIFS(历史数据!$E:$E,历史数据!$A:$A,$A$3-1,历史数据!$B:$B,$B16)+SUMIFS(历史数据!$E:$E,历史数据!$A:$A,$A$3-2,历史数据!$B:$B,$B16)+SUMIFS(历史数据!$E:$E,历史数据!$A:$A,$A$3-3,历史数据!$B:$B,$B16)+SUMIFS(历史数据!$E:$E,历史数据!$A:$A,$A$3-4,历史数据!$B:$B,$B16)+SUMIFS(历史数据!$E:$E,历史数据!$A:$A,$A$3-5,历史数据!$B:$B,$B16)+SUMIFS(历史数据!$E:$E,历史数据!$A:$A,$A$3-6,历史数据!$B:$B,$B16)+SUMIFS(历史数据!$E:$E,历史数据!$A:$A,$A$3-7,历史数据!$B:$B,$B16))/7</f>
        <v>0</v>
      </c>
      <c r="S16" s="108">
        <f ca="1">G16-SUMIFS(历史数据!$G:$G,历史数据!$A:$A,$A$3-1,历史数据!$B:$B,$B16)</f>
        <v>0</v>
      </c>
      <c r="T16" s="108">
        <f ca="1">G16-(SUMIFS(历史数据!$G:$G,历史数据!$A:$A,$A$3-1,历史数据!$B:$B,$B16)+SUMIFS(历史数据!$G:$G,历史数据!$A:$A,$A$3-2,历史数据!$B:$B,$B16)+SUMIFS(历史数据!$G:$G,历史数据!$A:$A,$A$3-3,历史数据!$B:$B,$B16))/3</f>
        <v>0</v>
      </c>
      <c r="U16" s="108">
        <f ca="1">G16-(SUMIFS(历史数据!$G:$G,历史数据!$A:$A,$A$3-1,历史数据!$B:$B,$B16)+SUMIFS(历史数据!$G:$G,历史数据!$A:$A,$A$3-2,历史数据!$B:$B,$B16)+SUMIFS(历史数据!$G:$G,历史数据!$A:$A,$A$3-3,历史数据!$B:$B,$B16)+SUMIFS(历史数据!$G:$G,历史数据!$A:$A,$A$3-4,历史数据!$B:$B,$B16)+SUMIFS(历史数据!$G:$G,历史数据!$A:$A,$A$3-5,历史数据!$B:$B,$B16))/5</f>
        <v>0</v>
      </c>
      <c r="V16" s="108">
        <f ca="1">G16-(SUMIFS(历史数据!$G:$G,历史数据!$A:$A,$A$3-1,历史数据!$B:$B,$B16)+SUMIFS(历史数据!$G:$G,历史数据!$A:$A,$A$3-2,历史数据!$B:$B,$B16)+SUMIFS(历史数据!$G:$G,历史数据!$A:$A,$A$3-3,历史数据!$B:$B,$B16)+SUMIFS(历史数据!$G:$G,历史数据!$A:$A,$A$3-4,历史数据!$B:$B,$B16)+SUMIFS(历史数据!$G:$G,历史数据!$A:$A,$A$3-5,历史数据!$B:$B,$B16)+SUMIFS(历史数据!$G:$G,历史数据!$A:$A,$A$3-6,历史数据!$B:$B,$B16)+SUMIFS(历史数据!$G:$G,历史数据!$A:$A,$A$3-7,历史数据!$B:$B,$B16))/7</f>
        <v>0</v>
      </c>
    </row>
    <row r="17" hidden="1" spans="1:22">
      <c r="A17" s="109"/>
      <c r="B17" s="104" t="s">
        <v>33</v>
      </c>
      <c r="C17" s="145">
        <f>SUMIFS([1]趋势分析!$F:$F,[1]趋势分析!$A:$A,"Yaoyun.com")</f>
        <v>0</v>
      </c>
      <c r="D17" s="145"/>
      <c r="E17" s="104">
        <f>COUNTIF(bty注册!X:X,B17)</f>
        <v>0</v>
      </c>
      <c r="F17" s="106">
        <f t="shared" si="2"/>
        <v>0</v>
      </c>
      <c r="G17" s="107">
        <f>COUNTIF(bty首充!H:H,B17)</f>
        <v>0</v>
      </c>
      <c r="H17" s="106">
        <f t="shared" si="3"/>
        <v>0</v>
      </c>
      <c r="I17" s="104">
        <f>COUNTIFS(bty首充!$H:$H,$B17,bty首充!$K:$K,1)</f>
        <v>0</v>
      </c>
      <c r="J17" s="106">
        <f t="shared" si="1"/>
        <v>0</v>
      </c>
      <c r="K17" s="108">
        <f ca="1">C17-SUMIFS(历史数据!$C:$C,历史数据!$A:$A,$A$3-1,历史数据!$B:$B,$B17)</f>
        <v>0</v>
      </c>
      <c r="L17" s="108">
        <f ca="1">C17-(SUMIFS(历史数据!$C:$C,历史数据!$A:$A,$A$3-1,历史数据!$B:$B,$B17)+SUMIFS(历史数据!$C:$C,历史数据!$A:$A,$A$3-2,历史数据!$B:$B,$B17)+SUMIFS(历史数据!$C:$C,历史数据!$A:$A,$A$3-3,历史数据!$B:$B,$B17))/3</f>
        <v>0</v>
      </c>
      <c r="M17" s="108">
        <f ca="1">C17-(SUMIFS(历史数据!$C:$C,历史数据!$A:$A,$A$3-1,历史数据!$B:$B,$B17)+SUMIFS(历史数据!$C:$C,历史数据!$A:$A,$A$3-2,历史数据!$B:$B,$B17)+SUMIFS(历史数据!$C:$C,历史数据!$A:$A,$A$3-3,历史数据!$B:$B,$B17)+SUMIFS(历史数据!$C:$C,历史数据!$A:$A,$A$3-4,历史数据!$B:$B,$B17)+SUMIFS(历史数据!$C:$C,历史数据!$A:$A,$A$3-5,历史数据!$B:$B,$B17))/5</f>
        <v>0</v>
      </c>
      <c r="N17" s="108">
        <f ca="1">C17-(SUMIFS(历史数据!$C:$C,历史数据!$A:$A,$A$3-1,历史数据!$B:$B,$B17)+SUMIFS(历史数据!$C:$C,历史数据!$A:$A,$A$3-2,历史数据!$B:$B,$B17)+SUMIFS(历史数据!$C:$C,历史数据!$A:$A,$A$3-3,历史数据!$B:$B,$B17)+SUMIFS(历史数据!$C:$C,历史数据!$A:$A,$A$3-4,历史数据!$B:$B,$B17)+SUMIFS(历史数据!$C:$C,历史数据!$A:$A,$A$3-5,历史数据!$B:$B,$B17)+SUMIFS(历史数据!$C:$C,历史数据!$A:$A,$A$3-6,历史数据!$B:$B,$B17)+SUMIFS(历史数据!$C:$C,历史数据!$A:$A,$A$3-7,历史数据!$B:$B,$B17))/7</f>
        <v>0</v>
      </c>
      <c r="O17" s="108">
        <f ca="1">E17-SUMIFS(历史数据!$E:$E,历史数据!$A:$A,$A$3-1,历史数据!$B:$B,$B17)</f>
        <v>0</v>
      </c>
      <c r="P17" s="108">
        <f ca="1">E17-(SUMIFS(历史数据!$E:$E,历史数据!$A:$A,$A$3-1,历史数据!$B:$B,$B17)+SUMIFS(历史数据!$E:$E,历史数据!$A:$A,$A$3-2,历史数据!$B:$B,$B17)+SUMIFS(历史数据!$E:$E,历史数据!$A:$A,$A$3-3,历史数据!$B:$B,$B17))/3</f>
        <v>0</v>
      </c>
      <c r="Q17" s="108">
        <f ca="1">E17-(SUMIFS(历史数据!$E:$E,历史数据!$A:$A,$A$3-1,历史数据!$B:$B,$B17)+SUMIFS(历史数据!$E:$E,历史数据!$A:$A,$A$3-2,历史数据!$B:$B,$B17)+SUMIFS(历史数据!$E:$E,历史数据!$A:$A,$A$3-3,历史数据!$B:$B,$B17)+SUMIFS(历史数据!$E:$E,历史数据!$A:$A,$A$3-4,历史数据!$B:$B,$B17)+SUMIFS(历史数据!$E:$E,历史数据!$A:$A,$A$3-5,历史数据!$B:$B,$B17))/5</f>
        <v>0</v>
      </c>
      <c r="R17" s="108">
        <f ca="1">E17-(SUMIFS(历史数据!$E:$E,历史数据!$A:$A,$A$3-1,历史数据!$B:$B,$B17)+SUMIFS(历史数据!$E:$E,历史数据!$A:$A,$A$3-2,历史数据!$B:$B,$B17)+SUMIFS(历史数据!$E:$E,历史数据!$A:$A,$A$3-3,历史数据!$B:$B,$B17)+SUMIFS(历史数据!$E:$E,历史数据!$A:$A,$A$3-4,历史数据!$B:$B,$B17)+SUMIFS(历史数据!$E:$E,历史数据!$A:$A,$A$3-5,历史数据!$B:$B,$B17)+SUMIFS(历史数据!$E:$E,历史数据!$A:$A,$A$3-6,历史数据!$B:$B,$B17)+SUMIFS(历史数据!$E:$E,历史数据!$A:$A,$A$3-7,历史数据!$B:$B,$B17))/7</f>
        <v>0</v>
      </c>
      <c r="S17" s="108">
        <f ca="1">G17-SUMIFS(历史数据!$G:$G,历史数据!$A:$A,$A$3-1,历史数据!$B:$B,$B17)</f>
        <v>0</v>
      </c>
      <c r="T17" s="108">
        <f ca="1">G17-(SUMIFS(历史数据!$G:$G,历史数据!$A:$A,$A$3-1,历史数据!$B:$B,$B17)+SUMIFS(历史数据!$G:$G,历史数据!$A:$A,$A$3-2,历史数据!$B:$B,$B17)+SUMIFS(历史数据!$G:$G,历史数据!$A:$A,$A$3-3,历史数据!$B:$B,$B17))/3</f>
        <v>0</v>
      </c>
      <c r="U17" s="108">
        <f ca="1">G17-(SUMIFS(历史数据!$G:$G,历史数据!$A:$A,$A$3-1,历史数据!$B:$B,$B17)+SUMIFS(历史数据!$G:$G,历史数据!$A:$A,$A$3-2,历史数据!$B:$B,$B17)+SUMIFS(历史数据!$G:$G,历史数据!$A:$A,$A$3-3,历史数据!$B:$B,$B17)+SUMIFS(历史数据!$G:$G,历史数据!$A:$A,$A$3-4,历史数据!$B:$B,$B17)+SUMIFS(历史数据!$G:$G,历史数据!$A:$A,$A$3-5,历史数据!$B:$B,$B17))/5</f>
        <v>0</v>
      </c>
      <c r="V17" s="108">
        <f ca="1">G17-(SUMIFS(历史数据!$G:$G,历史数据!$A:$A,$A$3-1,历史数据!$B:$B,$B17)+SUMIFS(历史数据!$G:$G,历史数据!$A:$A,$A$3-2,历史数据!$B:$B,$B17)+SUMIFS(历史数据!$G:$G,历史数据!$A:$A,$A$3-3,历史数据!$B:$B,$B17)+SUMIFS(历史数据!$G:$G,历史数据!$A:$A,$A$3-4,历史数据!$B:$B,$B17)+SUMIFS(历史数据!$G:$G,历史数据!$A:$A,$A$3-5,历史数据!$B:$B,$B17)+SUMIFS(历史数据!$G:$G,历史数据!$A:$A,$A$3-6,历史数据!$B:$B,$B17)+SUMIFS(历史数据!$G:$G,历史数据!$A:$A,$A$3-7,历史数据!$B:$B,$B17))/7</f>
        <v>0</v>
      </c>
    </row>
    <row r="18" hidden="1" spans="1:22">
      <c r="A18" s="109"/>
      <c r="B18" s="104" t="s">
        <v>34</v>
      </c>
      <c r="C18" s="145">
        <f>SUMIFS([1]趋势分析!$F:$F,[1]趋势分析!$A:$A,"Zhaocaimao.com")</f>
        <v>0</v>
      </c>
      <c r="D18" s="145"/>
      <c r="E18" s="104">
        <f>COUNTIF(bty注册!X:X,B18)</f>
        <v>0</v>
      </c>
      <c r="F18" s="106">
        <f t="shared" si="2"/>
        <v>0</v>
      </c>
      <c r="G18" s="107">
        <f>COUNTIF(bty首充!H:H,B18)</f>
        <v>0</v>
      </c>
      <c r="H18" s="106">
        <f t="shared" si="3"/>
        <v>0</v>
      </c>
      <c r="I18" s="104">
        <f>COUNTIFS(bty首充!$H:$H,$B18,bty首充!$K:$K,1)</f>
        <v>0</v>
      </c>
      <c r="J18" s="106">
        <f t="shared" si="1"/>
        <v>0</v>
      </c>
      <c r="K18" s="108">
        <f ca="1">C18-SUMIFS(历史数据!$C:$C,历史数据!$A:$A,$A$3-1,历史数据!$B:$B,$B18)</f>
        <v>0</v>
      </c>
      <c r="L18" s="108">
        <f ca="1">C18-(SUMIFS(历史数据!$C:$C,历史数据!$A:$A,$A$3-1,历史数据!$B:$B,$B18)+SUMIFS(历史数据!$C:$C,历史数据!$A:$A,$A$3-2,历史数据!$B:$B,$B18)+SUMIFS(历史数据!$C:$C,历史数据!$A:$A,$A$3-3,历史数据!$B:$B,$B18))/3</f>
        <v>0</v>
      </c>
      <c r="M18" s="108">
        <f ca="1">C18-(SUMIFS(历史数据!$C:$C,历史数据!$A:$A,$A$3-1,历史数据!$B:$B,$B18)+SUMIFS(历史数据!$C:$C,历史数据!$A:$A,$A$3-2,历史数据!$B:$B,$B18)+SUMIFS(历史数据!$C:$C,历史数据!$A:$A,$A$3-3,历史数据!$B:$B,$B18)+SUMIFS(历史数据!$C:$C,历史数据!$A:$A,$A$3-4,历史数据!$B:$B,$B18)+SUMIFS(历史数据!$C:$C,历史数据!$A:$A,$A$3-5,历史数据!$B:$B,$B18))/5</f>
        <v>0</v>
      </c>
      <c r="N18" s="108">
        <f ca="1">C18-(SUMIFS(历史数据!$C:$C,历史数据!$A:$A,$A$3-1,历史数据!$B:$B,$B18)+SUMIFS(历史数据!$C:$C,历史数据!$A:$A,$A$3-2,历史数据!$B:$B,$B18)+SUMIFS(历史数据!$C:$C,历史数据!$A:$A,$A$3-3,历史数据!$B:$B,$B18)+SUMIFS(历史数据!$C:$C,历史数据!$A:$A,$A$3-4,历史数据!$B:$B,$B18)+SUMIFS(历史数据!$C:$C,历史数据!$A:$A,$A$3-5,历史数据!$B:$B,$B18)+SUMIFS(历史数据!$C:$C,历史数据!$A:$A,$A$3-6,历史数据!$B:$B,$B18)+SUMIFS(历史数据!$C:$C,历史数据!$A:$A,$A$3-7,历史数据!$B:$B,$B18))/7</f>
        <v>0</v>
      </c>
      <c r="O18" s="108">
        <f ca="1">E18-SUMIFS(历史数据!$E:$E,历史数据!$A:$A,$A$3-1,历史数据!$B:$B,$B18)</f>
        <v>0</v>
      </c>
      <c r="P18" s="108">
        <f ca="1">E18-(SUMIFS(历史数据!$E:$E,历史数据!$A:$A,$A$3-1,历史数据!$B:$B,$B18)+SUMIFS(历史数据!$E:$E,历史数据!$A:$A,$A$3-2,历史数据!$B:$B,$B18)+SUMIFS(历史数据!$E:$E,历史数据!$A:$A,$A$3-3,历史数据!$B:$B,$B18))/3</f>
        <v>0</v>
      </c>
      <c r="Q18" s="108">
        <f ca="1">E18-(SUMIFS(历史数据!$E:$E,历史数据!$A:$A,$A$3-1,历史数据!$B:$B,$B18)+SUMIFS(历史数据!$E:$E,历史数据!$A:$A,$A$3-2,历史数据!$B:$B,$B18)+SUMIFS(历史数据!$E:$E,历史数据!$A:$A,$A$3-3,历史数据!$B:$B,$B18)+SUMIFS(历史数据!$E:$E,历史数据!$A:$A,$A$3-4,历史数据!$B:$B,$B18)+SUMIFS(历史数据!$E:$E,历史数据!$A:$A,$A$3-5,历史数据!$B:$B,$B18))/5</f>
        <v>0</v>
      </c>
      <c r="R18" s="108">
        <f ca="1">E18-(SUMIFS(历史数据!$E:$E,历史数据!$A:$A,$A$3-1,历史数据!$B:$B,$B18)+SUMIFS(历史数据!$E:$E,历史数据!$A:$A,$A$3-2,历史数据!$B:$B,$B18)+SUMIFS(历史数据!$E:$E,历史数据!$A:$A,$A$3-3,历史数据!$B:$B,$B18)+SUMIFS(历史数据!$E:$E,历史数据!$A:$A,$A$3-4,历史数据!$B:$B,$B18)+SUMIFS(历史数据!$E:$E,历史数据!$A:$A,$A$3-5,历史数据!$B:$B,$B18)+SUMIFS(历史数据!$E:$E,历史数据!$A:$A,$A$3-6,历史数据!$B:$B,$B18)+SUMIFS(历史数据!$E:$E,历史数据!$A:$A,$A$3-7,历史数据!$B:$B,$B18))/7</f>
        <v>0</v>
      </c>
      <c r="S18" s="108">
        <f ca="1">G18-SUMIFS(历史数据!$G:$G,历史数据!$A:$A,$A$3-1,历史数据!$B:$B,$B18)</f>
        <v>0</v>
      </c>
      <c r="T18" s="108">
        <f ca="1">G18-(SUMIFS(历史数据!$G:$G,历史数据!$A:$A,$A$3-1,历史数据!$B:$B,$B18)+SUMIFS(历史数据!$G:$G,历史数据!$A:$A,$A$3-2,历史数据!$B:$B,$B18)+SUMIFS(历史数据!$G:$G,历史数据!$A:$A,$A$3-3,历史数据!$B:$B,$B18))/3</f>
        <v>0</v>
      </c>
      <c r="U18" s="108">
        <f ca="1">G18-(SUMIFS(历史数据!$G:$G,历史数据!$A:$A,$A$3-1,历史数据!$B:$B,$B18)+SUMIFS(历史数据!$G:$G,历史数据!$A:$A,$A$3-2,历史数据!$B:$B,$B18)+SUMIFS(历史数据!$G:$G,历史数据!$A:$A,$A$3-3,历史数据!$B:$B,$B18)+SUMIFS(历史数据!$G:$G,历史数据!$A:$A,$A$3-4,历史数据!$B:$B,$B18)+SUMIFS(历史数据!$G:$G,历史数据!$A:$A,$A$3-5,历史数据!$B:$B,$B18))/5</f>
        <v>0</v>
      </c>
      <c r="V18" s="108">
        <f ca="1">G18-(SUMIFS(历史数据!$G:$G,历史数据!$A:$A,$A$3-1,历史数据!$B:$B,$B18)+SUMIFS(历史数据!$G:$G,历史数据!$A:$A,$A$3-2,历史数据!$B:$B,$B18)+SUMIFS(历史数据!$G:$G,历史数据!$A:$A,$A$3-3,历史数据!$B:$B,$B18)+SUMIFS(历史数据!$G:$G,历史数据!$A:$A,$A$3-4,历史数据!$B:$B,$B18)+SUMIFS(历史数据!$G:$G,历史数据!$A:$A,$A$3-5,历史数据!$B:$B,$B18)+SUMIFS(历史数据!$G:$G,历史数据!$A:$A,$A$3-6,历史数据!$B:$B,$B18)+SUMIFS(历史数据!$G:$G,历史数据!$A:$A,$A$3-7,历史数据!$B:$B,$B18))/7</f>
        <v>0</v>
      </c>
    </row>
    <row r="19" hidden="1" spans="1:22">
      <c r="A19" s="109"/>
      <c r="B19" s="104" t="s">
        <v>35</v>
      </c>
      <c r="C19" s="145">
        <f>SUMIFS([1]趋势分析!$F:$F,[1]趋势分析!$A:$A,"Lesse.com")</f>
        <v>0</v>
      </c>
      <c r="D19" s="145"/>
      <c r="E19" s="104">
        <f>COUNTIF(bty注册!X:X,B19)</f>
        <v>0</v>
      </c>
      <c r="F19" s="106">
        <f t="shared" si="2"/>
        <v>0</v>
      </c>
      <c r="G19" s="107">
        <f>COUNTIF(bty首充!H:H,B19)</f>
        <v>0</v>
      </c>
      <c r="H19" s="106">
        <f t="shared" si="3"/>
        <v>0</v>
      </c>
      <c r="I19" s="104">
        <f>COUNTIFS(bty首充!$H:$H,$B19,bty首充!$K:$K,1)</f>
        <v>0</v>
      </c>
      <c r="J19" s="106">
        <f t="shared" si="1"/>
        <v>0</v>
      </c>
      <c r="K19" s="108">
        <f ca="1">C19-SUMIFS(历史数据!$C:$C,历史数据!$A:$A,$A$3-1,历史数据!$B:$B,$B19)</f>
        <v>0</v>
      </c>
      <c r="L19" s="108">
        <f ca="1">C19-(SUMIFS(历史数据!$C:$C,历史数据!$A:$A,$A$3-1,历史数据!$B:$B,$B19)+SUMIFS(历史数据!$C:$C,历史数据!$A:$A,$A$3-2,历史数据!$B:$B,$B19)+SUMIFS(历史数据!$C:$C,历史数据!$A:$A,$A$3-3,历史数据!$B:$B,$B19))/3</f>
        <v>0</v>
      </c>
      <c r="M19" s="108">
        <f ca="1">C19-(SUMIFS(历史数据!$C:$C,历史数据!$A:$A,$A$3-1,历史数据!$B:$B,$B19)+SUMIFS(历史数据!$C:$C,历史数据!$A:$A,$A$3-2,历史数据!$B:$B,$B19)+SUMIFS(历史数据!$C:$C,历史数据!$A:$A,$A$3-3,历史数据!$B:$B,$B19)+SUMIFS(历史数据!$C:$C,历史数据!$A:$A,$A$3-4,历史数据!$B:$B,$B19)+SUMIFS(历史数据!$C:$C,历史数据!$A:$A,$A$3-5,历史数据!$B:$B,$B19))/5</f>
        <v>0</v>
      </c>
      <c r="N19" s="108">
        <f ca="1">C19-(SUMIFS(历史数据!$C:$C,历史数据!$A:$A,$A$3-1,历史数据!$B:$B,$B19)+SUMIFS(历史数据!$C:$C,历史数据!$A:$A,$A$3-2,历史数据!$B:$B,$B19)+SUMIFS(历史数据!$C:$C,历史数据!$A:$A,$A$3-3,历史数据!$B:$B,$B19)+SUMIFS(历史数据!$C:$C,历史数据!$A:$A,$A$3-4,历史数据!$B:$B,$B19)+SUMIFS(历史数据!$C:$C,历史数据!$A:$A,$A$3-5,历史数据!$B:$B,$B19)+SUMIFS(历史数据!$C:$C,历史数据!$A:$A,$A$3-6,历史数据!$B:$B,$B19)+SUMIFS(历史数据!$C:$C,历史数据!$A:$A,$A$3-7,历史数据!$B:$B,$B19))/7</f>
        <v>0</v>
      </c>
      <c r="O19" s="108">
        <f ca="1">E19-SUMIFS(历史数据!$E:$E,历史数据!$A:$A,$A$3-1,历史数据!$B:$B,$B19)</f>
        <v>0</v>
      </c>
      <c r="P19" s="108">
        <f ca="1">E19-(SUMIFS(历史数据!$E:$E,历史数据!$A:$A,$A$3-1,历史数据!$B:$B,$B19)+SUMIFS(历史数据!$E:$E,历史数据!$A:$A,$A$3-2,历史数据!$B:$B,$B19)+SUMIFS(历史数据!$E:$E,历史数据!$A:$A,$A$3-3,历史数据!$B:$B,$B19))/3</f>
        <v>0</v>
      </c>
      <c r="Q19" s="108">
        <f ca="1">E19-(SUMIFS(历史数据!$E:$E,历史数据!$A:$A,$A$3-1,历史数据!$B:$B,$B19)+SUMIFS(历史数据!$E:$E,历史数据!$A:$A,$A$3-2,历史数据!$B:$B,$B19)+SUMIFS(历史数据!$E:$E,历史数据!$A:$A,$A$3-3,历史数据!$B:$B,$B19)+SUMIFS(历史数据!$E:$E,历史数据!$A:$A,$A$3-4,历史数据!$B:$B,$B19)+SUMIFS(历史数据!$E:$E,历史数据!$A:$A,$A$3-5,历史数据!$B:$B,$B19))/5</f>
        <v>0</v>
      </c>
      <c r="R19" s="108">
        <f ca="1">E19-(SUMIFS(历史数据!$E:$E,历史数据!$A:$A,$A$3-1,历史数据!$B:$B,$B19)+SUMIFS(历史数据!$E:$E,历史数据!$A:$A,$A$3-2,历史数据!$B:$B,$B19)+SUMIFS(历史数据!$E:$E,历史数据!$A:$A,$A$3-3,历史数据!$B:$B,$B19)+SUMIFS(历史数据!$E:$E,历史数据!$A:$A,$A$3-4,历史数据!$B:$B,$B19)+SUMIFS(历史数据!$E:$E,历史数据!$A:$A,$A$3-5,历史数据!$B:$B,$B19)+SUMIFS(历史数据!$E:$E,历史数据!$A:$A,$A$3-6,历史数据!$B:$B,$B19)+SUMIFS(历史数据!$E:$E,历史数据!$A:$A,$A$3-7,历史数据!$B:$B,$B19))/7</f>
        <v>0</v>
      </c>
      <c r="S19" s="108">
        <f ca="1">G19-SUMIFS(历史数据!$G:$G,历史数据!$A:$A,$A$3-1,历史数据!$B:$B,$B19)</f>
        <v>0</v>
      </c>
      <c r="T19" s="108">
        <f ca="1">G19-(SUMIFS(历史数据!$G:$G,历史数据!$A:$A,$A$3-1,历史数据!$B:$B,$B19)+SUMIFS(历史数据!$G:$G,历史数据!$A:$A,$A$3-2,历史数据!$B:$B,$B19)+SUMIFS(历史数据!$G:$G,历史数据!$A:$A,$A$3-3,历史数据!$B:$B,$B19))/3</f>
        <v>0</v>
      </c>
      <c r="U19" s="108">
        <f ca="1">G19-(SUMIFS(历史数据!$G:$G,历史数据!$A:$A,$A$3-1,历史数据!$B:$B,$B19)+SUMIFS(历史数据!$G:$G,历史数据!$A:$A,$A$3-2,历史数据!$B:$B,$B19)+SUMIFS(历史数据!$G:$G,历史数据!$A:$A,$A$3-3,历史数据!$B:$B,$B19)+SUMIFS(历史数据!$G:$G,历史数据!$A:$A,$A$3-4,历史数据!$B:$B,$B19)+SUMIFS(历史数据!$G:$G,历史数据!$A:$A,$A$3-5,历史数据!$B:$B,$B19))/5</f>
        <v>0</v>
      </c>
      <c r="V19" s="108">
        <f ca="1">G19-(SUMIFS(历史数据!$G:$G,历史数据!$A:$A,$A$3-1,历史数据!$B:$B,$B19)+SUMIFS(历史数据!$G:$G,历史数据!$A:$A,$A$3-2,历史数据!$B:$B,$B19)+SUMIFS(历史数据!$G:$G,历史数据!$A:$A,$A$3-3,历史数据!$B:$B,$B19)+SUMIFS(历史数据!$G:$G,历史数据!$A:$A,$A$3-4,历史数据!$B:$B,$B19)+SUMIFS(历史数据!$G:$G,历史数据!$A:$A,$A$3-5,历史数据!$B:$B,$B19)+SUMIFS(历史数据!$G:$G,历史数据!$A:$A,$A$3-6,历史数据!$B:$B,$B19)+SUMIFS(历史数据!$G:$G,历史数据!$A:$A,$A$3-7,历史数据!$B:$B,$B19))/7</f>
        <v>0</v>
      </c>
    </row>
    <row r="20" hidden="1" spans="1:22">
      <c r="A20" s="109"/>
      <c r="B20" s="104" t="s">
        <v>36</v>
      </c>
      <c r="C20" s="145">
        <f>SUMIFS([1]趋势分析!$F:$F,[1]趋势分析!$A:$A,"Decade.com")</f>
        <v>0</v>
      </c>
      <c r="D20" s="145"/>
      <c r="E20" s="104">
        <f>COUNTIF(bty注册!X:X,B20)</f>
        <v>0</v>
      </c>
      <c r="F20" s="106">
        <f t="shared" si="2"/>
        <v>0</v>
      </c>
      <c r="G20" s="107">
        <f>COUNTIF(bty首充!H:H,B20)</f>
        <v>0</v>
      </c>
      <c r="H20" s="106">
        <f t="shared" si="3"/>
        <v>0</v>
      </c>
      <c r="I20" s="104">
        <f>COUNTIFS(bty首充!$H:$H,$B20,bty首充!$K:$K,1)</f>
        <v>0</v>
      </c>
      <c r="J20" s="106">
        <f t="shared" si="1"/>
        <v>0</v>
      </c>
      <c r="K20" s="108">
        <f ca="1">C20-SUMIFS(历史数据!$C:$C,历史数据!$A:$A,$A$3-1,历史数据!$B:$B,$B20)</f>
        <v>0</v>
      </c>
      <c r="L20" s="108">
        <f ca="1">C20-(SUMIFS(历史数据!$C:$C,历史数据!$A:$A,$A$3-1,历史数据!$B:$B,$B20)+SUMIFS(历史数据!$C:$C,历史数据!$A:$A,$A$3-2,历史数据!$B:$B,$B20)+SUMIFS(历史数据!$C:$C,历史数据!$A:$A,$A$3-3,历史数据!$B:$B,$B20))/3</f>
        <v>0</v>
      </c>
      <c r="M20" s="108">
        <f ca="1">C20-(SUMIFS(历史数据!$C:$C,历史数据!$A:$A,$A$3-1,历史数据!$B:$B,$B20)+SUMIFS(历史数据!$C:$C,历史数据!$A:$A,$A$3-2,历史数据!$B:$B,$B20)+SUMIFS(历史数据!$C:$C,历史数据!$A:$A,$A$3-3,历史数据!$B:$B,$B20)+SUMIFS(历史数据!$C:$C,历史数据!$A:$A,$A$3-4,历史数据!$B:$B,$B20)+SUMIFS(历史数据!$C:$C,历史数据!$A:$A,$A$3-5,历史数据!$B:$B,$B20))/5</f>
        <v>0</v>
      </c>
      <c r="N20" s="108">
        <f ca="1">C20-(SUMIFS(历史数据!$C:$C,历史数据!$A:$A,$A$3-1,历史数据!$B:$B,$B20)+SUMIFS(历史数据!$C:$C,历史数据!$A:$A,$A$3-2,历史数据!$B:$B,$B20)+SUMIFS(历史数据!$C:$C,历史数据!$A:$A,$A$3-3,历史数据!$B:$B,$B20)+SUMIFS(历史数据!$C:$C,历史数据!$A:$A,$A$3-4,历史数据!$B:$B,$B20)+SUMIFS(历史数据!$C:$C,历史数据!$A:$A,$A$3-5,历史数据!$B:$B,$B20)+SUMIFS(历史数据!$C:$C,历史数据!$A:$A,$A$3-6,历史数据!$B:$B,$B20)+SUMIFS(历史数据!$C:$C,历史数据!$A:$A,$A$3-7,历史数据!$B:$B,$B20))/7</f>
        <v>0</v>
      </c>
      <c r="O20" s="108">
        <f ca="1">E20-SUMIFS(历史数据!$E:$E,历史数据!$A:$A,$A$3-1,历史数据!$B:$B,$B20)</f>
        <v>0</v>
      </c>
      <c r="P20" s="108">
        <f ca="1">E20-(SUMIFS(历史数据!$E:$E,历史数据!$A:$A,$A$3-1,历史数据!$B:$B,$B20)+SUMIFS(历史数据!$E:$E,历史数据!$A:$A,$A$3-2,历史数据!$B:$B,$B20)+SUMIFS(历史数据!$E:$E,历史数据!$A:$A,$A$3-3,历史数据!$B:$B,$B20))/3</f>
        <v>0</v>
      </c>
      <c r="Q20" s="108">
        <f ca="1">E20-(SUMIFS(历史数据!$E:$E,历史数据!$A:$A,$A$3-1,历史数据!$B:$B,$B20)+SUMIFS(历史数据!$E:$E,历史数据!$A:$A,$A$3-2,历史数据!$B:$B,$B20)+SUMIFS(历史数据!$E:$E,历史数据!$A:$A,$A$3-3,历史数据!$B:$B,$B20)+SUMIFS(历史数据!$E:$E,历史数据!$A:$A,$A$3-4,历史数据!$B:$B,$B20)+SUMIFS(历史数据!$E:$E,历史数据!$A:$A,$A$3-5,历史数据!$B:$B,$B20))/5</f>
        <v>0</v>
      </c>
      <c r="R20" s="108">
        <f ca="1">E20-(SUMIFS(历史数据!$E:$E,历史数据!$A:$A,$A$3-1,历史数据!$B:$B,$B20)+SUMIFS(历史数据!$E:$E,历史数据!$A:$A,$A$3-2,历史数据!$B:$B,$B20)+SUMIFS(历史数据!$E:$E,历史数据!$A:$A,$A$3-3,历史数据!$B:$B,$B20)+SUMIFS(历史数据!$E:$E,历史数据!$A:$A,$A$3-4,历史数据!$B:$B,$B20)+SUMIFS(历史数据!$E:$E,历史数据!$A:$A,$A$3-5,历史数据!$B:$B,$B20)+SUMIFS(历史数据!$E:$E,历史数据!$A:$A,$A$3-6,历史数据!$B:$B,$B20)+SUMIFS(历史数据!$E:$E,历史数据!$A:$A,$A$3-7,历史数据!$B:$B,$B20))/7</f>
        <v>0</v>
      </c>
      <c r="S20" s="108">
        <f ca="1">G20-SUMIFS(历史数据!$G:$G,历史数据!$A:$A,$A$3-1,历史数据!$B:$B,$B20)</f>
        <v>0</v>
      </c>
      <c r="T20" s="108">
        <f ca="1">G20-(SUMIFS(历史数据!$G:$G,历史数据!$A:$A,$A$3-1,历史数据!$B:$B,$B20)+SUMIFS(历史数据!$G:$G,历史数据!$A:$A,$A$3-2,历史数据!$B:$B,$B20)+SUMIFS(历史数据!$G:$G,历史数据!$A:$A,$A$3-3,历史数据!$B:$B,$B20))/3</f>
        <v>0</v>
      </c>
      <c r="U20" s="108">
        <f ca="1">G20-(SUMIFS(历史数据!$G:$G,历史数据!$A:$A,$A$3-1,历史数据!$B:$B,$B20)+SUMIFS(历史数据!$G:$G,历史数据!$A:$A,$A$3-2,历史数据!$B:$B,$B20)+SUMIFS(历史数据!$G:$G,历史数据!$A:$A,$A$3-3,历史数据!$B:$B,$B20)+SUMIFS(历史数据!$G:$G,历史数据!$A:$A,$A$3-4,历史数据!$B:$B,$B20)+SUMIFS(历史数据!$G:$G,历史数据!$A:$A,$A$3-5,历史数据!$B:$B,$B20))/5</f>
        <v>0</v>
      </c>
      <c r="V20" s="108">
        <f ca="1">G20-(SUMIFS(历史数据!$G:$G,历史数据!$A:$A,$A$3-1,历史数据!$B:$B,$B20)+SUMIFS(历史数据!$G:$G,历史数据!$A:$A,$A$3-2,历史数据!$B:$B,$B20)+SUMIFS(历史数据!$G:$G,历史数据!$A:$A,$A$3-3,历史数据!$B:$B,$B20)+SUMIFS(历史数据!$G:$G,历史数据!$A:$A,$A$3-4,历史数据!$B:$B,$B20)+SUMIFS(历史数据!$G:$G,历史数据!$A:$A,$A$3-5,历史数据!$B:$B,$B20)+SUMIFS(历史数据!$G:$G,历史数据!$A:$A,$A$3-6,历史数据!$B:$B,$B20)+SUMIFS(历史数据!$G:$G,历史数据!$A:$A,$A$3-7,历史数据!$B:$B,$B20))/7</f>
        <v>0</v>
      </c>
    </row>
    <row r="21" hidden="1" spans="1:22">
      <c r="A21" s="109"/>
      <c r="B21" s="104" t="s">
        <v>37</v>
      </c>
      <c r="C21" s="145">
        <f>SUMIFS([1]趋势分析!$F:$F,[1]趋势分析!$A:$A,"Cyrus.com")</f>
        <v>0</v>
      </c>
      <c r="D21" s="145"/>
      <c r="E21" s="104">
        <f>COUNTIF(bty注册!X:X,B21)</f>
        <v>2</v>
      </c>
      <c r="F21" s="106">
        <f t="shared" si="2"/>
        <v>0</v>
      </c>
      <c r="G21" s="107">
        <f>COUNTIF(bty首充!H:H,B21)</f>
        <v>1</v>
      </c>
      <c r="H21" s="106">
        <f t="shared" si="3"/>
        <v>0.5</v>
      </c>
      <c r="I21" s="104">
        <f>COUNTIFS(bty首充!$H:$H,$B21,bty首充!$K:$K,1)</f>
        <v>0</v>
      </c>
      <c r="J21" s="106">
        <f t="shared" si="1"/>
        <v>0</v>
      </c>
      <c r="K21" s="108">
        <f ca="1">C21-SUMIFS(历史数据!$C:$C,历史数据!$A:$A,$A$3-1,历史数据!$B:$B,$B21)</f>
        <v>0</v>
      </c>
      <c r="L21" s="108">
        <f ca="1">C21-(SUMIFS(历史数据!$C:$C,历史数据!$A:$A,$A$3-1,历史数据!$B:$B,$B21)+SUMIFS(历史数据!$C:$C,历史数据!$A:$A,$A$3-2,历史数据!$B:$B,$B21)+SUMIFS(历史数据!$C:$C,历史数据!$A:$A,$A$3-3,历史数据!$B:$B,$B21))/3</f>
        <v>0</v>
      </c>
      <c r="M21" s="108">
        <f ca="1">C21-(SUMIFS(历史数据!$C:$C,历史数据!$A:$A,$A$3-1,历史数据!$B:$B,$B21)+SUMIFS(历史数据!$C:$C,历史数据!$A:$A,$A$3-2,历史数据!$B:$B,$B21)+SUMIFS(历史数据!$C:$C,历史数据!$A:$A,$A$3-3,历史数据!$B:$B,$B21)+SUMIFS(历史数据!$C:$C,历史数据!$A:$A,$A$3-4,历史数据!$B:$B,$B21)+SUMIFS(历史数据!$C:$C,历史数据!$A:$A,$A$3-5,历史数据!$B:$B,$B21))/5</f>
        <v>0</v>
      </c>
      <c r="N21" s="108">
        <f ca="1">C21-(SUMIFS(历史数据!$C:$C,历史数据!$A:$A,$A$3-1,历史数据!$B:$B,$B21)+SUMIFS(历史数据!$C:$C,历史数据!$A:$A,$A$3-2,历史数据!$B:$B,$B21)+SUMIFS(历史数据!$C:$C,历史数据!$A:$A,$A$3-3,历史数据!$B:$B,$B21)+SUMIFS(历史数据!$C:$C,历史数据!$A:$A,$A$3-4,历史数据!$B:$B,$B21)+SUMIFS(历史数据!$C:$C,历史数据!$A:$A,$A$3-5,历史数据!$B:$B,$B21)+SUMIFS(历史数据!$C:$C,历史数据!$A:$A,$A$3-6,历史数据!$B:$B,$B21)+SUMIFS(历史数据!$C:$C,历史数据!$A:$A,$A$3-7,历史数据!$B:$B,$B21))/7</f>
        <v>0</v>
      </c>
      <c r="O21" s="108">
        <f ca="1">E21-SUMIFS(历史数据!$E:$E,历史数据!$A:$A,$A$3-1,历史数据!$B:$B,$B21)</f>
        <v>1</v>
      </c>
      <c r="P21" s="108">
        <f ca="1">E21-(SUMIFS(历史数据!$E:$E,历史数据!$A:$A,$A$3-1,历史数据!$B:$B,$B21)+SUMIFS(历史数据!$E:$E,历史数据!$A:$A,$A$3-2,历史数据!$B:$B,$B21)+SUMIFS(历史数据!$E:$E,历史数据!$A:$A,$A$3-3,历史数据!$B:$B,$B21))/3</f>
        <v>1.66666666666667</v>
      </c>
      <c r="Q21" s="108">
        <f ca="1">E21-(SUMIFS(历史数据!$E:$E,历史数据!$A:$A,$A$3-1,历史数据!$B:$B,$B21)+SUMIFS(历史数据!$E:$E,历史数据!$A:$A,$A$3-2,历史数据!$B:$B,$B21)+SUMIFS(历史数据!$E:$E,历史数据!$A:$A,$A$3-3,历史数据!$B:$B,$B21)+SUMIFS(历史数据!$E:$E,历史数据!$A:$A,$A$3-4,历史数据!$B:$B,$B21)+SUMIFS(历史数据!$E:$E,历史数据!$A:$A,$A$3-5,历史数据!$B:$B,$B21))/5</f>
        <v>1.4</v>
      </c>
      <c r="R21" s="108">
        <f ca="1">E21-(SUMIFS(历史数据!$E:$E,历史数据!$A:$A,$A$3-1,历史数据!$B:$B,$B21)+SUMIFS(历史数据!$E:$E,历史数据!$A:$A,$A$3-2,历史数据!$B:$B,$B21)+SUMIFS(历史数据!$E:$E,历史数据!$A:$A,$A$3-3,历史数据!$B:$B,$B21)+SUMIFS(历史数据!$E:$E,历史数据!$A:$A,$A$3-4,历史数据!$B:$B,$B21)+SUMIFS(历史数据!$E:$E,历史数据!$A:$A,$A$3-5,历史数据!$B:$B,$B21)+SUMIFS(历史数据!$E:$E,历史数据!$A:$A,$A$3-6,历史数据!$B:$B,$B21)+SUMIFS(历史数据!$E:$E,历史数据!$A:$A,$A$3-7,历史数据!$B:$B,$B21))/7</f>
        <v>1.14285714285714</v>
      </c>
      <c r="S21" s="108">
        <f ca="1">G21-SUMIFS(历史数据!$G:$G,历史数据!$A:$A,$A$3-1,历史数据!$B:$B,$B21)</f>
        <v>1</v>
      </c>
      <c r="T21" s="108">
        <f ca="1">G21-(SUMIFS(历史数据!$G:$G,历史数据!$A:$A,$A$3-1,历史数据!$B:$B,$B21)+SUMIFS(历史数据!$G:$G,历史数据!$A:$A,$A$3-2,历史数据!$B:$B,$B21)+SUMIFS(历史数据!$G:$G,历史数据!$A:$A,$A$3-3,历史数据!$B:$B,$B21))/3</f>
        <v>1</v>
      </c>
      <c r="U21" s="108">
        <f ca="1">G21-(SUMIFS(历史数据!$G:$G,历史数据!$A:$A,$A$3-1,历史数据!$B:$B,$B21)+SUMIFS(历史数据!$G:$G,历史数据!$A:$A,$A$3-2,历史数据!$B:$B,$B21)+SUMIFS(历史数据!$G:$G,历史数据!$A:$A,$A$3-3,历史数据!$B:$B,$B21)+SUMIFS(历史数据!$G:$G,历史数据!$A:$A,$A$3-4,历史数据!$B:$B,$B21)+SUMIFS(历史数据!$G:$G,历史数据!$A:$A,$A$3-5,历史数据!$B:$B,$B21))/5</f>
        <v>1</v>
      </c>
      <c r="V21" s="108">
        <f ca="1">G21-(SUMIFS(历史数据!$G:$G,历史数据!$A:$A,$A$3-1,历史数据!$B:$B,$B21)+SUMIFS(历史数据!$G:$G,历史数据!$A:$A,$A$3-2,历史数据!$B:$B,$B21)+SUMIFS(历史数据!$G:$G,历史数据!$A:$A,$A$3-3,历史数据!$B:$B,$B21)+SUMIFS(历史数据!$G:$G,历史数据!$A:$A,$A$3-4,历史数据!$B:$B,$B21)+SUMIFS(历史数据!$G:$G,历史数据!$A:$A,$A$3-5,历史数据!$B:$B,$B21)+SUMIFS(历史数据!$G:$G,历史数据!$A:$A,$A$3-6,历史数据!$B:$B,$B21)+SUMIFS(历史数据!$G:$G,历史数据!$A:$A,$A$3-7,历史数据!$B:$B,$B21))/7</f>
        <v>1</v>
      </c>
    </row>
    <row r="22" hidden="1" spans="1:22">
      <c r="A22" s="109"/>
      <c r="B22" s="104" t="s">
        <v>38</v>
      </c>
      <c r="C22" s="145">
        <f>SUMIFS([1]趋势分析!$F:$F,[1]趋势分析!$A:$A,"Owl.com")</f>
        <v>0</v>
      </c>
      <c r="D22" s="145"/>
      <c r="E22" s="104">
        <f>COUNTIF(bty注册!X:X,B22)</f>
        <v>0</v>
      </c>
      <c r="F22" s="106">
        <f t="shared" si="2"/>
        <v>0</v>
      </c>
      <c r="G22" s="107">
        <f>COUNTIF(bty首充!H:H,B22)</f>
        <v>0</v>
      </c>
      <c r="H22" s="106">
        <f t="shared" si="3"/>
        <v>0</v>
      </c>
      <c r="I22" s="104">
        <f>COUNTIFS(bty首充!$H:$H,$B22,bty首充!$K:$K,1)</f>
        <v>0</v>
      </c>
      <c r="J22" s="106">
        <f t="shared" si="1"/>
        <v>0</v>
      </c>
      <c r="K22" s="108">
        <f ca="1">C22-SUMIFS(历史数据!$C:$C,历史数据!$A:$A,$A$3-1,历史数据!$B:$B,$B22)</f>
        <v>0</v>
      </c>
      <c r="L22" s="108">
        <f ca="1">C22-(SUMIFS(历史数据!$C:$C,历史数据!$A:$A,$A$3-1,历史数据!$B:$B,$B22)+SUMIFS(历史数据!$C:$C,历史数据!$A:$A,$A$3-2,历史数据!$B:$B,$B22)+SUMIFS(历史数据!$C:$C,历史数据!$A:$A,$A$3-3,历史数据!$B:$B,$B22))/3</f>
        <v>0</v>
      </c>
      <c r="M22" s="108">
        <f ca="1">C22-(SUMIFS(历史数据!$C:$C,历史数据!$A:$A,$A$3-1,历史数据!$B:$B,$B22)+SUMIFS(历史数据!$C:$C,历史数据!$A:$A,$A$3-2,历史数据!$B:$B,$B22)+SUMIFS(历史数据!$C:$C,历史数据!$A:$A,$A$3-3,历史数据!$B:$B,$B22)+SUMIFS(历史数据!$C:$C,历史数据!$A:$A,$A$3-4,历史数据!$B:$B,$B22)+SUMIFS(历史数据!$C:$C,历史数据!$A:$A,$A$3-5,历史数据!$B:$B,$B22))/5</f>
        <v>0</v>
      </c>
      <c r="N22" s="108">
        <f ca="1">C22-(SUMIFS(历史数据!$C:$C,历史数据!$A:$A,$A$3-1,历史数据!$B:$B,$B22)+SUMIFS(历史数据!$C:$C,历史数据!$A:$A,$A$3-2,历史数据!$B:$B,$B22)+SUMIFS(历史数据!$C:$C,历史数据!$A:$A,$A$3-3,历史数据!$B:$B,$B22)+SUMIFS(历史数据!$C:$C,历史数据!$A:$A,$A$3-4,历史数据!$B:$B,$B22)+SUMIFS(历史数据!$C:$C,历史数据!$A:$A,$A$3-5,历史数据!$B:$B,$B22)+SUMIFS(历史数据!$C:$C,历史数据!$A:$A,$A$3-6,历史数据!$B:$B,$B22)+SUMIFS(历史数据!$C:$C,历史数据!$A:$A,$A$3-7,历史数据!$B:$B,$B22))/7</f>
        <v>0</v>
      </c>
      <c r="O22" s="108">
        <f ca="1">E22-SUMIFS(历史数据!$E:$E,历史数据!$A:$A,$A$3-1,历史数据!$B:$B,$B22)</f>
        <v>0</v>
      </c>
      <c r="P22" s="108">
        <f ca="1">E22-(SUMIFS(历史数据!$E:$E,历史数据!$A:$A,$A$3-1,历史数据!$B:$B,$B22)+SUMIFS(历史数据!$E:$E,历史数据!$A:$A,$A$3-2,历史数据!$B:$B,$B22)+SUMIFS(历史数据!$E:$E,历史数据!$A:$A,$A$3-3,历史数据!$B:$B,$B22))/3</f>
        <v>0</v>
      </c>
      <c r="Q22" s="108">
        <f ca="1">E22-(SUMIFS(历史数据!$E:$E,历史数据!$A:$A,$A$3-1,历史数据!$B:$B,$B22)+SUMIFS(历史数据!$E:$E,历史数据!$A:$A,$A$3-2,历史数据!$B:$B,$B22)+SUMIFS(历史数据!$E:$E,历史数据!$A:$A,$A$3-3,历史数据!$B:$B,$B22)+SUMIFS(历史数据!$E:$E,历史数据!$A:$A,$A$3-4,历史数据!$B:$B,$B22)+SUMIFS(历史数据!$E:$E,历史数据!$A:$A,$A$3-5,历史数据!$B:$B,$B22))/5</f>
        <v>0</v>
      </c>
      <c r="R22" s="108">
        <f ca="1">E22-(SUMIFS(历史数据!$E:$E,历史数据!$A:$A,$A$3-1,历史数据!$B:$B,$B22)+SUMIFS(历史数据!$E:$E,历史数据!$A:$A,$A$3-2,历史数据!$B:$B,$B22)+SUMIFS(历史数据!$E:$E,历史数据!$A:$A,$A$3-3,历史数据!$B:$B,$B22)+SUMIFS(历史数据!$E:$E,历史数据!$A:$A,$A$3-4,历史数据!$B:$B,$B22)+SUMIFS(历史数据!$E:$E,历史数据!$A:$A,$A$3-5,历史数据!$B:$B,$B22)+SUMIFS(历史数据!$E:$E,历史数据!$A:$A,$A$3-6,历史数据!$B:$B,$B22)+SUMIFS(历史数据!$E:$E,历史数据!$A:$A,$A$3-7,历史数据!$B:$B,$B22))/7</f>
        <v>0</v>
      </c>
      <c r="S22" s="108">
        <f ca="1">G22-SUMIFS(历史数据!$G:$G,历史数据!$A:$A,$A$3-1,历史数据!$B:$B,$B22)</f>
        <v>0</v>
      </c>
      <c r="T22" s="108">
        <f ca="1">G22-(SUMIFS(历史数据!$G:$G,历史数据!$A:$A,$A$3-1,历史数据!$B:$B,$B22)+SUMIFS(历史数据!$G:$G,历史数据!$A:$A,$A$3-2,历史数据!$B:$B,$B22)+SUMIFS(历史数据!$G:$G,历史数据!$A:$A,$A$3-3,历史数据!$B:$B,$B22))/3</f>
        <v>0</v>
      </c>
      <c r="U22" s="108">
        <f ca="1">G22-(SUMIFS(历史数据!$G:$G,历史数据!$A:$A,$A$3-1,历史数据!$B:$B,$B22)+SUMIFS(历史数据!$G:$G,历史数据!$A:$A,$A$3-2,历史数据!$B:$B,$B22)+SUMIFS(历史数据!$G:$G,历史数据!$A:$A,$A$3-3,历史数据!$B:$B,$B22)+SUMIFS(历史数据!$G:$G,历史数据!$A:$A,$A$3-4,历史数据!$B:$B,$B22)+SUMIFS(历史数据!$G:$G,历史数据!$A:$A,$A$3-5,历史数据!$B:$B,$B22))/5</f>
        <v>0</v>
      </c>
      <c r="V22" s="108">
        <f ca="1">G22-(SUMIFS(历史数据!$G:$G,历史数据!$A:$A,$A$3-1,历史数据!$B:$B,$B22)+SUMIFS(历史数据!$G:$G,历史数据!$A:$A,$A$3-2,历史数据!$B:$B,$B22)+SUMIFS(历史数据!$G:$G,历史数据!$A:$A,$A$3-3,历史数据!$B:$B,$B22)+SUMIFS(历史数据!$G:$G,历史数据!$A:$A,$A$3-4,历史数据!$B:$B,$B22)+SUMIFS(历史数据!$G:$G,历史数据!$A:$A,$A$3-5,历史数据!$B:$B,$B22)+SUMIFS(历史数据!$G:$G,历史数据!$A:$A,$A$3-6,历史数据!$B:$B,$B22)+SUMIFS(历史数据!$G:$G,历史数据!$A:$A,$A$3-7,历史数据!$B:$B,$B22))/7</f>
        <v>0</v>
      </c>
    </row>
    <row r="23" spans="1:22">
      <c r="A23" s="110"/>
      <c r="B23" s="111" t="s">
        <v>39</v>
      </c>
      <c r="C23" s="112">
        <f>SUM(C3:C22)</f>
        <v>20657</v>
      </c>
      <c r="D23" s="112">
        <f>SUM(D3:D22)</f>
        <v>5137</v>
      </c>
      <c r="E23" s="112">
        <f>SUM(E3:E22)</f>
        <v>213</v>
      </c>
      <c r="F23" s="106">
        <f t="shared" si="2"/>
        <v>0.0103112746284552</v>
      </c>
      <c r="G23" s="112">
        <f>SUM(G3:G22)</f>
        <v>68</v>
      </c>
      <c r="H23" s="113">
        <f>G23/E23</f>
        <v>0.31924882629108</v>
      </c>
      <c r="I23" s="112">
        <f>SUM(I3:I22)</f>
        <v>51</v>
      </c>
      <c r="J23" s="106">
        <f t="shared" si="1"/>
        <v>0.23943661971831</v>
      </c>
      <c r="K23" s="108">
        <f ca="1">C23-SUMIFS(历史数据!$C:$C,历史数据!$A:$A,$A$3-1,历史数据!$B:$B,$B23)</f>
        <v>-1966</v>
      </c>
      <c r="L23" s="108">
        <f ca="1">C23-(SUMIFS(历史数据!$C:$C,历史数据!$A:$A,$A$3-1,历史数据!$B:$B,$B23)+SUMIFS(历史数据!$C:$C,历史数据!$A:$A,$A$3-2,历史数据!$B:$B,$B23)+SUMIFS(历史数据!$C:$C,历史数据!$A:$A,$A$3-3,历史数据!$B:$B,$B23))/3</f>
        <v>-1809.66666666667</v>
      </c>
      <c r="M23" s="108">
        <f ca="1">C23-(SUMIFS(历史数据!$C:$C,历史数据!$A:$A,$A$3-1,历史数据!$B:$B,$B23)+SUMIFS(历史数据!$C:$C,历史数据!$A:$A,$A$3-2,历史数据!$B:$B,$B23)+SUMIFS(历史数据!$C:$C,历史数据!$A:$A,$A$3-3,历史数据!$B:$B,$B23)+SUMIFS(历史数据!$C:$C,历史数据!$A:$A,$A$3-4,历史数据!$B:$B,$B23)+SUMIFS(历史数据!$C:$C,历史数据!$A:$A,$A$3-5,历史数据!$B:$B,$B23))/5</f>
        <v>-2630</v>
      </c>
      <c r="N23" s="108">
        <f ca="1">C23-(SUMIFS(历史数据!$C:$C,历史数据!$A:$A,$A$3-1,历史数据!$B:$B,$B23)+SUMIFS(历史数据!$C:$C,历史数据!$A:$A,$A$3-2,历史数据!$B:$B,$B23)+SUMIFS(历史数据!$C:$C,历史数据!$A:$A,$A$3-3,历史数据!$B:$B,$B23)+SUMIFS(历史数据!$C:$C,历史数据!$A:$A,$A$3-4,历史数据!$B:$B,$B23)+SUMIFS(历史数据!$C:$C,历史数据!$A:$A,$A$3-5,历史数据!$B:$B,$B23)+SUMIFS(历史数据!$C:$C,历史数据!$A:$A,$A$3-6,历史数据!$B:$B,$B23)+SUMIFS(历史数据!$C:$C,历史数据!$A:$A,$A$3-7,历史数据!$B:$B,$B23))/7</f>
        <v>816.571428571428</v>
      </c>
      <c r="O23" s="108">
        <f ca="1">E23-SUMIFS(历史数据!$E:$E,历史数据!$A:$A,$A$3-1,历史数据!$B:$B,$B23)</f>
        <v>5</v>
      </c>
      <c r="P23" s="108">
        <f ca="1">E23-(SUMIFS(历史数据!$E:$E,历史数据!$A:$A,$A$3-1,历史数据!$B:$B,$B23)+SUMIFS(历史数据!$E:$E,历史数据!$A:$A,$A$3-2,历史数据!$B:$B,$B23)+SUMIFS(历史数据!$E:$E,历史数据!$A:$A,$A$3-3,历史数据!$B:$B,$B23))/3</f>
        <v>24.3333333333333</v>
      </c>
      <c r="Q23" s="108">
        <f ca="1">E23-(SUMIFS(历史数据!$E:$E,历史数据!$A:$A,$A$3-1,历史数据!$B:$B,$B23)+SUMIFS(历史数据!$E:$E,历史数据!$A:$A,$A$3-2,历史数据!$B:$B,$B23)+SUMIFS(历史数据!$E:$E,历史数据!$A:$A,$A$3-3,历史数据!$B:$B,$B23)+SUMIFS(历史数据!$E:$E,历史数据!$A:$A,$A$3-4,历史数据!$B:$B,$B23)+SUMIFS(历史数据!$E:$E,历史数据!$A:$A,$A$3-5,历史数据!$B:$B,$B23))/5</f>
        <v>31.6</v>
      </c>
      <c r="R23" s="108">
        <f ca="1">E23-(SUMIFS(历史数据!$E:$E,历史数据!$A:$A,$A$3-1,历史数据!$B:$B,$B23)+SUMIFS(历史数据!$E:$E,历史数据!$A:$A,$A$3-2,历史数据!$B:$B,$B23)+SUMIFS(历史数据!$E:$E,历史数据!$A:$A,$A$3-3,历史数据!$B:$B,$B23)+SUMIFS(历史数据!$E:$E,历史数据!$A:$A,$A$3-4,历史数据!$B:$B,$B23)+SUMIFS(历史数据!$E:$E,历史数据!$A:$A,$A$3-5,历史数据!$B:$B,$B23)+SUMIFS(历史数据!$E:$E,历史数据!$A:$A,$A$3-6,历史数据!$B:$B,$B23)+SUMIFS(历史数据!$E:$E,历史数据!$A:$A,$A$3-7,历史数据!$B:$B,$B23))/7</f>
        <v>59.4285714285714</v>
      </c>
      <c r="S23" s="108">
        <f ca="1">G23-SUMIFS(历史数据!$G:$G,历史数据!$A:$A,$A$3-1,历史数据!$B:$B,$B23)</f>
        <v>4</v>
      </c>
      <c r="T23" s="108">
        <f ca="1">G23-(SUMIFS(历史数据!$G:$G,历史数据!$A:$A,$A$3-1,历史数据!$B:$B,$B23)+SUMIFS(历史数据!$G:$G,历史数据!$A:$A,$A$3-2,历史数据!$B:$B,$B23)+SUMIFS(历史数据!$G:$G,历史数据!$A:$A,$A$3-3,历史数据!$B:$B,$B23))/3</f>
        <v>-1.33333333333333</v>
      </c>
      <c r="U23" s="108">
        <f ca="1">G23-(SUMIFS(历史数据!$G:$G,历史数据!$A:$A,$A$3-1,历史数据!$B:$B,$B23)+SUMIFS(历史数据!$G:$G,历史数据!$A:$A,$A$3-2,历史数据!$B:$B,$B23)+SUMIFS(历史数据!$G:$G,历史数据!$A:$A,$A$3-3,历史数据!$B:$B,$B23)+SUMIFS(历史数据!$G:$G,历史数据!$A:$A,$A$3-4,历史数据!$B:$B,$B23)+SUMIFS(历史数据!$G:$G,历史数据!$A:$A,$A$3-5,历史数据!$B:$B,$B23))/5</f>
        <v>5.4</v>
      </c>
      <c r="V23" s="108">
        <f ca="1">G23-(SUMIFS(历史数据!$G:$G,历史数据!$A:$A,$A$3-1,历史数据!$B:$B,$B23)+SUMIFS(历史数据!$G:$G,历史数据!$A:$A,$A$3-2,历史数据!$B:$B,$B23)+SUMIFS(历史数据!$G:$G,历史数据!$A:$A,$A$3-3,历史数据!$B:$B,$B23)+SUMIFS(历史数据!$G:$G,历史数据!$A:$A,$A$3-4,历史数据!$B:$B,$B23)+SUMIFS(历史数据!$G:$G,历史数据!$A:$A,$A$3-5,历史数据!$B:$B,$B23)+SUMIFS(历史数据!$G:$G,历史数据!$A:$A,$A$3-6,历史数据!$B:$B,$B23)+SUMIFS(历史数据!$G:$G,历史数据!$A:$A,$A$3-7,历史数据!$B:$B,$B23))/7</f>
        <v>16</v>
      </c>
    </row>
    <row r="26" spans="1:1">
      <c r="A26" t="s">
        <v>40</v>
      </c>
    </row>
    <row r="27" spans="1:1">
      <c r="A27" t="s">
        <v>41</v>
      </c>
    </row>
    <row r="28" spans="17:21">
      <c r="Q28" s="161"/>
      <c r="R28" s="161"/>
      <c r="S28" s="161"/>
      <c r="T28" s="161"/>
      <c r="U28" s="165"/>
    </row>
    <row r="29" spans="1:21">
      <c r="A29" s="161">
        <f ca="1">TODAY()-1</f>
        <v>45145</v>
      </c>
      <c r="B29" s="161"/>
      <c r="C29" s="161"/>
      <c r="D29" s="161"/>
      <c r="E29" s="161"/>
      <c r="F29" s="161"/>
      <c r="U29" s="333"/>
    </row>
    <row r="30" ht="18" customHeight="1" spans="17:21">
      <c r="Q30" s="154"/>
      <c r="R30" s="154"/>
      <c r="S30" s="154"/>
      <c r="T30" s="154"/>
      <c r="U30" s="164"/>
    </row>
    <row r="31" spans="1:21">
      <c r="A31" s="104" t="s">
        <v>17</v>
      </c>
      <c r="B31" t="s">
        <v>40</v>
      </c>
      <c r="R31" s="154"/>
      <c r="S31" s="154"/>
      <c r="T31" s="154"/>
      <c r="U31" s="164"/>
    </row>
    <row r="32" spans="1:21">
      <c r="A32" s="104" t="s">
        <v>19</v>
      </c>
      <c r="B32" t="s">
        <v>40</v>
      </c>
      <c r="S32" s="154"/>
      <c r="T32" s="154"/>
      <c r="U32" s="164"/>
    </row>
    <row r="33" spans="1:21">
      <c r="A33" s="104" t="s">
        <v>21</v>
      </c>
      <c r="S33" s="154"/>
      <c r="T33" s="154"/>
      <c r="U33" s="164"/>
    </row>
    <row r="34" spans="1:21">
      <c r="A34" s="104" t="s">
        <v>22</v>
      </c>
      <c r="B34" t="s">
        <v>40</v>
      </c>
      <c r="S34" s="154"/>
      <c r="T34" s="154"/>
      <c r="U34" s="164"/>
    </row>
    <row r="35" ht="21" customHeight="1" spans="1:21">
      <c r="A35" s="104" t="s">
        <v>23</v>
      </c>
      <c r="S35" s="154"/>
      <c r="T35" s="154"/>
      <c r="U35" s="164"/>
    </row>
    <row r="36" spans="1:21">
      <c r="A36" s="104" t="s">
        <v>24</v>
      </c>
      <c r="S36" s="154"/>
      <c r="T36" s="154"/>
      <c r="U36" s="164"/>
    </row>
    <row r="37" spans="1:21">
      <c r="A37" s="104" t="s">
        <v>25</v>
      </c>
      <c r="U37" s="333"/>
    </row>
    <row r="38" spans="1:21">
      <c r="A38" s="104" t="s">
        <v>26</v>
      </c>
      <c r="B38" t="s">
        <v>40</v>
      </c>
      <c r="U38" s="333"/>
    </row>
    <row r="39" spans="1:21">
      <c r="A39" s="104" t="s">
        <v>27</v>
      </c>
      <c r="B39" t="s">
        <v>40</v>
      </c>
      <c r="P39" s="154"/>
      <c r="Q39" s="154"/>
      <c r="R39" s="154"/>
      <c r="S39" s="154"/>
      <c r="T39" s="154"/>
      <c r="U39" s="164"/>
    </row>
    <row r="40" spans="6:21">
      <c r="F40" s="331"/>
      <c r="G40" s="331"/>
      <c r="H40" s="331"/>
      <c r="I40" s="331"/>
      <c r="J40" s="331"/>
      <c r="K40" s="331"/>
      <c r="O40" s="154"/>
      <c r="P40" s="154"/>
      <c r="Q40" s="154"/>
      <c r="R40" s="154"/>
      <c r="S40" s="154"/>
      <c r="T40" s="154"/>
      <c r="U40" s="154"/>
    </row>
    <row r="41" spans="1:21">
      <c r="A41" s="331"/>
      <c r="C41" s="331"/>
      <c r="D41" s="331"/>
      <c r="E41" s="331"/>
      <c r="F41" s="331"/>
      <c r="G41" s="331"/>
      <c r="H41" s="331"/>
      <c r="I41" s="331"/>
      <c r="J41" s="331"/>
      <c r="K41" s="331"/>
      <c r="L41" s="154"/>
      <c r="N41" s="154"/>
      <c r="O41" s="154"/>
      <c r="P41" s="154"/>
      <c r="Q41" s="154"/>
      <c r="R41" s="154"/>
      <c r="S41" s="154"/>
      <c r="T41" s="154"/>
      <c r="U41" s="154"/>
    </row>
    <row r="42" spans="1:12">
      <c r="A42" s="331"/>
      <c r="C42" s="331"/>
      <c r="D42" s="331"/>
      <c r="E42" s="331"/>
      <c r="F42" s="331"/>
      <c r="G42" s="331"/>
      <c r="H42" s="331"/>
      <c r="I42" s="331"/>
      <c r="J42" s="331"/>
      <c r="K42" s="331"/>
      <c r="L42" s="331"/>
    </row>
    <row r="43" spans="1:12">
      <c r="A43" s="331"/>
      <c r="C43" s="331"/>
      <c r="D43" s="331"/>
      <c r="E43" s="331"/>
      <c r="F43" s="331"/>
      <c r="G43" s="331"/>
      <c r="H43" s="331"/>
      <c r="I43" s="331"/>
      <c r="J43" s="331"/>
      <c r="K43" s="331"/>
      <c r="L43" s="331"/>
    </row>
    <row r="44" spans="1:12">
      <c r="A44" s="331"/>
      <c r="C44" s="331"/>
      <c r="D44" s="331"/>
      <c r="E44" s="331"/>
      <c r="F44" s="331"/>
      <c r="G44" s="331"/>
      <c r="H44" s="331"/>
      <c r="I44" s="331"/>
      <c r="J44" s="331"/>
      <c r="K44" s="331"/>
      <c r="L44" s="331"/>
    </row>
    <row r="45" spans="1:12">
      <c r="A45" s="331"/>
      <c r="C45" s="331"/>
      <c r="D45" s="331"/>
      <c r="E45" s="331"/>
      <c r="F45" s="331"/>
      <c r="G45" s="331"/>
      <c r="H45" s="331"/>
      <c r="I45" s="331"/>
      <c r="J45" s="331"/>
      <c r="K45" s="331"/>
      <c r="L45" s="331"/>
    </row>
    <row r="46" spans="1:12">
      <c r="A46" s="331"/>
      <c r="C46" s="331"/>
      <c r="D46" s="331"/>
      <c r="E46" s="331"/>
      <c r="F46" s="331"/>
      <c r="G46" s="331"/>
      <c r="H46" s="331"/>
      <c r="I46" s="331"/>
      <c r="J46" s="331"/>
      <c r="K46" s="331"/>
      <c r="L46" s="331"/>
    </row>
    <row r="47" spans="1:12">
      <c r="A47" s="331"/>
      <c r="C47" s="331"/>
      <c r="D47" s="331"/>
      <c r="E47" s="331"/>
      <c r="F47" s="331"/>
      <c r="G47" s="331"/>
      <c r="H47" s="331"/>
      <c r="I47" s="331"/>
      <c r="J47" s="331"/>
      <c r="K47" s="331"/>
      <c r="L47" s="331"/>
    </row>
    <row r="48" spans="1:12">
      <c r="A48" s="331"/>
      <c r="D48" s="331"/>
      <c r="E48" s="331"/>
      <c r="F48" s="331"/>
      <c r="G48" s="331"/>
      <c r="H48" s="331"/>
      <c r="I48" s="331"/>
      <c r="J48" s="331"/>
      <c r="K48" s="331"/>
      <c r="L48" s="331"/>
    </row>
  </sheetData>
  <mergeCells count="14">
    <mergeCell ref="K1:N1"/>
    <mergeCell ref="O1:R1"/>
    <mergeCell ref="S1:V1"/>
    <mergeCell ref="A1:A2"/>
    <mergeCell ref="A3:A23"/>
    <mergeCell ref="B1:B2"/>
    <mergeCell ref="C1:C2"/>
    <mergeCell ref="D1:D2"/>
    <mergeCell ref="E1:E2"/>
    <mergeCell ref="F1:F2"/>
    <mergeCell ref="G1:G2"/>
    <mergeCell ref="H1:H2"/>
    <mergeCell ref="I1:I2"/>
    <mergeCell ref="J1:J2"/>
  </mergeCells>
  <conditionalFormatting sqref="C3:D3">
    <cfRule type="expression" dxfId="0" priority="67">
      <formula>$C$452-$C$429&gt;=0</formula>
    </cfRule>
  </conditionalFormatting>
  <conditionalFormatting sqref="B10">
    <cfRule type="duplicateValues" dxfId="1" priority="13"/>
  </conditionalFormatting>
  <conditionalFormatting sqref="B15">
    <cfRule type="duplicateValues" dxfId="1" priority="47"/>
  </conditionalFormatting>
  <conditionalFormatting sqref="B16">
    <cfRule type="duplicateValues" dxfId="1" priority="53"/>
  </conditionalFormatting>
  <conditionalFormatting sqref="B17">
    <cfRule type="duplicateValues" dxfId="1" priority="52"/>
  </conditionalFormatting>
  <conditionalFormatting sqref="B18">
    <cfRule type="duplicateValues" dxfId="1" priority="51"/>
  </conditionalFormatting>
  <conditionalFormatting sqref="B19">
    <cfRule type="duplicateValues" dxfId="1" priority="50"/>
  </conditionalFormatting>
  <conditionalFormatting sqref="B20">
    <cfRule type="duplicateValues" dxfId="1" priority="49"/>
  </conditionalFormatting>
  <conditionalFormatting sqref="B21">
    <cfRule type="duplicateValues" dxfId="1" priority="48"/>
  </conditionalFormatting>
  <conditionalFormatting sqref="B22">
    <cfRule type="duplicateValues" dxfId="1" priority="46"/>
  </conditionalFormatting>
  <conditionalFormatting sqref="A38">
    <cfRule type="duplicateValues" dxfId="1" priority="7"/>
  </conditionalFormatting>
  <conditionalFormatting sqref="B1 B3:B9 B11:B14 B23 B25:B28 N40 B49:B1048576 C24">
    <cfRule type="duplicateValues" dxfId="1" priority="68"/>
  </conditionalFormatting>
  <conditionalFormatting sqref="S1:V1 T2:V2">
    <cfRule type="cellIs" dxfId="2" priority="41" operator="lessThan">
      <formula>-5</formula>
    </cfRule>
  </conditionalFormatting>
  <conditionalFormatting sqref="K3:V23">
    <cfRule type="cellIs" dxfId="3" priority="1" operator="lessThan">
      <formula>0</formula>
    </cfRule>
  </conditionalFormatting>
  <conditionalFormatting sqref="A31:A37 A39">
    <cfRule type="duplicateValues" dxfId="1" priority="8"/>
  </conditionalFormatting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5"/>
  <sheetViews>
    <sheetView topLeftCell="A36" workbookViewId="0">
      <selection activeCell="D67" sqref="D67"/>
    </sheetView>
  </sheetViews>
  <sheetFormatPr defaultColWidth="9" defaultRowHeight="13.5"/>
  <cols>
    <col min="1" max="1" width="7.375" customWidth="1"/>
    <col min="2" max="2" width="10.875" customWidth="1"/>
    <col min="3" max="3" width="10.375" customWidth="1"/>
    <col min="4" max="5" width="8.375" customWidth="1"/>
    <col min="6" max="6" width="9.375" customWidth="1"/>
    <col min="7" max="14" width="8.375" customWidth="1"/>
    <col min="15" max="15" width="10.375" customWidth="1"/>
    <col min="21" max="27" width="12.625"/>
    <col min="29" max="31" width="12.625"/>
  </cols>
  <sheetData>
    <row r="1" ht="18" customHeight="1" spans="1:15">
      <c r="A1" s="237">
        <f ca="1">TODAY()-1</f>
        <v>45145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</row>
    <row r="2" spans="1:31">
      <c r="A2" s="56" t="s">
        <v>1</v>
      </c>
      <c r="B2" s="238"/>
      <c r="C2" s="8" t="s">
        <v>42</v>
      </c>
      <c r="D2" s="239" t="s">
        <v>43</v>
      </c>
      <c r="E2" s="239" t="s">
        <v>44</v>
      </c>
      <c r="F2" s="239" t="s">
        <v>45</v>
      </c>
      <c r="G2" s="239" t="s">
        <v>46</v>
      </c>
      <c r="H2" s="239" t="s">
        <v>47</v>
      </c>
      <c r="I2" s="239" t="s">
        <v>48</v>
      </c>
      <c r="J2" s="239" t="s">
        <v>49</v>
      </c>
      <c r="K2" s="239" t="s">
        <v>50</v>
      </c>
      <c r="L2" s="239" t="s">
        <v>51</v>
      </c>
      <c r="M2" s="239" t="s">
        <v>52</v>
      </c>
      <c r="N2" s="239" t="s">
        <v>53</v>
      </c>
      <c r="O2" s="251" t="s">
        <v>54</v>
      </c>
      <c r="Q2" s="323" t="s">
        <v>1</v>
      </c>
      <c r="R2" s="323"/>
      <c r="S2" s="323" t="s">
        <v>42</v>
      </c>
      <c r="T2" s="324" t="s">
        <v>43</v>
      </c>
      <c r="U2" s="324" t="s">
        <v>44</v>
      </c>
      <c r="V2" s="324" t="s">
        <v>45</v>
      </c>
      <c r="W2" s="324" t="s">
        <v>46</v>
      </c>
      <c r="X2" s="324" t="s">
        <v>47</v>
      </c>
      <c r="Y2" s="329" t="s">
        <v>48</v>
      </c>
      <c r="Z2" s="324" t="s">
        <v>49</v>
      </c>
      <c r="AA2" s="324" t="s">
        <v>50</v>
      </c>
      <c r="AB2" s="324" t="s">
        <v>51</v>
      </c>
      <c r="AC2" s="324" t="s">
        <v>52</v>
      </c>
      <c r="AD2" s="324" t="s">
        <v>53</v>
      </c>
      <c r="AE2" s="324" t="s">
        <v>54</v>
      </c>
    </row>
    <row r="3" spans="1:31">
      <c r="A3" s="240" t="s">
        <v>22</v>
      </c>
      <c r="B3" s="47" t="s">
        <v>55</v>
      </c>
      <c r="C3" s="12">
        <f>C5/C4</f>
        <v>0.311175616835994</v>
      </c>
      <c r="D3" s="241">
        <f>D5/D4</f>
        <v>0.379204892966361</v>
      </c>
      <c r="E3" s="241">
        <f t="shared" ref="E3:O3" si="0">E5/E4</f>
        <v>0.363636363636364</v>
      </c>
      <c r="F3" s="241">
        <f t="shared" si="0"/>
        <v>0.358333333333333</v>
      </c>
      <c r="G3" s="241">
        <f t="shared" si="0"/>
        <v>0.459677419354839</v>
      </c>
      <c r="H3" s="241">
        <f t="shared" si="0"/>
        <v>0.280952380952381</v>
      </c>
      <c r="I3" s="241">
        <f t="shared" si="0"/>
        <v>0.312775330396476</v>
      </c>
      <c r="J3" s="241">
        <f t="shared" si="0"/>
        <v>0.363309352517986</v>
      </c>
      <c r="K3" s="241">
        <f t="shared" si="0"/>
        <v>0.28</v>
      </c>
      <c r="L3" s="241">
        <f t="shared" si="0"/>
        <v>0.326219512195122</v>
      </c>
      <c r="M3" s="241">
        <f t="shared" si="0"/>
        <v>0.286644951140065</v>
      </c>
      <c r="N3" s="241">
        <f t="shared" si="0"/>
        <v>0.24765478424015</v>
      </c>
      <c r="O3" s="252">
        <f t="shared" si="0"/>
        <v>0.275268817204301</v>
      </c>
      <c r="Q3" s="325" t="s">
        <v>22</v>
      </c>
      <c r="R3" s="325" t="s">
        <v>56</v>
      </c>
      <c r="S3" s="12" t="e">
        <f>AVERAGE(T3:AE3)</f>
        <v>#REF!</v>
      </c>
      <c r="T3" s="325" t="e">
        <f>AVERAGEIFS(#REF!,#REF!,#REF!,#REF!,"接收率")</f>
        <v>#REF!</v>
      </c>
      <c r="U3" s="325" t="e">
        <f>AVERAGEIFS(#REF!,#REF!,#REF!,#REF!,"接收率")</f>
        <v>#REF!</v>
      </c>
      <c r="V3" s="325" t="e">
        <f>AVERAGEIFS(#REF!,#REF!,#REF!,#REF!,"接收率")</f>
        <v>#REF!</v>
      </c>
      <c r="W3" s="325" t="e">
        <f>AVERAGEIFS(#REF!,#REF!,#REF!,#REF!,"接收率")</f>
        <v>#REF!</v>
      </c>
      <c r="X3" s="325" t="e">
        <f>AVERAGEIFS(#REF!,#REF!,#REF!,#REF!,"接收率")</f>
        <v>#REF!</v>
      </c>
      <c r="Y3" s="325" t="e">
        <f>AVERAGEIFS(#REF!,#REF!,#REF!,#REF!,"接收率")</f>
        <v>#REF!</v>
      </c>
      <c r="Z3" s="325" t="e">
        <f>AVERAGEIFS(#REF!,#REF!,#REF!,#REF!,"接收率")</f>
        <v>#REF!</v>
      </c>
      <c r="AA3" s="325" t="e">
        <f>AVERAGEIFS(#REF!,#REF!,#REF!,#REF!,"接收率")</f>
        <v>#REF!</v>
      </c>
      <c r="AB3" s="325" t="e">
        <f>AVERAGEIFS(#REF!,#REF!,#REF!,#REF!,"接收率")</f>
        <v>#REF!</v>
      </c>
      <c r="AC3" s="325" t="e">
        <f>AVERAGEIFS(#REF!,#REF!,#REF!,#REF!,"接收率")</f>
        <v>#REF!</v>
      </c>
      <c r="AD3" s="325" t="e">
        <f>AVERAGEIFS(#REF!,#REF!,#REF!,#REF!,"接收率")</f>
        <v>#REF!</v>
      </c>
      <c r="AE3" s="325" t="e">
        <f>AVERAGEIFS(#REF!,#REF!,#REF!,#REF!,"接收率")</f>
        <v>#REF!</v>
      </c>
    </row>
    <row r="4" spans="1:31">
      <c r="A4" s="242" t="s">
        <v>22</v>
      </c>
      <c r="B4" s="43" t="s">
        <v>57</v>
      </c>
      <c r="C4" s="15">
        <f t="shared" ref="C4:C6" si="1">SUM(D4:O4)</f>
        <v>3445</v>
      </c>
      <c r="D4" s="243">
        <f>SUMIFS([1]趋势分析!$F:$F,[1]趋势分析!$A:$A,"redquan.com",[1]趋势分析!$C:$C,"00")+SUMIFS([1]趋势分析!$F:$F,[1]趋势分析!$A:$A,"redquan.com",[1]趋势分析!$C:$C,"01")</f>
        <v>327</v>
      </c>
      <c r="E4" s="243">
        <f>SUMIFS([1]趋势分析!$F:$F,[1]趋势分析!$A:$A,"redquan.com",[1]趋势分析!$C:$C,"02")+SUMIFS([1]趋势分析!$F:$F,[1]趋势分析!$A:$A,"redquan.com",[1]趋势分析!$C:$C,"03")</f>
        <v>176</v>
      </c>
      <c r="F4" s="243">
        <f>SUMIFS([1]趋势分析!$F:$F,[1]趋势分析!$A:$A,"redquan.com",[1]趋势分析!$C:$C,"04")+SUMIFS([1]趋势分析!$F:$F,[1]趋势分析!$A:$A,"redquan.com",[1]趋势分析!$C:$C,"05")</f>
        <v>120</v>
      </c>
      <c r="G4" s="243">
        <f>SUMIFS([1]趋势分析!$F:$F,[1]趋势分析!$A:$A,"redquan.com",[1]趋势分析!$C:$C,"06")+SUMIFS([1]趋势分析!$F:$F,[1]趋势分析!$A:$A,"redquan.com",[1]趋势分析!$C:$C,"07")</f>
        <v>124</v>
      </c>
      <c r="H4" s="243">
        <f>SUMIFS([1]趋势分析!$F:$F,[1]趋势分析!$A:$A,"redquan.com",[1]趋势分析!$C:$C,"08")+SUMIFS([1]趋势分析!$F:$F,[1]趋势分析!$A:$A,"redquan.com",[1]趋势分析!$C:$C,"09")</f>
        <v>210</v>
      </c>
      <c r="I4" s="243">
        <f>SUMIFS([1]趋势分析!$F:$F,[1]趋势分析!$A:$A,"redquan.com",[1]趋势分析!$C:$C,"10")+SUMIFS([1]趋势分析!$F:$F,[1]趋势分析!$A:$A,"redquan.com",[1]趋势分析!$C:$C,"11")</f>
        <v>227</v>
      </c>
      <c r="J4" s="243">
        <f>SUMIFS([1]趋势分析!$F:$F,[1]趋势分析!$A:$A,"redquan.com",[1]趋势分析!$C:$C,"12")+SUMIFS([1]趋势分析!$F:$F,[1]趋势分析!$A:$A,"redquan.com",[1]趋势分析!$C:$C,"13")</f>
        <v>278</v>
      </c>
      <c r="K4" s="243">
        <f>SUMIFS([1]趋势分析!$F:$F,[1]趋势分析!$A:$A,"redquan.com",[1]趋势分析!$C:$C,"14")+SUMIFS([1]趋势分析!$F:$F,[1]趋势分析!$A:$A,"redquan.com",[1]趋势分析!$C:$C,"15")</f>
        <v>350</v>
      </c>
      <c r="L4" s="243">
        <f>SUMIFS([1]趋势分析!$F:$F,[1]趋势分析!$A:$A,"redquan.com",[1]趋势分析!$C:$C,"16")+SUMIFS([1]趋势分析!$F:$F,[1]趋势分析!$A:$A,"redquan.com",[1]趋势分析!$C:$C,"17")</f>
        <v>328</v>
      </c>
      <c r="M4" s="243">
        <f>SUMIFS([1]趋势分析!$F:$F,[1]趋势分析!$A:$A,"redquan.com",[1]趋势分析!$C:$C,"18")+SUMIFS([1]趋势分析!$F:$F,[1]趋势分析!$A:$A,"redquan.com",[1]趋势分析!$C:$C,"19")</f>
        <v>307</v>
      </c>
      <c r="N4" s="243">
        <f>SUMIFS([1]趋势分析!$F:$F,[1]趋势分析!$A:$A,"redquan.com",[1]趋势分析!$C:$C,"20")+SUMIFS([1]趋势分析!$F:$F,[1]趋势分析!$A:$A,"redquan.com",[1]趋势分析!$C:$C,"21")</f>
        <v>533</v>
      </c>
      <c r="O4" s="253">
        <f>SUMIFS([1]趋势分析!$F:$F,[1]趋势分析!$A:$A,"redquan.com",[1]趋势分析!$C:$C,"22")+SUMIFS([1]趋势分析!$F:$F,[1]趋势分析!$A:$A,"redquan.com",[1]趋势分析!$C:$C,"23")</f>
        <v>465</v>
      </c>
      <c r="Q4" s="325" t="s">
        <v>22</v>
      </c>
      <c r="R4" s="326" t="s">
        <v>58</v>
      </c>
      <c r="S4" s="15" t="e">
        <f t="shared" ref="S4:S6" si="2">SUM(T4:AE4)</f>
        <v>#REF!</v>
      </c>
      <c r="T4" s="325" t="e">
        <f>AVERAGEIFS(#REF!,#REF!,#REF!,#REF!,"发送IP数")</f>
        <v>#REF!</v>
      </c>
      <c r="U4" s="325" t="e">
        <f>AVERAGEIFS(#REF!,#REF!,#REF!,#REF!,"发送IP数")</f>
        <v>#REF!</v>
      </c>
      <c r="V4" s="325" t="e">
        <f>AVERAGEIFS(#REF!,#REF!,#REF!,#REF!,"发送IP数")</f>
        <v>#REF!</v>
      </c>
      <c r="W4" s="325" t="e">
        <f>AVERAGEIFS(#REF!,#REF!,#REF!,#REF!,"发送IP数")</f>
        <v>#REF!</v>
      </c>
      <c r="X4" s="325" t="e">
        <f>AVERAGEIFS(#REF!,#REF!,#REF!,#REF!,"发送IP数")</f>
        <v>#REF!</v>
      </c>
      <c r="Y4" s="325" t="e">
        <f>AVERAGEIFS(#REF!,#REF!,#REF!,#REF!,"发送IP数")</f>
        <v>#REF!</v>
      </c>
      <c r="Z4" s="325" t="e">
        <f>AVERAGEIFS(#REF!,#REF!,#REF!,#REF!,"发送IP数")</f>
        <v>#REF!</v>
      </c>
      <c r="AA4" s="325" t="e">
        <f>AVERAGEIFS(#REF!,#REF!,#REF!,#REF!,"发送IP数")</f>
        <v>#REF!</v>
      </c>
      <c r="AB4" s="325" t="e">
        <f>AVERAGEIFS(#REF!,#REF!,#REF!,#REF!,"发送IP数")</f>
        <v>#REF!</v>
      </c>
      <c r="AC4" s="325" t="e">
        <f>AVERAGEIFS(#REF!,#REF!,#REF!,#REF!,"发送IP数")</f>
        <v>#REF!</v>
      </c>
      <c r="AD4" s="325" t="e">
        <f>AVERAGEIFS(#REF!,#REF!,#REF!,#REF!,"发送IP数")</f>
        <v>#REF!</v>
      </c>
      <c r="AE4" s="325" t="e">
        <f>AVERAGEIFS(#REF!,#REF!,#REF!,#REF!,"发送IP数")</f>
        <v>#REF!</v>
      </c>
    </row>
    <row r="5" spans="1:31">
      <c r="A5" s="240" t="s">
        <v>22</v>
      </c>
      <c r="B5" s="47" t="s">
        <v>59</v>
      </c>
      <c r="C5" s="15">
        <f t="shared" si="1"/>
        <v>1072</v>
      </c>
      <c r="D5" s="243">
        <f>SUMIFS([1]趋势分析!$F:$F,[1]趋势分析!$A:$A,"martin.bty",[1]趋势分析!$C:$C,"00")+SUMIFS([1]趋势分析!$F:$F,[1]趋势分析!$A:$A,"martin.bty",[1]趋势分析!$C:$C,"01")</f>
        <v>124</v>
      </c>
      <c r="E5" s="243">
        <f>SUMIFS([1]趋势分析!$F:$F,[1]趋势分析!$A:$A,"martin.bty",[1]趋势分析!$C:$C,"02")+SUMIFS([1]趋势分析!$F:$F,[1]趋势分析!$A:$A,"martin.bty",[1]趋势分析!$C:$C,"03")</f>
        <v>64</v>
      </c>
      <c r="F5" s="243">
        <f>SUMIFS([1]趋势分析!$F:$F,[1]趋势分析!$A:$A,"martin.bty",[1]趋势分析!$C:$C,"04")+SUMIFS([1]趋势分析!$F:$F,[1]趋势分析!$A:$A,"martin.bty",[1]趋势分析!$C:$C,"05")</f>
        <v>43</v>
      </c>
      <c r="G5" s="243">
        <f>SUMIFS([1]趋势分析!$F:$F,[1]趋势分析!$A:$A,"martin.bty",[1]趋势分析!$C:$C,"06")+SUMIFS([1]趋势分析!$F:$F,[1]趋势分析!$A:$A,"martin.bty",[1]趋势分析!$C:$C,"07")</f>
        <v>57</v>
      </c>
      <c r="H5" s="243">
        <f>SUMIFS([1]趋势分析!$F:$F,[1]趋势分析!$A:$A,"martin.bty",[1]趋势分析!$C:$C,"08")+SUMIFS([1]趋势分析!$F:$F,[1]趋势分析!$A:$A,"martin.bty",[1]趋势分析!$C:$C,"09")</f>
        <v>59</v>
      </c>
      <c r="I5" s="243">
        <f>SUMIFS([1]趋势分析!$F:$F,[1]趋势分析!$A:$A,"martin.bty",[1]趋势分析!$C:$C,"10")+SUMIFS([1]趋势分析!$F:$F,[1]趋势分析!$A:$A,"martin.bty",[1]趋势分析!$C:$C,"11")</f>
        <v>71</v>
      </c>
      <c r="J5" s="243">
        <f>SUMIFS([1]趋势分析!$F:$F,[1]趋势分析!$A:$A,"martin.bty",[1]趋势分析!$C:$C,"12")+SUMIFS([1]趋势分析!$F:$F,[1]趋势分析!$A:$A,"martin.bty",[1]趋势分析!$C:$C,"13")</f>
        <v>101</v>
      </c>
      <c r="K5" s="243">
        <f>SUMIFS([1]趋势分析!$F:$F,[1]趋势分析!$A:$A,"martin.bty",[1]趋势分析!$C:$C,"14")+SUMIFS([1]趋势分析!$F:$F,[1]趋势分析!$A:$A,"martin.bty",[1]趋势分析!$C:$C,"15")</f>
        <v>98</v>
      </c>
      <c r="L5" s="243">
        <f>SUMIFS([1]趋势分析!$F:$F,[1]趋势分析!$A:$A,"martin.bty",[1]趋势分析!$C:$C,"16")+SUMIFS([1]趋势分析!$F:$F,[1]趋势分析!$A:$A,"martin.bty",[1]趋势分析!$C:$C,"17")</f>
        <v>107</v>
      </c>
      <c r="M5" s="243">
        <f>SUMIFS([1]趋势分析!$F:$F,[1]趋势分析!$A:$A,"martin.bty",[1]趋势分析!$C:$C,"18")+SUMIFS([1]趋势分析!$F:$F,[1]趋势分析!$A:$A,"martin.bty",[1]趋势分析!$C:$C,"19")</f>
        <v>88</v>
      </c>
      <c r="N5" s="243">
        <f>SUMIFS([1]趋势分析!$F:$F,[1]趋势分析!$A:$A,"martin.bty",[1]趋势分析!$C:$C,"20")+SUMIFS([1]趋势分析!$F:$F,[1]趋势分析!$A:$A,"martin.bty",[1]趋势分析!$C:$C,"21")</f>
        <v>132</v>
      </c>
      <c r="O5" s="253">
        <f>SUMIFS([1]趋势分析!$F:$F,[1]趋势分析!$A:$A,"martin.bty",[1]趋势分析!$C:$C,"22")+SUMIFS([1]趋势分析!$F:$F,[1]趋势分析!$A:$A,"martin.bty",[1]趋势分析!$C:$C,"23")</f>
        <v>128</v>
      </c>
      <c r="Q5" s="325" t="s">
        <v>22</v>
      </c>
      <c r="R5" s="326" t="s">
        <v>60</v>
      </c>
      <c r="S5" s="15" t="e">
        <f t="shared" si="2"/>
        <v>#REF!</v>
      </c>
      <c r="T5" s="325" t="e">
        <f>AVERAGEIFS(#REF!,#REF!,"Martin",#REF!,"接收IP数")</f>
        <v>#REF!</v>
      </c>
      <c r="U5" s="325" t="e">
        <f>AVERAGEIFS(#REF!,#REF!,"Martin",#REF!,"接收IP数")</f>
        <v>#REF!</v>
      </c>
      <c r="V5" s="325" t="e">
        <f>AVERAGEIFS(#REF!,#REF!,"Martin",#REF!,"接收IP数")</f>
        <v>#REF!</v>
      </c>
      <c r="W5" s="325" t="e">
        <f>AVERAGEIFS(#REF!,#REF!,"Martin",#REF!,"接收IP数")</f>
        <v>#REF!</v>
      </c>
      <c r="X5" s="325" t="e">
        <f>AVERAGEIFS(#REF!,#REF!,"Martin",#REF!,"接收IP数")</f>
        <v>#REF!</v>
      </c>
      <c r="Y5" s="325" t="e">
        <f>AVERAGEIFS(#REF!,#REF!,"Martin",#REF!,"接收IP数")</f>
        <v>#REF!</v>
      </c>
      <c r="Z5" s="325" t="e">
        <f>AVERAGEIFS(#REF!,#REF!,"Martin",#REF!,"接收IP数")</f>
        <v>#REF!</v>
      </c>
      <c r="AA5" s="325" t="e">
        <f>AVERAGEIFS(#REF!,#REF!,"Martin",#REF!,"接收IP数")</f>
        <v>#REF!</v>
      </c>
      <c r="AB5" s="325" t="e">
        <f>AVERAGEIFS(#REF!,#REF!,"Martin",#REF!,"接收IP数")</f>
        <v>#REF!</v>
      </c>
      <c r="AC5" s="325" t="e">
        <f>AVERAGEIFS(#REF!,#REF!,"Martin",#REF!,"接收IP数")</f>
        <v>#REF!</v>
      </c>
      <c r="AD5" s="325" t="e">
        <f>AVERAGEIFS(#REF!,#REF!,"Martin",#REF!,"接收IP数")</f>
        <v>#REF!</v>
      </c>
      <c r="AE5" s="325" t="e">
        <f>AVERAGEIFS(#REF!,#REF!,"Martin",#REF!,"接收IP数")</f>
        <v>#REF!</v>
      </c>
    </row>
    <row r="6" spans="1:31">
      <c r="A6" s="242" t="s">
        <v>22</v>
      </c>
      <c r="B6" s="43" t="s">
        <v>4</v>
      </c>
      <c r="C6" s="15">
        <f t="shared" si="1"/>
        <v>78</v>
      </c>
      <c r="D6" s="244">
        <f>COUNTIFS(bty注册!$X:$X,"martin",bty注册!$AA:$AA,"0")+COUNTIFS(bty注册!$X:$X,"martin",bty注册!$AA:$AA,"1")</f>
        <v>7</v>
      </c>
      <c r="E6" s="244">
        <f>COUNTIFS(bty注册!$X:$X,"martin",bty注册!$AA:$AA,"2")+COUNTIFS(bty注册!$X:$X,"martin",bty注册!$AA:$AA,"3")</f>
        <v>5</v>
      </c>
      <c r="F6" s="244">
        <f>COUNTIFS(bty注册!$X:$X,"martin",bty注册!$AA:$AA,"4")+COUNTIFS(bty注册!$X:$X,"martin",bty注册!$AA:$AA,"5")</f>
        <v>1</v>
      </c>
      <c r="G6" s="244">
        <f>COUNTIFS(bty注册!$X:$X,"martin",bty注册!$AA:$AA,"6")+COUNTIFS(bty注册!$X:$X,"martin",bty注册!$AA:$AA,"7")</f>
        <v>3</v>
      </c>
      <c r="H6" s="244">
        <f>COUNTIFS(bty注册!$X:$X,"martin",bty注册!$AA:$AA,"8")+COUNTIFS(bty注册!$X:$X,"martin",bty注册!$AA:$AA,"9")</f>
        <v>7</v>
      </c>
      <c r="I6" s="244">
        <f>COUNTIFS(bty注册!$X:$X,"martin",bty注册!$AA:$AA,"10")+COUNTIFS(bty注册!$X:$X,"martin",bty注册!$AA:$AA,"11")</f>
        <v>7</v>
      </c>
      <c r="J6" s="244">
        <f>COUNTIFS(bty注册!$X:$X,"martin",bty注册!$AA:$AA,"12")+COUNTIFS(bty注册!$X:$X,"martin",bty注册!$AA:$AA,"13")</f>
        <v>3</v>
      </c>
      <c r="K6" s="244">
        <f>COUNTIFS(bty注册!$X:$X,"martin",bty注册!$AA:$AA,"14")+COUNTIFS(bty注册!$X:$X,"martin",bty注册!$AA:$AA,"15")</f>
        <v>7</v>
      </c>
      <c r="L6" s="244">
        <f>COUNTIFS(bty注册!$X:$X,"martin",bty注册!$AA:$AA,"16")+COUNTIFS(bty注册!$X:$X,"martin",bty注册!$AA:$AA,"17")</f>
        <v>7</v>
      </c>
      <c r="M6" s="244">
        <f>COUNTIFS(bty注册!$X:$X,"martin",bty注册!$AA:$AA,"18")+COUNTIFS(bty注册!$X:$X,"martin",bty注册!$AA:$AA,"19")</f>
        <v>6</v>
      </c>
      <c r="N6" s="244">
        <f>COUNTIFS(bty注册!$X:$X,"martin",bty注册!$AA:$AA,"20")+COUNTIFS(bty注册!$X:$X,"martin",bty注册!$AA:$AA,"21")</f>
        <v>11</v>
      </c>
      <c r="O6" s="254">
        <f>COUNTIFS(bty注册!$X:$X,"martin",bty注册!$AA:$AA,"22")+COUNTIFS(bty注册!$X:$X,"martin",bty注册!$AA:$AA,"23")</f>
        <v>14</v>
      </c>
      <c r="Q6" s="325" t="s">
        <v>22</v>
      </c>
      <c r="R6" s="325" t="s">
        <v>61</v>
      </c>
      <c r="S6" s="15" t="e">
        <f t="shared" si="2"/>
        <v>#REF!</v>
      </c>
      <c r="T6" s="325" t="e">
        <f>AVERAGEIFS(#REF!,#REF!,#REF!,#REF!,"注册")</f>
        <v>#REF!</v>
      </c>
      <c r="U6" s="325" t="e">
        <f>AVERAGEIFS(#REF!,#REF!,#REF!,#REF!,"注册")</f>
        <v>#REF!</v>
      </c>
      <c r="V6" s="325" t="e">
        <f>AVERAGEIFS(#REF!,#REF!,#REF!,#REF!,"注册")</f>
        <v>#REF!</v>
      </c>
      <c r="W6" s="325" t="e">
        <f>AVERAGEIFS(#REF!,#REF!,#REF!,#REF!,"注册")</f>
        <v>#REF!</v>
      </c>
      <c r="X6" s="325" t="e">
        <f>AVERAGEIFS(#REF!,#REF!,#REF!,#REF!,"注册")</f>
        <v>#REF!</v>
      </c>
      <c r="Y6" s="325" t="e">
        <f>AVERAGEIFS(#REF!,#REF!,#REF!,#REF!,"注册")</f>
        <v>#REF!</v>
      </c>
      <c r="Z6" s="325" t="e">
        <f>AVERAGEIFS(#REF!,#REF!,#REF!,#REF!,"注册")</f>
        <v>#REF!</v>
      </c>
      <c r="AA6" s="325" t="e">
        <f>AVERAGEIFS(#REF!,#REF!,#REF!,#REF!,"注册")</f>
        <v>#REF!</v>
      </c>
      <c r="AB6" s="325" t="e">
        <f>AVERAGEIFS(#REF!,#REF!,#REF!,#REF!,"注册")</f>
        <v>#REF!</v>
      </c>
      <c r="AC6" s="325" t="e">
        <f>AVERAGEIFS(#REF!,#REF!,#REF!,#REF!,"注册")</f>
        <v>#REF!</v>
      </c>
      <c r="AD6" s="325" t="e">
        <f>AVERAGEIFS(#REF!,#REF!,#REF!,#REF!,"注册")</f>
        <v>#REF!</v>
      </c>
      <c r="AE6" s="325" t="e">
        <f>AVERAGEIFS(#REF!,#REF!,#REF!,#REF!,"注册")</f>
        <v>#REF!</v>
      </c>
    </row>
    <row r="7" spans="1:31">
      <c r="A7" s="240" t="s">
        <v>22</v>
      </c>
      <c r="B7" s="47" t="s">
        <v>5</v>
      </c>
      <c r="C7" s="12">
        <f>C6/C5</f>
        <v>0.0727611940298507</v>
      </c>
      <c r="D7" s="241">
        <f>IFERROR(D6/D5,0)</f>
        <v>0.0564516129032258</v>
      </c>
      <c r="E7" s="241">
        <f>IFERROR(E6/E5,0)</f>
        <v>0.078125</v>
      </c>
      <c r="F7" s="241">
        <f t="shared" ref="F7:O7" si="3">IFERROR(F6/F5,0)</f>
        <v>0.0232558139534884</v>
      </c>
      <c r="G7" s="241">
        <f t="shared" si="3"/>
        <v>0.0526315789473684</v>
      </c>
      <c r="H7" s="241">
        <f t="shared" si="3"/>
        <v>0.11864406779661</v>
      </c>
      <c r="I7" s="241">
        <f t="shared" si="3"/>
        <v>0.0985915492957746</v>
      </c>
      <c r="J7" s="241">
        <f t="shared" si="3"/>
        <v>0.0297029702970297</v>
      </c>
      <c r="K7" s="241">
        <f t="shared" si="3"/>
        <v>0.0714285714285714</v>
      </c>
      <c r="L7" s="241">
        <f t="shared" si="3"/>
        <v>0.0654205607476635</v>
      </c>
      <c r="M7" s="241">
        <f t="shared" si="3"/>
        <v>0.0681818181818182</v>
      </c>
      <c r="N7" s="241">
        <f t="shared" si="3"/>
        <v>0.0833333333333333</v>
      </c>
      <c r="O7" s="252">
        <f t="shared" si="3"/>
        <v>0.109375</v>
      </c>
      <c r="Q7" s="325" t="s">
        <v>22</v>
      </c>
      <c r="R7" s="326" t="s">
        <v>62</v>
      </c>
      <c r="S7" s="12" t="e">
        <f>AVERAGE(T7:AE7)</f>
        <v>#REF!</v>
      </c>
      <c r="T7" s="327" t="e">
        <f>AVERAGEIFS(#REF!,#REF!,#REF!,#REF!,"注册率")</f>
        <v>#REF!</v>
      </c>
      <c r="U7" s="327" t="e">
        <f>AVERAGEIFS(#REF!,#REF!,#REF!,#REF!,"注册率")</f>
        <v>#REF!</v>
      </c>
      <c r="V7" s="327" t="e">
        <f>AVERAGEIFS(#REF!,#REF!,#REF!,#REF!,"注册率")</f>
        <v>#REF!</v>
      </c>
      <c r="W7" s="327" t="e">
        <f>AVERAGEIFS(#REF!,#REF!,#REF!,#REF!,"注册率")</f>
        <v>#REF!</v>
      </c>
      <c r="X7" s="327" t="e">
        <f>AVERAGEIFS(#REF!,#REF!,#REF!,#REF!,"注册率")</f>
        <v>#REF!</v>
      </c>
      <c r="Y7" s="327" t="e">
        <f>AVERAGEIFS(#REF!,#REF!,#REF!,#REF!,"注册率")</f>
        <v>#REF!</v>
      </c>
      <c r="Z7" s="327" t="e">
        <f>AVERAGEIFS(#REF!,#REF!,#REF!,#REF!,"注册率")</f>
        <v>#REF!</v>
      </c>
      <c r="AA7" s="327" t="e">
        <f>AVERAGEIFS(#REF!,#REF!,#REF!,#REF!,"注册率")</f>
        <v>#REF!</v>
      </c>
      <c r="AB7" s="327" t="e">
        <f>AVERAGEIFS(#REF!,#REF!,#REF!,#REF!,"注册率")</f>
        <v>#REF!</v>
      </c>
      <c r="AC7" s="327" t="e">
        <f>AVERAGEIFS(#REF!,#REF!,#REF!,#REF!,"注册率")</f>
        <v>#REF!</v>
      </c>
      <c r="AD7" s="327" t="e">
        <f>AVERAGEIFS(#REF!,#REF!,#REF!,#REF!,"注册率")</f>
        <v>#REF!</v>
      </c>
      <c r="AE7" s="327" t="e">
        <f>AVERAGEIFS(#REF!,#REF!,#REF!,#REF!,"注册率")</f>
        <v>#REF!</v>
      </c>
    </row>
    <row r="8" spans="1:31">
      <c r="A8" s="242" t="s">
        <v>22</v>
      </c>
      <c r="B8" s="43" t="s">
        <v>6</v>
      </c>
      <c r="C8" s="15">
        <f>SUM(D8:O8)</f>
        <v>24</v>
      </c>
      <c r="D8" s="244">
        <f>COUNTIFS(bty首充!$H:$H,"martin",bty首充!$J:$J,"0")+COUNTIFS(bty首充!$H:$H,"martin",bty首充!$J:$J,"1")</f>
        <v>3</v>
      </c>
      <c r="E8" s="244">
        <f>COUNTIFS(bty首充!$H:$H,"martin",bty首充!$J:$J,"2")+COUNTIFS(bty首充!$H:$H,"martin",bty首充!$J:$J,"3")</f>
        <v>2</v>
      </c>
      <c r="F8" s="244">
        <f>COUNTIFS(bty首充!$H:$H,"martin",bty首充!$J:$J,"4")+COUNTIFS(bty首充!$H:$H,"martin",bty首充!$J:$J,"5")</f>
        <v>0</v>
      </c>
      <c r="G8" s="244">
        <f>COUNTIFS(bty首充!$H:$H,"martin",bty首充!$J:$J,"6")+COUNTIFS(bty首充!$H:$H,"martin",bty首充!$J:$J,"7")</f>
        <v>1</v>
      </c>
      <c r="H8" s="244">
        <f>COUNTIFS(bty首充!$H:$H,"martin",bty首充!$J:$J,"8")+COUNTIFS(bty首充!$H:$H,"martin",bty首充!$J:$J,"9")</f>
        <v>0</v>
      </c>
      <c r="I8" s="244">
        <f>COUNTIFS(bty首充!$H:$H,"martin",bty首充!$J:$J,"10")+COUNTIFS(bty首充!$H:$H,"martin",bty首充!$J:$J,"11")</f>
        <v>1</v>
      </c>
      <c r="J8" s="244">
        <f>COUNTIFS(bty首充!$H:$H,"martin",bty首充!$J:$J,"12")+COUNTIFS(bty首充!$H:$H,"martin",bty首充!$J:$J,"13")</f>
        <v>1</v>
      </c>
      <c r="K8" s="244">
        <f>COUNTIFS(bty首充!$H:$H,"martin",bty首充!$J:$J,"14")+COUNTIFS(bty首充!$H:$H,"martin",bty首充!$J:$J,"15")</f>
        <v>3</v>
      </c>
      <c r="L8" s="244">
        <f>COUNTIFS(bty首充!$H:$H,"martin",bty首充!$J:$J,"16")+COUNTIFS(bty首充!$H:$H,"martin",bty首充!$J:$J,"17")</f>
        <v>3</v>
      </c>
      <c r="M8" s="244">
        <f>COUNTIFS(bty首充!$H:$H,"martin",bty首充!$J:$J,"18")+COUNTIFS(bty首充!$H:$H,"martin",bty首充!$J:$J,"19")</f>
        <v>7</v>
      </c>
      <c r="N8" s="244">
        <f>COUNTIFS(bty首充!$H:$H,"martin",bty首充!$J:$J,"20")+COUNTIFS(bty首充!$H:$H,"martin",bty首充!$J:$J,"21")</f>
        <v>1</v>
      </c>
      <c r="O8" s="254">
        <f>COUNTIFS(bty首充!$H:$H,"martin",bty首充!$J:$J,"22")+COUNTIFS(bty首充!$H:$H,"martin",bty首充!$J:$J,"23")</f>
        <v>2</v>
      </c>
      <c r="Q8" s="325" t="s">
        <v>22</v>
      </c>
      <c r="R8" s="325" t="s">
        <v>63</v>
      </c>
      <c r="S8" s="15" t="e">
        <f>SUM(T8:AE8)</f>
        <v>#REF!</v>
      </c>
      <c r="T8" s="325" t="e">
        <f>AVERAGEIFS(#REF!,#REF!,#REF!,#REF!,"开户")</f>
        <v>#REF!</v>
      </c>
      <c r="U8" s="325" t="e">
        <f>AVERAGEIFS(#REF!,#REF!,#REF!,#REF!,"开户")</f>
        <v>#REF!</v>
      </c>
      <c r="V8" s="325" t="e">
        <f>AVERAGEIFS(#REF!,#REF!,#REF!,#REF!,"开户")</f>
        <v>#REF!</v>
      </c>
      <c r="W8" s="325" t="e">
        <f>AVERAGEIFS(#REF!,#REF!,#REF!,#REF!,"开户")</f>
        <v>#REF!</v>
      </c>
      <c r="X8" s="325" t="e">
        <f>AVERAGEIFS(#REF!,#REF!,#REF!,#REF!,"开户")</f>
        <v>#REF!</v>
      </c>
      <c r="Y8" s="325" t="e">
        <f>AVERAGEIFS(#REF!,#REF!,#REF!,#REF!,"开户")</f>
        <v>#REF!</v>
      </c>
      <c r="Z8" s="325" t="e">
        <f>AVERAGEIFS(#REF!,#REF!,#REF!,#REF!,"开户")</f>
        <v>#REF!</v>
      </c>
      <c r="AA8" s="325" t="e">
        <f>AVERAGEIFS(#REF!,#REF!,#REF!,#REF!,"开户")</f>
        <v>#REF!</v>
      </c>
      <c r="AB8" s="325" t="e">
        <f>AVERAGEIFS(#REF!,#REF!,#REF!,#REF!,"开户")</f>
        <v>#REF!</v>
      </c>
      <c r="AC8" s="325" t="e">
        <f>AVERAGEIFS(#REF!,#REF!,#REF!,#REF!,"开户")</f>
        <v>#REF!</v>
      </c>
      <c r="AD8" s="325" t="e">
        <f>AVERAGEIFS(#REF!,#REF!,#REF!,#REF!,"开户")</f>
        <v>#REF!</v>
      </c>
      <c r="AE8" s="325" t="e">
        <f>AVERAGEIFS(#REF!,#REF!,#REF!,#REF!,"开户")</f>
        <v>#REF!</v>
      </c>
    </row>
    <row r="9" ht="14.25" spans="1:31">
      <c r="A9" s="245" t="s">
        <v>22</v>
      </c>
      <c r="B9" s="52" t="s">
        <v>64</v>
      </c>
      <c r="C9" s="19">
        <f>C8/C6</f>
        <v>0.307692307692308</v>
      </c>
      <c r="D9" s="246">
        <f>IFERROR(D8/D6,0)</f>
        <v>0.428571428571429</v>
      </c>
      <c r="E9" s="246">
        <f t="shared" ref="E9:O9" si="4">IFERROR(E8/E6,0)</f>
        <v>0.4</v>
      </c>
      <c r="F9" s="246">
        <f t="shared" si="4"/>
        <v>0</v>
      </c>
      <c r="G9" s="246">
        <f t="shared" si="4"/>
        <v>0.333333333333333</v>
      </c>
      <c r="H9" s="246">
        <f t="shared" si="4"/>
        <v>0</v>
      </c>
      <c r="I9" s="246">
        <f t="shared" si="4"/>
        <v>0.142857142857143</v>
      </c>
      <c r="J9" s="246">
        <f t="shared" si="4"/>
        <v>0.333333333333333</v>
      </c>
      <c r="K9" s="246">
        <f t="shared" si="4"/>
        <v>0.428571428571429</v>
      </c>
      <c r="L9" s="246">
        <f t="shared" si="4"/>
        <v>0.428571428571429</v>
      </c>
      <c r="M9" s="246">
        <f t="shared" si="4"/>
        <v>1.16666666666667</v>
      </c>
      <c r="N9" s="246">
        <f t="shared" si="4"/>
        <v>0.0909090909090909</v>
      </c>
      <c r="O9" s="255">
        <f t="shared" si="4"/>
        <v>0.142857142857143</v>
      </c>
      <c r="Q9" s="325" t="s">
        <v>22</v>
      </c>
      <c r="R9" s="326" t="s">
        <v>65</v>
      </c>
      <c r="S9" s="12" t="e">
        <f>AVERAGE(T9:AE9)</f>
        <v>#REF!</v>
      </c>
      <c r="T9" s="327" t="e">
        <f>AVERAGEIFS(#REF!,#REF!,#REF!,#REF!,"开户转化率")</f>
        <v>#REF!</v>
      </c>
      <c r="U9" s="327" t="e">
        <f>AVERAGEIFS(#REF!,#REF!,#REF!,#REF!,"开户转化率")</f>
        <v>#REF!</v>
      </c>
      <c r="V9" s="327" t="e">
        <f>AVERAGEIFS(#REF!,#REF!,#REF!,#REF!,"开户转化率")</f>
        <v>#REF!</v>
      </c>
      <c r="W9" s="327" t="e">
        <f>AVERAGEIFS(#REF!,#REF!,#REF!,#REF!,"开户转化率")</f>
        <v>#REF!</v>
      </c>
      <c r="X9" s="327" t="e">
        <f>AVERAGEIFS(#REF!,#REF!,#REF!,#REF!,"开户转化率")</f>
        <v>#REF!</v>
      </c>
      <c r="Y9" s="327" t="e">
        <f>AVERAGEIFS(#REF!,#REF!,#REF!,#REF!,"开户转化率")</f>
        <v>#REF!</v>
      </c>
      <c r="Z9" s="327" t="e">
        <f>AVERAGEIFS(#REF!,#REF!,#REF!,#REF!,"开户转化率")</f>
        <v>#REF!</v>
      </c>
      <c r="AA9" s="327" t="e">
        <f>AVERAGEIFS(#REF!,#REF!,#REF!,#REF!,"开户转化率")</f>
        <v>#REF!</v>
      </c>
      <c r="AB9" s="327" t="e">
        <f>AVERAGEIFS(#REF!,#REF!,#REF!,#REF!,"开户转化率")</f>
        <v>#REF!</v>
      </c>
      <c r="AC9" s="327" t="e">
        <f>AVERAGEIFS(#REF!,#REF!,#REF!,#REF!,"开户转化率")</f>
        <v>#REF!</v>
      </c>
      <c r="AD9" s="327" t="e">
        <f>AVERAGEIFS(#REF!,#REF!,#REF!,#REF!,"开户转化率")</f>
        <v>#REF!</v>
      </c>
      <c r="AE9" s="327" t="e">
        <f>AVERAGEIFS(#REF!,#REF!,#REF!,#REF!,"开户转化率")</f>
        <v>#REF!</v>
      </c>
    </row>
    <row r="10" spans="1:31">
      <c r="A10" s="247" t="s">
        <v>66</v>
      </c>
      <c r="B10" s="248" t="s">
        <v>55</v>
      </c>
      <c r="C10" s="12">
        <f>C12/C11</f>
        <v>0.0677931176591799</v>
      </c>
      <c r="D10" s="249">
        <f t="shared" ref="D10:O10" si="5">D12/D11</f>
        <v>0.0955710955710956</v>
      </c>
      <c r="E10" s="249">
        <f t="shared" si="5"/>
        <v>0.151111111111111</v>
      </c>
      <c r="F10" s="249">
        <f t="shared" si="5"/>
        <v>0.117647058823529</v>
      </c>
      <c r="G10" s="249">
        <f t="shared" si="5"/>
        <v>0.094017094017094</v>
      </c>
      <c r="H10" s="249">
        <f t="shared" si="5"/>
        <v>0.0528846153846154</v>
      </c>
      <c r="I10" s="249">
        <f t="shared" si="5"/>
        <v>0.0474040632054176</v>
      </c>
      <c r="J10" s="249">
        <f t="shared" si="5"/>
        <v>0.0585858585858586</v>
      </c>
      <c r="K10" s="249">
        <f t="shared" si="5"/>
        <v>0.0466101694915254</v>
      </c>
      <c r="L10" s="249">
        <f t="shared" si="5"/>
        <v>0.0709677419354839</v>
      </c>
      <c r="M10" s="249">
        <f t="shared" si="5"/>
        <v>0.047979797979798</v>
      </c>
      <c r="N10" s="249">
        <f t="shared" si="5"/>
        <v>0.0627615062761506</v>
      </c>
      <c r="O10" s="256">
        <f t="shared" si="5"/>
        <v>0.0554649265905383</v>
      </c>
      <c r="Q10" s="328" t="s">
        <v>66</v>
      </c>
      <c r="R10" s="325" t="s">
        <v>56</v>
      </c>
      <c r="S10" s="12" t="e">
        <f>AVERAGE(T10:AE10)</f>
        <v>#REF!</v>
      </c>
      <c r="T10" s="325" t="e">
        <f>AVERAGEIFS(#REF!,#REF!,#REF!,#REF!,"接收率")</f>
        <v>#REF!</v>
      </c>
      <c r="U10" s="325" t="e">
        <f>AVERAGEIFS(#REF!,#REF!,#REF!,#REF!,"接收率")</f>
        <v>#REF!</v>
      </c>
      <c r="V10" s="325" t="e">
        <f>AVERAGEIFS(#REF!,#REF!,#REF!,#REF!,"接收率")</f>
        <v>#REF!</v>
      </c>
      <c r="W10" s="325" t="e">
        <f>AVERAGEIFS(#REF!,#REF!,#REF!,#REF!,"接收率")</f>
        <v>#REF!</v>
      </c>
      <c r="X10" s="325" t="e">
        <f>AVERAGEIFS(#REF!,#REF!,#REF!,#REF!,"接收率")</f>
        <v>#REF!</v>
      </c>
      <c r="Y10" s="325" t="e">
        <f>AVERAGEIFS(#REF!,#REF!,#REF!,#REF!,"接收率")</f>
        <v>#REF!</v>
      </c>
      <c r="Z10" s="325" t="e">
        <f>AVERAGEIFS(#REF!,#REF!,#REF!,#REF!,"接收率")</f>
        <v>#REF!</v>
      </c>
      <c r="AA10" s="325" t="e">
        <f>AVERAGEIFS(#REF!,#REF!,#REF!,#REF!,"接收率")</f>
        <v>#REF!</v>
      </c>
      <c r="AB10" s="325" t="e">
        <f>AVERAGEIFS(#REF!,#REF!,#REF!,#REF!,"接收率")</f>
        <v>#REF!</v>
      </c>
      <c r="AC10" s="325" t="e">
        <f>AVERAGEIFS(#REF!,#REF!,#REF!,#REF!,"接收率")</f>
        <v>#REF!</v>
      </c>
      <c r="AD10" s="325" t="e">
        <f>AVERAGEIFS(#REF!,#REF!,#REF!,#REF!,"接收率")</f>
        <v>#REF!</v>
      </c>
      <c r="AE10" s="325" t="e">
        <f>AVERAGEIFS(#REF!,#REF!,#REF!,#REF!,"接收率")</f>
        <v>#REF!</v>
      </c>
    </row>
    <row r="11" spans="1:31">
      <c r="A11" s="242" t="s">
        <v>66</v>
      </c>
      <c r="B11" s="43" t="s">
        <v>57</v>
      </c>
      <c r="C11" s="15">
        <f t="shared" ref="C11:C13" si="6">SUM(D11:O11)</f>
        <v>4853</v>
      </c>
      <c r="D11" s="243">
        <f>SUMIFS([1]趋势分析!$F:$F,[1]趋势分析!$A:$A,"zed.com",[1]趋势分析!$C:$C,"00")+SUMIFS([1]趋势分析!$F:$F,[1]趋势分析!$A:$A,"zed.com",[1]趋势分析!$C:$C,"01")</f>
        <v>429</v>
      </c>
      <c r="E11" s="243">
        <f>SUMIFS([1]趋势分析!$F:$F,[1]趋势分析!$A:$A,"zed.com",[1]趋势分析!$C:$C,"02")+SUMIFS([1]趋势分析!$F:$F,[1]趋势分析!$A:$A,"zed.com",[1]趋势分析!$C:$C,"03")</f>
        <v>225</v>
      </c>
      <c r="F11" s="243">
        <f>SUMIFS([1]趋势分析!$F:$F,[1]趋势分析!$A:$A,"zed.com",[1]趋势分析!$C:$C,"04")+SUMIFS([1]趋势分析!$F:$F,[1]趋势分析!$A:$A,"zed.com",[1]趋势分析!$C:$C,"05")</f>
        <v>187</v>
      </c>
      <c r="G11" s="243">
        <f>SUMIFS([1]趋势分析!$F:$F,[1]趋势分析!$A:$A,"zed.com",[1]趋势分析!$C:$C,"06")+SUMIFS([1]趋势分析!$F:$F,[1]趋势分析!$A:$A,"zed.com",[1]趋势分析!$C:$C,"07")</f>
        <v>234</v>
      </c>
      <c r="H11" s="243">
        <f>SUMIFS([1]趋势分析!$F:$F,[1]趋势分析!$A:$A,"zed.com",[1]趋势分析!$C:$C,"08")+SUMIFS([1]趋势分析!$F:$F,[1]趋势分析!$A:$A,"zed.com",[1]趋势分析!$C:$C,"09")</f>
        <v>416</v>
      </c>
      <c r="I11" s="243">
        <f>SUMIFS([1]趋势分析!$F:$F,[1]趋势分析!$A:$A,"zed.com",[1]趋势分析!$C:$C,"10")+SUMIFS([1]趋势分析!$F:$F,[1]趋势分析!$A:$A,"zed.com",[1]趋势分析!$C:$C,"11")</f>
        <v>443</v>
      </c>
      <c r="J11" s="243">
        <f>SUMIFS([1]趋势分析!$F:$F,[1]趋势分析!$A:$A,"zed.com",[1]趋势分析!$C:$C,"12")+SUMIFS([1]趋势分析!$F:$F,[1]趋势分析!$A:$A,"zed.com",[1]趋势分析!$C:$C,"13")</f>
        <v>495</v>
      </c>
      <c r="K11" s="243">
        <f>SUMIFS([1]趋势分析!$F:$F,[1]趋势分析!$A:$A,"zed.com",[1]趋势分析!$C:$C,"14")+SUMIFS([1]趋势分析!$F:$F,[1]趋势分析!$A:$A,"zed.com",[1]趋势分析!$C:$C,"15")</f>
        <v>472</v>
      </c>
      <c r="L11" s="243">
        <f>SUMIFS([1]趋势分析!$F:$F,[1]趋势分析!$A:$A,"zed.com",[1]趋势分析!$C:$C,"16")+SUMIFS([1]趋势分析!$F:$F,[1]趋势分析!$A:$A,"zed.com",[1]趋势分析!$C:$C,"17")</f>
        <v>465</v>
      </c>
      <c r="M11" s="243">
        <f>SUMIFS([1]趋势分析!$F:$F,[1]趋势分析!$A:$A,"zed.com",[1]趋势分析!$C:$C,"18")+SUMIFS([1]趋势分析!$F:$F,[1]趋势分析!$A:$A,"zed.com",[1]趋势分析!$C:$C,"19")</f>
        <v>396</v>
      </c>
      <c r="N11" s="243">
        <f>SUMIFS([1]趋势分析!$F:$F,[1]趋势分析!$A:$A,"zed.com",[1]趋势分析!$C:$C,"20")+SUMIFS([1]趋势分析!$F:$F,[1]趋势分析!$A:$A,"zed.com",[1]趋势分析!$C:$C,"21")</f>
        <v>478</v>
      </c>
      <c r="O11" s="253">
        <f>SUMIFS([1]趋势分析!$F:$F,[1]趋势分析!$A:$A,"zed.com",[1]趋势分析!$C:$C,"22")+SUMIFS([1]趋势分析!$F:$F,[1]趋势分析!$A:$A,"zed.com",[1]趋势分析!$C:$C,"23")</f>
        <v>613</v>
      </c>
      <c r="Q11" s="328" t="s">
        <v>66</v>
      </c>
      <c r="R11" s="326" t="s">
        <v>58</v>
      </c>
      <c r="S11" s="15" t="e">
        <f>SUM(T11:AE11)</f>
        <v>#REF!</v>
      </c>
      <c r="T11" s="325" t="e">
        <f>AVERAGEIFS(#REF!,#REF!,#REF!,#REF!,"发送IP数")</f>
        <v>#REF!</v>
      </c>
      <c r="U11" s="325" t="e">
        <f>AVERAGEIFS(#REF!,#REF!,#REF!,#REF!,"发送IP数")</f>
        <v>#REF!</v>
      </c>
      <c r="V11" s="325" t="e">
        <f>AVERAGEIFS(#REF!,#REF!,#REF!,#REF!,"发送IP数")</f>
        <v>#REF!</v>
      </c>
      <c r="W11" s="325" t="e">
        <f>AVERAGEIFS(#REF!,#REF!,#REF!,#REF!,"发送IP数")</f>
        <v>#REF!</v>
      </c>
      <c r="X11" s="325" t="e">
        <f>AVERAGEIFS(#REF!,#REF!,#REF!,#REF!,"发送IP数")</f>
        <v>#REF!</v>
      </c>
      <c r="Y11" s="325" t="e">
        <f>AVERAGEIFS(#REF!,#REF!,#REF!,#REF!,"发送IP数")</f>
        <v>#REF!</v>
      </c>
      <c r="Z11" s="325" t="e">
        <f>AVERAGEIFS(#REF!,#REF!,#REF!,#REF!,"发送IP数")</f>
        <v>#REF!</v>
      </c>
      <c r="AA11" s="325" t="e">
        <f>AVERAGEIFS(#REF!,#REF!,#REF!,#REF!,"发送IP数")</f>
        <v>#REF!</v>
      </c>
      <c r="AB11" s="325" t="e">
        <f>AVERAGEIFS(#REF!,#REF!,#REF!,#REF!,"发送IP数")</f>
        <v>#REF!</v>
      </c>
      <c r="AC11" s="325" t="e">
        <f>AVERAGEIFS(#REF!,#REF!,#REF!,#REF!,"发送IP数")</f>
        <v>#REF!</v>
      </c>
      <c r="AD11" s="325" t="e">
        <f>AVERAGEIFS(#REF!,#REF!,#REF!,#REF!,"发送IP数")</f>
        <v>#REF!</v>
      </c>
      <c r="AE11" s="325" t="e">
        <f>AVERAGEIFS(#REF!,#REF!,#REF!,#REF!,"发送IP数")</f>
        <v>#REF!</v>
      </c>
    </row>
    <row r="12" spans="1:31">
      <c r="A12" s="240" t="s">
        <v>66</v>
      </c>
      <c r="B12" s="47" t="s">
        <v>59</v>
      </c>
      <c r="C12" s="15">
        <f t="shared" si="6"/>
        <v>329</v>
      </c>
      <c r="D12" s="243">
        <f>SUMIFS([1]趋势分析!$F:$F,[1]趋势分析!$A:$A,"zed.bty",[1]趋势分析!$C:$C,"00")+SUMIFS([1]趋势分析!$F:$F,[1]趋势分析!$A:$A,"zed.bty",[1]趋势分析!$C:$C,"01")</f>
        <v>41</v>
      </c>
      <c r="E12" s="243">
        <f>SUMIFS([1]趋势分析!$F:$F,[1]趋势分析!$A:$A,"zed.bty",[1]趋势分析!$C:$C,"02")+SUMIFS([1]趋势分析!$F:$F,[1]趋势分析!$A:$A,"zed.bty",[1]趋势分析!$C:$C,"03")</f>
        <v>34</v>
      </c>
      <c r="F12" s="243">
        <f>SUMIFS([1]趋势分析!$F:$F,[1]趋势分析!$A:$A,"zed.bty",[1]趋势分析!$C:$C,"04")+SUMIFS([1]趋势分析!$F:$F,[1]趋势分析!$A:$A,"zed.bty",[1]趋势分析!$C:$C,"05")</f>
        <v>22</v>
      </c>
      <c r="G12" s="243">
        <f>SUMIFS([1]趋势分析!$F:$F,[1]趋势分析!$A:$A,"zed.bty",[1]趋势分析!$C:$C,"06")+SUMIFS([1]趋势分析!$F:$F,[1]趋势分析!$A:$A,"zed.bty",[1]趋势分析!$C:$C,"07")</f>
        <v>22</v>
      </c>
      <c r="H12" s="243">
        <f>SUMIFS([1]趋势分析!$F:$F,[1]趋势分析!$A:$A,"zed.bty",[1]趋势分析!$C:$C,"08")+SUMIFS([1]趋势分析!$F:$F,[1]趋势分析!$A:$A,"zed.bty",[1]趋势分析!$C:$C,"09")</f>
        <v>22</v>
      </c>
      <c r="I12" s="243">
        <f>SUMIFS([1]趋势分析!$F:$F,[1]趋势分析!$A:$A,"zed.bty",[1]趋势分析!$C:$C,"10")+SUMIFS([1]趋势分析!$F:$F,[1]趋势分析!$A:$A,"zed.bty",[1]趋势分析!$C:$C,"11")</f>
        <v>21</v>
      </c>
      <c r="J12" s="243">
        <f>SUMIFS([1]趋势分析!$F:$F,[1]趋势分析!$A:$A,"zed.bty",[1]趋势分析!$C:$C,"12")+SUMIFS([1]趋势分析!$F:$F,[1]趋势分析!$A:$A,"zed.bty",[1]趋势分析!$C:$C,"13")</f>
        <v>29</v>
      </c>
      <c r="K12" s="243">
        <f>SUMIFS([1]趋势分析!$F:$F,[1]趋势分析!$A:$A,"zed.bty",[1]趋势分析!$C:$C,"14")+SUMIFS([1]趋势分析!$F:$F,[1]趋势分析!$A:$A,"zed.bty",[1]趋势分析!$C:$C,"15")</f>
        <v>22</v>
      </c>
      <c r="L12" s="243">
        <f>SUMIFS([1]趋势分析!$F:$F,[1]趋势分析!$A:$A,"zed.bty",[1]趋势分析!$C:$C,"16")+SUMIFS([1]趋势分析!$F:$F,[1]趋势分析!$A:$A,"zed.bty",[1]趋势分析!$C:$C,"17")</f>
        <v>33</v>
      </c>
      <c r="M12" s="243">
        <f>SUMIFS([1]趋势分析!$F:$F,[1]趋势分析!$A:$A,"zed.bty",[1]趋势分析!$C:$C,"18")+SUMIFS([1]趋势分析!$F:$F,[1]趋势分析!$A:$A,"zed.bty",[1]趋势分析!$C:$C,"19")</f>
        <v>19</v>
      </c>
      <c r="N12" s="243">
        <f>SUMIFS([1]趋势分析!$F:$F,[1]趋势分析!$A:$A,"zed.bty",[1]趋势分析!$C:$C,"20")+SUMIFS([1]趋势分析!$F:$F,[1]趋势分析!$A:$A,"zed.bty",[1]趋势分析!$C:$C,"21")</f>
        <v>30</v>
      </c>
      <c r="O12" s="253">
        <f>SUMIFS([1]趋势分析!$F:$F,[1]趋势分析!$A:$A,"zed.bty",[1]趋势分析!$C:$C,"22")+SUMIFS([1]趋势分析!$F:$F,[1]趋势分析!$A:$A,"zed.bty",[1]趋势分析!$C:$C,"23")</f>
        <v>34</v>
      </c>
      <c r="Q12" s="328" t="s">
        <v>66</v>
      </c>
      <c r="R12" s="326" t="s">
        <v>60</v>
      </c>
      <c r="S12" s="15" t="e">
        <f>SUM(T12:AE12)</f>
        <v>#REF!</v>
      </c>
      <c r="T12" s="325" t="e">
        <f>AVERAGEIFS(#REF!,#REF!,"zed",#REF!,"接收IP数")</f>
        <v>#REF!</v>
      </c>
      <c r="U12" s="325" t="e">
        <f>AVERAGEIFS(#REF!,#REF!,"zed",#REF!,"接收IP数")</f>
        <v>#REF!</v>
      </c>
      <c r="V12" s="325" t="e">
        <f>AVERAGEIFS(#REF!,#REF!,"zed",#REF!,"接收IP数")</f>
        <v>#REF!</v>
      </c>
      <c r="W12" s="325" t="e">
        <f>AVERAGEIFS(#REF!,#REF!,"zed",#REF!,"接收IP数")</f>
        <v>#REF!</v>
      </c>
      <c r="X12" s="325" t="e">
        <f>AVERAGEIFS(#REF!,#REF!,"zed",#REF!,"接收IP数")</f>
        <v>#REF!</v>
      </c>
      <c r="Y12" s="325" t="e">
        <f>AVERAGEIFS(#REF!,#REF!,"zed",#REF!,"接收IP数")</f>
        <v>#REF!</v>
      </c>
      <c r="Z12" s="325" t="e">
        <f>AVERAGEIFS(#REF!,#REF!,"zed",#REF!,"接收IP数")</f>
        <v>#REF!</v>
      </c>
      <c r="AA12" s="325" t="e">
        <f>AVERAGEIFS(#REF!,#REF!,"zed",#REF!,"接收IP数")</f>
        <v>#REF!</v>
      </c>
      <c r="AB12" s="325" t="e">
        <f>AVERAGEIFS(#REF!,#REF!,"zed",#REF!,"接收IP数")</f>
        <v>#REF!</v>
      </c>
      <c r="AC12" s="325" t="e">
        <f>AVERAGEIFS(#REF!,#REF!,"zed",#REF!,"接收IP数")</f>
        <v>#REF!</v>
      </c>
      <c r="AD12" s="325" t="e">
        <f>AVERAGEIFS(#REF!,#REF!,"zed",#REF!,"接收IP数")</f>
        <v>#REF!</v>
      </c>
      <c r="AE12" s="325" t="e">
        <f>AVERAGEIFS(#REF!,#REF!,"zed",#REF!,"接收IP数")</f>
        <v>#REF!</v>
      </c>
    </row>
    <row r="13" spans="1:31">
      <c r="A13" s="242" t="s">
        <v>66</v>
      </c>
      <c r="B13" s="43" t="s">
        <v>4</v>
      </c>
      <c r="C13" s="15">
        <f t="shared" si="6"/>
        <v>19</v>
      </c>
      <c r="D13" s="244">
        <f>COUNTIFS(bty注册!$X:$X,"zed",bty注册!$AA:$AA,"0")+COUNTIFS(bty注册!$X:$X,"zed",bty注册!$AA:$AA,"1")</f>
        <v>2</v>
      </c>
      <c r="E13" s="244">
        <f>COUNTIFS(bty注册!$X:$X,"zed",bty注册!$AA:$AA,"2")+COUNTIFS(bty注册!$X:$X,"zed",bty注册!$AA:$AA,"3")</f>
        <v>2</v>
      </c>
      <c r="F13" s="244">
        <f>COUNTIFS(bty注册!$X:$X,"zed",bty注册!$AA:$AA,"4")+COUNTIFS(bty注册!$X:$X,"zed",bty注册!$AA:$AA,"5")</f>
        <v>0</v>
      </c>
      <c r="G13" s="244">
        <f>COUNTIFS(bty注册!$X:$X,"zed",bty注册!$AA:$AA,"6")+COUNTIFS(bty注册!$X:$X,"zed",bty注册!$AA:$AA,"7")</f>
        <v>1</v>
      </c>
      <c r="H13" s="244">
        <f>COUNTIFS(bty注册!$X:$X,"zed",bty注册!$AA:$AA,"8")+COUNTIFS(bty注册!$X:$X,"zed",bty注册!$AA:$AA,"9")</f>
        <v>1</v>
      </c>
      <c r="I13" s="244">
        <f>COUNTIFS(bty注册!$X:$X,"zed",bty注册!$AA:$AA,"10")+COUNTIFS(bty注册!$X:$X,"zed",bty注册!$AA:$AA,"11")</f>
        <v>2</v>
      </c>
      <c r="J13" s="244">
        <f>COUNTIFS(bty注册!$X:$X,"zed",bty注册!$AA:$AA,"12")+COUNTIFS(bty注册!$X:$X,"zed",bty注册!$AA:$AA,"13")</f>
        <v>1</v>
      </c>
      <c r="K13" s="244">
        <f>COUNTIFS(bty注册!$X:$X,"zed",bty注册!$AA:$AA,"14")+COUNTIFS(bty注册!$X:$X,"zed",bty注册!$AA:$AA,"15")</f>
        <v>2</v>
      </c>
      <c r="L13" s="244">
        <f>COUNTIFS(bty注册!$X:$X,"zed",bty注册!$AA:$AA,"16")+COUNTIFS(bty注册!$X:$X,"zed",bty注册!$AA:$AA,"17")</f>
        <v>2</v>
      </c>
      <c r="M13" s="244">
        <f>COUNTIFS(bty注册!$X:$X,"zed",bty注册!$AA:$AA,"18")+COUNTIFS(bty注册!$X:$X,"zed",bty注册!$AA:$AA,"19")</f>
        <v>2</v>
      </c>
      <c r="N13" s="244">
        <f>COUNTIFS(bty注册!$X:$X,"zed",bty注册!$AA:$AA,"20")+COUNTIFS(bty注册!$X:$X,"zed",bty注册!$AA:$AA,"21")</f>
        <v>2</v>
      </c>
      <c r="O13" s="254">
        <f>COUNTIFS(bty注册!$X:$X,"zed",bty注册!$AA:$AA,"22")+COUNTIFS(bty注册!$X:$X,"zed",bty注册!$AA:$AA,"23")</f>
        <v>2</v>
      </c>
      <c r="Q13" s="328" t="s">
        <v>66</v>
      </c>
      <c r="R13" s="325" t="s">
        <v>61</v>
      </c>
      <c r="S13" s="15" t="e">
        <f>SUM(T13:AE13)</f>
        <v>#REF!</v>
      </c>
      <c r="T13" s="325" t="e">
        <f>AVERAGEIFS(#REF!,#REF!,#REF!,#REF!,"注册")</f>
        <v>#REF!</v>
      </c>
      <c r="U13" s="325" t="e">
        <f>AVERAGEIFS(#REF!,#REF!,#REF!,#REF!,"注册")</f>
        <v>#REF!</v>
      </c>
      <c r="V13" s="325" t="e">
        <f>AVERAGEIFS(#REF!,#REF!,#REF!,#REF!,"注册")</f>
        <v>#REF!</v>
      </c>
      <c r="W13" s="325" t="e">
        <f>AVERAGEIFS(#REF!,#REF!,#REF!,#REF!,"注册")</f>
        <v>#REF!</v>
      </c>
      <c r="X13" s="325" t="e">
        <f>AVERAGEIFS(#REF!,#REF!,#REF!,#REF!,"注册")</f>
        <v>#REF!</v>
      </c>
      <c r="Y13" s="325" t="e">
        <f>AVERAGEIFS(#REF!,#REF!,#REF!,#REF!,"注册")</f>
        <v>#REF!</v>
      </c>
      <c r="Z13" s="325" t="e">
        <f>AVERAGEIFS(#REF!,#REF!,#REF!,#REF!,"注册")</f>
        <v>#REF!</v>
      </c>
      <c r="AA13" s="325" t="e">
        <f>AVERAGEIFS(#REF!,#REF!,#REF!,#REF!,"注册")</f>
        <v>#REF!</v>
      </c>
      <c r="AB13" s="325" t="e">
        <f>AVERAGEIFS(#REF!,#REF!,#REF!,#REF!,"注册")</f>
        <v>#REF!</v>
      </c>
      <c r="AC13" s="325" t="e">
        <f>AVERAGEIFS(#REF!,#REF!,#REF!,#REF!,"注册")</f>
        <v>#REF!</v>
      </c>
      <c r="AD13" s="325" t="e">
        <f>AVERAGEIFS(#REF!,#REF!,#REF!,#REF!,"注册")</f>
        <v>#REF!</v>
      </c>
      <c r="AE13" s="325" t="e">
        <f>AVERAGEIFS(#REF!,#REF!,#REF!,#REF!,"注册")</f>
        <v>#REF!</v>
      </c>
    </row>
    <row r="14" spans="1:31">
      <c r="A14" s="240" t="s">
        <v>66</v>
      </c>
      <c r="B14" s="47" t="s">
        <v>5</v>
      </c>
      <c r="C14" s="12">
        <f>C13/C12</f>
        <v>0.0577507598784195</v>
      </c>
      <c r="D14" s="241">
        <f t="shared" ref="D14:O14" si="7">IFERROR(D13/D12,0)</f>
        <v>0.0487804878048781</v>
      </c>
      <c r="E14" s="241">
        <f t="shared" si="7"/>
        <v>0.0588235294117647</v>
      </c>
      <c r="F14" s="241">
        <f t="shared" si="7"/>
        <v>0</v>
      </c>
      <c r="G14" s="241">
        <f t="shared" si="7"/>
        <v>0.0454545454545455</v>
      </c>
      <c r="H14" s="241">
        <f t="shared" si="7"/>
        <v>0.0454545454545455</v>
      </c>
      <c r="I14" s="241">
        <f t="shared" si="7"/>
        <v>0.0952380952380952</v>
      </c>
      <c r="J14" s="241">
        <f t="shared" si="7"/>
        <v>0.0344827586206897</v>
      </c>
      <c r="K14" s="241">
        <f t="shared" si="7"/>
        <v>0.0909090909090909</v>
      </c>
      <c r="L14" s="241">
        <f t="shared" si="7"/>
        <v>0.0606060606060606</v>
      </c>
      <c r="M14" s="241">
        <f t="shared" si="7"/>
        <v>0.105263157894737</v>
      </c>
      <c r="N14" s="241">
        <f t="shared" si="7"/>
        <v>0.0666666666666667</v>
      </c>
      <c r="O14" s="252">
        <f t="shared" si="7"/>
        <v>0.0588235294117647</v>
      </c>
      <c r="P14">
        <f>SUMIFS([1]趋势分析!$F:$F,[1]趋势分析!$A:$A,"tonyb.com")/2</f>
        <v>568</v>
      </c>
      <c r="Q14" s="328" t="s">
        <v>66</v>
      </c>
      <c r="R14" s="326" t="s">
        <v>62</v>
      </c>
      <c r="S14" s="12" t="e">
        <f>AVERAGE(T14:AE14)</f>
        <v>#REF!</v>
      </c>
      <c r="T14" s="327" t="e">
        <f>AVERAGEIFS(#REF!,#REF!,#REF!,#REF!,"注册率")</f>
        <v>#REF!</v>
      </c>
      <c r="U14" s="327" t="e">
        <f>AVERAGEIFS(#REF!,#REF!,#REF!,#REF!,"注册率")</f>
        <v>#REF!</v>
      </c>
      <c r="V14" s="327" t="e">
        <f>AVERAGEIFS(#REF!,#REF!,#REF!,#REF!,"注册率")</f>
        <v>#REF!</v>
      </c>
      <c r="W14" s="327" t="e">
        <f>AVERAGEIFS(#REF!,#REF!,#REF!,#REF!,"注册率")</f>
        <v>#REF!</v>
      </c>
      <c r="X14" s="327" t="e">
        <f>AVERAGEIFS(#REF!,#REF!,#REF!,#REF!,"注册率")</f>
        <v>#REF!</v>
      </c>
      <c r="Y14" s="327" t="e">
        <f>AVERAGEIFS(#REF!,#REF!,#REF!,#REF!,"注册率")</f>
        <v>#REF!</v>
      </c>
      <c r="Z14" s="327" t="e">
        <f>AVERAGEIFS(#REF!,#REF!,#REF!,#REF!,"注册率")</f>
        <v>#REF!</v>
      </c>
      <c r="AA14" s="327" t="e">
        <f>AVERAGEIFS(#REF!,#REF!,#REF!,#REF!,"注册率")</f>
        <v>#REF!</v>
      </c>
      <c r="AB14" s="327" t="e">
        <f>AVERAGEIFS(#REF!,#REF!,#REF!,#REF!,"注册率")</f>
        <v>#REF!</v>
      </c>
      <c r="AC14" s="327" t="e">
        <f>AVERAGEIFS(#REF!,#REF!,#REF!,#REF!,"注册率")</f>
        <v>#REF!</v>
      </c>
      <c r="AD14" s="327" t="e">
        <f>AVERAGEIFS(#REF!,#REF!,#REF!,#REF!,"注册率")</f>
        <v>#REF!</v>
      </c>
      <c r="AE14" s="327" t="e">
        <f>AVERAGEIFS(#REF!,#REF!,#REF!,#REF!,"注册率")</f>
        <v>#REF!</v>
      </c>
    </row>
    <row r="15" spans="1:31">
      <c r="A15" s="242" t="s">
        <v>66</v>
      </c>
      <c r="B15" s="43" t="s">
        <v>6</v>
      </c>
      <c r="C15" s="15">
        <f>SUM(D15:O15)</f>
        <v>8</v>
      </c>
      <c r="D15" s="244">
        <f>COUNTIFS(bty首充!$H:$H,"zed",bty首充!$J:$J,"0")+COUNTIFS(bty首充!$H:$H,"zed",bty首充!$J:$J,"1")</f>
        <v>1</v>
      </c>
      <c r="E15" s="244">
        <f>COUNTIFS(bty首充!$H:$H,"zed",bty首充!$J:$J,"2")+COUNTIFS(bty首充!$H:$H,"zed",bty首充!$J:$J,"3")</f>
        <v>2</v>
      </c>
      <c r="F15" s="244">
        <f>COUNTIFS(bty首充!$H:$H,"zed",bty首充!$J:$J,"4")+COUNTIFS(bty首充!$H:$H,"zed",bty首充!$J:$J,"5")</f>
        <v>0</v>
      </c>
      <c r="G15" s="244">
        <f>COUNTIFS(bty首充!$H:$H,"zed",bty首充!$J:$J,"6")+COUNTIFS(bty首充!$H:$H,"zed",bty首充!$J:$J,"7")</f>
        <v>0</v>
      </c>
      <c r="H15" s="244">
        <f>COUNTIFS(bty首充!$H:$H,"zed",bty首充!$J:$J,"8")+COUNTIFS(bty首充!$H:$H,"zed",bty首充!$J:$J,"9")</f>
        <v>0</v>
      </c>
      <c r="I15" s="244">
        <f>COUNTIFS(bty首充!$H:$H,"zed",bty首充!$J:$J,"10")+COUNTIFS(bty首充!$H:$H,"zed",bty首充!$J:$J,"11")</f>
        <v>1</v>
      </c>
      <c r="J15" s="244">
        <f>COUNTIFS(bty首充!$H:$H,"zed",bty首充!$J:$J,"12")+COUNTIFS(bty首充!$H:$H,"zed",bty首充!$J:$J,"13")</f>
        <v>1</v>
      </c>
      <c r="K15" s="244">
        <f>COUNTIFS(bty首充!$H:$H,"zed",bty首充!$J:$J,"14")+COUNTIFS(bty首充!$H:$H,"zed",bty首充!$J:$J,"15")</f>
        <v>0</v>
      </c>
      <c r="L15" s="244">
        <f>COUNTIFS(bty首充!$H:$H,"zed",bty首充!$J:$J,"16")+COUNTIFS(bty首充!$H:$H,"zed",bty首充!$J:$J,"17")</f>
        <v>1</v>
      </c>
      <c r="M15" s="244">
        <f>COUNTIFS(bty首充!$H:$H,"zed",bty首充!$J:$J,"18")+COUNTIFS(bty首充!$H:$H,"zed",bty首充!$J:$J,"19")</f>
        <v>1</v>
      </c>
      <c r="N15" s="244">
        <f>COUNTIFS(bty首充!$H:$H,"zed",bty首充!$J:$J,"20")+COUNTIFS(bty首充!$H:$H,"zed",bty首充!$J:$J,"21")</f>
        <v>1</v>
      </c>
      <c r="O15" s="254">
        <f>COUNTIFS(bty首充!$H:$H,"zed",bty首充!$J:$J,"22")+COUNTIFS(bty首充!$H:$H,"zed",bty首充!$J:$J,"23")</f>
        <v>0</v>
      </c>
      <c r="Q15" s="328" t="s">
        <v>66</v>
      </c>
      <c r="R15" s="325" t="s">
        <v>63</v>
      </c>
      <c r="S15" s="15" t="e">
        <f>SUM(T15:AE15)</f>
        <v>#REF!</v>
      </c>
      <c r="T15" s="325" t="e">
        <f>AVERAGEIFS(#REF!,#REF!,#REF!,#REF!,"开户")</f>
        <v>#REF!</v>
      </c>
      <c r="U15" s="325" t="e">
        <f>AVERAGEIFS(#REF!,#REF!,#REF!,#REF!,"开户")</f>
        <v>#REF!</v>
      </c>
      <c r="V15" s="325" t="e">
        <f>AVERAGEIFS(#REF!,#REF!,#REF!,#REF!,"开户")</f>
        <v>#REF!</v>
      </c>
      <c r="W15" s="325" t="e">
        <f>AVERAGEIFS(#REF!,#REF!,#REF!,#REF!,"开户")</f>
        <v>#REF!</v>
      </c>
      <c r="X15" s="325" t="e">
        <f>AVERAGEIFS(#REF!,#REF!,#REF!,#REF!,"开户")</f>
        <v>#REF!</v>
      </c>
      <c r="Y15" s="325" t="e">
        <f>AVERAGEIFS(#REF!,#REF!,#REF!,#REF!,"开户")</f>
        <v>#REF!</v>
      </c>
      <c r="Z15" s="325" t="e">
        <f>AVERAGEIFS(#REF!,#REF!,#REF!,#REF!,"开户")</f>
        <v>#REF!</v>
      </c>
      <c r="AA15" s="325" t="e">
        <f>AVERAGEIFS(#REF!,#REF!,#REF!,#REF!,"开户")</f>
        <v>#REF!</v>
      </c>
      <c r="AB15" s="325" t="e">
        <f>AVERAGEIFS(#REF!,#REF!,#REF!,#REF!,"开户")</f>
        <v>#REF!</v>
      </c>
      <c r="AC15" s="325" t="e">
        <f>AVERAGEIFS(#REF!,#REF!,#REF!,#REF!,"开户")</f>
        <v>#REF!</v>
      </c>
      <c r="AD15" s="325" t="e">
        <f>AVERAGEIFS(#REF!,#REF!,#REF!,#REF!,"开户")</f>
        <v>#REF!</v>
      </c>
      <c r="AE15" s="325" t="e">
        <f>AVERAGEIFS(#REF!,#REF!,#REF!,#REF!,"开户")</f>
        <v>#REF!</v>
      </c>
    </row>
    <row r="16" ht="14.25" spans="1:31">
      <c r="A16" s="245" t="s">
        <v>66</v>
      </c>
      <c r="B16" s="52" t="s">
        <v>64</v>
      </c>
      <c r="C16" s="19">
        <f>C15/C13</f>
        <v>0.421052631578947</v>
      </c>
      <c r="D16" s="246">
        <f t="shared" ref="D16:O16" si="8">IFERROR(D15/D13,0)</f>
        <v>0.5</v>
      </c>
      <c r="E16" s="246">
        <f t="shared" si="8"/>
        <v>1</v>
      </c>
      <c r="F16" s="246">
        <f t="shared" si="8"/>
        <v>0</v>
      </c>
      <c r="G16" s="246">
        <f t="shared" si="8"/>
        <v>0</v>
      </c>
      <c r="H16" s="246">
        <f t="shared" si="8"/>
        <v>0</v>
      </c>
      <c r="I16" s="246">
        <f t="shared" si="8"/>
        <v>0.5</v>
      </c>
      <c r="J16" s="246">
        <f t="shared" si="8"/>
        <v>1</v>
      </c>
      <c r="K16" s="246">
        <f t="shared" si="8"/>
        <v>0</v>
      </c>
      <c r="L16" s="246">
        <f t="shared" si="8"/>
        <v>0.5</v>
      </c>
      <c r="M16" s="246">
        <f t="shared" si="8"/>
        <v>0.5</v>
      </c>
      <c r="N16" s="246">
        <f t="shared" si="8"/>
        <v>0.5</v>
      </c>
      <c r="O16" s="255">
        <f t="shared" si="8"/>
        <v>0</v>
      </c>
      <c r="Q16" s="328" t="s">
        <v>66</v>
      </c>
      <c r="R16" s="326" t="s">
        <v>65</v>
      </c>
      <c r="S16" s="12" t="e">
        <f>AVERAGE(T16:AE16)</f>
        <v>#REF!</v>
      </c>
      <c r="T16" s="327" t="e">
        <f>AVERAGEIFS(#REF!,#REF!,#REF!,#REF!,"开户转化率")</f>
        <v>#REF!</v>
      </c>
      <c r="U16" s="327" t="e">
        <f>AVERAGEIFS(#REF!,#REF!,#REF!,#REF!,"开户转化率")</f>
        <v>#REF!</v>
      </c>
      <c r="V16" s="327" t="e">
        <f>AVERAGEIFS(#REF!,#REF!,#REF!,#REF!,"开户转化率")</f>
        <v>#REF!</v>
      </c>
      <c r="W16" s="327" t="e">
        <f>AVERAGEIFS(#REF!,#REF!,#REF!,#REF!,"开户转化率")</f>
        <v>#REF!</v>
      </c>
      <c r="X16" s="327" t="e">
        <f>AVERAGEIFS(#REF!,#REF!,#REF!,#REF!,"开户转化率")</f>
        <v>#REF!</v>
      </c>
      <c r="Y16" s="327" t="e">
        <f>AVERAGEIFS(#REF!,#REF!,#REF!,#REF!,"开户转化率")</f>
        <v>#REF!</v>
      </c>
      <c r="Z16" s="327" t="e">
        <f>AVERAGEIFS(#REF!,#REF!,#REF!,#REF!,"开户转化率")</f>
        <v>#REF!</v>
      </c>
      <c r="AA16" s="327" t="e">
        <f>AVERAGEIFS(#REF!,#REF!,#REF!,#REF!,"开户转化率")</f>
        <v>#REF!</v>
      </c>
      <c r="AB16" s="327" t="e">
        <f>AVERAGEIFS(#REF!,#REF!,#REF!,#REF!,"开户转化率")</f>
        <v>#REF!</v>
      </c>
      <c r="AC16" s="327" t="e">
        <f>AVERAGEIFS(#REF!,#REF!,#REF!,#REF!,"开户转化率")</f>
        <v>#REF!</v>
      </c>
      <c r="AD16" s="327" t="e">
        <f>AVERAGEIFS(#REF!,#REF!,#REF!,#REF!,"开户转化率")</f>
        <v>#REF!</v>
      </c>
      <c r="AE16" s="327" t="e">
        <f>AVERAGEIFS(#REF!,#REF!,#REF!,#REF!,"开户转化率")</f>
        <v>#REF!</v>
      </c>
    </row>
    <row r="17" spans="1:31">
      <c r="A17" s="240" t="s">
        <v>67</v>
      </c>
      <c r="B17" s="47" t="s">
        <v>55</v>
      </c>
      <c r="C17" s="12">
        <f>C19/C18</f>
        <v>0.751760563380282</v>
      </c>
      <c r="D17" s="241">
        <f t="shared" ref="D17:O17" si="9">D19/D18</f>
        <v>1.41860465116279</v>
      </c>
      <c r="E17" s="241">
        <f t="shared" si="9"/>
        <v>0.852941176470588</v>
      </c>
      <c r="F17" s="241">
        <f t="shared" si="9"/>
        <v>1.31578947368421</v>
      </c>
      <c r="G17" s="241">
        <f t="shared" si="9"/>
        <v>1.1875</v>
      </c>
      <c r="H17" s="241">
        <f t="shared" si="9"/>
        <v>0.853658536585366</v>
      </c>
      <c r="I17" s="241">
        <f t="shared" si="9"/>
        <v>0.785714285714286</v>
      </c>
      <c r="J17" s="241">
        <f t="shared" si="9"/>
        <v>0.771929824561403</v>
      </c>
      <c r="K17" s="241">
        <f t="shared" si="9"/>
        <v>0.616666666666667</v>
      </c>
      <c r="L17" s="241">
        <f t="shared" si="9"/>
        <v>0.464788732394366</v>
      </c>
      <c r="M17" s="241">
        <f t="shared" si="9"/>
        <v>0.565217391304348</v>
      </c>
      <c r="N17" s="241">
        <f t="shared" si="9"/>
        <v>0.545454545454545</v>
      </c>
      <c r="O17" s="252">
        <f t="shared" si="9"/>
        <v>0.671232876712329</v>
      </c>
      <c r="Q17" s="325" t="s">
        <v>67</v>
      </c>
      <c r="R17" s="325" t="s">
        <v>56</v>
      </c>
      <c r="S17" s="12" t="e">
        <f>AVERAGE(T17:AE17)</f>
        <v>#REF!</v>
      </c>
      <c r="T17" s="325" t="e">
        <f>AVERAGEIFS(#REF!,#REF!,#REF!,#REF!,"接收率")</f>
        <v>#REF!</v>
      </c>
      <c r="U17" s="325" t="e">
        <f>AVERAGEIFS(#REF!,#REF!,#REF!,#REF!,"接收率")</f>
        <v>#REF!</v>
      </c>
      <c r="V17" s="325" t="e">
        <f>AVERAGEIFS(#REF!,#REF!,#REF!,#REF!,"接收率")</f>
        <v>#REF!</v>
      </c>
      <c r="W17" s="325" t="e">
        <f>AVERAGEIFS(#REF!,#REF!,#REF!,#REF!,"接收率")</f>
        <v>#REF!</v>
      </c>
      <c r="X17" s="325" t="e">
        <f>AVERAGEIFS(#REF!,#REF!,#REF!,#REF!,"接收率")</f>
        <v>#REF!</v>
      </c>
      <c r="Y17" s="325" t="e">
        <f>AVERAGEIFS(#REF!,#REF!,#REF!,#REF!,"接收率")</f>
        <v>#REF!</v>
      </c>
      <c r="Z17" s="325" t="e">
        <f>AVERAGEIFS(#REF!,#REF!,#REF!,#REF!,"接收率")</f>
        <v>#REF!</v>
      </c>
      <c r="AA17" s="325" t="e">
        <f>AVERAGEIFS(#REF!,#REF!,#REF!,#REF!,"接收率")</f>
        <v>#REF!</v>
      </c>
      <c r="AB17" s="325" t="e">
        <f>AVERAGEIFS(#REF!,#REF!,#REF!,#REF!,"接收率")</f>
        <v>#REF!</v>
      </c>
      <c r="AC17" s="325" t="e">
        <f>AVERAGEIFS(#REF!,#REF!,#REF!,#REF!,"接收率")</f>
        <v>#REF!</v>
      </c>
      <c r="AD17" s="325" t="e">
        <f>AVERAGEIFS(#REF!,#REF!,#REF!,#REF!,"接收率")</f>
        <v>#REF!</v>
      </c>
      <c r="AE17" s="325" t="e">
        <f>AVERAGEIFS(#REF!,#REF!,#REF!,#REF!,"接收率")</f>
        <v>#REF!</v>
      </c>
    </row>
    <row r="18" spans="1:31">
      <c r="A18" s="242" t="s">
        <v>67</v>
      </c>
      <c r="B18" s="43" t="s">
        <v>57</v>
      </c>
      <c r="C18" s="15">
        <f>SUM(D18:O18)</f>
        <v>568</v>
      </c>
      <c r="D18" s="243">
        <f>SUMIFS([1]趋势分析!$F:$F,[1]趋势分析!$A:$A,"tonyb.com",[1]趋势分析!$C:$C,"00")/2+SUMIFS([1]趋势分析!$F:$F,[1]趋势分析!$A:$A,"tonyb.com",[1]趋势分析!$C:$C,"01")/2</f>
        <v>43</v>
      </c>
      <c r="E18" s="243">
        <f>SUMIFS([1]趋势分析!$F:$F,[1]趋势分析!$A:$A,"tonyb.com",[1]趋势分析!$C:$C,"02")/2+SUMIFS([1]趋势分析!$F:$F,[1]趋势分析!$A:$A,"tonyb.com",[1]趋势分析!$C:$C,"03")/2</f>
        <v>34</v>
      </c>
      <c r="F18" s="243">
        <f>SUMIFS([1]趋势分析!$F:$F,[1]趋势分析!$A:$A,"tonyb.com",[1]趋势分析!$C:$C,"04")/2+SUMIFS([1]趋势分析!$F:$F,[1]趋势分析!$A:$A,"tonyb.com",[1]趋势分析!$C:$C,"05")/2</f>
        <v>19</v>
      </c>
      <c r="G18" s="243">
        <f>SUMIFS([1]趋势分析!$F:$F,[1]趋势分析!$A:$A,"tonyb.com",[1]趋势分析!$C:$C,"06")/2+SUMIFS([1]趋势分析!$F:$F,[1]趋势分析!$A:$A,"tonyb.com",[1]趋势分析!$C:$C,"07")/2</f>
        <v>16</v>
      </c>
      <c r="H18" s="243">
        <f>SUMIFS([1]趋势分析!$F:$F,[1]趋势分析!$A:$A,"tonyb.com",[1]趋势分析!$C:$C,"08")/2+SUMIFS([1]趋势分析!$F:$F,[1]趋势分析!$A:$A,"tonyb.com",[1]趋势分析!$C:$C,"09")/2</f>
        <v>41</v>
      </c>
      <c r="I18" s="243">
        <f>SUMIFS([1]趋势分析!$F:$F,[1]趋势分析!$A:$A,"tonyb.com",[1]趋势分析!$C:$C,"10")/2+SUMIFS([1]趋势分析!$F:$F,[1]趋势分析!$A:$A,"tonyb.com",[1]趋势分析!$C:$C,"11")/2</f>
        <v>42</v>
      </c>
      <c r="J18" s="243">
        <f>SUMIFS([1]趋势分析!$F:$F,[1]趋势分析!$A:$A,"tonyb.com",[1]趋势分析!$C:$C,"12")/2+SUMIFS([1]趋势分析!$F:$F,[1]趋势分析!$A:$A,"tonyb.com",[1]趋势分析!$C:$C,"13")/2</f>
        <v>57</v>
      </c>
      <c r="K18" s="243">
        <f>SUMIFS([1]趋势分析!$F:$F,[1]趋势分析!$A:$A,"tonyb.com",[1]趋势分析!$C:$C,"14")/2+SUMIFS([1]趋势分析!$F:$F,[1]趋势分析!$A:$A,"tonyb.com",[1]趋势分析!$C:$C,"15")/2</f>
        <v>60</v>
      </c>
      <c r="L18" s="243">
        <f>SUMIFS([1]趋势分析!$F:$F,[1]趋势分析!$A:$A,"tonyb.com",[1]趋势分析!$C:$C,"16")/2+SUMIFS([1]趋势分析!$F:$F,[1]趋势分析!$A:$A,"tonyb.com",[1]趋势分析!$C:$C,"17")/2</f>
        <v>71</v>
      </c>
      <c r="M18" s="243">
        <f>SUMIFS([1]趋势分析!$F:$F,[1]趋势分析!$A:$A,"tonyb.com",[1]趋势分析!$C:$C,"18")/2+SUMIFS([1]趋势分析!$F:$F,[1]趋势分析!$A:$A,"tonyb.com",[1]趋势分析!$C:$C,"19")/2</f>
        <v>46</v>
      </c>
      <c r="N18" s="243">
        <f>SUMIFS([1]趋势分析!$F:$F,[1]趋势分析!$A:$A,"tonyb.com",[1]趋势分析!$C:$C,"20")/2+SUMIFS([1]趋势分析!$F:$F,[1]趋势分析!$A:$A,"tonyb.com",[1]趋势分析!$C:$C,"21")/2</f>
        <v>66</v>
      </c>
      <c r="O18" s="253">
        <f>SUMIFS([1]趋势分析!$F:$F,[1]趋势分析!$A:$A,"tonyb.com",[1]趋势分析!$C:$C,"22")/2+SUMIFS([1]趋势分析!$F:$F,[1]趋势分析!$A:$A,"tonyb.com",[1]趋势分析!$C:$C,"23")/2</f>
        <v>73</v>
      </c>
      <c r="Q18" s="325" t="s">
        <v>67</v>
      </c>
      <c r="R18" s="326" t="s">
        <v>58</v>
      </c>
      <c r="S18" s="15" t="e">
        <f>SUM(T18:AE18)</f>
        <v>#REF!</v>
      </c>
      <c r="T18" s="325" t="e">
        <f>AVERAGEIFS(#REF!,#REF!,#REF!,#REF!,"发送IP数")</f>
        <v>#REF!</v>
      </c>
      <c r="U18" s="325" t="e">
        <f>AVERAGEIFS(#REF!,#REF!,#REF!,#REF!,"发送IP数")</f>
        <v>#REF!</v>
      </c>
      <c r="V18" s="325" t="e">
        <f>AVERAGEIFS(#REF!,#REF!,#REF!,#REF!,"发送IP数")</f>
        <v>#REF!</v>
      </c>
      <c r="W18" s="325" t="e">
        <f>AVERAGEIFS(#REF!,#REF!,#REF!,#REF!,"发送IP数")</f>
        <v>#REF!</v>
      </c>
      <c r="X18" s="325" t="e">
        <f>AVERAGEIFS(#REF!,#REF!,#REF!,#REF!,"发送IP数")</f>
        <v>#REF!</v>
      </c>
      <c r="Y18" s="325" t="e">
        <f>AVERAGEIFS(#REF!,#REF!,#REF!,#REF!,"发送IP数")</f>
        <v>#REF!</v>
      </c>
      <c r="Z18" s="325" t="e">
        <f>AVERAGEIFS(#REF!,#REF!,#REF!,#REF!,"发送IP数")</f>
        <v>#REF!</v>
      </c>
      <c r="AA18" s="325" t="e">
        <f>AVERAGEIFS(#REF!,#REF!,#REF!,#REF!,"发送IP数")</f>
        <v>#REF!</v>
      </c>
      <c r="AB18" s="325" t="e">
        <f>AVERAGEIFS(#REF!,#REF!,#REF!,#REF!,"发送IP数")</f>
        <v>#REF!</v>
      </c>
      <c r="AC18" s="325" t="e">
        <f>AVERAGEIFS(#REF!,#REF!,#REF!,#REF!,"发送IP数")</f>
        <v>#REF!</v>
      </c>
      <c r="AD18" s="325" t="e">
        <f>AVERAGEIFS(#REF!,#REF!,#REF!,#REF!,"发送IP数")</f>
        <v>#REF!</v>
      </c>
      <c r="AE18" s="325" t="e">
        <f>AVERAGEIFS(#REF!,#REF!,#REF!,#REF!,"发送IP数")</f>
        <v>#REF!</v>
      </c>
    </row>
    <row r="19" spans="1:31">
      <c r="A19" s="240" t="s">
        <v>67</v>
      </c>
      <c r="B19" s="47" t="s">
        <v>59</v>
      </c>
      <c r="C19" s="15">
        <f>SUM(D19:O19)</f>
        <v>427</v>
      </c>
      <c r="D19" s="243">
        <f>SUMIFS([1]趋势分析!$F:$F,[1]趋势分析!$A:$A,"tony.bty",[1]趋势分析!$C:$C,"00")+SUMIFS([1]趋势分析!$F:$F,[1]趋势分析!$A:$A,"tony.bty",[1]趋势分析!$C:$C,"01")</f>
        <v>61</v>
      </c>
      <c r="E19" s="243">
        <f>SUMIFS([1]趋势分析!$F:$F,[1]趋势分析!$A:$A,"tony.bty",[1]趋势分析!$C:$C,"02")+SUMIFS([1]趋势分析!$F:$F,[1]趋势分析!$A:$A,"tony.bty",[1]趋势分析!$C:$C,"03")</f>
        <v>29</v>
      </c>
      <c r="F19" s="243">
        <f>SUMIFS([1]趋势分析!$F:$F,[1]趋势分析!$A:$A,"tony.bty",[1]趋势分析!$C:$C,"04")+SUMIFS([1]趋势分析!$F:$F,[1]趋势分析!$A:$A,"tony.bty",[1]趋势分析!$C:$C,"05")</f>
        <v>25</v>
      </c>
      <c r="G19" s="243">
        <f>SUMIFS([1]趋势分析!$F:$F,[1]趋势分析!$A:$A,"tony.bty",[1]趋势分析!$C:$C,"06")+SUMIFS([1]趋势分析!$F:$F,[1]趋势分析!$A:$A,"tony.bty",[1]趋势分析!$C:$C,"07")</f>
        <v>19</v>
      </c>
      <c r="H19" s="243">
        <f>SUMIFS([1]趋势分析!$F:$F,[1]趋势分析!$A:$A,"tony.bty",[1]趋势分析!$C:$C,"08")+SUMIFS([1]趋势分析!$F:$F,[1]趋势分析!$A:$A,"tony.bty",[1]趋势分析!$C:$C,"09")</f>
        <v>35</v>
      </c>
      <c r="I19" s="243">
        <f>SUMIFS([1]趋势分析!$F:$F,[1]趋势分析!$A:$A,"tony.bty",[1]趋势分析!$C:$C,"10")+SUMIFS([1]趋势分析!$F:$F,[1]趋势分析!$A:$A,"tony.bty",[1]趋势分析!$C:$C,"11")</f>
        <v>33</v>
      </c>
      <c r="J19" s="243">
        <f>SUMIFS([1]趋势分析!$F:$F,[1]趋势分析!$A:$A,"tony.bty",[1]趋势分析!$C:$C,"12")+SUMIFS([1]趋势分析!$F:$F,[1]趋势分析!$A:$A,"tony.bty",[1]趋势分析!$C:$C,"13")</f>
        <v>44</v>
      </c>
      <c r="K19" s="243">
        <f>SUMIFS([1]趋势分析!$F:$F,[1]趋势分析!$A:$A,"tony.bty",[1]趋势分析!$C:$C,"14")+SUMIFS([1]趋势分析!$F:$F,[1]趋势分析!$A:$A,"tony.bty",[1]趋势分析!$C:$C,"15")</f>
        <v>37</v>
      </c>
      <c r="L19" s="243">
        <f>SUMIFS([1]趋势分析!$F:$F,[1]趋势分析!$A:$A,"tony.bty",[1]趋势分析!$C:$C,"16")+SUMIFS([1]趋势分析!$F:$F,[1]趋势分析!$A:$A,"tony.bty",[1]趋势分析!$C:$C,"17")</f>
        <v>33</v>
      </c>
      <c r="M19" s="243">
        <f>SUMIFS([1]趋势分析!$F:$F,[1]趋势分析!$A:$A,"tony.bty",[1]趋势分析!$C:$C,"18")+SUMIFS([1]趋势分析!$F:$F,[1]趋势分析!$A:$A,"tony.bty",[1]趋势分析!$C:$C,"19")</f>
        <v>26</v>
      </c>
      <c r="N19" s="243">
        <f>SUMIFS([1]趋势分析!$F:$F,[1]趋势分析!$A:$A,"tony.bty",[1]趋势分析!$C:$C,"20")+SUMIFS([1]趋势分析!$F:$F,[1]趋势分析!$A:$A,"tony.bty",[1]趋势分析!$C:$C,"21")</f>
        <v>36</v>
      </c>
      <c r="O19" s="253">
        <f>SUMIFS([1]趋势分析!$F:$F,[1]趋势分析!$A:$A,"tony.bty",[1]趋势分析!$C:$C,"22")+SUMIFS([1]趋势分析!$F:$F,[1]趋势分析!$A:$A,"tony.bty",[1]趋势分析!$C:$C,"23")</f>
        <v>49</v>
      </c>
      <c r="Q19" s="325" t="s">
        <v>67</v>
      </c>
      <c r="R19" s="326" t="s">
        <v>60</v>
      </c>
      <c r="S19" s="15" t="e">
        <f>SUM(T19:AE19)</f>
        <v>#REF!</v>
      </c>
      <c r="T19" s="325" t="e">
        <f>AVERAGEIFS(#REF!,#REF!,#REF!,#REF!,"接收IP数")</f>
        <v>#REF!</v>
      </c>
      <c r="U19" s="325" t="e">
        <f>AVERAGEIFS(#REF!,#REF!,#REF!,#REF!,"接收IP数")</f>
        <v>#REF!</v>
      </c>
      <c r="V19" s="325" t="e">
        <f>AVERAGEIFS(#REF!,#REF!,#REF!,#REF!,"接收IP数")</f>
        <v>#REF!</v>
      </c>
      <c r="W19" s="325" t="e">
        <f>AVERAGEIFS(#REF!,#REF!,#REF!,#REF!,"接收IP数")</f>
        <v>#REF!</v>
      </c>
      <c r="X19" s="325" t="e">
        <f>AVERAGEIFS(#REF!,#REF!,#REF!,#REF!,"接收IP数")</f>
        <v>#REF!</v>
      </c>
      <c r="Y19" s="325" t="e">
        <f>AVERAGEIFS(#REF!,#REF!,#REF!,#REF!,"接收IP数")</f>
        <v>#REF!</v>
      </c>
      <c r="Z19" s="325" t="e">
        <f>AVERAGEIFS(#REF!,#REF!,#REF!,#REF!,"接收IP数")</f>
        <v>#REF!</v>
      </c>
      <c r="AA19" s="325" t="e">
        <f>AVERAGEIFS(#REF!,#REF!,#REF!,#REF!,"接收IP数")</f>
        <v>#REF!</v>
      </c>
      <c r="AB19" s="325" t="e">
        <f>AVERAGEIFS(#REF!,#REF!,#REF!,#REF!,"接收IP数")</f>
        <v>#REF!</v>
      </c>
      <c r="AC19" s="325" t="e">
        <f>AVERAGEIFS(#REF!,#REF!,#REF!,#REF!,"接收IP数")</f>
        <v>#REF!</v>
      </c>
      <c r="AD19" s="325" t="e">
        <f>AVERAGEIFS(#REF!,#REF!,#REF!,#REF!,"接收IP数")</f>
        <v>#REF!</v>
      </c>
      <c r="AE19" s="325" t="e">
        <f>AVERAGEIFS(#REF!,#REF!,#REF!,#REF!,"接收IP数")</f>
        <v>#REF!</v>
      </c>
    </row>
    <row r="20" spans="1:31">
      <c r="A20" s="242" t="s">
        <v>67</v>
      </c>
      <c r="B20" s="43" t="s">
        <v>4</v>
      </c>
      <c r="C20" s="15">
        <f>SUM(D20:O20)</f>
        <v>12</v>
      </c>
      <c r="D20" s="244">
        <f>COUNTIFS(bty注册!$X:$X,"tony",bty注册!$AA:$AA,"0")+COUNTIFS(bty注册!$X:$X,"tony",bty注册!$AA:$AA,"1")</f>
        <v>1</v>
      </c>
      <c r="E20" s="244">
        <f>COUNTIFS(bty注册!$X:$X,"tony",bty注册!$AA:$AA,"2")+COUNTIFS(bty注册!$X:$X,"tony",bty注册!$AA:$AA,"3")</f>
        <v>0</v>
      </c>
      <c r="F20" s="244">
        <f>COUNTIFS(bty注册!$X:$X,"tony",bty注册!$AA:$AA,"4")+COUNTIFS(bty注册!$X:$X,"tony",bty注册!$AA:$AA,"5")</f>
        <v>0</v>
      </c>
      <c r="G20" s="244">
        <f>COUNTIFS(bty注册!$X:$X,"tony",bty注册!$AA:$AA,"6")+COUNTIFS(bty注册!$X:$X,"tony",bty注册!$AA:$AA,"7")</f>
        <v>0</v>
      </c>
      <c r="H20" s="244">
        <f>COUNTIFS(bty注册!$X:$X,"tony",bty注册!$AA:$AA,"8")+COUNTIFS(bty注册!$X:$X,"tony",bty注册!$AA:$AA,"9")</f>
        <v>0</v>
      </c>
      <c r="I20" s="244">
        <f>COUNTIFS(bty注册!$X:$X,"tony",bty注册!$AA:$AA,"10")+COUNTIFS(bty注册!$X:$X,"tony",bty注册!$AA:$AA,"11")</f>
        <v>3</v>
      </c>
      <c r="J20" s="244">
        <f>COUNTIFS(bty注册!$X:$X,"tony",bty注册!$AA:$AA,"12")+COUNTIFS(bty注册!$X:$X,"tony",bty注册!$AA:$AA,"13")</f>
        <v>2</v>
      </c>
      <c r="K20" s="244">
        <f>COUNTIFS(bty注册!$X:$X,"tony",bty注册!$AA:$AA,"14")+COUNTIFS(bty注册!$X:$X,"tony",bty注册!$AA:$AA,"15")</f>
        <v>1</v>
      </c>
      <c r="L20" s="244">
        <f>COUNTIFS(bty注册!$X:$X,"tony",bty注册!$AA:$AA,"16")+COUNTIFS(bty注册!$X:$X,"tony",bty注册!$AA:$AA,"17")</f>
        <v>0</v>
      </c>
      <c r="M20" s="244">
        <f>COUNTIFS(bty注册!$X:$X,"tony",bty注册!$AA:$AA,"18")+COUNTIFS(bty注册!$X:$X,"tony",bty注册!$AA:$AA,"19")</f>
        <v>1</v>
      </c>
      <c r="N20" s="244">
        <f>COUNTIFS(bty注册!$X:$X,"tony",bty注册!$AA:$AA,"20")+COUNTIFS(bty注册!$X:$X,"tony",bty注册!$AA:$AA,"21")</f>
        <v>2</v>
      </c>
      <c r="O20" s="254">
        <f>COUNTIFS(bty注册!$X:$X,"tony",bty注册!$AA:$AA,"22")+COUNTIFS(bty注册!$X:$X,"tony",bty注册!$AA:$AA,"23")</f>
        <v>2</v>
      </c>
      <c r="Q20" s="325" t="s">
        <v>67</v>
      </c>
      <c r="R20" s="325" t="s">
        <v>61</v>
      </c>
      <c r="S20" s="15" t="e">
        <f>SUM(T20:AE20)</f>
        <v>#REF!</v>
      </c>
      <c r="T20" s="325" t="e">
        <f>AVERAGEIFS(#REF!,#REF!,#REF!,#REF!,"注册")</f>
        <v>#REF!</v>
      </c>
      <c r="U20" s="325" t="e">
        <f>AVERAGEIFS(#REF!,#REF!,#REF!,#REF!,"注册")</f>
        <v>#REF!</v>
      </c>
      <c r="V20" s="325" t="e">
        <f>AVERAGEIFS(#REF!,#REF!,#REF!,#REF!,"注册")</f>
        <v>#REF!</v>
      </c>
      <c r="W20" s="325" t="e">
        <f>AVERAGEIFS(#REF!,#REF!,#REF!,#REF!,"注册")</f>
        <v>#REF!</v>
      </c>
      <c r="X20" s="325" t="e">
        <f>AVERAGEIFS(#REF!,#REF!,#REF!,#REF!,"注册")</f>
        <v>#REF!</v>
      </c>
      <c r="Y20" s="325" t="e">
        <f>AVERAGEIFS(#REF!,#REF!,#REF!,#REF!,"注册")</f>
        <v>#REF!</v>
      </c>
      <c r="Z20" s="325" t="e">
        <f>AVERAGEIFS(#REF!,#REF!,#REF!,#REF!,"注册")</f>
        <v>#REF!</v>
      </c>
      <c r="AA20" s="325" t="e">
        <f>AVERAGEIFS(#REF!,#REF!,#REF!,#REF!,"注册")</f>
        <v>#REF!</v>
      </c>
      <c r="AB20" s="325" t="e">
        <f>AVERAGEIFS(#REF!,#REF!,#REF!,#REF!,"注册")</f>
        <v>#REF!</v>
      </c>
      <c r="AC20" s="325" t="e">
        <f>AVERAGEIFS(#REF!,#REF!,#REF!,#REF!,"注册")</f>
        <v>#REF!</v>
      </c>
      <c r="AD20" s="325" t="e">
        <f>AVERAGEIFS(#REF!,#REF!,#REF!,#REF!,"注册")</f>
        <v>#REF!</v>
      </c>
      <c r="AE20" s="325" t="e">
        <f>AVERAGEIFS(#REF!,#REF!,#REF!,#REF!,"注册")</f>
        <v>#REF!</v>
      </c>
    </row>
    <row r="21" spans="1:31">
      <c r="A21" s="240" t="s">
        <v>67</v>
      </c>
      <c r="B21" s="47" t="s">
        <v>5</v>
      </c>
      <c r="C21" s="12">
        <f>C20/C19</f>
        <v>0.0281030444964871</v>
      </c>
      <c r="D21" s="241">
        <f t="shared" ref="D21:O21" si="10">IFERROR(D20/D19,0)</f>
        <v>0.0163934426229508</v>
      </c>
      <c r="E21" s="241">
        <f t="shared" si="10"/>
        <v>0</v>
      </c>
      <c r="F21" s="241">
        <f t="shared" si="10"/>
        <v>0</v>
      </c>
      <c r="G21" s="241">
        <f t="shared" si="10"/>
        <v>0</v>
      </c>
      <c r="H21" s="241">
        <f t="shared" si="10"/>
        <v>0</v>
      </c>
      <c r="I21" s="241">
        <f t="shared" si="10"/>
        <v>0.0909090909090909</v>
      </c>
      <c r="J21" s="241">
        <f t="shared" si="10"/>
        <v>0.0454545454545455</v>
      </c>
      <c r="K21" s="241">
        <f t="shared" si="10"/>
        <v>0.027027027027027</v>
      </c>
      <c r="L21" s="241">
        <f t="shared" si="10"/>
        <v>0</v>
      </c>
      <c r="M21" s="241">
        <f t="shared" si="10"/>
        <v>0.0384615384615385</v>
      </c>
      <c r="N21" s="241">
        <f t="shared" si="10"/>
        <v>0.0555555555555556</v>
      </c>
      <c r="O21" s="252">
        <f t="shared" si="10"/>
        <v>0.0408163265306122</v>
      </c>
      <c r="Q21" s="325" t="s">
        <v>67</v>
      </c>
      <c r="R21" s="326" t="s">
        <v>62</v>
      </c>
      <c r="S21" s="12" t="e">
        <f>AVERAGE(T21:AE21)</f>
        <v>#REF!</v>
      </c>
      <c r="T21" s="327" t="e">
        <f>AVERAGEIFS(#REF!,#REF!,#REF!,#REF!,"注册率")</f>
        <v>#REF!</v>
      </c>
      <c r="U21" s="327" t="e">
        <f>AVERAGEIFS(#REF!,#REF!,#REF!,#REF!,"注册率")</f>
        <v>#REF!</v>
      </c>
      <c r="V21" s="327" t="e">
        <f>AVERAGEIFS(#REF!,#REF!,#REF!,#REF!,"注册率")</f>
        <v>#REF!</v>
      </c>
      <c r="W21" s="327" t="e">
        <f>AVERAGEIFS(#REF!,#REF!,#REF!,#REF!,"注册率")</f>
        <v>#REF!</v>
      </c>
      <c r="X21" s="327" t="e">
        <f>AVERAGEIFS(#REF!,#REF!,#REF!,#REF!,"注册率")</f>
        <v>#REF!</v>
      </c>
      <c r="Y21" s="327" t="e">
        <f>AVERAGEIFS(#REF!,#REF!,#REF!,#REF!,"注册率")</f>
        <v>#REF!</v>
      </c>
      <c r="Z21" s="327" t="e">
        <f>AVERAGEIFS(#REF!,#REF!,#REF!,#REF!,"注册率")</f>
        <v>#REF!</v>
      </c>
      <c r="AA21" s="327" t="e">
        <f>AVERAGEIFS(#REF!,#REF!,#REF!,#REF!,"注册率")</f>
        <v>#REF!</v>
      </c>
      <c r="AB21" s="327" t="e">
        <f>AVERAGEIFS(#REF!,#REF!,#REF!,#REF!,"注册率")</f>
        <v>#REF!</v>
      </c>
      <c r="AC21" s="327" t="e">
        <f>AVERAGEIFS(#REF!,#REF!,#REF!,#REF!,"注册率")</f>
        <v>#REF!</v>
      </c>
      <c r="AD21" s="327" t="e">
        <f>AVERAGEIFS(#REF!,#REF!,#REF!,#REF!,"注册率")</f>
        <v>#REF!</v>
      </c>
      <c r="AE21" s="327" t="e">
        <f>AVERAGEIFS(#REF!,#REF!,#REF!,#REF!,"注册率")</f>
        <v>#REF!</v>
      </c>
    </row>
    <row r="22" spans="1:31">
      <c r="A22" s="242" t="s">
        <v>67</v>
      </c>
      <c r="B22" s="43" t="s">
        <v>6</v>
      </c>
      <c r="C22" s="15">
        <f>SUM(D22:O22)</f>
        <v>3</v>
      </c>
      <c r="D22" s="244">
        <f>COUNTIFS(bty首充!$H:$H,"tony",bty首充!$J:$J,"0")+COUNTIFS(bty首充!$H:$H,"tony",bty首充!$J:$J,"1")</f>
        <v>0</v>
      </c>
      <c r="E22" s="244">
        <f>COUNTIFS(bty首充!$H:$H,"tony",bty首充!$J:$J,"2")+COUNTIFS(bty首充!$H:$H,"tony",bty首充!$J:$J,"3")</f>
        <v>0</v>
      </c>
      <c r="F22" s="244">
        <f>COUNTIFS(bty首充!$H:$H,"tony",bty首充!$J:$J,"4")+COUNTIFS(bty首充!$H:$H,"tony",bty首充!$J:$J,"5")</f>
        <v>0</v>
      </c>
      <c r="G22" s="244">
        <f>COUNTIFS(bty首充!$H:$H,"tony",bty首充!$J:$J,"6")+COUNTIFS(bty首充!$H:$H,"tony",bty首充!$J:$J,"7")</f>
        <v>0</v>
      </c>
      <c r="H22" s="244">
        <f>COUNTIFS(bty首充!$H:$H,"tony",bty首充!$J:$J,"8")+COUNTIFS(bty首充!$H:$H,"tony",bty首充!$J:$J,"9")</f>
        <v>0</v>
      </c>
      <c r="I22" s="244">
        <f>COUNTIFS(bty首充!$H:$H,"tony",bty首充!$J:$J,"10")+COUNTIFS(bty首充!$H:$H,"tony",bty首充!$J:$J,"11")</f>
        <v>1</v>
      </c>
      <c r="J22" s="244">
        <f>COUNTIFS(bty首充!$H:$H,"tony",bty首充!$J:$J,"12")+COUNTIFS(bty首充!$H:$H,"tony",bty首充!$J:$J,"13")</f>
        <v>1</v>
      </c>
      <c r="K22" s="244">
        <f>COUNTIFS(bty首充!$H:$H,"tony",bty首充!$J:$J,"14")+COUNTIFS(bty首充!$H:$H,"tony",bty首充!$J:$J,"15")</f>
        <v>0</v>
      </c>
      <c r="L22" s="244">
        <f>COUNTIFS(bty首充!$H:$H,"tony",bty首充!$J:$J,"16")+COUNTIFS(bty首充!$H:$H,"tony",bty首充!$J:$J,"17")</f>
        <v>0</v>
      </c>
      <c r="M22" s="244">
        <f>COUNTIFS(bty首充!$H:$H,"tony",bty首充!$J:$J,"18")+COUNTIFS(bty首充!$H:$H,"tony",bty首充!$J:$J,"19")</f>
        <v>0</v>
      </c>
      <c r="N22" s="244">
        <f>COUNTIFS(bty首充!$H:$H,"tony",bty首充!$J:$J,"20")+COUNTIFS(bty首充!$H:$H,"tony",bty首充!$J:$J,"21")</f>
        <v>1</v>
      </c>
      <c r="O22" s="254">
        <f>COUNTIFS(bty首充!$H:$H,"tony",bty首充!$J:$J,"22")+COUNTIFS(bty首充!$H:$H,"tony",bty首充!$J:$J,"23")</f>
        <v>0</v>
      </c>
      <c r="Q22" s="325" t="s">
        <v>67</v>
      </c>
      <c r="R22" s="325" t="s">
        <v>63</v>
      </c>
      <c r="S22" s="15" t="e">
        <f>SUM(T22:AE22)</f>
        <v>#REF!</v>
      </c>
      <c r="T22" s="325" t="e">
        <f>AVERAGEIFS(#REF!,#REF!,#REF!,#REF!,"开户")</f>
        <v>#REF!</v>
      </c>
      <c r="U22" s="325" t="e">
        <f>AVERAGEIFS(#REF!,#REF!,#REF!,#REF!,"开户")</f>
        <v>#REF!</v>
      </c>
      <c r="V22" s="325" t="e">
        <f>AVERAGEIFS(#REF!,#REF!,#REF!,#REF!,"开户")</f>
        <v>#REF!</v>
      </c>
      <c r="W22" s="325" t="e">
        <f>AVERAGEIFS(#REF!,#REF!,#REF!,#REF!,"开户")</f>
        <v>#REF!</v>
      </c>
      <c r="X22" s="325" t="e">
        <f>AVERAGEIFS(#REF!,#REF!,#REF!,#REF!,"开户")</f>
        <v>#REF!</v>
      </c>
      <c r="Y22" s="325" t="e">
        <f>AVERAGEIFS(#REF!,#REF!,#REF!,#REF!,"开户")</f>
        <v>#REF!</v>
      </c>
      <c r="Z22" s="325" t="e">
        <f>AVERAGEIFS(#REF!,#REF!,#REF!,#REF!,"开户")</f>
        <v>#REF!</v>
      </c>
      <c r="AA22" s="325" t="e">
        <f>AVERAGEIFS(#REF!,#REF!,#REF!,#REF!,"开户")</f>
        <v>#REF!</v>
      </c>
      <c r="AB22" s="325" t="e">
        <f>AVERAGEIFS(#REF!,#REF!,#REF!,#REF!,"开户")</f>
        <v>#REF!</v>
      </c>
      <c r="AC22" s="325" t="e">
        <f>AVERAGEIFS(#REF!,#REF!,#REF!,#REF!,"开户")</f>
        <v>#REF!</v>
      </c>
      <c r="AD22" s="325" t="e">
        <f>AVERAGEIFS(#REF!,#REF!,#REF!,#REF!,"开户")</f>
        <v>#REF!</v>
      </c>
      <c r="AE22" s="325" t="e">
        <f>AVERAGEIFS(#REF!,#REF!,#REF!,#REF!,"开户")</f>
        <v>#REF!</v>
      </c>
    </row>
    <row r="23" ht="14.25" spans="1:31">
      <c r="A23" s="245" t="s">
        <v>67</v>
      </c>
      <c r="B23" s="52" t="s">
        <v>64</v>
      </c>
      <c r="C23" s="19">
        <f>C22/C20</f>
        <v>0.25</v>
      </c>
      <c r="D23" s="246">
        <f t="shared" ref="D23:O23" si="11">IFERROR(D22/D20,0)</f>
        <v>0</v>
      </c>
      <c r="E23" s="246">
        <f t="shared" si="11"/>
        <v>0</v>
      </c>
      <c r="F23" s="246">
        <f t="shared" si="11"/>
        <v>0</v>
      </c>
      <c r="G23" s="246">
        <f t="shared" si="11"/>
        <v>0</v>
      </c>
      <c r="H23" s="246">
        <f t="shared" si="11"/>
        <v>0</v>
      </c>
      <c r="I23" s="246">
        <f t="shared" si="11"/>
        <v>0.333333333333333</v>
      </c>
      <c r="J23" s="246">
        <f t="shared" si="11"/>
        <v>0.5</v>
      </c>
      <c r="K23" s="246">
        <f t="shared" si="11"/>
        <v>0</v>
      </c>
      <c r="L23" s="246">
        <f t="shared" si="11"/>
        <v>0</v>
      </c>
      <c r="M23" s="246">
        <f t="shared" si="11"/>
        <v>0</v>
      </c>
      <c r="N23" s="246">
        <f t="shared" si="11"/>
        <v>0.5</v>
      </c>
      <c r="O23" s="255">
        <f t="shared" si="11"/>
        <v>0</v>
      </c>
      <c r="Q23" s="325" t="s">
        <v>67</v>
      </c>
      <c r="R23" s="326" t="s">
        <v>65</v>
      </c>
      <c r="S23" s="12" t="e">
        <f>AVERAGE(T23:AE23)</f>
        <v>#REF!</v>
      </c>
      <c r="T23" s="327" t="e">
        <f>AVERAGEIFS(#REF!,#REF!,#REF!,#REF!,"开户转化率")</f>
        <v>#REF!</v>
      </c>
      <c r="U23" s="327" t="e">
        <f>AVERAGEIFS(#REF!,#REF!,#REF!,#REF!,"开户转化率")</f>
        <v>#REF!</v>
      </c>
      <c r="V23" s="327" t="e">
        <f>AVERAGEIFS(#REF!,#REF!,#REF!,#REF!,"开户转化率")</f>
        <v>#REF!</v>
      </c>
      <c r="W23" s="327" t="e">
        <f>AVERAGEIFS(#REF!,#REF!,#REF!,#REF!,"开户转化率")</f>
        <v>#REF!</v>
      </c>
      <c r="X23" s="327" t="e">
        <f>AVERAGEIFS(#REF!,#REF!,#REF!,#REF!,"开户转化率")</f>
        <v>#REF!</v>
      </c>
      <c r="Y23" s="327" t="e">
        <f>AVERAGEIFS(#REF!,#REF!,#REF!,#REF!,"开户转化率")</f>
        <v>#REF!</v>
      </c>
      <c r="Z23" s="327" t="e">
        <f>AVERAGEIFS(#REF!,#REF!,#REF!,#REF!,"开户转化率")</f>
        <v>#REF!</v>
      </c>
      <c r="AA23" s="327" t="e">
        <f>AVERAGEIFS(#REF!,#REF!,#REF!,#REF!,"开户转化率")</f>
        <v>#REF!</v>
      </c>
      <c r="AB23" s="327" t="e">
        <f>AVERAGEIFS(#REF!,#REF!,#REF!,#REF!,"开户转化率")</f>
        <v>#REF!</v>
      </c>
      <c r="AC23" s="327" t="e">
        <f>AVERAGEIFS(#REF!,#REF!,#REF!,#REF!,"开户转化率")</f>
        <v>#REF!</v>
      </c>
      <c r="AD23" s="327" t="e">
        <f>AVERAGEIFS(#REF!,#REF!,#REF!,#REF!,"开户转化率")</f>
        <v>#REF!</v>
      </c>
      <c r="AE23" s="327" t="e">
        <f>AVERAGEIFS(#REF!,#REF!,#REF!,#REF!,"开户转化率")</f>
        <v>#REF!</v>
      </c>
    </row>
    <row r="24" spans="1:31">
      <c r="A24" s="240" t="s">
        <v>68</v>
      </c>
      <c r="B24" s="47" t="s">
        <v>55</v>
      </c>
      <c r="C24" s="12">
        <f>C26/C25</f>
        <v>0.0767235494880546</v>
      </c>
      <c r="D24" s="241">
        <f t="shared" ref="D24:O24" si="12">D26/D25</f>
        <v>0.115501519756839</v>
      </c>
      <c r="E24" s="241">
        <f t="shared" si="12"/>
        <v>0.0990990990990991</v>
      </c>
      <c r="F24" s="241">
        <f t="shared" si="12"/>
        <v>0.13716814159292</v>
      </c>
      <c r="G24" s="241">
        <f t="shared" si="12"/>
        <v>0.128712871287129</v>
      </c>
      <c r="H24" s="241">
        <f t="shared" si="12"/>
        <v>0.0874524714828897</v>
      </c>
      <c r="I24" s="241">
        <f t="shared" si="12"/>
        <v>0.0597014925373134</v>
      </c>
      <c r="J24" s="241">
        <f t="shared" si="12"/>
        <v>0.0626865671641791</v>
      </c>
      <c r="K24" s="241">
        <f t="shared" si="12"/>
        <v>0.0693301997649824</v>
      </c>
      <c r="L24" s="241">
        <f t="shared" si="12"/>
        <v>0.0537634408602151</v>
      </c>
      <c r="M24" s="241">
        <f t="shared" si="12"/>
        <v>0.0667613636363636</v>
      </c>
      <c r="N24" s="241">
        <f t="shared" si="12"/>
        <v>0.0714285714285714</v>
      </c>
      <c r="O24" s="252">
        <f t="shared" si="12"/>
        <v>0.0706018518518518</v>
      </c>
      <c r="Q24" s="328" t="s">
        <v>68</v>
      </c>
      <c r="R24" s="325" t="s">
        <v>56</v>
      </c>
      <c r="S24" s="12" t="e">
        <f>AVERAGE(T24:AE24)</f>
        <v>#REF!</v>
      </c>
      <c r="T24" s="325" t="e">
        <f>AVERAGEIFS(#REF!,#REF!,#REF!,#REF!,"接收率")</f>
        <v>#REF!</v>
      </c>
      <c r="U24" s="325" t="e">
        <f>AVERAGEIFS(#REF!,#REF!,#REF!,#REF!,"接收率")</f>
        <v>#REF!</v>
      </c>
      <c r="V24" s="325" t="e">
        <f>AVERAGEIFS(#REF!,#REF!,#REF!,#REF!,"接收率")</f>
        <v>#REF!</v>
      </c>
      <c r="W24" s="325" t="e">
        <f>AVERAGEIFS(#REF!,#REF!,#REF!,#REF!,"接收率")</f>
        <v>#REF!</v>
      </c>
      <c r="X24" s="325" t="e">
        <f>AVERAGEIFS(#REF!,#REF!,#REF!,#REF!,"接收率")</f>
        <v>#REF!</v>
      </c>
      <c r="Y24" s="325" t="e">
        <f>AVERAGEIFS(#REF!,#REF!,#REF!,#REF!,"接收率")</f>
        <v>#REF!</v>
      </c>
      <c r="Z24" s="325" t="e">
        <f>AVERAGEIFS(#REF!,#REF!,#REF!,#REF!,"接收率")</f>
        <v>#REF!</v>
      </c>
      <c r="AA24" s="325" t="e">
        <f>AVERAGEIFS(#REF!,#REF!,#REF!,#REF!,"接收率")</f>
        <v>#REF!</v>
      </c>
      <c r="AB24" s="325" t="e">
        <f>AVERAGEIFS(#REF!,#REF!,#REF!,#REF!,"接收率")</f>
        <v>#REF!</v>
      </c>
      <c r="AC24" s="325" t="e">
        <f>AVERAGEIFS(#REF!,#REF!,#REF!,#REF!,"接收率")</f>
        <v>#REF!</v>
      </c>
      <c r="AD24" s="325" t="e">
        <f>AVERAGEIFS(#REF!,#REF!,#REF!,#REF!,"接收率")</f>
        <v>#REF!</v>
      </c>
      <c r="AE24" s="325" t="e">
        <f>AVERAGEIFS(#REF!,#REF!,#REF!,#REF!,"接收率")</f>
        <v>#REF!</v>
      </c>
    </row>
    <row r="25" spans="1:31">
      <c r="A25" s="242" t="s">
        <v>68</v>
      </c>
      <c r="B25" s="43" t="s">
        <v>57</v>
      </c>
      <c r="C25" s="15">
        <f>SUM(D25:O25)</f>
        <v>7325</v>
      </c>
      <c r="D25" s="243">
        <f>SUMIFS([1]趋势分析!$F:$F,[1]趋势分析!$A:$A,"aber.com",[1]趋势分析!$C:$C,"00")/2+SUMIFS([1]趋势分析!$F:$F,[1]趋势分析!$A:$A,"aber.com",[1]趋势分析!$C:$C,"01")/2</f>
        <v>658</v>
      </c>
      <c r="E25" s="243">
        <f>SUMIFS([1]趋势分析!$F:$F,[1]趋势分析!$A:$A,"aber.com",[1]趋势分析!$C:$C,"02")/2+SUMIFS([1]趋势分析!$F:$F,[1]趋势分析!$A:$A,"aber.com",[1]趋势分析!$C:$C,"03")/2</f>
        <v>333</v>
      </c>
      <c r="F25" s="243">
        <f>SUMIFS([1]趋势分析!$F:$F,[1]趋势分析!$A:$A,"aber.com",[1]趋势分析!$C:$C,"04")/2+SUMIFS([1]趋势分析!$F:$F,[1]趋势分析!$A:$A,"aber.com",[1]趋势分析!$C:$C,"05")/2</f>
        <v>226</v>
      </c>
      <c r="G25" s="243">
        <f>SUMIFS([1]趋势分析!$F:$F,[1]趋势分析!$A:$A,"aber.com",[1]趋势分析!$C:$C,"06")/2+SUMIFS([1]趋势分析!$F:$F,[1]趋势分析!$A:$A,"aber.com",[1]趋势分析!$C:$C,"07")/2</f>
        <v>202</v>
      </c>
      <c r="H25" s="243">
        <f>SUMIFS([1]趋势分析!$F:$F,[1]趋势分析!$A:$A,"aber.com",[1]趋势分析!$C:$C,"08")/2+SUMIFS([1]趋势分析!$F:$F,[1]趋势分析!$A:$A,"aber.com",[1]趋势分析!$C:$C,"09")/2</f>
        <v>526</v>
      </c>
      <c r="I25" s="243">
        <f>SUMIFS([1]趋势分析!$F:$F,[1]趋势分析!$A:$A,"aber.com",[1]趋势分析!$C:$C,"10")/2+SUMIFS([1]趋势分析!$F:$F,[1]趋势分析!$A:$A,"aber.com",[1]趋势分析!$C:$C,"11")/2</f>
        <v>670</v>
      </c>
      <c r="J25" s="243">
        <f>SUMIFS([1]趋势分析!$F:$F,[1]趋势分析!$A:$A,"aber.com",[1]趋势分析!$C:$C,"12")/2+SUMIFS([1]趋势分析!$F:$F,[1]趋势分析!$A:$A,"aber.com",[1]趋势分析!$C:$C,"13")/2</f>
        <v>670</v>
      </c>
      <c r="K25" s="243">
        <f>SUMIFS([1]趋势分析!$F:$F,[1]趋势分析!$A:$A,"aber.com",[1]趋势分析!$C:$C,"14")/2+SUMIFS([1]趋势分析!$F:$F,[1]趋势分析!$A:$A,"aber.com",[1]趋势分析!$C:$C,"15")/2</f>
        <v>851</v>
      </c>
      <c r="L25" s="243">
        <f>SUMIFS([1]趋势分析!$F:$F,[1]趋势分析!$A:$A,"aber.com",[1]趋势分析!$C:$C,"16")/2+SUMIFS([1]趋势分析!$F:$F,[1]趋势分析!$A:$A,"aber.com",[1]趋势分析!$C:$C,"17")/2</f>
        <v>837</v>
      </c>
      <c r="M25" s="243">
        <f>SUMIFS([1]趋势分析!$F:$F,[1]趋势分析!$A:$A,"aber.com",[1]趋势分析!$C:$C,"18")/2+SUMIFS([1]趋势分析!$F:$F,[1]趋势分析!$A:$A,"aber.com",[1]趋势分析!$C:$C,"19")/2</f>
        <v>704</v>
      </c>
      <c r="N25" s="243">
        <f>SUMIFS([1]趋势分析!$F:$F,[1]趋势分析!$A:$A,"aber.com",[1]趋势分析!$C:$C,"20")/2+SUMIFS([1]趋势分析!$F:$F,[1]趋势分析!$A:$A,"aber.com",[1]趋势分析!$C:$C,"21")/2</f>
        <v>784</v>
      </c>
      <c r="O25" s="253">
        <f>SUMIFS([1]趋势分析!$F:$F,[1]趋势分析!$A:$A,"aber.com",[1]趋势分析!$C:$C,"22")/2+SUMIFS([1]趋势分析!$F:$F,[1]趋势分析!$A:$A,"aber.com",[1]趋势分析!$C:$C,"23")/2</f>
        <v>864</v>
      </c>
      <c r="Q25" s="328" t="s">
        <v>68</v>
      </c>
      <c r="R25" s="326" t="s">
        <v>58</v>
      </c>
      <c r="S25" s="15" t="e">
        <f>SUM(T25:AE25)</f>
        <v>#REF!</v>
      </c>
      <c r="T25" s="325" t="e">
        <f>AVERAGEIFS(#REF!,#REF!,#REF!,#REF!,"发送IP数")</f>
        <v>#REF!</v>
      </c>
      <c r="U25" s="325" t="e">
        <f>AVERAGEIFS(#REF!,#REF!,#REF!,#REF!,"发送IP数")</f>
        <v>#REF!</v>
      </c>
      <c r="V25" s="325" t="e">
        <f>AVERAGEIFS(#REF!,#REF!,#REF!,#REF!,"发送IP数")</f>
        <v>#REF!</v>
      </c>
      <c r="W25" s="325" t="e">
        <f>AVERAGEIFS(#REF!,#REF!,#REF!,#REF!,"发送IP数")</f>
        <v>#REF!</v>
      </c>
      <c r="X25" s="325" t="e">
        <f>AVERAGEIFS(#REF!,#REF!,#REF!,#REF!,"发送IP数")</f>
        <v>#REF!</v>
      </c>
      <c r="Y25" s="325" t="e">
        <f>AVERAGEIFS(#REF!,#REF!,#REF!,#REF!,"发送IP数")</f>
        <v>#REF!</v>
      </c>
      <c r="Z25" s="325" t="e">
        <f>AVERAGEIFS(#REF!,#REF!,#REF!,#REF!,"发送IP数")</f>
        <v>#REF!</v>
      </c>
      <c r="AA25" s="325" t="e">
        <f>AVERAGEIFS(#REF!,#REF!,#REF!,#REF!,"发送IP数")</f>
        <v>#REF!</v>
      </c>
      <c r="AB25" s="325" t="e">
        <f>AVERAGEIFS(#REF!,#REF!,#REF!,#REF!,"发送IP数")</f>
        <v>#REF!</v>
      </c>
      <c r="AC25" s="325" t="e">
        <f>AVERAGEIFS(#REF!,#REF!,#REF!,#REF!,"发送IP数")</f>
        <v>#REF!</v>
      </c>
      <c r="AD25" s="325" t="e">
        <f>AVERAGEIFS(#REF!,#REF!,#REF!,#REF!,"发送IP数")</f>
        <v>#REF!</v>
      </c>
      <c r="AE25" s="325" t="e">
        <f>AVERAGEIFS(#REF!,#REF!,#REF!,#REF!,"发送IP数")</f>
        <v>#REF!</v>
      </c>
    </row>
    <row r="26" spans="1:31">
      <c r="A26" s="240" t="s">
        <v>68</v>
      </c>
      <c r="B26" s="47" t="s">
        <v>59</v>
      </c>
      <c r="C26" s="15">
        <f>SUM(D26:O26)</f>
        <v>562</v>
      </c>
      <c r="D26" s="243">
        <f>SUMIFS([1]趋势分析!$F:$F,[1]趋势分析!$A:$A,"aber.bty",[1]趋势分析!$C:$C,"00")+SUMIFS([1]趋势分析!$F:$F,[1]趋势分析!$A:$A,"aber.bty",[1]趋势分析!$C:$C,"01")</f>
        <v>76</v>
      </c>
      <c r="E26" s="243">
        <f>SUMIFS([1]趋势分析!$F:$F,[1]趋势分析!$A:$A,"aber.bty",[1]趋势分析!$C:$C,"02")+SUMIFS([1]趋势分析!$F:$F,[1]趋势分析!$A:$A,"aber.bty",[1]趋势分析!$C:$C,"03")</f>
        <v>33</v>
      </c>
      <c r="F26" s="243">
        <f>SUMIFS([1]趋势分析!$F:$F,[1]趋势分析!$A:$A,"aber.bty",[1]趋势分析!$C:$C,"04")+SUMIFS([1]趋势分析!$F:$F,[1]趋势分析!$A:$A,"aber.bty",[1]趋势分析!$C:$C,"05")</f>
        <v>31</v>
      </c>
      <c r="G26" s="243">
        <f>SUMIFS([1]趋势分析!$F:$F,[1]趋势分析!$A:$A,"aber.bty",[1]趋势分析!$C:$C,"06")+SUMIFS([1]趋势分析!$F:$F,[1]趋势分析!$A:$A,"aber.bty",[1]趋势分析!$C:$C,"07")</f>
        <v>26</v>
      </c>
      <c r="H26" s="243">
        <f>SUMIFS([1]趋势分析!$F:$F,[1]趋势分析!$A:$A,"aber.bty",[1]趋势分析!$C:$C,"08")+SUMIFS([1]趋势分析!$F:$F,[1]趋势分析!$A:$A,"aber.bty",[1]趋势分析!$C:$C,"09")</f>
        <v>46</v>
      </c>
      <c r="I26" s="243">
        <f>SUMIFS([1]趋势分析!$F:$F,[1]趋势分析!$A:$A,"aber.bty",[1]趋势分析!$C:$C,"10")+SUMIFS([1]趋势分析!$F:$F,[1]趋势分析!$A:$A,"aber.bty",[1]趋势分析!$C:$C,"11")</f>
        <v>40</v>
      </c>
      <c r="J26" s="243">
        <f>SUMIFS([1]趋势分析!$F:$F,[1]趋势分析!$A:$A,"aber.bty",[1]趋势分析!$C:$C,"12")+SUMIFS([1]趋势分析!$F:$F,[1]趋势分析!$A:$A,"aber.bty",[1]趋势分析!$C:$C,"13")</f>
        <v>42</v>
      </c>
      <c r="K26" s="243">
        <f>SUMIFS([1]趋势分析!$F:$F,[1]趋势分析!$A:$A,"aber.bty",[1]趋势分析!$C:$C,"14")+SUMIFS([1]趋势分析!$F:$F,[1]趋势分析!$A:$A,"aber.bty",[1]趋势分析!$C:$C,"15")</f>
        <v>59</v>
      </c>
      <c r="L26" s="243">
        <f>SUMIFS([1]趋势分析!$F:$F,[1]趋势分析!$A:$A,"aber.bty",[1]趋势分析!$C:$C,"16")+SUMIFS([1]趋势分析!$F:$F,[1]趋势分析!$A:$A,"aber.bty",[1]趋势分析!$C:$C,"17")</f>
        <v>45</v>
      </c>
      <c r="M26" s="243">
        <f>SUMIFS([1]趋势分析!$F:$F,[1]趋势分析!$A:$A,"aber.bty",[1]趋势分析!$C:$C,"18")+SUMIFS([1]趋势分析!$F:$F,[1]趋势分析!$A:$A,"aber.bty",[1]趋势分析!$C:$C,"19")</f>
        <v>47</v>
      </c>
      <c r="N26" s="243">
        <f>SUMIFS([1]趋势分析!$F:$F,[1]趋势分析!$A:$A,"aber.bty",[1]趋势分析!$C:$C,"20")+SUMIFS([1]趋势分析!$F:$F,[1]趋势分析!$A:$A,"aber.bty",[1]趋势分析!$C:$C,"21")</f>
        <v>56</v>
      </c>
      <c r="O26" s="253">
        <f>SUMIFS([1]趋势分析!$F:$F,[1]趋势分析!$A:$A,"aber.bty",[1]趋势分析!$C:$C,"22")+SUMIFS([1]趋势分析!$F:$F,[1]趋势分析!$A:$A,"aber.bty",[1]趋势分析!$C:$C,"23")</f>
        <v>61</v>
      </c>
      <c r="Q26" s="328" t="s">
        <v>68</v>
      </c>
      <c r="R26" s="326" t="s">
        <v>60</v>
      </c>
      <c r="S26" s="15" t="e">
        <f>SUM(T26:AE26)</f>
        <v>#REF!</v>
      </c>
      <c r="T26" s="325" t="e">
        <f>AVERAGEIFS(#REF!,#REF!,#REF!,#REF!,"接收IP数")</f>
        <v>#REF!</v>
      </c>
      <c r="U26" s="325" t="e">
        <f>AVERAGEIFS(#REF!,#REF!,#REF!,#REF!,"接收IP数")</f>
        <v>#REF!</v>
      </c>
      <c r="V26" s="325" t="e">
        <f>AVERAGEIFS(#REF!,#REF!,#REF!,#REF!,"接收IP数")</f>
        <v>#REF!</v>
      </c>
      <c r="W26" s="325" t="e">
        <f>AVERAGEIFS(#REF!,#REF!,#REF!,#REF!,"接收IP数")</f>
        <v>#REF!</v>
      </c>
      <c r="X26" s="325" t="e">
        <f>AVERAGEIFS(#REF!,#REF!,#REF!,#REF!,"接收IP数")</f>
        <v>#REF!</v>
      </c>
      <c r="Y26" s="325" t="e">
        <f>AVERAGEIFS(#REF!,#REF!,#REF!,#REF!,"接收IP数")</f>
        <v>#REF!</v>
      </c>
      <c r="Z26" s="325" t="e">
        <f>AVERAGEIFS(#REF!,#REF!,#REF!,#REF!,"接收IP数")</f>
        <v>#REF!</v>
      </c>
      <c r="AA26" s="325" t="e">
        <f>AVERAGEIFS(#REF!,#REF!,#REF!,#REF!,"接收IP数")</f>
        <v>#REF!</v>
      </c>
      <c r="AB26" s="325" t="e">
        <f>AVERAGEIFS(#REF!,#REF!,#REF!,#REF!,"接收IP数")</f>
        <v>#REF!</v>
      </c>
      <c r="AC26" s="325" t="e">
        <f>AVERAGEIFS(#REF!,#REF!,#REF!,#REF!,"接收IP数")</f>
        <v>#REF!</v>
      </c>
      <c r="AD26" s="325" t="e">
        <f>AVERAGEIFS(#REF!,#REF!,#REF!,#REF!,"接收IP数")</f>
        <v>#REF!</v>
      </c>
      <c r="AE26" s="325" t="e">
        <f>AVERAGEIFS(#REF!,#REF!,#REF!,#REF!,"接收IP数")</f>
        <v>#REF!</v>
      </c>
    </row>
    <row r="27" spans="1:31">
      <c r="A27" s="242" t="s">
        <v>68</v>
      </c>
      <c r="B27" s="43" t="s">
        <v>4</v>
      </c>
      <c r="C27" s="15">
        <f>SUM(D27:O27)</f>
        <v>37</v>
      </c>
      <c r="D27" s="244">
        <f>COUNTIFS(bty注册!$X:$X,"aber",bty注册!$AA:$AA,"0")+COUNTIFS(bty注册!$X:$X,"aber",bty注册!$AA:$AA,"1")</f>
        <v>2</v>
      </c>
      <c r="E27" s="244">
        <f>COUNTIFS(bty注册!$X:$X,"aber",bty注册!$AA:$AA,"2")+COUNTIFS(bty注册!$X:$X,"aber",bty注册!$AA:$AA,"3")</f>
        <v>2</v>
      </c>
      <c r="F27" s="244">
        <f>COUNTIFS(bty注册!$X:$X,"aber",bty注册!$AA:$AA,"4")+COUNTIFS(bty注册!$X:$X,"aber",bty注册!$AA:$AA,"5")</f>
        <v>2</v>
      </c>
      <c r="G27" s="244">
        <f>COUNTIFS(bty注册!$X:$X,"aber",bty注册!$AA:$AA,"6")+COUNTIFS(bty注册!$X:$X,"aber",bty注册!$AA:$AA,"7")</f>
        <v>3</v>
      </c>
      <c r="H27" s="244">
        <f>COUNTIFS(bty注册!$X:$X,"aber",bty注册!$AA:$AA,"8")+COUNTIFS(bty注册!$X:$X,"aber",bty注册!$AA:$AA,"9")</f>
        <v>3</v>
      </c>
      <c r="I27" s="244">
        <f>COUNTIFS(bty注册!$X:$X,"aber",bty注册!$AA:$AA,"10")+COUNTIFS(bty注册!$X:$X,"aber",bty注册!$AA:$AA,"11")</f>
        <v>5</v>
      </c>
      <c r="J27" s="244">
        <f>COUNTIFS(bty注册!$X:$X,"aber",bty注册!$AA:$AA,"12")+COUNTIFS(bty注册!$X:$X,"aber",bty注册!$AA:$AA,"13")</f>
        <v>3</v>
      </c>
      <c r="K27" s="244">
        <f>COUNTIFS(bty注册!$X:$X,"aber",bty注册!$AA:$AA,"14")+COUNTIFS(bty注册!$X:$X,"aber",bty注册!$AA:$AA,"15")</f>
        <v>2</v>
      </c>
      <c r="L27" s="244">
        <f>COUNTIFS(bty注册!$X:$X,"aber",bty注册!$AA:$AA,"16")+COUNTIFS(bty注册!$X:$X,"aber",bty注册!$AA:$AA,"17")</f>
        <v>3</v>
      </c>
      <c r="M27" s="244">
        <f>COUNTIFS(bty注册!$X:$X,"aber",bty注册!$AA:$AA,"18")+COUNTIFS(bty注册!$X:$X,"aber",bty注册!$AA:$AA,"19")</f>
        <v>2</v>
      </c>
      <c r="N27" s="244">
        <f>COUNTIFS(bty注册!$X:$X,"aber",bty注册!$AA:$AA,"20")+COUNTIFS(bty注册!$X:$X,"aber",bty注册!$AA:$AA,"21")</f>
        <v>5</v>
      </c>
      <c r="O27" s="254">
        <f>COUNTIFS(bty注册!$X:$X,"aber",bty注册!$AA:$AA,"22")+COUNTIFS(bty注册!$X:$X,"aber",bty注册!$AA:$AA,"23")</f>
        <v>5</v>
      </c>
      <c r="Q27" s="328" t="s">
        <v>68</v>
      </c>
      <c r="R27" s="325" t="s">
        <v>61</v>
      </c>
      <c r="S27" s="15" t="e">
        <f>SUM(T27:AE27)</f>
        <v>#REF!</v>
      </c>
      <c r="T27" s="325" t="e">
        <f>AVERAGEIFS(#REF!,#REF!,#REF!,#REF!,"注册")</f>
        <v>#REF!</v>
      </c>
      <c r="U27" s="325" t="e">
        <f>AVERAGEIFS(#REF!,#REF!,#REF!,#REF!,"注册")</f>
        <v>#REF!</v>
      </c>
      <c r="V27" s="325" t="e">
        <f>AVERAGEIFS(#REF!,#REF!,#REF!,#REF!,"注册")</f>
        <v>#REF!</v>
      </c>
      <c r="W27" s="325" t="e">
        <f>AVERAGEIFS(#REF!,#REF!,#REF!,#REF!,"注册")</f>
        <v>#REF!</v>
      </c>
      <c r="X27" s="325" t="e">
        <f>AVERAGEIFS(#REF!,#REF!,#REF!,#REF!,"注册")</f>
        <v>#REF!</v>
      </c>
      <c r="Y27" s="325" t="e">
        <f>AVERAGEIFS(#REF!,#REF!,#REF!,#REF!,"注册")</f>
        <v>#REF!</v>
      </c>
      <c r="Z27" s="325" t="e">
        <f>AVERAGEIFS(#REF!,#REF!,#REF!,#REF!,"注册")</f>
        <v>#REF!</v>
      </c>
      <c r="AA27" s="325" t="e">
        <f>AVERAGEIFS(#REF!,#REF!,#REF!,#REF!,"注册")</f>
        <v>#REF!</v>
      </c>
      <c r="AB27" s="325" t="e">
        <f>AVERAGEIFS(#REF!,#REF!,#REF!,#REF!,"注册")</f>
        <v>#REF!</v>
      </c>
      <c r="AC27" s="325" t="e">
        <f>AVERAGEIFS(#REF!,#REF!,#REF!,#REF!,"注册")</f>
        <v>#REF!</v>
      </c>
      <c r="AD27" s="325" t="e">
        <f>AVERAGEIFS(#REF!,#REF!,#REF!,#REF!,"注册")</f>
        <v>#REF!</v>
      </c>
      <c r="AE27" s="325" t="e">
        <f>AVERAGEIFS(#REF!,#REF!,#REF!,#REF!,"注册")</f>
        <v>#REF!</v>
      </c>
    </row>
    <row r="28" spans="1:31">
      <c r="A28" s="240" t="s">
        <v>68</v>
      </c>
      <c r="B28" s="47" t="s">
        <v>5</v>
      </c>
      <c r="C28" s="12">
        <f>C27/C26</f>
        <v>0.0658362989323843</v>
      </c>
      <c r="D28" s="241">
        <f t="shared" ref="D28:O28" si="13">IFERROR(D27/D26,0)</f>
        <v>0.0263157894736842</v>
      </c>
      <c r="E28" s="241">
        <f t="shared" si="13"/>
        <v>0.0606060606060606</v>
      </c>
      <c r="F28" s="241">
        <f t="shared" si="13"/>
        <v>0.0645161290322581</v>
      </c>
      <c r="G28" s="241">
        <f t="shared" si="13"/>
        <v>0.115384615384615</v>
      </c>
      <c r="H28" s="241">
        <f t="shared" si="13"/>
        <v>0.0652173913043478</v>
      </c>
      <c r="I28" s="241">
        <f t="shared" si="13"/>
        <v>0.125</v>
      </c>
      <c r="J28" s="241">
        <f t="shared" si="13"/>
        <v>0.0714285714285714</v>
      </c>
      <c r="K28" s="241">
        <f t="shared" si="13"/>
        <v>0.0338983050847458</v>
      </c>
      <c r="L28" s="241">
        <f t="shared" si="13"/>
        <v>0.0666666666666667</v>
      </c>
      <c r="M28" s="241">
        <f t="shared" si="13"/>
        <v>0.0425531914893617</v>
      </c>
      <c r="N28" s="241">
        <f t="shared" si="13"/>
        <v>0.0892857142857143</v>
      </c>
      <c r="O28" s="252">
        <f t="shared" si="13"/>
        <v>0.0819672131147541</v>
      </c>
      <c r="Q28" s="328" t="s">
        <v>68</v>
      </c>
      <c r="R28" s="326" t="s">
        <v>62</v>
      </c>
      <c r="S28" s="12" t="e">
        <f>AVERAGE(T28:AE28)</f>
        <v>#REF!</v>
      </c>
      <c r="T28" s="327" t="e">
        <f>AVERAGEIFS(#REF!,#REF!,#REF!,#REF!,"注册率")</f>
        <v>#REF!</v>
      </c>
      <c r="U28" s="327" t="e">
        <f>AVERAGEIFS(#REF!,#REF!,#REF!,#REF!,"注册率")</f>
        <v>#REF!</v>
      </c>
      <c r="V28" s="327" t="e">
        <f>AVERAGEIFS(#REF!,#REF!,#REF!,#REF!,"注册率")</f>
        <v>#REF!</v>
      </c>
      <c r="W28" s="327" t="e">
        <f>AVERAGEIFS(#REF!,#REF!,#REF!,#REF!,"注册率")</f>
        <v>#REF!</v>
      </c>
      <c r="X28" s="327" t="e">
        <f>AVERAGEIFS(#REF!,#REF!,#REF!,#REF!,"注册率")</f>
        <v>#REF!</v>
      </c>
      <c r="Y28" s="327" t="e">
        <f>AVERAGEIFS(#REF!,#REF!,#REF!,#REF!,"注册率")</f>
        <v>#REF!</v>
      </c>
      <c r="Z28" s="327" t="e">
        <f>AVERAGEIFS(#REF!,#REF!,#REF!,#REF!,"注册率")</f>
        <v>#REF!</v>
      </c>
      <c r="AA28" s="327" t="e">
        <f>AVERAGEIFS(#REF!,#REF!,#REF!,#REF!,"注册率")</f>
        <v>#REF!</v>
      </c>
      <c r="AB28" s="327" t="e">
        <f>AVERAGEIFS(#REF!,#REF!,#REF!,#REF!,"注册率")</f>
        <v>#REF!</v>
      </c>
      <c r="AC28" s="327" t="e">
        <f>AVERAGEIFS(#REF!,#REF!,#REF!,#REF!,"注册率")</f>
        <v>#REF!</v>
      </c>
      <c r="AD28" s="327" t="e">
        <f>AVERAGEIFS(#REF!,#REF!,#REF!,#REF!,"注册率")</f>
        <v>#REF!</v>
      </c>
      <c r="AE28" s="327" t="e">
        <f>AVERAGEIFS(#REF!,#REF!,#REF!,#REF!,"注册率")</f>
        <v>#REF!</v>
      </c>
    </row>
    <row r="29" spans="1:31">
      <c r="A29" s="242" t="s">
        <v>68</v>
      </c>
      <c r="B29" s="43" t="s">
        <v>6</v>
      </c>
      <c r="C29" s="15">
        <f>SUM(D29:O29)</f>
        <v>13</v>
      </c>
      <c r="D29" s="244">
        <f>COUNTIFS(bty首充!$H:$H,"aber",bty首充!$J:$J,"0")+COUNTIFS(bty首充!$H:$H,"aber",bty首充!$J:$J,"1")</f>
        <v>2</v>
      </c>
      <c r="E29" s="244">
        <f>COUNTIFS(bty首充!$H:$H,"aber",bty首充!$J:$J,"2")+COUNTIFS(bty首充!$H:$H,"aber",bty首充!$J:$J,"3")</f>
        <v>1</v>
      </c>
      <c r="F29" s="244">
        <f>COUNTIFS(bty首充!$H:$H,"aber",bty首充!$J:$J,"4")+COUNTIFS(bty首充!$H:$H,"aber",bty首充!$J:$J,"5")</f>
        <v>1</v>
      </c>
      <c r="G29" s="244">
        <f>COUNTIFS(bty首充!$H:$H,"aber",bty首充!$J:$J,"6")+COUNTIFS(bty首充!$H:$H,"aber",bty首充!$J:$J,"7")</f>
        <v>1</v>
      </c>
      <c r="H29" s="244">
        <f>COUNTIFS(bty首充!$H:$H,"aber",bty首充!$J:$J,"8")+COUNTIFS(bty首充!$H:$H,"aber",bty首充!$J:$J,"9")</f>
        <v>0</v>
      </c>
      <c r="I29" s="244">
        <f>COUNTIFS(bty首充!$H:$H,"aber",bty首充!$J:$J,"10")+COUNTIFS(bty首充!$H:$H,"aber",bty首充!$J:$J,"11")</f>
        <v>1</v>
      </c>
      <c r="J29" s="244">
        <f>COUNTIFS(bty首充!$H:$H,"aber",bty首充!$J:$J,"12")+COUNTIFS(bty首充!$H:$H,"aber",bty首充!$J:$J,"13")</f>
        <v>3</v>
      </c>
      <c r="K29" s="244">
        <f>COUNTIFS(bty首充!$H:$H,"aber",bty首充!$J:$J,"14")+COUNTIFS(bty首充!$H:$H,"aber",bty首充!$J:$J,"15")</f>
        <v>2</v>
      </c>
      <c r="L29" s="244">
        <f>COUNTIFS(bty首充!$H:$H,"aber",bty首充!$J:$J,"16")+COUNTIFS(bty首充!$H:$H,"aber",bty首充!$J:$J,"17")</f>
        <v>1</v>
      </c>
      <c r="M29" s="244">
        <f>COUNTIFS(bty首充!$H:$H,"aber",bty首充!$J:$J,"18")+COUNTIFS(bty首充!$H:$H,"aber",bty首充!$J:$J,"19")</f>
        <v>0</v>
      </c>
      <c r="N29" s="244">
        <f>COUNTIFS(bty首充!$H:$H,"aber",bty首充!$J:$J,"20")+COUNTIFS(bty首充!$H:$H,"aber",bty首充!$J:$J,"21")</f>
        <v>0</v>
      </c>
      <c r="O29" s="254">
        <f>COUNTIFS(bty首充!$H:$H,"aber",bty首充!$J:$J,"22")+COUNTIFS(bty首充!$H:$H,"aber",bty首充!$J:$J,"23")</f>
        <v>1</v>
      </c>
      <c r="Q29" s="328" t="s">
        <v>68</v>
      </c>
      <c r="R29" s="325" t="s">
        <v>63</v>
      </c>
      <c r="S29" s="15" t="e">
        <f>SUM(T29:AE29)</f>
        <v>#REF!</v>
      </c>
      <c r="T29" s="325" t="e">
        <f>AVERAGEIFS(#REF!,#REF!,#REF!,#REF!,"开户")</f>
        <v>#REF!</v>
      </c>
      <c r="U29" s="325" t="e">
        <f>AVERAGEIFS(#REF!,#REF!,#REF!,#REF!,"开户")</f>
        <v>#REF!</v>
      </c>
      <c r="V29" s="325" t="e">
        <f>AVERAGEIFS(#REF!,#REF!,#REF!,#REF!,"开户")</f>
        <v>#REF!</v>
      </c>
      <c r="W29" s="325" t="e">
        <f>AVERAGEIFS(#REF!,#REF!,#REF!,#REF!,"开户")</f>
        <v>#REF!</v>
      </c>
      <c r="X29" s="325" t="e">
        <f>AVERAGEIFS(#REF!,#REF!,#REF!,#REF!,"开户")</f>
        <v>#REF!</v>
      </c>
      <c r="Y29" s="325" t="e">
        <f>AVERAGEIFS(#REF!,#REF!,#REF!,#REF!,"开户")</f>
        <v>#REF!</v>
      </c>
      <c r="Z29" s="325" t="e">
        <f>AVERAGEIFS(#REF!,#REF!,#REF!,#REF!,"开户")</f>
        <v>#REF!</v>
      </c>
      <c r="AA29" s="325" t="e">
        <f>AVERAGEIFS(#REF!,#REF!,#REF!,#REF!,"开户")</f>
        <v>#REF!</v>
      </c>
      <c r="AB29" s="325" t="e">
        <f>AVERAGEIFS(#REF!,#REF!,#REF!,#REF!,"开户")</f>
        <v>#REF!</v>
      </c>
      <c r="AC29" s="325" t="e">
        <f>AVERAGEIFS(#REF!,#REF!,#REF!,#REF!,"开户")</f>
        <v>#REF!</v>
      </c>
      <c r="AD29" s="325" t="e">
        <f>AVERAGEIFS(#REF!,#REF!,#REF!,#REF!,"开户")</f>
        <v>#REF!</v>
      </c>
      <c r="AE29" s="325" t="e">
        <f>AVERAGEIFS(#REF!,#REF!,#REF!,#REF!,"开户")</f>
        <v>#REF!</v>
      </c>
    </row>
    <row r="30" ht="14.25" spans="1:31">
      <c r="A30" s="245" t="s">
        <v>68</v>
      </c>
      <c r="B30" s="52" t="s">
        <v>64</v>
      </c>
      <c r="C30" s="19">
        <f>C29/C27</f>
        <v>0.351351351351351</v>
      </c>
      <c r="D30" s="246">
        <f t="shared" ref="D30:O30" si="14">IFERROR(D29/D27,0)</f>
        <v>1</v>
      </c>
      <c r="E30" s="246">
        <f t="shared" si="14"/>
        <v>0.5</v>
      </c>
      <c r="F30" s="246">
        <f t="shared" si="14"/>
        <v>0.5</v>
      </c>
      <c r="G30" s="246">
        <f t="shared" si="14"/>
        <v>0.333333333333333</v>
      </c>
      <c r="H30" s="246">
        <f t="shared" si="14"/>
        <v>0</v>
      </c>
      <c r="I30" s="246">
        <f t="shared" si="14"/>
        <v>0.2</v>
      </c>
      <c r="J30" s="246">
        <f t="shared" si="14"/>
        <v>1</v>
      </c>
      <c r="K30" s="246">
        <f t="shared" si="14"/>
        <v>1</v>
      </c>
      <c r="L30" s="246">
        <f t="shared" si="14"/>
        <v>0.333333333333333</v>
      </c>
      <c r="M30" s="246">
        <f t="shared" si="14"/>
        <v>0</v>
      </c>
      <c r="N30" s="246">
        <f t="shared" si="14"/>
        <v>0</v>
      </c>
      <c r="O30" s="255">
        <f t="shared" si="14"/>
        <v>0.2</v>
      </c>
      <c r="Q30" s="328" t="s">
        <v>68</v>
      </c>
      <c r="R30" s="326" t="s">
        <v>65</v>
      </c>
      <c r="S30" s="12" t="e">
        <f>AVERAGE(T30:AE30)</f>
        <v>#REF!</v>
      </c>
      <c r="T30" s="327" t="e">
        <f>AVERAGEIFS(#REF!,#REF!,#REF!,#REF!,"开户转化率")</f>
        <v>#REF!</v>
      </c>
      <c r="U30" s="327" t="e">
        <f>AVERAGEIFS(#REF!,#REF!,#REF!,#REF!,"开户转化率")</f>
        <v>#REF!</v>
      </c>
      <c r="V30" s="327" t="e">
        <f>AVERAGEIFS(#REF!,#REF!,#REF!,#REF!,"开户转化率")</f>
        <v>#REF!</v>
      </c>
      <c r="W30" s="327" t="e">
        <f>AVERAGEIFS(#REF!,#REF!,#REF!,#REF!,"开户转化率")</f>
        <v>#REF!</v>
      </c>
      <c r="X30" s="327" t="e">
        <f>AVERAGEIFS(#REF!,#REF!,#REF!,#REF!,"开户转化率")</f>
        <v>#REF!</v>
      </c>
      <c r="Y30" s="327" t="e">
        <f>AVERAGEIFS(#REF!,#REF!,#REF!,#REF!,"开户转化率")</f>
        <v>#REF!</v>
      </c>
      <c r="Z30" s="327" t="e">
        <f>AVERAGEIFS(#REF!,#REF!,#REF!,#REF!,"开户转化率")</f>
        <v>#REF!</v>
      </c>
      <c r="AA30" s="327" t="e">
        <f>AVERAGEIFS(#REF!,#REF!,#REF!,#REF!,"开户转化率")</f>
        <v>#REF!</v>
      </c>
      <c r="AB30" s="327" t="e">
        <f>AVERAGEIFS(#REF!,#REF!,#REF!,#REF!,"开户转化率")</f>
        <v>#REF!</v>
      </c>
      <c r="AC30" s="327" t="e">
        <f>AVERAGEIFS(#REF!,#REF!,#REF!,#REF!,"开户转化率")</f>
        <v>#REF!</v>
      </c>
      <c r="AD30" s="327" t="e">
        <f>AVERAGEIFS(#REF!,#REF!,#REF!,#REF!,"开户转化率")</f>
        <v>#REF!</v>
      </c>
      <c r="AE30" s="327" t="e">
        <f>AVERAGEIFS(#REF!,#REF!,#REF!,#REF!,"开户转化率")</f>
        <v>#REF!</v>
      </c>
    </row>
    <row r="31" spans="1:31">
      <c r="A31" s="240" t="s">
        <v>69</v>
      </c>
      <c r="B31" s="47" t="s">
        <v>55</v>
      </c>
      <c r="C31" s="12">
        <f>C33/C32</f>
        <v>0.824175824175824</v>
      </c>
      <c r="D31" s="241">
        <f t="shared" ref="D31:O31" si="15">D33/D32</f>
        <v>0.739130434782609</v>
      </c>
      <c r="E31" s="241">
        <f t="shared" si="15"/>
        <v>0.882352941176471</v>
      </c>
      <c r="F31" s="241">
        <f t="shared" si="15"/>
        <v>0.8</v>
      </c>
      <c r="G31" s="241">
        <f t="shared" si="15"/>
        <v>1</v>
      </c>
      <c r="H31" s="241">
        <f t="shared" si="15"/>
        <v>0.8</v>
      </c>
      <c r="I31" s="241">
        <f t="shared" si="15"/>
        <v>0.869565217391304</v>
      </c>
      <c r="J31" s="241">
        <f t="shared" si="15"/>
        <v>0.791666666666667</v>
      </c>
      <c r="K31" s="241">
        <f t="shared" si="15"/>
        <v>0.78125</v>
      </c>
      <c r="L31" s="241">
        <f t="shared" si="15"/>
        <v>0.882352941176471</v>
      </c>
      <c r="M31" s="241">
        <f t="shared" si="15"/>
        <v>0.666666666666667</v>
      </c>
      <c r="N31" s="241">
        <f t="shared" si="15"/>
        <v>1.03225806451613</v>
      </c>
      <c r="O31" s="252">
        <f t="shared" si="15"/>
        <v>0.789473684210526</v>
      </c>
      <c r="Q31" s="325" t="s">
        <v>69</v>
      </c>
      <c r="R31" s="325" t="s">
        <v>56</v>
      </c>
      <c r="S31" s="12" t="e">
        <f>AVERAGE(T31:AE31)</f>
        <v>#REF!</v>
      </c>
      <c r="T31" s="327" t="e">
        <f>AVERAGEIFS(#REF!,#REF!,#REF!,#REF!,"接收率")</f>
        <v>#REF!</v>
      </c>
      <c r="U31" s="327" t="e">
        <f>AVERAGEIFS(#REF!,#REF!,#REF!,#REF!,"接收率")</f>
        <v>#REF!</v>
      </c>
      <c r="V31" s="327" t="e">
        <f>AVERAGEIFS(#REF!,#REF!,#REF!,#REF!,"接收率")</f>
        <v>#REF!</v>
      </c>
      <c r="W31" s="327" t="e">
        <f>AVERAGEIFS(#REF!,#REF!,#REF!,#REF!,"接收率")</f>
        <v>#REF!</v>
      </c>
      <c r="X31" s="327" t="e">
        <f>AVERAGEIFS(#REF!,#REF!,#REF!,#REF!,"接收率")</f>
        <v>#REF!</v>
      </c>
      <c r="Y31" s="327" t="e">
        <f>AVERAGEIFS(#REF!,#REF!,#REF!,#REF!,"接收率")</f>
        <v>#REF!</v>
      </c>
      <c r="Z31" s="327" t="e">
        <f>AVERAGEIFS(#REF!,#REF!,#REF!,#REF!,"接收率")</f>
        <v>#REF!</v>
      </c>
      <c r="AA31" s="327" t="e">
        <f>AVERAGEIFS(#REF!,#REF!,#REF!,#REF!,"接收率")</f>
        <v>#REF!</v>
      </c>
      <c r="AB31" s="327" t="e">
        <f>AVERAGEIFS(#REF!,#REF!,#REF!,#REF!,"接收率")</f>
        <v>#REF!</v>
      </c>
      <c r="AC31" s="327" t="e">
        <f>AVERAGEIFS(#REF!,#REF!,#REF!,#REF!,"接收率")</f>
        <v>#REF!</v>
      </c>
      <c r="AD31" s="327" t="e">
        <f>AVERAGEIFS(#REF!,#REF!,#REF!,#REF!,"接收率")</f>
        <v>#REF!</v>
      </c>
      <c r="AE31" s="327" t="e">
        <f>AVERAGEIFS(#REF!,#REF!,#REF!,#REF!,"接收率")</f>
        <v>#REF!</v>
      </c>
    </row>
    <row r="32" spans="1:31">
      <c r="A32" s="242" t="s">
        <v>69</v>
      </c>
      <c r="B32" s="43" t="s">
        <v>57</v>
      </c>
      <c r="C32" s="15">
        <f>SUM(D32:O32)</f>
        <v>273</v>
      </c>
      <c r="D32" s="243">
        <f>SUMIFS([1]趋势分析!$F:$F,[1]趋势分析!$A:$A,"mulu.com",[1]趋势分析!$C:$C,"00")+SUMIFS([1]趋势分析!$F:$F,[1]趋势分析!$A:$A,"mulu.com",[1]趋势分析!$C:$C,"01")</f>
        <v>23</v>
      </c>
      <c r="E32" s="243">
        <f>SUMIFS([1]趋势分析!$F:$F,[1]趋势分析!$A:$A,"mulu.com",[1]趋势分析!$C:$C,"02")+SUMIFS([1]趋势分析!$F:$F,[1]趋势分析!$A:$A,"mulu.com",[1]趋势分析!$C:$C,"03")</f>
        <v>17</v>
      </c>
      <c r="F32" s="243">
        <f>SUMIFS([1]趋势分析!$F:$F,[1]趋势分析!$A:$A,"mulu.com",[1]趋势分析!$C:$C,"04")+SUMIFS([1]趋势分析!$F:$F,[1]趋势分析!$A:$A,"mulu.com",[1]趋势分析!$C:$C,"05")</f>
        <v>10</v>
      </c>
      <c r="G32" s="243">
        <f>SUMIFS([1]趋势分析!$F:$F,[1]趋势分析!$A:$A,"mulu.com",[1]趋势分析!$C:$C,"06")+SUMIFS([1]趋势分析!$F:$F,[1]趋势分析!$A:$A,"mulu.com",[1]趋势分析!$C:$C,"07")</f>
        <v>8</v>
      </c>
      <c r="H32" s="243">
        <f>SUMIFS([1]趋势分析!$F:$F,[1]趋势分析!$A:$A,"mulu.com",[1]趋势分析!$C:$C,"08")+SUMIFS([1]趋势分析!$F:$F,[1]趋势分析!$A:$A,"mulu.com",[1]趋势分析!$C:$C,"09")</f>
        <v>20</v>
      </c>
      <c r="I32" s="243">
        <f>SUMIFS([1]趋势分析!$F:$F,[1]趋势分析!$A:$A,"mulu.com",[1]趋势分析!$C:$C,"10")+SUMIFS([1]趋势分析!$F:$F,[1]趋势分析!$A:$A,"mulu.com",[1]趋势分析!$C:$C,"11")</f>
        <v>23</v>
      </c>
      <c r="J32" s="243">
        <f>SUMIFS([1]趋势分析!$F:$F,[1]趋势分析!$A:$A,"mulu.com",[1]趋势分析!$C:$C,"12")+SUMIFS([1]趋势分析!$F:$F,[1]趋势分析!$A:$A,"mulu.com",[1]趋势分析!$C:$C,"13")</f>
        <v>24</v>
      </c>
      <c r="K32" s="243">
        <f>SUMIFS([1]趋势分析!$F:$F,[1]趋势分析!$A:$A,"mulu.com",[1]趋势分析!$C:$C,"14")+SUMIFS([1]趋势分析!$F:$F,[1]趋势分析!$A:$A,"mulu.com",[1]趋势分析!$C:$C,"15")</f>
        <v>32</v>
      </c>
      <c r="L32" s="243">
        <f>SUMIFS([1]趋势分析!$F:$F,[1]趋势分析!$A:$A,"mulu.com",[1]趋势分析!$C:$C,"16")+SUMIFS([1]趋势分析!$F:$F,[1]趋势分析!$A:$A,"mulu.com",[1]趋势分析!$C:$C,"17")</f>
        <v>17</v>
      </c>
      <c r="M32" s="243">
        <f>SUMIFS([1]趋势分析!$F:$F,[1]趋势分析!$A:$A,"mulu.com",[1]趋势分析!$C:$C,"18")+SUMIFS([1]趋势分析!$F:$F,[1]趋势分析!$A:$A,"mulu.com",[1]趋势分析!$C:$C,"19")</f>
        <v>30</v>
      </c>
      <c r="N32" s="243">
        <f>SUMIFS([1]趋势分析!$F:$F,[1]趋势分析!$A:$A,"mulu.com",[1]趋势分析!$C:$C,"20")+SUMIFS([1]趋势分析!$F:$F,[1]趋势分析!$A:$A,"mulu.com",[1]趋势分析!$C:$C,"21")</f>
        <v>31</v>
      </c>
      <c r="O32" s="253">
        <f>SUMIFS([1]趋势分析!$F:$F,[1]趋势分析!$A:$A,"mulu.com",[1]趋势分析!$C:$C,"22")+SUMIFS([1]趋势分析!$F:$F,[1]趋势分析!$A:$A,"mulu.com",[1]趋势分析!$C:$C,"23")</f>
        <v>38</v>
      </c>
      <c r="Q32" s="325" t="s">
        <v>69</v>
      </c>
      <c r="R32" s="326" t="s">
        <v>58</v>
      </c>
      <c r="S32" s="15" t="e">
        <f>SUM(T32:AE32)</f>
        <v>#REF!</v>
      </c>
      <c r="T32" s="325" t="e">
        <f>AVERAGEIFS(#REF!,#REF!,#REF!,#REF!,"发送IP数")</f>
        <v>#REF!</v>
      </c>
      <c r="U32" s="325" t="e">
        <f>AVERAGEIFS(#REF!,#REF!,#REF!,#REF!,"发送IP数")</f>
        <v>#REF!</v>
      </c>
      <c r="V32" s="325" t="e">
        <f>AVERAGEIFS(#REF!,#REF!,#REF!,#REF!,"发送IP数")</f>
        <v>#REF!</v>
      </c>
      <c r="W32" s="325" t="e">
        <f>AVERAGEIFS(#REF!,#REF!,#REF!,#REF!,"发送IP数")</f>
        <v>#REF!</v>
      </c>
      <c r="X32" s="325" t="e">
        <f>AVERAGEIFS(#REF!,#REF!,#REF!,#REF!,"发送IP数")</f>
        <v>#REF!</v>
      </c>
      <c r="Y32" s="325" t="e">
        <f>AVERAGEIFS(#REF!,#REF!,#REF!,#REF!,"发送IP数")</f>
        <v>#REF!</v>
      </c>
      <c r="Z32" s="325" t="e">
        <f>AVERAGEIFS(#REF!,#REF!,#REF!,#REF!,"发送IP数")</f>
        <v>#REF!</v>
      </c>
      <c r="AA32" s="325" t="e">
        <f>AVERAGEIFS(#REF!,#REF!,#REF!,#REF!,"发送IP数")</f>
        <v>#REF!</v>
      </c>
      <c r="AB32" s="325" t="e">
        <f>AVERAGEIFS(#REF!,#REF!,#REF!,#REF!,"发送IP数")</f>
        <v>#REF!</v>
      </c>
      <c r="AC32" s="325" t="e">
        <f>AVERAGEIFS(#REF!,#REF!,#REF!,#REF!,"发送IP数")</f>
        <v>#REF!</v>
      </c>
      <c r="AD32" s="325" t="e">
        <f>AVERAGEIFS(#REF!,#REF!,#REF!,#REF!,"发送IP数")</f>
        <v>#REF!</v>
      </c>
      <c r="AE32" s="325" t="e">
        <f>AVERAGEIFS(#REF!,#REF!,#REF!,#REF!,"发送IP数")</f>
        <v>#REF!</v>
      </c>
    </row>
    <row r="33" spans="1:31">
      <c r="A33" s="240" t="s">
        <v>69</v>
      </c>
      <c r="B33" s="47" t="s">
        <v>59</v>
      </c>
      <c r="C33" s="15">
        <f>SUM(D33:O33)</f>
        <v>225</v>
      </c>
      <c r="D33" s="243">
        <f>SUMIFS([1]趋势分析!$F:$F,[1]趋势分析!$A:$A,"max.bty",[1]趋势分析!$C:$C,"00")+SUMIFS([1]趋势分析!$F:$F,[1]趋势分析!$A:$A,"max.bty",[1]趋势分析!$C:$C,"01")</f>
        <v>17</v>
      </c>
      <c r="E33" s="243">
        <f>SUMIFS([1]趋势分析!$F:$F,[1]趋势分析!$A:$A,"max.bty",[1]趋势分析!$C:$C,"02")+SUMIFS([1]趋势分析!$F:$F,[1]趋势分析!$A:$A,"max.bty",[1]趋势分析!$C:$C,"03")</f>
        <v>15</v>
      </c>
      <c r="F33" s="243">
        <f>SUMIFS([1]趋势分析!$F:$F,[1]趋势分析!$A:$A,"max.bty",[1]趋势分析!$C:$C,"04")+SUMIFS([1]趋势分析!$F:$F,[1]趋势分析!$A:$A,"max.bty",[1]趋势分析!$C:$C,"05")</f>
        <v>8</v>
      </c>
      <c r="G33" s="243">
        <f>SUMIFS([1]趋势分析!$F:$F,[1]趋势分析!$A:$A,"max.bty",[1]趋势分析!$C:$C,"06")+SUMIFS([1]趋势分析!$F:$F,[1]趋势分析!$A:$A,"max.bty",[1]趋势分析!$C:$C,"07")</f>
        <v>8</v>
      </c>
      <c r="H33" s="243">
        <f>SUMIFS([1]趋势分析!$F:$F,[1]趋势分析!$A:$A,"max.bty",[1]趋势分析!$C:$C,"08")+SUMIFS([1]趋势分析!$F:$F,[1]趋势分析!$A:$A,"max.bty",[1]趋势分析!$C:$C,"09")</f>
        <v>16</v>
      </c>
      <c r="I33" s="243">
        <f>SUMIFS([1]趋势分析!$F:$F,[1]趋势分析!$A:$A,"max.bty",[1]趋势分析!$C:$C,"10")+SUMIFS([1]趋势分析!$F:$F,[1]趋势分析!$A:$A,"max.bty",[1]趋势分析!$C:$C,"11")</f>
        <v>20</v>
      </c>
      <c r="J33" s="243">
        <f>SUMIFS([1]趋势分析!$F:$F,[1]趋势分析!$A:$A,"max.bty",[1]趋势分析!$C:$C,"12")+SUMIFS([1]趋势分析!$F:$F,[1]趋势分析!$A:$A,"max.bty",[1]趋势分析!$C:$C,"13")</f>
        <v>19</v>
      </c>
      <c r="K33" s="243">
        <f>SUMIFS([1]趋势分析!$F:$F,[1]趋势分析!$A:$A,"max.bty",[1]趋势分析!$C:$C,"14")+SUMIFS([1]趋势分析!$F:$F,[1]趋势分析!$A:$A,"max.bty",[1]趋势分析!$C:$C,"15")</f>
        <v>25</v>
      </c>
      <c r="L33" s="243">
        <f>SUMIFS([1]趋势分析!$F:$F,[1]趋势分析!$A:$A,"max.bty",[1]趋势分析!$C:$C,"16")+SUMIFS([1]趋势分析!$F:$F,[1]趋势分析!$A:$A,"max.bty",[1]趋势分析!$C:$C,"17")</f>
        <v>15</v>
      </c>
      <c r="M33" s="243">
        <f>SUMIFS([1]趋势分析!$F:$F,[1]趋势分析!$A:$A,"max.bty",[1]趋势分析!$C:$C,"18")+SUMIFS([1]趋势分析!$F:$F,[1]趋势分析!$A:$A,"max.bty",[1]趋势分析!$C:$C,"19")</f>
        <v>20</v>
      </c>
      <c r="N33" s="243">
        <f>SUMIFS([1]趋势分析!$F:$F,[1]趋势分析!$A:$A,"max.bty",[1]趋势分析!$C:$C,"20")+SUMIFS([1]趋势分析!$F:$F,[1]趋势分析!$A:$A,"max.bty",[1]趋势分析!$C:$C,"21")</f>
        <v>32</v>
      </c>
      <c r="O33" s="253">
        <f>SUMIFS([1]趋势分析!$F:$F,[1]趋势分析!$A:$A,"max.bty",[1]趋势分析!$C:$C,"22")+SUMIFS([1]趋势分析!$F:$F,[1]趋势分析!$A:$A,"max.bty",[1]趋势分析!$C:$C,"23")</f>
        <v>30</v>
      </c>
      <c r="Q33" s="325" t="s">
        <v>69</v>
      </c>
      <c r="R33" s="326" t="s">
        <v>60</v>
      </c>
      <c r="S33" s="15" t="e">
        <f>SUM(T33:AE33)</f>
        <v>#REF!</v>
      </c>
      <c r="T33" s="325" t="e">
        <f>AVERAGEIFS(#REF!,#REF!,#REF!,#REF!,"接收IP数")</f>
        <v>#REF!</v>
      </c>
      <c r="U33" s="325" t="e">
        <f>AVERAGEIFS(#REF!,#REF!,#REF!,#REF!,"接收IP数")</f>
        <v>#REF!</v>
      </c>
      <c r="V33" s="325" t="e">
        <f>AVERAGEIFS(#REF!,#REF!,#REF!,#REF!,"接收IP数")</f>
        <v>#REF!</v>
      </c>
      <c r="W33" s="325" t="e">
        <f>AVERAGEIFS(#REF!,#REF!,#REF!,#REF!,"接收IP数")</f>
        <v>#REF!</v>
      </c>
      <c r="X33" s="325" t="e">
        <f>AVERAGEIFS(#REF!,#REF!,#REF!,#REF!,"接收IP数")</f>
        <v>#REF!</v>
      </c>
      <c r="Y33" s="325" t="e">
        <f>AVERAGEIFS(#REF!,#REF!,#REF!,#REF!,"接收IP数")</f>
        <v>#REF!</v>
      </c>
      <c r="Z33" s="325" t="e">
        <f>AVERAGEIFS(#REF!,#REF!,#REF!,#REF!,"接收IP数")</f>
        <v>#REF!</v>
      </c>
      <c r="AA33" s="325" t="e">
        <f>AVERAGEIFS(#REF!,#REF!,#REF!,#REF!,"接收IP数")</f>
        <v>#REF!</v>
      </c>
      <c r="AB33" s="325" t="e">
        <f>AVERAGEIFS(#REF!,#REF!,#REF!,#REF!,"接收IP数")</f>
        <v>#REF!</v>
      </c>
      <c r="AC33" s="325" t="e">
        <f>AVERAGEIFS(#REF!,#REF!,#REF!,#REF!,"接收IP数")</f>
        <v>#REF!</v>
      </c>
      <c r="AD33" s="325" t="e">
        <f>AVERAGEIFS(#REF!,#REF!,#REF!,#REF!,"接收IP数")</f>
        <v>#REF!</v>
      </c>
      <c r="AE33" s="325" t="e">
        <f>AVERAGEIFS(#REF!,#REF!,#REF!,#REF!,"接收IP数")</f>
        <v>#REF!</v>
      </c>
    </row>
    <row r="34" spans="1:31">
      <c r="A34" s="242" t="s">
        <v>69</v>
      </c>
      <c r="B34" s="43" t="s">
        <v>4</v>
      </c>
      <c r="C34" s="15">
        <f>SUM(D34:O34)</f>
        <v>6</v>
      </c>
      <c r="D34" s="244">
        <f>COUNTIFS(bty注册!$X:$X,"max",bty注册!$AA:$AA,"0")+COUNTIFS(bty注册!$X:$X,"max",bty注册!$AA:$AA,"1")</f>
        <v>0</v>
      </c>
      <c r="E34" s="244">
        <f>COUNTIFS(bty注册!$X:$X,"max",bty注册!$AA:$AA,"2")+COUNTIFS(bty注册!$X:$X,"max",bty注册!$AA:$AA,"3")</f>
        <v>0</v>
      </c>
      <c r="F34" s="244">
        <f>COUNTIFS(bty注册!$X:$X,"max",bty注册!$AA:$AA,"4")+COUNTIFS(bty注册!$X:$X,"max",bty注册!$AA:$AA,"5")</f>
        <v>0</v>
      </c>
      <c r="G34" s="244">
        <f>COUNTIFS(bty注册!$X:$X,"max",bty注册!$AA:$AA,"6")+COUNTIFS(bty注册!$X:$X,"max",bty注册!$AA:$AA,"7")</f>
        <v>0</v>
      </c>
      <c r="H34" s="244">
        <f>COUNTIFS(bty注册!$X:$X,"max",bty注册!$AA:$AA,"8")+COUNTIFS(bty注册!$X:$X,"max",bty注册!$AA:$AA,"9")</f>
        <v>0</v>
      </c>
      <c r="I34" s="244">
        <f>COUNTIFS(bty注册!$X:$X,"max",bty注册!$AA:$AA,"10")+COUNTIFS(bty注册!$X:$X,"max",bty注册!$AA:$AA,"11")</f>
        <v>1</v>
      </c>
      <c r="J34" s="244">
        <f>COUNTIFS(bty注册!$X:$X,"max",bty注册!$AA:$AA,"12")+COUNTIFS(bty注册!$X:$X,"max",bty注册!$AA:$AA,"13")</f>
        <v>0</v>
      </c>
      <c r="K34" s="244">
        <f>COUNTIFS(bty注册!$X:$X,"max",bty注册!$AA:$AA,"14")+COUNTIFS(bty注册!$X:$X,"max",bty注册!$AA:$AA,"15")</f>
        <v>1</v>
      </c>
      <c r="L34" s="244">
        <f>COUNTIFS(bty注册!$X:$X,"max",bty注册!$AA:$AA,"16")+COUNTIFS(bty注册!$X:$X,"max",bty注册!$AA:$AA,"17")</f>
        <v>2</v>
      </c>
      <c r="M34" s="244">
        <f>COUNTIFS(bty注册!$X:$X,"max",bty注册!$AA:$AA,"18")+COUNTIFS(bty注册!$X:$X,"max",bty注册!$AA:$AA,"19")</f>
        <v>0</v>
      </c>
      <c r="N34" s="244">
        <f>COUNTIFS(bty注册!$X:$X,"max",bty注册!$AA:$AA,"20")+COUNTIFS(bty注册!$X:$X,"max",bty注册!$AA:$AA,"21")</f>
        <v>0</v>
      </c>
      <c r="O34" s="254">
        <f>COUNTIFS(bty注册!$X:$X,"max",bty注册!$AA:$AA,"22")+COUNTIFS(bty注册!$X:$X,"max",bty注册!$AA:$AA,"23")</f>
        <v>2</v>
      </c>
      <c r="Q34" s="325" t="s">
        <v>69</v>
      </c>
      <c r="R34" s="325" t="s">
        <v>61</v>
      </c>
      <c r="S34" s="15" t="e">
        <f>SUM(T34:AE34)</f>
        <v>#REF!</v>
      </c>
      <c r="T34" s="325" t="e">
        <f>AVERAGEIFS(#REF!,#REF!,#REF!,#REF!,"注册")</f>
        <v>#REF!</v>
      </c>
      <c r="U34" s="325" t="e">
        <f>AVERAGEIFS(#REF!,#REF!,#REF!,#REF!,"注册")</f>
        <v>#REF!</v>
      </c>
      <c r="V34" s="325" t="e">
        <f>AVERAGEIFS(#REF!,#REF!,#REF!,#REF!,"注册")</f>
        <v>#REF!</v>
      </c>
      <c r="W34" s="325" t="e">
        <f>AVERAGEIFS(#REF!,#REF!,#REF!,#REF!,"注册")</f>
        <v>#REF!</v>
      </c>
      <c r="X34" s="325" t="e">
        <f>AVERAGEIFS(#REF!,#REF!,#REF!,#REF!,"注册")</f>
        <v>#REF!</v>
      </c>
      <c r="Y34" s="325" t="e">
        <f>AVERAGEIFS(#REF!,#REF!,#REF!,#REF!,"注册")</f>
        <v>#REF!</v>
      </c>
      <c r="Z34" s="325" t="e">
        <f>AVERAGEIFS(#REF!,#REF!,#REF!,#REF!,"注册")</f>
        <v>#REF!</v>
      </c>
      <c r="AA34" s="325" t="e">
        <f>AVERAGEIFS(#REF!,#REF!,#REF!,#REF!,"注册")</f>
        <v>#REF!</v>
      </c>
      <c r="AB34" s="325" t="e">
        <f>AVERAGEIFS(#REF!,#REF!,#REF!,#REF!,"注册")</f>
        <v>#REF!</v>
      </c>
      <c r="AC34" s="325" t="e">
        <f>AVERAGEIFS(#REF!,#REF!,#REF!,#REF!,"注册")</f>
        <v>#REF!</v>
      </c>
      <c r="AD34" s="325" t="e">
        <f>AVERAGEIFS(#REF!,#REF!,#REF!,#REF!,"注册")</f>
        <v>#REF!</v>
      </c>
      <c r="AE34" s="325" t="e">
        <f>AVERAGEIFS(#REF!,#REF!,#REF!,#REF!,"注册")</f>
        <v>#REF!</v>
      </c>
    </row>
    <row r="35" spans="1:31">
      <c r="A35" s="240" t="s">
        <v>69</v>
      </c>
      <c r="B35" s="47" t="s">
        <v>5</v>
      </c>
      <c r="C35" s="12">
        <f>C34/C33</f>
        <v>0.0266666666666667</v>
      </c>
      <c r="D35" s="241">
        <f t="shared" ref="D35:O35" si="16">IFERROR(D34/D33,0)</f>
        <v>0</v>
      </c>
      <c r="E35" s="241">
        <f t="shared" si="16"/>
        <v>0</v>
      </c>
      <c r="F35" s="241">
        <f t="shared" si="16"/>
        <v>0</v>
      </c>
      <c r="G35" s="241">
        <f t="shared" si="16"/>
        <v>0</v>
      </c>
      <c r="H35" s="241">
        <f t="shared" si="16"/>
        <v>0</v>
      </c>
      <c r="I35" s="241">
        <f t="shared" si="16"/>
        <v>0.05</v>
      </c>
      <c r="J35" s="241">
        <f t="shared" si="16"/>
        <v>0</v>
      </c>
      <c r="K35" s="241">
        <f t="shared" si="16"/>
        <v>0.04</v>
      </c>
      <c r="L35" s="241">
        <f t="shared" si="16"/>
        <v>0.133333333333333</v>
      </c>
      <c r="M35" s="241">
        <f t="shared" si="16"/>
        <v>0</v>
      </c>
      <c r="N35" s="241">
        <f t="shared" si="16"/>
        <v>0</v>
      </c>
      <c r="O35" s="252">
        <f t="shared" si="16"/>
        <v>0.0666666666666667</v>
      </c>
      <c r="Q35" s="325" t="s">
        <v>69</v>
      </c>
      <c r="R35" s="326" t="s">
        <v>62</v>
      </c>
      <c r="S35" s="12" t="e">
        <f>AVERAGE(T35:AE35)</f>
        <v>#REF!</v>
      </c>
      <c r="T35" s="327" t="e">
        <f>AVERAGEIFS(#REF!,#REF!,#REF!,#REF!,"注册率")</f>
        <v>#REF!</v>
      </c>
      <c r="U35" s="327" t="e">
        <f>AVERAGEIFS(#REF!,#REF!,#REF!,#REF!,"注册率")</f>
        <v>#REF!</v>
      </c>
      <c r="V35" s="327" t="e">
        <f>AVERAGEIFS(#REF!,#REF!,#REF!,#REF!,"注册率")</f>
        <v>#REF!</v>
      </c>
      <c r="W35" s="327" t="e">
        <f>AVERAGEIFS(#REF!,#REF!,#REF!,#REF!,"注册率")</f>
        <v>#REF!</v>
      </c>
      <c r="X35" s="327" t="e">
        <f>AVERAGEIFS(#REF!,#REF!,#REF!,#REF!,"注册率")</f>
        <v>#REF!</v>
      </c>
      <c r="Y35" s="327" t="e">
        <f>AVERAGEIFS(#REF!,#REF!,#REF!,#REF!,"注册率")</f>
        <v>#REF!</v>
      </c>
      <c r="Z35" s="327" t="e">
        <f>AVERAGEIFS(#REF!,#REF!,#REF!,#REF!,"注册率")</f>
        <v>#REF!</v>
      </c>
      <c r="AA35" s="327" t="e">
        <f>AVERAGEIFS(#REF!,#REF!,#REF!,#REF!,"注册率")</f>
        <v>#REF!</v>
      </c>
      <c r="AB35" s="327" t="e">
        <f>AVERAGEIFS(#REF!,#REF!,#REF!,#REF!,"注册率")</f>
        <v>#REF!</v>
      </c>
      <c r="AC35" s="327" t="e">
        <f>AVERAGEIFS(#REF!,#REF!,#REF!,#REF!,"注册率")</f>
        <v>#REF!</v>
      </c>
      <c r="AD35" s="327" t="e">
        <f>AVERAGEIFS(#REF!,#REF!,#REF!,#REF!,"注册率")</f>
        <v>#REF!</v>
      </c>
      <c r="AE35" s="327" t="e">
        <f>AVERAGEIFS(#REF!,#REF!,#REF!,#REF!,"注册率")</f>
        <v>#REF!</v>
      </c>
    </row>
    <row r="36" spans="1:31">
      <c r="A36" s="242" t="s">
        <v>69</v>
      </c>
      <c r="B36" s="43" t="s">
        <v>6</v>
      </c>
      <c r="C36" s="15">
        <f>SUM(D36:O36)</f>
        <v>0</v>
      </c>
      <c r="D36" s="244">
        <f>COUNTIFS(bty首充!$H:$H,"max",bty首充!$J:$J,"0")+COUNTIFS(bty首充!$H:$H,"max",bty首充!$J:$J,"1")</f>
        <v>0</v>
      </c>
      <c r="E36" s="244">
        <f>COUNTIFS(bty首充!$H:$H,"max",bty首充!$J:$J,"2")+COUNTIFS(bty首充!$H:$H,"max",bty首充!$J:$J,"3")</f>
        <v>0</v>
      </c>
      <c r="F36" s="244">
        <f>COUNTIFS(bty首充!$H:$H,"max",bty首充!$J:$J,"4")+COUNTIFS(bty首充!$H:$H,"max",bty首充!$J:$J,"5")</f>
        <v>0</v>
      </c>
      <c r="G36" s="244">
        <f>COUNTIFS(bty首充!$H:$H,"max",bty首充!$J:$J,"6")+COUNTIFS(bty首充!$H:$H,"max",bty首充!$J:$J,"7")</f>
        <v>0</v>
      </c>
      <c r="H36" s="244">
        <f>COUNTIFS(bty首充!$H:$H,"max",bty首充!$J:$J,"8")+COUNTIFS(bty首充!$H:$H,"max",bty首充!$J:$J,"9")</f>
        <v>0</v>
      </c>
      <c r="I36" s="244">
        <f>COUNTIFS(bty首充!$H:$H,"max",bty首充!$J:$J,"10")+COUNTIFS(bty首充!$H:$H,"max",bty首充!$J:$J,"11")</f>
        <v>0</v>
      </c>
      <c r="J36" s="244">
        <f>COUNTIFS(bty首充!$H:$H,"max",bty首充!$J:$J,"12")+COUNTIFS(bty首充!$H:$H,"max",bty首充!$J:$J,"13")</f>
        <v>0</v>
      </c>
      <c r="K36" s="244">
        <f>COUNTIFS(bty首充!$H:$H,"max",bty首充!$J:$J,"14")+COUNTIFS(bty首充!$H:$H,"max",bty首充!$J:$J,"15")</f>
        <v>0</v>
      </c>
      <c r="L36" s="244">
        <f>COUNTIFS(bty首充!$H:$H,"max",bty首充!$J:$J,"16")+COUNTIFS(bty首充!$H:$H,"max",bty首充!$J:$J,"17")</f>
        <v>0</v>
      </c>
      <c r="M36" s="244">
        <f>COUNTIFS(bty首充!$H:$H,"max",bty首充!$J:$J,"18")+COUNTIFS(bty首充!$H:$H,"max",bty首充!$J:$J,"19")</f>
        <v>0</v>
      </c>
      <c r="N36" s="244">
        <f>COUNTIFS(bty首充!$H:$H,"max",bty首充!$J:$J,"20")+COUNTIFS(bty首充!$H:$H,"max",bty首充!$J:$J,"21")</f>
        <v>0</v>
      </c>
      <c r="O36" s="254">
        <f>COUNTIFS(bty首充!$H:$H,"max",bty首充!$J:$J,"22")+COUNTIFS(bty首充!$H:$H,"max",bty首充!$J:$J,"23")</f>
        <v>0</v>
      </c>
      <c r="Q36" s="325" t="s">
        <v>69</v>
      </c>
      <c r="R36" s="325" t="s">
        <v>63</v>
      </c>
      <c r="S36" s="15" t="e">
        <f>SUM(T36:AE36)</f>
        <v>#REF!</v>
      </c>
      <c r="T36" s="325" t="e">
        <f>AVERAGEIFS(#REF!,#REF!,#REF!,#REF!,"开户")</f>
        <v>#REF!</v>
      </c>
      <c r="U36" s="325" t="e">
        <f>AVERAGEIFS(#REF!,#REF!,#REF!,#REF!,"开户")</f>
        <v>#REF!</v>
      </c>
      <c r="V36" s="325" t="e">
        <f>AVERAGEIFS(#REF!,#REF!,#REF!,#REF!,"开户")</f>
        <v>#REF!</v>
      </c>
      <c r="W36" s="325" t="e">
        <f>AVERAGEIFS(#REF!,#REF!,#REF!,#REF!,"开户")</f>
        <v>#REF!</v>
      </c>
      <c r="X36" s="325" t="e">
        <f>AVERAGEIFS(#REF!,#REF!,#REF!,#REF!,"开户")</f>
        <v>#REF!</v>
      </c>
      <c r="Y36" s="325" t="e">
        <f>AVERAGEIFS(#REF!,#REF!,#REF!,#REF!,"开户")</f>
        <v>#REF!</v>
      </c>
      <c r="Z36" s="325" t="e">
        <f>AVERAGEIFS(#REF!,#REF!,#REF!,#REF!,"开户")</f>
        <v>#REF!</v>
      </c>
      <c r="AA36" s="325" t="e">
        <f>AVERAGEIFS(#REF!,#REF!,#REF!,#REF!,"开户")</f>
        <v>#REF!</v>
      </c>
      <c r="AB36" s="325" t="e">
        <f>AVERAGEIFS(#REF!,#REF!,#REF!,#REF!,"开户")</f>
        <v>#REF!</v>
      </c>
      <c r="AC36" s="325" t="e">
        <f>AVERAGEIFS(#REF!,#REF!,#REF!,#REF!,"开户")</f>
        <v>#REF!</v>
      </c>
      <c r="AD36" s="325" t="e">
        <f>AVERAGEIFS(#REF!,#REF!,#REF!,#REF!,"开户")</f>
        <v>#REF!</v>
      </c>
      <c r="AE36" s="325" t="e">
        <f>AVERAGEIFS(#REF!,#REF!,#REF!,#REF!,"开户")</f>
        <v>#REF!</v>
      </c>
    </row>
    <row r="37" ht="14.25" spans="1:31">
      <c r="A37" s="245" t="s">
        <v>69</v>
      </c>
      <c r="B37" s="52" t="s">
        <v>64</v>
      </c>
      <c r="C37" s="19">
        <f>C36/C34</f>
        <v>0</v>
      </c>
      <c r="D37" s="246">
        <f t="shared" ref="D37:O37" si="17">IFERROR(D36/D34,0)</f>
        <v>0</v>
      </c>
      <c r="E37" s="246">
        <f t="shared" si="17"/>
        <v>0</v>
      </c>
      <c r="F37" s="246">
        <f t="shared" si="17"/>
        <v>0</v>
      </c>
      <c r="G37" s="246">
        <f t="shared" si="17"/>
        <v>0</v>
      </c>
      <c r="H37" s="246">
        <f t="shared" si="17"/>
        <v>0</v>
      </c>
      <c r="I37" s="246">
        <f t="shared" si="17"/>
        <v>0</v>
      </c>
      <c r="J37" s="246">
        <f t="shared" si="17"/>
        <v>0</v>
      </c>
      <c r="K37" s="246">
        <f t="shared" si="17"/>
        <v>0</v>
      </c>
      <c r="L37" s="246">
        <f t="shared" si="17"/>
        <v>0</v>
      </c>
      <c r="M37" s="246">
        <f t="shared" si="17"/>
        <v>0</v>
      </c>
      <c r="N37" s="246">
        <f t="shared" si="17"/>
        <v>0</v>
      </c>
      <c r="O37" s="255">
        <f t="shared" si="17"/>
        <v>0</v>
      </c>
      <c r="Q37" s="325" t="s">
        <v>69</v>
      </c>
      <c r="R37" s="326" t="s">
        <v>65</v>
      </c>
      <c r="S37" s="12" t="e">
        <f>AVERAGE(T37:AE37)</f>
        <v>#REF!</v>
      </c>
      <c r="T37" s="327" t="e">
        <f>AVERAGEIFS(#REF!,#REF!,#REF!,#REF!,"开户转化率")</f>
        <v>#REF!</v>
      </c>
      <c r="U37" s="327" t="e">
        <f>AVERAGEIFS(#REF!,#REF!,#REF!,#REF!,"开户转化率")</f>
        <v>#REF!</v>
      </c>
      <c r="V37" s="327" t="e">
        <f>AVERAGEIFS(#REF!,#REF!,#REF!,#REF!,"开户转化率")</f>
        <v>#REF!</v>
      </c>
      <c r="W37" s="327" t="e">
        <f>AVERAGEIFS(#REF!,#REF!,#REF!,#REF!,"开户转化率")</f>
        <v>#REF!</v>
      </c>
      <c r="X37" s="327" t="e">
        <f>AVERAGEIFS(#REF!,#REF!,#REF!,#REF!,"开户转化率")</f>
        <v>#REF!</v>
      </c>
      <c r="Y37" s="327" t="e">
        <f>AVERAGEIFS(#REF!,#REF!,#REF!,#REF!,"开户转化率")</f>
        <v>#REF!</v>
      </c>
      <c r="Z37" s="327" t="e">
        <f>AVERAGEIFS(#REF!,#REF!,#REF!,#REF!,"开户转化率")</f>
        <v>#REF!</v>
      </c>
      <c r="AA37" s="327" t="e">
        <f>AVERAGEIFS(#REF!,#REF!,#REF!,#REF!,"开户转化率")</f>
        <v>#REF!</v>
      </c>
      <c r="AB37" s="327" t="e">
        <f>AVERAGEIFS(#REF!,#REF!,#REF!,#REF!,"开户转化率")</f>
        <v>#REF!</v>
      </c>
      <c r="AC37" s="327" t="e">
        <f>AVERAGEIFS(#REF!,#REF!,#REF!,#REF!,"开户转化率")</f>
        <v>#REF!</v>
      </c>
      <c r="AD37" s="327" t="e">
        <f>AVERAGEIFS(#REF!,#REF!,#REF!,#REF!,"开户转化率")</f>
        <v>#REF!</v>
      </c>
      <c r="AE37" s="327" t="e">
        <f>AVERAGEIFS(#REF!,#REF!,#REF!,#REF!,"开户转化率")</f>
        <v>#REF!</v>
      </c>
    </row>
    <row r="38" spans="1:31">
      <c r="A38" s="240" t="s">
        <v>70</v>
      </c>
      <c r="B38" s="47" t="s">
        <v>55</v>
      </c>
      <c r="C38" s="12">
        <f>C40/C39</f>
        <v>0</v>
      </c>
      <c r="D38" s="241">
        <f>D40/D39</f>
        <v>0</v>
      </c>
      <c r="E38" s="241">
        <f t="shared" ref="E38:O38" si="18">E40/E39</f>
        <v>0</v>
      </c>
      <c r="F38" s="241">
        <f t="shared" si="18"/>
        <v>0</v>
      </c>
      <c r="G38" s="241">
        <f t="shared" si="18"/>
        <v>0</v>
      </c>
      <c r="H38" s="241">
        <f t="shared" si="18"/>
        <v>0</v>
      </c>
      <c r="I38" s="241">
        <f t="shared" si="18"/>
        <v>0</v>
      </c>
      <c r="J38" s="241">
        <f t="shared" si="18"/>
        <v>0</v>
      </c>
      <c r="K38" s="241">
        <f t="shared" si="18"/>
        <v>0</v>
      </c>
      <c r="L38" s="241">
        <f t="shared" si="18"/>
        <v>0</v>
      </c>
      <c r="M38" s="241">
        <f t="shared" si="18"/>
        <v>0</v>
      </c>
      <c r="N38" s="241">
        <f t="shared" si="18"/>
        <v>0</v>
      </c>
      <c r="O38" s="252">
        <f t="shared" si="18"/>
        <v>0</v>
      </c>
      <c r="Q38" s="328" t="s">
        <v>70</v>
      </c>
      <c r="R38" s="325" t="s">
        <v>56</v>
      </c>
      <c r="S38" s="12" t="e">
        <f>AVERAGE(T38:AE38)</f>
        <v>#REF!</v>
      </c>
      <c r="T38" s="325" t="e">
        <f>AVERAGEIFS(#REF!,#REF!,#REF!,#REF!,"接收率")</f>
        <v>#REF!</v>
      </c>
      <c r="U38" s="325" t="e">
        <f>AVERAGEIFS(#REF!,#REF!,#REF!,#REF!,"接收率")</f>
        <v>#REF!</v>
      </c>
      <c r="V38" s="325" t="e">
        <f>AVERAGEIFS(#REF!,#REF!,#REF!,#REF!,"接收率")</f>
        <v>#REF!</v>
      </c>
      <c r="W38" s="325" t="e">
        <f>AVERAGEIFS(#REF!,#REF!,#REF!,#REF!,"接收率")</f>
        <v>#REF!</v>
      </c>
      <c r="X38" s="325" t="e">
        <f>AVERAGEIFS(#REF!,#REF!,#REF!,#REF!,"接收率")</f>
        <v>#REF!</v>
      </c>
      <c r="Y38" s="325" t="e">
        <f>AVERAGEIFS(#REF!,#REF!,#REF!,#REF!,"接收率")</f>
        <v>#REF!</v>
      </c>
      <c r="Z38" s="325" t="e">
        <f>AVERAGEIFS(#REF!,#REF!,#REF!,#REF!,"接收率")</f>
        <v>#REF!</v>
      </c>
      <c r="AA38" s="325" t="e">
        <f>AVERAGEIFS(#REF!,#REF!,#REF!,#REF!,"接收率")</f>
        <v>#REF!</v>
      </c>
      <c r="AB38" s="325" t="e">
        <f>AVERAGEIFS(#REF!,#REF!,#REF!,#REF!,"接收率")</f>
        <v>#REF!</v>
      </c>
      <c r="AC38" s="325" t="e">
        <f>AVERAGEIFS(#REF!,#REF!,#REF!,#REF!,"接收率")</f>
        <v>#REF!</v>
      </c>
      <c r="AD38" s="325" t="e">
        <f>AVERAGEIFS(#REF!,#REF!,#REF!,#REF!,"接收率")</f>
        <v>#REF!</v>
      </c>
      <c r="AE38" s="325" t="e">
        <f>AVERAGEIFS(#REF!,#REF!,#REF!,#REF!,"接收率")</f>
        <v>#REF!</v>
      </c>
    </row>
    <row r="39" spans="1:31">
      <c r="A39" s="242" t="s">
        <v>70</v>
      </c>
      <c r="B39" s="43" t="s">
        <v>57</v>
      </c>
      <c r="C39" s="15">
        <f>SUM(D39:O39)</f>
        <v>103</v>
      </c>
      <c r="D39" s="243">
        <f>SUMIFS([1]趋势分析!$F:$F,[1]趋势分析!$A:$A,"hugo.com",[1]趋势分析!$C:$C,"00")+SUMIFS([1]趋势分析!$F:$F,[1]趋势分析!$A:$A,"hugo.com",[1]趋势分析!$C:$C,"01")</f>
        <v>13</v>
      </c>
      <c r="E39" s="243">
        <f>SUMIFS([1]趋势分析!$F:$F,[1]趋势分析!$A:$A,"hugo.com",[1]趋势分析!$C:$C,"02")+SUMIFS([1]趋势分析!$F:$F,[1]趋势分析!$A:$A,"hugo.com",[1]趋势分析!$C:$C,"03")</f>
        <v>5</v>
      </c>
      <c r="F39" s="243">
        <f>SUMIFS([1]趋势分析!$F:$F,[1]趋势分析!$A:$A,"hugo.com",[1]趋势分析!$C:$C,"04")+SUMIFS([1]趋势分析!$F:$F,[1]趋势分析!$A:$A,"hugo.com",[1]趋势分析!$C:$C,"05")</f>
        <v>3</v>
      </c>
      <c r="G39" s="243">
        <f>SUMIFS([1]趋势分析!$F:$F,[1]趋势分析!$A:$A,"hugo.com",[1]趋势分析!$C:$C,"06")+SUMIFS([1]趋势分析!$F:$F,[1]趋势分析!$A:$A,"hugo.com",[1]趋势分析!$C:$C,"07")</f>
        <v>4</v>
      </c>
      <c r="H39" s="243">
        <f>SUMIFS([1]趋势分析!$F:$F,[1]趋势分析!$A:$A,"hugo.com",[1]趋势分析!$C:$C,"08")+SUMIFS([1]趋势分析!$F:$F,[1]趋势分析!$A:$A,"hugo.com",[1]趋势分析!$C:$C,"09")</f>
        <v>7</v>
      </c>
      <c r="I39" s="243">
        <f>SUMIFS([1]趋势分析!$F:$F,[1]趋势分析!$A:$A,"hugo.com",[1]趋势分析!$C:$C,"10")+SUMIFS([1]趋势分析!$F:$F,[1]趋势分析!$A:$A,"hugo.com",[1]趋势分析!$C:$C,"11")</f>
        <v>9</v>
      </c>
      <c r="J39" s="243">
        <f>SUMIFS([1]趋势分析!$F:$F,[1]趋势分析!$A:$A,"hugo.com",[1]趋势分析!$C:$C,"12")+SUMIFS([1]趋势分析!$F:$F,[1]趋势分析!$A:$A,"hugo.com",[1]趋势分析!$C:$C,"13")</f>
        <v>7</v>
      </c>
      <c r="K39" s="243">
        <f>SUMIFS([1]趋势分析!$F:$F,[1]趋势分析!$A:$A,"hugo.com",[1]趋势分析!$C:$C,"14")+SUMIFS([1]趋势分析!$F:$F,[1]趋势分析!$A:$A,"hugo.com",[1]趋势分析!$C:$C,"15")</f>
        <v>11</v>
      </c>
      <c r="L39" s="243">
        <f>SUMIFS([1]趋势分析!$F:$F,[1]趋势分析!$A:$A,"hugo.com",[1]趋势分析!$C:$C,"16")+SUMIFS([1]趋势分析!$F:$F,[1]趋势分析!$A:$A,"hugo.com",[1]趋势分析!$C:$C,"17")</f>
        <v>12</v>
      </c>
      <c r="M39" s="243">
        <f>SUMIFS([1]趋势分析!$F:$F,[1]趋势分析!$A:$A,"hugo.com",[1]趋势分析!$C:$C,"18")+SUMIFS([1]趋势分析!$F:$F,[1]趋势分析!$A:$A,"hugo.com",[1]趋势分析!$C:$C,"19")</f>
        <v>9</v>
      </c>
      <c r="N39" s="243">
        <f>SUMIFS([1]趋势分析!$F:$F,[1]趋势分析!$A:$A,"hugo.com",[1]趋势分析!$C:$C,"20")+SUMIFS([1]趋势分析!$F:$F,[1]趋势分析!$A:$A,"hugo.com",[1]趋势分析!$C:$C,"21")</f>
        <v>11</v>
      </c>
      <c r="O39" s="253">
        <f>SUMIFS([1]趋势分析!$F:$F,[1]趋势分析!$A:$A,"hugo.com",[1]趋势分析!$C:$C,"22")+SUMIFS([1]趋势分析!$F:$F,[1]趋势分析!$A:$A,"hugo.com",[1]趋势分析!$C:$C,"23")</f>
        <v>12</v>
      </c>
      <c r="Q39" s="328" t="s">
        <v>70</v>
      </c>
      <c r="R39" s="326" t="s">
        <v>58</v>
      </c>
      <c r="S39" s="15" t="e">
        <f>SUM(T39:AE39)</f>
        <v>#REF!</v>
      </c>
      <c r="T39" s="325" t="e">
        <f>AVERAGEIFS(#REF!,#REF!,#REF!,#REF!,"发送IP数")</f>
        <v>#REF!</v>
      </c>
      <c r="U39" s="325" t="e">
        <f>AVERAGEIFS(#REF!,#REF!,#REF!,#REF!,"发送IP数")</f>
        <v>#REF!</v>
      </c>
      <c r="V39" s="325" t="e">
        <f>AVERAGEIFS(#REF!,#REF!,#REF!,#REF!,"发送IP数")</f>
        <v>#REF!</v>
      </c>
      <c r="W39" s="325" t="e">
        <f>AVERAGEIFS(#REF!,#REF!,#REF!,#REF!,"发送IP数")</f>
        <v>#REF!</v>
      </c>
      <c r="X39" s="325" t="e">
        <f>AVERAGEIFS(#REF!,#REF!,#REF!,#REF!,"发送IP数")</f>
        <v>#REF!</v>
      </c>
      <c r="Y39" s="325" t="e">
        <f>AVERAGEIFS(#REF!,#REF!,#REF!,#REF!,"发送IP数")</f>
        <v>#REF!</v>
      </c>
      <c r="Z39" s="325" t="e">
        <f>AVERAGEIFS(#REF!,#REF!,#REF!,#REF!,"发送IP数")</f>
        <v>#REF!</v>
      </c>
      <c r="AA39" s="325" t="e">
        <f>AVERAGEIFS(#REF!,#REF!,#REF!,#REF!,"发送IP数")</f>
        <v>#REF!</v>
      </c>
      <c r="AB39" s="325" t="e">
        <f>AVERAGEIFS(#REF!,#REF!,#REF!,#REF!,"发送IP数")</f>
        <v>#REF!</v>
      </c>
      <c r="AC39" s="325" t="e">
        <f>AVERAGEIFS(#REF!,#REF!,#REF!,#REF!,"发送IP数")</f>
        <v>#REF!</v>
      </c>
      <c r="AD39" s="325" t="e">
        <f>AVERAGEIFS(#REF!,#REF!,#REF!,#REF!,"发送IP数")</f>
        <v>#REF!</v>
      </c>
      <c r="AE39" s="325" t="e">
        <f>AVERAGEIFS(#REF!,#REF!,#REF!,#REF!,"发送IP数")</f>
        <v>#REF!</v>
      </c>
    </row>
    <row r="40" spans="1:31">
      <c r="A40" s="240" t="s">
        <v>70</v>
      </c>
      <c r="B40" s="47" t="s">
        <v>59</v>
      </c>
      <c r="C40" s="15">
        <f>SUM(D40:O40)</f>
        <v>0</v>
      </c>
      <c r="D40" s="243">
        <f>SUMIFS([1]趋势分析!$F:$F,[1]趋势分析!$A:$A,"hugo.bty",[1]趋势分析!$C:$C,"00")+SUMIFS([1]趋势分析!$F:$F,[1]趋势分析!$A:$A,"hugo.bty",[1]趋势分析!$C:$C,"01")</f>
        <v>0</v>
      </c>
      <c r="E40" s="243">
        <f>SUMIFS([1]趋势分析!$F:$F,[1]趋势分析!$A:$A,"hugo.bty",[1]趋势分析!$C:$C,"02")+SUMIFS([1]趋势分析!$F:$F,[1]趋势分析!$A:$A,"hugo.bty",[1]趋势分析!$C:$C,"03")</f>
        <v>0</v>
      </c>
      <c r="F40" s="243">
        <f>SUMIFS([1]趋势分析!$F:$F,[1]趋势分析!$A:$A,"hugo.bty",[1]趋势分析!$C:$C,"04")+SUMIFS([1]趋势分析!$F:$F,[1]趋势分析!$A:$A,"hugo.bty",[1]趋势分析!$C:$C,"05")</f>
        <v>0</v>
      </c>
      <c r="G40" s="243">
        <f>SUMIFS([1]趋势分析!$F:$F,[1]趋势分析!$A:$A,"hugo.bty",[1]趋势分析!$C:$C,"06")+SUMIFS([1]趋势分析!$F:$F,[1]趋势分析!$A:$A,"hugo.bty",[1]趋势分析!$C:$C,"07")</f>
        <v>0</v>
      </c>
      <c r="H40" s="243">
        <f>SUMIFS([1]趋势分析!$F:$F,[1]趋势分析!$A:$A,"hugo.bty",[1]趋势分析!$C:$C,"08")+SUMIFS([1]趋势分析!$F:$F,[1]趋势分析!$A:$A,"hugo.bty",[1]趋势分析!$C:$C,"09")</f>
        <v>0</v>
      </c>
      <c r="I40" s="243">
        <f>SUMIFS([1]趋势分析!$F:$F,[1]趋势分析!$A:$A,"hugo.bty",[1]趋势分析!$C:$C,"10")+SUMIFS([1]趋势分析!$F:$F,[1]趋势分析!$A:$A,"hugo.bty",[1]趋势分析!$C:$C,"11")</f>
        <v>0</v>
      </c>
      <c r="J40" s="243">
        <f>SUMIFS([1]趋势分析!$F:$F,[1]趋势分析!$A:$A,"hugo.bty",[1]趋势分析!$C:$C,"12")+SUMIFS([1]趋势分析!$F:$F,[1]趋势分析!$A:$A,"hugo.bty",[1]趋势分析!$C:$C,"13")</f>
        <v>0</v>
      </c>
      <c r="K40" s="243">
        <f>SUMIFS([1]趋势分析!$F:$F,[1]趋势分析!$A:$A,"hugo.bty",[1]趋势分析!$C:$C,"14")+SUMIFS([1]趋势分析!$F:$F,[1]趋势分析!$A:$A,"hugo.bty",[1]趋势分析!$C:$C,"15")</f>
        <v>0</v>
      </c>
      <c r="L40" s="243">
        <f>SUMIFS([1]趋势分析!$F:$F,[1]趋势分析!$A:$A,"hugo.bty",[1]趋势分析!$C:$C,"16")+SUMIFS([1]趋势分析!$F:$F,[1]趋势分析!$A:$A,"hugo.bty",[1]趋势分析!$C:$C,"17")</f>
        <v>0</v>
      </c>
      <c r="M40" s="243">
        <f>SUMIFS([1]趋势分析!$F:$F,[1]趋势分析!$A:$A,"hugo.bty",[1]趋势分析!$C:$C,"18")+SUMIFS([1]趋势分析!$F:$F,[1]趋势分析!$A:$A,"hugo.bty",[1]趋势分析!$C:$C,"19")</f>
        <v>0</v>
      </c>
      <c r="N40" s="243">
        <f>SUMIFS([1]趋势分析!$F:$F,[1]趋势分析!$A:$A,"hugo.bty",[1]趋势分析!$C:$C,"20")+SUMIFS([1]趋势分析!$F:$F,[1]趋势分析!$A:$A,"hugo.bty",[1]趋势分析!$C:$C,"21")</f>
        <v>0</v>
      </c>
      <c r="O40" s="253">
        <f>SUMIFS([1]趋势分析!$F:$F,[1]趋势分析!$A:$A,"hugo.bty",[1]趋势分析!$C:$C,"22")+SUMIFS([1]趋势分析!$F:$F,[1]趋势分析!$A:$A,"hugo.bty",[1]趋势分析!$C:$C,"23")</f>
        <v>0</v>
      </c>
      <c r="Q40" s="328" t="s">
        <v>70</v>
      </c>
      <c r="R40" s="326" t="s">
        <v>60</v>
      </c>
      <c r="S40" s="15" t="e">
        <f>SUM(T40:AE40)</f>
        <v>#REF!</v>
      </c>
      <c r="T40" s="325" t="e">
        <f>AVERAGEIFS(#REF!,#REF!,#REF!,#REF!,"接收IP数")</f>
        <v>#REF!</v>
      </c>
      <c r="U40" s="325" t="e">
        <f>AVERAGEIFS(#REF!,#REF!,#REF!,#REF!,"接收IP数")</f>
        <v>#REF!</v>
      </c>
      <c r="V40" s="325" t="e">
        <f>AVERAGEIFS(#REF!,#REF!,#REF!,#REF!,"接收IP数")</f>
        <v>#REF!</v>
      </c>
      <c r="W40" s="325" t="e">
        <f>AVERAGEIFS(#REF!,#REF!,#REF!,#REF!,"接收IP数")</f>
        <v>#REF!</v>
      </c>
      <c r="X40" s="325" t="e">
        <f>AVERAGEIFS(#REF!,#REF!,#REF!,#REF!,"接收IP数")</f>
        <v>#REF!</v>
      </c>
      <c r="Y40" s="325" t="e">
        <f>AVERAGEIFS(#REF!,#REF!,#REF!,#REF!,"接收IP数")</f>
        <v>#REF!</v>
      </c>
      <c r="Z40" s="325" t="e">
        <f>AVERAGEIFS(#REF!,#REF!,#REF!,#REF!,"接收IP数")</f>
        <v>#REF!</v>
      </c>
      <c r="AA40" s="325" t="e">
        <f>AVERAGEIFS(#REF!,#REF!,#REF!,#REF!,"接收IP数")</f>
        <v>#REF!</v>
      </c>
      <c r="AB40" s="325" t="e">
        <f>AVERAGEIFS(#REF!,#REF!,#REF!,#REF!,"接收IP数")</f>
        <v>#REF!</v>
      </c>
      <c r="AC40" s="325" t="e">
        <f>AVERAGEIFS(#REF!,#REF!,#REF!,#REF!,"接收IP数")</f>
        <v>#REF!</v>
      </c>
      <c r="AD40" s="325" t="e">
        <f>AVERAGEIFS(#REF!,#REF!,#REF!,#REF!,"接收IP数")</f>
        <v>#REF!</v>
      </c>
      <c r="AE40" s="325" t="e">
        <f>AVERAGEIFS(#REF!,#REF!,#REF!,#REF!,"接收IP数")</f>
        <v>#REF!</v>
      </c>
    </row>
    <row r="41" spans="1:31">
      <c r="A41" s="242" t="s">
        <v>70</v>
      </c>
      <c r="B41" s="43" t="s">
        <v>4</v>
      </c>
      <c r="C41" s="15">
        <f>SUM(D41:O41)</f>
        <v>14</v>
      </c>
      <c r="D41" s="244">
        <f>COUNTIFS(bty注册!$X:$X,"hugo",bty注册!$AA:$AA,"0")+COUNTIFS(bty注册!$X:$X,"hugo",bty注册!$AA:$AA,"1")</f>
        <v>3</v>
      </c>
      <c r="E41" s="244">
        <f>COUNTIFS(bty注册!$X:$X,"hugo",bty注册!$AA:$AA,"2")+COUNTIFS(bty注册!$X:$X,"hugo",bty注册!$AA:$AA,"3")</f>
        <v>1</v>
      </c>
      <c r="F41" s="244">
        <f>COUNTIFS(bty注册!$X:$X,"hugo",bty注册!$AA:$AA,"4")+COUNTIFS(bty注册!$X:$X,"hugo",bty注册!$AA:$AA,"5")</f>
        <v>0</v>
      </c>
      <c r="G41" s="244">
        <f>COUNTIFS(bty注册!$X:$X,"hugo",bty注册!$AA:$AA,"6")+COUNTIFS(bty注册!$X:$X,"hugo",bty注册!$AA:$AA,"7")</f>
        <v>0</v>
      </c>
      <c r="H41" s="244">
        <f>COUNTIFS(bty注册!$X:$X,"hugo",bty注册!$AA:$AA,"8")+COUNTIFS(bty注册!$X:$X,"hugo",bty注册!$AA:$AA,"9")</f>
        <v>1</v>
      </c>
      <c r="I41" s="244">
        <f>COUNTIFS(bty注册!$X:$X,"hugo",bty注册!$AA:$AA,"10")+COUNTIFS(bty注册!$X:$X,"hugo",bty注册!$AA:$AA,"11")</f>
        <v>0</v>
      </c>
      <c r="J41" s="244">
        <f>COUNTIFS(bty注册!$X:$X,"hugo",bty注册!$AA:$AA,"12")+COUNTIFS(bty注册!$X:$X,"hugo",bty注册!$AA:$AA,"13")</f>
        <v>2</v>
      </c>
      <c r="K41" s="244">
        <f>COUNTIFS(bty注册!$X:$X,"hugo",bty注册!$AA:$AA,"14")+COUNTIFS(bty注册!$X:$X,"hugo",bty注册!$AA:$AA,"15")</f>
        <v>2</v>
      </c>
      <c r="L41" s="244">
        <f>COUNTIFS(bty注册!$X:$X,"hugo",bty注册!$AA:$AA,"16")+COUNTIFS(bty注册!$X:$X,"hugo",bty注册!$AA:$AA,"17")</f>
        <v>0</v>
      </c>
      <c r="M41" s="244">
        <f>COUNTIFS(bty注册!$X:$X,"hugo",bty注册!$AA:$AA,"18")+COUNTIFS(bty注册!$X:$X,"hugo",bty注册!$AA:$AA,"19")</f>
        <v>3</v>
      </c>
      <c r="N41" s="244">
        <f>COUNTIFS(bty注册!$X:$X,"hugo",bty注册!$AA:$AA,"20")+COUNTIFS(bty注册!$X:$X,"hugo",bty注册!$AA:$AA,"21")</f>
        <v>0</v>
      </c>
      <c r="O41" s="254">
        <f>COUNTIFS(bty注册!$X:$X,"hugo",bty注册!$AA:$AA,"22")+COUNTIFS(bty注册!$X:$X,"hugo",bty注册!$AA:$AA,"23")</f>
        <v>2</v>
      </c>
      <c r="Q41" s="328" t="s">
        <v>70</v>
      </c>
      <c r="R41" s="325" t="s">
        <v>61</v>
      </c>
      <c r="S41" s="15" t="e">
        <f>SUM(T41:AE41)</f>
        <v>#REF!</v>
      </c>
      <c r="T41" s="325" t="e">
        <f>AVERAGEIFS(#REF!,#REF!,#REF!,#REF!,"注册")</f>
        <v>#REF!</v>
      </c>
      <c r="U41" s="325" t="e">
        <f>AVERAGEIFS(#REF!,#REF!,#REF!,#REF!,"注册")</f>
        <v>#REF!</v>
      </c>
      <c r="V41" s="325" t="e">
        <f>AVERAGEIFS(#REF!,#REF!,#REF!,#REF!,"注册")</f>
        <v>#REF!</v>
      </c>
      <c r="W41" s="325" t="e">
        <f>AVERAGEIFS(#REF!,#REF!,#REF!,#REF!,"注册")</f>
        <v>#REF!</v>
      </c>
      <c r="X41" s="325" t="e">
        <f>AVERAGEIFS(#REF!,#REF!,#REF!,#REF!,"注册")</f>
        <v>#REF!</v>
      </c>
      <c r="Y41" s="325" t="e">
        <f>AVERAGEIFS(#REF!,#REF!,#REF!,#REF!,"注册")</f>
        <v>#REF!</v>
      </c>
      <c r="Z41" s="325" t="e">
        <f>AVERAGEIFS(#REF!,#REF!,#REF!,#REF!,"注册")</f>
        <v>#REF!</v>
      </c>
      <c r="AA41" s="325" t="e">
        <f>AVERAGEIFS(#REF!,#REF!,#REF!,#REF!,"注册")</f>
        <v>#REF!</v>
      </c>
      <c r="AB41" s="325" t="e">
        <f>AVERAGEIFS(#REF!,#REF!,#REF!,#REF!,"注册")</f>
        <v>#REF!</v>
      </c>
      <c r="AC41" s="325" t="e">
        <f>AVERAGEIFS(#REF!,#REF!,#REF!,#REF!,"注册")</f>
        <v>#REF!</v>
      </c>
      <c r="AD41" s="325" t="e">
        <f>AVERAGEIFS(#REF!,#REF!,#REF!,#REF!,"注册")</f>
        <v>#REF!</v>
      </c>
      <c r="AE41" s="325" t="e">
        <f>AVERAGEIFS(#REF!,#REF!,#REF!,#REF!,"注册")</f>
        <v>#REF!</v>
      </c>
    </row>
    <row r="42" spans="1:31">
      <c r="A42" s="240" t="s">
        <v>70</v>
      </c>
      <c r="B42" s="47" t="s">
        <v>5</v>
      </c>
      <c r="C42" s="12" t="e">
        <f>C41/C40</f>
        <v>#DIV/0!</v>
      </c>
      <c r="D42" s="241">
        <f t="shared" ref="D42:O42" si="19">IFERROR(D41/D40,0)</f>
        <v>0</v>
      </c>
      <c r="E42" s="241">
        <f t="shared" si="19"/>
        <v>0</v>
      </c>
      <c r="F42" s="241">
        <f t="shared" si="19"/>
        <v>0</v>
      </c>
      <c r="G42" s="241">
        <f t="shared" si="19"/>
        <v>0</v>
      </c>
      <c r="H42" s="241">
        <f t="shared" si="19"/>
        <v>0</v>
      </c>
      <c r="I42" s="241">
        <f t="shared" si="19"/>
        <v>0</v>
      </c>
      <c r="J42" s="241">
        <f t="shared" si="19"/>
        <v>0</v>
      </c>
      <c r="K42" s="241">
        <f t="shared" si="19"/>
        <v>0</v>
      </c>
      <c r="L42" s="241">
        <f t="shared" si="19"/>
        <v>0</v>
      </c>
      <c r="M42" s="241">
        <f t="shared" si="19"/>
        <v>0</v>
      </c>
      <c r="N42" s="241">
        <f t="shared" si="19"/>
        <v>0</v>
      </c>
      <c r="O42" s="252">
        <f t="shared" si="19"/>
        <v>0</v>
      </c>
      <c r="Q42" s="328" t="s">
        <v>70</v>
      </c>
      <c r="R42" s="326" t="s">
        <v>62</v>
      </c>
      <c r="S42" s="12" t="e">
        <f>AVERAGE(T42:AE42)</f>
        <v>#REF!</v>
      </c>
      <c r="T42" s="327" t="e">
        <f>AVERAGEIFS(#REF!,#REF!,#REF!,#REF!,"注册率")</f>
        <v>#REF!</v>
      </c>
      <c r="U42" s="327" t="e">
        <f>AVERAGEIFS(#REF!,#REF!,#REF!,#REF!,"注册率")</f>
        <v>#REF!</v>
      </c>
      <c r="V42" s="327" t="e">
        <f>AVERAGEIFS(#REF!,#REF!,#REF!,#REF!,"注册率")</f>
        <v>#REF!</v>
      </c>
      <c r="W42" s="327" t="e">
        <f>AVERAGEIFS(#REF!,#REF!,#REF!,#REF!,"注册率")</f>
        <v>#REF!</v>
      </c>
      <c r="X42" s="327" t="e">
        <f>AVERAGEIFS(#REF!,#REF!,#REF!,#REF!,"注册率")</f>
        <v>#REF!</v>
      </c>
      <c r="Y42" s="327" t="e">
        <f>AVERAGEIFS(#REF!,#REF!,#REF!,#REF!,"注册率")</f>
        <v>#REF!</v>
      </c>
      <c r="Z42" s="327" t="e">
        <f>AVERAGEIFS(#REF!,#REF!,#REF!,#REF!,"注册率")</f>
        <v>#REF!</v>
      </c>
      <c r="AA42" s="327" t="e">
        <f>AVERAGEIFS(#REF!,#REF!,#REF!,#REF!,"注册率")</f>
        <v>#REF!</v>
      </c>
      <c r="AB42" s="327" t="e">
        <f>AVERAGEIFS(#REF!,#REF!,#REF!,#REF!,"注册率")</f>
        <v>#REF!</v>
      </c>
      <c r="AC42" s="327" t="e">
        <f>AVERAGEIFS(#REF!,#REF!,#REF!,#REF!,"注册率")</f>
        <v>#REF!</v>
      </c>
      <c r="AD42" s="327" t="e">
        <f>AVERAGEIFS(#REF!,#REF!,#REF!,#REF!,"注册率")</f>
        <v>#REF!</v>
      </c>
      <c r="AE42" s="327" t="e">
        <f>AVERAGEIFS(#REF!,#REF!,#REF!,#REF!,"注册率")</f>
        <v>#REF!</v>
      </c>
    </row>
    <row r="43" spans="1:31">
      <c r="A43" s="242" t="s">
        <v>70</v>
      </c>
      <c r="B43" s="43" t="s">
        <v>6</v>
      </c>
      <c r="C43" s="15">
        <f>SUM(D43:O43)</f>
        <v>5</v>
      </c>
      <c r="D43" s="244">
        <f>COUNTIFS(bty首充!$H:$H,"hugo",bty首充!$J:$J,"0")+COUNTIFS(bty首充!$H:$H,"hugo",bty首充!$J:$J,"1")</f>
        <v>1</v>
      </c>
      <c r="E43" s="244">
        <f>COUNTIFS(bty首充!$H:$H,"hugo",bty首充!$J:$J,"2")+COUNTIFS(bty首充!$H:$H,"hugo",bty首充!$J:$J,"3")</f>
        <v>0</v>
      </c>
      <c r="F43" s="244">
        <f>COUNTIFS(bty首充!$H:$H,"hugo",bty首充!$J:$J,"4")+COUNTIFS(bty首充!$H:$H,"hugo",bty首充!$J:$J,"5")</f>
        <v>0</v>
      </c>
      <c r="G43" s="244">
        <f>COUNTIFS(bty首充!$H:$H,"hugo",bty首充!$J:$J,"6")+COUNTIFS(bty首充!$H:$H,"hugo",bty首充!$J:$J,"7")</f>
        <v>0</v>
      </c>
      <c r="H43" s="244">
        <f>COUNTIFS(bty首充!$H:$H,"hugo",bty首充!$J:$J,"8")+COUNTIFS(bty首充!$H:$H,"hugo",bty首充!$J:$J,"9")</f>
        <v>0</v>
      </c>
      <c r="I43" s="244">
        <f>COUNTIFS(bty首充!$H:$H,"hugo",bty首充!$J:$J,"10")+COUNTIFS(bty首充!$H:$H,"hugo",bty首充!$J:$J,"11")</f>
        <v>0</v>
      </c>
      <c r="J43" s="244">
        <f>COUNTIFS(bty首充!$H:$H,"hugo",bty首充!$J:$J,"12")+COUNTIFS(bty首充!$H:$H,"hugo",bty首充!$J:$J,"13")</f>
        <v>1</v>
      </c>
      <c r="K43" s="244">
        <f>COUNTIFS(bty首充!$H:$H,"hugo",bty首充!$J:$J,"14")+COUNTIFS(bty首充!$H:$H,"hugo",bty首充!$J:$J,"15")</f>
        <v>1</v>
      </c>
      <c r="L43" s="244">
        <f>COUNTIFS(bty首充!$H:$H,"hugo",bty首充!$J:$J,"16")+COUNTIFS(bty首充!$H:$H,"hugo",bty首充!$J:$J,"17")</f>
        <v>0</v>
      </c>
      <c r="M43" s="244">
        <f>COUNTIFS(bty首充!$H:$H,"hugo",bty首充!$J:$J,"18")+COUNTIFS(bty首充!$H:$H,"hugo",bty首充!$J:$J,"19")</f>
        <v>1</v>
      </c>
      <c r="N43" s="244">
        <f>COUNTIFS(bty首充!$H:$H,"hugo",bty首充!$J:$J,"20")+COUNTIFS(bty首充!$H:$H,"hugo",bty首充!$J:$J,"21")</f>
        <v>0</v>
      </c>
      <c r="O43" s="254">
        <f>COUNTIFS(bty首充!$H:$H,"hugo",bty首充!$J:$J,"22")+COUNTIFS(bty首充!$H:$H,"hugo",bty首充!$J:$J,"23")</f>
        <v>1</v>
      </c>
      <c r="Q43" s="328" t="s">
        <v>70</v>
      </c>
      <c r="R43" s="325" t="s">
        <v>63</v>
      </c>
      <c r="S43" s="15" t="e">
        <f>SUM(T43:AE43)</f>
        <v>#REF!</v>
      </c>
      <c r="T43" s="325" t="e">
        <f>AVERAGEIFS(#REF!,#REF!,#REF!,#REF!,"开户")</f>
        <v>#REF!</v>
      </c>
      <c r="U43" s="325" t="e">
        <f>AVERAGEIFS(#REF!,#REF!,#REF!,#REF!,"开户")</f>
        <v>#REF!</v>
      </c>
      <c r="V43" s="325" t="e">
        <f>AVERAGEIFS(#REF!,#REF!,#REF!,#REF!,"开户")</f>
        <v>#REF!</v>
      </c>
      <c r="W43" s="325" t="e">
        <f>AVERAGEIFS(#REF!,#REF!,#REF!,#REF!,"开户")</f>
        <v>#REF!</v>
      </c>
      <c r="X43" s="325" t="e">
        <f>AVERAGEIFS(#REF!,#REF!,#REF!,#REF!,"开户")</f>
        <v>#REF!</v>
      </c>
      <c r="Y43" s="325" t="e">
        <f>AVERAGEIFS(#REF!,#REF!,#REF!,#REF!,"开户")</f>
        <v>#REF!</v>
      </c>
      <c r="Z43" s="325" t="e">
        <f>AVERAGEIFS(#REF!,#REF!,#REF!,#REF!,"开户")</f>
        <v>#REF!</v>
      </c>
      <c r="AA43" s="325" t="e">
        <f>AVERAGEIFS(#REF!,#REF!,#REF!,#REF!,"开户")</f>
        <v>#REF!</v>
      </c>
      <c r="AB43" s="325" t="e">
        <f>AVERAGEIFS(#REF!,#REF!,#REF!,#REF!,"开户")</f>
        <v>#REF!</v>
      </c>
      <c r="AC43" s="325" t="e">
        <f>AVERAGEIFS(#REF!,#REF!,#REF!,#REF!,"开户")</f>
        <v>#REF!</v>
      </c>
      <c r="AD43" s="325" t="e">
        <f>AVERAGEIFS(#REF!,#REF!,#REF!,#REF!,"开户")</f>
        <v>#REF!</v>
      </c>
      <c r="AE43" s="325" t="e">
        <f>AVERAGEIFS(#REF!,#REF!,#REF!,#REF!,"开户")</f>
        <v>#REF!</v>
      </c>
    </row>
    <row r="44" ht="14.25" spans="1:31">
      <c r="A44" s="245" t="s">
        <v>70</v>
      </c>
      <c r="B44" s="52" t="s">
        <v>64</v>
      </c>
      <c r="C44" s="19">
        <f>C43/C41</f>
        <v>0.357142857142857</v>
      </c>
      <c r="D44" s="246">
        <f t="shared" ref="D44:O44" si="20">IFERROR(D43/D41,0)</f>
        <v>0.333333333333333</v>
      </c>
      <c r="E44" s="246">
        <f t="shared" si="20"/>
        <v>0</v>
      </c>
      <c r="F44" s="246">
        <f t="shared" si="20"/>
        <v>0</v>
      </c>
      <c r="G44" s="246">
        <f t="shared" si="20"/>
        <v>0</v>
      </c>
      <c r="H44" s="246">
        <f t="shared" si="20"/>
        <v>0</v>
      </c>
      <c r="I44" s="246">
        <f t="shared" si="20"/>
        <v>0</v>
      </c>
      <c r="J44" s="246">
        <f t="shared" si="20"/>
        <v>0.5</v>
      </c>
      <c r="K44" s="246">
        <f t="shared" si="20"/>
        <v>0.5</v>
      </c>
      <c r="L44" s="246">
        <f t="shared" si="20"/>
        <v>0</v>
      </c>
      <c r="M44" s="246">
        <f t="shared" si="20"/>
        <v>0.333333333333333</v>
      </c>
      <c r="N44" s="246">
        <f t="shared" si="20"/>
        <v>0</v>
      </c>
      <c r="O44" s="255">
        <f t="shared" si="20"/>
        <v>0.5</v>
      </c>
      <c r="Q44" s="328" t="s">
        <v>70</v>
      </c>
      <c r="R44" s="326" t="s">
        <v>65</v>
      </c>
      <c r="S44" s="12" t="e">
        <f>AVERAGE(T44:AE44)</f>
        <v>#REF!</v>
      </c>
      <c r="T44" s="327" t="e">
        <f>AVERAGEIFS(#REF!,#REF!,#REF!,#REF!,"开户转化率")</f>
        <v>#REF!</v>
      </c>
      <c r="U44" s="327" t="e">
        <f>AVERAGEIFS(#REF!,#REF!,#REF!,#REF!,"开户转化率")</f>
        <v>#REF!</v>
      </c>
      <c r="V44" s="327" t="e">
        <f>AVERAGEIFS(#REF!,#REF!,#REF!,#REF!,"开户转化率")</f>
        <v>#REF!</v>
      </c>
      <c r="W44" s="327" t="e">
        <f>AVERAGEIFS(#REF!,#REF!,#REF!,#REF!,"开户转化率")</f>
        <v>#REF!</v>
      </c>
      <c r="X44" s="327" t="e">
        <f>AVERAGEIFS(#REF!,#REF!,#REF!,#REF!,"开户转化率")</f>
        <v>#REF!</v>
      </c>
      <c r="Y44" s="327" t="e">
        <f>AVERAGEIFS(#REF!,#REF!,#REF!,#REF!,"开户转化率")</f>
        <v>#REF!</v>
      </c>
      <c r="Z44" s="327" t="e">
        <f>AVERAGEIFS(#REF!,#REF!,#REF!,#REF!,"开户转化率")</f>
        <v>#REF!</v>
      </c>
      <c r="AA44" s="327" t="e">
        <f>AVERAGEIFS(#REF!,#REF!,#REF!,#REF!,"开户转化率")</f>
        <v>#REF!</v>
      </c>
      <c r="AB44" s="327" t="e">
        <f>AVERAGEIFS(#REF!,#REF!,#REF!,#REF!,"开户转化率")</f>
        <v>#REF!</v>
      </c>
      <c r="AC44" s="327" t="e">
        <f>AVERAGEIFS(#REF!,#REF!,#REF!,#REF!,"开户转化率")</f>
        <v>#REF!</v>
      </c>
      <c r="AD44" s="327" t="e">
        <f>AVERAGEIFS(#REF!,#REF!,#REF!,#REF!,"开户转化率")</f>
        <v>#REF!</v>
      </c>
      <c r="AE44" s="327" t="e">
        <f>AVERAGEIFS(#REF!,#REF!,#REF!,#REF!,"开户转化率")</f>
        <v>#REF!</v>
      </c>
    </row>
    <row r="45" spans="1:31">
      <c r="A45" s="240" t="s">
        <v>26</v>
      </c>
      <c r="B45" s="47" t="s">
        <v>55</v>
      </c>
      <c r="C45" s="12">
        <f>C47/C46</f>
        <v>1.41639344262295</v>
      </c>
      <c r="D45" s="241">
        <f t="shared" ref="D45:O45" si="21">D47/D46</f>
        <v>1.69491525423729</v>
      </c>
      <c r="E45" s="241">
        <f t="shared" si="21"/>
        <v>1.66666666666667</v>
      </c>
      <c r="F45" s="241">
        <f t="shared" si="21"/>
        <v>1.58</v>
      </c>
      <c r="G45" s="241">
        <f t="shared" si="21"/>
        <v>1.4</v>
      </c>
      <c r="H45" s="241">
        <f t="shared" si="21"/>
        <v>1.62626262626263</v>
      </c>
      <c r="I45" s="241">
        <f t="shared" si="21"/>
        <v>1.35245901639344</v>
      </c>
      <c r="J45" s="241">
        <f t="shared" si="21"/>
        <v>1.23717948717949</v>
      </c>
      <c r="K45" s="241">
        <f t="shared" si="21"/>
        <v>1.36979166666667</v>
      </c>
      <c r="L45" s="241">
        <f t="shared" si="21"/>
        <v>1.33519553072626</v>
      </c>
      <c r="M45" s="241">
        <f t="shared" si="21"/>
        <v>1.37837837837838</v>
      </c>
      <c r="N45" s="241">
        <f t="shared" si="21"/>
        <v>1.38953488372093</v>
      </c>
      <c r="O45" s="252">
        <f t="shared" si="21"/>
        <v>1.3625</v>
      </c>
      <c r="Q45" s="325" t="s">
        <v>26</v>
      </c>
      <c r="R45" s="325" t="s">
        <v>56</v>
      </c>
      <c r="S45" s="12" t="e">
        <f>AVERAGE(T45:AE45)</f>
        <v>#REF!</v>
      </c>
      <c r="T45" s="325" t="e">
        <f>AVERAGEIFS(#REF!,#REF!,#REF!,#REF!,"接收率")</f>
        <v>#REF!</v>
      </c>
      <c r="U45" s="325" t="e">
        <f>AVERAGEIFS(#REF!,#REF!,#REF!,#REF!,"接收率")</f>
        <v>#REF!</v>
      </c>
      <c r="V45" s="325" t="e">
        <f>AVERAGEIFS(#REF!,#REF!,#REF!,#REF!,"接收率")</f>
        <v>#REF!</v>
      </c>
      <c r="W45" s="325" t="e">
        <f>AVERAGEIFS(#REF!,#REF!,#REF!,#REF!,"接收率")</f>
        <v>#REF!</v>
      </c>
      <c r="X45" s="325" t="e">
        <f>AVERAGEIFS(#REF!,#REF!,#REF!,#REF!,"接收率")</f>
        <v>#REF!</v>
      </c>
      <c r="Y45" s="325" t="e">
        <f>AVERAGEIFS(#REF!,#REF!,#REF!,#REF!,"接收率")</f>
        <v>#REF!</v>
      </c>
      <c r="Z45" s="325" t="e">
        <f>AVERAGEIFS(#REF!,#REF!,#REF!,#REF!,"接收率")</f>
        <v>#REF!</v>
      </c>
      <c r="AA45" s="325" t="e">
        <f>AVERAGEIFS(#REF!,#REF!,#REF!,#REF!,"接收率")</f>
        <v>#REF!</v>
      </c>
      <c r="AB45" s="325" t="e">
        <f>AVERAGEIFS(#REF!,#REF!,#REF!,#REF!,"接收率")</f>
        <v>#REF!</v>
      </c>
      <c r="AC45" s="325" t="e">
        <f>AVERAGEIFS(#REF!,#REF!,#REF!,#REF!,"接收率")</f>
        <v>#REF!</v>
      </c>
      <c r="AD45" s="325" t="e">
        <f>AVERAGEIFS(#REF!,#REF!,#REF!,#REF!,"接收率")</f>
        <v>#REF!</v>
      </c>
      <c r="AE45" s="325" t="e">
        <f>AVERAGEIFS(#REF!,#REF!,#REF!,#REF!,"接收率")</f>
        <v>#REF!</v>
      </c>
    </row>
    <row r="46" spans="1:31">
      <c r="A46" s="242" t="s">
        <v>26</v>
      </c>
      <c r="B46" s="43" t="s">
        <v>57</v>
      </c>
      <c r="C46" s="15">
        <f>SUM(D46:O46)</f>
        <v>1525</v>
      </c>
      <c r="D46" s="243">
        <f>SUMIFS([1]趋势分析!$F:$F,[1]趋势分析!$A:$A,"dk.com",[1]趋势分析!$C:$C,"00")/2+SUMIFS([1]趋势分析!$F:$F,[1]趋势分析!$A:$A,"dk.com",[1]趋势分析!$C:$C,"01")/2</f>
        <v>118</v>
      </c>
      <c r="E46" s="243">
        <f>SUMIFS([1]趋势分析!$F:$F,[1]趋势分析!$A:$A,"dk.com",[1]趋势分析!$C:$C,"02")/2+SUMIFS([1]趋势分析!$F:$F,[1]趋势分析!$A:$A,"dk.com",[1]趋势分析!$C:$C,"03")/2</f>
        <v>69</v>
      </c>
      <c r="F46" s="243">
        <f>SUMIFS([1]趋势分析!$F:$F,[1]趋势分析!$A:$A,"dk.com",[1]趋势分析!$C:$C,"04")/2+SUMIFS([1]趋势分析!$F:$F,[1]趋势分析!$A:$A,"dk.com",[1]趋势分析!$C:$C,"05")/2</f>
        <v>50</v>
      </c>
      <c r="G46" s="243">
        <f>SUMIFS([1]趋势分析!$F:$F,[1]趋势分析!$A:$A,"dk.com",[1]趋势分析!$C:$C,"06")/2+SUMIFS([1]趋势分析!$F:$F,[1]趋势分析!$A:$A,"dk.com",[1]趋势分析!$C:$C,"07")/2</f>
        <v>60</v>
      </c>
      <c r="H46" s="243">
        <f>SUMIFS([1]趋势分析!$F:$F,[1]趋势分析!$A:$A,"dk.com",[1]趋势分析!$C:$C,"08")/2+SUMIFS([1]趋势分析!$F:$F,[1]趋势分析!$A:$A,"dk.com",[1]趋势分析!$C:$C,"09")/2</f>
        <v>99</v>
      </c>
      <c r="I46" s="243">
        <f>SUMIFS([1]趋势分析!$F:$F,[1]趋势分析!$A:$A,"dk.com",[1]趋势分析!$C:$C,"10")/2+SUMIFS([1]趋势分析!$F:$F,[1]趋势分析!$A:$A,"dk.com",[1]趋势分析!$C:$C,"11")/2</f>
        <v>122</v>
      </c>
      <c r="J46" s="243">
        <f>SUMIFS([1]趋势分析!$F:$F,[1]趋势分析!$A:$A,"dk.com",[1]趋势分析!$C:$C,"12")/2+SUMIFS([1]趋势分析!$F:$F,[1]趋势分析!$A:$A,"dk.com",[1]趋势分析!$C:$C,"13")/2</f>
        <v>156</v>
      </c>
      <c r="K46" s="243">
        <f>SUMIFS([1]趋势分析!$F:$F,[1]趋势分析!$A:$A,"dk.com",[1]趋势分析!$C:$C,"14")/2+SUMIFS([1]趋势分析!$F:$F,[1]趋势分析!$A:$A,"dk.com",[1]趋势分析!$C:$C,"15")/2</f>
        <v>192</v>
      </c>
      <c r="L46" s="243">
        <f>SUMIFS([1]趋势分析!$F:$F,[1]趋势分析!$A:$A,"dk.com",[1]趋势分析!$C:$C,"16")/2+SUMIFS([1]趋势分析!$F:$F,[1]趋势分析!$A:$A,"dk.com",[1]趋势分析!$C:$C,"17")/2</f>
        <v>179</v>
      </c>
      <c r="M46" s="243">
        <f>SUMIFS([1]趋势分析!$F:$F,[1]趋势分析!$A:$A,"dk.com",[1]趋势分析!$C:$C,"18")/2+SUMIFS([1]趋势分析!$F:$F,[1]趋势分析!$A:$A,"dk.com",[1]趋势分析!$C:$C,"19")/2</f>
        <v>148</v>
      </c>
      <c r="N46" s="243">
        <f>SUMIFS([1]趋势分析!$F:$F,[1]趋势分析!$A:$A,"dk.com",[1]趋势分析!$C:$C,"20")/2+SUMIFS([1]趋势分析!$F:$F,[1]趋势分析!$A:$A,"dk.com",[1]趋势分析!$C:$C,"21")/2</f>
        <v>172</v>
      </c>
      <c r="O46" s="253">
        <f>SUMIFS([1]趋势分析!$F:$F,[1]趋势分析!$A:$A,"dk.com",[1]趋势分析!$C:$C,"22")/2+SUMIFS([1]趋势分析!$F:$F,[1]趋势分析!$A:$A,"dk.com",[1]趋势分析!$C:$C,"23")/2</f>
        <v>160</v>
      </c>
      <c r="Q46" s="325" t="s">
        <v>26</v>
      </c>
      <c r="R46" s="326" t="s">
        <v>58</v>
      </c>
      <c r="S46" s="15" t="e">
        <f>SUM(T46:AE46)</f>
        <v>#REF!</v>
      </c>
      <c r="T46" s="325" t="e">
        <f>AVERAGEIFS(#REF!,#REF!,#REF!,#REF!,"发送IP数")</f>
        <v>#REF!</v>
      </c>
      <c r="U46" s="325" t="e">
        <f>AVERAGEIFS(#REF!,#REF!,#REF!,#REF!,"发送IP数")</f>
        <v>#REF!</v>
      </c>
      <c r="V46" s="325" t="e">
        <f>AVERAGEIFS(#REF!,#REF!,#REF!,#REF!,"发送IP数")</f>
        <v>#REF!</v>
      </c>
      <c r="W46" s="325" t="e">
        <f>AVERAGEIFS(#REF!,#REF!,#REF!,#REF!,"发送IP数")</f>
        <v>#REF!</v>
      </c>
      <c r="X46" s="325" t="e">
        <f>AVERAGEIFS(#REF!,#REF!,#REF!,#REF!,"发送IP数")</f>
        <v>#REF!</v>
      </c>
      <c r="Y46" s="325" t="e">
        <f>AVERAGEIFS(#REF!,#REF!,#REF!,#REF!,"发送IP数")</f>
        <v>#REF!</v>
      </c>
      <c r="Z46" s="325" t="e">
        <f>AVERAGEIFS(#REF!,#REF!,#REF!,#REF!,"发送IP数")</f>
        <v>#REF!</v>
      </c>
      <c r="AA46" s="325" t="e">
        <f>AVERAGEIFS(#REF!,#REF!,#REF!,#REF!,"发送IP数")</f>
        <v>#REF!</v>
      </c>
      <c r="AB46" s="325" t="e">
        <f>AVERAGEIFS(#REF!,#REF!,#REF!,#REF!,"发送IP数")</f>
        <v>#REF!</v>
      </c>
      <c r="AC46" s="325" t="e">
        <f>AVERAGEIFS(#REF!,#REF!,#REF!,#REF!,"发送IP数")</f>
        <v>#REF!</v>
      </c>
      <c r="AD46" s="325" t="e">
        <f>AVERAGEIFS(#REF!,#REF!,#REF!,#REF!,"发送IP数")</f>
        <v>#REF!</v>
      </c>
      <c r="AE46" s="325" t="e">
        <f>AVERAGEIFS(#REF!,#REF!,#REF!,#REF!,"发送IP数")</f>
        <v>#REF!</v>
      </c>
    </row>
    <row r="47" spans="1:31">
      <c r="A47" s="240" t="s">
        <v>26</v>
      </c>
      <c r="B47" s="47" t="s">
        <v>59</v>
      </c>
      <c r="C47" s="15">
        <f>SUM(D47:O47)</f>
        <v>2160</v>
      </c>
      <c r="D47" s="243">
        <f>SUMIFS([1]趋势分析!$F:$F,[1]趋势分析!$A:$A,"dk.bty",[1]趋势分析!$C:$C,"00")+SUMIFS([1]趋势分析!$F:$F,[1]趋势分析!$A:$A,"dk.bty",[1]趋势分析!$C:$C,"01")</f>
        <v>200</v>
      </c>
      <c r="E47" s="243">
        <f>SUMIFS([1]趋势分析!$F:$F,[1]趋势分析!$A:$A,"dk.bty",[1]趋势分析!$C:$C,"02")+SUMIFS([1]趋势分析!$F:$F,[1]趋势分析!$A:$A,"dk.bty",[1]趋势分析!$C:$C,"03")</f>
        <v>115</v>
      </c>
      <c r="F47" s="243">
        <f>SUMIFS([1]趋势分析!$F:$F,[1]趋势分析!$A:$A,"dk.bty",[1]趋势分析!$C:$C,"04")+SUMIFS([1]趋势分析!$F:$F,[1]趋势分析!$A:$A,"dk.bty",[1]趋势分析!$C:$C,"05")</f>
        <v>79</v>
      </c>
      <c r="G47" s="243">
        <f>SUMIFS([1]趋势分析!$F:$F,[1]趋势分析!$A:$A,"dk.bty",[1]趋势分析!$C:$C,"06")+SUMIFS([1]趋势分析!$F:$F,[1]趋势分析!$A:$A,"dk.bty",[1]趋势分析!$C:$C,"07")</f>
        <v>84</v>
      </c>
      <c r="H47" s="243">
        <f>SUMIFS([1]趋势分析!$F:$F,[1]趋势分析!$A:$A,"dk.bty",[1]趋势分析!$C:$C,"08")+SUMIFS([1]趋势分析!$F:$F,[1]趋势分析!$A:$A,"dk.bty",[1]趋势分析!$C:$C,"09")</f>
        <v>161</v>
      </c>
      <c r="I47" s="243">
        <f>SUMIFS([1]趋势分析!$F:$F,[1]趋势分析!$A:$A,"dk.bty",[1]趋势分析!$C:$C,"10")+SUMIFS([1]趋势分析!$F:$F,[1]趋势分析!$A:$A,"dk.bty",[1]趋势分析!$C:$C,"11")</f>
        <v>165</v>
      </c>
      <c r="J47" s="243">
        <f>SUMIFS([1]趋势分析!$F:$F,[1]趋势分析!$A:$A,"dk.bty",[1]趋势分析!$C:$C,"12")+SUMIFS([1]趋势分析!$F:$F,[1]趋势分析!$A:$A,"dk.bty",[1]趋势分析!$C:$C,"13")</f>
        <v>193</v>
      </c>
      <c r="K47" s="243">
        <f>SUMIFS([1]趋势分析!$F:$F,[1]趋势分析!$A:$A,"dk.bty",[1]趋势分析!$C:$C,"14")+SUMIFS([1]趋势分析!$F:$F,[1]趋势分析!$A:$A,"dk.bty",[1]趋势分析!$C:$C,"15")</f>
        <v>263</v>
      </c>
      <c r="L47" s="243">
        <f>SUMIFS([1]趋势分析!$F:$F,[1]趋势分析!$A:$A,"dk.bty",[1]趋势分析!$C:$C,"16")+SUMIFS([1]趋势分析!$F:$F,[1]趋势分析!$A:$A,"dk.bty",[1]趋势分析!$C:$C,"17")</f>
        <v>239</v>
      </c>
      <c r="M47" s="243">
        <f>SUMIFS([1]趋势分析!$F:$F,[1]趋势分析!$A:$A,"dk.bty",[1]趋势分析!$C:$C,"18")+SUMIFS([1]趋势分析!$F:$F,[1]趋势分析!$A:$A,"dk.bty",[1]趋势分析!$C:$C,"19")</f>
        <v>204</v>
      </c>
      <c r="N47" s="243">
        <f>SUMIFS([1]趋势分析!$F:$F,[1]趋势分析!$A:$A,"dk.bty",[1]趋势分析!$C:$C,"20")+SUMIFS([1]趋势分析!$F:$F,[1]趋势分析!$A:$A,"dk.bty",[1]趋势分析!$C:$C,"21")</f>
        <v>239</v>
      </c>
      <c r="O47" s="253">
        <f>SUMIFS([1]趋势分析!$F:$F,[1]趋势分析!$A:$A,"dk.bty",[1]趋势分析!$C:$C,"22")+SUMIFS([1]趋势分析!$F:$F,[1]趋势分析!$A:$A,"dk.bty",[1]趋势分析!$C:$C,"23")</f>
        <v>218</v>
      </c>
      <c r="Q47" s="325" t="s">
        <v>26</v>
      </c>
      <c r="R47" s="326" t="s">
        <v>60</v>
      </c>
      <c r="S47" s="15" t="e">
        <f>SUM(T47:AE47)</f>
        <v>#REF!</v>
      </c>
      <c r="T47" s="325" t="e">
        <f>AVERAGEIFS(#REF!,#REF!,#REF!,#REF!,"接收IP数")</f>
        <v>#REF!</v>
      </c>
      <c r="U47" s="325" t="e">
        <f>AVERAGEIFS(#REF!,#REF!,#REF!,#REF!,"接收IP数")</f>
        <v>#REF!</v>
      </c>
      <c r="V47" s="325" t="e">
        <f>AVERAGEIFS(#REF!,#REF!,#REF!,#REF!,"接收IP数")</f>
        <v>#REF!</v>
      </c>
      <c r="W47" s="325" t="e">
        <f>AVERAGEIFS(#REF!,#REF!,#REF!,#REF!,"接收IP数")</f>
        <v>#REF!</v>
      </c>
      <c r="X47" s="325" t="e">
        <f>AVERAGEIFS(#REF!,#REF!,#REF!,#REF!,"接收IP数")</f>
        <v>#REF!</v>
      </c>
      <c r="Y47" s="325" t="e">
        <f>AVERAGEIFS(#REF!,#REF!,#REF!,#REF!,"接收IP数")</f>
        <v>#REF!</v>
      </c>
      <c r="Z47" s="325" t="e">
        <f>AVERAGEIFS(#REF!,#REF!,#REF!,#REF!,"接收IP数")</f>
        <v>#REF!</v>
      </c>
      <c r="AA47" s="325" t="e">
        <f>AVERAGEIFS(#REF!,#REF!,#REF!,#REF!,"接收IP数")</f>
        <v>#REF!</v>
      </c>
      <c r="AB47" s="325" t="e">
        <f>AVERAGEIFS(#REF!,#REF!,#REF!,#REF!,"接收IP数")</f>
        <v>#REF!</v>
      </c>
      <c r="AC47" s="325" t="e">
        <f>AVERAGEIFS(#REF!,#REF!,#REF!,#REF!,"接收IP数")</f>
        <v>#REF!</v>
      </c>
      <c r="AD47" s="325" t="e">
        <f>AVERAGEIFS(#REF!,#REF!,#REF!,#REF!,"接收IP数")</f>
        <v>#REF!</v>
      </c>
      <c r="AE47" s="325" t="e">
        <f>AVERAGEIFS(#REF!,#REF!,#REF!,#REF!,"接收IP数")</f>
        <v>#REF!</v>
      </c>
    </row>
    <row r="48" spans="1:31">
      <c r="A48" s="242" t="s">
        <v>26</v>
      </c>
      <c r="B48" s="43" t="s">
        <v>4</v>
      </c>
      <c r="C48" s="15">
        <f>SUM(D48:O48)</f>
        <v>27</v>
      </c>
      <c r="D48" s="244">
        <f>COUNTIFS(bty注册!$X:$X,"dk",bty注册!$AA:$AA,"0")+COUNTIFS(bty注册!$X:$X,"dk",bty注册!$AA:$AA,"1")</f>
        <v>2</v>
      </c>
      <c r="E48" s="244">
        <f>COUNTIFS(bty注册!$X:$X,"dk",bty注册!$AA:$AA,"2")+COUNTIFS(bty注册!$X:$X,"dk",bty注册!$AA:$AA,"3")</f>
        <v>5</v>
      </c>
      <c r="F48" s="244">
        <f>COUNTIFS(bty注册!$X:$X,"dk",bty注册!$AA:$AA,"4")+COUNTIFS(bty注册!$X:$X,"dk",bty注册!$AA:$AA,"5")</f>
        <v>0</v>
      </c>
      <c r="G48" s="244">
        <f>COUNTIFS(bty注册!$X:$X,"dk",bty注册!$AA:$AA,"6")+COUNTIFS(bty注册!$X:$X,"dk",bty注册!$AA:$AA,"7")</f>
        <v>3</v>
      </c>
      <c r="H48" s="244">
        <f>COUNTIFS(bty注册!$X:$X,"dk",bty注册!$AA:$AA,"8")+COUNTIFS(bty注册!$X:$X,"dk",bty注册!$AA:$AA,"9")</f>
        <v>1</v>
      </c>
      <c r="I48" s="244">
        <f>COUNTIFS(bty注册!$X:$X,"dk",bty注册!$AA:$AA,"10")+COUNTIFS(bty注册!$X:$X,"dk",bty注册!$AA:$AA,"11")</f>
        <v>1</v>
      </c>
      <c r="J48" s="244">
        <f>COUNTIFS(bty注册!$X:$X,"dk",bty注册!$AA:$AA,"12")+COUNTIFS(bty注册!$X:$X,"dk",bty注册!$AA:$AA,"13")</f>
        <v>2</v>
      </c>
      <c r="K48" s="244">
        <f>COUNTIFS(bty注册!$X:$X,"dk",bty注册!$AA:$AA,"14")+COUNTIFS(bty注册!$X:$X,"dk",bty注册!$AA:$AA,"15")</f>
        <v>5</v>
      </c>
      <c r="L48" s="244">
        <f>COUNTIFS(bty注册!$X:$X,"dk",bty注册!$AA:$AA,"16")+COUNTIFS(bty注册!$X:$X,"dk",bty注册!$AA:$AA,"17")</f>
        <v>2</v>
      </c>
      <c r="M48" s="244">
        <f>COUNTIFS(bty注册!$X:$X,"dk",bty注册!$AA:$AA,"18")+COUNTIFS(bty注册!$X:$X,"dk",bty注册!$AA:$AA,"19")</f>
        <v>2</v>
      </c>
      <c r="N48" s="244">
        <f>COUNTIFS(bty注册!$X:$X,"dk",bty注册!$AA:$AA,"20")+COUNTIFS(bty注册!$X:$X,"dk",bty注册!$AA:$AA,"21")</f>
        <v>3</v>
      </c>
      <c r="O48" s="254">
        <f>COUNTIFS(bty注册!$X:$X,"dk",bty注册!$AA:$AA,"22")+COUNTIFS(bty注册!$X:$X,"dk",bty注册!$AA:$AA,"23")</f>
        <v>1</v>
      </c>
      <c r="Q48" s="325" t="s">
        <v>26</v>
      </c>
      <c r="R48" s="325" t="s">
        <v>61</v>
      </c>
      <c r="S48" s="15" t="e">
        <f>SUM(T48:AE48)</f>
        <v>#REF!</v>
      </c>
      <c r="T48" s="325" t="e">
        <f>AVERAGEIFS(#REF!,#REF!,#REF!,#REF!,"注册")</f>
        <v>#REF!</v>
      </c>
      <c r="U48" s="325" t="e">
        <f>AVERAGEIFS(#REF!,#REF!,#REF!,#REF!,"注册")</f>
        <v>#REF!</v>
      </c>
      <c r="V48" s="325" t="e">
        <f>AVERAGEIFS(#REF!,#REF!,#REF!,#REF!,"注册")</f>
        <v>#REF!</v>
      </c>
      <c r="W48" s="325" t="e">
        <f>AVERAGEIFS(#REF!,#REF!,#REF!,#REF!,"注册")</f>
        <v>#REF!</v>
      </c>
      <c r="X48" s="325" t="e">
        <f>AVERAGEIFS(#REF!,#REF!,#REF!,#REF!,"注册")</f>
        <v>#REF!</v>
      </c>
      <c r="Y48" s="325" t="e">
        <f>AVERAGEIFS(#REF!,#REF!,#REF!,#REF!,"注册")</f>
        <v>#REF!</v>
      </c>
      <c r="Z48" s="325" t="e">
        <f>AVERAGEIFS(#REF!,#REF!,#REF!,#REF!,"注册")</f>
        <v>#REF!</v>
      </c>
      <c r="AA48" s="325" t="e">
        <f>AVERAGEIFS(#REF!,#REF!,#REF!,#REF!,"注册")</f>
        <v>#REF!</v>
      </c>
      <c r="AB48" s="325" t="e">
        <f>AVERAGEIFS(#REF!,#REF!,#REF!,#REF!,"注册")</f>
        <v>#REF!</v>
      </c>
      <c r="AC48" s="325" t="e">
        <f>AVERAGEIFS(#REF!,#REF!,#REF!,#REF!,"注册")</f>
        <v>#REF!</v>
      </c>
      <c r="AD48" s="325" t="e">
        <f>AVERAGEIFS(#REF!,#REF!,#REF!,#REF!,"注册")</f>
        <v>#REF!</v>
      </c>
      <c r="AE48" s="325" t="e">
        <f>AVERAGEIFS(#REF!,#REF!,#REF!,#REF!,"注册")</f>
        <v>#REF!</v>
      </c>
    </row>
    <row r="49" spans="1:31">
      <c r="A49" s="240" t="s">
        <v>26</v>
      </c>
      <c r="B49" s="47" t="s">
        <v>5</v>
      </c>
      <c r="C49" s="12">
        <f>C48/C47</f>
        <v>0.0125</v>
      </c>
      <c r="D49" s="241">
        <f t="shared" ref="D49:O49" si="22">IFERROR(D48/D47,0)</f>
        <v>0.01</v>
      </c>
      <c r="E49" s="241">
        <f t="shared" si="22"/>
        <v>0.0434782608695652</v>
      </c>
      <c r="F49" s="241">
        <f t="shared" si="22"/>
        <v>0</v>
      </c>
      <c r="G49" s="241">
        <f t="shared" si="22"/>
        <v>0.0357142857142857</v>
      </c>
      <c r="H49" s="241">
        <f t="shared" si="22"/>
        <v>0.0062111801242236</v>
      </c>
      <c r="I49" s="241">
        <f t="shared" si="22"/>
        <v>0.00606060606060606</v>
      </c>
      <c r="J49" s="241">
        <f t="shared" si="22"/>
        <v>0.0103626943005181</v>
      </c>
      <c r="K49" s="241">
        <f t="shared" si="22"/>
        <v>0.0190114068441065</v>
      </c>
      <c r="L49" s="241">
        <f t="shared" si="22"/>
        <v>0.00836820083682008</v>
      </c>
      <c r="M49" s="241">
        <f t="shared" si="22"/>
        <v>0.00980392156862745</v>
      </c>
      <c r="N49" s="241">
        <f t="shared" si="22"/>
        <v>0.0125523012552301</v>
      </c>
      <c r="O49" s="252">
        <f t="shared" si="22"/>
        <v>0.00458715596330275</v>
      </c>
      <c r="Q49" s="325" t="s">
        <v>26</v>
      </c>
      <c r="R49" s="326" t="s">
        <v>62</v>
      </c>
      <c r="S49" s="12" t="e">
        <f>AVERAGE(T49:AE49)</f>
        <v>#REF!</v>
      </c>
      <c r="T49" s="327" t="e">
        <f>AVERAGEIFS(#REF!,#REF!,#REF!,#REF!,"注册率")</f>
        <v>#REF!</v>
      </c>
      <c r="U49" s="327" t="e">
        <f>AVERAGEIFS(#REF!,#REF!,#REF!,#REF!,"注册率")</f>
        <v>#REF!</v>
      </c>
      <c r="V49" s="327" t="e">
        <f>AVERAGEIFS(#REF!,#REF!,#REF!,#REF!,"注册率")</f>
        <v>#REF!</v>
      </c>
      <c r="W49" s="327" t="e">
        <f>AVERAGEIFS(#REF!,#REF!,#REF!,#REF!,"注册率")</f>
        <v>#REF!</v>
      </c>
      <c r="X49" s="327" t="e">
        <f>AVERAGEIFS(#REF!,#REF!,#REF!,#REF!,"注册率")</f>
        <v>#REF!</v>
      </c>
      <c r="Y49" s="327" t="e">
        <f>AVERAGEIFS(#REF!,#REF!,#REF!,#REF!,"注册率")</f>
        <v>#REF!</v>
      </c>
      <c r="Z49" s="327" t="e">
        <f>AVERAGEIFS(#REF!,#REF!,#REF!,#REF!,"注册率")</f>
        <v>#REF!</v>
      </c>
      <c r="AA49" s="327" t="e">
        <f>AVERAGEIFS(#REF!,#REF!,#REF!,#REF!,"注册率")</f>
        <v>#REF!</v>
      </c>
      <c r="AB49" s="327" t="e">
        <f>AVERAGEIFS(#REF!,#REF!,#REF!,#REF!,"注册率")</f>
        <v>#REF!</v>
      </c>
      <c r="AC49" s="327" t="e">
        <f>AVERAGEIFS(#REF!,#REF!,#REF!,#REF!,"注册率")</f>
        <v>#REF!</v>
      </c>
      <c r="AD49" s="327" t="e">
        <f>AVERAGEIFS(#REF!,#REF!,#REF!,#REF!,"注册率")</f>
        <v>#REF!</v>
      </c>
      <c r="AE49" s="327" t="e">
        <f>AVERAGEIFS(#REF!,#REF!,#REF!,#REF!,"注册率")</f>
        <v>#REF!</v>
      </c>
    </row>
    <row r="50" spans="1:31">
      <c r="A50" s="242" t="s">
        <v>26</v>
      </c>
      <c r="B50" s="43" t="s">
        <v>6</v>
      </c>
      <c r="C50" s="15">
        <f>SUM(D50:O50)</f>
        <v>5</v>
      </c>
      <c r="D50" s="244">
        <f>COUNTIFS(bty首充!$H:$H,"dk",bty首充!$J:$J,"0")+COUNTIFS(bty首充!$H:$H,"dk",bty首充!$J:$J,"1")</f>
        <v>0</v>
      </c>
      <c r="E50" s="244">
        <f>COUNTIFS(bty首充!$H:$H,"dk",bty首充!$J:$J,"2")+COUNTIFS(bty首充!$H:$H,"dk",bty首充!$J:$J,"3")</f>
        <v>1</v>
      </c>
      <c r="F50" s="244">
        <f>COUNTIFS(bty首充!$H:$H,"dk",bty首充!$J:$J,"4")+COUNTIFS(bty首充!$H:$H,"dk",bty首充!$J:$J,"5")</f>
        <v>0</v>
      </c>
      <c r="G50" s="244">
        <f>COUNTIFS(bty首充!$H:$H,"dk",bty首充!$J:$J,"6")+COUNTIFS(bty首充!$H:$H,"dk",bty首充!$J:$J,"7")</f>
        <v>1</v>
      </c>
      <c r="H50" s="244">
        <f>COUNTIFS(bty首充!$H:$H,"dk",bty首充!$J:$J,"8")+COUNTIFS(bty首充!$H:$H,"dk",bty首充!$J:$J,"9")</f>
        <v>0</v>
      </c>
      <c r="I50" s="244">
        <f>COUNTIFS(bty首充!$H:$H,"dk",bty首充!$J:$J,"10")+COUNTIFS(bty首充!$H:$H,"dk",bty首充!$J:$J,"11")</f>
        <v>1</v>
      </c>
      <c r="J50" s="244">
        <f>COUNTIFS(bty首充!$H:$H,"dk",bty首充!$J:$J,"12")+COUNTIFS(bty首充!$H:$H,"dk",bty首充!$J:$J,"13")</f>
        <v>0</v>
      </c>
      <c r="K50" s="244">
        <f>COUNTIFS(bty首充!$H:$H,"dk",bty首充!$J:$J,"14")+COUNTIFS(bty首充!$H:$H,"dk",bty首充!$J:$J,"15")</f>
        <v>1</v>
      </c>
      <c r="L50" s="244">
        <f>COUNTIFS(bty首充!$H:$H,"dk",bty首充!$J:$J,"16")+COUNTIFS(bty首充!$H:$H,"dk",bty首充!$J:$J,"17")</f>
        <v>0</v>
      </c>
      <c r="M50" s="244">
        <f>COUNTIFS(bty首充!$H:$H,"dk",bty首充!$J:$J,"18")+COUNTIFS(bty首充!$H:$H,"dk",bty首充!$J:$J,"19")</f>
        <v>0</v>
      </c>
      <c r="N50" s="244">
        <f>COUNTIFS(bty首充!$H:$H,"dk",bty首充!$J:$J,"20")+COUNTIFS(bty首充!$H:$H,"dk",bty首充!$J:$J,"21")</f>
        <v>1</v>
      </c>
      <c r="O50" s="254">
        <f>COUNTIFS(bty首充!$H:$H,"dk",bty首充!$J:$J,"22")+COUNTIFS(bty首充!$H:$H,"dk",bty首充!$J:$J,"23")</f>
        <v>0</v>
      </c>
      <c r="Q50" s="325" t="s">
        <v>26</v>
      </c>
      <c r="R50" s="325" t="s">
        <v>63</v>
      </c>
      <c r="S50" s="15" t="e">
        <f>SUM(T50:AE50)</f>
        <v>#REF!</v>
      </c>
      <c r="T50" s="325" t="e">
        <f>AVERAGEIFS(#REF!,#REF!,#REF!,#REF!,"开户")</f>
        <v>#REF!</v>
      </c>
      <c r="U50" s="325" t="e">
        <f>AVERAGEIFS(#REF!,#REF!,#REF!,#REF!,"开户")</f>
        <v>#REF!</v>
      </c>
      <c r="V50" s="325" t="e">
        <f>AVERAGEIFS(#REF!,#REF!,#REF!,#REF!,"开户")</f>
        <v>#REF!</v>
      </c>
      <c r="W50" s="325" t="e">
        <f>AVERAGEIFS(#REF!,#REF!,#REF!,#REF!,"开户")</f>
        <v>#REF!</v>
      </c>
      <c r="X50" s="325" t="e">
        <f>AVERAGEIFS(#REF!,#REF!,#REF!,#REF!,"开户")</f>
        <v>#REF!</v>
      </c>
      <c r="Y50" s="325" t="e">
        <f>AVERAGEIFS(#REF!,#REF!,#REF!,#REF!,"开户")</f>
        <v>#REF!</v>
      </c>
      <c r="Z50" s="325" t="e">
        <f>AVERAGEIFS(#REF!,#REF!,#REF!,#REF!,"开户")</f>
        <v>#REF!</v>
      </c>
      <c r="AA50" s="325" t="e">
        <f>AVERAGEIFS(#REF!,#REF!,#REF!,#REF!,"开户")</f>
        <v>#REF!</v>
      </c>
      <c r="AB50" s="325" t="e">
        <f>AVERAGEIFS(#REF!,#REF!,#REF!,#REF!,"开户")</f>
        <v>#REF!</v>
      </c>
      <c r="AC50" s="325" t="e">
        <f>AVERAGEIFS(#REF!,#REF!,#REF!,#REF!,"开户")</f>
        <v>#REF!</v>
      </c>
      <c r="AD50" s="325" t="e">
        <f>AVERAGEIFS(#REF!,#REF!,#REF!,#REF!,"开户")</f>
        <v>#REF!</v>
      </c>
      <c r="AE50" s="325" t="e">
        <f>AVERAGEIFS(#REF!,#REF!,#REF!,#REF!,"开户")</f>
        <v>#REF!</v>
      </c>
    </row>
    <row r="51" ht="14.25" spans="1:31">
      <c r="A51" s="245" t="s">
        <v>26</v>
      </c>
      <c r="B51" s="52" t="s">
        <v>64</v>
      </c>
      <c r="C51" s="19">
        <f>C50/C48</f>
        <v>0.185185185185185</v>
      </c>
      <c r="D51" s="19">
        <f t="shared" ref="D51:O51" si="23">D50/D48</f>
        <v>0</v>
      </c>
      <c r="E51" s="19">
        <f t="shared" si="23"/>
        <v>0.2</v>
      </c>
      <c r="F51" s="19" t="e">
        <f t="shared" si="23"/>
        <v>#DIV/0!</v>
      </c>
      <c r="G51" s="19">
        <f t="shared" si="23"/>
        <v>0.333333333333333</v>
      </c>
      <c r="H51" s="19">
        <f t="shared" si="23"/>
        <v>0</v>
      </c>
      <c r="I51" s="19">
        <f t="shared" si="23"/>
        <v>1</v>
      </c>
      <c r="J51" s="19">
        <f t="shared" si="23"/>
        <v>0</v>
      </c>
      <c r="K51" s="19">
        <f t="shared" si="23"/>
        <v>0.2</v>
      </c>
      <c r="L51" s="19">
        <f t="shared" si="23"/>
        <v>0</v>
      </c>
      <c r="M51" s="19">
        <f t="shared" si="23"/>
        <v>0</v>
      </c>
      <c r="N51" s="19">
        <f t="shared" si="23"/>
        <v>0.333333333333333</v>
      </c>
      <c r="O51" s="19">
        <f t="shared" si="23"/>
        <v>0</v>
      </c>
      <c r="Q51" s="325" t="s">
        <v>26</v>
      </c>
      <c r="R51" s="326" t="s">
        <v>65</v>
      </c>
      <c r="S51" s="12" t="e">
        <f>AVERAGE(T51:AE51)</f>
        <v>#REF!</v>
      </c>
      <c r="T51" s="327" t="e">
        <f>AVERAGEIFS(#REF!,#REF!,#REF!,#REF!,"开户转化率")</f>
        <v>#REF!</v>
      </c>
      <c r="U51" s="327" t="e">
        <f>AVERAGEIFS(#REF!,#REF!,#REF!,#REF!,"开户转化率")</f>
        <v>#REF!</v>
      </c>
      <c r="V51" s="327" t="e">
        <f>AVERAGEIFS(#REF!,#REF!,#REF!,#REF!,"开户转化率")</f>
        <v>#REF!</v>
      </c>
      <c r="W51" s="327" t="e">
        <f>AVERAGEIFS(#REF!,#REF!,#REF!,#REF!,"开户转化率")</f>
        <v>#REF!</v>
      </c>
      <c r="X51" s="327" t="e">
        <f>AVERAGEIFS(#REF!,#REF!,#REF!,#REF!,"开户转化率")</f>
        <v>#REF!</v>
      </c>
      <c r="Y51" s="327" t="e">
        <f>AVERAGEIFS(#REF!,#REF!,#REF!,#REF!,"开户转化率")</f>
        <v>#REF!</v>
      </c>
      <c r="Z51" s="327" t="e">
        <f>AVERAGEIFS(#REF!,#REF!,#REF!,#REF!,"开户转化率")</f>
        <v>#REF!</v>
      </c>
      <c r="AA51" s="327" t="e">
        <f>AVERAGEIFS(#REF!,#REF!,#REF!,#REF!,"开户转化率")</f>
        <v>#REF!</v>
      </c>
      <c r="AB51" s="327" t="e">
        <f>AVERAGEIFS(#REF!,#REF!,#REF!,#REF!,"开户转化率")</f>
        <v>#REF!</v>
      </c>
      <c r="AC51" s="327" t="e">
        <f>AVERAGEIFS(#REF!,#REF!,#REF!,#REF!,"开户转化率")</f>
        <v>#REF!</v>
      </c>
      <c r="AD51" s="327" t="e">
        <f>AVERAGEIFS(#REF!,#REF!,#REF!,#REF!,"开户转化率")</f>
        <v>#REF!</v>
      </c>
      <c r="AE51" s="327" t="e">
        <f>AVERAGEIFS(#REF!,#REF!,#REF!,#REF!,"开户转化率")</f>
        <v>#REF!</v>
      </c>
    </row>
    <row r="52" spans="1:15">
      <c r="A52" s="240" t="s">
        <v>71</v>
      </c>
      <c r="B52" s="47" t="s">
        <v>55</v>
      </c>
      <c r="C52" s="12" t="e">
        <f>C54/C53</f>
        <v>#DIV/0!</v>
      </c>
      <c r="D52" s="241" t="e">
        <f t="shared" ref="D52:O52" si="24">D54/D53</f>
        <v>#DIV/0!</v>
      </c>
      <c r="E52" s="241" t="e">
        <f t="shared" si="24"/>
        <v>#DIV/0!</v>
      </c>
      <c r="F52" s="241" t="e">
        <f t="shared" si="24"/>
        <v>#DIV/0!</v>
      </c>
      <c r="G52" s="241" t="e">
        <f t="shared" si="24"/>
        <v>#DIV/0!</v>
      </c>
      <c r="H52" s="241" t="e">
        <f t="shared" si="24"/>
        <v>#DIV/0!</v>
      </c>
      <c r="I52" s="241" t="e">
        <f t="shared" si="24"/>
        <v>#DIV/0!</v>
      </c>
      <c r="J52" s="241" t="e">
        <f t="shared" si="24"/>
        <v>#DIV/0!</v>
      </c>
      <c r="K52" s="241" t="e">
        <f t="shared" si="24"/>
        <v>#DIV/0!</v>
      </c>
      <c r="L52" s="241" t="e">
        <f t="shared" si="24"/>
        <v>#DIV/0!</v>
      </c>
      <c r="M52" s="241" t="e">
        <f t="shared" si="24"/>
        <v>#DIV/0!</v>
      </c>
      <c r="N52" s="241" t="e">
        <f t="shared" si="24"/>
        <v>#DIV/0!</v>
      </c>
      <c r="O52" s="252" t="e">
        <f t="shared" si="24"/>
        <v>#DIV/0!</v>
      </c>
    </row>
    <row r="53" spans="1:15">
      <c r="A53" s="242" t="s">
        <v>71</v>
      </c>
      <c r="B53" s="43" t="s">
        <v>57</v>
      </c>
      <c r="C53" s="15">
        <f t="shared" ref="C53:C55" si="25">SUM(D53:O53)</f>
        <v>0</v>
      </c>
      <c r="D53" s="243">
        <f>SUMIFS([1]趋势分析!$F:$F,[1]趋势分析!$A:$A,"paddy.com",[1]趋势分析!$C:$C,"00")+SUMIFS([1]趋势分析!$F:$F,[1]趋势分析!$A:$A,"paddy.com",[1]趋势分析!$C:$C,"01")</f>
        <v>0</v>
      </c>
      <c r="E53" s="243">
        <f>SUMIFS([1]趋势分析!$F:$F,[1]趋势分析!$A:$A,"paddy.com",[1]趋势分析!$C:$C,"02")+SUMIFS([1]趋势分析!$F:$F,[1]趋势分析!$A:$A,"paddy.com",[1]趋势分析!$C:$C,"03")</f>
        <v>0</v>
      </c>
      <c r="F53" s="243">
        <f>SUMIFS([1]趋势分析!$F:$F,[1]趋势分析!$A:$A,"paddy.com",[1]趋势分析!$C:$C,"04")+SUMIFS([1]趋势分析!$F:$F,[1]趋势分析!$A:$A,"paddy.com",[1]趋势分析!$C:$C,"05")</f>
        <v>0</v>
      </c>
      <c r="G53" s="243">
        <f>SUMIFS([1]趋势分析!$F:$F,[1]趋势分析!$A:$A,"paddy.com",[1]趋势分析!$C:$C,"06")+SUMIFS([1]趋势分析!$F:$F,[1]趋势分析!$A:$A,"paddy.com",[1]趋势分析!$C:$C,"07")</f>
        <v>0</v>
      </c>
      <c r="H53" s="243">
        <f>SUMIFS([1]趋势分析!$F:$F,[1]趋势分析!$A:$A,"paddy.com",[1]趋势分析!$C:$C,"08")+SUMIFS([1]趋势分析!$F:$F,[1]趋势分析!$A:$A,"paddy.com",[1]趋势分析!$C:$C,"09")</f>
        <v>0</v>
      </c>
      <c r="I53" s="243">
        <f>SUMIFS([1]趋势分析!$F:$F,[1]趋势分析!$A:$A,"paddy.com",[1]趋势分析!$C:$C,"10")+SUMIFS([1]趋势分析!$F:$F,[1]趋势分析!$A:$A,"paddy.com",[1]趋势分析!$C:$C,"11")</f>
        <v>0</v>
      </c>
      <c r="J53" s="243">
        <f>SUMIFS([1]趋势分析!$F:$F,[1]趋势分析!$A:$A,"paddy.com",[1]趋势分析!$C:$C,"12")+SUMIFS([1]趋势分析!$F:$F,[1]趋势分析!$A:$A,"paddy.com",[1]趋势分析!$C:$C,"13")</f>
        <v>0</v>
      </c>
      <c r="K53" s="243">
        <f>SUMIFS([1]趋势分析!$F:$F,[1]趋势分析!$A:$A,"paddy.com",[1]趋势分析!$C:$C,"14")+SUMIFS([1]趋势分析!$F:$F,[1]趋势分析!$A:$A,"paddy.com",[1]趋势分析!$C:$C,"15")</f>
        <v>0</v>
      </c>
      <c r="L53" s="243">
        <f>SUMIFS([1]趋势分析!$F:$F,[1]趋势分析!$A:$A,"paddy.com",[1]趋势分析!$C:$C,"16")+SUMIFS([1]趋势分析!$F:$F,[1]趋势分析!$A:$A,"paddy.com",[1]趋势分析!$C:$C,"17")</f>
        <v>0</v>
      </c>
      <c r="M53" s="243">
        <f>SUMIFS([1]趋势分析!$F:$F,[1]趋势分析!$A:$A,"paddy.com",[1]趋势分析!$C:$C,"18")+SUMIFS([1]趋势分析!$F:$F,[1]趋势分析!$A:$A,"paddy.com",[1]趋势分析!$C:$C,"19")</f>
        <v>0</v>
      </c>
      <c r="N53" s="243">
        <f>SUMIFS([1]趋势分析!$F:$F,[1]趋势分析!$A:$A,"paddy.com",[1]趋势分析!$C:$C,"20")+SUMIFS([1]趋势分析!$F:$F,[1]趋势分析!$A:$A,"paddy.com",[1]趋势分析!$C:$C,"21")</f>
        <v>0</v>
      </c>
      <c r="O53" s="253">
        <f>SUMIFS([1]趋势分析!$F:$F,[1]趋势分析!$A:$A,"paddy.com",[1]趋势分析!$C:$C,"22")+SUMIFS([1]趋势分析!$F:$F,[1]趋势分析!$A:$A,"paddy.com",[1]趋势分析!$C:$C,"23")</f>
        <v>0</v>
      </c>
    </row>
    <row r="54" spans="1:15">
      <c r="A54" s="240" t="s">
        <v>71</v>
      </c>
      <c r="B54" s="47" t="s">
        <v>59</v>
      </c>
      <c r="C54" s="309">
        <f t="shared" si="25"/>
        <v>51</v>
      </c>
      <c r="D54" s="310">
        <f>((SUMIFS([1]趋势分析!$F:$F,[1]趋势分析!$A:$A,"paddy.bty",[1]趋势分析!$C:$C,"00")+SUMIFS([1]趋势分析!$F:$F,[1]趋势分析!$A:$A,"paddy.bty",[1]趋势分析!$C:$C,"01")))</f>
        <v>2</v>
      </c>
      <c r="E54" s="310">
        <f>(SUMIFS([1]趋势分析!$F:$F,[1]趋势分析!$A:$A,"paddy.bty",[1]趋势分析!$C:$C,"02")+SUMIFS([1]趋势分析!$F:$F,[1]趋势分析!$A:$A,"paddy.bty",[1]趋势分析!$C:$C,"03"))</f>
        <v>3</v>
      </c>
      <c r="F54" s="310">
        <f>(SUMIFS([1]趋势分析!$F:$F,[1]趋势分析!$A:$A,"paddy.bty",[1]趋势分析!$C:$C,"04")+SUMIFS([1]趋势分析!$F:$F,[1]趋势分析!$A:$A,"paddy.bty",[1]趋势分析!$C:$C,"05"))</f>
        <v>0</v>
      </c>
      <c r="G54" s="310">
        <f>(SUMIFS([1]趋势分析!$F:$F,[1]趋势分析!$A:$A,"paddy.bty",[1]趋势分析!$C:$C,"06")+SUMIFS([1]趋势分析!$F:$F,[1]趋势分析!$A:$A,"paddy.bty",[1]趋势分析!$C:$C,"07"))</f>
        <v>3</v>
      </c>
      <c r="H54" s="310">
        <f>(SUMIFS([1]趋势分析!$F:$F,[1]趋势分析!$A:$A,"paddy.bty",[1]趋势分析!$C:$C,"08")+SUMIFS([1]趋势分析!$F:$F,[1]趋势分析!$A:$A,"paddy.bty",[1]趋势分析!$C:$C,"09"))</f>
        <v>4</v>
      </c>
      <c r="I54" s="310">
        <f>(SUMIFS([1]趋势分析!$F:$F,[1]趋势分析!$A:$A,"paddy.bty",[1]趋势分析!$C:$C,"10")+SUMIFS([1]趋势分析!$F:$F,[1]趋势分析!$A:$A,"paddy.bty",[1]趋势分析!$C:$C,"11"))</f>
        <v>4</v>
      </c>
      <c r="J54" s="310">
        <f>(SUMIFS([1]趋势分析!$F:$F,[1]趋势分析!$A:$A,"paddy.bty",[1]趋势分析!$C:$C,"12")+SUMIFS([1]趋势分析!$F:$F,[1]趋势分析!$A:$A,"paddy.bty",[1]趋势分析!$C:$C,"13"))</f>
        <v>5</v>
      </c>
      <c r="K54" s="310">
        <f>(SUMIFS([1]趋势分析!$F:$F,[1]趋势分析!$A:$A,"paddy.bty",[1]趋势分析!$C:$C,"14")+SUMIFS([1]趋势分析!$F:$F,[1]趋势分析!$A:$A,"paddy.bty",[1]趋势分析!$C:$C,"15"))</f>
        <v>4</v>
      </c>
      <c r="L54" s="310">
        <f>(SUMIFS([1]趋势分析!$F:$F,[1]趋势分析!$A:$A,"paddy.bty",[1]趋势分析!$C:$C,"16")+SUMIFS([1]趋势分析!$F:$F,[1]趋势分析!$A:$A,"paddy.bty",[1]趋势分析!$C:$C,"17"))</f>
        <v>6</v>
      </c>
      <c r="M54" s="310">
        <f>(SUMIFS([1]趋势分析!$F:$F,[1]趋势分析!$A:$A,"paddy.bty",[1]趋势分析!$C:$C,"18")+SUMIFS([1]趋势分析!$F:$F,[1]趋势分析!$A:$A,"paddy.bty",[1]趋势分析!$C:$C,"19"))</f>
        <v>11</v>
      </c>
      <c r="N54" s="310">
        <f>(SUMIFS([1]趋势分析!$F:$F,[1]趋势分析!$A:$A,"paddy.bty",[1]趋势分析!$C:$C,"20")+SUMIFS([1]趋势分析!$F:$F,[1]趋势分析!$A:$A,"paddy.bty",[1]趋势分析!$C:$C,"21"))</f>
        <v>3</v>
      </c>
      <c r="O54" s="311">
        <f>(SUMIFS([1]趋势分析!$F:$F,[1]趋势分析!$A:$A,"paddy.bty",[1]趋势分析!$C:$C,"22")+SUMIFS([1]趋势分析!$F:$F,[1]趋势分析!$A:$A,"paddy.bty",[1]趋势分析!$C:$C,"23"))</f>
        <v>6</v>
      </c>
    </row>
    <row r="55" spans="1:15">
      <c r="A55" s="242" t="s">
        <v>71</v>
      </c>
      <c r="B55" s="43" t="s">
        <v>4</v>
      </c>
      <c r="C55" s="15">
        <f t="shared" si="25"/>
        <v>3</v>
      </c>
      <c r="D55" s="244">
        <f>COUNTIFS(bty注册!$X:$X,"paddy",bty注册!$AA:$AA,"0")+COUNTIFS(bty注册!$X:$X,"paddy",bty注册!$AA:$AA,"1")</f>
        <v>0</v>
      </c>
      <c r="E55" s="244">
        <f>COUNTIFS(bty注册!$X:$X,"paddy",bty注册!$AA:$AA,"2")+COUNTIFS(bty注册!$X:$X,"paddy",bty注册!$AA:$AA,"3")</f>
        <v>0</v>
      </c>
      <c r="F55" s="244">
        <f>COUNTIFS(bty注册!$X:$X,"paddy",bty注册!$AA:$AA,"4")+COUNTIFS(bty注册!$X:$X,"paddy",bty注册!$AA:$AA,"5")</f>
        <v>0</v>
      </c>
      <c r="G55" s="244">
        <f>COUNTIFS(bty注册!$X:$X,"paddy",bty注册!$AA:$AA,"6")+COUNTIFS(bty注册!$X:$X,"paddy",bty注册!$AA:$AA,"7")</f>
        <v>0</v>
      </c>
      <c r="H55" s="244">
        <f>COUNTIFS(bty注册!$X:$X,"paddy",bty注册!$AA:$AA,"8")+COUNTIFS(bty注册!$X:$X,"paddy",bty注册!$AA:$AA,"9")</f>
        <v>0</v>
      </c>
      <c r="I55" s="244">
        <f>COUNTIFS(bty注册!$X:$X,"paddy",bty注册!$AA:$AA,"10")+COUNTIFS(bty注册!$X:$X,"paddy",bty注册!$AA:$AA,"11")</f>
        <v>0</v>
      </c>
      <c r="J55" s="244">
        <f>COUNTIFS(bty注册!$X:$X,"paddy",bty注册!$AA:$AA,"12")+COUNTIFS(bty注册!$X:$X,"paddy",bty注册!$AA:$AA,"13")</f>
        <v>1</v>
      </c>
      <c r="K55" s="244">
        <f>COUNTIFS(bty注册!$X:$X,"paddy",bty注册!$AA:$AA,"14")+COUNTIFS(bty注册!$X:$X,"paddy",bty注册!$AA:$AA,"15")</f>
        <v>0</v>
      </c>
      <c r="L55" s="244">
        <f>COUNTIFS(bty注册!$X:$X,"paddy",bty注册!$AA:$AA,"16")+COUNTIFS(bty注册!$X:$X,"paddy",bty注册!$AA:$AA,"17")</f>
        <v>0</v>
      </c>
      <c r="M55" s="244">
        <f>COUNTIFS(bty注册!$X:$X,"paddy",bty注册!$AA:$AA,"18")+COUNTIFS(bty注册!$X:$X,"paddy",bty注册!$AA:$AA,"19")</f>
        <v>1</v>
      </c>
      <c r="N55" s="244">
        <f>COUNTIFS(bty注册!$X:$X,"paddy",bty注册!$AA:$AA,"20")+COUNTIFS(bty注册!$X:$X,"paddy",bty注册!$AA:$AA,"21")</f>
        <v>0</v>
      </c>
      <c r="O55" s="254">
        <f>COUNTIFS(bty注册!$X:$X,"paddy",bty注册!$AA:$AA,"22")+COUNTIFS(bty注册!$X:$X,"paddy",bty注册!$AA:$AA,"23")</f>
        <v>1</v>
      </c>
    </row>
    <row r="56" spans="1:15">
      <c r="A56" s="240" t="s">
        <v>71</v>
      </c>
      <c r="B56" s="47" t="s">
        <v>5</v>
      </c>
      <c r="C56" s="241">
        <f>C55/C54</f>
        <v>0.0588235294117647</v>
      </c>
      <c r="D56" s="241">
        <f t="shared" ref="D56:O56" si="26">IFERROR(D55/D54,0)</f>
        <v>0</v>
      </c>
      <c r="E56" s="241">
        <f t="shared" si="26"/>
        <v>0</v>
      </c>
      <c r="F56" s="241">
        <f t="shared" si="26"/>
        <v>0</v>
      </c>
      <c r="G56" s="241">
        <f t="shared" si="26"/>
        <v>0</v>
      </c>
      <c r="H56" s="241">
        <f t="shared" si="26"/>
        <v>0</v>
      </c>
      <c r="I56" s="241">
        <f t="shared" si="26"/>
        <v>0</v>
      </c>
      <c r="J56" s="241">
        <f t="shared" si="26"/>
        <v>0.2</v>
      </c>
      <c r="K56" s="241">
        <f t="shared" si="26"/>
        <v>0</v>
      </c>
      <c r="L56" s="241">
        <f t="shared" si="26"/>
        <v>0</v>
      </c>
      <c r="M56" s="241">
        <f t="shared" si="26"/>
        <v>0.0909090909090909</v>
      </c>
      <c r="N56" s="241">
        <f t="shared" si="26"/>
        <v>0</v>
      </c>
      <c r="O56" s="252">
        <f t="shared" si="26"/>
        <v>0.166666666666667</v>
      </c>
    </row>
    <row r="57" spans="1:15">
      <c r="A57" s="242" t="s">
        <v>71</v>
      </c>
      <c r="B57" s="43" t="s">
        <v>6</v>
      </c>
      <c r="C57" s="15">
        <f>SUM(D57:O57)</f>
        <v>2</v>
      </c>
      <c r="D57" s="244">
        <f>COUNTIFS(bty首充!$H:$H,"paddy",bty首充!$J:$J,"0")+COUNTIFS(bty首充!$H:$H,"paddy",bty首充!$J:$J,"1")</f>
        <v>0</v>
      </c>
      <c r="E57" s="244">
        <f>COUNTIFS(bty首充!$H:$H,"paddy",bty首充!$J:$J,"2")+COUNTIFS(bty首充!$H:$H,"paddy",bty首充!$J:$J,"3")</f>
        <v>0</v>
      </c>
      <c r="F57" s="244">
        <f>COUNTIFS(bty首充!$H:$H,"paddy",bty首充!$J:$J,"4")+COUNTIFS(bty首充!$H:$H,"paddy",bty首充!$J:$J,"5")</f>
        <v>0</v>
      </c>
      <c r="G57" s="244">
        <f>COUNTIFS(bty首充!$H:$H,"paddy",bty首充!$J:$J,"6")+COUNTIFS(bty首充!$H:$H,"paddy",bty首充!$J:$J,"7")</f>
        <v>0</v>
      </c>
      <c r="H57" s="244">
        <f>COUNTIFS(bty首充!$H:$H,"paddy",bty首充!$J:$J,"8")+COUNTIFS(bty首充!$H:$H,"paddy",bty首充!$J:$J,"9")</f>
        <v>0</v>
      </c>
      <c r="I57" s="244">
        <f>COUNTIFS(bty首充!$H:$H,"paddy",bty首充!$J:$J,"10")+COUNTIFS(bty首充!$H:$H,"paddy",bty首充!$J:$J,"11")</f>
        <v>0</v>
      </c>
      <c r="J57" s="244">
        <f>COUNTIFS(bty首充!$H:$H,"paddy",bty首充!$J:$J,"12")+COUNTIFS(bty首充!$H:$H,"paddy",bty首充!$J:$J,"13")</f>
        <v>0</v>
      </c>
      <c r="K57" s="244">
        <f>COUNTIFS(bty首充!$H:$H,"paddy",bty首充!$J:$J,"14")+COUNTIFS(bty首充!$H:$H,"paddy",bty首充!$J:$J,"15")</f>
        <v>0</v>
      </c>
      <c r="L57" s="244">
        <f>COUNTIFS(bty首充!$H:$H,"paddy",bty首充!$J:$J,"16")+COUNTIFS(bty首充!$H:$H,"paddy",bty首充!$J:$J,"17")</f>
        <v>0</v>
      </c>
      <c r="M57" s="244">
        <f>COUNTIFS(bty首充!$H:$H,"paddy",bty首充!$J:$J,"18")+COUNTIFS(bty首充!$H:$H,"paddy",bty首充!$J:$J,"19")</f>
        <v>1</v>
      </c>
      <c r="N57" s="244">
        <f>COUNTIFS(bty首充!$H:$H,"paddy",bty首充!$J:$J,"20")+COUNTIFS(bty首充!$H:$H,"paddy",bty首充!$J:$J,"21")</f>
        <v>0</v>
      </c>
      <c r="O57" s="254">
        <f>COUNTIFS(bty首充!$H:$H,"paddy",bty首充!$J:$J,"22")+COUNTIFS(bty首充!$H:$H,"paddy",bty首充!$J:$J,"23")</f>
        <v>1</v>
      </c>
    </row>
    <row r="58" ht="14.25" spans="1:15">
      <c r="A58" s="245" t="s">
        <v>71</v>
      </c>
      <c r="B58" s="52" t="s">
        <v>64</v>
      </c>
      <c r="C58" s="19">
        <f>C57/C55</f>
        <v>0.666666666666667</v>
      </c>
      <c r="D58" s="19" t="e">
        <f t="shared" ref="D58:O58" si="27">D57/D55</f>
        <v>#DIV/0!</v>
      </c>
      <c r="E58" s="19" t="e">
        <f t="shared" si="27"/>
        <v>#DIV/0!</v>
      </c>
      <c r="F58" s="19" t="e">
        <f t="shared" si="27"/>
        <v>#DIV/0!</v>
      </c>
      <c r="G58" s="19" t="e">
        <f t="shared" si="27"/>
        <v>#DIV/0!</v>
      </c>
      <c r="H58" s="19" t="e">
        <f t="shared" si="27"/>
        <v>#DIV/0!</v>
      </c>
      <c r="I58" s="19" t="e">
        <f t="shared" si="27"/>
        <v>#DIV/0!</v>
      </c>
      <c r="J58" s="19">
        <f t="shared" si="27"/>
        <v>0</v>
      </c>
      <c r="K58" s="19" t="e">
        <f t="shared" si="27"/>
        <v>#DIV/0!</v>
      </c>
      <c r="L58" s="19" t="e">
        <f t="shared" si="27"/>
        <v>#DIV/0!</v>
      </c>
      <c r="M58" s="19">
        <f t="shared" si="27"/>
        <v>1</v>
      </c>
      <c r="N58" s="19" t="e">
        <f t="shared" si="27"/>
        <v>#DIV/0!</v>
      </c>
      <c r="O58" s="19">
        <f t="shared" si="27"/>
        <v>1</v>
      </c>
    </row>
    <row r="59" spans="1:15">
      <c r="A59" s="240" t="s">
        <v>72</v>
      </c>
      <c r="B59" s="47" t="s">
        <v>55</v>
      </c>
      <c r="C59" s="12">
        <f>C61/C60</f>
        <v>0.116179337231969</v>
      </c>
      <c r="D59" s="241">
        <f t="shared" ref="D59:O59" si="28">D61/D60</f>
        <v>0.230769230769231</v>
      </c>
      <c r="E59" s="241">
        <f t="shared" si="28"/>
        <v>0.246575342465753</v>
      </c>
      <c r="F59" s="241">
        <f t="shared" si="28"/>
        <v>0.341463414634146</v>
      </c>
      <c r="G59" s="241">
        <f t="shared" si="28"/>
        <v>0.114864864864865</v>
      </c>
      <c r="H59" s="241">
        <f t="shared" si="28"/>
        <v>0.127450980392157</v>
      </c>
      <c r="I59" s="241">
        <f t="shared" si="28"/>
        <v>0.0912698412698413</v>
      </c>
      <c r="J59" s="241">
        <f t="shared" si="28"/>
        <v>0.117647058823529</v>
      </c>
      <c r="K59" s="241">
        <f t="shared" si="28"/>
        <v>0.0989010989010989</v>
      </c>
      <c r="L59" s="241">
        <f t="shared" si="28"/>
        <v>0.069204152249135</v>
      </c>
      <c r="M59" s="241">
        <f t="shared" si="28"/>
        <v>0.0875</v>
      </c>
      <c r="N59" s="241">
        <f t="shared" si="28"/>
        <v>0.116022099447514</v>
      </c>
      <c r="O59" s="252">
        <f t="shared" si="28"/>
        <v>0.0899653979238754</v>
      </c>
    </row>
    <row r="60" spans="1:15">
      <c r="A60" s="242" t="s">
        <v>72</v>
      </c>
      <c r="B60" s="43" t="s">
        <v>57</v>
      </c>
      <c r="C60" s="15">
        <f t="shared" ref="C60:C62" si="29">SUM(D60:O60)</f>
        <v>2565</v>
      </c>
      <c r="D60" s="243">
        <f>SUMIFS([1]趋势分析!$F:$F,[1]趋势分析!$A:$A,"ben.com",[1]趋势分析!$C:$C,"00")/2+SUMIFS([1]趋势分析!$F:$F,[1]趋势分析!$A:$A,"ben.com",[1]趋势分析!$C:$C,"01")/2</f>
        <v>156</v>
      </c>
      <c r="E60" s="243">
        <f>SUMIFS([1]趋势分析!$F:$F,[1]趋势分析!$A:$A,"ben.com",[1]趋势分析!$C:$C,"02")/2+SUMIFS([1]趋势分析!$F:$F,[1]趋势分析!$A:$A,"ben.com",[1]趋势分析!$C:$C,"03")/2</f>
        <v>73</v>
      </c>
      <c r="F60" s="243">
        <f>SUMIFS([1]趋势分析!$F:$F,[1]趋势分析!$A:$A,"ben.com",[1]趋势分析!$C:$C,"04")/2+SUMIFS([1]趋势分析!$F:$F,[1]趋势分析!$A:$A,"ben.com",[1]趋势分析!$C:$C,"05")/2</f>
        <v>41</v>
      </c>
      <c r="G60" s="243">
        <f>SUMIFS([1]趋势分析!$F:$F,[1]趋势分析!$A:$A,"ben.com",[1]趋势分析!$C:$C,"06")/2+SUMIFS([1]趋势分析!$F:$F,[1]趋势分析!$A:$A,"ben.com",[1]趋势分析!$C:$C,"07")/2</f>
        <v>148</v>
      </c>
      <c r="H60" s="243">
        <f>SUMIFS([1]趋势分析!$F:$F,[1]趋势分析!$A:$A,"ben.com",[1]趋势分析!$C:$C,"08")/2+SUMIFS([1]趋势分析!$F:$F,[1]趋势分析!$A:$A,"ben.com",[1]趋势分析!$C:$C,"09")/2</f>
        <v>204</v>
      </c>
      <c r="I60" s="243">
        <f>SUMIFS([1]趋势分析!$F:$F,[1]趋势分析!$A:$A,"ben.com",[1]趋势分析!$C:$C,"10")/2+SUMIFS([1]趋势分析!$F:$F,[1]趋势分析!$A:$A,"ben.com",[1]趋势分析!$C:$C,"11")/2</f>
        <v>252</v>
      </c>
      <c r="J60" s="243">
        <f>SUMIFS([1]趋势分析!$F:$F,[1]趋势分析!$A:$A,"ben.com",[1]趋势分析!$C:$C,"12")/2+SUMIFS([1]趋势分析!$F:$F,[1]趋势分析!$A:$A,"ben.com",[1]趋势分析!$C:$C,"13")/2</f>
        <v>238</v>
      </c>
      <c r="K60" s="243">
        <f>SUMIFS([1]趋势分析!$F:$F,[1]趋势分析!$A:$A,"ben.com",[1]趋势分析!$C:$C,"14")/2+SUMIFS([1]趋势分析!$F:$F,[1]趋势分析!$A:$A,"ben.com",[1]趋势分析!$C:$C,"15")/2</f>
        <v>273</v>
      </c>
      <c r="L60" s="243">
        <f>SUMIFS([1]趋势分析!$F:$F,[1]趋势分析!$A:$A,"ben.com",[1]趋势分析!$C:$C,"16")/2+SUMIFS([1]趋势分析!$F:$F,[1]趋势分析!$A:$A,"ben.com",[1]趋势分析!$C:$C,"17")/2</f>
        <v>289</v>
      </c>
      <c r="M60" s="243">
        <f>SUMIFS([1]趋势分析!$F:$F,[1]趋势分析!$A:$A,"ben.com",[1]趋势分析!$C:$C,"18")/2+SUMIFS([1]趋势分析!$F:$F,[1]趋势分析!$A:$A,"ben.com",[1]趋势分析!$C:$C,"19")/2</f>
        <v>240</v>
      </c>
      <c r="N60" s="243">
        <f>SUMIFS([1]趋势分析!$F:$F,[1]趋势分析!$A:$A,"ben.com",[1]趋势分析!$C:$C,"20")/2+SUMIFS([1]趋势分析!$F:$F,[1]趋势分析!$A:$A,"ben.com",[1]趋势分析!$C:$C,"21")/2</f>
        <v>362</v>
      </c>
      <c r="O60" s="253">
        <f>SUMIFS([1]趋势分析!$F:$F,[1]趋势分析!$A:$A,"ben.com",[1]趋势分析!$C:$C,"22")/2+SUMIFS([1]趋势分析!$F:$F,[1]趋势分析!$A:$A,"ben.com",[1]趋势分析!$C:$C,"23")/2</f>
        <v>289</v>
      </c>
    </row>
    <row r="61" spans="1:15">
      <c r="A61" s="240" t="s">
        <v>72</v>
      </c>
      <c r="B61" s="47" t="s">
        <v>59</v>
      </c>
      <c r="C61" s="15">
        <f t="shared" si="29"/>
        <v>298</v>
      </c>
      <c r="D61" s="243">
        <f>SUMIFS([1]趋势分析!$F:$F,[1]趋势分析!$A:$A,"ben.bty",[1]趋势分析!$C:$C,"00")+SUMIFS([1]趋势分析!$F:$F,[1]趋势分析!$A:$A,"ben.bty",[1]趋势分析!$C:$C,"01")</f>
        <v>36</v>
      </c>
      <c r="E61" s="243">
        <f>SUMIFS([1]趋势分析!$F:$F,[1]趋势分析!$A:$A,"ben.bty",[1]趋势分析!$C:$C,"02")+SUMIFS([1]趋势分析!$F:$F,[1]趋势分析!$A:$A,"ben.bty",[1]趋势分析!$C:$C,"03")</f>
        <v>18</v>
      </c>
      <c r="F61" s="243">
        <f>SUMIFS([1]趋势分析!$F:$F,[1]趋势分析!$A:$A,"ben.bty",[1]趋势分析!$C:$C,"04")+SUMIFS([1]趋势分析!$F:$F,[1]趋势分析!$A:$A,"ben.bty",[1]趋势分析!$C:$C,"05")</f>
        <v>14</v>
      </c>
      <c r="G61" s="243">
        <f>SUMIFS([1]趋势分析!$F:$F,[1]趋势分析!$A:$A,"ben.bty",[1]趋势分析!$C:$C,"06")+SUMIFS([1]趋势分析!$F:$F,[1]趋势分析!$A:$A,"ben.bty",[1]趋势分析!$C:$C,"07")</f>
        <v>17</v>
      </c>
      <c r="H61" s="243">
        <f>SUMIFS([1]趋势分析!$F:$F,[1]趋势分析!$A:$A,"ben.bty",[1]趋势分析!$C:$C,"08")+SUMIFS([1]趋势分析!$F:$F,[1]趋势分析!$A:$A,"ben.bty",[1]趋势分析!$C:$C,"09")</f>
        <v>26</v>
      </c>
      <c r="I61" s="243">
        <f>SUMIFS([1]趋势分析!$F:$F,[1]趋势分析!$A:$A,"ben.bty",[1]趋势分析!$C:$C,"10")+SUMIFS([1]趋势分析!$F:$F,[1]趋势分析!$A:$A,"ben.bty",[1]趋势分析!$C:$C,"11")</f>
        <v>23</v>
      </c>
      <c r="J61" s="243">
        <f>SUMIFS([1]趋势分析!$F:$F,[1]趋势分析!$A:$A,"ben.bty",[1]趋势分析!$C:$C,"12")+SUMIFS([1]趋势分析!$F:$F,[1]趋势分析!$A:$A,"ben.bty",[1]趋势分析!$C:$C,"13")</f>
        <v>28</v>
      </c>
      <c r="K61" s="243">
        <f>SUMIFS([1]趋势分析!$F:$F,[1]趋势分析!$A:$A,"ben.bty",[1]趋势分析!$C:$C,"14")+SUMIFS([1]趋势分析!$F:$F,[1]趋势分析!$A:$A,"ben.bty",[1]趋势分析!$C:$C,"15")</f>
        <v>27</v>
      </c>
      <c r="L61" s="243">
        <f>SUMIFS([1]趋势分析!$F:$F,[1]趋势分析!$A:$A,"ben.bty",[1]趋势分析!$C:$C,"16")+SUMIFS([1]趋势分析!$F:$F,[1]趋势分析!$A:$A,"ben.bty",[1]趋势分析!$C:$C,"17")</f>
        <v>20</v>
      </c>
      <c r="M61" s="243">
        <f>SUMIFS([1]趋势分析!$F:$F,[1]趋势分析!$A:$A,"ben.bty",[1]趋势分析!$C:$C,"18")+SUMIFS([1]趋势分析!$F:$F,[1]趋势分析!$A:$A,"ben.bty",[1]趋势分析!$C:$C,"19")</f>
        <v>21</v>
      </c>
      <c r="N61" s="243">
        <f>SUMIFS([1]趋势分析!$F:$F,[1]趋势分析!$A:$A,"ben.bty",[1]趋势分析!$C:$C,"20")+SUMIFS([1]趋势分析!$F:$F,[1]趋势分析!$A:$A,"ben.bty",[1]趋势分析!$C:$C,"21")</f>
        <v>42</v>
      </c>
      <c r="O61" s="253">
        <f>SUMIFS([1]趋势分析!$F:$F,[1]趋势分析!$A:$A,"ben.bty",[1]趋势分析!$C:$C,"22")+SUMIFS([1]趋势分析!$F:$F,[1]趋势分析!$A:$A,"ben.bty",[1]趋势分析!$C:$C,"23")</f>
        <v>26</v>
      </c>
    </row>
    <row r="62" spans="1:15">
      <c r="A62" s="242" t="s">
        <v>72</v>
      </c>
      <c r="B62" s="43" t="s">
        <v>4</v>
      </c>
      <c r="C62" s="15">
        <f t="shared" si="29"/>
        <v>14</v>
      </c>
      <c r="D62" s="244">
        <f>COUNTIFS(bty注册!$X:$X,"ben",bty注册!$AA:$AA,"0")+COUNTIFS(bty注册!$X:$X,"ben",bty注册!$AA:$AA,"1")</f>
        <v>2</v>
      </c>
      <c r="E62" s="244">
        <f>COUNTIFS(bty注册!$X:$X,"ben",bty注册!$AA:$AA,"2")+COUNTIFS(bty注册!$X:$X,"ben",bty注册!$AA:$AA,"3")</f>
        <v>0</v>
      </c>
      <c r="F62" s="244">
        <f>COUNTIFS(bty注册!$X:$X,"ben",bty注册!$AA:$AA,"4")+COUNTIFS(bty注册!$X:$X,"ben",bty注册!$AA:$AA,"5")</f>
        <v>2</v>
      </c>
      <c r="G62" s="244">
        <f>COUNTIFS(bty注册!$X:$X,"ben",bty注册!$AA:$AA,"6")+COUNTIFS(bty注册!$X:$X,"ben",bty注册!$AA:$AA,"7")</f>
        <v>0</v>
      </c>
      <c r="H62" s="244">
        <f>COUNTIFS(bty注册!$X:$X,"ben",bty注册!$AA:$AA,"8")+COUNTIFS(bty注册!$X:$X,"ben",bty注册!$AA:$AA,"9")</f>
        <v>3</v>
      </c>
      <c r="I62" s="244">
        <f>COUNTIFS(bty注册!$X:$X,"ben",bty注册!$AA:$AA,"10")+COUNTIFS(bty注册!$X:$X,"ben",bty注册!$AA:$AA,"11")</f>
        <v>0</v>
      </c>
      <c r="J62" s="244">
        <f>COUNTIFS(bty注册!$X:$X,"ben",bty注册!$AA:$AA,"12")+COUNTIFS(bty注册!$X:$X,"ben",bty注册!$AA:$AA,"13")</f>
        <v>1</v>
      </c>
      <c r="K62" s="244">
        <f>COUNTIFS(bty注册!$X:$X,"ben",bty注册!$AA:$AA,"14")+COUNTIFS(bty注册!$X:$X,"ben",bty注册!$AA:$AA,"15")</f>
        <v>0</v>
      </c>
      <c r="L62" s="244">
        <f>COUNTIFS(bty注册!$X:$X,"ben",bty注册!$AA:$AA,"16")+COUNTIFS(bty注册!$X:$X,"ben",bty注册!$AA:$AA,"17")</f>
        <v>3</v>
      </c>
      <c r="M62" s="244">
        <f>COUNTIFS(bty注册!$X:$X,"ben",bty注册!$AA:$AA,"18")+COUNTIFS(bty注册!$X:$X,"ben",bty注册!$AA:$AA,"19")</f>
        <v>0</v>
      </c>
      <c r="N62" s="244">
        <f>COUNTIFS(bty注册!$X:$X,"ben",bty注册!$AA:$AA,"20")+COUNTIFS(bty注册!$X:$X,"ben",bty注册!$AA:$AA,"21")</f>
        <v>2</v>
      </c>
      <c r="O62" s="254">
        <f>COUNTIFS(bty注册!$X:$X,"ben",bty注册!$AA:$AA,"22")+COUNTIFS(bty注册!$X:$X,"ben",bty注册!$AA:$AA,"23")</f>
        <v>1</v>
      </c>
    </row>
    <row r="63" spans="1:15">
      <c r="A63" s="240" t="s">
        <v>72</v>
      </c>
      <c r="B63" s="47" t="s">
        <v>5</v>
      </c>
      <c r="C63" s="12">
        <f>C62/C61</f>
        <v>0.0469798657718121</v>
      </c>
      <c r="D63" s="241">
        <f>IFERROR(D62/D61,0)</f>
        <v>0.0555555555555556</v>
      </c>
      <c r="E63" s="241">
        <f t="shared" ref="E63:O63" si="30">IFERROR(E62/E61,0)</f>
        <v>0</v>
      </c>
      <c r="F63" s="241">
        <f t="shared" si="30"/>
        <v>0.142857142857143</v>
      </c>
      <c r="G63" s="241">
        <f t="shared" si="30"/>
        <v>0</v>
      </c>
      <c r="H63" s="241">
        <f t="shared" si="30"/>
        <v>0.115384615384615</v>
      </c>
      <c r="I63" s="241">
        <f t="shared" si="30"/>
        <v>0</v>
      </c>
      <c r="J63" s="241">
        <f t="shared" si="30"/>
        <v>0.0357142857142857</v>
      </c>
      <c r="K63" s="241">
        <f t="shared" si="30"/>
        <v>0</v>
      </c>
      <c r="L63" s="241">
        <f t="shared" si="30"/>
        <v>0.15</v>
      </c>
      <c r="M63" s="241">
        <f t="shared" si="30"/>
        <v>0</v>
      </c>
      <c r="N63" s="241">
        <f t="shared" si="30"/>
        <v>0.0476190476190476</v>
      </c>
      <c r="O63" s="252">
        <f t="shared" si="30"/>
        <v>0.0384615384615385</v>
      </c>
    </row>
    <row r="64" spans="1:15">
      <c r="A64" s="242" t="s">
        <v>72</v>
      </c>
      <c r="B64" s="43" t="s">
        <v>6</v>
      </c>
      <c r="C64" s="15">
        <f>SUM(D64:O64)</f>
        <v>6</v>
      </c>
      <c r="D64" s="244">
        <f>COUNTIFS(bty首充!$H:$H,"ben",bty首充!$J:$J,"0")+COUNTIFS(bty首充!$H:$H,"ben",bty首充!$J:$J,"1")</f>
        <v>0</v>
      </c>
      <c r="E64" s="244">
        <f>COUNTIFS(bty首充!$H:$H,"ben",bty首充!$J:$J,"2")+COUNTIFS(bty首充!$H:$H,"ben",bty首充!$J:$J,"3")</f>
        <v>0</v>
      </c>
      <c r="F64" s="244">
        <f>COUNTIFS(bty首充!$H:$H,"ben",bty首充!$J:$J,"4")+COUNTIFS(bty首充!$H:$H,"ben",bty首充!$J:$J,"5")</f>
        <v>0</v>
      </c>
      <c r="G64" s="244">
        <f>COUNTIFS(bty首充!$H:$H,"ben",bty首充!$J:$J,"6")+COUNTIFS(bty首充!$H:$H,"ben",bty首充!$J:$J,"7")</f>
        <v>0</v>
      </c>
      <c r="H64" s="244">
        <f>COUNTIFS(bty首充!$H:$H,"ben",bty首充!$J:$J,"8")+COUNTIFS(bty首充!$H:$H,"ben",bty首充!$J:$J,"9")</f>
        <v>1</v>
      </c>
      <c r="I64" s="244">
        <f>COUNTIFS(bty首充!$H:$H,"ben",bty首充!$J:$J,"10")+COUNTIFS(bty首充!$H:$H,"ben",bty首充!$J:$J,"11")</f>
        <v>0</v>
      </c>
      <c r="J64" s="244">
        <f>COUNTIFS(bty首充!$H:$H,"ben",bty首充!$J:$J,"12")+COUNTIFS(bty首充!$H:$H,"ben",bty首充!$J:$J,"13")</f>
        <v>0</v>
      </c>
      <c r="K64" s="244">
        <f>COUNTIFS(bty首充!$H:$H,"ben",bty首充!$J:$J,"14")+COUNTIFS(bty首充!$H:$H,"ben",bty首充!$J:$J,"15")</f>
        <v>1</v>
      </c>
      <c r="L64" s="244">
        <f>COUNTIFS(bty首充!$H:$H,"ben",bty首充!$J:$J,"16")+COUNTIFS(bty首充!$H:$H,"ben",bty首充!$J:$J,"17")</f>
        <v>2</v>
      </c>
      <c r="M64" s="244">
        <f>COUNTIFS(bty首充!$H:$H,"ben",bty首充!$J:$J,"18")+COUNTIFS(bty首充!$H:$H,"ben",bty首充!$J:$J,"19")</f>
        <v>0</v>
      </c>
      <c r="N64" s="244">
        <f>COUNTIFS(bty首充!$H:$H,"ben",bty首充!$J:$J,"20")+COUNTIFS(bty首充!$H:$H,"ben",bty首充!$J:$J,"21")</f>
        <v>2</v>
      </c>
      <c r="O64" s="254">
        <f>COUNTIFS(bty首充!$H:$H,"ben",bty首充!$J:$J,"22")+COUNTIFS(bty首充!$H:$H,"ben",bty首充!$J:$J,"23")</f>
        <v>0</v>
      </c>
    </row>
    <row r="65" ht="14.25" spans="1:15">
      <c r="A65" s="245" t="s">
        <v>72</v>
      </c>
      <c r="B65" s="52" t="s">
        <v>64</v>
      </c>
      <c r="C65" s="19">
        <f>C64/C62</f>
        <v>0.428571428571429</v>
      </c>
      <c r="D65" s="19">
        <f t="shared" ref="D65:O65" si="31">D64/D62</f>
        <v>0</v>
      </c>
      <c r="E65" s="19" t="e">
        <f t="shared" si="31"/>
        <v>#DIV/0!</v>
      </c>
      <c r="F65" s="19">
        <f t="shared" si="31"/>
        <v>0</v>
      </c>
      <c r="G65" s="19" t="e">
        <f t="shared" si="31"/>
        <v>#DIV/0!</v>
      </c>
      <c r="H65" s="19">
        <f t="shared" si="31"/>
        <v>0.333333333333333</v>
      </c>
      <c r="I65" s="19" t="e">
        <f t="shared" si="31"/>
        <v>#DIV/0!</v>
      </c>
      <c r="J65" s="19">
        <f t="shared" si="31"/>
        <v>0</v>
      </c>
      <c r="K65" s="19" t="e">
        <f t="shared" si="31"/>
        <v>#DIV/0!</v>
      </c>
      <c r="L65" s="19">
        <f t="shared" si="31"/>
        <v>0.666666666666667</v>
      </c>
      <c r="M65" s="19" t="e">
        <f t="shared" si="31"/>
        <v>#DIV/0!</v>
      </c>
      <c r="N65" s="19">
        <f t="shared" si="31"/>
        <v>1</v>
      </c>
      <c r="O65" s="19">
        <f t="shared" si="31"/>
        <v>0</v>
      </c>
    </row>
  </sheetData>
  <mergeCells count="3">
    <mergeCell ref="A1:O1"/>
    <mergeCell ref="A2:B2"/>
    <mergeCell ref="Q2:R2"/>
  </mergeCells>
  <conditionalFormatting sqref="S3">
    <cfRule type="expression" dxfId="4" priority="86">
      <formula>S3&lt;AH3</formula>
    </cfRule>
  </conditionalFormatting>
  <conditionalFormatting sqref="S7">
    <cfRule type="expression" dxfId="4" priority="85">
      <formula>S7&lt;AH7</formula>
    </cfRule>
  </conditionalFormatting>
  <conditionalFormatting sqref="S14">
    <cfRule type="expression" dxfId="4" priority="81">
      <formula>S14&lt;AH14</formula>
    </cfRule>
  </conditionalFormatting>
  <conditionalFormatting sqref="S21">
    <cfRule type="expression" dxfId="4" priority="77">
      <formula>S21&lt;AH21</formula>
    </cfRule>
  </conditionalFormatting>
  <conditionalFormatting sqref="S28">
    <cfRule type="expression" dxfId="4" priority="73">
      <formula>S28&lt;AH28</formula>
    </cfRule>
  </conditionalFormatting>
  <conditionalFormatting sqref="S35">
    <cfRule type="expression" dxfId="4" priority="69">
      <formula>S35&lt;AH35</formula>
    </cfRule>
  </conditionalFormatting>
  <conditionalFormatting sqref="S42">
    <cfRule type="expression" dxfId="4" priority="65">
      <formula>S42&lt;AH42</formula>
    </cfRule>
  </conditionalFormatting>
  <conditionalFormatting sqref="S49">
    <cfRule type="expression" dxfId="4" priority="61">
      <formula>S49&lt;AH49</formula>
    </cfRule>
  </conditionalFormatting>
  <conditionalFormatting sqref="S51">
    <cfRule type="expression" dxfId="4" priority="60">
      <formula>S51&lt;AH51</formula>
    </cfRule>
  </conditionalFormatting>
  <conditionalFormatting sqref="C2:C50">
    <cfRule type="expression" dxfId="4" priority="3">
      <formula>C2&lt;S2</formula>
    </cfRule>
  </conditionalFormatting>
  <conditionalFormatting sqref="S9:S10">
    <cfRule type="expression" dxfId="4" priority="82">
      <formula>S9&lt;AH9</formula>
    </cfRule>
  </conditionalFormatting>
  <conditionalFormatting sqref="S16:S17">
    <cfRule type="expression" dxfId="4" priority="78">
      <formula>S16&lt;AH16</formula>
    </cfRule>
  </conditionalFormatting>
  <conditionalFormatting sqref="S23:S24">
    <cfRule type="expression" dxfId="4" priority="74">
      <formula>S23&lt;AH23</formula>
    </cfRule>
  </conditionalFormatting>
  <conditionalFormatting sqref="S30:S31">
    <cfRule type="expression" dxfId="4" priority="70">
      <formula>S30&lt;AH30</formula>
    </cfRule>
  </conditionalFormatting>
  <conditionalFormatting sqref="S37:S38">
    <cfRule type="expression" dxfId="4" priority="66">
      <formula>S37&lt;AH37</formula>
    </cfRule>
  </conditionalFormatting>
  <conditionalFormatting sqref="S44:S45">
    <cfRule type="expression" dxfId="4" priority="62">
      <formula>S44&lt;AH44</formula>
    </cfRule>
  </conditionalFormatting>
  <conditionalFormatting sqref="D3:O50">
    <cfRule type="expression" dxfId="4" priority="88">
      <formula>D3&lt;T3</formula>
    </cfRule>
  </conditionalFormatting>
  <conditionalFormatting sqref="C51:O65">
    <cfRule type="expression" dxfId="4" priority="1">
      <formula>C51&lt;S51</formula>
    </cfRule>
  </conditionalFormatting>
  <conditionalFormatting sqref="D59:O64">
    <cfRule type="expression" dxfId="4" priority="25">
      <formula>D59&lt;T59</formula>
    </cfRule>
  </conditionalFormatting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:AF1351"/>
  <sheetViews>
    <sheetView topLeftCell="C1" workbookViewId="0">
      <pane ySplit="1" topLeftCell="A2" activePane="bottomLeft" state="frozen"/>
      <selection/>
      <selection pane="bottomLeft" activeCell="Z10" sqref="Z10"/>
    </sheetView>
  </sheetViews>
  <sheetFormatPr defaultColWidth="10" defaultRowHeight="13.5"/>
  <cols>
    <col min="1" max="2" width="12.125" customWidth="1"/>
    <col min="3" max="3" width="12.625" customWidth="1"/>
    <col min="4" max="12" width="6.25" customWidth="1"/>
    <col min="13" max="13" width="15.375" customWidth="1"/>
    <col min="14" max="16" width="6.25" customWidth="1"/>
    <col min="17" max="17" width="11.75" customWidth="1"/>
    <col min="18" max="25" width="6.25" customWidth="1"/>
    <col min="26" max="27" width="7.875" customWidth="1"/>
    <col min="29" max="29" width="8.875" customWidth="1"/>
    <col min="30" max="30" width="8.375" customWidth="1"/>
    <col min="31" max="32" width="10.375"/>
  </cols>
  <sheetData>
    <row r="1" ht="22.5" spans="1:32">
      <c r="A1" s="314" t="s">
        <v>73</v>
      </c>
      <c r="B1" s="314" t="s">
        <v>74</v>
      </c>
      <c r="C1" s="314" t="s">
        <v>75</v>
      </c>
      <c r="D1" s="314" t="s">
        <v>76</v>
      </c>
      <c r="E1" s="314" t="s">
        <v>77</v>
      </c>
      <c r="F1" s="314" t="s">
        <v>78</v>
      </c>
      <c r="G1" s="314" t="s">
        <v>79</v>
      </c>
      <c r="H1" s="314" t="s">
        <v>80</v>
      </c>
      <c r="I1" s="314" t="s">
        <v>81</v>
      </c>
      <c r="J1" s="314" t="s">
        <v>82</v>
      </c>
      <c r="K1" s="314" t="s">
        <v>83</v>
      </c>
      <c r="L1" s="314" t="s">
        <v>84</v>
      </c>
      <c r="M1" s="314" t="s">
        <v>85</v>
      </c>
      <c r="N1" s="314" t="s">
        <v>86</v>
      </c>
      <c r="O1" s="314" t="s">
        <v>87</v>
      </c>
      <c r="P1" s="314" t="s">
        <v>88</v>
      </c>
      <c r="Q1" s="314" t="s">
        <v>89</v>
      </c>
      <c r="R1" s="314" t="s">
        <v>90</v>
      </c>
      <c r="S1" s="314" t="s">
        <v>91</v>
      </c>
      <c r="T1" s="314" t="s">
        <v>92</v>
      </c>
      <c r="U1" s="314" t="s">
        <v>93</v>
      </c>
      <c r="V1" s="314" t="s">
        <v>94</v>
      </c>
      <c r="W1" s="314" t="s">
        <v>95</v>
      </c>
      <c r="X1" t="s">
        <v>96</v>
      </c>
      <c r="Y1" s="317" t="s">
        <v>97</v>
      </c>
      <c r="Z1" s="317" t="s">
        <v>98</v>
      </c>
      <c r="AA1" t="s">
        <v>99</v>
      </c>
      <c r="AB1" t="s">
        <v>8</v>
      </c>
      <c r="AC1" s="317" t="s">
        <v>100</v>
      </c>
      <c r="AD1" s="322">
        <f>COUNTA(A:A)</f>
        <v>1351</v>
      </c>
      <c r="AE1" t="s">
        <v>85</v>
      </c>
      <c r="AF1" t="s">
        <v>89</v>
      </c>
    </row>
    <row r="2" spans="1:32">
      <c r="A2" s="314" t="s">
        <v>101</v>
      </c>
      <c r="B2" s="314" t="s">
        <v>102</v>
      </c>
      <c r="C2" s="314">
        <v>15537491757</v>
      </c>
      <c r="D2" s="314" t="s">
        <v>103</v>
      </c>
      <c r="E2" s="314" t="s">
        <v>104</v>
      </c>
      <c r="F2" s="314" t="s">
        <v>105</v>
      </c>
      <c r="G2" s="314" t="s">
        <v>106</v>
      </c>
      <c r="H2" s="314" t="s">
        <v>107</v>
      </c>
      <c r="I2" s="314" t="s">
        <v>108</v>
      </c>
      <c r="J2" s="314" t="s">
        <v>109</v>
      </c>
      <c r="K2" s="314">
        <v>92.15</v>
      </c>
      <c r="L2" s="314">
        <v>300</v>
      </c>
      <c r="M2" s="315">
        <v>45145.9995486111</v>
      </c>
      <c r="N2" s="314" t="s">
        <v>110</v>
      </c>
      <c r="O2" s="314" t="s">
        <v>111</v>
      </c>
      <c r="P2" s="314" t="s">
        <v>112</v>
      </c>
      <c r="Q2" s="315">
        <v>45146.0187731481</v>
      </c>
      <c r="R2" s="315">
        <v>45146.1573032407</v>
      </c>
      <c r="S2" s="314" t="s">
        <v>110</v>
      </c>
      <c r="T2" s="314" t="s">
        <v>113</v>
      </c>
      <c r="U2" s="314" t="s">
        <v>113</v>
      </c>
      <c r="V2" s="314" t="s">
        <v>114</v>
      </c>
      <c r="W2" s="314"/>
      <c r="X2" s="314" t="str">
        <f>VLOOKUP(D2,代理总表!A:D,3,0)</f>
        <v>官网</v>
      </c>
      <c r="Y2" t="str">
        <f>VLOOKUP(D:D,代理总表!A:D,4,FALSE)</f>
        <v>官网</v>
      </c>
      <c r="Z2">
        <f>IF(RIGHT(H2,1)&gt;"0",1,0)</f>
        <v>1</v>
      </c>
      <c r="AA2">
        <f>HOUR(M2)</f>
        <v>23</v>
      </c>
      <c r="AB2">
        <f>IF(AE2=AF2,1,0)</f>
        <v>1</v>
      </c>
      <c r="AE2" s="318"/>
      <c r="AF2" s="318"/>
    </row>
    <row r="3" spans="1:28">
      <c r="A3" s="314" t="s">
        <v>115</v>
      </c>
      <c r="B3" s="314"/>
      <c r="C3" s="314">
        <v>907060765</v>
      </c>
      <c r="D3" s="314" t="s">
        <v>116</v>
      </c>
      <c r="E3" s="314" t="s">
        <v>117</v>
      </c>
      <c r="F3" s="314" t="s">
        <v>118</v>
      </c>
      <c r="G3" s="314" t="s">
        <v>108</v>
      </c>
      <c r="H3" s="314" t="s">
        <v>119</v>
      </c>
      <c r="I3" s="314" t="s">
        <v>108</v>
      </c>
      <c r="J3" s="314" t="s">
        <v>120</v>
      </c>
      <c r="K3" s="314">
        <v>0</v>
      </c>
      <c r="L3" s="314">
        <v>0</v>
      </c>
      <c r="M3" s="315">
        <v>45145.9989583333</v>
      </c>
      <c r="N3" s="314" t="s">
        <v>121</v>
      </c>
      <c r="O3" s="314" t="s">
        <v>122</v>
      </c>
      <c r="P3" s="314" t="s">
        <v>112</v>
      </c>
      <c r="Q3" s="314" t="s">
        <v>123</v>
      </c>
      <c r="R3" s="315">
        <v>45146.0053009259</v>
      </c>
      <c r="S3" s="314" t="s">
        <v>121</v>
      </c>
      <c r="T3" s="314" t="s">
        <v>124</v>
      </c>
      <c r="U3" s="314" t="s">
        <v>124</v>
      </c>
      <c r="V3" s="314" t="s">
        <v>114</v>
      </c>
      <c r="W3" s="314"/>
      <c r="X3" s="314" t="str">
        <f>VLOOKUP(D3,代理总表!A:D,3,0)</f>
        <v>外部代理总线</v>
      </c>
      <c r="Y3" t="str">
        <f>VLOOKUP(D:D,代理总表!A:D,4,FALSE)</f>
        <v>外部代理总线zh0808</v>
      </c>
      <c r="Z3">
        <f t="shared" ref="Z3:Z66" si="0">IF(RIGHT(H3,1)&gt;"0",1,0)</f>
        <v>0</v>
      </c>
      <c r="AA3">
        <f t="shared" ref="AA3:AA66" si="1">HOUR(M3)</f>
        <v>23</v>
      </c>
      <c r="AB3">
        <f t="shared" ref="AB3:AB66" si="2">IF(AE3=AF3,1,0)</f>
        <v>1</v>
      </c>
    </row>
    <row r="4" spans="1:28">
      <c r="A4" s="314" t="s">
        <v>125</v>
      </c>
      <c r="B4" s="314"/>
      <c r="C4" s="314"/>
      <c r="D4" s="314" t="s">
        <v>116</v>
      </c>
      <c r="E4" s="314" t="s">
        <v>117</v>
      </c>
      <c r="F4" s="314" t="s">
        <v>118</v>
      </c>
      <c r="G4" s="314" t="s">
        <v>108</v>
      </c>
      <c r="H4" s="314" t="s">
        <v>119</v>
      </c>
      <c r="I4" s="314" t="s">
        <v>108</v>
      </c>
      <c r="J4" s="314" t="s">
        <v>120</v>
      </c>
      <c r="K4" s="314">
        <v>0</v>
      </c>
      <c r="L4" s="314">
        <v>0</v>
      </c>
      <c r="M4" s="315">
        <v>45145.9986574074</v>
      </c>
      <c r="N4" s="314" t="s">
        <v>126</v>
      </c>
      <c r="O4" s="314" t="s">
        <v>127</v>
      </c>
      <c r="P4" s="314" t="s">
        <v>112</v>
      </c>
      <c r="Q4" s="314" t="s">
        <v>123</v>
      </c>
      <c r="R4" s="315">
        <v>45145.9986574074</v>
      </c>
      <c r="S4" s="314" t="s">
        <v>126</v>
      </c>
      <c r="T4" s="314" t="s">
        <v>128</v>
      </c>
      <c r="U4" s="314" t="s">
        <v>128</v>
      </c>
      <c r="V4" s="314" t="s">
        <v>114</v>
      </c>
      <c r="W4" s="314"/>
      <c r="X4" s="314" t="str">
        <f>VLOOKUP(D4,代理总表!A:D,3,0)</f>
        <v>外部代理总线</v>
      </c>
      <c r="Y4" t="str">
        <f>VLOOKUP(D:D,代理总表!A:D,4,FALSE)</f>
        <v>外部代理总线zh0808</v>
      </c>
      <c r="Z4">
        <f t="shared" si="0"/>
        <v>0</v>
      </c>
      <c r="AA4">
        <f t="shared" si="1"/>
        <v>23</v>
      </c>
      <c r="AB4">
        <f t="shared" si="2"/>
        <v>1</v>
      </c>
    </row>
    <row r="5" spans="1:28">
      <c r="A5" s="314" t="s">
        <v>129</v>
      </c>
      <c r="B5" s="314"/>
      <c r="C5" s="314">
        <v>563064572</v>
      </c>
      <c r="D5" s="314" t="s">
        <v>116</v>
      </c>
      <c r="E5" s="314" t="s">
        <v>117</v>
      </c>
      <c r="F5" s="314" t="s">
        <v>118</v>
      </c>
      <c r="G5" s="314" t="s">
        <v>108</v>
      </c>
      <c r="H5" s="314" t="s">
        <v>119</v>
      </c>
      <c r="I5" s="314" t="s">
        <v>108</v>
      </c>
      <c r="J5" s="314" t="s">
        <v>120</v>
      </c>
      <c r="K5" s="314">
        <v>0</v>
      </c>
      <c r="L5" s="314">
        <v>0</v>
      </c>
      <c r="M5" s="315">
        <v>45145.9981481481</v>
      </c>
      <c r="N5" s="314" t="s">
        <v>130</v>
      </c>
      <c r="O5" s="314" t="s">
        <v>122</v>
      </c>
      <c r="P5" s="314" t="s">
        <v>112</v>
      </c>
      <c r="Q5" s="314" t="s">
        <v>123</v>
      </c>
      <c r="R5" s="315">
        <v>45145.9981481481</v>
      </c>
      <c r="S5" s="314" t="s">
        <v>130</v>
      </c>
      <c r="T5" s="314" t="s">
        <v>131</v>
      </c>
      <c r="U5" s="314" t="s">
        <v>131</v>
      </c>
      <c r="V5" s="314" t="s">
        <v>114</v>
      </c>
      <c r="W5" s="314"/>
      <c r="X5" s="314" t="str">
        <f>VLOOKUP(D5,代理总表!A:D,3,0)</f>
        <v>外部代理总线</v>
      </c>
      <c r="Y5" t="str">
        <f>VLOOKUP(D:D,代理总表!A:D,4,FALSE)</f>
        <v>外部代理总线zh0808</v>
      </c>
      <c r="Z5">
        <f t="shared" si="0"/>
        <v>0</v>
      </c>
      <c r="AA5">
        <f t="shared" si="1"/>
        <v>23</v>
      </c>
      <c r="AB5">
        <f t="shared" si="2"/>
        <v>1</v>
      </c>
    </row>
    <row r="6" spans="1:28">
      <c r="A6" s="314" t="s">
        <v>132</v>
      </c>
      <c r="B6" s="314"/>
      <c r="C6" s="314"/>
      <c r="D6" s="314" t="s">
        <v>116</v>
      </c>
      <c r="E6" s="314" t="s">
        <v>117</v>
      </c>
      <c r="F6" s="314" t="s">
        <v>118</v>
      </c>
      <c r="G6" s="314" t="s">
        <v>108</v>
      </c>
      <c r="H6" s="314" t="s">
        <v>119</v>
      </c>
      <c r="I6" s="314" t="s">
        <v>108</v>
      </c>
      <c r="J6" s="314" t="s">
        <v>120</v>
      </c>
      <c r="K6" s="314">
        <v>0</v>
      </c>
      <c r="L6" s="314">
        <v>0</v>
      </c>
      <c r="M6" s="315">
        <v>45145.9973611111</v>
      </c>
      <c r="N6" s="314" t="s">
        <v>133</v>
      </c>
      <c r="O6" s="314" t="s">
        <v>122</v>
      </c>
      <c r="P6" s="314" t="s">
        <v>112</v>
      </c>
      <c r="Q6" s="314" t="s">
        <v>123</v>
      </c>
      <c r="R6" s="315">
        <v>45145.997349537</v>
      </c>
      <c r="S6" s="314" t="s">
        <v>133</v>
      </c>
      <c r="T6" s="314" t="s">
        <v>134</v>
      </c>
      <c r="U6" s="314" t="s">
        <v>134</v>
      </c>
      <c r="V6" s="314" t="s">
        <v>114</v>
      </c>
      <c r="W6" s="314"/>
      <c r="X6" s="314" t="str">
        <f>VLOOKUP(D6,代理总表!A:D,3,0)</f>
        <v>外部代理总线</v>
      </c>
      <c r="Y6" t="str">
        <f>VLOOKUP(D:D,代理总表!A:D,4,FALSE)</f>
        <v>外部代理总线zh0808</v>
      </c>
      <c r="Z6">
        <f t="shared" si="0"/>
        <v>0</v>
      </c>
      <c r="AA6">
        <f t="shared" si="1"/>
        <v>23</v>
      </c>
      <c r="AB6">
        <f t="shared" si="2"/>
        <v>1</v>
      </c>
    </row>
    <row r="7" spans="1:28">
      <c r="A7" s="314" t="s">
        <v>135</v>
      </c>
      <c r="B7" s="314" t="s">
        <v>136</v>
      </c>
      <c r="C7" s="314">
        <v>977657415</v>
      </c>
      <c r="D7" s="314" t="s">
        <v>137</v>
      </c>
      <c r="E7" s="314" t="s">
        <v>117</v>
      </c>
      <c r="F7" s="314" t="s">
        <v>118</v>
      </c>
      <c r="G7" s="314" t="s">
        <v>108</v>
      </c>
      <c r="H7" s="314" t="s">
        <v>119</v>
      </c>
      <c r="I7" s="314" t="s">
        <v>108</v>
      </c>
      <c r="J7" s="314" t="s">
        <v>120</v>
      </c>
      <c r="K7" s="314">
        <v>0</v>
      </c>
      <c r="L7" s="314">
        <v>0</v>
      </c>
      <c r="M7" s="315">
        <v>45145.9965740741</v>
      </c>
      <c r="N7" s="314" t="s">
        <v>138</v>
      </c>
      <c r="O7" s="314" t="s">
        <v>139</v>
      </c>
      <c r="P7" s="314" t="s">
        <v>112</v>
      </c>
      <c r="Q7" s="314" t="s">
        <v>123</v>
      </c>
      <c r="R7" s="315">
        <v>45146.0059953704</v>
      </c>
      <c r="S7" s="314" t="s">
        <v>138</v>
      </c>
      <c r="T7" s="314" t="s">
        <v>140</v>
      </c>
      <c r="U7" s="314" t="s">
        <v>140</v>
      </c>
      <c r="V7" s="314" t="s">
        <v>114</v>
      </c>
      <c r="W7" s="314"/>
      <c r="X7" s="314" t="str">
        <f>VLOOKUP(D7,代理总表!A:D,3,0)</f>
        <v>雨燕直播-越</v>
      </c>
      <c r="Y7" t="str">
        <f>VLOOKUP(D:D,代理总表!A:D,4,FALSE)</f>
        <v>雨燕直播-越ffvn66</v>
      </c>
      <c r="Z7">
        <f t="shared" si="0"/>
        <v>0</v>
      </c>
      <c r="AA7">
        <f t="shared" si="1"/>
        <v>23</v>
      </c>
      <c r="AB7">
        <f t="shared" si="2"/>
        <v>1</v>
      </c>
    </row>
    <row r="8" spans="1:28">
      <c r="A8" s="314" t="s">
        <v>141</v>
      </c>
      <c r="B8" s="314" t="s">
        <v>142</v>
      </c>
      <c r="C8" s="314">
        <v>393971653</v>
      </c>
      <c r="D8" s="314" t="s">
        <v>143</v>
      </c>
      <c r="E8" s="314" t="s">
        <v>117</v>
      </c>
      <c r="F8" s="314" t="s">
        <v>144</v>
      </c>
      <c r="G8" s="314" t="s">
        <v>106</v>
      </c>
      <c r="H8" s="314" t="s">
        <v>107</v>
      </c>
      <c r="I8" s="314" t="s">
        <v>108</v>
      </c>
      <c r="J8" s="314" t="s">
        <v>120</v>
      </c>
      <c r="K8" s="314">
        <v>100000</v>
      </c>
      <c r="L8" s="314">
        <v>800000</v>
      </c>
      <c r="M8" s="315">
        <v>45145.9960763889</v>
      </c>
      <c r="N8" s="314" t="s">
        <v>145</v>
      </c>
      <c r="O8" s="314" t="s">
        <v>146</v>
      </c>
      <c r="P8" s="314" t="s">
        <v>112</v>
      </c>
      <c r="Q8" s="315">
        <v>45146.0062847222</v>
      </c>
      <c r="R8" s="315">
        <v>45146.3398958333</v>
      </c>
      <c r="S8" s="314" t="s">
        <v>145</v>
      </c>
      <c r="T8" s="314" t="s">
        <v>124</v>
      </c>
      <c r="U8" s="314" t="s">
        <v>124</v>
      </c>
      <c r="V8" s="314" t="s">
        <v>114</v>
      </c>
      <c r="W8" s="314"/>
      <c r="X8" s="314" t="str">
        <f>VLOOKUP(D8,代理总表!A:D,3,0)</f>
        <v>雨燕直播-越</v>
      </c>
      <c r="Y8" t="str">
        <f>VLOOKUP(D:D,代理总表!A:D,4,FALSE)</f>
        <v>雨燕直播-越ffvn66</v>
      </c>
      <c r="Z8">
        <f t="shared" si="0"/>
        <v>1</v>
      </c>
      <c r="AA8">
        <f t="shared" si="1"/>
        <v>23</v>
      </c>
      <c r="AB8">
        <f t="shared" si="2"/>
        <v>1</v>
      </c>
    </row>
    <row r="9" spans="1:28">
      <c r="A9" s="314" t="s">
        <v>147</v>
      </c>
      <c r="B9" s="314"/>
      <c r="C9" s="314">
        <v>18320812456</v>
      </c>
      <c r="D9" s="314" t="s">
        <v>148</v>
      </c>
      <c r="E9" s="314" t="s">
        <v>104</v>
      </c>
      <c r="F9" s="314" t="s">
        <v>149</v>
      </c>
      <c r="G9" s="314" t="s">
        <v>108</v>
      </c>
      <c r="H9" s="314" t="s">
        <v>119</v>
      </c>
      <c r="I9" s="314" t="s">
        <v>108</v>
      </c>
      <c r="J9" s="314" t="s">
        <v>109</v>
      </c>
      <c r="K9" s="314">
        <v>0</v>
      </c>
      <c r="L9" s="314">
        <v>0</v>
      </c>
      <c r="M9" s="315">
        <v>45145.995462963</v>
      </c>
      <c r="N9" s="314" t="s">
        <v>150</v>
      </c>
      <c r="O9" s="314" t="s">
        <v>151</v>
      </c>
      <c r="P9" s="314" t="s">
        <v>112</v>
      </c>
      <c r="Q9" s="314" t="s">
        <v>123</v>
      </c>
      <c r="R9" s="315">
        <v>45145.998900463</v>
      </c>
      <c r="S9" s="314" t="s">
        <v>150</v>
      </c>
      <c r="T9" s="314" t="s">
        <v>152</v>
      </c>
      <c r="U9" s="314" t="s">
        <v>152</v>
      </c>
      <c r="V9" s="314" t="s">
        <v>114</v>
      </c>
      <c r="W9" s="314"/>
      <c r="X9" s="314" t="str">
        <f>VLOOKUP(D9,代理总表!A:D,3,0)</f>
        <v>martin</v>
      </c>
      <c r="Y9" t="str">
        <f>VLOOKUP(D:D,代理总表!A:D,4,FALSE)</f>
        <v>SEO</v>
      </c>
      <c r="Z9">
        <f t="shared" si="0"/>
        <v>0</v>
      </c>
      <c r="AA9">
        <f t="shared" si="1"/>
        <v>23</v>
      </c>
      <c r="AB9">
        <f t="shared" si="2"/>
        <v>1</v>
      </c>
    </row>
    <row r="10" spans="1:28">
      <c r="A10" s="314" t="s">
        <v>153</v>
      </c>
      <c r="B10" s="314"/>
      <c r="C10" s="314">
        <v>15859389306</v>
      </c>
      <c r="D10" s="314" t="s">
        <v>154</v>
      </c>
      <c r="E10" s="314" t="s">
        <v>104</v>
      </c>
      <c r="F10" s="314" t="s">
        <v>149</v>
      </c>
      <c r="G10" s="314" t="s">
        <v>108</v>
      </c>
      <c r="H10" s="314" t="s">
        <v>119</v>
      </c>
      <c r="I10" s="314" t="s">
        <v>108</v>
      </c>
      <c r="J10" s="314" t="s">
        <v>109</v>
      </c>
      <c r="K10" s="314">
        <v>0</v>
      </c>
      <c r="L10" s="314">
        <v>0</v>
      </c>
      <c r="M10" s="315">
        <v>45145.9948148148</v>
      </c>
      <c r="N10" s="314" t="s">
        <v>155</v>
      </c>
      <c r="O10" s="314" t="s">
        <v>156</v>
      </c>
      <c r="P10" s="314" t="s">
        <v>112</v>
      </c>
      <c r="Q10" s="314" t="s">
        <v>123</v>
      </c>
      <c r="R10" s="315">
        <v>45146.0171759259</v>
      </c>
      <c r="S10" s="314" t="s">
        <v>155</v>
      </c>
      <c r="T10" s="314" t="s">
        <v>157</v>
      </c>
      <c r="U10" s="314" t="s">
        <v>157</v>
      </c>
      <c r="V10" s="314" t="s">
        <v>114</v>
      </c>
      <c r="W10" s="314"/>
      <c r="X10" s="314" t="str">
        <f>VLOOKUP(D10,代理总表!A:D,3,0)</f>
        <v>max</v>
      </c>
      <c r="Y10" t="str">
        <f>VLOOKUP(D:D,代理总表!A:D,4,FALSE)</f>
        <v>SEO</v>
      </c>
      <c r="Z10">
        <f t="shared" si="0"/>
        <v>0</v>
      </c>
      <c r="AA10">
        <f t="shared" si="1"/>
        <v>23</v>
      </c>
      <c r="AB10">
        <f t="shared" si="2"/>
        <v>1</v>
      </c>
    </row>
    <row r="11" spans="1:28">
      <c r="A11" s="314" t="s">
        <v>158</v>
      </c>
      <c r="B11" s="314"/>
      <c r="C11" s="314">
        <v>19197828856</v>
      </c>
      <c r="D11" s="314" t="s">
        <v>148</v>
      </c>
      <c r="E11" s="314" t="s">
        <v>104</v>
      </c>
      <c r="F11" s="314" t="s">
        <v>149</v>
      </c>
      <c r="G11" s="314" t="s">
        <v>108</v>
      </c>
      <c r="H11" s="314" t="s">
        <v>119</v>
      </c>
      <c r="I11" s="314" t="s">
        <v>108</v>
      </c>
      <c r="J11" s="314" t="s">
        <v>109</v>
      </c>
      <c r="K11" s="314">
        <v>0</v>
      </c>
      <c r="L11" s="314">
        <v>0</v>
      </c>
      <c r="M11" s="315">
        <v>45145.9946527778</v>
      </c>
      <c r="N11" s="314" t="s">
        <v>159</v>
      </c>
      <c r="O11" s="314" t="s">
        <v>160</v>
      </c>
      <c r="P11" s="314" t="s">
        <v>161</v>
      </c>
      <c r="Q11" s="314" t="s">
        <v>123</v>
      </c>
      <c r="R11" s="315">
        <v>45145.9946527778</v>
      </c>
      <c r="S11" s="314" t="s">
        <v>159</v>
      </c>
      <c r="T11" s="314" t="s">
        <v>162</v>
      </c>
      <c r="U11" s="314" t="s">
        <v>162</v>
      </c>
      <c r="V11" s="314" t="s">
        <v>114</v>
      </c>
      <c r="W11" s="314"/>
      <c r="X11" s="314" t="str">
        <f>VLOOKUP(D11,代理总表!A:D,3,0)</f>
        <v>martin</v>
      </c>
      <c r="Y11" t="str">
        <f>VLOOKUP(D:D,代理总表!A:D,4,FALSE)</f>
        <v>SEO</v>
      </c>
      <c r="Z11">
        <f t="shared" si="0"/>
        <v>0</v>
      </c>
      <c r="AA11">
        <f t="shared" si="1"/>
        <v>23</v>
      </c>
      <c r="AB11">
        <f t="shared" si="2"/>
        <v>1</v>
      </c>
    </row>
    <row r="12" spans="1:28">
      <c r="A12" s="314" t="s">
        <v>163</v>
      </c>
      <c r="B12" s="314"/>
      <c r="C12" s="314">
        <v>901441616</v>
      </c>
      <c r="D12" s="314" t="s">
        <v>143</v>
      </c>
      <c r="E12" s="314" t="s">
        <v>117</v>
      </c>
      <c r="F12" s="314" t="s">
        <v>118</v>
      </c>
      <c r="G12" s="314" t="s">
        <v>108</v>
      </c>
      <c r="H12" s="314" t="s">
        <v>119</v>
      </c>
      <c r="I12" s="314" t="s">
        <v>108</v>
      </c>
      <c r="J12" s="314" t="s">
        <v>120</v>
      </c>
      <c r="K12" s="314">
        <v>0</v>
      </c>
      <c r="L12" s="314">
        <v>0</v>
      </c>
      <c r="M12" s="315">
        <v>45145.9943865741</v>
      </c>
      <c r="N12" s="314" t="s">
        <v>164</v>
      </c>
      <c r="O12" s="314" t="s">
        <v>146</v>
      </c>
      <c r="P12" s="314" t="s">
        <v>112</v>
      </c>
      <c r="Q12" s="314" t="s">
        <v>123</v>
      </c>
      <c r="R12" s="315">
        <v>45146.0014467593</v>
      </c>
      <c r="S12" s="314" t="s">
        <v>164</v>
      </c>
      <c r="T12" s="314" t="s">
        <v>165</v>
      </c>
      <c r="U12" s="314" t="s">
        <v>165</v>
      </c>
      <c r="V12" s="314" t="s">
        <v>114</v>
      </c>
      <c r="W12" s="314"/>
      <c r="X12" s="314" t="str">
        <f>VLOOKUP(D12,代理总表!A:D,3,0)</f>
        <v>雨燕直播-越</v>
      </c>
      <c r="Y12" t="str">
        <f>VLOOKUP(D:D,代理总表!A:D,4,FALSE)</f>
        <v>雨燕直播-越ffvn66</v>
      </c>
      <c r="Z12">
        <f t="shared" si="0"/>
        <v>0</v>
      </c>
      <c r="AA12">
        <f t="shared" si="1"/>
        <v>23</v>
      </c>
      <c r="AB12">
        <f t="shared" si="2"/>
        <v>1</v>
      </c>
    </row>
    <row r="13" spans="1:28">
      <c r="A13" s="314" t="s">
        <v>166</v>
      </c>
      <c r="B13" s="314"/>
      <c r="C13" s="314"/>
      <c r="D13" s="314" t="s">
        <v>167</v>
      </c>
      <c r="E13" s="314" t="s">
        <v>117</v>
      </c>
      <c r="F13" s="314" t="s">
        <v>118</v>
      </c>
      <c r="G13" s="314" t="s">
        <v>108</v>
      </c>
      <c r="H13" s="314" t="s">
        <v>119</v>
      </c>
      <c r="I13" s="314" t="s">
        <v>108</v>
      </c>
      <c r="J13" s="314" t="s">
        <v>120</v>
      </c>
      <c r="K13" s="314">
        <v>0</v>
      </c>
      <c r="L13" s="314">
        <v>0</v>
      </c>
      <c r="M13" s="315">
        <v>45145.994224537</v>
      </c>
      <c r="N13" s="314" t="s">
        <v>168</v>
      </c>
      <c r="O13" s="314" t="s">
        <v>169</v>
      </c>
      <c r="P13" s="314" t="s">
        <v>112</v>
      </c>
      <c r="Q13" s="314" t="s">
        <v>123</v>
      </c>
      <c r="R13" s="315">
        <v>45145.9954050926</v>
      </c>
      <c r="S13" s="314" t="s">
        <v>168</v>
      </c>
      <c r="T13" s="314" t="s">
        <v>124</v>
      </c>
      <c r="U13" s="314" t="s">
        <v>124</v>
      </c>
      <c r="V13" s="314" t="s">
        <v>114</v>
      </c>
      <c r="W13" s="314"/>
      <c r="X13" s="314" t="e">
        <f>VLOOKUP(D13,代理总表!A:D,3,0)</f>
        <v>#N/A</v>
      </c>
      <c r="Y13" t="e">
        <f>VLOOKUP(D:D,代理总表!A:D,4,FALSE)</f>
        <v>#N/A</v>
      </c>
      <c r="Z13">
        <f t="shared" si="0"/>
        <v>0</v>
      </c>
      <c r="AA13">
        <f t="shared" si="1"/>
        <v>23</v>
      </c>
      <c r="AB13">
        <f t="shared" si="2"/>
        <v>1</v>
      </c>
    </row>
    <row r="14" spans="1:28">
      <c r="A14" s="314" t="s">
        <v>170</v>
      </c>
      <c r="B14" s="314" t="s">
        <v>171</v>
      </c>
      <c r="C14" s="314">
        <v>373382132</v>
      </c>
      <c r="D14" s="314" t="s">
        <v>172</v>
      </c>
      <c r="E14" s="314" t="s">
        <v>117</v>
      </c>
      <c r="F14" s="314" t="s">
        <v>144</v>
      </c>
      <c r="G14" s="314" t="s">
        <v>106</v>
      </c>
      <c r="H14" s="314" t="s">
        <v>107</v>
      </c>
      <c r="I14" s="314" t="s">
        <v>108</v>
      </c>
      <c r="J14" s="314" t="s">
        <v>120</v>
      </c>
      <c r="K14" s="314">
        <v>600000</v>
      </c>
      <c r="L14" s="314">
        <v>500000</v>
      </c>
      <c r="M14" s="315">
        <v>45145.9937615741</v>
      </c>
      <c r="N14" s="314" t="s">
        <v>173</v>
      </c>
      <c r="O14" s="314" t="s">
        <v>174</v>
      </c>
      <c r="P14" s="314" t="s">
        <v>112</v>
      </c>
      <c r="Q14" s="315">
        <v>45146.0538425926</v>
      </c>
      <c r="R14" s="315">
        <v>45146.3244791667</v>
      </c>
      <c r="S14" s="314" t="s">
        <v>175</v>
      </c>
      <c r="T14" s="314" t="s">
        <v>176</v>
      </c>
      <c r="U14" s="314" t="s">
        <v>177</v>
      </c>
      <c r="V14" s="314" t="s">
        <v>114</v>
      </c>
      <c r="W14" s="314"/>
      <c r="X14" s="314" t="str">
        <f>VLOOKUP(D14,代理总表!A:D,3,0)</f>
        <v>雨燕直播-越</v>
      </c>
      <c r="Y14" t="str">
        <f>VLOOKUP(D:D,代理总表!A:D,4,FALSE)</f>
        <v>雨燕直播-越ffvn66</v>
      </c>
      <c r="Z14">
        <f t="shared" si="0"/>
        <v>1</v>
      </c>
      <c r="AA14">
        <f t="shared" si="1"/>
        <v>23</v>
      </c>
      <c r="AB14">
        <f t="shared" si="2"/>
        <v>1</v>
      </c>
    </row>
    <row r="15" spans="1:28">
      <c r="A15" s="314" t="s">
        <v>178</v>
      </c>
      <c r="B15" s="314" t="s">
        <v>179</v>
      </c>
      <c r="C15" s="314">
        <v>15925292128</v>
      </c>
      <c r="D15" s="314" t="s">
        <v>180</v>
      </c>
      <c r="E15" s="314" t="s">
        <v>104</v>
      </c>
      <c r="F15" s="314" t="s">
        <v>181</v>
      </c>
      <c r="G15" s="314" t="s">
        <v>106</v>
      </c>
      <c r="H15" s="314" t="s">
        <v>107</v>
      </c>
      <c r="I15" s="314" t="s">
        <v>108</v>
      </c>
      <c r="J15" s="314" t="s">
        <v>109</v>
      </c>
      <c r="K15" s="314">
        <v>3000</v>
      </c>
      <c r="L15" s="314">
        <v>500</v>
      </c>
      <c r="M15" s="315">
        <v>45145.9936458333</v>
      </c>
      <c r="N15" s="314" t="s">
        <v>182</v>
      </c>
      <c r="O15" s="314" t="s">
        <v>183</v>
      </c>
      <c r="P15" s="314" t="s">
        <v>112</v>
      </c>
      <c r="Q15" s="315">
        <v>45146.0052199074</v>
      </c>
      <c r="R15" s="315">
        <v>45146.2148611111</v>
      </c>
      <c r="S15" s="314" t="s">
        <v>182</v>
      </c>
      <c r="T15" s="314" t="s">
        <v>184</v>
      </c>
      <c r="U15" s="314" t="s">
        <v>184</v>
      </c>
      <c r="V15" s="314" t="s">
        <v>114</v>
      </c>
      <c r="W15" s="314"/>
      <c r="X15" s="314" t="str">
        <f>VLOOKUP(D15,代理总表!A:D,3,0)</f>
        <v>hugo</v>
      </c>
      <c r="Y15" t="str">
        <f>VLOOKUP(D:D,代理总表!A:D,4,FALSE)</f>
        <v>SEO</v>
      </c>
      <c r="Z15">
        <f t="shared" si="0"/>
        <v>1</v>
      </c>
      <c r="AA15">
        <f t="shared" si="1"/>
        <v>23</v>
      </c>
      <c r="AB15">
        <f t="shared" si="2"/>
        <v>1</v>
      </c>
    </row>
    <row r="16" spans="1:28">
      <c r="A16" s="314" t="s">
        <v>185</v>
      </c>
      <c r="B16" s="314" t="s">
        <v>186</v>
      </c>
      <c r="C16" s="314">
        <v>789117893</v>
      </c>
      <c r="D16" s="314" t="s">
        <v>116</v>
      </c>
      <c r="E16" s="314" t="s">
        <v>117</v>
      </c>
      <c r="F16" s="314" t="s">
        <v>118</v>
      </c>
      <c r="G16" s="314" t="s">
        <v>108</v>
      </c>
      <c r="H16" s="314" t="s">
        <v>119</v>
      </c>
      <c r="I16" s="314" t="s">
        <v>108</v>
      </c>
      <c r="J16" s="314" t="s">
        <v>120</v>
      </c>
      <c r="K16" s="314">
        <v>0</v>
      </c>
      <c r="L16" s="314">
        <v>0</v>
      </c>
      <c r="M16" s="315">
        <v>45145.9934027778</v>
      </c>
      <c r="N16" s="314" t="s">
        <v>187</v>
      </c>
      <c r="O16" s="314" t="s">
        <v>122</v>
      </c>
      <c r="P16" s="314" t="s">
        <v>112</v>
      </c>
      <c r="Q16" s="314" t="s">
        <v>123</v>
      </c>
      <c r="R16" s="315">
        <v>45146.0160763889</v>
      </c>
      <c r="S16" s="314" t="s">
        <v>188</v>
      </c>
      <c r="T16" s="314" t="s">
        <v>177</v>
      </c>
      <c r="U16" s="314" t="s">
        <v>189</v>
      </c>
      <c r="V16" s="314" t="s">
        <v>114</v>
      </c>
      <c r="W16" s="314"/>
      <c r="X16" s="314" t="str">
        <f>VLOOKUP(D16,代理总表!A:D,3,0)</f>
        <v>外部代理总线</v>
      </c>
      <c r="Y16" t="str">
        <f>VLOOKUP(D:D,代理总表!A:D,4,FALSE)</f>
        <v>外部代理总线zh0808</v>
      </c>
      <c r="Z16">
        <f t="shared" si="0"/>
        <v>0</v>
      </c>
      <c r="AA16">
        <f t="shared" si="1"/>
        <v>23</v>
      </c>
      <c r="AB16">
        <f t="shared" si="2"/>
        <v>1</v>
      </c>
    </row>
    <row r="17" spans="1:28">
      <c r="A17" s="314" t="s">
        <v>190</v>
      </c>
      <c r="B17" s="314" t="s">
        <v>191</v>
      </c>
      <c r="C17" s="314">
        <v>359280499</v>
      </c>
      <c r="D17" s="314" t="s">
        <v>172</v>
      </c>
      <c r="E17" s="314" t="s">
        <v>117</v>
      </c>
      <c r="F17" s="314" t="s">
        <v>144</v>
      </c>
      <c r="G17" s="314" t="s">
        <v>106</v>
      </c>
      <c r="H17" s="314" t="s">
        <v>107</v>
      </c>
      <c r="I17" s="314" t="s">
        <v>108</v>
      </c>
      <c r="J17" s="314" t="s">
        <v>120</v>
      </c>
      <c r="K17" s="314">
        <v>300000</v>
      </c>
      <c r="L17" s="314">
        <v>0</v>
      </c>
      <c r="M17" s="315">
        <v>45145.9933680556</v>
      </c>
      <c r="N17" s="314" t="s">
        <v>192</v>
      </c>
      <c r="O17" s="314" t="s">
        <v>193</v>
      </c>
      <c r="P17" s="314" t="s">
        <v>112</v>
      </c>
      <c r="Q17" s="315">
        <v>45146.0066782407</v>
      </c>
      <c r="R17" s="315">
        <v>45146.348287037</v>
      </c>
      <c r="S17" s="314" t="s">
        <v>192</v>
      </c>
      <c r="T17" s="314" t="s">
        <v>194</v>
      </c>
      <c r="U17" s="314" t="s">
        <v>194</v>
      </c>
      <c r="V17" s="314" t="s">
        <v>114</v>
      </c>
      <c r="W17" s="314"/>
      <c r="X17" s="314" t="str">
        <f>VLOOKUP(D17,代理总表!A:D,3,0)</f>
        <v>雨燕直播-越</v>
      </c>
      <c r="Y17" t="str">
        <f>VLOOKUP(D:D,代理总表!A:D,4,FALSE)</f>
        <v>雨燕直播-越ffvn66</v>
      </c>
      <c r="Z17">
        <f t="shared" si="0"/>
        <v>1</v>
      </c>
      <c r="AA17">
        <f t="shared" si="1"/>
        <v>23</v>
      </c>
      <c r="AB17">
        <f t="shared" si="2"/>
        <v>1</v>
      </c>
    </row>
    <row r="18" spans="1:28">
      <c r="A18" s="314" t="s">
        <v>195</v>
      </c>
      <c r="B18" s="314" t="s">
        <v>196</v>
      </c>
      <c r="C18" s="314">
        <v>352120550</v>
      </c>
      <c r="D18" s="314" t="s">
        <v>197</v>
      </c>
      <c r="E18" s="314" t="s">
        <v>117</v>
      </c>
      <c r="F18" s="314" t="s">
        <v>144</v>
      </c>
      <c r="G18" s="314" t="s">
        <v>106</v>
      </c>
      <c r="H18" s="314" t="s">
        <v>107</v>
      </c>
      <c r="I18" s="314" t="s">
        <v>108</v>
      </c>
      <c r="J18" s="314" t="s">
        <v>120</v>
      </c>
      <c r="K18" s="314">
        <v>5350000</v>
      </c>
      <c r="L18" s="314">
        <v>5000000</v>
      </c>
      <c r="M18" s="315">
        <v>45145.9915972222</v>
      </c>
      <c r="N18" s="314" t="s">
        <v>198</v>
      </c>
      <c r="O18" s="314" t="s">
        <v>199</v>
      </c>
      <c r="P18" s="314" t="s">
        <v>112</v>
      </c>
      <c r="Q18" s="315">
        <v>45146.0133680556</v>
      </c>
      <c r="R18" s="315">
        <v>45146.0050462963</v>
      </c>
      <c r="S18" s="314" t="s">
        <v>198</v>
      </c>
      <c r="T18" s="314" t="s">
        <v>124</v>
      </c>
      <c r="U18" s="314" t="s">
        <v>124</v>
      </c>
      <c r="V18" s="314" t="s">
        <v>114</v>
      </c>
      <c r="W18" s="314"/>
      <c r="X18" s="314" t="str">
        <f>VLOOKUP(D18,代理总表!A:D,3,0)</f>
        <v>雨燕直播-越</v>
      </c>
      <c r="Y18" t="str">
        <f>VLOOKUP(D:D,代理总表!A:D,4,FALSE)</f>
        <v>雨燕直播-越ffvn66</v>
      </c>
      <c r="Z18">
        <f t="shared" si="0"/>
        <v>1</v>
      </c>
      <c r="AA18">
        <f t="shared" si="1"/>
        <v>23</v>
      </c>
      <c r="AB18">
        <f t="shared" si="2"/>
        <v>1</v>
      </c>
    </row>
    <row r="19" spans="1:28">
      <c r="A19" s="314" t="s">
        <v>200</v>
      </c>
      <c r="B19" s="314" t="s">
        <v>201</v>
      </c>
      <c r="C19" s="314">
        <v>18822053233</v>
      </c>
      <c r="D19" s="314" t="s">
        <v>148</v>
      </c>
      <c r="E19" s="314" t="s">
        <v>104</v>
      </c>
      <c r="F19" s="314" t="s">
        <v>149</v>
      </c>
      <c r="G19" s="314" t="s">
        <v>108</v>
      </c>
      <c r="H19" s="314" t="s">
        <v>119</v>
      </c>
      <c r="I19" s="314" t="s">
        <v>108</v>
      </c>
      <c r="J19" s="314" t="s">
        <v>109</v>
      </c>
      <c r="K19" s="314">
        <v>0</v>
      </c>
      <c r="L19" s="314">
        <v>0</v>
      </c>
      <c r="M19" s="315">
        <v>45145.9915509259</v>
      </c>
      <c r="N19" s="314" t="s">
        <v>202</v>
      </c>
      <c r="O19" s="314" t="s">
        <v>151</v>
      </c>
      <c r="P19" s="314" t="s">
        <v>112</v>
      </c>
      <c r="Q19" s="314" t="s">
        <v>123</v>
      </c>
      <c r="R19" s="315">
        <v>45145.9925694444</v>
      </c>
      <c r="S19" s="314" t="s">
        <v>202</v>
      </c>
      <c r="T19" s="314" t="s">
        <v>203</v>
      </c>
      <c r="U19" s="314" t="s">
        <v>203</v>
      </c>
      <c r="V19" s="314" t="s">
        <v>114</v>
      </c>
      <c r="W19" s="314"/>
      <c r="X19" s="314" t="str">
        <f>VLOOKUP(D19,代理总表!A:D,3,0)</f>
        <v>martin</v>
      </c>
      <c r="Y19" t="str">
        <f>VLOOKUP(D:D,代理总表!A:D,4,FALSE)</f>
        <v>SEO</v>
      </c>
      <c r="Z19">
        <f t="shared" si="0"/>
        <v>0</v>
      </c>
      <c r="AA19">
        <f t="shared" si="1"/>
        <v>23</v>
      </c>
      <c r="AB19">
        <f t="shared" si="2"/>
        <v>1</v>
      </c>
    </row>
    <row r="20" spans="1:28">
      <c r="A20" s="314" t="s">
        <v>204</v>
      </c>
      <c r="B20" s="314"/>
      <c r="C20" s="314">
        <v>19924542209</v>
      </c>
      <c r="D20" s="314" t="s">
        <v>205</v>
      </c>
      <c r="E20" s="314" t="s">
        <v>104</v>
      </c>
      <c r="F20" s="314" t="s">
        <v>149</v>
      </c>
      <c r="G20" s="314" t="s">
        <v>108</v>
      </c>
      <c r="H20" s="314" t="s">
        <v>119</v>
      </c>
      <c r="I20" s="314" t="s">
        <v>108</v>
      </c>
      <c r="J20" s="314" t="s">
        <v>109</v>
      </c>
      <c r="K20" s="314">
        <v>0</v>
      </c>
      <c r="L20" s="314">
        <v>0</v>
      </c>
      <c r="M20" s="315">
        <v>45145.9913888889</v>
      </c>
      <c r="N20" s="314" t="s">
        <v>206</v>
      </c>
      <c r="O20" s="314" t="s">
        <v>207</v>
      </c>
      <c r="P20" s="314" t="s">
        <v>208</v>
      </c>
      <c r="Q20" s="314" t="s">
        <v>123</v>
      </c>
      <c r="R20" s="315">
        <v>45146.0730787037</v>
      </c>
      <c r="S20" s="314" t="s">
        <v>206</v>
      </c>
      <c r="T20" s="314" t="s">
        <v>152</v>
      </c>
      <c r="U20" s="314" t="s">
        <v>152</v>
      </c>
      <c r="V20" s="314" t="s">
        <v>114</v>
      </c>
      <c r="W20" s="314"/>
      <c r="X20" s="314" t="str">
        <f>VLOOKUP(D20,代理总表!A:D,3,0)</f>
        <v>ben</v>
      </c>
      <c r="Y20" t="str">
        <f>VLOOKUP(D:D,代理总表!A:D,4,FALSE)</f>
        <v>SEO</v>
      </c>
      <c r="Z20">
        <f t="shared" si="0"/>
        <v>0</v>
      </c>
      <c r="AA20">
        <f t="shared" si="1"/>
        <v>23</v>
      </c>
      <c r="AB20">
        <f t="shared" si="2"/>
        <v>1</v>
      </c>
    </row>
    <row r="21" spans="1:28">
      <c r="A21" s="314" t="s">
        <v>209</v>
      </c>
      <c r="B21" s="314"/>
      <c r="C21" s="314"/>
      <c r="D21" s="314" t="s">
        <v>143</v>
      </c>
      <c r="E21" s="314" t="s">
        <v>117</v>
      </c>
      <c r="F21" s="314" t="s">
        <v>118</v>
      </c>
      <c r="G21" s="314" t="s">
        <v>108</v>
      </c>
      <c r="H21" s="314" t="s">
        <v>119</v>
      </c>
      <c r="I21" s="314" t="s">
        <v>108</v>
      </c>
      <c r="J21" s="314" t="s">
        <v>120</v>
      </c>
      <c r="K21" s="314">
        <v>0</v>
      </c>
      <c r="L21" s="314">
        <v>0</v>
      </c>
      <c r="M21" s="315">
        <v>45145.9910763889</v>
      </c>
      <c r="N21" s="314" t="s">
        <v>210</v>
      </c>
      <c r="O21" s="314" t="s">
        <v>146</v>
      </c>
      <c r="P21" s="314" t="s">
        <v>112</v>
      </c>
      <c r="Q21" s="314" t="s">
        <v>123</v>
      </c>
      <c r="R21" s="315">
        <v>45146.2141550926</v>
      </c>
      <c r="S21" s="314" t="s">
        <v>211</v>
      </c>
      <c r="T21" s="314" t="s">
        <v>124</v>
      </c>
      <c r="U21" s="314" t="s">
        <v>177</v>
      </c>
      <c r="V21" s="314" t="s">
        <v>114</v>
      </c>
      <c r="W21" s="314"/>
      <c r="X21" s="314" t="str">
        <f>VLOOKUP(D21,代理总表!A:D,3,0)</f>
        <v>雨燕直播-越</v>
      </c>
      <c r="Y21" t="str">
        <f>VLOOKUP(D:D,代理总表!A:D,4,FALSE)</f>
        <v>雨燕直播-越ffvn66</v>
      </c>
      <c r="Z21">
        <f t="shared" si="0"/>
        <v>0</v>
      </c>
      <c r="AA21">
        <f t="shared" si="1"/>
        <v>23</v>
      </c>
      <c r="AB21">
        <f t="shared" si="2"/>
        <v>1</v>
      </c>
    </row>
    <row r="22" spans="1:28">
      <c r="A22" s="314" t="s">
        <v>212</v>
      </c>
      <c r="B22" s="314" t="s">
        <v>213</v>
      </c>
      <c r="C22" s="314">
        <v>345361880</v>
      </c>
      <c r="D22" s="314" t="s">
        <v>143</v>
      </c>
      <c r="E22" s="314" t="s">
        <v>117</v>
      </c>
      <c r="F22" s="314" t="s">
        <v>144</v>
      </c>
      <c r="G22" s="314" t="s">
        <v>106</v>
      </c>
      <c r="H22" s="314" t="s">
        <v>107</v>
      </c>
      <c r="I22" s="314" t="s">
        <v>108</v>
      </c>
      <c r="J22" s="314" t="s">
        <v>120</v>
      </c>
      <c r="K22" s="314">
        <v>100000</v>
      </c>
      <c r="L22" s="314">
        <v>500000</v>
      </c>
      <c r="M22" s="315">
        <v>45145.9907986111</v>
      </c>
      <c r="N22" s="314" t="s">
        <v>214</v>
      </c>
      <c r="O22" s="314" t="s">
        <v>146</v>
      </c>
      <c r="P22" s="314" t="s">
        <v>112</v>
      </c>
      <c r="Q22" s="315">
        <v>45146.0055092593</v>
      </c>
      <c r="R22" s="315">
        <v>45146.3628356481</v>
      </c>
      <c r="S22" s="314" t="s">
        <v>215</v>
      </c>
      <c r="T22" s="314" t="s">
        <v>216</v>
      </c>
      <c r="U22" s="314" t="s">
        <v>217</v>
      </c>
      <c r="V22" s="314" t="s">
        <v>114</v>
      </c>
      <c r="W22" s="314"/>
      <c r="X22" s="314" t="str">
        <f>VLOOKUP(D22,代理总表!A:D,3,0)</f>
        <v>雨燕直播-越</v>
      </c>
      <c r="Y22" t="str">
        <f>VLOOKUP(D:D,代理总表!A:D,4,FALSE)</f>
        <v>雨燕直播-越ffvn66</v>
      </c>
      <c r="Z22">
        <f t="shared" si="0"/>
        <v>1</v>
      </c>
      <c r="AA22">
        <f t="shared" si="1"/>
        <v>23</v>
      </c>
      <c r="AB22">
        <f t="shared" si="2"/>
        <v>1</v>
      </c>
    </row>
    <row r="23" spans="1:28">
      <c r="A23" s="314" t="s">
        <v>218</v>
      </c>
      <c r="B23" s="314"/>
      <c r="C23" s="314"/>
      <c r="D23" s="314" t="s">
        <v>103</v>
      </c>
      <c r="E23" s="314" t="s">
        <v>104</v>
      </c>
      <c r="F23" s="314" t="s">
        <v>118</v>
      </c>
      <c r="G23" s="314" t="s">
        <v>108</v>
      </c>
      <c r="H23" s="314" t="s">
        <v>119</v>
      </c>
      <c r="I23" s="314" t="s">
        <v>108</v>
      </c>
      <c r="J23" s="314" t="s">
        <v>109</v>
      </c>
      <c r="K23" s="314">
        <v>0</v>
      </c>
      <c r="L23" s="314">
        <v>0</v>
      </c>
      <c r="M23" s="315">
        <v>45145.9898032407</v>
      </c>
      <c r="N23" s="314" t="s">
        <v>219</v>
      </c>
      <c r="O23" s="314" t="s">
        <v>220</v>
      </c>
      <c r="P23" s="314" t="s">
        <v>161</v>
      </c>
      <c r="Q23" s="314" t="s">
        <v>123</v>
      </c>
      <c r="R23" s="315">
        <v>45145.9898032407</v>
      </c>
      <c r="S23" s="314" t="s">
        <v>219</v>
      </c>
      <c r="T23" s="314" t="s">
        <v>221</v>
      </c>
      <c r="U23" s="314" t="s">
        <v>221</v>
      </c>
      <c r="V23" s="314" t="s">
        <v>114</v>
      </c>
      <c r="W23" s="314"/>
      <c r="X23" s="314" t="str">
        <f>VLOOKUP(D23,代理总表!A:D,3,0)</f>
        <v>官网</v>
      </c>
      <c r="Y23" t="str">
        <f>VLOOKUP(D:D,代理总表!A:D,4,FALSE)</f>
        <v>官网</v>
      </c>
      <c r="Z23">
        <f t="shared" si="0"/>
        <v>0</v>
      </c>
      <c r="AA23">
        <f t="shared" si="1"/>
        <v>23</v>
      </c>
      <c r="AB23">
        <f t="shared" si="2"/>
        <v>1</v>
      </c>
    </row>
    <row r="24" spans="1:28">
      <c r="A24" s="314" t="s">
        <v>222</v>
      </c>
      <c r="B24" s="314" t="s">
        <v>223</v>
      </c>
      <c r="C24" s="314">
        <v>797187713</v>
      </c>
      <c r="D24" s="314" t="s">
        <v>224</v>
      </c>
      <c r="E24" s="314" t="s">
        <v>117</v>
      </c>
      <c r="F24" s="314" t="s">
        <v>144</v>
      </c>
      <c r="G24" s="314" t="s">
        <v>106</v>
      </c>
      <c r="H24" s="314" t="s">
        <v>107</v>
      </c>
      <c r="I24" s="314" t="s">
        <v>108</v>
      </c>
      <c r="J24" s="314" t="s">
        <v>120</v>
      </c>
      <c r="K24" s="314">
        <v>140</v>
      </c>
      <c r="L24" s="314">
        <v>200000</v>
      </c>
      <c r="M24" s="315">
        <v>45145.9888541667</v>
      </c>
      <c r="N24" s="314" t="s">
        <v>225</v>
      </c>
      <c r="O24" s="314" t="s">
        <v>226</v>
      </c>
      <c r="P24" s="314" t="s">
        <v>112</v>
      </c>
      <c r="Q24" s="315">
        <v>45146.0013425926</v>
      </c>
      <c r="R24" s="315">
        <v>45146.2711805556</v>
      </c>
      <c r="S24" s="314" t="s">
        <v>227</v>
      </c>
      <c r="T24" s="314" t="s">
        <v>177</v>
      </c>
      <c r="U24" s="314" t="s">
        <v>228</v>
      </c>
      <c r="V24" s="314" t="s">
        <v>114</v>
      </c>
      <c r="W24" s="314"/>
      <c r="X24" s="314" t="str">
        <f>VLOOKUP(D24,代理总表!A:D,3,0)</f>
        <v>雨燕直播-越</v>
      </c>
      <c r="Y24" t="str">
        <f>VLOOKUP(D:D,代理总表!A:D,4,FALSE)</f>
        <v>雨燕直播-越ffvn66</v>
      </c>
      <c r="Z24">
        <f t="shared" si="0"/>
        <v>1</v>
      </c>
      <c r="AA24">
        <f t="shared" si="1"/>
        <v>23</v>
      </c>
      <c r="AB24">
        <f t="shared" si="2"/>
        <v>1</v>
      </c>
    </row>
    <row r="25" spans="1:28">
      <c r="A25" s="314" t="s">
        <v>229</v>
      </c>
      <c r="B25" s="314" t="s">
        <v>230</v>
      </c>
      <c r="C25" s="314">
        <v>397326055</v>
      </c>
      <c r="D25" s="314" t="s">
        <v>143</v>
      </c>
      <c r="E25" s="314" t="s">
        <v>117</v>
      </c>
      <c r="F25" s="314" t="s">
        <v>144</v>
      </c>
      <c r="G25" s="314" t="s">
        <v>106</v>
      </c>
      <c r="H25" s="314" t="s">
        <v>107</v>
      </c>
      <c r="I25" s="314" t="s">
        <v>108</v>
      </c>
      <c r="J25" s="314" t="s">
        <v>120</v>
      </c>
      <c r="K25" s="314">
        <v>100000</v>
      </c>
      <c r="L25" s="314">
        <v>500000</v>
      </c>
      <c r="M25" s="315">
        <v>45145.9872106481</v>
      </c>
      <c r="N25" s="314" t="s">
        <v>231</v>
      </c>
      <c r="O25" s="314" t="s">
        <v>146</v>
      </c>
      <c r="P25" s="314" t="s">
        <v>208</v>
      </c>
      <c r="Q25" s="315">
        <v>45146.0058680556</v>
      </c>
      <c r="R25" s="315">
        <v>45146.3147106481</v>
      </c>
      <c r="S25" s="314" t="s">
        <v>232</v>
      </c>
      <c r="T25" s="314" t="s">
        <v>233</v>
      </c>
      <c r="U25" s="314" t="s">
        <v>177</v>
      </c>
      <c r="V25" s="314" t="s">
        <v>114</v>
      </c>
      <c r="W25" s="314"/>
      <c r="X25" s="314" t="str">
        <f>VLOOKUP(D25,代理总表!A:D,3,0)</f>
        <v>雨燕直播-越</v>
      </c>
      <c r="Y25" t="str">
        <f>VLOOKUP(D:D,代理总表!A:D,4,FALSE)</f>
        <v>雨燕直播-越ffvn66</v>
      </c>
      <c r="Z25">
        <f t="shared" si="0"/>
        <v>1</v>
      </c>
      <c r="AA25">
        <f t="shared" si="1"/>
        <v>23</v>
      </c>
      <c r="AB25">
        <f t="shared" si="2"/>
        <v>1</v>
      </c>
    </row>
    <row r="26" spans="1:28">
      <c r="A26" s="314" t="s">
        <v>234</v>
      </c>
      <c r="B26" s="314"/>
      <c r="C26" s="314">
        <v>18008836313</v>
      </c>
      <c r="D26" s="314" t="s">
        <v>235</v>
      </c>
      <c r="E26" s="314" t="s">
        <v>104</v>
      </c>
      <c r="F26" s="314" t="s">
        <v>149</v>
      </c>
      <c r="G26" s="314" t="s">
        <v>108</v>
      </c>
      <c r="H26" s="314" t="s">
        <v>119</v>
      </c>
      <c r="I26" s="314" t="s">
        <v>108</v>
      </c>
      <c r="J26" s="314" t="s">
        <v>109</v>
      </c>
      <c r="K26" s="314">
        <v>0</v>
      </c>
      <c r="L26" s="314">
        <v>0</v>
      </c>
      <c r="M26" s="315">
        <v>45145.9868055556</v>
      </c>
      <c r="N26" s="314" t="s">
        <v>236</v>
      </c>
      <c r="O26" s="314" t="s">
        <v>237</v>
      </c>
      <c r="P26" s="314" t="s">
        <v>112</v>
      </c>
      <c r="Q26" s="314" t="s">
        <v>123</v>
      </c>
      <c r="R26" s="315">
        <v>45145.9871759259</v>
      </c>
      <c r="S26" s="314" t="s">
        <v>236</v>
      </c>
      <c r="T26" s="314" t="s">
        <v>238</v>
      </c>
      <c r="U26" s="314" t="s">
        <v>238</v>
      </c>
      <c r="V26" s="314" t="s">
        <v>114</v>
      </c>
      <c r="W26" s="314"/>
      <c r="X26" s="314" t="str">
        <f>VLOOKUP(D26,代理总表!A:D,3,0)</f>
        <v>aber</v>
      </c>
      <c r="Y26" t="str">
        <f>VLOOKUP(D:D,代理总表!A:D,4,FALSE)</f>
        <v>SEO</v>
      </c>
      <c r="Z26">
        <f t="shared" si="0"/>
        <v>0</v>
      </c>
      <c r="AA26">
        <f t="shared" si="1"/>
        <v>23</v>
      </c>
      <c r="AB26">
        <f t="shared" si="2"/>
        <v>1</v>
      </c>
    </row>
    <row r="27" spans="1:28">
      <c r="A27" s="314" t="s">
        <v>239</v>
      </c>
      <c r="B27" s="314"/>
      <c r="C27" s="314"/>
      <c r="D27" s="314" t="s">
        <v>240</v>
      </c>
      <c r="E27" s="314" t="s">
        <v>104</v>
      </c>
      <c r="F27" s="314" t="s">
        <v>149</v>
      </c>
      <c r="G27" s="314" t="s">
        <v>108</v>
      </c>
      <c r="H27" s="314" t="s">
        <v>119</v>
      </c>
      <c r="I27" s="314" t="s">
        <v>108</v>
      </c>
      <c r="J27" s="314" t="s">
        <v>109</v>
      </c>
      <c r="K27" s="314">
        <v>0</v>
      </c>
      <c r="L27" s="314">
        <v>0</v>
      </c>
      <c r="M27" s="315">
        <v>45145.9855092593</v>
      </c>
      <c r="N27" s="314" t="s">
        <v>241</v>
      </c>
      <c r="O27" s="314" t="s">
        <v>242</v>
      </c>
      <c r="P27" s="314" t="s">
        <v>112</v>
      </c>
      <c r="Q27" s="314" t="s">
        <v>123</v>
      </c>
      <c r="R27" s="315">
        <v>45145.9892476852</v>
      </c>
      <c r="S27" s="314" t="s">
        <v>241</v>
      </c>
      <c r="T27" s="314" t="s">
        <v>243</v>
      </c>
      <c r="U27" s="314" t="s">
        <v>243</v>
      </c>
      <c r="V27" s="314" t="s">
        <v>114</v>
      </c>
      <c r="W27" s="314"/>
      <c r="X27" s="314" t="str">
        <f>VLOOKUP(D27,代理总表!A:D,3,0)</f>
        <v>SEO邀请</v>
      </c>
      <c r="Y27" t="str">
        <f>VLOOKUP(D:D,代理总表!A:D,4,FALSE)</f>
        <v>SEO</v>
      </c>
      <c r="Z27">
        <f t="shared" si="0"/>
        <v>0</v>
      </c>
      <c r="AA27">
        <f t="shared" si="1"/>
        <v>23</v>
      </c>
      <c r="AB27">
        <f t="shared" si="2"/>
        <v>1</v>
      </c>
    </row>
    <row r="28" spans="1:28">
      <c r="A28" s="314" t="s">
        <v>244</v>
      </c>
      <c r="B28" s="314" t="s">
        <v>245</v>
      </c>
      <c r="C28" s="314">
        <v>17313777373</v>
      </c>
      <c r="D28" s="314" t="s">
        <v>148</v>
      </c>
      <c r="E28" s="314" t="s">
        <v>104</v>
      </c>
      <c r="F28" s="314" t="s">
        <v>149</v>
      </c>
      <c r="G28" s="314" t="s">
        <v>108</v>
      </c>
      <c r="H28" s="314" t="s">
        <v>119</v>
      </c>
      <c r="I28" s="314" t="s">
        <v>108</v>
      </c>
      <c r="J28" s="314" t="s">
        <v>109</v>
      </c>
      <c r="K28" s="314">
        <v>0</v>
      </c>
      <c r="L28" s="314">
        <v>0</v>
      </c>
      <c r="M28" s="315">
        <v>45145.9844791667</v>
      </c>
      <c r="N28" s="314" t="s">
        <v>246</v>
      </c>
      <c r="O28" s="314" t="s">
        <v>160</v>
      </c>
      <c r="P28" s="314" t="s">
        <v>161</v>
      </c>
      <c r="Q28" s="314" t="s">
        <v>123</v>
      </c>
      <c r="R28" s="315">
        <v>45145.9890740741</v>
      </c>
      <c r="S28" s="314" t="s">
        <v>246</v>
      </c>
      <c r="T28" s="314" t="s">
        <v>247</v>
      </c>
      <c r="U28" s="314" t="s">
        <v>247</v>
      </c>
      <c r="V28" s="314" t="s">
        <v>114</v>
      </c>
      <c r="W28" s="314"/>
      <c r="X28" s="314" t="str">
        <f>VLOOKUP(D28,代理总表!A:D,3,0)</f>
        <v>martin</v>
      </c>
      <c r="Y28" t="str">
        <f>VLOOKUP(D:D,代理总表!A:D,4,FALSE)</f>
        <v>SEO</v>
      </c>
      <c r="Z28">
        <f t="shared" si="0"/>
        <v>0</v>
      </c>
      <c r="AA28">
        <f t="shared" si="1"/>
        <v>23</v>
      </c>
      <c r="AB28">
        <f t="shared" si="2"/>
        <v>1</v>
      </c>
    </row>
    <row r="29" spans="1:28">
      <c r="A29" s="314" t="s">
        <v>248</v>
      </c>
      <c r="B29" s="314"/>
      <c r="C29" s="314">
        <v>18700138898</v>
      </c>
      <c r="D29" s="314" t="s">
        <v>249</v>
      </c>
      <c r="E29" s="314" t="s">
        <v>104</v>
      </c>
      <c r="F29" s="314" t="s">
        <v>118</v>
      </c>
      <c r="G29" s="314" t="s">
        <v>108</v>
      </c>
      <c r="H29" s="314" t="s">
        <v>119</v>
      </c>
      <c r="I29" s="314" t="s">
        <v>108</v>
      </c>
      <c r="J29" s="314" t="s">
        <v>109</v>
      </c>
      <c r="K29" s="314">
        <v>0</v>
      </c>
      <c r="L29" s="314">
        <v>0</v>
      </c>
      <c r="M29" s="315">
        <v>45145.9844675926</v>
      </c>
      <c r="N29" s="314" t="s">
        <v>250</v>
      </c>
      <c r="O29" s="314" t="s">
        <v>251</v>
      </c>
      <c r="P29" s="314" t="s">
        <v>161</v>
      </c>
      <c r="Q29" s="314" t="s">
        <v>123</v>
      </c>
      <c r="R29" s="315">
        <v>45145.9844560185</v>
      </c>
      <c r="S29" s="314" t="s">
        <v>250</v>
      </c>
      <c r="T29" s="314" t="s">
        <v>252</v>
      </c>
      <c r="U29" s="314" t="s">
        <v>252</v>
      </c>
      <c r="V29" s="314" t="s">
        <v>114</v>
      </c>
      <c r="W29" s="314"/>
      <c r="X29" s="314" t="str">
        <f>VLOOKUP(D29,代理总表!A:D,3,0)</f>
        <v>飞哥雨燕直播</v>
      </c>
      <c r="Y29" t="str">
        <f>VLOOKUP(D:D,代理总表!A:D,4,FALSE)</f>
        <v>飞哥雨燕直播ffmk88</v>
      </c>
      <c r="Z29">
        <f t="shared" si="0"/>
        <v>0</v>
      </c>
      <c r="AA29">
        <f t="shared" si="1"/>
        <v>23</v>
      </c>
      <c r="AB29">
        <f t="shared" si="2"/>
        <v>1</v>
      </c>
    </row>
    <row r="30" spans="1:28">
      <c r="A30" s="314" t="s">
        <v>253</v>
      </c>
      <c r="B30" s="314"/>
      <c r="C30" s="314">
        <v>13026678278</v>
      </c>
      <c r="D30" s="314" t="s">
        <v>103</v>
      </c>
      <c r="E30" s="314" t="s">
        <v>104</v>
      </c>
      <c r="F30" s="314" t="s">
        <v>118</v>
      </c>
      <c r="G30" s="314" t="s">
        <v>108</v>
      </c>
      <c r="H30" s="314" t="s">
        <v>119</v>
      </c>
      <c r="I30" s="314" t="s">
        <v>108</v>
      </c>
      <c r="J30" s="314" t="s">
        <v>109</v>
      </c>
      <c r="K30" s="314">
        <v>0</v>
      </c>
      <c r="L30" s="314">
        <v>0</v>
      </c>
      <c r="M30" s="315">
        <v>45145.9843865741</v>
      </c>
      <c r="N30" s="314" t="s">
        <v>254</v>
      </c>
      <c r="O30" s="314" t="s">
        <v>255</v>
      </c>
      <c r="P30" s="314" t="s">
        <v>112</v>
      </c>
      <c r="Q30" s="314" t="s">
        <v>123</v>
      </c>
      <c r="R30" s="315">
        <v>45145.9843865741</v>
      </c>
      <c r="S30" s="314" t="s">
        <v>254</v>
      </c>
      <c r="T30" s="314" t="s">
        <v>256</v>
      </c>
      <c r="U30" s="314" t="s">
        <v>256</v>
      </c>
      <c r="V30" s="314" t="s">
        <v>114</v>
      </c>
      <c r="W30" s="314"/>
      <c r="X30" s="314" t="str">
        <f>VLOOKUP(D30,代理总表!A:D,3,0)</f>
        <v>官网</v>
      </c>
      <c r="Y30" t="str">
        <f>VLOOKUP(D:D,代理总表!A:D,4,FALSE)</f>
        <v>官网</v>
      </c>
      <c r="Z30">
        <f t="shared" si="0"/>
        <v>0</v>
      </c>
      <c r="AA30">
        <f t="shared" si="1"/>
        <v>23</v>
      </c>
      <c r="AB30">
        <f t="shared" si="2"/>
        <v>1</v>
      </c>
    </row>
    <row r="31" spans="1:28">
      <c r="A31" s="314" t="s">
        <v>257</v>
      </c>
      <c r="B31" s="314" t="s">
        <v>258</v>
      </c>
      <c r="C31" s="314">
        <v>13481861138</v>
      </c>
      <c r="D31" s="314" t="s">
        <v>259</v>
      </c>
      <c r="E31" s="314" t="s">
        <v>104</v>
      </c>
      <c r="F31" s="314" t="s">
        <v>149</v>
      </c>
      <c r="G31" s="314" t="s">
        <v>108</v>
      </c>
      <c r="H31" s="314" t="s">
        <v>119</v>
      </c>
      <c r="I31" s="314" t="s">
        <v>108</v>
      </c>
      <c r="J31" s="314" t="s">
        <v>109</v>
      </c>
      <c r="K31" s="314">
        <v>0</v>
      </c>
      <c r="L31" s="314">
        <v>0</v>
      </c>
      <c r="M31" s="315">
        <v>45145.983587963</v>
      </c>
      <c r="N31" s="314" t="s">
        <v>260</v>
      </c>
      <c r="O31" s="314" t="s">
        <v>261</v>
      </c>
      <c r="P31" s="314" t="s">
        <v>112</v>
      </c>
      <c r="Q31" s="314" t="s">
        <v>123</v>
      </c>
      <c r="R31" s="315">
        <v>45145.9986226852</v>
      </c>
      <c r="S31" s="314" t="s">
        <v>260</v>
      </c>
      <c r="T31" s="314" t="s">
        <v>262</v>
      </c>
      <c r="U31" s="314" t="s">
        <v>262</v>
      </c>
      <c r="V31" s="314" t="s">
        <v>114</v>
      </c>
      <c r="W31" s="314"/>
      <c r="X31" s="314" t="str">
        <f>VLOOKUP(D31,代理总表!A:D,3,0)</f>
        <v>tony</v>
      </c>
      <c r="Y31" t="str">
        <f>VLOOKUP(D:D,代理总表!A:D,4,FALSE)</f>
        <v>SEO</v>
      </c>
      <c r="Z31">
        <f t="shared" si="0"/>
        <v>0</v>
      </c>
      <c r="AA31">
        <f t="shared" si="1"/>
        <v>23</v>
      </c>
      <c r="AB31">
        <f t="shared" si="2"/>
        <v>1</v>
      </c>
    </row>
    <row r="32" spans="1:28">
      <c r="A32" s="314" t="s">
        <v>263</v>
      </c>
      <c r="B32" s="314" t="s">
        <v>264</v>
      </c>
      <c r="C32" s="314">
        <v>13553694042</v>
      </c>
      <c r="D32" s="314" t="s">
        <v>103</v>
      </c>
      <c r="E32" s="314" t="s">
        <v>104</v>
      </c>
      <c r="F32" s="314" t="s">
        <v>144</v>
      </c>
      <c r="G32" s="314" t="s">
        <v>106</v>
      </c>
      <c r="H32" s="314" t="s">
        <v>107</v>
      </c>
      <c r="I32" s="314" t="s">
        <v>108</v>
      </c>
      <c r="J32" s="314" t="s">
        <v>109</v>
      </c>
      <c r="K32" s="314">
        <v>500</v>
      </c>
      <c r="L32" s="314">
        <v>0</v>
      </c>
      <c r="M32" s="315">
        <v>45145.9831365741</v>
      </c>
      <c r="N32" s="314" t="s">
        <v>265</v>
      </c>
      <c r="O32" s="314" t="s">
        <v>266</v>
      </c>
      <c r="P32" s="314" t="s">
        <v>208</v>
      </c>
      <c r="Q32" s="315">
        <v>45146.0171180556</v>
      </c>
      <c r="R32" s="315">
        <v>45146.0166203704</v>
      </c>
      <c r="S32" s="314" t="s">
        <v>267</v>
      </c>
      <c r="T32" s="314" t="s">
        <v>262</v>
      </c>
      <c r="U32" s="314" t="s">
        <v>262</v>
      </c>
      <c r="V32" s="314" t="s">
        <v>114</v>
      </c>
      <c r="W32" s="314"/>
      <c r="X32" s="314" t="str">
        <f>VLOOKUP(D32,代理总表!A:D,3,0)</f>
        <v>官网</v>
      </c>
      <c r="Y32" t="str">
        <f>VLOOKUP(D:D,代理总表!A:D,4,FALSE)</f>
        <v>官网</v>
      </c>
      <c r="Z32">
        <f t="shared" si="0"/>
        <v>1</v>
      </c>
      <c r="AA32">
        <f t="shared" si="1"/>
        <v>23</v>
      </c>
      <c r="AB32">
        <f t="shared" si="2"/>
        <v>1</v>
      </c>
    </row>
    <row r="33" spans="1:28">
      <c r="A33" s="314" t="s">
        <v>268</v>
      </c>
      <c r="B33" s="314" t="s">
        <v>269</v>
      </c>
      <c r="C33" s="314">
        <v>15668190328</v>
      </c>
      <c r="D33" s="314" t="s">
        <v>270</v>
      </c>
      <c r="E33" s="314" t="s">
        <v>104</v>
      </c>
      <c r="F33" s="314" t="s">
        <v>144</v>
      </c>
      <c r="G33" s="314" t="s">
        <v>106</v>
      </c>
      <c r="H33" s="314" t="s">
        <v>107</v>
      </c>
      <c r="I33" s="314" t="s">
        <v>108</v>
      </c>
      <c r="J33" s="314" t="s">
        <v>109</v>
      </c>
      <c r="K33" s="314">
        <v>502.02</v>
      </c>
      <c r="L33" s="314">
        <v>5.64</v>
      </c>
      <c r="M33" s="315">
        <v>45145.9817939815</v>
      </c>
      <c r="N33" s="314" t="s">
        <v>271</v>
      </c>
      <c r="O33" s="314" t="s">
        <v>272</v>
      </c>
      <c r="P33" s="314" t="s">
        <v>112</v>
      </c>
      <c r="Q33" s="315">
        <v>45146.0034606481</v>
      </c>
      <c r="R33" s="315">
        <v>45146.0979976852</v>
      </c>
      <c r="S33" s="314" t="s">
        <v>271</v>
      </c>
      <c r="T33" s="314" t="s">
        <v>273</v>
      </c>
      <c r="U33" s="314" t="s">
        <v>273</v>
      </c>
      <c r="V33" s="314" t="s">
        <v>114</v>
      </c>
      <c r="W33" s="314"/>
      <c r="X33" s="314" t="str">
        <f>VLOOKUP(D33,代理总表!A:D,3,0)</f>
        <v>外部代理总线</v>
      </c>
      <c r="Y33" t="str">
        <f>VLOOKUP(D:D,代理总表!A:D,4,FALSE)</f>
        <v>外部代理总线zh0808</v>
      </c>
      <c r="Z33">
        <f t="shared" si="0"/>
        <v>1</v>
      </c>
      <c r="AA33">
        <f t="shared" si="1"/>
        <v>23</v>
      </c>
      <c r="AB33">
        <f t="shared" si="2"/>
        <v>1</v>
      </c>
    </row>
    <row r="34" spans="1:28">
      <c r="A34" s="314" t="s">
        <v>274</v>
      </c>
      <c r="B34" s="314" t="s">
        <v>275</v>
      </c>
      <c r="C34" s="314">
        <v>13352752896</v>
      </c>
      <c r="D34" s="314" t="s">
        <v>276</v>
      </c>
      <c r="E34" s="314" t="s">
        <v>104</v>
      </c>
      <c r="F34" s="314" t="s">
        <v>277</v>
      </c>
      <c r="G34" s="314" t="s">
        <v>106</v>
      </c>
      <c r="H34" s="314" t="s">
        <v>107</v>
      </c>
      <c r="I34" s="314" t="s">
        <v>108</v>
      </c>
      <c r="J34" s="314" t="s">
        <v>109</v>
      </c>
      <c r="K34" s="314">
        <v>100</v>
      </c>
      <c r="L34" s="314">
        <v>0</v>
      </c>
      <c r="M34" s="315">
        <v>45145.9815393519</v>
      </c>
      <c r="N34" s="314" t="s">
        <v>278</v>
      </c>
      <c r="O34" s="314" t="s">
        <v>279</v>
      </c>
      <c r="P34" s="314" t="s">
        <v>112</v>
      </c>
      <c r="Q34" s="315">
        <v>45146.0359259259</v>
      </c>
      <c r="R34" s="315">
        <v>45146.1028356481</v>
      </c>
      <c r="S34" s="314" t="s">
        <v>280</v>
      </c>
      <c r="T34" s="314" t="s">
        <v>281</v>
      </c>
      <c r="U34" s="314" t="s">
        <v>282</v>
      </c>
      <c r="V34" s="314" t="s">
        <v>114</v>
      </c>
      <c r="W34" s="314"/>
      <c r="X34" s="314" t="str">
        <f>VLOOKUP(D34,代理总表!A:D,3,0)</f>
        <v>飞哥雨燕直播</v>
      </c>
      <c r="Y34" t="str">
        <f>VLOOKUP(D:D,代理总表!A:D,4,FALSE)</f>
        <v>飞哥雨燕直播ffmk88</v>
      </c>
      <c r="Z34">
        <f t="shared" si="0"/>
        <v>1</v>
      </c>
      <c r="AA34">
        <f t="shared" si="1"/>
        <v>23</v>
      </c>
      <c r="AB34">
        <f t="shared" si="2"/>
        <v>1</v>
      </c>
    </row>
    <row r="35" spans="1:28">
      <c r="A35" s="314" t="s">
        <v>283</v>
      </c>
      <c r="B35" s="314" t="s">
        <v>284</v>
      </c>
      <c r="C35" s="314">
        <v>15034284607</v>
      </c>
      <c r="D35" s="314" t="s">
        <v>285</v>
      </c>
      <c r="E35" s="314" t="s">
        <v>104</v>
      </c>
      <c r="F35" s="314" t="s">
        <v>118</v>
      </c>
      <c r="G35" s="314" t="s">
        <v>108</v>
      </c>
      <c r="H35" s="314" t="s">
        <v>119</v>
      </c>
      <c r="I35" s="314" t="s">
        <v>108</v>
      </c>
      <c r="J35" s="314" t="s">
        <v>109</v>
      </c>
      <c r="K35" s="314">
        <v>0</v>
      </c>
      <c r="L35" s="314">
        <v>0</v>
      </c>
      <c r="M35" s="315">
        <v>45145.9814930556</v>
      </c>
      <c r="N35" s="314" t="s">
        <v>286</v>
      </c>
      <c r="O35" s="314" t="s">
        <v>287</v>
      </c>
      <c r="P35" s="314" t="s">
        <v>112</v>
      </c>
      <c r="Q35" s="314" t="s">
        <v>123</v>
      </c>
      <c r="R35" s="315">
        <v>45145.9815972222</v>
      </c>
      <c r="S35" s="314" t="s">
        <v>286</v>
      </c>
      <c r="T35" s="314" t="s">
        <v>288</v>
      </c>
      <c r="U35" s="314" t="s">
        <v>288</v>
      </c>
      <c r="V35" s="314" t="s">
        <v>114</v>
      </c>
      <c r="W35" s="314"/>
      <c r="X35" s="314" t="str">
        <f>VLOOKUP(D35,代理总表!A:D,3,0)</f>
        <v>雨燕直播</v>
      </c>
      <c r="Y35" t="str">
        <f>VLOOKUP(D:D,代理总表!A:D,4,FALSE)</f>
        <v>雨燕直播zzzb888</v>
      </c>
      <c r="Z35">
        <f t="shared" si="0"/>
        <v>0</v>
      </c>
      <c r="AA35">
        <f t="shared" si="1"/>
        <v>23</v>
      </c>
      <c r="AB35">
        <f t="shared" si="2"/>
        <v>1</v>
      </c>
    </row>
    <row r="36" spans="1:28">
      <c r="A36" s="314" t="s">
        <v>289</v>
      </c>
      <c r="B36" s="314"/>
      <c r="C36" s="314"/>
      <c r="D36" s="314" t="s">
        <v>249</v>
      </c>
      <c r="E36" s="314" t="s">
        <v>104</v>
      </c>
      <c r="F36" s="314" t="s">
        <v>118</v>
      </c>
      <c r="G36" s="314" t="s">
        <v>108</v>
      </c>
      <c r="H36" s="314" t="s">
        <v>119</v>
      </c>
      <c r="I36" s="314" t="s">
        <v>108</v>
      </c>
      <c r="J36" s="314" t="s">
        <v>109</v>
      </c>
      <c r="K36" s="314">
        <v>0</v>
      </c>
      <c r="L36" s="314">
        <v>0</v>
      </c>
      <c r="M36" s="315">
        <v>45145.9804976852</v>
      </c>
      <c r="N36" s="314" t="s">
        <v>290</v>
      </c>
      <c r="O36" s="314" t="s">
        <v>251</v>
      </c>
      <c r="P36" s="314" t="s">
        <v>112</v>
      </c>
      <c r="Q36" s="314" t="s">
        <v>123</v>
      </c>
      <c r="R36" s="315">
        <v>45145.9847106481</v>
      </c>
      <c r="S36" s="314" t="s">
        <v>290</v>
      </c>
      <c r="T36" s="314" t="s">
        <v>291</v>
      </c>
      <c r="U36" s="314" t="s">
        <v>291</v>
      </c>
      <c r="V36" s="314" t="s">
        <v>114</v>
      </c>
      <c r="W36" s="314"/>
      <c r="X36" s="314" t="str">
        <f>VLOOKUP(D36,代理总表!A:D,3,0)</f>
        <v>飞哥雨燕直播</v>
      </c>
      <c r="Y36" t="str">
        <f>VLOOKUP(D:D,代理总表!A:D,4,FALSE)</f>
        <v>飞哥雨燕直播ffmk88</v>
      </c>
      <c r="Z36">
        <f t="shared" si="0"/>
        <v>0</v>
      </c>
      <c r="AA36">
        <f t="shared" si="1"/>
        <v>23</v>
      </c>
      <c r="AB36">
        <f t="shared" si="2"/>
        <v>1</v>
      </c>
    </row>
    <row r="37" spans="1:28">
      <c r="A37" s="314" t="s">
        <v>292</v>
      </c>
      <c r="B37" s="314" t="s">
        <v>293</v>
      </c>
      <c r="C37" s="314">
        <v>15850350163</v>
      </c>
      <c r="D37" s="314" t="s">
        <v>294</v>
      </c>
      <c r="E37" s="314" t="s">
        <v>104</v>
      </c>
      <c r="F37" s="314" t="s">
        <v>295</v>
      </c>
      <c r="G37" s="314" t="s">
        <v>106</v>
      </c>
      <c r="H37" s="314" t="s">
        <v>119</v>
      </c>
      <c r="I37" s="314" t="s">
        <v>108</v>
      </c>
      <c r="J37" s="314" t="s">
        <v>109</v>
      </c>
      <c r="K37" s="314">
        <v>0</v>
      </c>
      <c r="L37" s="314">
        <v>0</v>
      </c>
      <c r="M37" s="315">
        <v>45145.9800578704</v>
      </c>
      <c r="N37" s="314" t="s">
        <v>296</v>
      </c>
      <c r="O37" s="314" t="s">
        <v>297</v>
      </c>
      <c r="P37" s="314" t="s">
        <v>208</v>
      </c>
      <c r="Q37" s="314" t="s">
        <v>123</v>
      </c>
      <c r="R37" s="315">
        <v>45146.3337615741</v>
      </c>
      <c r="S37" s="314" t="s">
        <v>298</v>
      </c>
      <c r="T37" s="314" t="s">
        <v>299</v>
      </c>
      <c r="U37" s="314" t="s">
        <v>299</v>
      </c>
      <c r="V37" s="314" t="s">
        <v>114</v>
      </c>
      <c r="W37" s="314"/>
      <c r="X37" s="314" t="str">
        <f>VLOOKUP(D37,代理总表!A:D,3,0)</f>
        <v>DK</v>
      </c>
      <c r="Y37" t="str">
        <f>VLOOKUP(D:D,代理总表!A:D,4,FALSE)</f>
        <v>SEO</v>
      </c>
      <c r="Z37">
        <f t="shared" si="0"/>
        <v>0</v>
      </c>
      <c r="AA37">
        <f t="shared" si="1"/>
        <v>23</v>
      </c>
      <c r="AB37">
        <f t="shared" si="2"/>
        <v>1</v>
      </c>
    </row>
    <row r="38" spans="1:28">
      <c r="A38" s="314" t="s">
        <v>300</v>
      </c>
      <c r="B38" s="314"/>
      <c r="C38" s="314">
        <v>18156615343</v>
      </c>
      <c r="D38" s="314" t="s">
        <v>301</v>
      </c>
      <c r="E38" s="314" t="s">
        <v>104</v>
      </c>
      <c r="F38" s="314" t="s">
        <v>149</v>
      </c>
      <c r="G38" s="314" t="s">
        <v>108</v>
      </c>
      <c r="H38" s="314" t="s">
        <v>119</v>
      </c>
      <c r="I38" s="314" t="s">
        <v>108</v>
      </c>
      <c r="J38" s="314" t="s">
        <v>109</v>
      </c>
      <c r="K38" s="314">
        <v>0</v>
      </c>
      <c r="L38" s="314">
        <v>0</v>
      </c>
      <c r="M38" s="315">
        <v>45145.979525463</v>
      </c>
      <c r="N38" s="314" t="s">
        <v>302</v>
      </c>
      <c r="O38" s="314" t="s">
        <v>303</v>
      </c>
      <c r="P38" s="314" t="s">
        <v>112</v>
      </c>
      <c r="Q38" s="314" t="s">
        <v>123</v>
      </c>
      <c r="R38" s="315">
        <v>45145.983900463</v>
      </c>
      <c r="S38" s="314" t="s">
        <v>302</v>
      </c>
      <c r="T38" s="314" t="s">
        <v>304</v>
      </c>
      <c r="U38" s="314" t="s">
        <v>304</v>
      </c>
      <c r="V38" s="314" t="s">
        <v>114</v>
      </c>
      <c r="W38" s="314"/>
      <c r="X38" s="314" t="str">
        <f>VLOOKUP(D38,代理总表!A:D,3,0)</f>
        <v>电销拉回专用</v>
      </c>
      <c r="Y38" t="str">
        <f>VLOOKUP(D:D,代理总表!A:D,4,FALSE)</f>
        <v>SEO</v>
      </c>
      <c r="Z38">
        <f t="shared" si="0"/>
        <v>0</v>
      </c>
      <c r="AA38">
        <f t="shared" si="1"/>
        <v>23</v>
      </c>
      <c r="AB38">
        <f t="shared" si="2"/>
        <v>1</v>
      </c>
    </row>
    <row r="39" spans="1:28">
      <c r="A39" s="314" t="s">
        <v>305</v>
      </c>
      <c r="B39" s="314"/>
      <c r="C39" s="314">
        <v>15327152533</v>
      </c>
      <c r="D39" s="314" t="s">
        <v>148</v>
      </c>
      <c r="E39" s="314" t="s">
        <v>104</v>
      </c>
      <c r="F39" s="314" t="s">
        <v>149</v>
      </c>
      <c r="G39" s="314" t="s">
        <v>108</v>
      </c>
      <c r="H39" s="314" t="s">
        <v>119</v>
      </c>
      <c r="I39" s="314" t="s">
        <v>108</v>
      </c>
      <c r="J39" s="314" t="s">
        <v>109</v>
      </c>
      <c r="K39" s="314">
        <v>0</v>
      </c>
      <c r="L39" s="314">
        <v>0</v>
      </c>
      <c r="M39" s="315">
        <v>45145.9785648148</v>
      </c>
      <c r="N39" s="314" t="s">
        <v>306</v>
      </c>
      <c r="O39" s="314" t="s">
        <v>160</v>
      </c>
      <c r="P39" s="314" t="s">
        <v>161</v>
      </c>
      <c r="Q39" s="314" t="s">
        <v>123</v>
      </c>
      <c r="R39" s="315">
        <v>45146.0221180556</v>
      </c>
      <c r="S39" s="314" t="s">
        <v>306</v>
      </c>
      <c r="T39" s="314" t="s">
        <v>307</v>
      </c>
      <c r="U39" s="314" t="s">
        <v>307</v>
      </c>
      <c r="V39" s="314" t="s">
        <v>114</v>
      </c>
      <c r="W39" s="314"/>
      <c r="X39" s="314" t="str">
        <f>VLOOKUP(D39,代理总表!A:D,3,0)</f>
        <v>martin</v>
      </c>
      <c r="Y39" t="str">
        <f>VLOOKUP(D:D,代理总表!A:D,4,FALSE)</f>
        <v>SEO</v>
      </c>
      <c r="Z39">
        <f t="shared" si="0"/>
        <v>0</v>
      </c>
      <c r="AA39">
        <f t="shared" si="1"/>
        <v>23</v>
      </c>
      <c r="AB39">
        <f t="shared" si="2"/>
        <v>1</v>
      </c>
    </row>
    <row r="40" spans="1:28">
      <c r="A40" s="314" t="s">
        <v>308</v>
      </c>
      <c r="B40" s="314" t="s">
        <v>309</v>
      </c>
      <c r="C40" s="314">
        <v>985353543</v>
      </c>
      <c r="D40" s="314" t="s">
        <v>224</v>
      </c>
      <c r="E40" s="314" t="s">
        <v>117</v>
      </c>
      <c r="F40" s="314" t="s">
        <v>144</v>
      </c>
      <c r="G40" s="314" t="s">
        <v>106</v>
      </c>
      <c r="H40" s="314" t="s">
        <v>107</v>
      </c>
      <c r="I40" s="314" t="s">
        <v>108</v>
      </c>
      <c r="J40" s="314" t="s">
        <v>120</v>
      </c>
      <c r="K40" s="314">
        <v>80000</v>
      </c>
      <c r="L40" s="314">
        <v>100000</v>
      </c>
      <c r="M40" s="315">
        <v>45145.9776851852</v>
      </c>
      <c r="N40" s="314" t="s">
        <v>310</v>
      </c>
      <c r="O40" s="314" t="s">
        <v>226</v>
      </c>
      <c r="P40" s="314" t="s">
        <v>112</v>
      </c>
      <c r="Q40" s="315">
        <v>45145.9858101852</v>
      </c>
      <c r="R40" s="315">
        <v>45146.0824652778</v>
      </c>
      <c r="S40" s="314" t="s">
        <v>311</v>
      </c>
      <c r="T40" s="314" t="s">
        <v>177</v>
      </c>
      <c r="U40" s="314" t="s">
        <v>177</v>
      </c>
      <c r="V40" s="314" t="s">
        <v>114</v>
      </c>
      <c r="W40" s="314"/>
      <c r="X40" s="314" t="str">
        <f>VLOOKUP(D40,代理总表!A:D,3,0)</f>
        <v>雨燕直播-越</v>
      </c>
      <c r="Y40" t="str">
        <f>VLOOKUP(D:D,代理总表!A:D,4,FALSE)</f>
        <v>雨燕直播-越ffvn66</v>
      </c>
      <c r="Z40">
        <f t="shared" si="0"/>
        <v>1</v>
      </c>
      <c r="AA40">
        <f t="shared" si="1"/>
        <v>23</v>
      </c>
      <c r="AB40">
        <f t="shared" si="2"/>
        <v>1</v>
      </c>
    </row>
    <row r="41" spans="1:28">
      <c r="A41" s="314" t="s">
        <v>312</v>
      </c>
      <c r="B41" s="314" t="s">
        <v>313</v>
      </c>
      <c r="C41" s="314">
        <v>936804685</v>
      </c>
      <c r="D41" s="314" t="s">
        <v>143</v>
      </c>
      <c r="E41" s="314" t="s">
        <v>117</v>
      </c>
      <c r="F41" s="314" t="s">
        <v>144</v>
      </c>
      <c r="G41" s="314" t="s">
        <v>106</v>
      </c>
      <c r="H41" s="314" t="s">
        <v>107</v>
      </c>
      <c r="I41" s="314" t="s">
        <v>108</v>
      </c>
      <c r="J41" s="314" t="s">
        <v>120</v>
      </c>
      <c r="K41" s="314">
        <v>8000000</v>
      </c>
      <c r="L41" s="314">
        <v>0</v>
      </c>
      <c r="M41" s="315">
        <v>45145.9776388889</v>
      </c>
      <c r="N41" s="314" t="s">
        <v>314</v>
      </c>
      <c r="O41" s="314" t="s">
        <v>146</v>
      </c>
      <c r="P41" s="314" t="s">
        <v>112</v>
      </c>
      <c r="Q41" s="315">
        <v>45146.0097800926</v>
      </c>
      <c r="R41" s="315">
        <v>45146.1123032407</v>
      </c>
      <c r="S41" s="314" t="s">
        <v>315</v>
      </c>
      <c r="T41" s="314" t="s">
        <v>176</v>
      </c>
      <c r="U41" s="314" t="s">
        <v>124</v>
      </c>
      <c r="V41" s="314" t="s">
        <v>114</v>
      </c>
      <c r="W41" s="314" t="s">
        <v>316</v>
      </c>
      <c r="X41" s="314" t="str">
        <f>VLOOKUP(D41,代理总表!A:D,3,0)</f>
        <v>雨燕直播-越</v>
      </c>
      <c r="Y41" t="str">
        <f>VLOOKUP(D:D,代理总表!A:D,4,FALSE)</f>
        <v>雨燕直播-越ffvn66</v>
      </c>
      <c r="Z41">
        <f t="shared" si="0"/>
        <v>1</v>
      </c>
      <c r="AA41">
        <f t="shared" si="1"/>
        <v>23</v>
      </c>
      <c r="AB41">
        <f t="shared" si="2"/>
        <v>1</v>
      </c>
    </row>
    <row r="42" spans="1:28">
      <c r="A42" s="314" t="s">
        <v>317</v>
      </c>
      <c r="B42" s="314"/>
      <c r="C42" s="314">
        <v>19976533173</v>
      </c>
      <c r="D42" s="314" t="s">
        <v>148</v>
      </c>
      <c r="E42" s="314" t="s">
        <v>104</v>
      </c>
      <c r="F42" s="314" t="s">
        <v>149</v>
      </c>
      <c r="G42" s="314" t="s">
        <v>108</v>
      </c>
      <c r="H42" s="314" t="s">
        <v>119</v>
      </c>
      <c r="I42" s="314" t="s">
        <v>108</v>
      </c>
      <c r="J42" s="314" t="s">
        <v>109</v>
      </c>
      <c r="K42" s="314">
        <v>0</v>
      </c>
      <c r="L42" s="314">
        <v>0</v>
      </c>
      <c r="M42" s="315">
        <v>45145.9763425926</v>
      </c>
      <c r="N42" s="314" t="s">
        <v>318</v>
      </c>
      <c r="O42" s="314" t="s">
        <v>151</v>
      </c>
      <c r="P42" s="314" t="s">
        <v>112</v>
      </c>
      <c r="Q42" s="314" t="s">
        <v>123</v>
      </c>
      <c r="R42" s="315">
        <v>45145.9763425926</v>
      </c>
      <c r="S42" s="314" t="s">
        <v>318</v>
      </c>
      <c r="T42" s="314" t="s">
        <v>319</v>
      </c>
      <c r="U42" s="314" t="s">
        <v>319</v>
      </c>
      <c r="V42" s="314" t="s">
        <v>114</v>
      </c>
      <c r="W42" s="314"/>
      <c r="X42" s="314" t="str">
        <f>VLOOKUP(D42,代理总表!A:D,3,0)</f>
        <v>martin</v>
      </c>
      <c r="Y42" t="str">
        <f>VLOOKUP(D:D,代理总表!A:D,4,FALSE)</f>
        <v>SEO</v>
      </c>
      <c r="Z42">
        <f t="shared" si="0"/>
        <v>0</v>
      </c>
      <c r="AA42">
        <f t="shared" si="1"/>
        <v>23</v>
      </c>
      <c r="AB42">
        <f t="shared" si="2"/>
        <v>1</v>
      </c>
    </row>
    <row r="43" spans="1:28">
      <c r="A43" s="314" t="s">
        <v>320</v>
      </c>
      <c r="B43" s="314" t="s">
        <v>321</v>
      </c>
      <c r="C43" s="314">
        <v>18223343530</v>
      </c>
      <c r="D43" s="314" t="s">
        <v>154</v>
      </c>
      <c r="E43" s="314" t="s">
        <v>104</v>
      </c>
      <c r="F43" s="314" t="s">
        <v>149</v>
      </c>
      <c r="G43" s="314" t="s">
        <v>108</v>
      </c>
      <c r="H43" s="314" t="s">
        <v>119</v>
      </c>
      <c r="I43" s="314" t="s">
        <v>108</v>
      </c>
      <c r="J43" s="314" t="s">
        <v>109</v>
      </c>
      <c r="K43" s="314">
        <v>0</v>
      </c>
      <c r="L43" s="314">
        <v>0</v>
      </c>
      <c r="M43" s="315">
        <v>45145.9762037037</v>
      </c>
      <c r="N43" s="314" t="s">
        <v>322</v>
      </c>
      <c r="O43" s="314" t="s">
        <v>323</v>
      </c>
      <c r="P43" s="314" t="s">
        <v>161</v>
      </c>
      <c r="Q43" s="314" t="s">
        <v>123</v>
      </c>
      <c r="R43" s="315">
        <v>45145.9762037037</v>
      </c>
      <c r="S43" s="314" t="s">
        <v>322</v>
      </c>
      <c r="T43" s="314" t="s">
        <v>324</v>
      </c>
      <c r="U43" s="314" t="s">
        <v>324</v>
      </c>
      <c r="V43" s="314" t="s">
        <v>114</v>
      </c>
      <c r="W43" s="314"/>
      <c r="X43" s="314" t="str">
        <f>VLOOKUP(D43,代理总表!A:D,3,0)</f>
        <v>max</v>
      </c>
      <c r="Y43" t="str">
        <f>VLOOKUP(D:D,代理总表!A:D,4,FALSE)</f>
        <v>SEO</v>
      </c>
      <c r="Z43">
        <f t="shared" si="0"/>
        <v>0</v>
      </c>
      <c r="AA43">
        <f t="shared" si="1"/>
        <v>23</v>
      </c>
      <c r="AB43">
        <f t="shared" si="2"/>
        <v>1</v>
      </c>
    </row>
    <row r="44" spans="1:28">
      <c r="A44" s="314" t="s">
        <v>325</v>
      </c>
      <c r="B44" s="314"/>
      <c r="C44" s="314"/>
      <c r="D44" s="314" t="s">
        <v>326</v>
      </c>
      <c r="E44" s="314" t="s">
        <v>104</v>
      </c>
      <c r="F44" s="314" t="s">
        <v>118</v>
      </c>
      <c r="G44" s="314" t="s">
        <v>108</v>
      </c>
      <c r="H44" s="314" t="s">
        <v>119</v>
      </c>
      <c r="I44" s="314" t="s">
        <v>108</v>
      </c>
      <c r="J44" s="314" t="s">
        <v>109</v>
      </c>
      <c r="K44" s="314">
        <v>0</v>
      </c>
      <c r="L44" s="314">
        <v>0</v>
      </c>
      <c r="M44" s="315">
        <v>45145.9744444444</v>
      </c>
      <c r="N44" s="314" t="s">
        <v>327</v>
      </c>
      <c r="O44" s="314" t="s">
        <v>328</v>
      </c>
      <c r="P44" s="314" t="s">
        <v>112</v>
      </c>
      <c r="Q44" s="314" t="s">
        <v>123</v>
      </c>
      <c r="R44" s="315">
        <v>45145.9852546296</v>
      </c>
      <c r="S44" s="314" t="s">
        <v>329</v>
      </c>
      <c r="T44" s="314" t="s">
        <v>113</v>
      </c>
      <c r="U44" s="314" t="s">
        <v>330</v>
      </c>
      <c r="V44" s="314" t="s">
        <v>114</v>
      </c>
      <c r="W44" s="314"/>
      <c r="X44" s="314" t="str">
        <f>VLOOKUP(D44,代理总表!A:D,3,0)</f>
        <v>雨燕直播</v>
      </c>
      <c r="Y44" t="str">
        <f>VLOOKUP(D:D,代理总表!A:D,4,FALSE)</f>
        <v>雨燕直播zzzb888</v>
      </c>
      <c r="Z44">
        <f t="shared" si="0"/>
        <v>0</v>
      </c>
      <c r="AA44">
        <f t="shared" si="1"/>
        <v>23</v>
      </c>
      <c r="AB44">
        <f t="shared" si="2"/>
        <v>1</v>
      </c>
    </row>
    <row r="45" spans="1:28">
      <c r="A45" s="314" t="s">
        <v>331</v>
      </c>
      <c r="B45" s="314" t="s">
        <v>332</v>
      </c>
      <c r="C45" s="314">
        <v>528248298</v>
      </c>
      <c r="D45" s="314" t="s">
        <v>333</v>
      </c>
      <c r="E45" s="314" t="s">
        <v>117</v>
      </c>
      <c r="F45" s="314" t="s">
        <v>144</v>
      </c>
      <c r="G45" s="314" t="s">
        <v>106</v>
      </c>
      <c r="H45" s="314" t="s">
        <v>107</v>
      </c>
      <c r="I45" s="314" t="s">
        <v>108</v>
      </c>
      <c r="J45" s="314" t="s">
        <v>120</v>
      </c>
      <c r="K45" s="314">
        <v>0</v>
      </c>
      <c r="L45" s="314">
        <v>12050000</v>
      </c>
      <c r="M45" s="315">
        <v>45145.9741666667</v>
      </c>
      <c r="N45" s="314" t="s">
        <v>334</v>
      </c>
      <c r="O45" s="314" t="s">
        <v>335</v>
      </c>
      <c r="P45" s="314" t="s">
        <v>112</v>
      </c>
      <c r="Q45" s="315">
        <v>45145.9885300926</v>
      </c>
      <c r="R45" s="315">
        <v>45146.1700347222</v>
      </c>
      <c r="S45" s="314" t="s">
        <v>334</v>
      </c>
      <c r="T45" s="314" t="s">
        <v>177</v>
      </c>
      <c r="U45" s="314" t="s">
        <v>177</v>
      </c>
      <c r="V45" s="314" t="s">
        <v>114</v>
      </c>
      <c r="W45" s="314"/>
      <c r="X45" s="314" t="e">
        <f>VLOOKUP(D45,代理总表!A:D,3,0)</f>
        <v>#N/A</v>
      </c>
      <c r="Y45" t="e">
        <f>VLOOKUP(D:D,代理总表!A:D,4,FALSE)</f>
        <v>#N/A</v>
      </c>
      <c r="Z45">
        <f t="shared" si="0"/>
        <v>1</v>
      </c>
      <c r="AA45">
        <f t="shared" si="1"/>
        <v>23</v>
      </c>
      <c r="AB45">
        <f t="shared" si="2"/>
        <v>1</v>
      </c>
    </row>
    <row r="46" spans="1:28">
      <c r="A46" s="314" t="s">
        <v>336</v>
      </c>
      <c r="B46" s="314"/>
      <c r="C46" s="314"/>
      <c r="D46" s="314" t="s">
        <v>172</v>
      </c>
      <c r="E46" s="314" t="s">
        <v>117</v>
      </c>
      <c r="F46" s="314" t="s">
        <v>118</v>
      </c>
      <c r="G46" s="314" t="s">
        <v>108</v>
      </c>
      <c r="H46" s="314" t="s">
        <v>119</v>
      </c>
      <c r="I46" s="314" t="s">
        <v>108</v>
      </c>
      <c r="J46" s="314" t="s">
        <v>120</v>
      </c>
      <c r="K46" s="314">
        <v>0</v>
      </c>
      <c r="L46" s="314">
        <v>0</v>
      </c>
      <c r="M46" s="315">
        <v>45145.9740393519</v>
      </c>
      <c r="N46" s="314" t="s">
        <v>337</v>
      </c>
      <c r="O46" s="314" t="s">
        <v>338</v>
      </c>
      <c r="P46" s="314" t="s">
        <v>339</v>
      </c>
      <c r="Q46" s="314" t="s">
        <v>123</v>
      </c>
      <c r="R46" s="315">
        <v>45145.9740393519</v>
      </c>
      <c r="S46" s="314" t="s">
        <v>337</v>
      </c>
      <c r="T46" s="314" t="s">
        <v>340</v>
      </c>
      <c r="U46" s="314" t="s">
        <v>340</v>
      </c>
      <c r="V46" s="314" t="s">
        <v>114</v>
      </c>
      <c r="W46" s="314"/>
      <c r="X46" s="314" t="str">
        <f>VLOOKUP(D46,代理总表!A:D,3,0)</f>
        <v>雨燕直播-越</v>
      </c>
      <c r="Y46" t="str">
        <f>VLOOKUP(D:D,代理总表!A:D,4,FALSE)</f>
        <v>雨燕直播-越ffvn66</v>
      </c>
      <c r="Z46">
        <f t="shared" si="0"/>
        <v>0</v>
      </c>
      <c r="AA46">
        <f t="shared" si="1"/>
        <v>23</v>
      </c>
      <c r="AB46">
        <f t="shared" si="2"/>
        <v>1</v>
      </c>
    </row>
    <row r="47" spans="1:28">
      <c r="A47" s="314" t="s">
        <v>341</v>
      </c>
      <c r="B47" s="314" t="s">
        <v>342</v>
      </c>
      <c r="C47" s="314">
        <v>13524918612</v>
      </c>
      <c r="D47" s="314" t="s">
        <v>240</v>
      </c>
      <c r="E47" s="314" t="s">
        <v>104</v>
      </c>
      <c r="F47" s="314" t="s">
        <v>181</v>
      </c>
      <c r="G47" s="314" t="s">
        <v>106</v>
      </c>
      <c r="H47" s="314" t="s">
        <v>107</v>
      </c>
      <c r="I47" s="314" t="s">
        <v>108</v>
      </c>
      <c r="J47" s="314" t="s">
        <v>109</v>
      </c>
      <c r="K47" s="314">
        <v>100</v>
      </c>
      <c r="L47" s="314">
        <v>0</v>
      </c>
      <c r="M47" s="315">
        <v>45145.9739351852</v>
      </c>
      <c r="N47" s="314" t="s">
        <v>343</v>
      </c>
      <c r="O47" s="314" t="s">
        <v>344</v>
      </c>
      <c r="P47" s="314" t="s">
        <v>112</v>
      </c>
      <c r="Q47" s="315">
        <v>45146.0294097222</v>
      </c>
      <c r="R47" s="315">
        <v>45146.0325694444</v>
      </c>
      <c r="S47" s="314" t="s">
        <v>345</v>
      </c>
      <c r="T47" s="314" t="s">
        <v>346</v>
      </c>
      <c r="U47" s="314" t="s">
        <v>347</v>
      </c>
      <c r="V47" s="314" t="s">
        <v>114</v>
      </c>
      <c r="W47" s="314"/>
      <c r="X47" s="314" t="str">
        <f>VLOOKUP(D47,代理总表!A:D,3,0)</f>
        <v>SEO邀请</v>
      </c>
      <c r="Y47" t="str">
        <f>VLOOKUP(D:D,代理总表!A:D,4,FALSE)</f>
        <v>SEO</v>
      </c>
      <c r="Z47">
        <f t="shared" si="0"/>
        <v>1</v>
      </c>
      <c r="AA47">
        <f t="shared" si="1"/>
        <v>23</v>
      </c>
      <c r="AB47">
        <f t="shared" si="2"/>
        <v>1</v>
      </c>
    </row>
    <row r="48" spans="1:28">
      <c r="A48" s="314" t="s">
        <v>348</v>
      </c>
      <c r="B48" s="314"/>
      <c r="C48" s="314">
        <v>17718648789</v>
      </c>
      <c r="D48" s="314" t="s">
        <v>103</v>
      </c>
      <c r="E48" s="314" t="s">
        <v>104</v>
      </c>
      <c r="F48" s="314" t="s">
        <v>118</v>
      </c>
      <c r="G48" s="314" t="s">
        <v>108</v>
      </c>
      <c r="H48" s="314" t="s">
        <v>119</v>
      </c>
      <c r="I48" s="314" t="s">
        <v>108</v>
      </c>
      <c r="J48" s="314" t="s">
        <v>109</v>
      </c>
      <c r="K48" s="314">
        <v>0</v>
      </c>
      <c r="L48" s="314">
        <v>0</v>
      </c>
      <c r="M48" s="315">
        <v>45145.973125</v>
      </c>
      <c r="N48" s="314" t="s">
        <v>349</v>
      </c>
      <c r="O48" s="314" t="s">
        <v>350</v>
      </c>
      <c r="P48" s="314" t="s">
        <v>161</v>
      </c>
      <c r="Q48" s="314" t="s">
        <v>123</v>
      </c>
      <c r="R48" s="315">
        <v>45145.9731134259</v>
      </c>
      <c r="S48" s="314" t="s">
        <v>349</v>
      </c>
      <c r="T48" s="314" t="s">
        <v>351</v>
      </c>
      <c r="U48" s="314" t="s">
        <v>351</v>
      </c>
      <c r="V48" s="314" t="s">
        <v>114</v>
      </c>
      <c r="W48" s="314"/>
      <c r="X48" s="314" t="str">
        <f>VLOOKUP(D48,代理总表!A:D,3,0)</f>
        <v>官网</v>
      </c>
      <c r="Y48" t="str">
        <f>VLOOKUP(D:D,代理总表!A:D,4,FALSE)</f>
        <v>官网</v>
      </c>
      <c r="Z48">
        <f t="shared" si="0"/>
        <v>0</v>
      </c>
      <c r="AA48">
        <f t="shared" si="1"/>
        <v>23</v>
      </c>
      <c r="AB48">
        <f t="shared" si="2"/>
        <v>1</v>
      </c>
    </row>
    <row r="49" spans="1:28">
      <c r="A49" s="314" t="s">
        <v>352</v>
      </c>
      <c r="B49" s="314"/>
      <c r="C49" s="314"/>
      <c r="D49" s="314" t="s">
        <v>240</v>
      </c>
      <c r="E49" s="314" t="s">
        <v>104</v>
      </c>
      <c r="F49" s="314" t="s">
        <v>149</v>
      </c>
      <c r="G49" s="314" t="s">
        <v>108</v>
      </c>
      <c r="H49" s="314" t="s">
        <v>119</v>
      </c>
      <c r="I49" s="314" t="s">
        <v>108</v>
      </c>
      <c r="J49" s="314" t="s">
        <v>109</v>
      </c>
      <c r="K49" s="314">
        <v>0</v>
      </c>
      <c r="L49" s="314">
        <v>0</v>
      </c>
      <c r="M49" s="315">
        <v>45145.9722222222</v>
      </c>
      <c r="N49" s="314" t="s">
        <v>353</v>
      </c>
      <c r="O49" s="314" t="s">
        <v>354</v>
      </c>
      <c r="P49" s="314" t="s">
        <v>112</v>
      </c>
      <c r="Q49" s="314" t="s">
        <v>123</v>
      </c>
      <c r="R49" s="315">
        <v>45146.1887152778</v>
      </c>
      <c r="S49" s="314" t="s">
        <v>355</v>
      </c>
      <c r="T49" s="314" t="s">
        <v>356</v>
      </c>
      <c r="U49" s="314" t="s">
        <v>356</v>
      </c>
      <c r="V49" s="314" t="s">
        <v>114</v>
      </c>
      <c r="W49" s="314"/>
      <c r="X49" s="314" t="str">
        <f>VLOOKUP(D49,代理总表!A:D,3,0)</f>
        <v>SEO邀请</v>
      </c>
      <c r="Y49" t="str">
        <f>VLOOKUP(D:D,代理总表!A:D,4,FALSE)</f>
        <v>SEO</v>
      </c>
      <c r="Z49">
        <f t="shared" si="0"/>
        <v>0</v>
      </c>
      <c r="AA49">
        <f t="shared" si="1"/>
        <v>23</v>
      </c>
      <c r="AB49">
        <f t="shared" si="2"/>
        <v>1</v>
      </c>
    </row>
    <row r="50" spans="1:28">
      <c r="A50" s="314" t="s">
        <v>357</v>
      </c>
      <c r="B50" s="314" t="s">
        <v>358</v>
      </c>
      <c r="C50" s="314">
        <v>15670566728</v>
      </c>
      <c r="D50" s="314" t="s">
        <v>148</v>
      </c>
      <c r="E50" s="314" t="s">
        <v>104</v>
      </c>
      <c r="F50" s="314" t="s">
        <v>181</v>
      </c>
      <c r="G50" s="314" t="s">
        <v>106</v>
      </c>
      <c r="H50" s="314" t="s">
        <v>107</v>
      </c>
      <c r="I50" s="314" t="s">
        <v>108</v>
      </c>
      <c r="J50" s="314" t="s">
        <v>109</v>
      </c>
      <c r="K50" s="314">
        <v>100</v>
      </c>
      <c r="L50" s="314">
        <v>0</v>
      </c>
      <c r="M50" s="315">
        <v>45145.9716550926</v>
      </c>
      <c r="N50" s="314" t="s">
        <v>359</v>
      </c>
      <c r="O50" s="314" t="s">
        <v>151</v>
      </c>
      <c r="P50" s="314" t="s">
        <v>112</v>
      </c>
      <c r="Q50" s="315">
        <v>45146.0046527778</v>
      </c>
      <c r="R50" s="315">
        <v>45146.0016435185</v>
      </c>
      <c r="S50" s="314" t="s">
        <v>359</v>
      </c>
      <c r="T50" s="314" t="s">
        <v>360</v>
      </c>
      <c r="U50" s="314" t="s">
        <v>360</v>
      </c>
      <c r="V50" s="314" t="s">
        <v>114</v>
      </c>
      <c r="W50" s="314"/>
      <c r="X50" s="314" t="str">
        <f>VLOOKUP(D50,代理总表!A:D,3,0)</f>
        <v>martin</v>
      </c>
      <c r="Y50" t="str">
        <f>VLOOKUP(D:D,代理总表!A:D,4,FALSE)</f>
        <v>SEO</v>
      </c>
      <c r="Z50">
        <f t="shared" si="0"/>
        <v>1</v>
      </c>
      <c r="AA50">
        <f t="shared" si="1"/>
        <v>23</v>
      </c>
      <c r="AB50">
        <f t="shared" si="2"/>
        <v>1</v>
      </c>
    </row>
    <row r="51" spans="1:28">
      <c r="A51" s="314" t="s">
        <v>361</v>
      </c>
      <c r="B51" s="314"/>
      <c r="C51" s="314">
        <v>13172231520</v>
      </c>
      <c r="D51" s="314" t="s">
        <v>235</v>
      </c>
      <c r="E51" s="314" t="s">
        <v>104</v>
      </c>
      <c r="F51" s="314" t="s">
        <v>149</v>
      </c>
      <c r="G51" s="314" t="s">
        <v>108</v>
      </c>
      <c r="H51" s="314" t="s">
        <v>119</v>
      </c>
      <c r="I51" s="314" t="s">
        <v>108</v>
      </c>
      <c r="J51" s="314" t="s">
        <v>109</v>
      </c>
      <c r="K51" s="314">
        <v>0</v>
      </c>
      <c r="L51" s="314">
        <v>0</v>
      </c>
      <c r="M51" s="315">
        <v>45145.9713773148</v>
      </c>
      <c r="N51" s="314" t="s">
        <v>362</v>
      </c>
      <c r="O51" s="314" t="s">
        <v>363</v>
      </c>
      <c r="P51" s="314" t="s">
        <v>208</v>
      </c>
      <c r="Q51" s="314" t="s">
        <v>123</v>
      </c>
      <c r="R51" s="315">
        <v>45145.9880787037</v>
      </c>
      <c r="S51" s="314" t="s">
        <v>362</v>
      </c>
      <c r="T51" s="314" t="s">
        <v>152</v>
      </c>
      <c r="U51" s="314" t="s">
        <v>152</v>
      </c>
      <c r="V51" s="314" t="s">
        <v>114</v>
      </c>
      <c r="W51" s="314"/>
      <c r="X51" s="314" t="str">
        <f>VLOOKUP(D51,代理总表!A:D,3,0)</f>
        <v>aber</v>
      </c>
      <c r="Y51" t="str">
        <f>VLOOKUP(D:D,代理总表!A:D,4,FALSE)</f>
        <v>SEO</v>
      </c>
      <c r="Z51">
        <f t="shared" si="0"/>
        <v>0</v>
      </c>
      <c r="AA51">
        <f t="shared" si="1"/>
        <v>23</v>
      </c>
      <c r="AB51">
        <f t="shared" si="2"/>
        <v>1</v>
      </c>
    </row>
    <row r="52" spans="1:28">
      <c r="A52" s="314" t="s">
        <v>364</v>
      </c>
      <c r="B52" s="314"/>
      <c r="C52" s="314"/>
      <c r="D52" s="314" t="s">
        <v>116</v>
      </c>
      <c r="E52" s="314" t="s">
        <v>117</v>
      </c>
      <c r="F52" s="314" t="s">
        <v>118</v>
      </c>
      <c r="G52" s="314" t="s">
        <v>108</v>
      </c>
      <c r="H52" s="314" t="s">
        <v>119</v>
      </c>
      <c r="I52" s="314" t="s">
        <v>108</v>
      </c>
      <c r="J52" s="314" t="s">
        <v>120</v>
      </c>
      <c r="K52" s="314">
        <v>0</v>
      </c>
      <c r="L52" s="314">
        <v>0</v>
      </c>
      <c r="M52" s="315">
        <v>45145.9711342593</v>
      </c>
      <c r="N52" s="314" t="s">
        <v>365</v>
      </c>
      <c r="O52" s="314" t="s">
        <v>122</v>
      </c>
      <c r="P52" s="314" t="s">
        <v>161</v>
      </c>
      <c r="Q52" s="314" t="s">
        <v>123</v>
      </c>
      <c r="R52" s="315">
        <v>45145.9711226852</v>
      </c>
      <c r="S52" s="314" t="s">
        <v>365</v>
      </c>
      <c r="T52" s="314" t="s">
        <v>177</v>
      </c>
      <c r="U52" s="314" t="s">
        <v>177</v>
      </c>
      <c r="V52" s="314" t="s">
        <v>114</v>
      </c>
      <c r="W52" s="314"/>
      <c r="X52" s="314" t="str">
        <f>VLOOKUP(D52,代理总表!A:D,3,0)</f>
        <v>外部代理总线</v>
      </c>
      <c r="Y52" t="str">
        <f>VLOOKUP(D:D,代理总表!A:D,4,FALSE)</f>
        <v>外部代理总线zh0808</v>
      </c>
      <c r="Z52">
        <f t="shared" si="0"/>
        <v>0</v>
      </c>
      <c r="AA52">
        <f t="shared" si="1"/>
        <v>23</v>
      </c>
      <c r="AB52">
        <f t="shared" si="2"/>
        <v>1</v>
      </c>
    </row>
    <row r="53" spans="1:28">
      <c r="A53" s="314" t="s">
        <v>366</v>
      </c>
      <c r="B53" s="314"/>
      <c r="C53" s="314"/>
      <c r="D53" s="314" t="s">
        <v>116</v>
      </c>
      <c r="E53" s="314" t="s">
        <v>117</v>
      </c>
      <c r="F53" s="314" t="s">
        <v>118</v>
      </c>
      <c r="G53" s="314" t="s">
        <v>108</v>
      </c>
      <c r="H53" s="314" t="s">
        <v>119</v>
      </c>
      <c r="I53" s="314" t="s">
        <v>108</v>
      </c>
      <c r="J53" s="314" t="s">
        <v>120</v>
      </c>
      <c r="K53" s="314">
        <v>0</v>
      </c>
      <c r="L53" s="314">
        <v>0</v>
      </c>
      <c r="M53" s="315">
        <v>45145.9692361111</v>
      </c>
      <c r="N53" s="314" t="s">
        <v>367</v>
      </c>
      <c r="O53" s="314" t="s">
        <v>122</v>
      </c>
      <c r="P53" s="314" t="s">
        <v>112</v>
      </c>
      <c r="Q53" s="314" t="s">
        <v>123</v>
      </c>
      <c r="R53" s="315">
        <v>45145.9692361111</v>
      </c>
      <c r="S53" s="314" t="s">
        <v>367</v>
      </c>
      <c r="T53" s="314" t="s">
        <v>368</v>
      </c>
      <c r="U53" s="314" t="s">
        <v>368</v>
      </c>
      <c r="V53" s="314" t="s">
        <v>114</v>
      </c>
      <c r="W53" s="314"/>
      <c r="X53" s="314" t="str">
        <f>VLOOKUP(D53,代理总表!A:D,3,0)</f>
        <v>外部代理总线</v>
      </c>
      <c r="Y53" t="str">
        <f>VLOOKUP(D:D,代理总表!A:D,4,FALSE)</f>
        <v>外部代理总线zh0808</v>
      </c>
      <c r="Z53">
        <f t="shared" si="0"/>
        <v>0</v>
      </c>
      <c r="AA53">
        <f t="shared" si="1"/>
        <v>23</v>
      </c>
      <c r="AB53">
        <f t="shared" si="2"/>
        <v>1</v>
      </c>
    </row>
    <row r="54" spans="1:28">
      <c r="A54" s="314" t="s">
        <v>369</v>
      </c>
      <c r="B54" s="314"/>
      <c r="C54" s="314">
        <v>19162166736</v>
      </c>
      <c r="D54" s="314" t="s">
        <v>370</v>
      </c>
      <c r="E54" s="314" t="s">
        <v>104</v>
      </c>
      <c r="F54" s="314" t="s">
        <v>118</v>
      </c>
      <c r="G54" s="314" t="s">
        <v>108</v>
      </c>
      <c r="H54" s="314" t="s">
        <v>119</v>
      </c>
      <c r="I54" s="314" t="s">
        <v>108</v>
      </c>
      <c r="J54" s="314" t="s">
        <v>109</v>
      </c>
      <c r="K54" s="314">
        <v>0</v>
      </c>
      <c r="L54" s="314">
        <v>0</v>
      </c>
      <c r="M54" s="315">
        <v>45145.9690162037</v>
      </c>
      <c r="N54" s="314" t="s">
        <v>371</v>
      </c>
      <c r="O54" s="314" t="s">
        <v>372</v>
      </c>
      <c r="P54" s="314" t="s">
        <v>112</v>
      </c>
      <c r="Q54" s="314" t="s">
        <v>123</v>
      </c>
      <c r="R54" s="315">
        <v>45146.2616087963</v>
      </c>
      <c r="S54" s="314" t="s">
        <v>371</v>
      </c>
      <c r="T54" s="314" t="s">
        <v>373</v>
      </c>
      <c r="U54" s="314" t="s">
        <v>373</v>
      </c>
      <c r="V54" s="314" t="s">
        <v>114</v>
      </c>
      <c r="W54" s="314"/>
      <c r="X54" s="314" t="str">
        <f>VLOOKUP(D54,代理总表!A:D,3,0)</f>
        <v>GT-骨头</v>
      </c>
      <c r="Y54" t="str">
        <f>VLOOKUP(D:D,代理总表!A:D,4,FALSE)</f>
        <v>GT-骨头gt6677</v>
      </c>
      <c r="Z54">
        <f t="shared" si="0"/>
        <v>0</v>
      </c>
      <c r="AA54">
        <f t="shared" si="1"/>
        <v>23</v>
      </c>
      <c r="AB54">
        <f t="shared" si="2"/>
        <v>1</v>
      </c>
    </row>
    <row r="55" spans="1:28">
      <c r="A55" s="314" t="s">
        <v>374</v>
      </c>
      <c r="B55" s="314"/>
      <c r="C55" s="314"/>
      <c r="D55" s="314" t="s">
        <v>375</v>
      </c>
      <c r="E55" s="314" t="s">
        <v>104</v>
      </c>
      <c r="F55" s="314" t="s">
        <v>118</v>
      </c>
      <c r="G55" s="314" t="s">
        <v>108</v>
      </c>
      <c r="H55" s="314" t="s">
        <v>119</v>
      </c>
      <c r="I55" s="314" t="s">
        <v>108</v>
      </c>
      <c r="J55" s="314" t="s">
        <v>109</v>
      </c>
      <c r="K55" s="314">
        <v>0</v>
      </c>
      <c r="L55" s="314">
        <v>0</v>
      </c>
      <c r="M55" s="315">
        <v>45145.9680555556</v>
      </c>
      <c r="N55" s="314" t="s">
        <v>376</v>
      </c>
      <c r="O55" s="314" t="s">
        <v>377</v>
      </c>
      <c r="P55" s="314" t="s">
        <v>112</v>
      </c>
      <c r="Q55" s="314" t="s">
        <v>123</v>
      </c>
      <c r="R55" s="315">
        <v>45145.9680555556</v>
      </c>
      <c r="S55" s="314" t="s">
        <v>376</v>
      </c>
      <c r="T55" s="314" t="s">
        <v>378</v>
      </c>
      <c r="U55" s="314" t="s">
        <v>378</v>
      </c>
      <c r="V55" s="314" t="s">
        <v>114</v>
      </c>
      <c r="W55" s="314"/>
      <c r="X55" s="314" t="e">
        <f>VLOOKUP(D55,代理总表!A:D,3,0)</f>
        <v>#N/A</v>
      </c>
      <c r="Y55" t="e">
        <f>VLOOKUP(D:D,代理总表!A:D,4,FALSE)</f>
        <v>#N/A</v>
      </c>
      <c r="Z55">
        <f t="shared" si="0"/>
        <v>0</v>
      </c>
      <c r="AA55">
        <f t="shared" si="1"/>
        <v>23</v>
      </c>
      <c r="AB55">
        <f t="shared" si="2"/>
        <v>1</v>
      </c>
    </row>
    <row r="56" spans="1:28">
      <c r="A56" s="314" t="s">
        <v>379</v>
      </c>
      <c r="B56" s="314"/>
      <c r="C56" s="314"/>
      <c r="D56" s="314" t="s">
        <v>137</v>
      </c>
      <c r="E56" s="314" t="s">
        <v>117</v>
      </c>
      <c r="F56" s="314" t="s">
        <v>118</v>
      </c>
      <c r="G56" s="314" t="s">
        <v>108</v>
      </c>
      <c r="H56" s="314" t="s">
        <v>119</v>
      </c>
      <c r="I56" s="314" t="s">
        <v>108</v>
      </c>
      <c r="J56" s="314" t="s">
        <v>120</v>
      </c>
      <c r="K56" s="314">
        <v>0</v>
      </c>
      <c r="L56" s="314">
        <v>0</v>
      </c>
      <c r="M56" s="315">
        <v>45145.967662037</v>
      </c>
      <c r="N56" s="314" t="s">
        <v>380</v>
      </c>
      <c r="O56" s="314" t="s">
        <v>139</v>
      </c>
      <c r="P56" s="314" t="s">
        <v>112</v>
      </c>
      <c r="Q56" s="314" t="s">
        <v>123</v>
      </c>
      <c r="R56" s="315">
        <v>45145.967650463</v>
      </c>
      <c r="S56" s="314" t="s">
        <v>380</v>
      </c>
      <c r="T56" s="314" t="s">
        <v>177</v>
      </c>
      <c r="U56" s="314" t="s">
        <v>177</v>
      </c>
      <c r="V56" s="314" t="s">
        <v>114</v>
      </c>
      <c r="W56" s="314"/>
      <c r="X56" s="314" t="str">
        <f>VLOOKUP(D56,代理总表!A:D,3,0)</f>
        <v>雨燕直播-越</v>
      </c>
      <c r="Y56" t="str">
        <f>VLOOKUP(D:D,代理总表!A:D,4,FALSE)</f>
        <v>雨燕直播-越ffvn66</v>
      </c>
      <c r="Z56">
        <f t="shared" si="0"/>
        <v>0</v>
      </c>
      <c r="AA56">
        <f t="shared" si="1"/>
        <v>23</v>
      </c>
      <c r="AB56">
        <f t="shared" si="2"/>
        <v>1</v>
      </c>
    </row>
    <row r="57" spans="1:28">
      <c r="A57" s="314" t="s">
        <v>381</v>
      </c>
      <c r="B57" s="314" t="s">
        <v>382</v>
      </c>
      <c r="C57" s="314">
        <v>18808142746</v>
      </c>
      <c r="D57" s="314" t="s">
        <v>103</v>
      </c>
      <c r="E57" s="314" t="s">
        <v>104</v>
      </c>
      <c r="F57" s="314" t="s">
        <v>144</v>
      </c>
      <c r="G57" s="314" t="s">
        <v>106</v>
      </c>
      <c r="H57" s="314" t="s">
        <v>107</v>
      </c>
      <c r="I57" s="314" t="s">
        <v>108</v>
      </c>
      <c r="J57" s="314" t="s">
        <v>109</v>
      </c>
      <c r="K57" s="314">
        <v>100</v>
      </c>
      <c r="L57" s="314">
        <v>0</v>
      </c>
      <c r="M57" s="315">
        <v>45145.967025463</v>
      </c>
      <c r="N57" s="314" t="s">
        <v>383</v>
      </c>
      <c r="O57" s="314" t="s">
        <v>384</v>
      </c>
      <c r="P57" s="314" t="s">
        <v>161</v>
      </c>
      <c r="Q57" s="315">
        <v>45145.9725</v>
      </c>
      <c r="R57" s="315">
        <v>45146.082349537</v>
      </c>
      <c r="S57" s="314" t="s">
        <v>383</v>
      </c>
      <c r="T57" s="314" t="s">
        <v>385</v>
      </c>
      <c r="U57" s="314" t="s">
        <v>385</v>
      </c>
      <c r="V57" s="314" t="s">
        <v>114</v>
      </c>
      <c r="W57" s="314" t="s">
        <v>316</v>
      </c>
      <c r="X57" s="314" t="str">
        <f>VLOOKUP(D57,代理总表!A:D,3,0)</f>
        <v>官网</v>
      </c>
      <c r="Y57" t="str">
        <f>VLOOKUP(D:D,代理总表!A:D,4,FALSE)</f>
        <v>官网</v>
      </c>
      <c r="Z57">
        <f t="shared" si="0"/>
        <v>1</v>
      </c>
      <c r="AA57">
        <f t="shared" si="1"/>
        <v>23</v>
      </c>
      <c r="AB57">
        <f t="shared" si="2"/>
        <v>1</v>
      </c>
    </row>
    <row r="58" spans="1:28">
      <c r="A58" s="314" t="s">
        <v>386</v>
      </c>
      <c r="B58" s="314"/>
      <c r="C58" s="314">
        <v>16636336252</v>
      </c>
      <c r="D58" s="314" t="s">
        <v>148</v>
      </c>
      <c r="E58" s="314" t="s">
        <v>104</v>
      </c>
      <c r="F58" s="314" t="s">
        <v>149</v>
      </c>
      <c r="G58" s="314" t="s">
        <v>108</v>
      </c>
      <c r="H58" s="314" t="s">
        <v>119</v>
      </c>
      <c r="I58" s="314" t="s">
        <v>108</v>
      </c>
      <c r="J58" s="314" t="s">
        <v>109</v>
      </c>
      <c r="K58" s="314">
        <v>0</v>
      </c>
      <c r="L58" s="314">
        <v>0</v>
      </c>
      <c r="M58" s="315">
        <v>45145.9654861111</v>
      </c>
      <c r="N58" s="314" t="s">
        <v>387</v>
      </c>
      <c r="O58" s="314" t="s">
        <v>160</v>
      </c>
      <c r="P58" s="314" t="s">
        <v>161</v>
      </c>
      <c r="Q58" s="314" t="s">
        <v>123</v>
      </c>
      <c r="R58" s="315">
        <v>45145.965474537</v>
      </c>
      <c r="S58" s="314" t="s">
        <v>387</v>
      </c>
      <c r="T58" s="314" t="s">
        <v>388</v>
      </c>
      <c r="U58" s="314" t="s">
        <v>388</v>
      </c>
      <c r="V58" s="314" t="s">
        <v>114</v>
      </c>
      <c r="W58" s="314"/>
      <c r="X58" s="314" t="str">
        <f>VLOOKUP(D58,代理总表!A:D,3,0)</f>
        <v>martin</v>
      </c>
      <c r="Y58" t="str">
        <f>VLOOKUP(D:D,代理总表!A:D,4,FALSE)</f>
        <v>SEO</v>
      </c>
      <c r="Z58">
        <f t="shared" si="0"/>
        <v>0</v>
      </c>
      <c r="AA58">
        <f t="shared" si="1"/>
        <v>23</v>
      </c>
      <c r="AB58">
        <f t="shared" si="2"/>
        <v>1</v>
      </c>
    </row>
    <row r="59" spans="1:28">
      <c r="A59" s="314" t="s">
        <v>389</v>
      </c>
      <c r="B59" s="314"/>
      <c r="C59" s="314">
        <v>13256127222</v>
      </c>
      <c r="D59" s="314" t="s">
        <v>148</v>
      </c>
      <c r="E59" s="314" t="s">
        <v>104</v>
      </c>
      <c r="F59" s="314" t="s">
        <v>149</v>
      </c>
      <c r="G59" s="314" t="s">
        <v>108</v>
      </c>
      <c r="H59" s="314" t="s">
        <v>119</v>
      </c>
      <c r="I59" s="314" t="s">
        <v>108</v>
      </c>
      <c r="J59" s="314" t="s">
        <v>109</v>
      </c>
      <c r="K59" s="314">
        <v>0</v>
      </c>
      <c r="L59" s="314">
        <v>0</v>
      </c>
      <c r="M59" s="315">
        <v>45145.9651851852</v>
      </c>
      <c r="N59" s="314" t="s">
        <v>390</v>
      </c>
      <c r="O59" s="314" t="s">
        <v>151</v>
      </c>
      <c r="P59" s="314" t="s">
        <v>112</v>
      </c>
      <c r="Q59" s="314" t="s">
        <v>123</v>
      </c>
      <c r="R59" s="315">
        <v>45145.967025463</v>
      </c>
      <c r="S59" s="314" t="s">
        <v>390</v>
      </c>
      <c r="T59" s="314" t="s">
        <v>391</v>
      </c>
      <c r="U59" s="314" t="s">
        <v>391</v>
      </c>
      <c r="V59" s="314" t="s">
        <v>114</v>
      </c>
      <c r="W59" s="314"/>
      <c r="X59" s="314" t="str">
        <f>VLOOKUP(D59,代理总表!A:D,3,0)</f>
        <v>martin</v>
      </c>
      <c r="Y59" t="str">
        <f>VLOOKUP(D:D,代理总表!A:D,4,FALSE)</f>
        <v>SEO</v>
      </c>
      <c r="Z59">
        <f t="shared" si="0"/>
        <v>0</v>
      </c>
      <c r="AA59">
        <f t="shared" si="1"/>
        <v>23</v>
      </c>
      <c r="AB59">
        <f t="shared" si="2"/>
        <v>1</v>
      </c>
    </row>
    <row r="60" spans="1:28">
      <c r="A60" s="314" t="s">
        <v>392</v>
      </c>
      <c r="B60" s="314" t="s">
        <v>393</v>
      </c>
      <c r="C60" s="314">
        <v>354134634</v>
      </c>
      <c r="D60" s="314" t="s">
        <v>394</v>
      </c>
      <c r="E60" s="314" t="s">
        <v>117</v>
      </c>
      <c r="F60" s="314" t="s">
        <v>144</v>
      </c>
      <c r="G60" s="314" t="s">
        <v>106</v>
      </c>
      <c r="H60" s="314" t="s">
        <v>107</v>
      </c>
      <c r="I60" s="314" t="s">
        <v>108</v>
      </c>
      <c r="J60" s="314" t="s">
        <v>120</v>
      </c>
      <c r="K60" s="314">
        <v>200000</v>
      </c>
      <c r="L60" s="314">
        <v>0</v>
      </c>
      <c r="M60" s="315">
        <v>45145.9651157407</v>
      </c>
      <c r="N60" s="314" t="s">
        <v>395</v>
      </c>
      <c r="O60" s="314" t="s">
        <v>396</v>
      </c>
      <c r="P60" s="314" t="s">
        <v>112</v>
      </c>
      <c r="Q60" s="315">
        <v>45145.974849537</v>
      </c>
      <c r="R60" s="315">
        <v>45146.0081828704</v>
      </c>
      <c r="S60" s="314" t="s">
        <v>395</v>
      </c>
      <c r="T60" s="314" t="s">
        <v>177</v>
      </c>
      <c r="U60" s="314" t="s">
        <v>177</v>
      </c>
      <c r="V60" s="314" t="s">
        <v>114</v>
      </c>
      <c r="W60" s="314"/>
      <c r="X60" s="314" t="str">
        <f>VLOOKUP(D60,代理总表!A:D,3,0)</f>
        <v>外部代理总线</v>
      </c>
      <c r="Y60" t="str">
        <f>VLOOKUP(D:D,代理总表!A:D,4,FALSE)</f>
        <v>外部代理总线zh0808</v>
      </c>
      <c r="Z60">
        <f t="shared" si="0"/>
        <v>1</v>
      </c>
      <c r="AA60">
        <f t="shared" si="1"/>
        <v>23</v>
      </c>
      <c r="AB60">
        <f t="shared" si="2"/>
        <v>1</v>
      </c>
    </row>
    <row r="61" spans="1:28">
      <c r="A61" s="314" t="s">
        <v>397</v>
      </c>
      <c r="B61" s="314" t="s">
        <v>398</v>
      </c>
      <c r="C61" s="314">
        <v>859173567</v>
      </c>
      <c r="D61" s="314" t="s">
        <v>143</v>
      </c>
      <c r="E61" s="314" t="s">
        <v>117</v>
      </c>
      <c r="F61" s="314" t="s">
        <v>118</v>
      </c>
      <c r="G61" s="314" t="s">
        <v>108</v>
      </c>
      <c r="H61" s="314" t="s">
        <v>119</v>
      </c>
      <c r="I61" s="314" t="s">
        <v>108</v>
      </c>
      <c r="J61" s="314" t="s">
        <v>120</v>
      </c>
      <c r="K61" s="314">
        <v>0</v>
      </c>
      <c r="L61" s="314">
        <v>0</v>
      </c>
      <c r="M61" s="315">
        <v>45145.9647453704</v>
      </c>
      <c r="N61" s="314" t="s">
        <v>399</v>
      </c>
      <c r="O61" s="314" t="s">
        <v>146</v>
      </c>
      <c r="P61" s="314" t="s">
        <v>112</v>
      </c>
      <c r="Q61" s="314" t="s">
        <v>123</v>
      </c>
      <c r="R61" s="315">
        <v>45146.3370717593</v>
      </c>
      <c r="S61" s="314" t="s">
        <v>400</v>
      </c>
      <c r="T61" s="314" t="s">
        <v>124</v>
      </c>
      <c r="U61" s="314" t="s">
        <v>233</v>
      </c>
      <c r="V61" s="314" t="s">
        <v>114</v>
      </c>
      <c r="W61" s="314"/>
      <c r="X61" s="314" t="str">
        <f>VLOOKUP(D61,代理总表!A:D,3,0)</f>
        <v>雨燕直播-越</v>
      </c>
      <c r="Y61" t="str">
        <f>VLOOKUP(D:D,代理总表!A:D,4,FALSE)</f>
        <v>雨燕直播-越ffvn66</v>
      </c>
      <c r="Z61">
        <f t="shared" si="0"/>
        <v>0</v>
      </c>
      <c r="AA61">
        <f t="shared" si="1"/>
        <v>23</v>
      </c>
      <c r="AB61">
        <f t="shared" si="2"/>
        <v>1</v>
      </c>
    </row>
    <row r="62" spans="1:28">
      <c r="A62" s="314" t="s">
        <v>401</v>
      </c>
      <c r="B62" s="314" t="s">
        <v>402</v>
      </c>
      <c r="C62" s="314">
        <v>13978201793</v>
      </c>
      <c r="D62" s="314" t="s">
        <v>148</v>
      </c>
      <c r="E62" s="314" t="s">
        <v>104</v>
      </c>
      <c r="F62" s="314" t="s">
        <v>149</v>
      </c>
      <c r="G62" s="314" t="s">
        <v>108</v>
      </c>
      <c r="H62" s="314" t="s">
        <v>119</v>
      </c>
      <c r="I62" s="314" t="s">
        <v>108</v>
      </c>
      <c r="J62" s="314" t="s">
        <v>109</v>
      </c>
      <c r="K62" s="314">
        <v>0</v>
      </c>
      <c r="L62" s="314">
        <v>0</v>
      </c>
      <c r="M62" s="315">
        <v>45145.9646527778</v>
      </c>
      <c r="N62" s="314" t="s">
        <v>403</v>
      </c>
      <c r="O62" s="314" t="s">
        <v>160</v>
      </c>
      <c r="P62" s="314" t="s">
        <v>161</v>
      </c>
      <c r="Q62" s="314" t="s">
        <v>123</v>
      </c>
      <c r="R62" s="315">
        <v>45145.969212963</v>
      </c>
      <c r="S62" s="314" t="s">
        <v>404</v>
      </c>
      <c r="T62" s="314" t="s">
        <v>152</v>
      </c>
      <c r="U62" s="314" t="s">
        <v>152</v>
      </c>
      <c r="V62" s="314" t="s">
        <v>114</v>
      </c>
      <c r="W62" s="314"/>
      <c r="X62" s="314" t="str">
        <f>VLOOKUP(D62,代理总表!A:D,3,0)</f>
        <v>martin</v>
      </c>
      <c r="Y62" t="str">
        <f>VLOOKUP(D:D,代理总表!A:D,4,FALSE)</f>
        <v>SEO</v>
      </c>
      <c r="Z62">
        <f t="shared" si="0"/>
        <v>0</v>
      </c>
      <c r="AA62">
        <f t="shared" si="1"/>
        <v>23</v>
      </c>
      <c r="AB62">
        <f t="shared" si="2"/>
        <v>1</v>
      </c>
    </row>
    <row r="63" spans="1:28">
      <c r="A63" s="314" t="s">
        <v>405</v>
      </c>
      <c r="B63" s="314"/>
      <c r="C63" s="314">
        <v>797618542</v>
      </c>
      <c r="D63" s="314" t="s">
        <v>143</v>
      </c>
      <c r="E63" s="314" t="s">
        <v>117</v>
      </c>
      <c r="F63" s="314" t="s">
        <v>118</v>
      </c>
      <c r="G63" s="314" t="s">
        <v>108</v>
      </c>
      <c r="H63" s="314" t="s">
        <v>119</v>
      </c>
      <c r="I63" s="314" t="s">
        <v>108</v>
      </c>
      <c r="J63" s="314" t="s">
        <v>120</v>
      </c>
      <c r="K63" s="314">
        <v>0</v>
      </c>
      <c r="L63" s="314">
        <v>0</v>
      </c>
      <c r="M63" s="315">
        <v>45145.963599537</v>
      </c>
      <c r="N63" s="314" t="s">
        <v>406</v>
      </c>
      <c r="O63" s="314" t="s">
        <v>407</v>
      </c>
      <c r="P63" s="314" t="s">
        <v>112</v>
      </c>
      <c r="Q63" s="314" t="s">
        <v>123</v>
      </c>
      <c r="R63" s="315">
        <v>45145.963587963</v>
      </c>
      <c r="S63" s="314" t="s">
        <v>406</v>
      </c>
      <c r="T63" s="314" t="s">
        <v>131</v>
      </c>
      <c r="U63" s="314" t="s">
        <v>131</v>
      </c>
      <c r="V63" s="314" t="s">
        <v>114</v>
      </c>
      <c r="W63" s="314"/>
      <c r="X63" s="314" t="str">
        <f>VLOOKUP(D63,代理总表!A:D,3,0)</f>
        <v>雨燕直播-越</v>
      </c>
      <c r="Y63" t="str">
        <f>VLOOKUP(D:D,代理总表!A:D,4,FALSE)</f>
        <v>雨燕直播-越ffvn66</v>
      </c>
      <c r="Z63">
        <f t="shared" si="0"/>
        <v>0</v>
      </c>
      <c r="AA63">
        <f t="shared" si="1"/>
        <v>23</v>
      </c>
      <c r="AB63">
        <f t="shared" si="2"/>
        <v>1</v>
      </c>
    </row>
    <row r="64" spans="1:28">
      <c r="A64" s="314" t="s">
        <v>408</v>
      </c>
      <c r="B64" s="314" t="s">
        <v>409</v>
      </c>
      <c r="C64" s="314">
        <v>368640014</v>
      </c>
      <c r="D64" s="314" t="s">
        <v>410</v>
      </c>
      <c r="E64" s="314" t="s">
        <v>117</v>
      </c>
      <c r="F64" s="314" t="s">
        <v>144</v>
      </c>
      <c r="G64" s="314" t="s">
        <v>106</v>
      </c>
      <c r="H64" s="314" t="s">
        <v>107</v>
      </c>
      <c r="I64" s="314" t="s">
        <v>108</v>
      </c>
      <c r="J64" s="314" t="s">
        <v>120</v>
      </c>
      <c r="K64" s="314">
        <v>300000</v>
      </c>
      <c r="L64" s="314">
        <v>0</v>
      </c>
      <c r="M64" s="315">
        <v>45145.9630671296</v>
      </c>
      <c r="N64" s="314" t="s">
        <v>411</v>
      </c>
      <c r="O64" s="314" t="s">
        <v>412</v>
      </c>
      <c r="P64" s="314" t="s">
        <v>208</v>
      </c>
      <c r="Q64" s="315">
        <v>45145.9687384259</v>
      </c>
      <c r="R64" s="315">
        <v>45145.9630671296</v>
      </c>
      <c r="S64" s="314" t="s">
        <v>411</v>
      </c>
      <c r="T64" s="314" t="s">
        <v>131</v>
      </c>
      <c r="U64" s="314" t="s">
        <v>131</v>
      </c>
      <c r="V64" s="314" t="s">
        <v>114</v>
      </c>
      <c r="W64" s="314"/>
      <c r="X64" s="314" t="str">
        <f>VLOOKUP(D64,代理总表!A:D,3,0)</f>
        <v>外代-越</v>
      </c>
      <c r="Y64" t="str">
        <f>VLOOKUP(D:D,代理总表!A:D,4,FALSE)</f>
        <v>外代-越btydl072</v>
      </c>
      <c r="Z64">
        <f t="shared" si="0"/>
        <v>1</v>
      </c>
      <c r="AA64">
        <f t="shared" si="1"/>
        <v>23</v>
      </c>
      <c r="AB64">
        <f t="shared" si="2"/>
        <v>1</v>
      </c>
    </row>
    <row r="65" spans="1:28">
      <c r="A65" s="314" t="s">
        <v>413</v>
      </c>
      <c r="B65" s="314"/>
      <c r="C65" s="314">
        <v>18207902374</v>
      </c>
      <c r="D65" s="314" t="s">
        <v>414</v>
      </c>
      <c r="E65" s="314" t="s">
        <v>104</v>
      </c>
      <c r="F65" s="314" t="s">
        <v>118</v>
      </c>
      <c r="G65" s="314" t="s">
        <v>108</v>
      </c>
      <c r="H65" s="314" t="s">
        <v>119</v>
      </c>
      <c r="I65" s="314" t="s">
        <v>108</v>
      </c>
      <c r="J65" s="314" t="s">
        <v>415</v>
      </c>
      <c r="K65" s="314">
        <v>0</v>
      </c>
      <c r="L65" s="314">
        <v>0</v>
      </c>
      <c r="M65" s="315">
        <v>45145.9624884259</v>
      </c>
      <c r="N65" s="314" t="s">
        <v>416</v>
      </c>
      <c r="O65" s="314" t="s">
        <v>417</v>
      </c>
      <c r="P65" s="314" t="s">
        <v>339</v>
      </c>
      <c r="Q65" s="314" t="s">
        <v>123</v>
      </c>
      <c r="R65" s="315">
        <v>45145.9624884259</v>
      </c>
      <c r="S65" s="314" t="s">
        <v>416</v>
      </c>
      <c r="T65" s="314" t="s">
        <v>418</v>
      </c>
      <c r="U65" s="314" t="s">
        <v>418</v>
      </c>
      <c r="V65" s="314" t="s">
        <v>114</v>
      </c>
      <c r="W65" s="314"/>
      <c r="X65" s="314" t="e">
        <f>VLOOKUP(D65,代理总表!A:D,3,0)</f>
        <v>#N/A</v>
      </c>
      <c r="Y65" t="e">
        <f>VLOOKUP(D:D,代理总表!A:D,4,FALSE)</f>
        <v>#N/A</v>
      </c>
      <c r="Z65">
        <f t="shared" si="0"/>
        <v>0</v>
      </c>
      <c r="AA65">
        <f t="shared" si="1"/>
        <v>23</v>
      </c>
      <c r="AB65">
        <f t="shared" si="2"/>
        <v>1</v>
      </c>
    </row>
    <row r="66" spans="1:28">
      <c r="A66" s="314" t="s">
        <v>419</v>
      </c>
      <c r="B66" s="314" t="s">
        <v>420</v>
      </c>
      <c r="C66" s="314">
        <v>13765709875</v>
      </c>
      <c r="D66" s="314" t="s">
        <v>276</v>
      </c>
      <c r="E66" s="314" t="s">
        <v>104</v>
      </c>
      <c r="F66" s="314" t="s">
        <v>118</v>
      </c>
      <c r="G66" s="314" t="s">
        <v>108</v>
      </c>
      <c r="H66" s="314" t="s">
        <v>119</v>
      </c>
      <c r="I66" s="314" t="s">
        <v>108</v>
      </c>
      <c r="J66" s="314" t="s">
        <v>109</v>
      </c>
      <c r="K66" s="314">
        <v>0</v>
      </c>
      <c r="L66" s="314">
        <v>0</v>
      </c>
      <c r="M66" s="315">
        <v>45145.9624074074</v>
      </c>
      <c r="N66" s="314" t="s">
        <v>421</v>
      </c>
      <c r="O66" s="314" t="s">
        <v>422</v>
      </c>
      <c r="P66" s="314" t="s">
        <v>208</v>
      </c>
      <c r="Q66" s="314" t="s">
        <v>123</v>
      </c>
      <c r="R66" s="315">
        <v>45145.9820023148</v>
      </c>
      <c r="S66" s="314" t="s">
        <v>421</v>
      </c>
      <c r="T66" s="314" t="s">
        <v>423</v>
      </c>
      <c r="U66" s="314" t="s">
        <v>423</v>
      </c>
      <c r="V66" s="314" t="s">
        <v>114</v>
      </c>
      <c r="W66" s="314" t="s">
        <v>424</v>
      </c>
      <c r="X66" s="314" t="str">
        <f>VLOOKUP(D66,代理总表!A:D,3,0)</f>
        <v>飞哥雨燕直播</v>
      </c>
      <c r="Y66" t="str">
        <f>VLOOKUP(D:D,代理总表!A:D,4,FALSE)</f>
        <v>飞哥雨燕直播ffmk88</v>
      </c>
      <c r="Z66">
        <f t="shared" si="0"/>
        <v>0</v>
      </c>
      <c r="AA66">
        <f t="shared" si="1"/>
        <v>23</v>
      </c>
      <c r="AB66">
        <f t="shared" si="2"/>
        <v>1</v>
      </c>
    </row>
    <row r="67" spans="1:28">
      <c r="A67" s="314" t="s">
        <v>425</v>
      </c>
      <c r="B67" s="314"/>
      <c r="C67" s="314"/>
      <c r="D67" s="314" t="s">
        <v>116</v>
      </c>
      <c r="E67" s="314" t="s">
        <v>117</v>
      </c>
      <c r="F67" s="314" t="s">
        <v>118</v>
      </c>
      <c r="G67" s="314" t="s">
        <v>108</v>
      </c>
      <c r="H67" s="314" t="s">
        <v>119</v>
      </c>
      <c r="I67" s="314" t="s">
        <v>108</v>
      </c>
      <c r="J67" s="314" t="s">
        <v>120</v>
      </c>
      <c r="K67" s="314">
        <v>0</v>
      </c>
      <c r="L67" s="314">
        <v>0</v>
      </c>
      <c r="M67" s="315">
        <v>45145.9615740741</v>
      </c>
      <c r="N67" s="314" t="s">
        <v>399</v>
      </c>
      <c r="O67" s="314" t="s">
        <v>122</v>
      </c>
      <c r="P67" s="314" t="s">
        <v>112</v>
      </c>
      <c r="Q67" s="314" t="s">
        <v>123</v>
      </c>
      <c r="R67" s="315">
        <v>45145.9615740741</v>
      </c>
      <c r="S67" s="314" t="s">
        <v>399</v>
      </c>
      <c r="T67" s="314" t="s">
        <v>124</v>
      </c>
      <c r="U67" s="314" t="s">
        <v>124</v>
      </c>
      <c r="V67" s="314" t="s">
        <v>114</v>
      </c>
      <c r="W67" s="314"/>
      <c r="X67" s="314" t="str">
        <f>VLOOKUP(D67,代理总表!A:D,3,0)</f>
        <v>外部代理总线</v>
      </c>
      <c r="Y67" t="str">
        <f>VLOOKUP(D:D,代理总表!A:D,4,FALSE)</f>
        <v>外部代理总线zh0808</v>
      </c>
      <c r="Z67">
        <f t="shared" ref="Z67:Z130" si="3">IF(RIGHT(H67,1)&gt;"0",1,0)</f>
        <v>0</v>
      </c>
      <c r="AA67">
        <f t="shared" ref="AA67:AA130" si="4">HOUR(M67)</f>
        <v>23</v>
      </c>
      <c r="AB67">
        <f t="shared" ref="AB67:AB130" si="5">IF(AE67=AF67,1,0)</f>
        <v>1</v>
      </c>
    </row>
    <row r="68" spans="1:28">
      <c r="A68" s="314" t="s">
        <v>426</v>
      </c>
      <c r="B68" s="314"/>
      <c r="C68" s="314"/>
      <c r="D68" s="314" t="s">
        <v>326</v>
      </c>
      <c r="E68" s="314" t="s">
        <v>104</v>
      </c>
      <c r="F68" s="314" t="s">
        <v>118</v>
      </c>
      <c r="G68" s="314" t="s">
        <v>108</v>
      </c>
      <c r="H68" s="314" t="s">
        <v>119</v>
      </c>
      <c r="I68" s="314" t="s">
        <v>108</v>
      </c>
      <c r="J68" s="314" t="s">
        <v>109</v>
      </c>
      <c r="K68" s="314">
        <v>0</v>
      </c>
      <c r="L68" s="314">
        <v>0</v>
      </c>
      <c r="M68" s="315">
        <v>45145.9611574074</v>
      </c>
      <c r="N68" s="314" t="s">
        <v>427</v>
      </c>
      <c r="O68" s="314" t="s">
        <v>328</v>
      </c>
      <c r="P68" s="314" t="s">
        <v>112</v>
      </c>
      <c r="Q68" s="314" t="s">
        <v>123</v>
      </c>
      <c r="R68" s="315">
        <v>45145.9623726852</v>
      </c>
      <c r="S68" s="314" t="s">
        <v>427</v>
      </c>
      <c r="T68" s="314" t="s">
        <v>428</v>
      </c>
      <c r="U68" s="314" t="s">
        <v>428</v>
      </c>
      <c r="V68" s="314" t="s">
        <v>114</v>
      </c>
      <c r="W68" s="314" t="s">
        <v>429</v>
      </c>
      <c r="X68" s="314" t="str">
        <f>VLOOKUP(D68,代理总表!A:D,3,0)</f>
        <v>雨燕直播</v>
      </c>
      <c r="Y68" t="str">
        <f>VLOOKUP(D:D,代理总表!A:D,4,FALSE)</f>
        <v>雨燕直播zzzb888</v>
      </c>
      <c r="Z68">
        <f t="shared" si="3"/>
        <v>0</v>
      </c>
      <c r="AA68">
        <f t="shared" si="4"/>
        <v>23</v>
      </c>
      <c r="AB68">
        <f t="shared" si="5"/>
        <v>1</v>
      </c>
    </row>
    <row r="69" spans="1:28">
      <c r="A69" s="314" t="s">
        <v>430</v>
      </c>
      <c r="B69" s="314"/>
      <c r="C69" s="314">
        <v>9662885618</v>
      </c>
      <c r="D69" s="314" t="s">
        <v>103</v>
      </c>
      <c r="E69" s="314" t="s">
        <v>104</v>
      </c>
      <c r="F69" s="314" t="s">
        <v>118</v>
      </c>
      <c r="G69" s="314" t="s">
        <v>108</v>
      </c>
      <c r="H69" s="314" t="s">
        <v>119</v>
      </c>
      <c r="I69" s="314" t="s">
        <v>108</v>
      </c>
      <c r="J69" s="314" t="s">
        <v>109</v>
      </c>
      <c r="K69" s="314">
        <v>0</v>
      </c>
      <c r="L69" s="314">
        <v>0</v>
      </c>
      <c r="M69" s="315">
        <v>45145.9609143519</v>
      </c>
      <c r="N69" s="314" t="s">
        <v>431</v>
      </c>
      <c r="O69" s="314" t="s">
        <v>350</v>
      </c>
      <c r="P69" s="314" t="s">
        <v>161</v>
      </c>
      <c r="Q69" s="314" t="s">
        <v>123</v>
      </c>
      <c r="R69" s="315">
        <v>45145.9752777778</v>
      </c>
      <c r="S69" s="314" t="s">
        <v>431</v>
      </c>
      <c r="T69" s="314" t="s">
        <v>256</v>
      </c>
      <c r="U69" s="314" t="s">
        <v>256</v>
      </c>
      <c r="V69" s="314" t="s">
        <v>114</v>
      </c>
      <c r="W69" s="314"/>
      <c r="X69" s="314" t="str">
        <f>VLOOKUP(D69,代理总表!A:D,3,0)</f>
        <v>官网</v>
      </c>
      <c r="Y69" t="str">
        <f>VLOOKUP(D:D,代理总表!A:D,4,FALSE)</f>
        <v>官网</v>
      </c>
      <c r="Z69">
        <f t="shared" si="3"/>
        <v>0</v>
      </c>
      <c r="AA69">
        <f t="shared" si="4"/>
        <v>23</v>
      </c>
      <c r="AB69">
        <f t="shared" si="5"/>
        <v>1</v>
      </c>
    </row>
    <row r="70" spans="1:28">
      <c r="A70" s="314" t="s">
        <v>432</v>
      </c>
      <c r="B70" s="314" t="s">
        <v>433</v>
      </c>
      <c r="C70" s="314">
        <v>13332466067</v>
      </c>
      <c r="D70" s="314" t="s">
        <v>240</v>
      </c>
      <c r="E70" s="314" t="s">
        <v>104</v>
      </c>
      <c r="F70" s="314" t="s">
        <v>181</v>
      </c>
      <c r="G70" s="314" t="s">
        <v>106</v>
      </c>
      <c r="H70" s="314" t="s">
        <v>107</v>
      </c>
      <c r="I70" s="314" t="s">
        <v>108</v>
      </c>
      <c r="J70" s="314" t="s">
        <v>109</v>
      </c>
      <c r="K70" s="314">
        <v>200</v>
      </c>
      <c r="L70" s="314">
        <v>0</v>
      </c>
      <c r="M70" s="315">
        <v>45145.9605902778</v>
      </c>
      <c r="N70" s="314" t="s">
        <v>434</v>
      </c>
      <c r="O70" s="314" t="s">
        <v>435</v>
      </c>
      <c r="P70" s="314" t="s">
        <v>112</v>
      </c>
      <c r="Q70" s="315">
        <v>45145.9823032407</v>
      </c>
      <c r="R70" s="315">
        <v>45146.3197800926</v>
      </c>
      <c r="S70" s="314" t="s">
        <v>436</v>
      </c>
      <c r="T70" s="314" t="s">
        <v>437</v>
      </c>
      <c r="U70" s="314" t="s">
        <v>437</v>
      </c>
      <c r="V70" s="314" t="s">
        <v>114</v>
      </c>
      <c r="W70" s="314"/>
      <c r="X70" s="314" t="str">
        <f>VLOOKUP(D70,代理总表!A:D,3,0)</f>
        <v>SEO邀请</v>
      </c>
      <c r="Y70" t="str">
        <f>VLOOKUP(D:D,代理总表!A:D,4,FALSE)</f>
        <v>SEO</v>
      </c>
      <c r="Z70">
        <f t="shared" si="3"/>
        <v>1</v>
      </c>
      <c r="AA70">
        <f t="shared" si="4"/>
        <v>23</v>
      </c>
      <c r="AB70">
        <f t="shared" si="5"/>
        <v>1</v>
      </c>
    </row>
    <row r="71" spans="1:28">
      <c r="A71" s="314" t="s">
        <v>438</v>
      </c>
      <c r="B71" s="314"/>
      <c r="C71" s="314">
        <v>355092876</v>
      </c>
      <c r="D71" s="314" t="s">
        <v>116</v>
      </c>
      <c r="E71" s="314" t="s">
        <v>117</v>
      </c>
      <c r="F71" s="314" t="s">
        <v>118</v>
      </c>
      <c r="G71" s="314" t="s">
        <v>108</v>
      </c>
      <c r="H71" s="314" t="s">
        <v>119</v>
      </c>
      <c r="I71" s="314" t="s">
        <v>108</v>
      </c>
      <c r="J71" s="314" t="s">
        <v>120</v>
      </c>
      <c r="K71" s="314">
        <v>0</v>
      </c>
      <c r="L71" s="314">
        <v>0</v>
      </c>
      <c r="M71" s="315">
        <v>45145.9595833333</v>
      </c>
      <c r="N71" s="314" t="s">
        <v>439</v>
      </c>
      <c r="O71" s="314" t="s">
        <v>122</v>
      </c>
      <c r="P71" s="314" t="s">
        <v>112</v>
      </c>
      <c r="Q71" s="314" t="s">
        <v>123</v>
      </c>
      <c r="R71" s="315">
        <v>45146.0923148148</v>
      </c>
      <c r="S71" s="314" t="s">
        <v>439</v>
      </c>
      <c r="T71" s="314" t="s">
        <v>177</v>
      </c>
      <c r="U71" s="314" t="s">
        <v>177</v>
      </c>
      <c r="V71" s="314" t="s">
        <v>114</v>
      </c>
      <c r="W71" s="314"/>
      <c r="X71" s="314" t="str">
        <f>VLOOKUP(D71,代理总表!A:D,3,0)</f>
        <v>外部代理总线</v>
      </c>
      <c r="Y71" t="str">
        <f>VLOOKUP(D:D,代理总表!A:D,4,FALSE)</f>
        <v>外部代理总线zh0808</v>
      </c>
      <c r="Z71">
        <f t="shared" si="3"/>
        <v>0</v>
      </c>
      <c r="AA71">
        <f t="shared" si="4"/>
        <v>23</v>
      </c>
      <c r="AB71">
        <f t="shared" si="5"/>
        <v>1</v>
      </c>
    </row>
    <row r="72" spans="1:28">
      <c r="A72" s="314" t="s">
        <v>440</v>
      </c>
      <c r="B72" s="314"/>
      <c r="C72" s="314"/>
      <c r="D72" s="314" t="s">
        <v>103</v>
      </c>
      <c r="E72" s="314" t="s">
        <v>104</v>
      </c>
      <c r="F72" s="314" t="s">
        <v>118</v>
      </c>
      <c r="G72" s="314" t="s">
        <v>108</v>
      </c>
      <c r="H72" s="314" t="s">
        <v>119</v>
      </c>
      <c r="I72" s="314" t="s">
        <v>108</v>
      </c>
      <c r="J72" s="314" t="s">
        <v>109</v>
      </c>
      <c r="K72" s="314">
        <v>0</v>
      </c>
      <c r="L72" s="314">
        <v>0</v>
      </c>
      <c r="M72" s="315">
        <v>45145.9589351852</v>
      </c>
      <c r="N72" s="314" t="s">
        <v>441</v>
      </c>
      <c r="O72" s="314" t="s">
        <v>442</v>
      </c>
      <c r="P72" s="314" t="s">
        <v>112</v>
      </c>
      <c r="Q72" s="314" t="s">
        <v>123</v>
      </c>
      <c r="R72" s="314"/>
      <c r="S72" s="314"/>
      <c r="T72" s="314" t="s">
        <v>443</v>
      </c>
      <c r="U72" s="314"/>
      <c r="V72" s="314" t="s">
        <v>114</v>
      </c>
      <c r="W72" s="314"/>
      <c r="X72" s="314" t="str">
        <f>VLOOKUP(D72,代理总表!A:D,3,0)</f>
        <v>官网</v>
      </c>
      <c r="Y72" t="str">
        <f>VLOOKUP(D:D,代理总表!A:D,4,FALSE)</f>
        <v>官网</v>
      </c>
      <c r="Z72">
        <f t="shared" si="3"/>
        <v>0</v>
      </c>
      <c r="AA72">
        <f t="shared" si="4"/>
        <v>23</v>
      </c>
      <c r="AB72">
        <f t="shared" si="5"/>
        <v>1</v>
      </c>
    </row>
    <row r="73" spans="1:28">
      <c r="A73" s="314" t="s">
        <v>444</v>
      </c>
      <c r="B73" s="314"/>
      <c r="C73" s="314"/>
      <c r="D73" s="314" t="s">
        <v>445</v>
      </c>
      <c r="E73" s="314" t="s">
        <v>117</v>
      </c>
      <c r="F73" s="314" t="s">
        <v>118</v>
      </c>
      <c r="G73" s="314" t="s">
        <v>108</v>
      </c>
      <c r="H73" s="314" t="s">
        <v>119</v>
      </c>
      <c r="I73" s="314" t="s">
        <v>108</v>
      </c>
      <c r="J73" s="314" t="s">
        <v>120</v>
      </c>
      <c r="K73" s="314">
        <v>0</v>
      </c>
      <c r="L73" s="314">
        <v>0</v>
      </c>
      <c r="M73" s="315">
        <v>45145.9581365741</v>
      </c>
      <c r="N73" s="314" t="s">
        <v>406</v>
      </c>
      <c r="O73" s="314" t="s">
        <v>446</v>
      </c>
      <c r="P73" s="314" t="s">
        <v>112</v>
      </c>
      <c r="Q73" s="314" t="s">
        <v>123</v>
      </c>
      <c r="R73" s="315">
        <v>45145.9581365741</v>
      </c>
      <c r="S73" s="314" t="s">
        <v>406</v>
      </c>
      <c r="T73" s="314" t="s">
        <v>131</v>
      </c>
      <c r="U73" s="314" t="s">
        <v>131</v>
      </c>
      <c r="V73" s="314" t="s">
        <v>114</v>
      </c>
      <c r="W73" s="314"/>
      <c r="X73" s="314" t="str">
        <f>VLOOKUP(D73,代理总表!A:D,3,0)</f>
        <v>SOCO越南直播</v>
      </c>
      <c r="Y73" t="str">
        <f>VLOOKUP(D:D,代理总表!A:D,4,FALSE)</f>
        <v>SOCO越南直播ffvn66</v>
      </c>
      <c r="Z73">
        <f t="shared" si="3"/>
        <v>0</v>
      </c>
      <c r="AA73">
        <f t="shared" si="4"/>
        <v>22</v>
      </c>
      <c r="AB73">
        <f t="shared" si="5"/>
        <v>1</v>
      </c>
    </row>
    <row r="74" spans="1:28">
      <c r="A74" s="314" t="s">
        <v>447</v>
      </c>
      <c r="B74" s="314"/>
      <c r="C74" s="314">
        <v>794646181</v>
      </c>
      <c r="D74" s="314" t="s">
        <v>172</v>
      </c>
      <c r="E74" s="314" t="s">
        <v>117</v>
      </c>
      <c r="F74" s="314" t="s">
        <v>118</v>
      </c>
      <c r="G74" s="314" t="s">
        <v>108</v>
      </c>
      <c r="H74" s="314" t="s">
        <v>119</v>
      </c>
      <c r="I74" s="314" t="s">
        <v>108</v>
      </c>
      <c r="J74" s="314" t="s">
        <v>120</v>
      </c>
      <c r="K74" s="314">
        <v>0</v>
      </c>
      <c r="L74" s="314">
        <v>0</v>
      </c>
      <c r="M74" s="315">
        <v>45145.9580671296</v>
      </c>
      <c r="N74" s="314" t="s">
        <v>448</v>
      </c>
      <c r="O74" s="314" t="s">
        <v>193</v>
      </c>
      <c r="P74" s="314" t="s">
        <v>112</v>
      </c>
      <c r="Q74" s="314" t="s">
        <v>123</v>
      </c>
      <c r="R74" s="315">
        <v>45145.9602430556</v>
      </c>
      <c r="S74" s="314" t="s">
        <v>448</v>
      </c>
      <c r="T74" s="314" t="s">
        <v>216</v>
      </c>
      <c r="U74" s="314" t="s">
        <v>216</v>
      </c>
      <c r="V74" s="314" t="s">
        <v>114</v>
      </c>
      <c r="W74" s="314"/>
      <c r="X74" s="314" t="str">
        <f>VLOOKUP(D74,代理总表!A:D,3,0)</f>
        <v>雨燕直播-越</v>
      </c>
      <c r="Y74" t="str">
        <f>VLOOKUP(D:D,代理总表!A:D,4,FALSE)</f>
        <v>雨燕直播-越ffvn66</v>
      </c>
      <c r="Z74">
        <f t="shared" si="3"/>
        <v>0</v>
      </c>
      <c r="AA74">
        <f t="shared" si="4"/>
        <v>22</v>
      </c>
      <c r="AB74">
        <f t="shared" si="5"/>
        <v>1</v>
      </c>
    </row>
    <row r="75" spans="1:28">
      <c r="A75" s="314" t="s">
        <v>449</v>
      </c>
      <c r="B75" s="314"/>
      <c r="C75" s="314"/>
      <c r="D75" s="314" t="s">
        <v>450</v>
      </c>
      <c r="E75" s="314" t="s">
        <v>104</v>
      </c>
      <c r="F75" s="314" t="s">
        <v>118</v>
      </c>
      <c r="G75" s="314" t="s">
        <v>108</v>
      </c>
      <c r="H75" s="314" t="s">
        <v>119</v>
      </c>
      <c r="I75" s="314" t="s">
        <v>108</v>
      </c>
      <c r="J75" s="314" t="s">
        <v>109</v>
      </c>
      <c r="K75" s="314">
        <v>0</v>
      </c>
      <c r="L75" s="314">
        <v>0</v>
      </c>
      <c r="M75" s="315">
        <v>45145.9568287037</v>
      </c>
      <c r="N75" s="314" t="s">
        <v>427</v>
      </c>
      <c r="O75" s="314" t="s">
        <v>451</v>
      </c>
      <c r="P75" s="314" t="s">
        <v>208</v>
      </c>
      <c r="Q75" s="314" t="s">
        <v>123</v>
      </c>
      <c r="R75" s="315">
        <v>45145.9568287037</v>
      </c>
      <c r="S75" s="314" t="s">
        <v>427</v>
      </c>
      <c r="T75" s="314" t="s">
        <v>428</v>
      </c>
      <c r="U75" s="314" t="s">
        <v>428</v>
      </c>
      <c r="V75" s="314" t="s">
        <v>452</v>
      </c>
      <c r="W75" s="314" t="s">
        <v>429</v>
      </c>
      <c r="X75" s="314" t="str">
        <f>VLOOKUP(D75,代理总表!A:D,3,0)</f>
        <v>外部代理总线</v>
      </c>
      <c r="Y75" t="str">
        <f>VLOOKUP(D:D,代理总表!A:D,4,FALSE)</f>
        <v>外部代理总线zh0808</v>
      </c>
      <c r="Z75">
        <f t="shared" si="3"/>
        <v>0</v>
      </c>
      <c r="AA75">
        <f t="shared" si="4"/>
        <v>22</v>
      </c>
      <c r="AB75">
        <f t="shared" si="5"/>
        <v>1</v>
      </c>
    </row>
    <row r="76" spans="1:28">
      <c r="A76" s="314" t="s">
        <v>453</v>
      </c>
      <c r="B76" s="314"/>
      <c r="C76" s="314">
        <v>15982815124</v>
      </c>
      <c r="D76" s="314" t="s">
        <v>454</v>
      </c>
      <c r="E76" s="314" t="s">
        <v>104</v>
      </c>
      <c r="F76" s="314" t="s">
        <v>118</v>
      </c>
      <c r="G76" s="314" t="s">
        <v>108</v>
      </c>
      <c r="H76" s="314" t="s">
        <v>119</v>
      </c>
      <c r="I76" s="314" t="s">
        <v>108</v>
      </c>
      <c r="J76" s="314" t="s">
        <v>109</v>
      </c>
      <c r="K76" s="314">
        <v>0</v>
      </c>
      <c r="L76" s="314">
        <v>0</v>
      </c>
      <c r="M76" s="315">
        <v>45145.9563310185</v>
      </c>
      <c r="N76" s="314" t="s">
        <v>455</v>
      </c>
      <c r="O76" s="314" t="s">
        <v>456</v>
      </c>
      <c r="P76" s="314" t="s">
        <v>112</v>
      </c>
      <c r="Q76" s="314" t="s">
        <v>123</v>
      </c>
      <c r="R76" s="315">
        <v>45145.9563194444</v>
      </c>
      <c r="S76" s="314" t="s">
        <v>455</v>
      </c>
      <c r="T76" s="314" t="s">
        <v>457</v>
      </c>
      <c r="U76" s="314" t="s">
        <v>457</v>
      </c>
      <c r="V76" s="314" t="s">
        <v>114</v>
      </c>
      <c r="W76" s="314"/>
      <c r="X76" s="314" t="str">
        <f>VLOOKUP(D76,代理总表!A:D,3,0)</f>
        <v>雨燕直播</v>
      </c>
      <c r="Y76" t="str">
        <f>VLOOKUP(D:D,代理总表!A:D,4,FALSE)</f>
        <v>雨燕直播zzzb888</v>
      </c>
      <c r="Z76">
        <f t="shared" si="3"/>
        <v>0</v>
      </c>
      <c r="AA76">
        <f t="shared" si="4"/>
        <v>22</v>
      </c>
      <c r="AB76">
        <f t="shared" si="5"/>
        <v>1</v>
      </c>
    </row>
    <row r="77" spans="1:28">
      <c r="A77" s="314" t="s">
        <v>458</v>
      </c>
      <c r="B77" s="314"/>
      <c r="C77" s="314">
        <v>969096586</v>
      </c>
      <c r="D77" s="314" t="s">
        <v>137</v>
      </c>
      <c r="E77" s="314" t="s">
        <v>117</v>
      </c>
      <c r="F77" s="314" t="s">
        <v>118</v>
      </c>
      <c r="G77" s="314" t="s">
        <v>108</v>
      </c>
      <c r="H77" s="314" t="s">
        <v>119</v>
      </c>
      <c r="I77" s="314" t="s">
        <v>108</v>
      </c>
      <c r="J77" s="314" t="s">
        <v>120</v>
      </c>
      <c r="K77" s="314">
        <v>0</v>
      </c>
      <c r="L77" s="314">
        <v>0</v>
      </c>
      <c r="M77" s="315">
        <v>45145.9559953704</v>
      </c>
      <c r="N77" s="314" t="s">
        <v>459</v>
      </c>
      <c r="O77" s="314" t="s">
        <v>139</v>
      </c>
      <c r="P77" s="314" t="s">
        <v>208</v>
      </c>
      <c r="Q77" s="314" t="s">
        <v>123</v>
      </c>
      <c r="R77" s="315">
        <v>45145.9637037037</v>
      </c>
      <c r="S77" s="314" t="s">
        <v>459</v>
      </c>
      <c r="T77" s="314" t="s">
        <v>124</v>
      </c>
      <c r="U77" s="314" t="s">
        <v>124</v>
      </c>
      <c r="V77" s="314" t="s">
        <v>114</v>
      </c>
      <c r="W77" s="314"/>
      <c r="X77" s="314" t="str">
        <f>VLOOKUP(D77,代理总表!A:D,3,0)</f>
        <v>雨燕直播-越</v>
      </c>
      <c r="Y77" t="str">
        <f>VLOOKUP(D:D,代理总表!A:D,4,FALSE)</f>
        <v>雨燕直播-越ffvn66</v>
      </c>
      <c r="Z77">
        <f t="shared" si="3"/>
        <v>0</v>
      </c>
      <c r="AA77">
        <f t="shared" si="4"/>
        <v>22</v>
      </c>
      <c r="AB77">
        <f t="shared" si="5"/>
        <v>1</v>
      </c>
    </row>
    <row r="78" spans="1:28">
      <c r="A78" s="314" t="s">
        <v>460</v>
      </c>
      <c r="B78" s="314"/>
      <c r="C78" s="314">
        <v>904486408</v>
      </c>
      <c r="D78" s="314" t="s">
        <v>224</v>
      </c>
      <c r="E78" s="314" t="s">
        <v>117</v>
      </c>
      <c r="F78" s="314" t="s">
        <v>118</v>
      </c>
      <c r="G78" s="314" t="s">
        <v>108</v>
      </c>
      <c r="H78" s="314" t="s">
        <v>119</v>
      </c>
      <c r="I78" s="314" t="s">
        <v>108</v>
      </c>
      <c r="J78" s="314" t="s">
        <v>120</v>
      </c>
      <c r="K78" s="314">
        <v>0</v>
      </c>
      <c r="L78" s="314">
        <v>0</v>
      </c>
      <c r="M78" s="315">
        <v>45145.9551388889</v>
      </c>
      <c r="N78" s="314" t="s">
        <v>461</v>
      </c>
      <c r="O78" s="314" t="s">
        <v>462</v>
      </c>
      <c r="P78" s="314" t="s">
        <v>112</v>
      </c>
      <c r="Q78" s="314" t="s">
        <v>123</v>
      </c>
      <c r="R78" s="315">
        <v>45145.9551388889</v>
      </c>
      <c r="S78" s="314" t="s">
        <v>461</v>
      </c>
      <c r="T78" s="314" t="s">
        <v>216</v>
      </c>
      <c r="U78" s="314" t="s">
        <v>216</v>
      </c>
      <c r="V78" s="314" t="s">
        <v>114</v>
      </c>
      <c r="W78" s="314"/>
      <c r="X78" s="314" t="str">
        <f>VLOOKUP(D78,代理总表!A:D,3,0)</f>
        <v>雨燕直播-越</v>
      </c>
      <c r="Y78" t="str">
        <f>VLOOKUP(D:D,代理总表!A:D,4,FALSE)</f>
        <v>雨燕直播-越ffvn66</v>
      </c>
      <c r="Z78">
        <f t="shared" si="3"/>
        <v>0</v>
      </c>
      <c r="AA78">
        <f t="shared" si="4"/>
        <v>22</v>
      </c>
      <c r="AB78">
        <f t="shared" si="5"/>
        <v>1</v>
      </c>
    </row>
    <row r="79" spans="1:28">
      <c r="A79" s="314" t="s">
        <v>463</v>
      </c>
      <c r="B79" s="314"/>
      <c r="C79" s="314">
        <v>13624644564</v>
      </c>
      <c r="D79" s="314" t="s">
        <v>464</v>
      </c>
      <c r="E79" s="314" t="s">
        <v>104</v>
      </c>
      <c r="F79" s="314" t="s">
        <v>118</v>
      </c>
      <c r="G79" s="314" t="s">
        <v>108</v>
      </c>
      <c r="H79" s="314" t="s">
        <v>119</v>
      </c>
      <c r="I79" s="314" t="s">
        <v>108</v>
      </c>
      <c r="J79" s="314" t="s">
        <v>415</v>
      </c>
      <c r="K79" s="314">
        <v>0</v>
      </c>
      <c r="L79" s="314">
        <v>0</v>
      </c>
      <c r="M79" s="315">
        <v>45145.9534259259</v>
      </c>
      <c r="N79" s="314" t="s">
        <v>465</v>
      </c>
      <c r="O79" s="314" t="s">
        <v>466</v>
      </c>
      <c r="P79" s="314" t="s">
        <v>339</v>
      </c>
      <c r="Q79" s="314" t="s">
        <v>123</v>
      </c>
      <c r="R79" s="315">
        <v>45145.9534143519</v>
      </c>
      <c r="S79" s="314" t="s">
        <v>465</v>
      </c>
      <c r="T79" s="314" t="s">
        <v>467</v>
      </c>
      <c r="U79" s="314" t="s">
        <v>467</v>
      </c>
      <c r="V79" s="314" t="s">
        <v>114</v>
      </c>
      <c r="W79" s="314"/>
      <c r="X79" s="314" t="e">
        <f>VLOOKUP(D79,代理总表!A:D,3,0)</f>
        <v>#N/A</v>
      </c>
      <c r="Y79" t="e">
        <f>VLOOKUP(D:D,代理总表!A:D,4,FALSE)</f>
        <v>#N/A</v>
      </c>
      <c r="Z79">
        <f t="shared" si="3"/>
        <v>0</v>
      </c>
      <c r="AA79">
        <f t="shared" si="4"/>
        <v>22</v>
      </c>
      <c r="AB79">
        <f t="shared" si="5"/>
        <v>1</v>
      </c>
    </row>
    <row r="80" spans="1:28">
      <c r="A80" s="314" t="s">
        <v>468</v>
      </c>
      <c r="B80" s="314" t="s">
        <v>469</v>
      </c>
      <c r="C80" s="314">
        <v>18710996678</v>
      </c>
      <c r="D80" s="314" t="s">
        <v>259</v>
      </c>
      <c r="E80" s="314" t="s">
        <v>104</v>
      </c>
      <c r="F80" s="314" t="s">
        <v>149</v>
      </c>
      <c r="G80" s="314" t="s">
        <v>108</v>
      </c>
      <c r="H80" s="314" t="s">
        <v>119</v>
      </c>
      <c r="I80" s="314" t="s">
        <v>108</v>
      </c>
      <c r="J80" s="314" t="s">
        <v>109</v>
      </c>
      <c r="K80" s="314">
        <v>0</v>
      </c>
      <c r="L80" s="314">
        <v>0</v>
      </c>
      <c r="M80" s="315">
        <v>45145.9521643519</v>
      </c>
      <c r="N80" s="314" t="s">
        <v>470</v>
      </c>
      <c r="O80" s="314" t="s">
        <v>471</v>
      </c>
      <c r="P80" s="314" t="s">
        <v>208</v>
      </c>
      <c r="Q80" s="314" t="s">
        <v>123</v>
      </c>
      <c r="R80" s="315">
        <v>45145.9521643519</v>
      </c>
      <c r="S80" s="314" t="s">
        <v>470</v>
      </c>
      <c r="T80" s="314" t="s">
        <v>472</v>
      </c>
      <c r="U80" s="314" t="s">
        <v>472</v>
      </c>
      <c r="V80" s="314" t="s">
        <v>114</v>
      </c>
      <c r="W80" s="314"/>
      <c r="X80" s="314" t="str">
        <f>VLOOKUP(D80,代理总表!A:D,3,0)</f>
        <v>tony</v>
      </c>
      <c r="Y80" t="str">
        <f>VLOOKUP(D:D,代理总表!A:D,4,FALSE)</f>
        <v>SEO</v>
      </c>
      <c r="Z80">
        <f t="shared" si="3"/>
        <v>0</v>
      </c>
      <c r="AA80">
        <f t="shared" si="4"/>
        <v>22</v>
      </c>
      <c r="AB80">
        <f t="shared" si="5"/>
        <v>1</v>
      </c>
    </row>
    <row r="81" spans="1:28">
      <c r="A81" s="314" t="s">
        <v>473</v>
      </c>
      <c r="B81" s="314"/>
      <c r="C81" s="314">
        <v>19966724470</v>
      </c>
      <c r="D81" s="314" t="s">
        <v>249</v>
      </c>
      <c r="E81" s="314" t="s">
        <v>104</v>
      </c>
      <c r="F81" s="314" t="s">
        <v>118</v>
      </c>
      <c r="G81" s="314" t="s">
        <v>108</v>
      </c>
      <c r="H81" s="314" t="s">
        <v>119</v>
      </c>
      <c r="I81" s="314" t="s">
        <v>108</v>
      </c>
      <c r="J81" s="314" t="s">
        <v>109</v>
      </c>
      <c r="K81" s="314">
        <v>0</v>
      </c>
      <c r="L81" s="314">
        <v>0</v>
      </c>
      <c r="M81" s="315">
        <v>45145.951875</v>
      </c>
      <c r="N81" s="314" t="s">
        <v>474</v>
      </c>
      <c r="O81" s="314" t="s">
        <v>251</v>
      </c>
      <c r="P81" s="314" t="s">
        <v>112</v>
      </c>
      <c r="Q81" s="314" t="s">
        <v>123</v>
      </c>
      <c r="R81" s="315">
        <v>45145.9818865741</v>
      </c>
      <c r="S81" s="314" t="s">
        <v>475</v>
      </c>
      <c r="T81" s="314" t="s">
        <v>476</v>
      </c>
      <c r="U81" s="314" t="s">
        <v>477</v>
      </c>
      <c r="V81" s="314" t="s">
        <v>114</v>
      </c>
      <c r="W81" s="314"/>
      <c r="X81" s="314" t="str">
        <f>VLOOKUP(D81,代理总表!A:D,3,0)</f>
        <v>飞哥雨燕直播</v>
      </c>
      <c r="Y81" t="str">
        <f>VLOOKUP(D:D,代理总表!A:D,4,FALSE)</f>
        <v>飞哥雨燕直播ffmk88</v>
      </c>
      <c r="Z81">
        <f t="shared" si="3"/>
        <v>0</v>
      </c>
      <c r="AA81">
        <f t="shared" si="4"/>
        <v>22</v>
      </c>
      <c r="AB81">
        <f t="shared" si="5"/>
        <v>1</v>
      </c>
    </row>
    <row r="82" spans="1:28">
      <c r="A82" s="314" t="s">
        <v>478</v>
      </c>
      <c r="B82" s="314"/>
      <c r="C82" s="314">
        <v>13470554935</v>
      </c>
      <c r="D82" s="314" t="s">
        <v>479</v>
      </c>
      <c r="E82" s="314" t="s">
        <v>104</v>
      </c>
      <c r="F82" s="314" t="s">
        <v>118</v>
      </c>
      <c r="G82" s="314" t="s">
        <v>108</v>
      </c>
      <c r="H82" s="314" t="s">
        <v>119</v>
      </c>
      <c r="I82" s="314" t="s">
        <v>108</v>
      </c>
      <c r="J82" s="314" t="s">
        <v>109</v>
      </c>
      <c r="K82" s="314">
        <v>0</v>
      </c>
      <c r="L82" s="314">
        <v>0</v>
      </c>
      <c r="M82" s="315">
        <v>45145.949837963</v>
      </c>
      <c r="N82" s="314" t="s">
        <v>480</v>
      </c>
      <c r="O82" s="314" t="s">
        <v>481</v>
      </c>
      <c r="P82" s="314" t="s">
        <v>339</v>
      </c>
      <c r="Q82" s="314" t="s">
        <v>123</v>
      </c>
      <c r="R82" s="315">
        <v>45145.949837963</v>
      </c>
      <c r="S82" s="314" t="s">
        <v>480</v>
      </c>
      <c r="T82" s="314" t="s">
        <v>482</v>
      </c>
      <c r="U82" s="314" t="s">
        <v>482</v>
      </c>
      <c r="V82" s="314" t="s">
        <v>114</v>
      </c>
      <c r="W82" s="314"/>
      <c r="X82" s="314" t="str">
        <f>VLOOKUP(D82,代理总表!A:D,3,0)</f>
        <v>GT-骨头</v>
      </c>
      <c r="Y82" t="str">
        <f>VLOOKUP(D:D,代理总表!A:D,4,FALSE)</f>
        <v>B直播gt6677</v>
      </c>
      <c r="Z82">
        <f t="shared" si="3"/>
        <v>0</v>
      </c>
      <c r="AA82">
        <f t="shared" si="4"/>
        <v>22</v>
      </c>
      <c r="AB82">
        <f t="shared" si="5"/>
        <v>1</v>
      </c>
    </row>
    <row r="83" spans="1:28">
      <c r="A83" s="314" t="s">
        <v>483</v>
      </c>
      <c r="B83" s="314" t="s">
        <v>484</v>
      </c>
      <c r="C83" s="314">
        <v>18733350970</v>
      </c>
      <c r="D83" s="314" t="s">
        <v>485</v>
      </c>
      <c r="E83" s="314" t="s">
        <v>104</v>
      </c>
      <c r="F83" s="314" t="s">
        <v>486</v>
      </c>
      <c r="G83" s="314" t="s">
        <v>106</v>
      </c>
      <c r="H83" s="314" t="s">
        <v>107</v>
      </c>
      <c r="I83" s="314" t="s">
        <v>108</v>
      </c>
      <c r="J83" s="314" t="s">
        <v>109</v>
      </c>
      <c r="K83" s="314">
        <v>0.2</v>
      </c>
      <c r="L83" s="314">
        <v>2000</v>
      </c>
      <c r="M83" s="315">
        <v>45145.9496527778</v>
      </c>
      <c r="N83" s="314" t="s">
        <v>487</v>
      </c>
      <c r="O83" s="314" t="s">
        <v>488</v>
      </c>
      <c r="P83" s="314" t="s">
        <v>112</v>
      </c>
      <c r="Q83" s="315">
        <v>45145.9533217593</v>
      </c>
      <c r="R83" s="315">
        <v>45146.0415393518</v>
      </c>
      <c r="S83" s="314" t="s">
        <v>487</v>
      </c>
      <c r="T83" s="314" t="s">
        <v>489</v>
      </c>
      <c r="U83" s="314" t="s">
        <v>489</v>
      </c>
      <c r="V83" s="314" t="s">
        <v>452</v>
      </c>
      <c r="W83" s="314" t="s">
        <v>490</v>
      </c>
      <c r="X83" s="314" t="str">
        <f>VLOOKUP(D83,代理总表!A:D,3,0)</f>
        <v>paddy</v>
      </c>
      <c r="Y83" t="str">
        <f>VLOOKUP(D:D,代理总表!A:D,4,FALSE)</f>
        <v>SEO</v>
      </c>
      <c r="Z83">
        <f t="shared" si="3"/>
        <v>1</v>
      </c>
      <c r="AA83">
        <f t="shared" si="4"/>
        <v>22</v>
      </c>
      <c r="AB83">
        <f t="shared" si="5"/>
        <v>1</v>
      </c>
    </row>
    <row r="84" spans="1:28">
      <c r="A84" s="314" t="s">
        <v>491</v>
      </c>
      <c r="B84" s="314"/>
      <c r="C84" s="314">
        <v>19997834812</v>
      </c>
      <c r="D84" s="314" t="s">
        <v>492</v>
      </c>
      <c r="E84" s="314" t="s">
        <v>104</v>
      </c>
      <c r="F84" s="314" t="s">
        <v>144</v>
      </c>
      <c r="G84" s="314" t="s">
        <v>106</v>
      </c>
      <c r="H84" s="314" t="s">
        <v>107</v>
      </c>
      <c r="I84" s="314" t="s">
        <v>108</v>
      </c>
      <c r="J84" s="314" t="s">
        <v>415</v>
      </c>
      <c r="K84" s="314">
        <v>870.88</v>
      </c>
      <c r="L84" s="314">
        <v>811.64</v>
      </c>
      <c r="M84" s="315">
        <v>45145.9493171296</v>
      </c>
      <c r="N84" s="314" t="s">
        <v>493</v>
      </c>
      <c r="O84" s="314" t="s">
        <v>494</v>
      </c>
      <c r="P84" s="314" t="s">
        <v>112</v>
      </c>
      <c r="Q84" s="315">
        <v>45146.0067939815</v>
      </c>
      <c r="R84" s="315">
        <v>45145.9937268519</v>
      </c>
      <c r="S84" s="314" t="s">
        <v>493</v>
      </c>
      <c r="T84" s="314" t="s">
        <v>495</v>
      </c>
      <c r="U84" s="314" t="s">
        <v>495</v>
      </c>
      <c r="V84" s="314" t="s">
        <v>114</v>
      </c>
      <c r="W84" s="314"/>
      <c r="X84" s="314" t="e">
        <f>VLOOKUP(D84,代理总表!A:D,3,0)</f>
        <v>#N/A</v>
      </c>
      <c r="Y84" t="e">
        <f>VLOOKUP(D:D,代理总表!A:D,4,FALSE)</f>
        <v>#N/A</v>
      </c>
      <c r="Z84">
        <f t="shared" si="3"/>
        <v>1</v>
      </c>
      <c r="AA84">
        <f t="shared" si="4"/>
        <v>22</v>
      </c>
      <c r="AB84">
        <f t="shared" si="5"/>
        <v>1</v>
      </c>
    </row>
    <row r="85" spans="1:28">
      <c r="A85" s="314" t="s">
        <v>496</v>
      </c>
      <c r="B85" s="314" t="s">
        <v>497</v>
      </c>
      <c r="C85" s="314">
        <v>13726289350</v>
      </c>
      <c r="D85" s="314" t="s">
        <v>103</v>
      </c>
      <c r="E85" s="314" t="s">
        <v>104</v>
      </c>
      <c r="F85" s="314" t="s">
        <v>118</v>
      </c>
      <c r="G85" s="314" t="s">
        <v>108</v>
      </c>
      <c r="H85" s="314" t="s">
        <v>119</v>
      </c>
      <c r="I85" s="314" t="s">
        <v>108</v>
      </c>
      <c r="J85" s="314" t="s">
        <v>109</v>
      </c>
      <c r="K85" s="314">
        <v>0</v>
      </c>
      <c r="L85" s="314">
        <v>0</v>
      </c>
      <c r="M85" s="315">
        <v>45145.9487384259</v>
      </c>
      <c r="N85" s="314" t="s">
        <v>498</v>
      </c>
      <c r="O85" s="314" t="s">
        <v>350</v>
      </c>
      <c r="P85" s="314" t="s">
        <v>161</v>
      </c>
      <c r="Q85" s="314" t="s">
        <v>123</v>
      </c>
      <c r="R85" s="315">
        <v>45145.9688888889</v>
      </c>
      <c r="S85" s="314" t="s">
        <v>498</v>
      </c>
      <c r="T85" s="314" t="s">
        <v>499</v>
      </c>
      <c r="U85" s="314" t="s">
        <v>499</v>
      </c>
      <c r="V85" s="314" t="s">
        <v>114</v>
      </c>
      <c r="W85" s="314"/>
      <c r="X85" s="314" t="str">
        <f>VLOOKUP(D85,代理总表!A:D,3,0)</f>
        <v>官网</v>
      </c>
      <c r="Y85" t="str">
        <f>VLOOKUP(D:D,代理总表!A:D,4,FALSE)</f>
        <v>官网</v>
      </c>
      <c r="Z85">
        <f t="shared" si="3"/>
        <v>0</v>
      </c>
      <c r="AA85">
        <f t="shared" si="4"/>
        <v>22</v>
      </c>
      <c r="AB85">
        <f t="shared" si="5"/>
        <v>1</v>
      </c>
    </row>
    <row r="86" spans="1:28">
      <c r="A86" s="314" t="s">
        <v>500</v>
      </c>
      <c r="B86" s="314"/>
      <c r="C86" s="314"/>
      <c r="D86" s="314" t="s">
        <v>143</v>
      </c>
      <c r="E86" s="314" t="s">
        <v>117</v>
      </c>
      <c r="F86" s="314" t="s">
        <v>118</v>
      </c>
      <c r="G86" s="314" t="s">
        <v>108</v>
      </c>
      <c r="H86" s="314" t="s">
        <v>119</v>
      </c>
      <c r="I86" s="314" t="s">
        <v>108</v>
      </c>
      <c r="J86" s="314" t="s">
        <v>120</v>
      </c>
      <c r="K86" s="314">
        <v>0</v>
      </c>
      <c r="L86" s="314">
        <v>0</v>
      </c>
      <c r="M86" s="315">
        <v>45145.9458564815</v>
      </c>
      <c r="N86" s="314" t="s">
        <v>501</v>
      </c>
      <c r="O86" s="314" t="s">
        <v>502</v>
      </c>
      <c r="P86" s="314" t="s">
        <v>339</v>
      </c>
      <c r="Q86" s="314" t="s">
        <v>123</v>
      </c>
      <c r="R86" s="315">
        <v>45145.9458449074</v>
      </c>
      <c r="S86" s="314" t="s">
        <v>501</v>
      </c>
      <c r="T86" s="314" t="s">
        <v>503</v>
      </c>
      <c r="U86" s="314" t="s">
        <v>503</v>
      </c>
      <c r="V86" s="314" t="s">
        <v>114</v>
      </c>
      <c r="W86" s="314"/>
      <c r="X86" s="314" t="str">
        <f>VLOOKUP(D86,代理总表!A:D,3,0)</f>
        <v>雨燕直播-越</v>
      </c>
      <c r="Y86" t="str">
        <f>VLOOKUP(D:D,代理总表!A:D,4,FALSE)</f>
        <v>雨燕直播-越ffvn66</v>
      </c>
      <c r="Z86">
        <f t="shared" si="3"/>
        <v>0</v>
      </c>
      <c r="AA86">
        <f t="shared" si="4"/>
        <v>22</v>
      </c>
      <c r="AB86">
        <f t="shared" si="5"/>
        <v>1</v>
      </c>
    </row>
    <row r="87" spans="1:28">
      <c r="A87" s="314" t="s">
        <v>504</v>
      </c>
      <c r="B87" s="314"/>
      <c r="C87" s="314"/>
      <c r="D87" s="314" t="s">
        <v>505</v>
      </c>
      <c r="E87" s="314" t="s">
        <v>506</v>
      </c>
      <c r="F87" s="314" t="s">
        <v>118</v>
      </c>
      <c r="G87" s="314" t="s">
        <v>108</v>
      </c>
      <c r="H87" s="314" t="s">
        <v>119</v>
      </c>
      <c r="I87" s="314" t="s">
        <v>108</v>
      </c>
      <c r="J87" s="314" t="s">
        <v>109</v>
      </c>
      <c r="K87" s="314">
        <v>0</v>
      </c>
      <c r="L87" s="314">
        <v>0</v>
      </c>
      <c r="M87" s="315">
        <v>45145.9457407407</v>
      </c>
      <c r="N87" s="314" t="s">
        <v>337</v>
      </c>
      <c r="O87" s="314" t="s">
        <v>507</v>
      </c>
      <c r="P87" s="314" t="s">
        <v>339</v>
      </c>
      <c r="Q87" s="314" t="s">
        <v>123</v>
      </c>
      <c r="R87" s="315">
        <v>45145.9457407407</v>
      </c>
      <c r="S87" s="314" t="s">
        <v>337</v>
      </c>
      <c r="T87" s="314" t="s">
        <v>340</v>
      </c>
      <c r="U87" s="314" t="s">
        <v>340</v>
      </c>
      <c r="V87" s="314" t="s">
        <v>114</v>
      </c>
      <c r="W87" s="314"/>
      <c r="X87" s="314" t="str">
        <f>VLOOKUP(D87,代理总表!A:D,3,0)</f>
        <v>SOCO越南直播</v>
      </c>
      <c r="Y87" t="str">
        <f>VLOOKUP(D:D,代理总表!A:D,4,FALSE)</f>
        <v>SOCO越南直播ffvn66</v>
      </c>
      <c r="Z87">
        <f t="shared" si="3"/>
        <v>0</v>
      </c>
      <c r="AA87">
        <f t="shared" si="4"/>
        <v>22</v>
      </c>
      <c r="AB87">
        <f t="shared" si="5"/>
        <v>1</v>
      </c>
    </row>
    <row r="88" spans="1:28">
      <c r="A88" s="314" t="s">
        <v>508</v>
      </c>
      <c r="B88" s="314" t="s">
        <v>509</v>
      </c>
      <c r="C88" s="314">
        <v>15913492060</v>
      </c>
      <c r="D88" s="314" t="s">
        <v>103</v>
      </c>
      <c r="E88" s="314" t="s">
        <v>104</v>
      </c>
      <c r="F88" s="314" t="s">
        <v>118</v>
      </c>
      <c r="G88" s="314" t="s">
        <v>108</v>
      </c>
      <c r="H88" s="314" t="s">
        <v>119</v>
      </c>
      <c r="I88" s="314" t="s">
        <v>108</v>
      </c>
      <c r="J88" s="314" t="s">
        <v>109</v>
      </c>
      <c r="K88" s="314">
        <v>0</v>
      </c>
      <c r="L88" s="314">
        <v>0</v>
      </c>
      <c r="M88" s="315">
        <v>45145.9454861111</v>
      </c>
      <c r="N88" s="314" t="s">
        <v>510</v>
      </c>
      <c r="O88" s="314" t="s">
        <v>511</v>
      </c>
      <c r="P88" s="314" t="s">
        <v>161</v>
      </c>
      <c r="Q88" s="314" t="s">
        <v>123</v>
      </c>
      <c r="R88" s="315">
        <v>45145.9454861111</v>
      </c>
      <c r="S88" s="314" t="s">
        <v>510</v>
      </c>
      <c r="T88" s="314" t="s">
        <v>495</v>
      </c>
      <c r="U88" s="314" t="s">
        <v>495</v>
      </c>
      <c r="V88" s="314" t="s">
        <v>114</v>
      </c>
      <c r="W88" s="314"/>
      <c r="X88" s="314" t="str">
        <f>VLOOKUP(D88,代理总表!A:D,3,0)</f>
        <v>官网</v>
      </c>
      <c r="Y88" t="str">
        <f>VLOOKUP(D:D,代理总表!A:D,4,FALSE)</f>
        <v>官网</v>
      </c>
      <c r="Z88">
        <f t="shared" si="3"/>
        <v>0</v>
      </c>
      <c r="AA88">
        <f t="shared" si="4"/>
        <v>22</v>
      </c>
      <c r="AB88">
        <f t="shared" si="5"/>
        <v>1</v>
      </c>
    </row>
    <row r="89" spans="1:28">
      <c r="A89" s="314" t="s">
        <v>512</v>
      </c>
      <c r="B89" s="314"/>
      <c r="C89" s="314"/>
      <c r="D89" s="314" t="s">
        <v>479</v>
      </c>
      <c r="E89" s="314" t="s">
        <v>104</v>
      </c>
      <c r="F89" s="314" t="s">
        <v>118</v>
      </c>
      <c r="G89" s="314" t="s">
        <v>108</v>
      </c>
      <c r="H89" s="314" t="s">
        <v>119</v>
      </c>
      <c r="I89" s="314" t="s">
        <v>108</v>
      </c>
      <c r="J89" s="314" t="s">
        <v>109</v>
      </c>
      <c r="K89" s="314">
        <v>0</v>
      </c>
      <c r="L89" s="314">
        <v>0</v>
      </c>
      <c r="M89" s="315">
        <v>45145.9446875</v>
      </c>
      <c r="N89" s="314" t="s">
        <v>480</v>
      </c>
      <c r="O89" s="314" t="s">
        <v>481</v>
      </c>
      <c r="P89" s="314" t="s">
        <v>339</v>
      </c>
      <c r="Q89" s="314" t="s">
        <v>123</v>
      </c>
      <c r="R89" s="315">
        <v>45145.9446875</v>
      </c>
      <c r="S89" s="314" t="s">
        <v>480</v>
      </c>
      <c r="T89" s="314" t="s">
        <v>482</v>
      </c>
      <c r="U89" s="314" t="s">
        <v>482</v>
      </c>
      <c r="V89" s="314" t="s">
        <v>114</v>
      </c>
      <c r="W89" s="314"/>
      <c r="X89" s="314" t="str">
        <f>VLOOKUP(D89,代理总表!A:D,3,0)</f>
        <v>GT-骨头</v>
      </c>
      <c r="Y89" t="str">
        <f>VLOOKUP(D:D,代理总表!A:D,4,FALSE)</f>
        <v>B直播gt6677</v>
      </c>
      <c r="Z89">
        <f t="shared" si="3"/>
        <v>0</v>
      </c>
      <c r="AA89">
        <f t="shared" si="4"/>
        <v>22</v>
      </c>
      <c r="AB89">
        <f t="shared" si="5"/>
        <v>1</v>
      </c>
    </row>
    <row r="90" spans="1:28">
      <c r="A90" s="314" t="s">
        <v>513</v>
      </c>
      <c r="B90" s="314"/>
      <c r="C90" s="314">
        <v>15098307860</v>
      </c>
      <c r="D90" s="314" t="s">
        <v>301</v>
      </c>
      <c r="E90" s="314" t="s">
        <v>104</v>
      </c>
      <c r="F90" s="314" t="s">
        <v>149</v>
      </c>
      <c r="G90" s="314" t="s">
        <v>108</v>
      </c>
      <c r="H90" s="314" t="s">
        <v>119</v>
      </c>
      <c r="I90" s="314" t="s">
        <v>108</v>
      </c>
      <c r="J90" s="314" t="s">
        <v>109</v>
      </c>
      <c r="K90" s="314">
        <v>0</v>
      </c>
      <c r="L90" s="314">
        <v>0</v>
      </c>
      <c r="M90" s="315">
        <v>45145.9440856481</v>
      </c>
      <c r="N90" s="314" t="s">
        <v>514</v>
      </c>
      <c r="O90" s="314" t="s">
        <v>303</v>
      </c>
      <c r="P90" s="314" t="s">
        <v>112</v>
      </c>
      <c r="Q90" s="314" t="s">
        <v>123</v>
      </c>
      <c r="R90" s="315">
        <v>45145.9440740741</v>
      </c>
      <c r="S90" s="314" t="s">
        <v>514</v>
      </c>
      <c r="T90" s="314" t="s">
        <v>515</v>
      </c>
      <c r="U90" s="314" t="s">
        <v>515</v>
      </c>
      <c r="V90" s="314" t="s">
        <v>114</v>
      </c>
      <c r="W90" s="314"/>
      <c r="X90" s="314" t="str">
        <f>VLOOKUP(D90,代理总表!A:D,3,0)</f>
        <v>电销拉回专用</v>
      </c>
      <c r="Y90" t="str">
        <f>VLOOKUP(D:D,代理总表!A:D,4,FALSE)</f>
        <v>SEO</v>
      </c>
      <c r="Z90">
        <f t="shared" si="3"/>
        <v>0</v>
      </c>
      <c r="AA90">
        <f t="shared" si="4"/>
        <v>22</v>
      </c>
      <c r="AB90">
        <f t="shared" si="5"/>
        <v>1</v>
      </c>
    </row>
    <row r="91" spans="1:28">
      <c r="A91" s="314" t="s">
        <v>516</v>
      </c>
      <c r="B91" s="314" t="s">
        <v>517</v>
      </c>
      <c r="C91" s="314">
        <v>961584557</v>
      </c>
      <c r="D91" s="314" t="s">
        <v>505</v>
      </c>
      <c r="E91" s="314" t="s">
        <v>117</v>
      </c>
      <c r="F91" s="314" t="s">
        <v>144</v>
      </c>
      <c r="G91" s="314" t="s">
        <v>106</v>
      </c>
      <c r="H91" s="314" t="s">
        <v>107</v>
      </c>
      <c r="I91" s="314" t="s">
        <v>108</v>
      </c>
      <c r="J91" s="314" t="s">
        <v>120</v>
      </c>
      <c r="K91" s="314">
        <v>400000</v>
      </c>
      <c r="L91" s="314">
        <v>0</v>
      </c>
      <c r="M91" s="315">
        <v>45145.94375</v>
      </c>
      <c r="N91" s="314" t="s">
        <v>518</v>
      </c>
      <c r="O91" s="314" t="s">
        <v>519</v>
      </c>
      <c r="P91" s="314" t="s">
        <v>112</v>
      </c>
      <c r="Q91" s="315">
        <v>45145.951087963</v>
      </c>
      <c r="R91" s="315">
        <v>45145.9695601852</v>
      </c>
      <c r="S91" s="314" t="s">
        <v>518</v>
      </c>
      <c r="T91" s="314" t="s">
        <v>520</v>
      </c>
      <c r="U91" s="314" t="s">
        <v>520</v>
      </c>
      <c r="V91" s="314" t="s">
        <v>114</v>
      </c>
      <c r="W91" s="314"/>
      <c r="X91" s="314" t="str">
        <f>VLOOKUP(D91,代理总表!A:D,3,0)</f>
        <v>SOCO越南直播</v>
      </c>
      <c r="Y91" t="str">
        <f>VLOOKUP(D:D,代理总表!A:D,4,FALSE)</f>
        <v>SOCO越南直播ffvn66</v>
      </c>
      <c r="Z91">
        <f t="shared" si="3"/>
        <v>1</v>
      </c>
      <c r="AA91">
        <f t="shared" si="4"/>
        <v>22</v>
      </c>
      <c r="AB91">
        <f t="shared" si="5"/>
        <v>1</v>
      </c>
    </row>
    <row r="92" spans="1:28">
      <c r="A92" s="314" t="s">
        <v>521</v>
      </c>
      <c r="B92" s="314"/>
      <c r="C92" s="314"/>
      <c r="D92" s="314" t="s">
        <v>522</v>
      </c>
      <c r="E92" s="314" t="s">
        <v>117</v>
      </c>
      <c r="F92" s="314" t="s">
        <v>118</v>
      </c>
      <c r="G92" s="314" t="s">
        <v>108</v>
      </c>
      <c r="H92" s="314" t="s">
        <v>119</v>
      </c>
      <c r="I92" s="314" t="s">
        <v>108</v>
      </c>
      <c r="J92" s="314" t="s">
        <v>120</v>
      </c>
      <c r="K92" s="314">
        <v>0</v>
      </c>
      <c r="L92" s="314">
        <v>0</v>
      </c>
      <c r="M92" s="315">
        <v>45145.9435185185</v>
      </c>
      <c r="N92" s="314" t="s">
        <v>523</v>
      </c>
      <c r="O92" s="314" t="s">
        <v>524</v>
      </c>
      <c r="P92" s="314" t="s">
        <v>112</v>
      </c>
      <c r="Q92" s="314" t="s">
        <v>123</v>
      </c>
      <c r="R92" s="315">
        <v>45145.9435069444</v>
      </c>
      <c r="S92" s="314" t="s">
        <v>523</v>
      </c>
      <c r="T92" s="314" t="s">
        <v>177</v>
      </c>
      <c r="U92" s="314" t="s">
        <v>177</v>
      </c>
      <c r="V92" s="314" t="s">
        <v>114</v>
      </c>
      <c r="W92" s="314"/>
      <c r="X92" s="314" t="str">
        <f>VLOOKUP(D92,代理总表!A:D,3,0)</f>
        <v>SOCO越南直播</v>
      </c>
      <c r="Y92" t="str">
        <f>VLOOKUP(D:D,代理总表!A:D,4,FALSE)</f>
        <v>SOCO越南直播ffvn66</v>
      </c>
      <c r="Z92">
        <f t="shared" si="3"/>
        <v>0</v>
      </c>
      <c r="AA92">
        <f t="shared" si="4"/>
        <v>22</v>
      </c>
      <c r="AB92">
        <f t="shared" si="5"/>
        <v>1</v>
      </c>
    </row>
    <row r="93" spans="1:28">
      <c r="A93" s="314" t="s">
        <v>525</v>
      </c>
      <c r="B93" s="314"/>
      <c r="C93" s="314">
        <v>382415787</v>
      </c>
      <c r="D93" s="314" t="s">
        <v>526</v>
      </c>
      <c r="E93" s="314" t="s">
        <v>117</v>
      </c>
      <c r="F93" s="314" t="s">
        <v>144</v>
      </c>
      <c r="G93" s="314" t="s">
        <v>106</v>
      </c>
      <c r="H93" s="314" t="s">
        <v>107</v>
      </c>
      <c r="I93" s="314" t="s">
        <v>108</v>
      </c>
      <c r="J93" s="314" t="s">
        <v>120</v>
      </c>
      <c r="K93" s="314">
        <v>2000000</v>
      </c>
      <c r="L93" s="314">
        <v>0</v>
      </c>
      <c r="M93" s="315">
        <v>45145.9429050926</v>
      </c>
      <c r="N93" s="314" t="s">
        <v>527</v>
      </c>
      <c r="O93" s="314" t="s">
        <v>528</v>
      </c>
      <c r="P93" s="314" t="s">
        <v>112</v>
      </c>
      <c r="Q93" s="315">
        <v>45145.9521180556</v>
      </c>
      <c r="R93" s="315">
        <v>45145.9589583333</v>
      </c>
      <c r="S93" s="314" t="s">
        <v>529</v>
      </c>
      <c r="T93" s="314" t="s">
        <v>217</v>
      </c>
      <c r="U93" s="314" t="s">
        <v>131</v>
      </c>
      <c r="V93" s="314" t="s">
        <v>114</v>
      </c>
      <c r="W93" s="314"/>
      <c r="X93" s="314" t="str">
        <f>VLOOKUP(D93,代理总表!A:D,3,0)</f>
        <v>SOCO越南直播</v>
      </c>
      <c r="Y93" t="str">
        <f>VLOOKUP(D:D,代理总表!A:D,4,FALSE)</f>
        <v>SOCO越南直播ffvn66</v>
      </c>
      <c r="Z93">
        <f t="shared" si="3"/>
        <v>1</v>
      </c>
      <c r="AA93">
        <f t="shared" si="4"/>
        <v>22</v>
      </c>
      <c r="AB93">
        <f t="shared" si="5"/>
        <v>1</v>
      </c>
    </row>
    <row r="94" spans="1:28">
      <c r="A94" s="314" t="s">
        <v>530</v>
      </c>
      <c r="B94" s="314"/>
      <c r="C94" s="314"/>
      <c r="D94" s="314" t="s">
        <v>531</v>
      </c>
      <c r="E94" s="314" t="s">
        <v>117</v>
      </c>
      <c r="F94" s="314" t="s">
        <v>118</v>
      </c>
      <c r="G94" s="314" t="s">
        <v>108</v>
      </c>
      <c r="H94" s="314" t="s">
        <v>119</v>
      </c>
      <c r="I94" s="314" t="s">
        <v>108</v>
      </c>
      <c r="J94" s="314" t="s">
        <v>120</v>
      </c>
      <c r="K94" s="314">
        <v>0</v>
      </c>
      <c r="L94" s="314">
        <v>0</v>
      </c>
      <c r="M94" s="315">
        <v>45145.9424421296</v>
      </c>
      <c r="N94" s="314" t="s">
        <v>532</v>
      </c>
      <c r="O94" s="314" t="s">
        <v>533</v>
      </c>
      <c r="P94" s="314" t="s">
        <v>112</v>
      </c>
      <c r="Q94" s="314" t="s">
        <v>123</v>
      </c>
      <c r="R94" s="315">
        <v>45145.9424421296</v>
      </c>
      <c r="S94" s="314" t="s">
        <v>532</v>
      </c>
      <c r="T94" s="314" t="s">
        <v>177</v>
      </c>
      <c r="U94" s="314" t="s">
        <v>177</v>
      </c>
      <c r="V94" s="314" t="s">
        <v>114</v>
      </c>
      <c r="W94" s="314"/>
      <c r="X94" s="314" t="str">
        <f>VLOOKUP(D94,代理总表!A:D,3,0)</f>
        <v>外部代理总线</v>
      </c>
      <c r="Y94" t="str">
        <f>VLOOKUP(D:D,代理总表!A:D,4,FALSE)</f>
        <v>外部代理总线zhaoshang</v>
      </c>
      <c r="Z94">
        <f t="shared" si="3"/>
        <v>0</v>
      </c>
      <c r="AA94">
        <f t="shared" si="4"/>
        <v>22</v>
      </c>
      <c r="AB94">
        <f t="shared" si="5"/>
        <v>1</v>
      </c>
    </row>
    <row r="95" spans="1:28">
      <c r="A95" s="314" t="s">
        <v>534</v>
      </c>
      <c r="B95" s="314" t="s">
        <v>535</v>
      </c>
      <c r="C95" s="314">
        <v>588634922</v>
      </c>
      <c r="D95" s="314" t="s">
        <v>536</v>
      </c>
      <c r="E95" s="314" t="s">
        <v>117</v>
      </c>
      <c r="F95" s="314" t="s">
        <v>144</v>
      </c>
      <c r="G95" s="314" t="s">
        <v>106</v>
      </c>
      <c r="H95" s="314" t="s">
        <v>107</v>
      </c>
      <c r="I95" s="314" t="s">
        <v>108</v>
      </c>
      <c r="J95" s="314" t="s">
        <v>120</v>
      </c>
      <c r="K95" s="314">
        <v>0</v>
      </c>
      <c r="L95" s="314">
        <v>3600000</v>
      </c>
      <c r="M95" s="315">
        <v>45145.9414930556</v>
      </c>
      <c r="N95" s="314" t="s">
        <v>537</v>
      </c>
      <c r="O95" s="314" t="s">
        <v>538</v>
      </c>
      <c r="P95" s="314" t="s">
        <v>112</v>
      </c>
      <c r="Q95" s="315">
        <v>45145.9615162037</v>
      </c>
      <c r="R95" s="315">
        <v>45145.9628125</v>
      </c>
      <c r="S95" s="314" t="s">
        <v>537</v>
      </c>
      <c r="T95" s="314" t="s">
        <v>128</v>
      </c>
      <c r="U95" s="314" t="s">
        <v>128</v>
      </c>
      <c r="V95" s="314" t="s">
        <v>114</v>
      </c>
      <c r="W95" s="314" t="s">
        <v>539</v>
      </c>
      <c r="X95" s="314" t="e">
        <f>VLOOKUP(D95,代理总表!A:D,3,0)</f>
        <v>#N/A</v>
      </c>
      <c r="Y95" t="e">
        <f>VLOOKUP(D:D,代理总表!A:D,4,FALSE)</f>
        <v>#N/A</v>
      </c>
      <c r="Z95">
        <f t="shared" si="3"/>
        <v>1</v>
      </c>
      <c r="AA95">
        <f t="shared" si="4"/>
        <v>22</v>
      </c>
      <c r="AB95">
        <f t="shared" si="5"/>
        <v>1</v>
      </c>
    </row>
    <row r="96" spans="1:28">
      <c r="A96" s="314" t="s">
        <v>540</v>
      </c>
      <c r="B96" s="314" t="s">
        <v>541</v>
      </c>
      <c r="C96" s="314">
        <v>979665796</v>
      </c>
      <c r="D96" s="314" t="s">
        <v>116</v>
      </c>
      <c r="E96" s="314" t="s">
        <v>117</v>
      </c>
      <c r="F96" s="314" t="s">
        <v>118</v>
      </c>
      <c r="G96" s="314" t="s">
        <v>108</v>
      </c>
      <c r="H96" s="314" t="s">
        <v>119</v>
      </c>
      <c r="I96" s="314" t="s">
        <v>108</v>
      </c>
      <c r="J96" s="314" t="s">
        <v>120</v>
      </c>
      <c r="K96" s="314">
        <v>0</v>
      </c>
      <c r="L96" s="314">
        <v>0</v>
      </c>
      <c r="M96" s="315">
        <v>45145.9413773148</v>
      </c>
      <c r="N96" s="314" t="s">
        <v>542</v>
      </c>
      <c r="O96" s="314" t="s">
        <v>127</v>
      </c>
      <c r="P96" s="314" t="s">
        <v>112</v>
      </c>
      <c r="Q96" s="314" t="s">
        <v>123</v>
      </c>
      <c r="R96" s="315">
        <v>45146.3322800926</v>
      </c>
      <c r="S96" s="314" t="s">
        <v>543</v>
      </c>
      <c r="T96" s="314" t="s">
        <v>177</v>
      </c>
      <c r="U96" s="314" t="s">
        <v>544</v>
      </c>
      <c r="V96" s="314" t="s">
        <v>114</v>
      </c>
      <c r="W96" s="314"/>
      <c r="X96" s="314" t="str">
        <f>VLOOKUP(D96,代理总表!A:D,3,0)</f>
        <v>外部代理总线</v>
      </c>
      <c r="Y96" t="str">
        <f>VLOOKUP(D:D,代理总表!A:D,4,FALSE)</f>
        <v>外部代理总线zh0808</v>
      </c>
      <c r="Z96">
        <f t="shared" si="3"/>
        <v>0</v>
      </c>
      <c r="AA96">
        <f t="shared" si="4"/>
        <v>22</v>
      </c>
      <c r="AB96">
        <f t="shared" si="5"/>
        <v>1</v>
      </c>
    </row>
    <row r="97" spans="1:28">
      <c r="A97" s="314" t="s">
        <v>545</v>
      </c>
      <c r="B97" s="314"/>
      <c r="C97" s="314">
        <v>848880510</v>
      </c>
      <c r="D97" s="314" t="s">
        <v>526</v>
      </c>
      <c r="E97" s="314" t="s">
        <v>117</v>
      </c>
      <c r="F97" s="314" t="s">
        <v>118</v>
      </c>
      <c r="G97" s="314" t="s">
        <v>108</v>
      </c>
      <c r="H97" s="314" t="s">
        <v>119</v>
      </c>
      <c r="I97" s="314" t="s">
        <v>108</v>
      </c>
      <c r="J97" s="314" t="s">
        <v>120</v>
      </c>
      <c r="K97" s="314">
        <v>0</v>
      </c>
      <c r="L97" s="314">
        <v>0</v>
      </c>
      <c r="M97" s="315">
        <v>45145.9411689815</v>
      </c>
      <c r="N97" s="314" t="s">
        <v>546</v>
      </c>
      <c r="O97" s="314" t="s">
        <v>547</v>
      </c>
      <c r="P97" s="314" t="s">
        <v>339</v>
      </c>
      <c r="Q97" s="314" t="s">
        <v>123</v>
      </c>
      <c r="R97" s="315">
        <v>45145.9452662037</v>
      </c>
      <c r="S97" s="314" t="s">
        <v>546</v>
      </c>
      <c r="T97" s="314" t="s">
        <v>548</v>
      </c>
      <c r="U97" s="314" t="s">
        <v>548</v>
      </c>
      <c r="V97" s="314" t="s">
        <v>114</v>
      </c>
      <c r="W97" s="314"/>
      <c r="X97" s="314" t="str">
        <f>VLOOKUP(D97,代理总表!A:D,3,0)</f>
        <v>SOCO越南直播</v>
      </c>
      <c r="Y97" t="str">
        <f>VLOOKUP(D:D,代理总表!A:D,4,FALSE)</f>
        <v>SOCO越南直播ffvn66</v>
      </c>
      <c r="Z97">
        <f t="shared" si="3"/>
        <v>0</v>
      </c>
      <c r="AA97">
        <f t="shared" si="4"/>
        <v>22</v>
      </c>
      <c r="AB97">
        <f t="shared" si="5"/>
        <v>1</v>
      </c>
    </row>
    <row r="98" spans="1:28">
      <c r="A98" s="314" t="s">
        <v>549</v>
      </c>
      <c r="B98" s="314"/>
      <c r="C98" s="314">
        <v>827513095</v>
      </c>
      <c r="D98" s="314" t="s">
        <v>550</v>
      </c>
      <c r="E98" s="314" t="s">
        <v>117</v>
      </c>
      <c r="F98" s="314" t="s">
        <v>144</v>
      </c>
      <c r="G98" s="314" t="s">
        <v>106</v>
      </c>
      <c r="H98" s="314" t="s">
        <v>107</v>
      </c>
      <c r="I98" s="314" t="s">
        <v>108</v>
      </c>
      <c r="J98" s="314" t="s">
        <v>120</v>
      </c>
      <c r="K98" s="314">
        <v>2276287.08</v>
      </c>
      <c r="L98" s="314">
        <v>0</v>
      </c>
      <c r="M98" s="315">
        <v>45145.9407523148</v>
      </c>
      <c r="N98" s="314" t="s">
        <v>551</v>
      </c>
      <c r="O98" s="314" t="s">
        <v>552</v>
      </c>
      <c r="P98" s="314" t="s">
        <v>339</v>
      </c>
      <c r="Q98" s="315">
        <v>45145.9868981481</v>
      </c>
      <c r="R98" s="315">
        <v>45146.3374537037</v>
      </c>
      <c r="S98" s="314" t="s">
        <v>551</v>
      </c>
      <c r="T98" s="314" t="s">
        <v>177</v>
      </c>
      <c r="U98" s="314" t="s">
        <v>177</v>
      </c>
      <c r="V98" s="314" t="s">
        <v>114</v>
      </c>
      <c r="W98" s="314"/>
      <c r="X98" s="314" t="str">
        <f>VLOOKUP(D98,代理总表!A:D,3,0)</f>
        <v>SOCO越南直播</v>
      </c>
      <c r="Y98" t="str">
        <f>VLOOKUP(D:D,代理总表!A:D,4,FALSE)</f>
        <v>SOCO越南直播ffvn66</v>
      </c>
      <c r="Z98">
        <f t="shared" si="3"/>
        <v>1</v>
      </c>
      <c r="AA98">
        <f t="shared" si="4"/>
        <v>22</v>
      </c>
      <c r="AB98">
        <f t="shared" si="5"/>
        <v>1</v>
      </c>
    </row>
    <row r="99" spans="1:28">
      <c r="A99" s="314" t="s">
        <v>553</v>
      </c>
      <c r="B99" s="314" t="s">
        <v>554</v>
      </c>
      <c r="C99" s="314">
        <v>379160480</v>
      </c>
      <c r="D99" s="314" t="s">
        <v>197</v>
      </c>
      <c r="E99" s="314" t="s">
        <v>117</v>
      </c>
      <c r="F99" s="314" t="s">
        <v>118</v>
      </c>
      <c r="G99" s="314" t="s">
        <v>108</v>
      </c>
      <c r="H99" s="314" t="s">
        <v>119</v>
      </c>
      <c r="I99" s="314" t="s">
        <v>108</v>
      </c>
      <c r="J99" s="314" t="s">
        <v>120</v>
      </c>
      <c r="K99" s="314">
        <v>0</v>
      </c>
      <c r="L99" s="314">
        <v>0</v>
      </c>
      <c r="M99" s="315">
        <v>45145.9404976852</v>
      </c>
      <c r="N99" s="314" t="s">
        <v>555</v>
      </c>
      <c r="O99" s="314" t="s">
        <v>199</v>
      </c>
      <c r="P99" s="314" t="s">
        <v>112</v>
      </c>
      <c r="Q99" s="314" t="s">
        <v>123</v>
      </c>
      <c r="R99" s="315">
        <v>45146.3500347222</v>
      </c>
      <c r="S99" s="314" t="s">
        <v>556</v>
      </c>
      <c r="T99" s="314" t="s">
        <v>216</v>
      </c>
      <c r="U99" s="314" t="s">
        <v>124</v>
      </c>
      <c r="V99" s="314" t="s">
        <v>114</v>
      </c>
      <c r="W99" s="314"/>
      <c r="X99" s="314" t="str">
        <f>VLOOKUP(D99,代理总表!A:D,3,0)</f>
        <v>雨燕直播-越</v>
      </c>
      <c r="Y99" t="str">
        <f>VLOOKUP(D:D,代理总表!A:D,4,FALSE)</f>
        <v>雨燕直播-越ffvn66</v>
      </c>
      <c r="Z99">
        <f t="shared" si="3"/>
        <v>0</v>
      </c>
      <c r="AA99">
        <f t="shared" si="4"/>
        <v>22</v>
      </c>
      <c r="AB99">
        <f t="shared" si="5"/>
        <v>1</v>
      </c>
    </row>
    <row r="100" spans="1:28">
      <c r="A100" s="314" t="s">
        <v>557</v>
      </c>
      <c r="B100" s="314"/>
      <c r="C100" s="314">
        <v>13401096488</v>
      </c>
      <c r="D100" s="314" t="s">
        <v>558</v>
      </c>
      <c r="E100" s="314" t="s">
        <v>104</v>
      </c>
      <c r="F100" s="314" t="s">
        <v>118</v>
      </c>
      <c r="G100" s="314" t="s">
        <v>108</v>
      </c>
      <c r="H100" s="314" t="s">
        <v>119</v>
      </c>
      <c r="I100" s="314" t="s">
        <v>108</v>
      </c>
      <c r="J100" s="314" t="s">
        <v>109</v>
      </c>
      <c r="K100" s="314">
        <v>0</v>
      </c>
      <c r="L100" s="314">
        <v>0</v>
      </c>
      <c r="M100" s="315">
        <v>45145.9399768518</v>
      </c>
      <c r="N100" s="314" t="s">
        <v>559</v>
      </c>
      <c r="O100" s="314" t="s">
        <v>560</v>
      </c>
      <c r="P100" s="314" t="s">
        <v>208</v>
      </c>
      <c r="Q100" s="314" t="s">
        <v>123</v>
      </c>
      <c r="R100" s="315">
        <v>45146.3629398148</v>
      </c>
      <c r="S100" s="314" t="s">
        <v>559</v>
      </c>
      <c r="T100" s="314" t="s">
        <v>561</v>
      </c>
      <c r="U100" s="314" t="s">
        <v>561</v>
      </c>
      <c r="V100" s="314" t="s">
        <v>114</v>
      </c>
      <c r="W100" s="314"/>
      <c r="X100" s="314" t="str">
        <f>VLOOKUP(D100,代理总表!A:D,3,0)</f>
        <v>雨燕直播</v>
      </c>
      <c r="Y100" t="str">
        <f>VLOOKUP(D:D,代理总表!A:D,4,FALSE)</f>
        <v>雨燕直播zzzb888</v>
      </c>
      <c r="Z100">
        <f t="shared" si="3"/>
        <v>0</v>
      </c>
      <c r="AA100">
        <f t="shared" si="4"/>
        <v>22</v>
      </c>
      <c r="AB100">
        <f t="shared" si="5"/>
        <v>1</v>
      </c>
    </row>
    <row r="101" spans="1:28">
      <c r="A101" s="314" t="s">
        <v>562</v>
      </c>
      <c r="B101" s="314" t="s">
        <v>563</v>
      </c>
      <c r="C101" s="314">
        <v>377806072</v>
      </c>
      <c r="D101" s="314" t="s">
        <v>564</v>
      </c>
      <c r="E101" s="314" t="s">
        <v>117</v>
      </c>
      <c r="F101" s="314" t="s">
        <v>118</v>
      </c>
      <c r="G101" s="314" t="s">
        <v>108</v>
      </c>
      <c r="H101" s="314" t="s">
        <v>119</v>
      </c>
      <c r="I101" s="314" t="s">
        <v>108</v>
      </c>
      <c r="J101" s="314" t="s">
        <v>120</v>
      </c>
      <c r="K101" s="314">
        <v>0</v>
      </c>
      <c r="L101" s="314">
        <v>0</v>
      </c>
      <c r="M101" s="315">
        <v>45145.9383564815</v>
      </c>
      <c r="N101" s="314" t="s">
        <v>565</v>
      </c>
      <c r="O101" s="314" t="s">
        <v>566</v>
      </c>
      <c r="P101" s="314" t="s">
        <v>112</v>
      </c>
      <c r="Q101" s="314" t="s">
        <v>123</v>
      </c>
      <c r="R101" s="315">
        <v>45146.1532638889</v>
      </c>
      <c r="S101" s="314" t="s">
        <v>565</v>
      </c>
      <c r="T101" s="314" t="s">
        <v>177</v>
      </c>
      <c r="U101" s="314" t="s">
        <v>177</v>
      </c>
      <c r="V101" s="314" t="s">
        <v>114</v>
      </c>
      <c r="W101" s="314"/>
      <c r="X101" s="314" t="e">
        <f>VLOOKUP(D101,代理总表!A:D,3,0)</f>
        <v>#N/A</v>
      </c>
      <c r="Y101" t="e">
        <f>VLOOKUP(D:D,代理总表!A:D,4,FALSE)</f>
        <v>#N/A</v>
      </c>
      <c r="Z101">
        <f t="shared" si="3"/>
        <v>0</v>
      </c>
      <c r="AA101">
        <f t="shared" si="4"/>
        <v>22</v>
      </c>
      <c r="AB101">
        <f t="shared" si="5"/>
        <v>1</v>
      </c>
    </row>
    <row r="102" spans="1:28">
      <c r="A102" s="314" t="s">
        <v>567</v>
      </c>
      <c r="B102" s="314"/>
      <c r="C102" s="314"/>
      <c r="D102" s="314" t="s">
        <v>276</v>
      </c>
      <c r="E102" s="314" t="s">
        <v>104</v>
      </c>
      <c r="F102" s="314" t="s">
        <v>118</v>
      </c>
      <c r="G102" s="314" t="s">
        <v>108</v>
      </c>
      <c r="H102" s="314" t="s">
        <v>119</v>
      </c>
      <c r="I102" s="314" t="s">
        <v>108</v>
      </c>
      <c r="J102" s="314" t="s">
        <v>109</v>
      </c>
      <c r="K102" s="314">
        <v>0</v>
      </c>
      <c r="L102" s="314">
        <v>0</v>
      </c>
      <c r="M102" s="315">
        <v>45145.9380324074</v>
      </c>
      <c r="N102" s="314" t="s">
        <v>568</v>
      </c>
      <c r="O102" s="314" t="s">
        <v>569</v>
      </c>
      <c r="P102" s="314" t="s">
        <v>339</v>
      </c>
      <c r="Q102" s="314" t="s">
        <v>123</v>
      </c>
      <c r="R102" s="315">
        <v>45145.9380324074</v>
      </c>
      <c r="S102" s="314" t="s">
        <v>568</v>
      </c>
      <c r="T102" s="314" t="s">
        <v>477</v>
      </c>
      <c r="U102" s="314" t="s">
        <v>477</v>
      </c>
      <c r="V102" s="314" t="s">
        <v>114</v>
      </c>
      <c r="W102" s="314"/>
      <c r="X102" s="314" t="str">
        <f>VLOOKUP(D102,代理总表!A:D,3,0)</f>
        <v>飞哥雨燕直播</v>
      </c>
      <c r="Y102" t="str">
        <f>VLOOKUP(D:D,代理总表!A:D,4,FALSE)</f>
        <v>飞哥雨燕直播ffmk88</v>
      </c>
      <c r="Z102">
        <f t="shared" si="3"/>
        <v>0</v>
      </c>
      <c r="AA102">
        <f t="shared" si="4"/>
        <v>22</v>
      </c>
      <c r="AB102">
        <f t="shared" si="5"/>
        <v>1</v>
      </c>
    </row>
    <row r="103" spans="1:28">
      <c r="A103" s="314" t="s">
        <v>570</v>
      </c>
      <c r="B103" s="314"/>
      <c r="C103" s="314">
        <v>15819365872</v>
      </c>
      <c r="D103" s="314" t="s">
        <v>148</v>
      </c>
      <c r="E103" s="314" t="s">
        <v>104</v>
      </c>
      <c r="F103" s="314" t="s">
        <v>149</v>
      </c>
      <c r="G103" s="314" t="s">
        <v>108</v>
      </c>
      <c r="H103" s="314" t="s">
        <v>119</v>
      </c>
      <c r="I103" s="314" t="s">
        <v>108</v>
      </c>
      <c r="J103" s="314" t="s">
        <v>109</v>
      </c>
      <c r="K103" s="314">
        <v>0</v>
      </c>
      <c r="L103" s="314">
        <v>0</v>
      </c>
      <c r="M103" s="315">
        <v>45145.9365277778</v>
      </c>
      <c r="N103" s="314" t="s">
        <v>571</v>
      </c>
      <c r="O103" s="314" t="s">
        <v>160</v>
      </c>
      <c r="P103" s="314" t="s">
        <v>208</v>
      </c>
      <c r="Q103" s="314" t="s">
        <v>123</v>
      </c>
      <c r="R103" s="315">
        <v>45145.9365162037</v>
      </c>
      <c r="S103" s="314" t="s">
        <v>571</v>
      </c>
      <c r="T103" s="314" t="s">
        <v>495</v>
      </c>
      <c r="U103" s="314" t="s">
        <v>495</v>
      </c>
      <c r="V103" s="314" t="s">
        <v>114</v>
      </c>
      <c r="W103" s="314"/>
      <c r="X103" s="314" t="str">
        <f>VLOOKUP(D103,代理总表!A:D,3,0)</f>
        <v>martin</v>
      </c>
      <c r="Y103" t="str">
        <f>VLOOKUP(D:D,代理总表!A:D,4,FALSE)</f>
        <v>SEO</v>
      </c>
      <c r="Z103">
        <f t="shared" si="3"/>
        <v>0</v>
      </c>
      <c r="AA103">
        <f t="shared" si="4"/>
        <v>22</v>
      </c>
      <c r="AB103">
        <f t="shared" si="5"/>
        <v>1</v>
      </c>
    </row>
    <row r="104" spans="1:28">
      <c r="A104" s="314" t="s">
        <v>572</v>
      </c>
      <c r="B104" s="314" t="s">
        <v>573</v>
      </c>
      <c r="C104" s="314">
        <v>938706604</v>
      </c>
      <c r="D104" s="314" t="s">
        <v>116</v>
      </c>
      <c r="E104" s="314" t="s">
        <v>117</v>
      </c>
      <c r="F104" s="314" t="s">
        <v>118</v>
      </c>
      <c r="G104" s="314" t="s">
        <v>108</v>
      </c>
      <c r="H104" s="314" t="s">
        <v>119</v>
      </c>
      <c r="I104" s="314" t="s">
        <v>108</v>
      </c>
      <c r="J104" s="314" t="s">
        <v>120</v>
      </c>
      <c r="K104" s="314">
        <v>0</v>
      </c>
      <c r="L104" s="314">
        <v>0</v>
      </c>
      <c r="M104" s="315">
        <v>45145.9364583333</v>
      </c>
      <c r="N104" s="314" t="s">
        <v>574</v>
      </c>
      <c r="O104" s="314" t="s">
        <v>127</v>
      </c>
      <c r="P104" s="314" t="s">
        <v>112</v>
      </c>
      <c r="Q104" s="314" t="s">
        <v>123</v>
      </c>
      <c r="R104" s="315">
        <v>45146.3626273148</v>
      </c>
      <c r="S104" s="314" t="s">
        <v>574</v>
      </c>
      <c r="T104" s="314" t="s">
        <v>131</v>
      </c>
      <c r="U104" s="314" t="s">
        <v>131</v>
      </c>
      <c r="V104" s="314" t="s">
        <v>114</v>
      </c>
      <c r="W104" s="314"/>
      <c r="X104" s="314" t="str">
        <f>VLOOKUP(D104,代理总表!A:D,3,0)</f>
        <v>外部代理总线</v>
      </c>
      <c r="Y104" t="str">
        <f>VLOOKUP(D:D,代理总表!A:D,4,FALSE)</f>
        <v>外部代理总线zh0808</v>
      </c>
      <c r="Z104">
        <f t="shared" si="3"/>
        <v>0</v>
      </c>
      <c r="AA104">
        <f t="shared" si="4"/>
        <v>22</v>
      </c>
      <c r="AB104">
        <f t="shared" si="5"/>
        <v>1</v>
      </c>
    </row>
    <row r="105" spans="1:28">
      <c r="A105" s="314" t="s">
        <v>575</v>
      </c>
      <c r="B105" s="314"/>
      <c r="C105" s="314">
        <v>9603775182</v>
      </c>
      <c r="D105" s="314" t="s">
        <v>103</v>
      </c>
      <c r="E105" s="314" t="s">
        <v>104</v>
      </c>
      <c r="F105" s="314" t="s">
        <v>118</v>
      </c>
      <c r="G105" s="314" t="s">
        <v>108</v>
      </c>
      <c r="H105" s="314" t="s">
        <v>119</v>
      </c>
      <c r="I105" s="314" t="s">
        <v>108</v>
      </c>
      <c r="J105" s="314" t="s">
        <v>109</v>
      </c>
      <c r="K105" s="314">
        <v>0</v>
      </c>
      <c r="L105" s="314">
        <v>0</v>
      </c>
      <c r="M105" s="315">
        <v>45145.9362731481</v>
      </c>
      <c r="N105" s="314" t="s">
        <v>576</v>
      </c>
      <c r="O105" s="314" t="s">
        <v>577</v>
      </c>
      <c r="P105" s="314" t="s">
        <v>161</v>
      </c>
      <c r="Q105" s="314" t="s">
        <v>123</v>
      </c>
      <c r="R105" s="315">
        <v>45145.9367592593</v>
      </c>
      <c r="S105" s="314" t="s">
        <v>576</v>
      </c>
      <c r="T105" s="314" t="s">
        <v>256</v>
      </c>
      <c r="U105" s="314" t="s">
        <v>256</v>
      </c>
      <c r="V105" s="314" t="s">
        <v>114</v>
      </c>
      <c r="W105" s="314"/>
      <c r="X105" s="314" t="str">
        <f>VLOOKUP(D105,代理总表!A:D,3,0)</f>
        <v>官网</v>
      </c>
      <c r="Y105" t="str">
        <f>VLOOKUP(D:D,代理总表!A:D,4,FALSE)</f>
        <v>官网</v>
      </c>
      <c r="Z105">
        <f t="shared" si="3"/>
        <v>0</v>
      </c>
      <c r="AA105">
        <f t="shared" si="4"/>
        <v>22</v>
      </c>
      <c r="AB105">
        <f t="shared" si="5"/>
        <v>1</v>
      </c>
    </row>
    <row r="106" spans="1:28">
      <c r="A106" s="314" t="s">
        <v>578</v>
      </c>
      <c r="B106" s="314"/>
      <c r="C106" s="314"/>
      <c r="D106" s="314" t="s">
        <v>116</v>
      </c>
      <c r="E106" s="314" t="s">
        <v>117</v>
      </c>
      <c r="F106" s="314" t="s">
        <v>118</v>
      </c>
      <c r="G106" s="314" t="s">
        <v>108</v>
      </c>
      <c r="H106" s="314" t="s">
        <v>119</v>
      </c>
      <c r="I106" s="314" t="s">
        <v>108</v>
      </c>
      <c r="J106" s="314" t="s">
        <v>120</v>
      </c>
      <c r="K106" s="314">
        <v>0</v>
      </c>
      <c r="L106" s="314">
        <v>0</v>
      </c>
      <c r="M106" s="315">
        <v>45145.9352893519</v>
      </c>
      <c r="N106" s="314" t="s">
        <v>579</v>
      </c>
      <c r="O106" s="314" t="s">
        <v>122</v>
      </c>
      <c r="P106" s="314" t="s">
        <v>112</v>
      </c>
      <c r="Q106" s="314" t="s">
        <v>123</v>
      </c>
      <c r="R106" s="315">
        <v>45145.9352893519</v>
      </c>
      <c r="S106" s="314" t="s">
        <v>579</v>
      </c>
      <c r="T106" s="314" t="s">
        <v>176</v>
      </c>
      <c r="U106" s="314" t="s">
        <v>176</v>
      </c>
      <c r="V106" s="314" t="s">
        <v>114</v>
      </c>
      <c r="W106" s="314"/>
      <c r="X106" s="314" t="str">
        <f>VLOOKUP(D106,代理总表!A:D,3,0)</f>
        <v>外部代理总线</v>
      </c>
      <c r="Y106" t="str">
        <f>VLOOKUP(D:D,代理总表!A:D,4,FALSE)</f>
        <v>外部代理总线zh0808</v>
      </c>
      <c r="Z106">
        <f t="shared" si="3"/>
        <v>0</v>
      </c>
      <c r="AA106">
        <f t="shared" si="4"/>
        <v>22</v>
      </c>
      <c r="AB106">
        <f t="shared" si="5"/>
        <v>1</v>
      </c>
    </row>
    <row r="107" spans="1:28">
      <c r="A107" s="314" t="s">
        <v>580</v>
      </c>
      <c r="B107" s="314"/>
      <c r="C107" s="314">
        <v>562383939</v>
      </c>
      <c r="D107" s="314" t="s">
        <v>103</v>
      </c>
      <c r="E107" s="314" t="s">
        <v>117</v>
      </c>
      <c r="F107" s="314" t="s">
        <v>118</v>
      </c>
      <c r="G107" s="314" t="s">
        <v>108</v>
      </c>
      <c r="H107" s="314" t="s">
        <v>119</v>
      </c>
      <c r="I107" s="314" t="s">
        <v>108</v>
      </c>
      <c r="J107" s="314" t="s">
        <v>120</v>
      </c>
      <c r="K107" s="314">
        <v>0</v>
      </c>
      <c r="L107" s="314">
        <v>0</v>
      </c>
      <c r="M107" s="315">
        <v>45145.9343171296</v>
      </c>
      <c r="N107" s="314" t="s">
        <v>581</v>
      </c>
      <c r="O107" s="314" t="s">
        <v>582</v>
      </c>
      <c r="P107" s="314" t="s">
        <v>208</v>
      </c>
      <c r="Q107" s="314" t="s">
        <v>123</v>
      </c>
      <c r="R107" s="315">
        <v>45145.9343055556</v>
      </c>
      <c r="S107" s="314" t="s">
        <v>581</v>
      </c>
      <c r="T107" s="314" t="s">
        <v>165</v>
      </c>
      <c r="U107" s="314" t="s">
        <v>165</v>
      </c>
      <c r="V107" s="314" t="s">
        <v>114</v>
      </c>
      <c r="W107" s="314"/>
      <c r="X107" s="314" t="str">
        <f>VLOOKUP(D107,代理总表!A:D,3,0)</f>
        <v>官网</v>
      </c>
      <c r="Y107" t="str">
        <f>VLOOKUP(D:D,代理总表!A:D,4,FALSE)</f>
        <v>官网</v>
      </c>
      <c r="Z107">
        <f t="shared" si="3"/>
        <v>0</v>
      </c>
      <c r="AA107">
        <f t="shared" si="4"/>
        <v>22</v>
      </c>
      <c r="AB107">
        <f t="shared" si="5"/>
        <v>1</v>
      </c>
    </row>
    <row r="108" spans="1:28">
      <c r="A108" s="314" t="s">
        <v>583</v>
      </c>
      <c r="B108" s="314"/>
      <c r="C108" s="314">
        <v>15871380655</v>
      </c>
      <c r="D108" s="314" t="s">
        <v>148</v>
      </c>
      <c r="E108" s="314" t="s">
        <v>104</v>
      </c>
      <c r="F108" s="314" t="s">
        <v>149</v>
      </c>
      <c r="G108" s="314" t="s">
        <v>108</v>
      </c>
      <c r="H108" s="314" t="s">
        <v>119</v>
      </c>
      <c r="I108" s="314" t="s">
        <v>108</v>
      </c>
      <c r="J108" s="314" t="s">
        <v>109</v>
      </c>
      <c r="K108" s="314">
        <v>0</v>
      </c>
      <c r="L108" s="314">
        <v>0</v>
      </c>
      <c r="M108" s="315">
        <v>45145.933900463</v>
      </c>
      <c r="N108" s="314" t="s">
        <v>584</v>
      </c>
      <c r="O108" s="314" t="s">
        <v>585</v>
      </c>
      <c r="P108" s="314" t="s">
        <v>112</v>
      </c>
      <c r="Q108" s="314" t="s">
        <v>123</v>
      </c>
      <c r="R108" s="315">
        <v>45145.9384143519</v>
      </c>
      <c r="S108" s="314" t="s">
        <v>584</v>
      </c>
      <c r="T108" s="314" t="s">
        <v>307</v>
      </c>
      <c r="U108" s="314" t="s">
        <v>307</v>
      </c>
      <c r="V108" s="314" t="s">
        <v>114</v>
      </c>
      <c r="W108" s="314"/>
      <c r="X108" s="314" t="str">
        <f>VLOOKUP(D108,代理总表!A:D,3,0)</f>
        <v>martin</v>
      </c>
      <c r="Y108" t="str">
        <f>VLOOKUP(D:D,代理总表!A:D,4,FALSE)</f>
        <v>SEO</v>
      </c>
      <c r="Z108">
        <f t="shared" si="3"/>
        <v>0</v>
      </c>
      <c r="AA108">
        <f t="shared" si="4"/>
        <v>22</v>
      </c>
      <c r="AB108">
        <f t="shared" si="5"/>
        <v>1</v>
      </c>
    </row>
    <row r="109" spans="1:28">
      <c r="A109" s="314" t="s">
        <v>586</v>
      </c>
      <c r="B109" s="314"/>
      <c r="C109" s="314">
        <v>13266529791</v>
      </c>
      <c r="D109" s="314" t="s">
        <v>587</v>
      </c>
      <c r="E109" s="314" t="s">
        <v>104</v>
      </c>
      <c r="F109" s="314" t="s">
        <v>118</v>
      </c>
      <c r="G109" s="314" t="s">
        <v>108</v>
      </c>
      <c r="H109" s="314" t="s">
        <v>119</v>
      </c>
      <c r="I109" s="314" t="s">
        <v>108</v>
      </c>
      <c r="J109" s="314" t="s">
        <v>109</v>
      </c>
      <c r="K109" s="314">
        <v>0</v>
      </c>
      <c r="L109" s="314">
        <v>0</v>
      </c>
      <c r="M109" s="315">
        <v>45145.933900463</v>
      </c>
      <c r="N109" s="314" t="s">
        <v>588</v>
      </c>
      <c r="O109" s="314" t="s">
        <v>589</v>
      </c>
      <c r="P109" s="314" t="s">
        <v>112</v>
      </c>
      <c r="Q109" s="314" t="s">
        <v>123</v>
      </c>
      <c r="R109" s="315">
        <v>45146.0950925926</v>
      </c>
      <c r="S109" s="314" t="s">
        <v>588</v>
      </c>
      <c r="T109" s="314" t="s">
        <v>256</v>
      </c>
      <c r="U109" s="314" t="s">
        <v>256</v>
      </c>
      <c r="V109" s="314" t="s">
        <v>114</v>
      </c>
      <c r="W109" s="314"/>
      <c r="X109" s="314" t="str">
        <f>VLOOKUP(D109,代理总表!A:D,3,0)</f>
        <v>飞哥雨燕直播</v>
      </c>
      <c r="Y109" t="str">
        <f>VLOOKUP(D:D,代理总表!A:D,4,FALSE)</f>
        <v>飞哥雨燕直播ffmk88</v>
      </c>
      <c r="Z109">
        <f t="shared" si="3"/>
        <v>0</v>
      </c>
      <c r="AA109">
        <f t="shared" si="4"/>
        <v>22</v>
      </c>
      <c r="AB109">
        <f t="shared" si="5"/>
        <v>1</v>
      </c>
    </row>
    <row r="110" spans="1:28">
      <c r="A110" s="314" t="s">
        <v>590</v>
      </c>
      <c r="B110" s="314" t="s">
        <v>591</v>
      </c>
      <c r="C110" s="314">
        <v>868130321</v>
      </c>
      <c r="D110" s="314" t="s">
        <v>224</v>
      </c>
      <c r="E110" s="314" t="s">
        <v>117</v>
      </c>
      <c r="F110" s="314" t="s">
        <v>118</v>
      </c>
      <c r="G110" s="314" t="s">
        <v>108</v>
      </c>
      <c r="H110" s="314" t="s">
        <v>119</v>
      </c>
      <c r="I110" s="314" t="s">
        <v>108</v>
      </c>
      <c r="J110" s="314" t="s">
        <v>120</v>
      </c>
      <c r="K110" s="314">
        <v>0</v>
      </c>
      <c r="L110" s="314">
        <v>0</v>
      </c>
      <c r="M110" s="315">
        <v>45145.933125</v>
      </c>
      <c r="N110" s="314" t="s">
        <v>592</v>
      </c>
      <c r="O110" s="314" t="s">
        <v>462</v>
      </c>
      <c r="P110" s="314" t="s">
        <v>112</v>
      </c>
      <c r="Q110" s="314" t="s">
        <v>123</v>
      </c>
      <c r="R110" s="315">
        <v>45145.933125</v>
      </c>
      <c r="S110" s="314" t="s">
        <v>592</v>
      </c>
      <c r="T110" s="314" t="s">
        <v>140</v>
      </c>
      <c r="U110" s="314" t="s">
        <v>140</v>
      </c>
      <c r="V110" s="314" t="s">
        <v>114</v>
      </c>
      <c r="W110" s="314"/>
      <c r="X110" s="314" t="str">
        <f>VLOOKUP(D110,代理总表!A:D,3,0)</f>
        <v>雨燕直播-越</v>
      </c>
      <c r="Y110" t="str">
        <f>VLOOKUP(D:D,代理总表!A:D,4,FALSE)</f>
        <v>雨燕直播-越ffvn66</v>
      </c>
      <c r="Z110">
        <f t="shared" si="3"/>
        <v>0</v>
      </c>
      <c r="AA110">
        <f t="shared" si="4"/>
        <v>22</v>
      </c>
      <c r="AB110">
        <f t="shared" si="5"/>
        <v>1</v>
      </c>
    </row>
    <row r="111" spans="1:28">
      <c r="A111" s="314" t="s">
        <v>593</v>
      </c>
      <c r="B111" s="314"/>
      <c r="C111" s="314">
        <v>18254415410</v>
      </c>
      <c r="D111" s="314" t="s">
        <v>594</v>
      </c>
      <c r="E111" s="314" t="s">
        <v>104</v>
      </c>
      <c r="F111" s="314" t="s">
        <v>149</v>
      </c>
      <c r="G111" s="314" t="s">
        <v>108</v>
      </c>
      <c r="H111" s="314" t="s">
        <v>119</v>
      </c>
      <c r="I111" s="314" t="s">
        <v>108</v>
      </c>
      <c r="J111" s="314" t="s">
        <v>109</v>
      </c>
      <c r="K111" s="314">
        <v>0</v>
      </c>
      <c r="L111" s="314">
        <v>0</v>
      </c>
      <c r="M111" s="315">
        <v>45145.9331134259</v>
      </c>
      <c r="N111" s="314" t="s">
        <v>595</v>
      </c>
      <c r="O111" s="314" t="s">
        <v>596</v>
      </c>
      <c r="P111" s="314" t="s">
        <v>112</v>
      </c>
      <c r="Q111" s="314" t="s">
        <v>123</v>
      </c>
      <c r="R111" s="315">
        <v>45145.9424768519</v>
      </c>
      <c r="S111" s="314" t="s">
        <v>597</v>
      </c>
      <c r="T111" s="314" t="s">
        <v>598</v>
      </c>
      <c r="U111" s="314" t="s">
        <v>599</v>
      </c>
      <c r="V111" s="314" t="s">
        <v>114</v>
      </c>
      <c r="W111" s="314"/>
      <c r="X111" s="314" t="str">
        <f>VLOOKUP(D111,代理总表!A:D,3,0)</f>
        <v>zed</v>
      </c>
      <c r="Y111" t="str">
        <f>VLOOKUP(D:D,代理总表!A:D,4,FALSE)</f>
        <v>SEO</v>
      </c>
      <c r="Z111">
        <f t="shared" si="3"/>
        <v>0</v>
      </c>
      <c r="AA111">
        <f t="shared" si="4"/>
        <v>22</v>
      </c>
      <c r="AB111">
        <f t="shared" si="5"/>
        <v>1</v>
      </c>
    </row>
    <row r="112" spans="1:28">
      <c r="A112" s="314" t="s">
        <v>600</v>
      </c>
      <c r="B112" s="314" t="s">
        <v>601</v>
      </c>
      <c r="C112" s="314">
        <v>973210319</v>
      </c>
      <c r="D112" s="314" t="s">
        <v>550</v>
      </c>
      <c r="E112" s="314" t="s">
        <v>117</v>
      </c>
      <c r="F112" s="314" t="s">
        <v>144</v>
      </c>
      <c r="G112" s="314" t="s">
        <v>106</v>
      </c>
      <c r="H112" s="314" t="s">
        <v>107</v>
      </c>
      <c r="I112" s="314" t="s">
        <v>108</v>
      </c>
      <c r="J112" s="314" t="s">
        <v>120</v>
      </c>
      <c r="K112" s="314">
        <v>500000</v>
      </c>
      <c r="L112" s="314">
        <v>0</v>
      </c>
      <c r="M112" s="315">
        <v>45145.9321064815</v>
      </c>
      <c r="N112" s="314" t="s">
        <v>602</v>
      </c>
      <c r="O112" s="314" t="s">
        <v>603</v>
      </c>
      <c r="P112" s="314" t="s">
        <v>112</v>
      </c>
      <c r="Q112" s="315">
        <v>45145.9365277778</v>
      </c>
      <c r="R112" s="315">
        <v>45146.2833101852</v>
      </c>
      <c r="S112" s="314" t="s">
        <v>604</v>
      </c>
      <c r="T112" s="314" t="s">
        <v>134</v>
      </c>
      <c r="U112" s="314" t="s">
        <v>177</v>
      </c>
      <c r="V112" s="314" t="s">
        <v>114</v>
      </c>
      <c r="W112" s="314"/>
      <c r="X112" s="314" t="str">
        <f>VLOOKUP(D112,代理总表!A:D,3,0)</f>
        <v>SOCO越南直播</v>
      </c>
      <c r="Y112" t="str">
        <f>VLOOKUP(D:D,代理总表!A:D,4,FALSE)</f>
        <v>SOCO越南直播ffvn66</v>
      </c>
      <c r="Z112">
        <f t="shared" si="3"/>
        <v>1</v>
      </c>
      <c r="AA112">
        <f t="shared" si="4"/>
        <v>22</v>
      </c>
      <c r="AB112">
        <f t="shared" si="5"/>
        <v>1</v>
      </c>
    </row>
    <row r="113" spans="1:28">
      <c r="A113" s="314" t="s">
        <v>605</v>
      </c>
      <c r="B113" s="314"/>
      <c r="C113" s="314">
        <v>387907787</v>
      </c>
      <c r="D113" s="314" t="s">
        <v>143</v>
      </c>
      <c r="E113" s="314" t="s">
        <v>117</v>
      </c>
      <c r="F113" s="314" t="s">
        <v>118</v>
      </c>
      <c r="G113" s="314" t="s">
        <v>108</v>
      </c>
      <c r="H113" s="314" t="s">
        <v>119</v>
      </c>
      <c r="I113" s="314" t="s">
        <v>108</v>
      </c>
      <c r="J113" s="314" t="s">
        <v>120</v>
      </c>
      <c r="K113" s="314">
        <v>0</v>
      </c>
      <c r="L113" s="314">
        <v>0</v>
      </c>
      <c r="M113" s="315">
        <v>45145.931875</v>
      </c>
      <c r="N113" s="314" t="s">
        <v>606</v>
      </c>
      <c r="O113" s="314" t="s">
        <v>407</v>
      </c>
      <c r="P113" s="314" t="s">
        <v>112</v>
      </c>
      <c r="Q113" s="314" t="s">
        <v>123</v>
      </c>
      <c r="R113" s="315">
        <v>45145.9609027778</v>
      </c>
      <c r="S113" s="314" t="s">
        <v>606</v>
      </c>
      <c r="T113" s="314" t="s">
        <v>216</v>
      </c>
      <c r="U113" s="314" t="s">
        <v>216</v>
      </c>
      <c r="V113" s="314" t="s">
        <v>114</v>
      </c>
      <c r="W113" s="314"/>
      <c r="X113" s="314" t="str">
        <f>VLOOKUP(D113,代理总表!A:D,3,0)</f>
        <v>雨燕直播-越</v>
      </c>
      <c r="Y113" t="str">
        <f>VLOOKUP(D:D,代理总表!A:D,4,FALSE)</f>
        <v>雨燕直播-越ffvn66</v>
      </c>
      <c r="Z113">
        <f t="shared" si="3"/>
        <v>0</v>
      </c>
      <c r="AA113">
        <f t="shared" si="4"/>
        <v>22</v>
      </c>
      <c r="AB113">
        <f t="shared" si="5"/>
        <v>1</v>
      </c>
    </row>
    <row r="114" spans="1:28">
      <c r="A114" s="314" t="s">
        <v>607</v>
      </c>
      <c r="B114" s="314" t="s">
        <v>608</v>
      </c>
      <c r="C114" s="314">
        <v>15913333535</v>
      </c>
      <c r="D114" s="314" t="s">
        <v>609</v>
      </c>
      <c r="E114" s="314" t="s">
        <v>104</v>
      </c>
      <c r="F114" s="314" t="s">
        <v>118</v>
      </c>
      <c r="G114" s="314" t="s">
        <v>108</v>
      </c>
      <c r="H114" s="314" t="s">
        <v>119</v>
      </c>
      <c r="I114" s="314" t="s">
        <v>108</v>
      </c>
      <c r="J114" s="314" t="s">
        <v>109</v>
      </c>
      <c r="K114" s="314">
        <v>0</v>
      </c>
      <c r="L114" s="314">
        <v>0</v>
      </c>
      <c r="M114" s="315">
        <v>45145.9313657407</v>
      </c>
      <c r="N114" s="314" t="s">
        <v>610</v>
      </c>
      <c r="O114" s="314" t="s">
        <v>611</v>
      </c>
      <c r="P114" s="314" t="s">
        <v>112</v>
      </c>
      <c r="Q114" s="314" t="s">
        <v>123</v>
      </c>
      <c r="R114" s="315">
        <v>45145.9680671296</v>
      </c>
      <c r="S114" s="314" t="s">
        <v>610</v>
      </c>
      <c r="T114" s="314" t="s">
        <v>495</v>
      </c>
      <c r="U114" s="314" t="s">
        <v>495</v>
      </c>
      <c r="V114" s="314" t="s">
        <v>114</v>
      </c>
      <c r="W114" s="314"/>
      <c r="X114" s="314" t="str">
        <f>VLOOKUP(D114,代理总表!A:D,3,0)</f>
        <v>GT-B直播</v>
      </c>
      <c r="Y114" t="str">
        <f>VLOOKUP(D:D,代理总表!A:D,4,FALSE)</f>
        <v>B直播gt6688</v>
      </c>
      <c r="Z114">
        <f t="shared" si="3"/>
        <v>0</v>
      </c>
      <c r="AA114">
        <f t="shared" si="4"/>
        <v>22</v>
      </c>
      <c r="AB114">
        <f t="shared" si="5"/>
        <v>1</v>
      </c>
    </row>
    <row r="115" spans="1:28">
      <c r="A115" s="314" t="s">
        <v>612</v>
      </c>
      <c r="B115" s="314" t="s">
        <v>613</v>
      </c>
      <c r="C115" s="314">
        <v>968226552</v>
      </c>
      <c r="D115" s="314" t="s">
        <v>137</v>
      </c>
      <c r="E115" s="314" t="s">
        <v>117</v>
      </c>
      <c r="F115" s="314" t="s">
        <v>144</v>
      </c>
      <c r="G115" s="314" t="s">
        <v>106</v>
      </c>
      <c r="H115" s="314" t="s">
        <v>107</v>
      </c>
      <c r="I115" s="314" t="s">
        <v>108</v>
      </c>
      <c r="J115" s="314" t="s">
        <v>120</v>
      </c>
      <c r="K115" s="314">
        <v>8000000</v>
      </c>
      <c r="L115" s="314">
        <v>0</v>
      </c>
      <c r="M115" s="315">
        <v>45145.9312962963</v>
      </c>
      <c r="N115" s="314" t="s">
        <v>614</v>
      </c>
      <c r="O115" s="314" t="s">
        <v>139</v>
      </c>
      <c r="P115" s="314" t="s">
        <v>112</v>
      </c>
      <c r="Q115" s="315">
        <v>45145.9474074074</v>
      </c>
      <c r="R115" s="315">
        <v>45146.3350462963</v>
      </c>
      <c r="S115" s="314" t="s">
        <v>614</v>
      </c>
      <c r="T115" s="314" t="s">
        <v>177</v>
      </c>
      <c r="U115" s="314" t="s">
        <v>177</v>
      </c>
      <c r="V115" s="314" t="s">
        <v>114</v>
      </c>
      <c r="W115" s="314"/>
      <c r="X115" s="314" t="str">
        <f>VLOOKUP(D115,代理总表!A:D,3,0)</f>
        <v>雨燕直播-越</v>
      </c>
      <c r="Y115" t="str">
        <f>VLOOKUP(D:D,代理总表!A:D,4,FALSE)</f>
        <v>雨燕直播-越ffvn66</v>
      </c>
      <c r="Z115">
        <f t="shared" si="3"/>
        <v>1</v>
      </c>
      <c r="AA115">
        <f t="shared" si="4"/>
        <v>22</v>
      </c>
      <c r="AB115">
        <f t="shared" si="5"/>
        <v>1</v>
      </c>
    </row>
    <row r="116" spans="1:28">
      <c r="A116" s="314" t="s">
        <v>615</v>
      </c>
      <c r="B116" s="314"/>
      <c r="C116" s="314"/>
      <c r="D116" s="314" t="s">
        <v>197</v>
      </c>
      <c r="E116" s="314" t="s">
        <v>117</v>
      </c>
      <c r="F116" s="314" t="s">
        <v>118</v>
      </c>
      <c r="G116" s="314" t="s">
        <v>108</v>
      </c>
      <c r="H116" s="314" t="s">
        <v>119</v>
      </c>
      <c r="I116" s="314" t="s">
        <v>108</v>
      </c>
      <c r="J116" s="314" t="s">
        <v>120</v>
      </c>
      <c r="K116" s="314">
        <v>0</v>
      </c>
      <c r="L116" s="314">
        <v>0</v>
      </c>
      <c r="M116" s="315">
        <v>45145.9310763889</v>
      </c>
      <c r="N116" s="314" t="s">
        <v>616</v>
      </c>
      <c r="O116" s="314" t="s">
        <v>617</v>
      </c>
      <c r="P116" s="314" t="s">
        <v>339</v>
      </c>
      <c r="Q116" s="314" t="s">
        <v>123</v>
      </c>
      <c r="R116" s="315">
        <v>45145.9319097222</v>
      </c>
      <c r="S116" s="314" t="s">
        <v>616</v>
      </c>
      <c r="T116" s="314" t="s">
        <v>124</v>
      </c>
      <c r="U116" s="314" t="s">
        <v>124</v>
      </c>
      <c r="V116" s="314" t="s">
        <v>114</v>
      </c>
      <c r="W116" s="314"/>
      <c r="X116" s="314" t="str">
        <f>VLOOKUP(D116,代理总表!A:D,3,0)</f>
        <v>雨燕直播-越</v>
      </c>
      <c r="Y116" t="str">
        <f>VLOOKUP(D:D,代理总表!A:D,4,FALSE)</f>
        <v>雨燕直播-越ffvn66</v>
      </c>
      <c r="Z116">
        <f t="shared" si="3"/>
        <v>0</v>
      </c>
      <c r="AA116">
        <f t="shared" si="4"/>
        <v>22</v>
      </c>
      <c r="AB116">
        <f t="shared" si="5"/>
        <v>1</v>
      </c>
    </row>
    <row r="117" spans="1:28">
      <c r="A117" s="314" t="s">
        <v>618</v>
      </c>
      <c r="B117" s="314"/>
      <c r="C117" s="314">
        <v>18136389131</v>
      </c>
      <c r="D117" s="314" t="s">
        <v>148</v>
      </c>
      <c r="E117" s="314" t="s">
        <v>104</v>
      </c>
      <c r="F117" s="314" t="s">
        <v>149</v>
      </c>
      <c r="G117" s="314" t="s">
        <v>108</v>
      </c>
      <c r="H117" s="314" t="s">
        <v>119</v>
      </c>
      <c r="I117" s="314" t="s">
        <v>108</v>
      </c>
      <c r="J117" s="314" t="s">
        <v>109</v>
      </c>
      <c r="K117" s="314">
        <v>0</v>
      </c>
      <c r="L117" s="314">
        <v>0</v>
      </c>
      <c r="M117" s="315">
        <v>45145.9308101852</v>
      </c>
      <c r="N117" s="314" t="s">
        <v>619</v>
      </c>
      <c r="O117" s="314" t="s">
        <v>585</v>
      </c>
      <c r="P117" s="314" t="s">
        <v>112</v>
      </c>
      <c r="Q117" s="314" t="s">
        <v>123</v>
      </c>
      <c r="R117" s="315">
        <v>45145.9323726852</v>
      </c>
      <c r="S117" s="314" t="s">
        <v>619</v>
      </c>
      <c r="T117" s="314" t="s">
        <v>299</v>
      </c>
      <c r="U117" s="314" t="s">
        <v>299</v>
      </c>
      <c r="V117" s="314" t="s">
        <v>114</v>
      </c>
      <c r="W117" s="314"/>
      <c r="X117" s="314" t="str">
        <f>VLOOKUP(D117,代理总表!A:D,3,0)</f>
        <v>martin</v>
      </c>
      <c r="Y117" t="str">
        <f>VLOOKUP(D:D,代理总表!A:D,4,FALSE)</f>
        <v>SEO</v>
      </c>
      <c r="Z117">
        <f t="shared" si="3"/>
        <v>0</v>
      </c>
      <c r="AA117">
        <f t="shared" si="4"/>
        <v>22</v>
      </c>
      <c r="AB117">
        <f t="shared" si="5"/>
        <v>1</v>
      </c>
    </row>
    <row r="118" spans="1:28">
      <c r="A118" s="314" t="s">
        <v>620</v>
      </c>
      <c r="B118" s="314"/>
      <c r="C118" s="314">
        <v>13829853528</v>
      </c>
      <c r="D118" s="314" t="s">
        <v>148</v>
      </c>
      <c r="E118" s="314" t="s">
        <v>104</v>
      </c>
      <c r="F118" s="314" t="s">
        <v>149</v>
      </c>
      <c r="G118" s="314" t="s">
        <v>108</v>
      </c>
      <c r="H118" s="314" t="s">
        <v>119</v>
      </c>
      <c r="I118" s="314" t="s">
        <v>108</v>
      </c>
      <c r="J118" s="314" t="s">
        <v>109</v>
      </c>
      <c r="K118" s="314">
        <v>0</v>
      </c>
      <c r="L118" s="314">
        <v>0</v>
      </c>
      <c r="M118" s="315">
        <v>45145.9297222222</v>
      </c>
      <c r="N118" s="314" t="s">
        <v>621</v>
      </c>
      <c r="O118" s="314" t="s">
        <v>585</v>
      </c>
      <c r="P118" s="314" t="s">
        <v>112</v>
      </c>
      <c r="Q118" s="314" t="s">
        <v>123</v>
      </c>
      <c r="R118" s="315">
        <v>45145.9297222222</v>
      </c>
      <c r="S118" s="314" t="s">
        <v>621</v>
      </c>
      <c r="T118" s="314" t="s">
        <v>622</v>
      </c>
      <c r="U118" s="314" t="s">
        <v>622</v>
      </c>
      <c r="V118" s="314" t="s">
        <v>114</v>
      </c>
      <c r="W118" s="314"/>
      <c r="X118" s="314" t="str">
        <f>VLOOKUP(D118,代理总表!A:D,3,0)</f>
        <v>martin</v>
      </c>
      <c r="Y118" t="str">
        <f>VLOOKUP(D:D,代理总表!A:D,4,FALSE)</f>
        <v>SEO</v>
      </c>
      <c r="Z118">
        <f t="shared" si="3"/>
        <v>0</v>
      </c>
      <c r="AA118">
        <f t="shared" si="4"/>
        <v>22</v>
      </c>
      <c r="AB118">
        <f t="shared" si="5"/>
        <v>1</v>
      </c>
    </row>
    <row r="119" spans="1:28">
      <c r="A119" s="314" t="s">
        <v>623</v>
      </c>
      <c r="B119" s="314"/>
      <c r="C119" s="314">
        <v>15296103792</v>
      </c>
      <c r="D119" s="314" t="s">
        <v>594</v>
      </c>
      <c r="E119" s="314" t="s">
        <v>104</v>
      </c>
      <c r="F119" s="314" t="s">
        <v>149</v>
      </c>
      <c r="G119" s="314" t="s">
        <v>108</v>
      </c>
      <c r="H119" s="314" t="s">
        <v>119</v>
      </c>
      <c r="I119" s="314" t="s">
        <v>108</v>
      </c>
      <c r="J119" s="314" t="s">
        <v>109</v>
      </c>
      <c r="K119" s="314">
        <v>0</v>
      </c>
      <c r="L119" s="314">
        <v>0</v>
      </c>
      <c r="M119" s="315">
        <v>45145.9290625</v>
      </c>
      <c r="N119" s="314" t="s">
        <v>624</v>
      </c>
      <c r="O119" s="314" t="s">
        <v>625</v>
      </c>
      <c r="P119" s="314" t="s">
        <v>112</v>
      </c>
      <c r="Q119" s="314" t="s">
        <v>123</v>
      </c>
      <c r="R119" s="315">
        <v>45145.9290625</v>
      </c>
      <c r="S119" s="314" t="s">
        <v>624</v>
      </c>
      <c r="T119" s="314" t="s">
        <v>347</v>
      </c>
      <c r="U119" s="314" t="s">
        <v>347</v>
      </c>
      <c r="V119" s="314" t="s">
        <v>114</v>
      </c>
      <c r="W119" s="314"/>
      <c r="X119" s="314" t="str">
        <f>VLOOKUP(D119,代理总表!A:D,3,0)</f>
        <v>zed</v>
      </c>
      <c r="Y119" t="str">
        <f>VLOOKUP(D:D,代理总表!A:D,4,FALSE)</f>
        <v>SEO</v>
      </c>
      <c r="Z119">
        <f t="shared" si="3"/>
        <v>0</v>
      </c>
      <c r="AA119">
        <f t="shared" si="4"/>
        <v>22</v>
      </c>
      <c r="AB119">
        <f t="shared" si="5"/>
        <v>1</v>
      </c>
    </row>
    <row r="120" spans="1:28">
      <c r="A120" s="314" t="s">
        <v>626</v>
      </c>
      <c r="B120" s="314"/>
      <c r="C120" s="314">
        <v>13937153810</v>
      </c>
      <c r="D120" s="314" t="s">
        <v>235</v>
      </c>
      <c r="E120" s="314" t="s">
        <v>104</v>
      </c>
      <c r="F120" s="314" t="s">
        <v>149</v>
      </c>
      <c r="G120" s="314" t="s">
        <v>108</v>
      </c>
      <c r="H120" s="314" t="s">
        <v>119</v>
      </c>
      <c r="I120" s="314" t="s">
        <v>108</v>
      </c>
      <c r="J120" s="314" t="s">
        <v>109</v>
      </c>
      <c r="K120" s="314">
        <v>0</v>
      </c>
      <c r="L120" s="314">
        <v>0</v>
      </c>
      <c r="M120" s="315">
        <v>45145.9290162037</v>
      </c>
      <c r="N120" s="314" t="s">
        <v>627</v>
      </c>
      <c r="O120" s="314" t="s">
        <v>628</v>
      </c>
      <c r="P120" s="314" t="s">
        <v>112</v>
      </c>
      <c r="Q120" s="314" t="s">
        <v>123</v>
      </c>
      <c r="R120" s="315">
        <v>45145.9296759259</v>
      </c>
      <c r="S120" s="314" t="s">
        <v>627</v>
      </c>
      <c r="T120" s="314" t="s">
        <v>629</v>
      </c>
      <c r="U120" s="314" t="s">
        <v>629</v>
      </c>
      <c r="V120" s="314" t="s">
        <v>114</v>
      </c>
      <c r="W120" s="314"/>
      <c r="X120" s="314" t="str">
        <f>VLOOKUP(D120,代理总表!A:D,3,0)</f>
        <v>aber</v>
      </c>
      <c r="Y120" t="str">
        <f>VLOOKUP(D:D,代理总表!A:D,4,FALSE)</f>
        <v>SEO</v>
      </c>
      <c r="Z120">
        <f t="shared" si="3"/>
        <v>0</v>
      </c>
      <c r="AA120">
        <f t="shared" si="4"/>
        <v>22</v>
      </c>
      <c r="AB120">
        <f t="shared" si="5"/>
        <v>1</v>
      </c>
    </row>
    <row r="121" spans="1:28">
      <c r="A121" s="314" t="s">
        <v>630</v>
      </c>
      <c r="B121" s="314"/>
      <c r="C121" s="314">
        <v>15007515914</v>
      </c>
      <c r="D121" s="314" t="s">
        <v>370</v>
      </c>
      <c r="E121" s="314" t="s">
        <v>104</v>
      </c>
      <c r="F121" s="314" t="s">
        <v>118</v>
      </c>
      <c r="G121" s="314" t="s">
        <v>108</v>
      </c>
      <c r="H121" s="314" t="s">
        <v>119</v>
      </c>
      <c r="I121" s="314" t="s">
        <v>108</v>
      </c>
      <c r="J121" s="314" t="s">
        <v>109</v>
      </c>
      <c r="K121" s="314">
        <v>0</v>
      </c>
      <c r="L121" s="314">
        <v>0</v>
      </c>
      <c r="M121" s="315">
        <v>45145.9286458333</v>
      </c>
      <c r="N121" s="314" t="s">
        <v>631</v>
      </c>
      <c r="O121" s="314" t="s">
        <v>372</v>
      </c>
      <c r="P121" s="314" t="s">
        <v>112</v>
      </c>
      <c r="Q121" s="314" t="s">
        <v>123</v>
      </c>
      <c r="R121" s="315">
        <v>45145.9849421296</v>
      </c>
      <c r="S121" s="314" t="s">
        <v>631</v>
      </c>
      <c r="T121" s="314" t="s">
        <v>632</v>
      </c>
      <c r="U121" s="314" t="s">
        <v>632</v>
      </c>
      <c r="V121" s="314" t="s">
        <v>114</v>
      </c>
      <c r="W121" s="314"/>
      <c r="X121" s="314" t="str">
        <f>VLOOKUP(D121,代理总表!A:D,3,0)</f>
        <v>GT-骨头</v>
      </c>
      <c r="Y121" t="str">
        <f>VLOOKUP(D:D,代理总表!A:D,4,FALSE)</f>
        <v>GT-骨头gt6677</v>
      </c>
      <c r="Z121">
        <f t="shared" si="3"/>
        <v>0</v>
      </c>
      <c r="AA121">
        <f t="shared" si="4"/>
        <v>22</v>
      </c>
      <c r="AB121">
        <f t="shared" si="5"/>
        <v>1</v>
      </c>
    </row>
    <row r="122" spans="1:28">
      <c r="A122" s="314" t="s">
        <v>633</v>
      </c>
      <c r="B122" s="314" t="s">
        <v>634</v>
      </c>
      <c r="C122" s="314">
        <v>902781069</v>
      </c>
      <c r="D122" s="314" t="s">
        <v>635</v>
      </c>
      <c r="E122" s="314" t="s">
        <v>117</v>
      </c>
      <c r="F122" s="314" t="s">
        <v>144</v>
      </c>
      <c r="G122" s="314" t="s">
        <v>106</v>
      </c>
      <c r="H122" s="314" t="s">
        <v>107</v>
      </c>
      <c r="I122" s="314" t="s">
        <v>108</v>
      </c>
      <c r="J122" s="314" t="s">
        <v>120</v>
      </c>
      <c r="K122" s="314">
        <v>100000</v>
      </c>
      <c r="L122" s="314">
        <v>0</v>
      </c>
      <c r="M122" s="315">
        <v>45145.928125</v>
      </c>
      <c r="N122" s="314" t="s">
        <v>636</v>
      </c>
      <c r="O122" s="314" t="s">
        <v>637</v>
      </c>
      <c r="P122" s="314" t="s">
        <v>112</v>
      </c>
      <c r="Q122" s="315">
        <v>45145.9326041667</v>
      </c>
      <c r="R122" s="315">
        <v>45146.3539814815</v>
      </c>
      <c r="S122" s="314" t="s">
        <v>638</v>
      </c>
      <c r="T122" s="314" t="s">
        <v>217</v>
      </c>
      <c r="U122" s="314" t="s">
        <v>165</v>
      </c>
      <c r="V122" s="314" t="s">
        <v>114</v>
      </c>
      <c r="W122" s="314"/>
      <c r="X122" s="314" t="str">
        <f>VLOOKUP(D122,代理总表!A:D,3,0)</f>
        <v>外部代理总线</v>
      </c>
      <c r="Y122" t="str">
        <f>VLOOKUP(D:D,代理总表!A:D,4,FALSE)</f>
        <v>外部代理总线zh0808</v>
      </c>
      <c r="Z122">
        <f t="shared" si="3"/>
        <v>1</v>
      </c>
      <c r="AA122">
        <f t="shared" si="4"/>
        <v>22</v>
      </c>
      <c r="AB122">
        <f t="shared" si="5"/>
        <v>1</v>
      </c>
    </row>
    <row r="123" spans="1:28">
      <c r="A123" s="314" t="s">
        <v>639</v>
      </c>
      <c r="B123" s="314"/>
      <c r="C123" s="314">
        <v>18417120224</v>
      </c>
      <c r="D123" s="314" t="s">
        <v>640</v>
      </c>
      <c r="E123" s="314" t="s">
        <v>104</v>
      </c>
      <c r="F123" s="314" t="s">
        <v>118</v>
      </c>
      <c r="G123" s="314" t="s">
        <v>108</v>
      </c>
      <c r="H123" s="314" t="s">
        <v>119</v>
      </c>
      <c r="I123" s="314" t="s">
        <v>108</v>
      </c>
      <c r="J123" s="314" t="s">
        <v>109</v>
      </c>
      <c r="K123" s="314">
        <v>0</v>
      </c>
      <c r="L123" s="314">
        <v>0</v>
      </c>
      <c r="M123" s="315">
        <v>45145.9263194444</v>
      </c>
      <c r="N123" s="314" t="s">
        <v>641</v>
      </c>
      <c r="O123" s="314" t="s">
        <v>642</v>
      </c>
      <c r="P123" s="314" t="s">
        <v>112</v>
      </c>
      <c r="Q123" s="314" t="s">
        <v>123</v>
      </c>
      <c r="R123" s="315">
        <v>45145.9310069444</v>
      </c>
      <c r="S123" s="314" t="s">
        <v>641</v>
      </c>
      <c r="T123" s="314" t="s">
        <v>643</v>
      </c>
      <c r="U123" s="314" t="s">
        <v>643</v>
      </c>
      <c r="V123" s="314" t="s">
        <v>114</v>
      </c>
      <c r="W123" s="314"/>
      <c r="X123" s="314" t="str">
        <f>VLOOKUP(D123,代理总表!A:D,3,0)</f>
        <v>外部代理总线</v>
      </c>
      <c r="Y123" t="str">
        <f>VLOOKUP(D:D,代理总表!A:D,4,FALSE)</f>
        <v>外部代理总线zhaoshang</v>
      </c>
      <c r="Z123">
        <f t="shared" si="3"/>
        <v>0</v>
      </c>
      <c r="AA123">
        <f t="shared" si="4"/>
        <v>22</v>
      </c>
      <c r="AB123">
        <f t="shared" si="5"/>
        <v>1</v>
      </c>
    </row>
    <row r="124" spans="1:28">
      <c r="A124" s="314" t="s">
        <v>644</v>
      </c>
      <c r="B124" s="314"/>
      <c r="C124" s="314">
        <v>989078709</v>
      </c>
      <c r="D124" s="314" t="s">
        <v>645</v>
      </c>
      <c r="E124" s="314" t="s">
        <v>117</v>
      </c>
      <c r="F124" s="314" t="s">
        <v>118</v>
      </c>
      <c r="G124" s="314" t="s">
        <v>108</v>
      </c>
      <c r="H124" s="314" t="s">
        <v>119</v>
      </c>
      <c r="I124" s="314" t="s">
        <v>108</v>
      </c>
      <c r="J124" s="314" t="s">
        <v>120</v>
      </c>
      <c r="K124" s="314">
        <v>0</v>
      </c>
      <c r="L124" s="314">
        <v>0</v>
      </c>
      <c r="M124" s="315">
        <v>45145.9262615741</v>
      </c>
      <c r="N124" s="314" t="s">
        <v>646</v>
      </c>
      <c r="O124" s="314" t="s">
        <v>647</v>
      </c>
      <c r="P124" s="314" t="s">
        <v>112</v>
      </c>
      <c r="Q124" s="314" t="s">
        <v>123</v>
      </c>
      <c r="R124" s="315">
        <v>45145.9341550926</v>
      </c>
      <c r="S124" s="314" t="s">
        <v>646</v>
      </c>
      <c r="T124" s="314" t="s">
        <v>648</v>
      </c>
      <c r="U124" s="314" t="s">
        <v>648</v>
      </c>
      <c r="V124" s="314" t="s">
        <v>114</v>
      </c>
      <c r="W124" s="314"/>
      <c r="X124" s="314" t="str">
        <f>VLOOKUP(D124,代理总表!A:D,3,0)</f>
        <v>外部代理总线</v>
      </c>
      <c r="Y124" t="str">
        <f>VLOOKUP(D:D,代理总表!A:D,4,FALSE)</f>
        <v>外部代理总线zh0808</v>
      </c>
      <c r="Z124">
        <f t="shared" si="3"/>
        <v>0</v>
      </c>
      <c r="AA124">
        <f t="shared" si="4"/>
        <v>22</v>
      </c>
      <c r="AB124">
        <f t="shared" si="5"/>
        <v>1</v>
      </c>
    </row>
    <row r="125" spans="1:28">
      <c r="A125" s="314" t="s">
        <v>649</v>
      </c>
      <c r="B125" s="314" t="s">
        <v>650</v>
      </c>
      <c r="C125" s="314">
        <v>901962069</v>
      </c>
      <c r="D125" s="314" t="s">
        <v>651</v>
      </c>
      <c r="E125" s="314" t="s">
        <v>117</v>
      </c>
      <c r="F125" s="314" t="s">
        <v>144</v>
      </c>
      <c r="G125" s="314" t="s">
        <v>106</v>
      </c>
      <c r="H125" s="314" t="s">
        <v>107</v>
      </c>
      <c r="I125" s="314" t="s">
        <v>108</v>
      </c>
      <c r="J125" s="314" t="s">
        <v>120</v>
      </c>
      <c r="K125" s="314">
        <v>80000</v>
      </c>
      <c r="L125" s="314">
        <v>100000</v>
      </c>
      <c r="M125" s="315">
        <v>45145.9255787037</v>
      </c>
      <c r="N125" s="314" t="s">
        <v>652</v>
      </c>
      <c r="O125" s="314" t="s">
        <v>653</v>
      </c>
      <c r="P125" s="314" t="s">
        <v>112</v>
      </c>
      <c r="Q125" s="315">
        <v>45146.0428009259</v>
      </c>
      <c r="R125" s="315">
        <v>45146.1210416667</v>
      </c>
      <c r="S125" s="314" t="s">
        <v>654</v>
      </c>
      <c r="T125" s="314" t="s">
        <v>655</v>
      </c>
      <c r="U125" s="314" t="s">
        <v>656</v>
      </c>
      <c r="V125" s="314" t="s">
        <v>114</v>
      </c>
      <c r="W125" s="314"/>
      <c r="X125" s="314" t="str">
        <f>VLOOKUP(D125,代理总表!A:D,3,0)</f>
        <v>雨燕直播-越</v>
      </c>
      <c r="Y125" t="str">
        <f>VLOOKUP(D:D,代理总表!A:D,4,FALSE)</f>
        <v>雨燕直播-越ffvn66</v>
      </c>
      <c r="Z125">
        <f t="shared" si="3"/>
        <v>1</v>
      </c>
      <c r="AA125">
        <f t="shared" si="4"/>
        <v>22</v>
      </c>
      <c r="AB125">
        <f t="shared" si="5"/>
        <v>1</v>
      </c>
    </row>
    <row r="126" spans="1:28">
      <c r="A126" s="314" t="s">
        <v>657</v>
      </c>
      <c r="B126" s="314"/>
      <c r="C126" s="314">
        <v>353158082</v>
      </c>
      <c r="D126" s="314" t="s">
        <v>172</v>
      </c>
      <c r="E126" s="314" t="s">
        <v>117</v>
      </c>
      <c r="F126" s="314" t="s">
        <v>118</v>
      </c>
      <c r="G126" s="314" t="s">
        <v>108</v>
      </c>
      <c r="H126" s="314" t="s">
        <v>119</v>
      </c>
      <c r="I126" s="314" t="s">
        <v>108</v>
      </c>
      <c r="J126" s="314" t="s">
        <v>120</v>
      </c>
      <c r="K126" s="314">
        <v>0</v>
      </c>
      <c r="L126" s="314">
        <v>0</v>
      </c>
      <c r="M126" s="315">
        <v>45145.9253009259</v>
      </c>
      <c r="N126" s="314" t="s">
        <v>658</v>
      </c>
      <c r="O126" s="314" t="s">
        <v>193</v>
      </c>
      <c r="P126" s="314" t="s">
        <v>112</v>
      </c>
      <c r="Q126" s="314" t="s">
        <v>123</v>
      </c>
      <c r="R126" s="315">
        <v>45145.9966666667</v>
      </c>
      <c r="S126" s="314" t="s">
        <v>658</v>
      </c>
      <c r="T126" s="314" t="s">
        <v>124</v>
      </c>
      <c r="U126" s="314" t="s">
        <v>124</v>
      </c>
      <c r="V126" s="314" t="s">
        <v>114</v>
      </c>
      <c r="W126" s="314"/>
      <c r="X126" s="314" t="str">
        <f>VLOOKUP(D126,代理总表!A:D,3,0)</f>
        <v>雨燕直播-越</v>
      </c>
      <c r="Y126" t="str">
        <f>VLOOKUP(D:D,代理总表!A:D,4,FALSE)</f>
        <v>雨燕直播-越ffvn66</v>
      </c>
      <c r="Z126">
        <f t="shared" si="3"/>
        <v>0</v>
      </c>
      <c r="AA126">
        <f t="shared" si="4"/>
        <v>22</v>
      </c>
      <c r="AB126">
        <f t="shared" si="5"/>
        <v>1</v>
      </c>
    </row>
    <row r="127" spans="1:28">
      <c r="A127" s="314" t="s">
        <v>659</v>
      </c>
      <c r="B127" s="314"/>
      <c r="C127" s="314"/>
      <c r="D127" s="314" t="s">
        <v>103</v>
      </c>
      <c r="E127" s="314" t="s">
        <v>104</v>
      </c>
      <c r="F127" s="314" t="s">
        <v>118</v>
      </c>
      <c r="G127" s="314" t="s">
        <v>108</v>
      </c>
      <c r="H127" s="314" t="s">
        <v>119</v>
      </c>
      <c r="I127" s="314" t="s">
        <v>108</v>
      </c>
      <c r="J127" s="314" t="s">
        <v>109</v>
      </c>
      <c r="K127" s="314">
        <v>0</v>
      </c>
      <c r="L127" s="314">
        <v>0</v>
      </c>
      <c r="M127" s="315">
        <v>45145.9250694444</v>
      </c>
      <c r="N127" s="314" t="s">
        <v>660</v>
      </c>
      <c r="O127" s="314" t="s">
        <v>661</v>
      </c>
      <c r="P127" s="314" t="s">
        <v>339</v>
      </c>
      <c r="Q127" s="314" t="s">
        <v>123</v>
      </c>
      <c r="R127" s="315">
        <v>45145.9947800926</v>
      </c>
      <c r="S127" s="314" t="s">
        <v>660</v>
      </c>
      <c r="T127" s="314" t="s">
        <v>662</v>
      </c>
      <c r="U127" s="314" t="s">
        <v>662</v>
      </c>
      <c r="V127" s="314" t="s">
        <v>114</v>
      </c>
      <c r="W127" s="314"/>
      <c r="X127" s="314" t="str">
        <f>VLOOKUP(D127,代理总表!A:D,3,0)</f>
        <v>官网</v>
      </c>
      <c r="Y127" t="str">
        <f>VLOOKUP(D:D,代理总表!A:D,4,FALSE)</f>
        <v>官网</v>
      </c>
      <c r="Z127">
        <f t="shared" si="3"/>
        <v>0</v>
      </c>
      <c r="AA127">
        <f t="shared" si="4"/>
        <v>22</v>
      </c>
      <c r="AB127">
        <f t="shared" si="5"/>
        <v>1</v>
      </c>
    </row>
    <row r="128" spans="1:28">
      <c r="A128" s="314" t="s">
        <v>663</v>
      </c>
      <c r="B128" s="314" t="s">
        <v>664</v>
      </c>
      <c r="C128" s="314">
        <v>977393348</v>
      </c>
      <c r="D128" s="314" t="s">
        <v>116</v>
      </c>
      <c r="E128" s="314" t="s">
        <v>117</v>
      </c>
      <c r="F128" s="314" t="s">
        <v>144</v>
      </c>
      <c r="G128" s="314" t="s">
        <v>106</v>
      </c>
      <c r="H128" s="314" t="s">
        <v>107</v>
      </c>
      <c r="I128" s="314" t="s">
        <v>108</v>
      </c>
      <c r="J128" s="314" t="s">
        <v>120</v>
      </c>
      <c r="K128" s="314">
        <v>650000</v>
      </c>
      <c r="L128" s="314">
        <v>3000000</v>
      </c>
      <c r="M128" s="315">
        <v>45145.9248842593</v>
      </c>
      <c r="N128" s="314" t="s">
        <v>665</v>
      </c>
      <c r="O128" s="314" t="s">
        <v>122</v>
      </c>
      <c r="P128" s="314" t="s">
        <v>112</v>
      </c>
      <c r="Q128" s="315">
        <v>45145.973287037</v>
      </c>
      <c r="R128" s="315">
        <v>45146.0611805556</v>
      </c>
      <c r="S128" s="314" t="s">
        <v>666</v>
      </c>
      <c r="T128" s="314" t="s">
        <v>217</v>
      </c>
      <c r="U128" s="314" t="s">
        <v>667</v>
      </c>
      <c r="V128" s="314" t="s">
        <v>114</v>
      </c>
      <c r="W128" s="314"/>
      <c r="X128" s="314" t="str">
        <f>VLOOKUP(D128,代理总表!A:D,3,0)</f>
        <v>外部代理总线</v>
      </c>
      <c r="Y128" t="str">
        <f>VLOOKUP(D:D,代理总表!A:D,4,FALSE)</f>
        <v>外部代理总线zh0808</v>
      </c>
      <c r="Z128">
        <f t="shared" si="3"/>
        <v>1</v>
      </c>
      <c r="AA128">
        <f t="shared" si="4"/>
        <v>22</v>
      </c>
      <c r="AB128">
        <f t="shared" si="5"/>
        <v>1</v>
      </c>
    </row>
    <row r="129" spans="1:28">
      <c r="A129" s="314" t="s">
        <v>668</v>
      </c>
      <c r="B129" s="314"/>
      <c r="C129" s="314">
        <v>966437417</v>
      </c>
      <c r="D129" s="314" t="s">
        <v>116</v>
      </c>
      <c r="E129" s="314" t="s">
        <v>117</v>
      </c>
      <c r="F129" s="314" t="s">
        <v>118</v>
      </c>
      <c r="G129" s="314" t="s">
        <v>108</v>
      </c>
      <c r="H129" s="314" t="s">
        <v>119</v>
      </c>
      <c r="I129" s="314" t="s">
        <v>108</v>
      </c>
      <c r="J129" s="314" t="s">
        <v>120</v>
      </c>
      <c r="K129" s="314">
        <v>0</v>
      </c>
      <c r="L129" s="314">
        <v>0</v>
      </c>
      <c r="M129" s="315">
        <v>45145.9241319444</v>
      </c>
      <c r="N129" s="314" t="s">
        <v>669</v>
      </c>
      <c r="O129" s="314" t="s">
        <v>122</v>
      </c>
      <c r="P129" s="314" t="s">
        <v>208</v>
      </c>
      <c r="Q129" s="314" t="s">
        <v>123</v>
      </c>
      <c r="R129" s="315">
        <v>45145.9241319444</v>
      </c>
      <c r="S129" s="314" t="s">
        <v>669</v>
      </c>
      <c r="T129" s="314" t="s">
        <v>216</v>
      </c>
      <c r="U129" s="314" t="s">
        <v>216</v>
      </c>
      <c r="V129" s="314" t="s">
        <v>114</v>
      </c>
      <c r="W129" s="314"/>
      <c r="X129" s="314" t="str">
        <f>VLOOKUP(D129,代理总表!A:D,3,0)</f>
        <v>外部代理总线</v>
      </c>
      <c r="Y129" t="str">
        <f>VLOOKUP(D:D,代理总表!A:D,4,FALSE)</f>
        <v>外部代理总线zh0808</v>
      </c>
      <c r="Z129">
        <f t="shared" si="3"/>
        <v>0</v>
      </c>
      <c r="AA129">
        <f t="shared" si="4"/>
        <v>22</v>
      </c>
      <c r="AB129">
        <f t="shared" si="5"/>
        <v>1</v>
      </c>
    </row>
    <row r="130" spans="1:28">
      <c r="A130" s="314" t="s">
        <v>670</v>
      </c>
      <c r="B130" s="314"/>
      <c r="C130" s="314">
        <v>18927646822</v>
      </c>
      <c r="D130" s="314" t="s">
        <v>235</v>
      </c>
      <c r="E130" s="314" t="s">
        <v>104</v>
      </c>
      <c r="F130" s="314" t="s">
        <v>149</v>
      </c>
      <c r="G130" s="314" t="s">
        <v>108</v>
      </c>
      <c r="H130" s="314" t="s">
        <v>119</v>
      </c>
      <c r="I130" s="314" t="s">
        <v>108</v>
      </c>
      <c r="J130" s="314" t="s">
        <v>109</v>
      </c>
      <c r="K130" s="314">
        <v>0</v>
      </c>
      <c r="L130" s="314">
        <v>0</v>
      </c>
      <c r="M130" s="315">
        <v>45145.9229166667</v>
      </c>
      <c r="N130" s="314" t="s">
        <v>671</v>
      </c>
      <c r="O130" s="314" t="s">
        <v>628</v>
      </c>
      <c r="P130" s="314" t="s">
        <v>112</v>
      </c>
      <c r="Q130" s="314" t="s">
        <v>123</v>
      </c>
      <c r="R130" s="315">
        <v>45145.9229050926</v>
      </c>
      <c r="S130" s="314" t="s">
        <v>671</v>
      </c>
      <c r="T130" s="314" t="s">
        <v>152</v>
      </c>
      <c r="U130" s="314" t="s">
        <v>152</v>
      </c>
      <c r="V130" s="314" t="s">
        <v>114</v>
      </c>
      <c r="W130" s="314"/>
      <c r="X130" s="314" t="str">
        <f>VLOOKUP(D130,代理总表!A:D,3,0)</f>
        <v>aber</v>
      </c>
      <c r="Y130" t="str">
        <f>VLOOKUP(D:D,代理总表!A:D,4,FALSE)</f>
        <v>SEO</v>
      </c>
      <c r="Z130">
        <f t="shared" si="3"/>
        <v>0</v>
      </c>
      <c r="AA130">
        <f t="shared" si="4"/>
        <v>22</v>
      </c>
      <c r="AB130">
        <f t="shared" si="5"/>
        <v>1</v>
      </c>
    </row>
    <row r="131" spans="1:28">
      <c r="A131" s="314" t="s">
        <v>672</v>
      </c>
      <c r="B131" s="314" t="s">
        <v>673</v>
      </c>
      <c r="C131" s="314">
        <v>939629067</v>
      </c>
      <c r="D131" s="314" t="s">
        <v>445</v>
      </c>
      <c r="E131" s="314" t="s">
        <v>117</v>
      </c>
      <c r="F131" s="314" t="s">
        <v>118</v>
      </c>
      <c r="G131" s="314" t="s">
        <v>108</v>
      </c>
      <c r="H131" s="314" t="s">
        <v>119</v>
      </c>
      <c r="I131" s="314" t="s">
        <v>108</v>
      </c>
      <c r="J131" s="314" t="s">
        <v>120</v>
      </c>
      <c r="K131" s="314">
        <v>0</v>
      </c>
      <c r="L131" s="314">
        <v>0</v>
      </c>
      <c r="M131" s="315">
        <v>45145.9228356481</v>
      </c>
      <c r="N131" s="314" t="s">
        <v>674</v>
      </c>
      <c r="O131" s="314" t="s">
        <v>446</v>
      </c>
      <c r="P131" s="314" t="s">
        <v>112</v>
      </c>
      <c r="Q131" s="314" t="s">
        <v>123</v>
      </c>
      <c r="R131" s="315">
        <v>45145.9322800926</v>
      </c>
      <c r="S131" s="314" t="s">
        <v>674</v>
      </c>
      <c r="T131" s="314" t="s">
        <v>177</v>
      </c>
      <c r="U131" s="314" t="s">
        <v>177</v>
      </c>
      <c r="V131" s="314" t="s">
        <v>114</v>
      </c>
      <c r="W131" s="314"/>
      <c r="X131" s="314" t="str">
        <f>VLOOKUP(D131,代理总表!A:D,3,0)</f>
        <v>SOCO越南直播</v>
      </c>
      <c r="Y131" t="str">
        <f>VLOOKUP(D:D,代理总表!A:D,4,FALSE)</f>
        <v>SOCO越南直播ffvn66</v>
      </c>
      <c r="Z131">
        <f t="shared" ref="Z131:Z194" si="6">IF(RIGHT(H131,1)&gt;"0",1,0)</f>
        <v>0</v>
      </c>
      <c r="AA131">
        <f t="shared" ref="AA131:AA194" si="7">HOUR(M131)</f>
        <v>22</v>
      </c>
      <c r="AB131">
        <f t="shared" ref="AB131:AB194" si="8">IF(AE131=AF131,1,0)</f>
        <v>1</v>
      </c>
    </row>
    <row r="132" spans="1:28">
      <c r="A132" s="314" t="s">
        <v>675</v>
      </c>
      <c r="B132" s="314"/>
      <c r="C132" s="314"/>
      <c r="D132" s="314" t="s">
        <v>240</v>
      </c>
      <c r="E132" s="314" t="s">
        <v>104</v>
      </c>
      <c r="F132" s="314" t="s">
        <v>149</v>
      </c>
      <c r="G132" s="314" t="s">
        <v>108</v>
      </c>
      <c r="H132" s="314" t="s">
        <v>119</v>
      </c>
      <c r="I132" s="314" t="s">
        <v>108</v>
      </c>
      <c r="J132" s="314" t="s">
        <v>109</v>
      </c>
      <c r="K132" s="314">
        <v>0</v>
      </c>
      <c r="L132" s="314">
        <v>0</v>
      </c>
      <c r="M132" s="315">
        <v>45145.9225925926</v>
      </c>
      <c r="N132" s="314" t="s">
        <v>676</v>
      </c>
      <c r="O132" s="314" t="s">
        <v>677</v>
      </c>
      <c r="P132" s="314" t="s">
        <v>112</v>
      </c>
      <c r="Q132" s="314" t="s">
        <v>123</v>
      </c>
      <c r="R132" s="315">
        <v>45145.9225810185</v>
      </c>
      <c r="S132" s="314" t="s">
        <v>676</v>
      </c>
      <c r="T132" s="314" t="s">
        <v>678</v>
      </c>
      <c r="U132" s="314" t="s">
        <v>678</v>
      </c>
      <c r="V132" s="314" t="s">
        <v>114</v>
      </c>
      <c r="W132" s="314"/>
      <c r="X132" s="314" t="str">
        <f>VLOOKUP(D132,代理总表!A:D,3,0)</f>
        <v>SEO邀请</v>
      </c>
      <c r="Y132" t="str">
        <f>VLOOKUP(D:D,代理总表!A:D,4,FALSE)</f>
        <v>SEO</v>
      </c>
      <c r="Z132">
        <f t="shared" si="6"/>
        <v>0</v>
      </c>
      <c r="AA132">
        <f t="shared" si="7"/>
        <v>22</v>
      </c>
      <c r="AB132">
        <f t="shared" si="8"/>
        <v>1</v>
      </c>
    </row>
    <row r="133" spans="1:28">
      <c r="A133" s="314" t="s">
        <v>679</v>
      </c>
      <c r="B133" s="314"/>
      <c r="C133" s="314"/>
      <c r="D133" s="314" t="s">
        <v>116</v>
      </c>
      <c r="E133" s="314" t="s">
        <v>117</v>
      </c>
      <c r="F133" s="314" t="s">
        <v>118</v>
      </c>
      <c r="G133" s="314" t="s">
        <v>108</v>
      </c>
      <c r="H133" s="314" t="s">
        <v>119</v>
      </c>
      <c r="I133" s="314" t="s">
        <v>108</v>
      </c>
      <c r="J133" s="314" t="s">
        <v>120</v>
      </c>
      <c r="K133" s="314">
        <v>0</v>
      </c>
      <c r="L133" s="314">
        <v>0</v>
      </c>
      <c r="M133" s="315">
        <v>45145.9225694444</v>
      </c>
      <c r="N133" s="314" t="s">
        <v>680</v>
      </c>
      <c r="O133" s="314" t="s">
        <v>127</v>
      </c>
      <c r="P133" s="314" t="s">
        <v>112</v>
      </c>
      <c r="Q133" s="314" t="s">
        <v>123</v>
      </c>
      <c r="R133" s="315">
        <v>45145.9225694444</v>
      </c>
      <c r="S133" s="314" t="s">
        <v>680</v>
      </c>
      <c r="T133" s="314" t="s">
        <v>131</v>
      </c>
      <c r="U133" s="314" t="s">
        <v>131</v>
      </c>
      <c r="V133" s="314" t="s">
        <v>114</v>
      </c>
      <c r="W133" s="314"/>
      <c r="X133" s="314" t="str">
        <f>VLOOKUP(D133,代理总表!A:D,3,0)</f>
        <v>外部代理总线</v>
      </c>
      <c r="Y133" t="str">
        <f>VLOOKUP(D:D,代理总表!A:D,4,FALSE)</f>
        <v>外部代理总线zh0808</v>
      </c>
      <c r="Z133">
        <f t="shared" si="6"/>
        <v>0</v>
      </c>
      <c r="AA133">
        <f t="shared" si="7"/>
        <v>22</v>
      </c>
      <c r="AB133">
        <f t="shared" si="8"/>
        <v>1</v>
      </c>
    </row>
    <row r="134" spans="1:28">
      <c r="A134" s="314" t="s">
        <v>681</v>
      </c>
      <c r="B134" s="314"/>
      <c r="C134" s="314"/>
      <c r="D134" s="314" t="s">
        <v>445</v>
      </c>
      <c r="E134" s="314" t="s">
        <v>117</v>
      </c>
      <c r="F134" s="314" t="s">
        <v>118</v>
      </c>
      <c r="G134" s="314" t="s">
        <v>108</v>
      </c>
      <c r="H134" s="314" t="s">
        <v>119</v>
      </c>
      <c r="I134" s="314" t="s">
        <v>108</v>
      </c>
      <c r="J134" s="314" t="s">
        <v>120</v>
      </c>
      <c r="K134" s="314">
        <v>0</v>
      </c>
      <c r="L134" s="314">
        <v>0</v>
      </c>
      <c r="M134" s="315">
        <v>45145.9216898148</v>
      </c>
      <c r="N134" s="314" t="s">
        <v>682</v>
      </c>
      <c r="O134" s="314" t="s">
        <v>446</v>
      </c>
      <c r="P134" s="314" t="s">
        <v>112</v>
      </c>
      <c r="Q134" s="314" t="s">
        <v>123</v>
      </c>
      <c r="R134" s="315">
        <v>45145.9515277778</v>
      </c>
      <c r="S134" s="314" t="s">
        <v>683</v>
      </c>
      <c r="T134" s="314" t="s">
        <v>177</v>
      </c>
      <c r="U134" s="314" t="s">
        <v>131</v>
      </c>
      <c r="V134" s="314" t="s">
        <v>114</v>
      </c>
      <c r="W134" s="314"/>
      <c r="X134" s="314" t="str">
        <f>VLOOKUP(D134,代理总表!A:D,3,0)</f>
        <v>SOCO越南直播</v>
      </c>
      <c r="Y134" t="str">
        <f>VLOOKUP(D:D,代理总表!A:D,4,FALSE)</f>
        <v>SOCO越南直播ffvn66</v>
      </c>
      <c r="Z134">
        <f t="shared" si="6"/>
        <v>0</v>
      </c>
      <c r="AA134">
        <f t="shared" si="7"/>
        <v>22</v>
      </c>
      <c r="AB134">
        <f t="shared" si="8"/>
        <v>1</v>
      </c>
    </row>
    <row r="135" spans="1:28">
      <c r="A135" s="314" t="s">
        <v>684</v>
      </c>
      <c r="B135" s="314"/>
      <c r="C135" s="314"/>
      <c r="D135" s="314" t="s">
        <v>685</v>
      </c>
      <c r="E135" s="314" t="s">
        <v>117</v>
      </c>
      <c r="F135" s="314" t="s">
        <v>118</v>
      </c>
      <c r="G135" s="314" t="s">
        <v>108</v>
      </c>
      <c r="H135" s="314" t="s">
        <v>119</v>
      </c>
      <c r="I135" s="314" t="s">
        <v>108</v>
      </c>
      <c r="J135" s="314" t="s">
        <v>120</v>
      </c>
      <c r="K135" s="314">
        <v>0</v>
      </c>
      <c r="L135" s="314">
        <v>0</v>
      </c>
      <c r="M135" s="315">
        <v>45145.9215625</v>
      </c>
      <c r="N135" s="314" t="s">
        <v>686</v>
      </c>
      <c r="O135" s="314" t="s">
        <v>687</v>
      </c>
      <c r="P135" s="314" t="s">
        <v>339</v>
      </c>
      <c r="Q135" s="314" t="s">
        <v>123</v>
      </c>
      <c r="R135" s="315">
        <v>45145.9215625</v>
      </c>
      <c r="S135" s="314" t="s">
        <v>686</v>
      </c>
      <c r="T135" s="314" t="s">
        <v>688</v>
      </c>
      <c r="U135" s="314" t="s">
        <v>688</v>
      </c>
      <c r="V135" s="314" t="s">
        <v>114</v>
      </c>
      <c r="W135" s="314"/>
      <c r="X135" s="314" t="e">
        <f>VLOOKUP(D135,代理总表!A:D,3,0)</f>
        <v>#N/A</v>
      </c>
      <c r="Y135" t="e">
        <f>VLOOKUP(D:D,代理总表!A:D,4,FALSE)</f>
        <v>#N/A</v>
      </c>
      <c r="Z135">
        <f t="shared" si="6"/>
        <v>0</v>
      </c>
      <c r="AA135">
        <f t="shared" si="7"/>
        <v>22</v>
      </c>
      <c r="AB135">
        <f t="shared" si="8"/>
        <v>1</v>
      </c>
    </row>
    <row r="136" spans="1:28">
      <c r="A136" s="314" t="s">
        <v>689</v>
      </c>
      <c r="B136" s="314"/>
      <c r="C136" s="314">
        <v>18545716563</v>
      </c>
      <c r="D136" s="314" t="s">
        <v>690</v>
      </c>
      <c r="E136" s="314" t="s">
        <v>104</v>
      </c>
      <c r="F136" s="314" t="s">
        <v>118</v>
      </c>
      <c r="G136" s="314" t="s">
        <v>108</v>
      </c>
      <c r="H136" s="314" t="s">
        <v>119</v>
      </c>
      <c r="I136" s="314" t="s">
        <v>108</v>
      </c>
      <c r="J136" s="314" t="s">
        <v>415</v>
      </c>
      <c r="K136" s="314">
        <v>0</v>
      </c>
      <c r="L136" s="314">
        <v>0</v>
      </c>
      <c r="M136" s="315">
        <v>45145.9213773148</v>
      </c>
      <c r="N136" s="314" t="s">
        <v>691</v>
      </c>
      <c r="O136" s="314" t="s">
        <v>692</v>
      </c>
      <c r="P136" s="314" t="s">
        <v>339</v>
      </c>
      <c r="Q136" s="314" t="s">
        <v>123</v>
      </c>
      <c r="R136" s="315">
        <v>45145.9239699074</v>
      </c>
      <c r="S136" s="314" t="s">
        <v>691</v>
      </c>
      <c r="T136" s="314" t="s">
        <v>693</v>
      </c>
      <c r="U136" s="314" t="s">
        <v>693</v>
      </c>
      <c r="V136" s="314" t="s">
        <v>114</v>
      </c>
      <c r="W136" s="314"/>
      <c r="X136" s="314" t="e">
        <f>VLOOKUP(D136,代理总表!A:D,3,0)</f>
        <v>#N/A</v>
      </c>
      <c r="Y136" t="e">
        <f>VLOOKUP(D:D,代理总表!A:D,4,FALSE)</f>
        <v>#N/A</v>
      </c>
      <c r="Z136">
        <f t="shared" si="6"/>
        <v>0</v>
      </c>
      <c r="AA136">
        <f t="shared" si="7"/>
        <v>22</v>
      </c>
      <c r="AB136">
        <f t="shared" si="8"/>
        <v>1</v>
      </c>
    </row>
    <row r="137" spans="1:28">
      <c r="A137" s="314" t="s">
        <v>694</v>
      </c>
      <c r="B137" s="314" t="s">
        <v>695</v>
      </c>
      <c r="C137" s="314">
        <v>15016784196</v>
      </c>
      <c r="D137" s="314" t="s">
        <v>276</v>
      </c>
      <c r="E137" s="314" t="s">
        <v>104</v>
      </c>
      <c r="F137" s="314" t="s">
        <v>118</v>
      </c>
      <c r="G137" s="314" t="s">
        <v>108</v>
      </c>
      <c r="H137" s="314" t="s">
        <v>119</v>
      </c>
      <c r="I137" s="314" t="s">
        <v>108</v>
      </c>
      <c r="J137" s="314" t="s">
        <v>109</v>
      </c>
      <c r="K137" s="314">
        <v>0</v>
      </c>
      <c r="L137" s="314">
        <v>0</v>
      </c>
      <c r="M137" s="315">
        <v>45145.9211342593</v>
      </c>
      <c r="N137" s="314" t="s">
        <v>421</v>
      </c>
      <c r="O137" s="314" t="s">
        <v>422</v>
      </c>
      <c r="P137" s="314" t="s">
        <v>208</v>
      </c>
      <c r="Q137" s="314" t="s">
        <v>123</v>
      </c>
      <c r="R137" s="315">
        <v>45145.9465740741</v>
      </c>
      <c r="S137" s="314" t="s">
        <v>421</v>
      </c>
      <c r="T137" s="314" t="s">
        <v>423</v>
      </c>
      <c r="U137" s="314" t="s">
        <v>423</v>
      </c>
      <c r="V137" s="314" t="s">
        <v>114</v>
      </c>
      <c r="W137" s="314" t="s">
        <v>424</v>
      </c>
      <c r="X137" s="314" t="str">
        <f>VLOOKUP(D137,代理总表!A:D,3,0)</f>
        <v>飞哥雨燕直播</v>
      </c>
      <c r="Y137" t="str">
        <f>VLOOKUP(D:D,代理总表!A:D,4,FALSE)</f>
        <v>飞哥雨燕直播ffmk88</v>
      </c>
      <c r="Z137">
        <f t="shared" si="6"/>
        <v>0</v>
      </c>
      <c r="AA137">
        <f t="shared" si="7"/>
        <v>22</v>
      </c>
      <c r="AB137">
        <f t="shared" si="8"/>
        <v>1</v>
      </c>
    </row>
    <row r="138" spans="1:28">
      <c r="A138" s="314" t="s">
        <v>696</v>
      </c>
      <c r="B138" s="314"/>
      <c r="C138" s="314">
        <v>19128044185</v>
      </c>
      <c r="D138" s="314" t="s">
        <v>235</v>
      </c>
      <c r="E138" s="314" t="s">
        <v>104</v>
      </c>
      <c r="F138" s="314" t="s">
        <v>149</v>
      </c>
      <c r="G138" s="314" t="s">
        <v>108</v>
      </c>
      <c r="H138" s="314" t="s">
        <v>119</v>
      </c>
      <c r="I138" s="314" t="s">
        <v>108</v>
      </c>
      <c r="J138" s="314" t="s">
        <v>109</v>
      </c>
      <c r="K138" s="314">
        <v>0</v>
      </c>
      <c r="L138" s="314">
        <v>0</v>
      </c>
      <c r="M138" s="315">
        <v>45145.9209953704</v>
      </c>
      <c r="N138" s="314" t="s">
        <v>697</v>
      </c>
      <c r="O138" s="314" t="s">
        <v>698</v>
      </c>
      <c r="P138" s="314" t="s">
        <v>112</v>
      </c>
      <c r="Q138" s="314" t="s">
        <v>123</v>
      </c>
      <c r="R138" s="315">
        <v>45145.9327893518</v>
      </c>
      <c r="S138" s="314" t="s">
        <v>697</v>
      </c>
      <c r="T138" s="314" t="s">
        <v>477</v>
      </c>
      <c r="U138" s="314" t="s">
        <v>477</v>
      </c>
      <c r="V138" s="314" t="s">
        <v>114</v>
      </c>
      <c r="W138" s="314"/>
      <c r="X138" s="314" t="str">
        <f>VLOOKUP(D138,代理总表!A:D,3,0)</f>
        <v>aber</v>
      </c>
      <c r="Y138" t="str">
        <f>VLOOKUP(D:D,代理总表!A:D,4,FALSE)</f>
        <v>SEO</v>
      </c>
      <c r="Z138">
        <f t="shared" si="6"/>
        <v>0</v>
      </c>
      <c r="AA138">
        <f t="shared" si="7"/>
        <v>22</v>
      </c>
      <c r="AB138">
        <f t="shared" si="8"/>
        <v>1</v>
      </c>
    </row>
    <row r="139" spans="1:28">
      <c r="A139" s="314" t="s">
        <v>699</v>
      </c>
      <c r="B139" s="314"/>
      <c r="C139" s="314"/>
      <c r="D139" s="314" t="s">
        <v>445</v>
      </c>
      <c r="E139" s="314" t="s">
        <v>117</v>
      </c>
      <c r="F139" s="314" t="s">
        <v>118</v>
      </c>
      <c r="G139" s="314" t="s">
        <v>108</v>
      </c>
      <c r="H139" s="314" t="s">
        <v>119</v>
      </c>
      <c r="I139" s="314" t="s">
        <v>108</v>
      </c>
      <c r="J139" s="314" t="s">
        <v>120</v>
      </c>
      <c r="K139" s="314">
        <v>0</v>
      </c>
      <c r="L139" s="314">
        <v>0</v>
      </c>
      <c r="M139" s="315">
        <v>45145.9206481481</v>
      </c>
      <c r="N139" s="314" t="s">
        <v>700</v>
      </c>
      <c r="O139" s="314" t="s">
        <v>446</v>
      </c>
      <c r="P139" s="314" t="s">
        <v>208</v>
      </c>
      <c r="Q139" s="314" t="s">
        <v>123</v>
      </c>
      <c r="R139" s="315">
        <v>45145.9566203704</v>
      </c>
      <c r="S139" s="314" t="s">
        <v>700</v>
      </c>
      <c r="T139" s="314" t="s">
        <v>176</v>
      </c>
      <c r="U139" s="314" t="s">
        <v>176</v>
      </c>
      <c r="V139" s="314" t="s">
        <v>114</v>
      </c>
      <c r="W139" s="314"/>
      <c r="X139" s="314" t="str">
        <f>VLOOKUP(D139,代理总表!A:D,3,0)</f>
        <v>SOCO越南直播</v>
      </c>
      <c r="Y139" t="str">
        <f>VLOOKUP(D:D,代理总表!A:D,4,FALSE)</f>
        <v>SOCO越南直播ffvn66</v>
      </c>
      <c r="Z139">
        <f t="shared" si="6"/>
        <v>0</v>
      </c>
      <c r="AA139">
        <f t="shared" si="7"/>
        <v>22</v>
      </c>
      <c r="AB139">
        <f t="shared" si="8"/>
        <v>1</v>
      </c>
    </row>
    <row r="140" spans="1:28">
      <c r="A140" s="314" t="s">
        <v>701</v>
      </c>
      <c r="B140" s="314" t="s">
        <v>702</v>
      </c>
      <c r="C140" s="314">
        <v>823021027</v>
      </c>
      <c r="D140" s="314" t="s">
        <v>651</v>
      </c>
      <c r="E140" s="314" t="s">
        <v>117</v>
      </c>
      <c r="F140" s="314" t="s">
        <v>144</v>
      </c>
      <c r="G140" s="314" t="s">
        <v>106</v>
      </c>
      <c r="H140" s="314" t="s">
        <v>107</v>
      </c>
      <c r="I140" s="314" t="s">
        <v>108</v>
      </c>
      <c r="J140" s="314" t="s">
        <v>120</v>
      </c>
      <c r="K140" s="314">
        <v>100000</v>
      </c>
      <c r="L140" s="314">
        <v>800000</v>
      </c>
      <c r="M140" s="315">
        <v>45145.9204976852</v>
      </c>
      <c r="N140" s="314" t="s">
        <v>703</v>
      </c>
      <c r="O140" s="314" t="s">
        <v>704</v>
      </c>
      <c r="P140" s="314" t="s">
        <v>112</v>
      </c>
      <c r="Q140" s="315">
        <v>45145.9426388889</v>
      </c>
      <c r="R140" s="315">
        <v>45145.9580902778</v>
      </c>
      <c r="S140" s="314" t="s">
        <v>703</v>
      </c>
      <c r="T140" s="314" t="s">
        <v>216</v>
      </c>
      <c r="U140" s="314" t="s">
        <v>216</v>
      </c>
      <c r="V140" s="314" t="s">
        <v>114</v>
      </c>
      <c r="W140" s="314"/>
      <c r="X140" s="314" t="str">
        <f>VLOOKUP(D140,代理总表!A:D,3,0)</f>
        <v>雨燕直播-越</v>
      </c>
      <c r="Y140" t="str">
        <f>VLOOKUP(D:D,代理总表!A:D,4,FALSE)</f>
        <v>雨燕直播-越ffvn66</v>
      </c>
      <c r="Z140">
        <f t="shared" si="6"/>
        <v>1</v>
      </c>
      <c r="AA140">
        <f t="shared" si="7"/>
        <v>22</v>
      </c>
      <c r="AB140">
        <f t="shared" si="8"/>
        <v>1</v>
      </c>
    </row>
    <row r="141" spans="1:28">
      <c r="A141" s="314" t="s">
        <v>705</v>
      </c>
      <c r="B141" s="314"/>
      <c r="C141" s="314"/>
      <c r="D141" s="314" t="s">
        <v>103</v>
      </c>
      <c r="E141" s="314" t="s">
        <v>104</v>
      </c>
      <c r="F141" s="314" t="s">
        <v>118</v>
      </c>
      <c r="G141" s="314" t="s">
        <v>108</v>
      </c>
      <c r="H141" s="314" t="s">
        <v>119</v>
      </c>
      <c r="I141" s="314" t="s">
        <v>108</v>
      </c>
      <c r="J141" s="314" t="s">
        <v>109</v>
      </c>
      <c r="K141" s="314">
        <v>0</v>
      </c>
      <c r="L141" s="314">
        <v>0</v>
      </c>
      <c r="M141" s="315">
        <v>45145.9199074074</v>
      </c>
      <c r="N141" s="314" t="s">
        <v>706</v>
      </c>
      <c r="O141" s="314" t="s">
        <v>384</v>
      </c>
      <c r="P141" s="314" t="s">
        <v>208</v>
      </c>
      <c r="Q141" s="314" t="s">
        <v>123</v>
      </c>
      <c r="R141" s="315">
        <v>45145.9199074074</v>
      </c>
      <c r="S141" s="314" t="s">
        <v>706</v>
      </c>
      <c r="T141" s="314" t="s">
        <v>707</v>
      </c>
      <c r="U141" s="314" t="s">
        <v>707</v>
      </c>
      <c r="V141" s="314" t="s">
        <v>114</v>
      </c>
      <c r="W141" s="314"/>
      <c r="X141" s="314" t="str">
        <f>VLOOKUP(D141,代理总表!A:D,3,0)</f>
        <v>官网</v>
      </c>
      <c r="Y141" t="str">
        <f>VLOOKUP(D:D,代理总表!A:D,4,FALSE)</f>
        <v>官网</v>
      </c>
      <c r="Z141">
        <f t="shared" si="6"/>
        <v>0</v>
      </c>
      <c r="AA141">
        <f t="shared" si="7"/>
        <v>22</v>
      </c>
      <c r="AB141">
        <f t="shared" si="8"/>
        <v>1</v>
      </c>
    </row>
    <row r="142" spans="1:28">
      <c r="A142" s="314" t="s">
        <v>708</v>
      </c>
      <c r="B142" s="314"/>
      <c r="C142" s="314"/>
      <c r="D142" s="314" t="s">
        <v>137</v>
      </c>
      <c r="E142" s="314" t="s">
        <v>117</v>
      </c>
      <c r="F142" s="314" t="s">
        <v>118</v>
      </c>
      <c r="G142" s="314" t="s">
        <v>108</v>
      </c>
      <c r="H142" s="314" t="s">
        <v>119</v>
      </c>
      <c r="I142" s="314" t="s">
        <v>108</v>
      </c>
      <c r="J142" s="314" t="s">
        <v>120</v>
      </c>
      <c r="K142" s="314">
        <v>0</v>
      </c>
      <c r="L142" s="314">
        <v>0</v>
      </c>
      <c r="M142" s="315">
        <v>45145.9198148148</v>
      </c>
      <c r="N142" s="314" t="s">
        <v>709</v>
      </c>
      <c r="O142" s="314" t="s">
        <v>710</v>
      </c>
      <c r="P142" s="314" t="s">
        <v>339</v>
      </c>
      <c r="Q142" s="314" t="s">
        <v>123</v>
      </c>
      <c r="R142" s="315">
        <v>45145.9268634259</v>
      </c>
      <c r="S142" s="314" t="s">
        <v>709</v>
      </c>
      <c r="T142" s="314" t="s">
        <v>124</v>
      </c>
      <c r="U142" s="314" t="s">
        <v>124</v>
      </c>
      <c r="V142" s="314" t="s">
        <v>114</v>
      </c>
      <c r="W142" s="314"/>
      <c r="X142" s="314" t="str">
        <f>VLOOKUP(D142,代理总表!A:D,3,0)</f>
        <v>雨燕直播-越</v>
      </c>
      <c r="Y142" t="str">
        <f>VLOOKUP(D:D,代理总表!A:D,4,FALSE)</f>
        <v>雨燕直播-越ffvn66</v>
      </c>
      <c r="Z142">
        <f t="shared" si="6"/>
        <v>0</v>
      </c>
      <c r="AA142">
        <f t="shared" si="7"/>
        <v>22</v>
      </c>
      <c r="AB142">
        <f t="shared" si="8"/>
        <v>1</v>
      </c>
    </row>
    <row r="143" spans="1:28">
      <c r="A143" s="314" t="s">
        <v>711</v>
      </c>
      <c r="B143" s="314"/>
      <c r="C143" s="314">
        <v>19554181696</v>
      </c>
      <c r="D143" s="314" t="s">
        <v>103</v>
      </c>
      <c r="E143" s="314" t="s">
        <v>104</v>
      </c>
      <c r="F143" s="314" t="s">
        <v>118</v>
      </c>
      <c r="G143" s="314" t="s">
        <v>108</v>
      </c>
      <c r="H143" s="314" t="s">
        <v>119</v>
      </c>
      <c r="I143" s="314" t="s">
        <v>108</v>
      </c>
      <c r="J143" s="314" t="s">
        <v>109</v>
      </c>
      <c r="K143" s="314">
        <v>0</v>
      </c>
      <c r="L143" s="314">
        <v>0</v>
      </c>
      <c r="M143" s="315">
        <v>45145.9196180556</v>
      </c>
      <c r="N143" s="314" t="s">
        <v>712</v>
      </c>
      <c r="O143" s="314" t="s">
        <v>713</v>
      </c>
      <c r="P143" s="314" t="s">
        <v>339</v>
      </c>
      <c r="Q143" s="314" t="s">
        <v>123</v>
      </c>
      <c r="R143" s="315">
        <v>45146.0711458333</v>
      </c>
      <c r="S143" s="314" t="s">
        <v>712</v>
      </c>
      <c r="T143" s="314" t="s">
        <v>714</v>
      </c>
      <c r="U143" s="314" t="s">
        <v>714</v>
      </c>
      <c r="V143" s="314" t="s">
        <v>114</v>
      </c>
      <c r="W143" s="314"/>
      <c r="X143" s="314" t="str">
        <f>VLOOKUP(D143,代理总表!A:D,3,0)</f>
        <v>官网</v>
      </c>
      <c r="Y143" t="str">
        <f>VLOOKUP(D:D,代理总表!A:D,4,FALSE)</f>
        <v>官网</v>
      </c>
      <c r="Z143">
        <f t="shared" si="6"/>
        <v>0</v>
      </c>
      <c r="AA143">
        <f t="shared" si="7"/>
        <v>22</v>
      </c>
      <c r="AB143">
        <f t="shared" si="8"/>
        <v>1</v>
      </c>
    </row>
    <row r="144" spans="1:28">
      <c r="A144" s="314" t="s">
        <v>715</v>
      </c>
      <c r="B144" s="314"/>
      <c r="C144" s="314">
        <v>18094447503</v>
      </c>
      <c r="D144" s="314" t="s">
        <v>180</v>
      </c>
      <c r="E144" s="314" t="s">
        <v>104</v>
      </c>
      <c r="F144" s="314" t="s">
        <v>149</v>
      </c>
      <c r="G144" s="314" t="s">
        <v>108</v>
      </c>
      <c r="H144" s="314" t="s">
        <v>119</v>
      </c>
      <c r="I144" s="314" t="s">
        <v>108</v>
      </c>
      <c r="J144" s="314" t="s">
        <v>109</v>
      </c>
      <c r="K144" s="314">
        <v>0</v>
      </c>
      <c r="L144" s="314">
        <v>0</v>
      </c>
      <c r="M144" s="315">
        <v>45145.9179976852</v>
      </c>
      <c r="N144" s="314" t="s">
        <v>716</v>
      </c>
      <c r="O144" s="314" t="s">
        <v>717</v>
      </c>
      <c r="P144" s="314" t="s">
        <v>208</v>
      </c>
      <c r="Q144" s="314" t="s">
        <v>123</v>
      </c>
      <c r="R144" s="315">
        <v>45145.9179976852</v>
      </c>
      <c r="S144" s="314" t="s">
        <v>716</v>
      </c>
      <c r="T144" s="314" t="s">
        <v>718</v>
      </c>
      <c r="U144" s="314" t="s">
        <v>718</v>
      </c>
      <c r="V144" s="314" t="s">
        <v>114</v>
      </c>
      <c r="W144" s="314"/>
      <c r="X144" s="314" t="str">
        <f>VLOOKUP(D144,代理总表!A:D,3,0)</f>
        <v>hugo</v>
      </c>
      <c r="Y144" t="str">
        <f>VLOOKUP(D:D,代理总表!A:D,4,FALSE)</f>
        <v>SEO</v>
      </c>
      <c r="Z144">
        <f t="shared" si="6"/>
        <v>0</v>
      </c>
      <c r="AA144">
        <f t="shared" si="7"/>
        <v>22</v>
      </c>
      <c r="AB144">
        <f t="shared" si="8"/>
        <v>1</v>
      </c>
    </row>
    <row r="145" spans="1:28">
      <c r="A145" s="314" t="s">
        <v>719</v>
      </c>
      <c r="B145" s="314" t="s">
        <v>720</v>
      </c>
      <c r="C145" s="314">
        <v>335215415</v>
      </c>
      <c r="D145" s="314" t="s">
        <v>143</v>
      </c>
      <c r="E145" s="314" t="s">
        <v>117</v>
      </c>
      <c r="F145" s="314" t="s">
        <v>144</v>
      </c>
      <c r="G145" s="314" t="s">
        <v>106</v>
      </c>
      <c r="H145" s="314" t="s">
        <v>107</v>
      </c>
      <c r="I145" s="314" t="s">
        <v>108</v>
      </c>
      <c r="J145" s="314" t="s">
        <v>120</v>
      </c>
      <c r="K145" s="314">
        <v>20300</v>
      </c>
      <c r="L145" s="314">
        <v>600000</v>
      </c>
      <c r="M145" s="315">
        <v>45145.9178819444</v>
      </c>
      <c r="N145" s="314" t="s">
        <v>721</v>
      </c>
      <c r="O145" s="314" t="s">
        <v>722</v>
      </c>
      <c r="P145" s="314" t="s">
        <v>208</v>
      </c>
      <c r="Q145" s="315">
        <v>45145.9634027778</v>
      </c>
      <c r="R145" s="315">
        <v>45146.1238773148</v>
      </c>
      <c r="S145" s="314" t="s">
        <v>721</v>
      </c>
      <c r="T145" s="314" t="s">
        <v>124</v>
      </c>
      <c r="U145" s="314" t="s">
        <v>124</v>
      </c>
      <c r="V145" s="314" t="s">
        <v>114</v>
      </c>
      <c r="W145" s="314"/>
      <c r="X145" s="314" t="str">
        <f>VLOOKUP(D145,代理总表!A:D,3,0)</f>
        <v>雨燕直播-越</v>
      </c>
      <c r="Y145" t="str">
        <f>VLOOKUP(D:D,代理总表!A:D,4,FALSE)</f>
        <v>雨燕直播-越ffvn66</v>
      </c>
      <c r="Z145">
        <f t="shared" si="6"/>
        <v>1</v>
      </c>
      <c r="AA145">
        <f t="shared" si="7"/>
        <v>22</v>
      </c>
      <c r="AB145">
        <f t="shared" si="8"/>
        <v>1</v>
      </c>
    </row>
    <row r="146" spans="1:28">
      <c r="A146" s="314" t="s">
        <v>723</v>
      </c>
      <c r="B146" s="314"/>
      <c r="C146" s="314"/>
      <c r="D146" s="314" t="s">
        <v>724</v>
      </c>
      <c r="E146" s="314" t="s">
        <v>117</v>
      </c>
      <c r="F146" s="314" t="s">
        <v>118</v>
      </c>
      <c r="G146" s="314" t="s">
        <v>108</v>
      </c>
      <c r="H146" s="314" t="s">
        <v>119</v>
      </c>
      <c r="I146" s="314" t="s">
        <v>108</v>
      </c>
      <c r="J146" s="314" t="s">
        <v>120</v>
      </c>
      <c r="K146" s="314">
        <v>0</v>
      </c>
      <c r="L146" s="314">
        <v>0</v>
      </c>
      <c r="M146" s="315">
        <v>45145.9174768518</v>
      </c>
      <c r="N146" s="314" t="s">
        <v>337</v>
      </c>
      <c r="O146" s="314" t="s">
        <v>725</v>
      </c>
      <c r="P146" s="314" t="s">
        <v>339</v>
      </c>
      <c r="Q146" s="314" t="s">
        <v>123</v>
      </c>
      <c r="R146" s="315">
        <v>45145.9174768518</v>
      </c>
      <c r="S146" s="314" t="s">
        <v>337</v>
      </c>
      <c r="T146" s="314" t="s">
        <v>340</v>
      </c>
      <c r="U146" s="314" t="s">
        <v>340</v>
      </c>
      <c r="V146" s="314" t="s">
        <v>114</v>
      </c>
      <c r="W146" s="314"/>
      <c r="X146" s="314" t="str">
        <f>VLOOKUP(D146,代理总表!A:D,3,0)</f>
        <v>SOCO越南直播</v>
      </c>
      <c r="Y146" t="str">
        <f>VLOOKUP(D:D,代理总表!A:D,4,FALSE)</f>
        <v>SOCO越南直播ffvn66</v>
      </c>
      <c r="Z146">
        <f t="shared" si="6"/>
        <v>0</v>
      </c>
      <c r="AA146">
        <f t="shared" si="7"/>
        <v>22</v>
      </c>
      <c r="AB146">
        <f t="shared" si="8"/>
        <v>1</v>
      </c>
    </row>
    <row r="147" spans="1:28">
      <c r="A147" s="314" t="s">
        <v>726</v>
      </c>
      <c r="B147" s="314" t="s">
        <v>727</v>
      </c>
      <c r="C147" s="314">
        <v>815350442</v>
      </c>
      <c r="D147" s="314" t="s">
        <v>116</v>
      </c>
      <c r="E147" s="314" t="s">
        <v>117</v>
      </c>
      <c r="F147" s="314" t="s">
        <v>118</v>
      </c>
      <c r="G147" s="314" t="s">
        <v>108</v>
      </c>
      <c r="H147" s="314" t="s">
        <v>119</v>
      </c>
      <c r="I147" s="314" t="s">
        <v>108</v>
      </c>
      <c r="J147" s="314" t="s">
        <v>120</v>
      </c>
      <c r="K147" s="314">
        <v>0</v>
      </c>
      <c r="L147" s="314">
        <v>0</v>
      </c>
      <c r="M147" s="315">
        <v>45145.9174421296</v>
      </c>
      <c r="N147" s="314" t="s">
        <v>728</v>
      </c>
      <c r="O147" s="314" t="s">
        <v>122</v>
      </c>
      <c r="P147" s="314" t="s">
        <v>112</v>
      </c>
      <c r="Q147" s="314" t="s">
        <v>123</v>
      </c>
      <c r="R147" s="315">
        <v>45145.9203587963</v>
      </c>
      <c r="S147" s="314" t="s">
        <v>728</v>
      </c>
      <c r="T147" s="314" t="s">
        <v>124</v>
      </c>
      <c r="U147" s="314" t="s">
        <v>124</v>
      </c>
      <c r="V147" s="314" t="s">
        <v>114</v>
      </c>
      <c r="W147" s="314"/>
      <c r="X147" s="314" t="str">
        <f>VLOOKUP(D147,代理总表!A:D,3,0)</f>
        <v>外部代理总线</v>
      </c>
      <c r="Y147" t="str">
        <f>VLOOKUP(D:D,代理总表!A:D,4,FALSE)</f>
        <v>外部代理总线zh0808</v>
      </c>
      <c r="Z147">
        <f t="shared" si="6"/>
        <v>0</v>
      </c>
      <c r="AA147">
        <f t="shared" si="7"/>
        <v>22</v>
      </c>
      <c r="AB147">
        <f t="shared" si="8"/>
        <v>1</v>
      </c>
    </row>
    <row r="148" spans="1:28">
      <c r="A148" s="314" t="s">
        <v>729</v>
      </c>
      <c r="B148" s="314"/>
      <c r="C148" s="314"/>
      <c r="D148" s="314" t="s">
        <v>103</v>
      </c>
      <c r="E148" s="314" t="s">
        <v>104</v>
      </c>
      <c r="F148" s="314" t="s">
        <v>118</v>
      </c>
      <c r="G148" s="314" t="s">
        <v>108</v>
      </c>
      <c r="H148" s="314" t="s">
        <v>119</v>
      </c>
      <c r="I148" s="314" t="s">
        <v>108</v>
      </c>
      <c r="J148" s="314" t="s">
        <v>109</v>
      </c>
      <c r="K148" s="314">
        <v>0</v>
      </c>
      <c r="L148" s="314">
        <v>0</v>
      </c>
      <c r="M148" s="315">
        <v>45145.9172106481</v>
      </c>
      <c r="N148" s="314" t="s">
        <v>730</v>
      </c>
      <c r="O148" s="314" t="s">
        <v>722</v>
      </c>
      <c r="P148" s="314" t="s">
        <v>161</v>
      </c>
      <c r="Q148" s="314" t="s">
        <v>123</v>
      </c>
      <c r="R148" s="315">
        <v>45145.9171990741</v>
      </c>
      <c r="S148" s="314" t="s">
        <v>730</v>
      </c>
      <c r="T148" s="314" t="s">
        <v>731</v>
      </c>
      <c r="U148" s="314" t="s">
        <v>731</v>
      </c>
      <c r="V148" s="314" t="s">
        <v>114</v>
      </c>
      <c r="W148" s="314"/>
      <c r="X148" s="314" t="str">
        <f>VLOOKUP(D148,代理总表!A:D,3,0)</f>
        <v>官网</v>
      </c>
      <c r="Y148" t="str">
        <f>VLOOKUP(D:D,代理总表!A:D,4,FALSE)</f>
        <v>官网</v>
      </c>
      <c r="Z148">
        <f t="shared" si="6"/>
        <v>0</v>
      </c>
      <c r="AA148">
        <f t="shared" si="7"/>
        <v>22</v>
      </c>
      <c r="AB148">
        <f t="shared" si="8"/>
        <v>1</v>
      </c>
    </row>
    <row r="149" spans="1:28">
      <c r="A149" s="314" t="s">
        <v>732</v>
      </c>
      <c r="B149" s="314" t="s">
        <v>733</v>
      </c>
      <c r="C149" s="314">
        <v>18981685741</v>
      </c>
      <c r="D149" s="314" t="s">
        <v>249</v>
      </c>
      <c r="E149" s="314" t="s">
        <v>104</v>
      </c>
      <c r="F149" s="314" t="s">
        <v>144</v>
      </c>
      <c r="G149" s="314" t="s">
        <v>106</v>
      </c>
      <c r="H149" s="314" t="s">
        <v>107</v>
      </c>
      <c r="I149" s="314" t="s">
        <v>108</v>
      </c>
      <c r="J149" s="314" t="s">
        <v>109</v>
      </c>
      <c r="K149" s="314">
        <v>300</v>
      </c>
      <c r="L149" s="314">
        <v>0</v>
      </c>
      <c r="M149" s="315">
        <v>45145.917037037</v>
      </c>
      <c r="N149" s="314" t="s">
        <v>734</v>
      </c>
      <c r="O149" s="314" t="s">
        <v>735</v>
      </c>
      <c r="P149" s="314" t="s">
        <v>112</v>
      </c>
      <c r="Q149" s="315">
        <v>45145.9315162037</v>
      </c>
      <c r="R149" s="315">
        <v>45146.2838194444</v>
      </c>
      <c r="S149" s="314" t="s">
        <v>734</v>
      </c>
      <c r="T149" s="314" t="s">
        <v>736</v>
      </c>
      <c r="U149" s="314" t="s">
        <v>736</v>
      </c>
      <c r="V149" s="314" t="s">
        <v>114</v>
      </c>
      <c r="W149" s="314"/>
      <c r="X149" s="314" t="str">
        <f>VLOOKUP(D149,代理总表!A:D,3,0)</f>
        <v>飞哥雨燕直播</v>
      </c>
      <c r="Y149" t="str">
        <f>VLOOKUP(D:D,代理总表!A:D,4,FALSE)</f>
        <v>飞哥雨燕直播ffmk88</v>
      </c>
      <c r="Z149">
        <f t="shared" si="6"/>
        <v>1</v>
      </c>
      <c r="AA149">
        <f t="shared" si="7"/>
        <v>22</v>
      </c>
      <c r="AB149">
        <f t="shared" si="8"/>
        <v>1</v>
      </c>
    </row>
    <row r="150" spans="1:28">
      <c r="A150" s="314" t="s">
        <v>737</v>
      </c>
      <c r="B150" s="314" t="s">
        <v>738</v>
      </c>
      <c r="C150" s="314">
        <v>902807007</v>
      </c>
      <c r="D150" s="314" t="s">
        <v>197</v>
      </c>
      <c r="E150" s="314" t="s">
        <v>117</v>
      </c>
      <c r="F150" s="314" t="s">
        <v>144</v>
      </c>
      <c r="G150" s="314" t="s">
        <v>106</v>
      </c>
      <c r="H150" s="314" t="s">
        <v>107</v>
      </c>
      <c r="I150" s="314" t="s">
        <v>108</v>
      </c>
      <c r="J150" s="314" t="s">
        <v>120</v>
      </c>
      <c r="K150" s="314">
        <v>800000</v>
      </c>
      <c r="L150" s="314">
        <v>0</v>
      </c>
      <c r="M150" s="315">
        <v>45145.9163425926</v>
      </c>
      <c r="N150" s="314" t="s">
        <v>739</v>
      </c>
      <c r="O150" s="314" t="s">
        <v>617</v>
      </c>
      <c r="P150" s="314" t="s">
        <v>339</v>
      </c>
      <c r="Q150" s="315">
        <v>45145.9656365741</v>
      </c>
      <c r="R150" s="315">
        <v>45146.0751041667</v>
      </c>
      <c r="S150" s="314" t="s">
        <v>739</v>
      </c>
      <c r="T150" s="314" t="s">
        <v>131</v>
      </c>
      <c r="U150" s="314" t="s">
        <v>131</v>
      </c>
      <c r="V150" s="314" t="s">
        <v>114</v>
      </c>
      <c r="W150" s="314" t="s">
        <v>316</v>
      </c>
      <c r="X150" s="314" t="str">
        <f>VLOOKUP(D150,代理总表!A:D,3,0)</f>
        <v>雨燕直播-越</v>
      </c>
      <c r="Y150" t="str">
        <f>VLOOKUP(D:D,代理总表!A:D,4,FALSE)</f>
        <v>雨燕直播-越ffvn66</v>
      </c>
      <c r="Z150">
        <f t="shared" si="6"/>
        <v>1</v>
      </c>
      <c r="AA150">
        <f t="shared" si="7"/>
        <v>21</v>
      </c>
      <c r="AB150">
        <f t="shared" si="8"/>
        <v>1</v>
      </c>
    </row>
    <row r="151" spans="1:28">
      <c r="A151" s="314" t="s">
        <v>740</v>
      </c>
      <c r="B151" s="314"/>
      <c r="C151" s="314">
        <v>986913195</v>
      </c>
      <c r="D151" s="314" t="s">
        <v>116</v>
      </c>
      <c r="E151" s="314" t="s">
        <v>117</v>
      </c>
      <c r="F151" s="314" t="s">
        <v>118</v>
      </c>
      <c r="G151" s="314" t="s">
        <v>108</v>
      </c>
      <c r="H151" s="314" t="s">
        <v>119</v>
      </c>
      <c r="I151" s="314" t="s">
        <v>108</v>
      </c>
      <c r="J151" s="314" t="s">
        <v>120</v>
      </c>
      <c r="K151" s="314">
        <v>0</v>
      </c>
      <c r="L151" s="314">
        <v>0</v>
      </c>
      <c r="M151" s="315">
        <v>45145.9162384259</v>
      </c>
      <c r="N151" s="314" t="s">
        <v>741</v>
      </c>
      <c r="O151" s="314" t="s">
        <v>742</v>
      </c>
      <c r="P151" s="314" t="s">
        <v>339</v>
      </c>
      <c r="Q151" s="314" t="s">
        <v>123</v>
      </c>
      <c r="R151" s="315">
        <v>45145.9162268518</v>
      </c>
      <c r="S151" s="314" t="s">
        <v>741</v>
      </c>
      <c r="T151" s="314" t="s">
        <v>743</v>
      </c>
      <c r="U151" s="314" t="s">
        <v>743</v>
      </c>
      <c r="V151" s="314" t="s">
        <v>114</v>
      </c>
      <c r="W151" s="314"/>
      <c r="X151" s="314" t="str">
        <f>VLOOKUP(D151,代理总表!A:D,3,0)</f>
        <v>外部代理总线</v>
      </c>
      <c r="Y151" t="str">
        <f>VLOOKUP(D:D,代理总表!A:D,4,FALSE)</f>
        <v>外部代理总线zh0808</v>
      </c>
      <c r="Z151">
        <f t="shared" si="6"/>
        <v>0</v>
      </c>
      <c r="AA151">
        <f t="shared" si="7"/>
        <v>21</v>
      </c>
      <c r="AB151">
        <f t="shared" si="8"/>
        <v>1</v>
      </c>
    </row>
    <row r="152" spans="1:28">
      <c r="A152" s="314" t="s">
        <v>744</v>
      </c>
      <c r="B152" s="314" t="s">
        <v>745</v>
      </c>
      <c r="C152" s="314">
        <v>13260010435</v>
      </c>
      <c r="D152" s="314" t="s">
        <v>370</v>
      </c>
      <c r="E152" s="314" t="s">
        <v>104</v>
      </c>
      <c r="F152" s="314" t="s">
        <v>118</v>
      </c>
      <c r="G152" s="314" t="s">
        <v>108</v>
      </c>
      <c r="H152" s="314" t="s">
        <v>119</v>
      </c>
      <c r="I152" s="314" t="s">
        <v>108</v>
      </c>
      <c r="J152" s="314" t="s">
        <v>109</v>
      </c>
      <c r="K152" s="314">
        <v>0</v>
      </c>
      <c r="L152" s="314">
        <v>0</v>
      </c>
      <c r="M152" s="315">
        <v>45145.9161921296</v>
      </c>
      <c r="N152" s="314" t="s">
        <v>746</v>
      </c>
      <c r="O152" s="314" t="s">
        <v>747</v>
      </c>
      <c r="P152" s="314" t="s">
        <v>161</v>
      </c>
      <c r="Q152" s="314" t="s">
        <v>123</v>
      </c>
      <c r="R152" s="315">
        <v>45145.9666898148</v>
      </c>
      <c r="S152" s="314" t="s">
        <v>746</v>
      </c>
      <c r="T152" s="314" t="s">
        <v>748</v>
      </c>
      <c r="U152" s="314" t="s">
        <v>748</v>
      </c>
      <c r="V152" s="314" t="s">
        <v>114</v>
      </c>
      <c r="W152" s="314"/>
      <c r="X152" s="314" t="str">
        <f>VLOOKUP(D152,代理总表!A:D,3,0)</f>
        <v>GT-骨头</v>
      </c>
      <c r="Y152" t="str">
        <f>VLOOKUP(D:D,代理总表!A:D,4,FALSE)</f>
        <v>GT-骨头gt6677</v>
      </c>
      <c r="Z152">
        <f t="shared" si="6"/>
        <v>0</v>
      </c>
      <c r="AA152">
        <f t="shared" si="7"/>
        <v>21</v>
      </c>
      <c r="AB152">
        <f t="shared" si="8"/>
        <v>1</v>
      </c>
    </row>
    <row r="153" spans="1:28">
      <c r="A153" s="314" t="s">
        <v>749</v>
      </c>
      <c r="B153" s="314"/>
      <c r="C153" s="314">
        <v>982306619</v>
      </c>
      <c r="D153" s="314" t="s">
        <v>445</v>
      </c>
      <c r="E153" s="314" t="s">
        <v>117</v>
      </c>
      <c r="F153" s="314" t="s">
        <v>118</v>
      </c>
      <c r="G153" s="314" t="s">
        <v>108</v>
      </c>
      <c r="H153" s="314" t="s">
        <v>119</v>
      </c>
      <c r="I153" s="314" t="s">
        <v>108</v>
      </c>
      <c r="J153" s="314" t="s">
        <v>120</v>
      </c>
      <c r="K153" s="314">
        <v>0</v>
      </c>
      <c r="L153" s="314">
        <v>0</v>
      </c>
      <c r="M153" s="315">
        <v>45145.9150694444</v>
      </c>
      <c r="N153" s="314" t="s">
        <v>700</v>
      </c>
      <c r="O153" s="314" t="s">
        <v>446</v>
      </c>
      <c r="P153" s="314" t="s">
        <v>112</v>
      </c>
      <c r="Q153" s="314" t="s">
        <v>123</v>
      </c>
      <c r="R153" s="315">
        <v>45145.9175347222</v>
      </c>
      <c r="S153" s="314" t="s">
        <v>700</v>
      </c>
      <c r="T153" s="314" t="s">
        <v>176</v>
      </c>
      <c r="U153" s="314" t="s">
        <v>176</v>
      </c>
      <c r="V153" s="314" t="s">
        <v>114</v>
      </c>
      <c r="W153" s="314"/>
      <c r="X153" s="314" t="str">
        <f>VLOOKUP(D153,代理总表!A:D,3,0)</f>
        <v>SOCO越南直播</v>
      </c>
      <c r="Y153" t="str">
        <f>VLOOKUP(D:D,代理总表!A:D,4,FALSE)</f>
        <v>SOCO越南直播ffvn66</v>
      </c>
      <c r="Z153">
        <f t="shared" si="6"/>
        <v>0</v>
      </c>
      <c r="AA153">
        <f t="shared" si="7"/>
        <v>21</v>
      </c>
      <c r="AB153">
        <f t="shared" si="8"/>
        <v>1</v>
      </c>
    </row>
    <row r="154" spans="1:28">
      <c r="A154" s="314" t="s">
        <v>750</v>
      </c>
      <c r="B154" s="314"/>
      <c r="C154" s="314">
        <v>18261612545</v>
      </c>
      <c r="D154" s="314" t="s">
        <v>259</v>
      </c>
      <c r="E154" s="314" t="s">
        <v>104</v>
      </c>
      <c r="F154" s="314" t="s">
        <v>149</v>
      </c>
      <c r="G154" s="314" t="s">
        <v>108</v>
      </c>
      <c r="H154" s="314" t="s">
        <v>119</v>
      </c>
      <c r="I154" s="314" t="s">
        <v>108</v>
      </c>
      <c r="J154" s="314" t="s">
        <v>109</v>
      </c>
      <c r="K154" s="314">
        <v>0</v>
      </c>
      <c r="L154" s="314">
        <v>0</v>
      </c>
      <c r="M154" s="315">
        <v>45145.9143287037</v>
      </c>
      <c r="N154" s="314" t="s">
        <v>751</v>
      </c>
      <c r="O154" s="314" t="s">
        <v>471</v>
      </c>
      <c r="P154" s="314" t="s">
        <v>208</v>
      </c>
      <c r="Q154" s="314" t="s">
        <v>123</v>
      </c>
      <c r="R154" s="315">
        <v>45145.9143287037</v>
      </c>
      <c r="S154" s="314" t="s">
        <v>751</v>
      </c>
      <c r="T154" s="314" t="s">
        <v>718</v>
      </c>
      <c r="U154" s="314" t="s">
        <v>718</v>
      </c>
      <c r="V154" s="314" t="s">
        <v>114</v>
      </c>
      <c r="W154" s="314"/>
      <c r="X154" s="314" t="str">
        <f>VLOOKUP(D154,代理总表!A:D,3,0)</f>
        <v>tony</v>
      </c>
      <c r="Y154" t="str">
        <f>VLOOKUP(D:D,代理总表!A:D,4,FALSE)</f>
        <v>SEO</v>
      </c>
      <c r="Z154">
        <f t="shared" si="6"/>
        <v>0</v>
      </c>
      <c r="AA154">
        <f t="shared" si="7"/>
        <v>21</v>
      </c>
      <c r="AB154">
        <f t="shared" si="8"/>
        <v>1</v>
      </c>
    </row>
    <row r="155" spans="1:28">
      <c r="A155" s="314" t="s">
        <v>752</v>
      </c>
      <c r="B155" s="314" t="s">
        <v>753</v>
      </c>
      <c r="C155" s="314">
        <v>18080599024</v>
      </c>
      <c r="D155" s="314" t="s">
        <v>754</v>
      </c>
      <c r="E155" s="314" t="s">
        <v>104</v>
      </c>
      <c r="F155" s="314" t="s">
        <v>181</v>
      </c>
      <c r="G155" s="314" t="s">
        <v>106</v>
      </c>
      <c r="H155" s="314" t="s">
        <v>107</v>
      </c>
      <c r="I155" s="314" t="s">
        <v>108</v>
      </c>
      <c r="J155" s="314" t="s">
        <v>109</v>
      </c>
      <c r="K155" s="314">
        <v>101</v>
      </c>
      <c r="L155" s="314">
        <v>100</v>
      </c>
      <c r="M155" s="315">
        <v>45145.9134259259</v>
      </c>
      <c r="N155" s="314" t="s">
        <v>755</v>
      </c>
      <c r="O155" s="314" t="s">
        <v>756</v>
      </c>
      <c r="P155" s="314" t="s">
        <v>112</v>
      </c>
      <c r="Q155" s="315">
        <v>45145.9248032407</v>
      </c>
      <c r="R155" s="315">
        <v>45146.0136111111</v>
      </c>
      <c r="S155" s="314" t="s">
        <v>757</v>
      </c>
      <c r="T155" s="314" t="s">
        <v>758</v>
      </c>
      <c r="U155" s="314" t="s">
        <v>758</v>
      </c>
      <c r="V155" s="314" t="s">
        <v>114</v>
      </c>
      <c r="W155" s="314"/>
      <c r="X155" s="314" t="str">
        <f>VLOOKUP(D155,代理总表!A:D,3,0)</f>
        <v>SEO掉线用户转线</v>
      </c>
      <c r="Y155" t="str">
        <f>VLOOKUP(D:D,代理总表!A:D,4,FALSE)</f>
        <v>SEO</v>
      </c>
      <c r="Z155">
        <f t="shared" si="6"/>
        <v>1</v>
      </c>
      <c r="AA155">
        <f t="shared" si="7"/>
        <v>21</v>
      </c>
      <c r="AB155">
        <f t="shared" si="8"/>
        <v>1</v>
      </c>
    </row>
    <row r="156" spans="1:28">
      <c r="A156" s="314" t="s">
        <v>759</v>
      </c>
      <c r="B156" s="314"/>
      <c r="C156" s="314"/>
      <c r="D156" s="314" t="s">
        <v>760</v>
      </c>
      <c r="E156" s="314" t="s">
        <v>104</v>
      </c>
      <c r="F156" s="314" t="s">
        <v>118</v>
      </c>
      <c r="G156" s="314" t="s">
        <v>108</v>
      </c>
      <c r="H156" s="314" t="s">
        <v>119</v>
      </c>
      <c r="I156" s="314" t="s">
        <v>108</v>
      </c>
      <c r="J156" s="314" t="s">
        <v>109</v>
      </c>
      <c r="K156" s="314">
        <v>0</v>
      </c>
      <c r="L156" s="314">
        <v>0</v>
      </c>
      <c r="M156" s="315">
        <v>45145.9129861111</v>
      </c>
      <c r="N156" s="314" t="s">
        <v>761</v>
      </c>
      <c r="O156" s="314" t="s">
        <v>762</v>
      </c>
      <c r="P156" s="314" t="s">
        <v>161</v>
      </c>
      <c r="Q156" s="314" t="s">
        <v>123</v>
      </c>
      <c r="R156" s="315">
        <v>45145.912974537</v>
      </c>
      <c r="S156" s="314" t="s">
        <v>761</v>
      </c>
      <c r="T156" s="314" t="s">
        <v>763</v>
      </c>
      <c r="U156" s="314" t="s">
        <v>763</v>
      </c>
      <c r="V156" s="314" t="s">
        <v>114</v>
      </c>
      <c r="W156" s="314"/>
      <c r="X156" s="314" t="str">
        <f>VLOOKUP(D156,代理总表!A:D,3,0)</f>
        <v>GT-骨头</v>
      </c>
      <c r="Y156" t="str">
        <f>VLOOKUP(D:D,代理总表!A:D,4,FALSE)</f>
        <v>B直播gt6677</v>
      </c>
      <c r="Z156">
        <f t="shared" si="6"/>
        <v>0</v>
      </c>
      <c r="AA156">
        <f t="shared" si="7"/>
        <v>21</v>
      </c>
      <c r="AB156">
        <f t="shared" si="8"/>
        <v>1</v>
      </c>
    </row>
    <row r="157" spans="1:28">
      <c r="A157" s="314" t="s">
        <v>764</v>
      </c>
      <c r="B157" s="314" t="s">
        <v>765</v>
      </c>
      <c r="C157" s="314">
        <v>18828929657</v>
      </c>
      <c r="D157" s="314" t="s">
        <v>148</v>
      </c>
      <c r="E157" s="314" t="s">
        <v>104</v>
      </c>
      <c r="F157" s="314" t="s">
        <v>181</v>
      </c>
      <c r="G157" s="314" t="s">
        <v>106</v>
      </c>
      <c r="H157" s="314" t="s">
        <v>107</v>
      </c>
      <c r="I157" s="314" t="s">
        <v>108</v>
      </c>
      <c r="J157" s="314" t="s">
        <v>109</v>
      </c>
      <c r="K157" s="314">
        <v>71.76</v>
      </c>
      <c r="L157" s="314">
        <v>60</v>
      </c>
      <c r="M157" s="315">
        <v>45145.9125925926</v>
      </c>
      <c r="N157" s="314" t="s">
        <v>766</v>
      </c>
      <c r="O157" s="314" t="s">
        <v>160</v>
      </c>
      <c r="P157" s="314" t="s">
        <v>208</v>
      </c>
      <c r="Q157" s="315">
        <v>45145.9270486111</v>
      </c>
      <c r="R157" s="315">
        <v>45146.0565625</v>
      </c>
      <c r="S157" s="314" t="s">
        <v>766</v>
      </c>
      <c r="T157" s="314" t="s">
        <v>767</v>
      </c>
      <c r="U157" s="314" t="s">
        <v>767</v>
      </c>
      <c r="V157" s="314" t="s">
        <v>114</v>
      </c>
      <c r="W157" s="314"/>
      <c r="X157" s="314" t="str">
        <f>VLOOKUP(D157,代理总表!A:D,3,0)</f>
        <v>martin</v>
      </c>
      <c r="Y157" t="str">
        <f>VLOOKUP(D:D,代理总表!A:D,4,FALSE)</f>
        <v>SEO</v>
      </c>
      <c r="Z157">
        <f t="shared" si="6"/>
        <v>1</v>
      </c>
      <c r="AA157">
        <f t="shared" si="7"/>
        <v>21</v>
      </c>
      <c r="AB157">
        <f t="shared" si="8"/>
        <v>1</v>
      </c>
    </row>
    <row r="158" spans="1:28">
      <c r="A158" s="314" t="s">
        <v>768</v>
      </c>
      <c r="B158" s="314"/>
      <c r="C158" s="314"/>
      <c r="D158" s="314" t="s">
        <v>116</v>
      </c>
      <c r="E158" s="314" t="s">
        <v>117</v>
      </c>
      <c r="F158" s="314" t="s">
        <v>118</v>
      </c>
      <c r="G158" s="314" t="s">
        <v>108</v>
      </c>
      <c r="H158" s="314" t="s">
        <v>119</v>
      </c>
      <c r="I158" s="314" t="s">
        <v>108</v>
      </c>
      <c r="J158" s="314" t="s">
        <v>120</v>
      </c>
      <c r="K158" s="314">
        <v>0</v>
      </c>
      <c r="L158" s="314">
        <v>0</v>
      </c>
      <c r="M158" s="315">
        <v>45145.9121412037</v>
      </c>
      <c r="N158" s="314" t="s">
        <v>769</v>
      </c>
      <c r="O158" s="314" t="s">
        <v>770</v>
      </c>
      <c r="P158" s="314" t="s">
        <v>339</v>
      </c>
      <c r="Q158" s="314" t="s">
        <v>123</v>
      </c>
      <c r="R158" s="315">
        <v>45145.9121296296</v>
      </c>
      <c r="S158" s="314" t="s">
        <v>769</v>
      </c>
      <c r="T158" s="314" t="s">
        <v>194</v>
      </c>
      <c r="U158" s="314" t="s">
        <v>194</v>
      </c>
      <c r="V158" s="314" t="s">
        <v>114</v>
      </c>
      <c r="W158" s="314"/>
      <c r="X158" s="314" t="str">
        <f>VLOOKUP(D158,代理总表!A:D,3,0)</f>
        <v>外部代理总线</v>
      </c>
      <c r="Y158" t="str">
        <f>VLOOKUP(D:D,代理总表!A:D,4,FALSE)</f>
        <v>外部代理总线zh0808</v>
      </c>
      <c r="Z158">
        <f t="shared" si="6"/>
        <v>0</v>
      </c>
      <c r="AA158">
        <f t="shared" si="7"/>
        <v>21</v>
      </c>
      <c r="AB158">
        <f t="shared" si="8"/>
        <v>1</v>
      </c>
    </row>
    <row r="159" spans="1:28">
      <c r="A159" s="314" t="s">
        <v>771</v>
      </c>
      <c r="B159" s="314" t="s">
        <v>772</v>
      </c>
      <c r="C159" s="314">
        <v>374650157</v>
      </c>
      <c r="D159" s="314" t="s">
        <v>137</v>
      </c>
      <c r="E159" s="314" t="s">
        <v>117</v>
      </c>
      <c r="F159" s="314" t="s">
        <v>144</v>
      </c>
      <c r="G159" s="314" t="s">
        <v>106</v>
      </c>
      <c r="H159" s="314" t="s">
        <v>107</v>
      </c>
      <c r="I159" s="314" t="s">
        <v>108</v>
      </c>
      <c r="J159" s="314" t="s">
        <v>120</v>
      </c>
      <c r="K159" s="314">
        <v>280000</v>
      </c>
      <c r="L159" s="314">
        <v>200000</v>
      </c>
      <c r="M159" s="315">
        <v>45145.9117708333</v>
      </c>
      <c r="N159" s="314" t="s">
        <v>773</v>
      </c>
      <c r="O159" s="314" t="s">
        <v>139</v>
      </c>
      <c r="P159" s="314" t="s">
        <v>112</v>
      </c>
      <c r="Q159" s="315">
        <v>45145.9371990741</v>
      </c>
      <c r="R159" s="315">
        <v>45145.9385185185</v>
      </c>
      <c r="S159" s="314" t="s">
        <v>774</v>
      </c>
      <c r="T159" s="314" t="s">
        <v>775</v>
      </c>
      <c r="U159" s="314" t="s">
        <v>776</v>
      </c>
      <c r="V159" s="314" t="s">
        <v>114</v>
      </c>
      <c r="W159" s="314"/>
      <c r="X159" s="314" t="str">
        <f>VLOOKUP(D159,代理总表!A:D,3,0)</f>
        <v>雨燕直播-越</v>
      </c>
      <c r="Y159" t="str">
        <f>VLOOKUP(D:D,代理总表!A:D,4,FALSE)</f>
        <v>雨燕直播-越ffvn66</v>
      </c>
      <c r="Z159">
        <f t="shared" si="6"/>
        <v>1</v>
      </c>
      <c r="AA159">
        <f t="shared" si="7"/>
        <v>21</v>
      </c>
      <c r="AB159">
        <f t="shared" si="8"/>
        <v>1</v>
      </c>
    </row>
    <row r="160" spans="1:28">
      <c r="A160" s="314" t="s">
        <v>777</v>
      </c>
      <c r="B160" s="314"/>
      <c r="C160" s="314">
        <v>18545716723</v>
      </c>
      <c r="D160" s="314" t="s">
        <v>778</v>
      </c>
      <c r="E160" s="314" t="s">
        <v>104</v>
      </c>
      <c r="F160" s="314" t="s">
        <v>144</v>
      </c>
      <c r="G160" s="314" t="s">
        <v>106</v>
      </c>
      <c r="H160" s="314" t="s">
        <v>107</v>
      </c>
      <c r="I160" s="314" t="s">
        <v>108</v>
      </c>
      <c r="J160" s="314" t="s">
        <v>415</v>
      </c>
      <c r="K160" s="314">
        <v>888.8</v>
      </c>
      <c r="L160" s="314">
        <v>880</v>
      </c>
      <c r="M160" s="315">
        <v>45145.911724537</v>
      </c>
      <c r="N160" s="314" t="s">
        <v>779</v>
      </c>
      <c r="O160" s="314" t="s">
        <v>780</v>
      </c>
      <c r="P160" s="314" t="s">
        <v>339</v>
      </c>
      <c r="Q160" s="315">
        <v>45145.9328703704</v>
      </c>
      <c r="R160" s="315">
        <v>45145.9447106481</v>
      </c>
      <c r="S160" s="314" t="s">
        <v>779</v>
      </c>
      <c r="T160" s="314" t="s">
        <v>781</v>
      </c>
      <c r="U160" s="314" t="s">
        <v>781</v>
      </c>
      <c r="V160" s="314" t="s">
        <v>114</v>
      </c>
      <c r="W160" s="314"/>
      <c r="X160" s="314" t="e">
        <f>VLOOKUP(D160,代理总表!A:D,3,0)</f>
        <v>#N/A</v>
      </c>
      <c r="Y160" t="e">
        <f>VLOOKUP(D:D,代理总表!A:D,4,FALSE)</f>
        <v>#N/A</v>
      </c>
      <c r="Z160">
        <f t="shared" si="6"/>
        <v>1</v>
      </c>
      <c r="AA160">
        <f t="shared" si="7"/>
        <v>21</v>
      </c>
      <c r="AB160">
        <f t="shared" si="8"/>
        <v>1</v>
      </c>
    </row>
    <row r="161" spans="1:28">
      <c r="A161" s="314" t="s">
        <v>782</v>
      </c>
      <c r="B161" s="314"/>
      <c r="C161" s="314"/>
      <c r="D161" s="314" t="s">
        <v>240</v>
      </c>
      <c r="E161" s="314" t="s">
        <v>104</v>
      </c>
      <c r="F161" s="314" t="s">
        <v>149</v>
      </c>
      <c r="G161" s="314" t="s">
        <v>108</v>
      </c>
      <c r="H161" s="314" t="s">
        <v>119</v>
      </c>
      <c r="I161" s="314" t="s">
        <v>108</v>
      </c>
      <c r="J161" s="314" t="s">
        <v>109</v>
      </c>
      <c r="K161" s="314">
        <v>0</v>
      </c>
      <c r="L161" s="314">
        <v>0</v>
      </c>
      <c r="M161" s="315">
        <v>45145.9116666667</v>
      </c>
      <c r="N161" s="314" t="s">
        <v>783</v>
      </c>
      <c r="O161" s="314" t="s">
        <v>344</v>
      </c>
      <c r="P161" s="314" t="s">
        <v>112</v>
      </c>
      <c r="Q161" s="314" t="s">
        <v>123</v>
      </c>
      <c r="R161" s="315">
        <v>45145.9123032407</v>
      </c>
      <c r="S161" s="314" t="s">
        <v>783</v>
      </c>
      <c r="T161" s="314" t="s">
        <v>152</v>
      </c>
      <c r="U161" s="314" t="s">
        <v>152</v>
      </c>
      <c r="V161" s="314" t="s">
        <v>114</v>
      </c>
      <c r="W161" s="314"/>
      <c r="X161" s="314" t="str">
        <f>VLOOKUP(D161,代理总表!A:D,3,0)</f>
        <v>SEO邀请</v>
      </c>
      <c r="Y161" t="str">
        <f>VLOOKUP(D:D,代理总表!A:D,4,FALSE)</f>
        <v>SEO</v>
      </c>
      <c r="Z161">
        <f t="shared" si="6"/>
        <v>0</v>
      </c>
      <c r="AA161">
        <f t="shared" si="7"/>
        <v>21</v>
      </c>
      <c r="AB161">
        <f t="shared" si="8"/>
        <v>1</v>
      </c>
    </row>
    <row r="162" spans="1:28">
      <c r="A162" s="314" t="s">
        <v>784</v>
      </c>
      <c r="B162" s="314"/>
      <c r="C162" s="314">
        <v>19908577740</v>
      </c>
      <c r="D162" s="314" t="s">
        <v>235</v>
      </c>
      <c r="E162" s="314" t="s">
        <v>104</v>
      </c>
      <c r="F162" s="314" t="s">
        <v>149</v>
      </c>
      <c r="G162" s="314" t="s">
        <v>108</v>
      </c>
      <c r="H162" s="314" t="s">
        <v>119</v>
      </c>
      <c r="I162" s="314" t="s">
        <v>108</v>
      </c>
      <c r="J162" s="314" t="s">
        <v>109</v>
      </c>
      <c r="K162" s="314">
        <v>0</v>
      </c>
      <c r="L162" s="314">
        <v>0</v>
      </c>
      <c r="M162" s="315">
        <v>45145.910625</v>
      </c>
      <c r="N162" s="314" t="s">
        <v>785</v>
      </c>
      <c r="O162" s="314" t="s">
        <v>786</v>
      </c>
      <c r="P162" s="314" t="s">
        <v>161</v>
      </c>
      <c r="Q162" s="314" t="s">
        <v>123</v>
      </c>
      <c r="R162" s="315">
        <v>45145.9106134259</v>
      </c>
      <c r="S162" s="314" t="s">
        <v>785</v>
      </c>
      <c r="T162" s="314" t="s">
        <v>787</v>
      </c>
      <c r="U162" s="314" t="s">
        <v>787</v>
      </c>
      <c r="V162" s="314" t="s">
        <v>114</v>
      </c>
      <c r="W162" s="314"/>
      <c r="X162" s="314" t="str">
        <f>VLOOKUP(D162,代理总表!A:D,3,0)</f>
        <v>aber</v>
      </c>
      <c r="Y162" t="str">
        <f>VLOOKUP(D:D,代理总表!A:D,4,FALSE)</f>
        <v>SEO</v>
      </c>
      <c r="Z162">
        <f t="shared" si="6"/>
        <v>0</v>
      </c>
      <c r="AA162">
        <f t="shared" si="7"/>
        <v>21</v>
      </c>
      <c r="AB162">
        <f t="shared" si="8"/>
        <v>1</v>
      </c>
    </row>
    <row r="163" spans="1:28">
      <c r="A163" s="314" t="s">
        <v>788</v>
      </c>
      <c r="B163" s="314"/>
      <c r="C163" s="314">
        <v>13923615518</v>
      </c>
      <c r="D163" s="314" t="s">
        <v>235</v>
      </c>
      <c r="E163" s="314" t="s">
        <v>104</v>
      </c>
      <c r="F163" s="314" t="s">
        <v>149</v>
      </c>
      <c r="G163" s="314" t="s">
        <v>108</v>
      </c>
      <c r="H163" s="314" t="s">
        <v>119</v>
      </c>
      <c r="I163" s="314" t="s">
        <v>108</v>
      </c>
      <c r="J163" s="314" t="s">
        <v>109</v>
      </c>
      <c r="K163" s="314">
        <v>0</v>
      </c>
      <c r="L163" s="314">
        <v>0</v>
      </c>
      <c r="M163" s="315">
        <v>45145.9095601852</v>
      </c>
      <c r="N163" s="314" t="s">
        <v>789</v>
      </c>
      <c r="O163" s="314" t="s">
        <v>786</v>
      </c>
      <c r="P163" s="314" t="s">
        <v>208</v>
      </c>
      <c r="Q163" s="314" t="s">
        <v>123</v>
      </c>
      <c r="R163" s="315">
        <v>45145.922650463</v>
      </c>
      <c r="S163" s="314" t="s">
        <v>789</v>
      </c>
      <c r="T163" s="314" t="s">
        <v>790</v>
      </c>
      <c r="U163" s="314" t="s">
        <v>790</v>
      </c>
      <c r="V163" s="314" t="s">
        <v>114</v>
      </c>
      <c r="W163" s="314"/>
      <c r="X163" s="314" t="str">
        <f>VLOOKUP(D163,代理总表!A:D,3,0)</f>
        <v>aber</v>
      </c>
      <c r="Y163" t="str">
        <f>VLOOKUP(D:D,代理总表!A:D,4,FALSE)</f>
        <v>SEO</v>
      </c>
      <c r="Z163">
        <f t="shared" si="6"/>
        <v>0</v>
      </c>
      <c r="AA163">
        <f t="shared" si="7"/>
        <v>21</v>
      </c>
      <c r="AB163">
        <f t="shared" si="8"/>
        <v>1</v>
      </c>
    </row>
    <row r="164" spans="1:28">
      <c r="A164" s="314" t="s">
        <v>791</v>
      </c>
      <c r="B164" s="314"/>
      <c r="C164" s="314"/>
      <c r="D164" s="314" t="s">
        <v>143</v>
      </c>
      <c r="E164" s="314" t="s">
        <v>117</v>
      </c>
      <c r="F164" s="314" t="s">
        <v>118</v>
      </c>
      <c r="G164" s="314" t="s">
        <v>108</v>
      </c>
      <c r="H164" s="314" t="s">
        <v>119</v>
      </c>
      <c r="I164" s="314" t="s">
        <v>108</v>
      </c>
      <c r="J164" s="314" t="s">
        <v>120</v>
      </c>
      <c r="K164" s="314">
        <v>0</v>
      </c>
      <c r="L164" s="314">
        <v>0</v>
      </c>
      <c r="M164" s="315">
        <v>45145.9090740741</v>
      </c>
      <c r="N164" s="314" t="s">
        <v>792</v>
      </c>
      <c r="O164" s="314" t="s">
        <v>146</v>
      </c>
      <c r="P164" s="314" t="s">
        <v>112</v>
      </c>
      <c r="Q164" s="314" t="s">
        <v>123</v>
      </c>
      <c r="R164" s="315">
        <v>45145.9090625</v>
      </c>
      <c r="S164" s="314" t="s">
        <v>792</v>
      </c>
      <c r="T164" s="314" t="s">
        <v>131</v>
      </c>
      <c r="U164" s="314" t="s">
        <v>131</v>
      </c>
      <c r="V164" s="314" t="s">
        <v>114</v>
      </c>
      <c r="W164" s="314"/>
      <c r="X164" s="314" t="str">
        <f>VLOOKUP(D164,代理总表!A:D,3,0)</f>
        <v>雨燕直播-越</v>
      </c>
      <c r="Y164" t="str">
        <f>VLOOKUP(D:D,代理总表!A:D,4,FALSE)</f>
        <v>雨燕直播-越ffvn66</v>
      </c>
      <c r="Z164">
        <f t="shared" si="6"/>
        <v>0</v>
      </c>
      <c r="AA164">
        <f t="shared" si="7"/>
        <v>21</v>
      </c>
      <c r="AB164">
        <f t="shared" si="8"/>
        <v>1</v>
      </c>
    </row>
    <row r="165" spans="1:28">
      <c r="A165" s="314" t="s">
        <v>793</v>
      </c>
      <c r="B165" s="314"/>
      <c r="C165" s="314">
        <v>15086192780</v>
      </c>
      <c r="D165" s="314" t="s">
        <v>794</v>
      </c>
      <c r="E165" s="314" t="s">
        <v>104</v>
      </c>
      <c r="F165" s="314" t="s">
        <v>118</v>
      </c>
      <c r="G165" s="314" t="s">
        <v>108</v>
      </c>
      <c r="H165" s="314" t="s">
        <v>119</v>
      </c>
      <c r="I165" s="314" t="s">
        <v>108</v>
      </c>
      <c r="J165" s="314" t="s">
        <v>109</v>
      </c>
      <c r="K165" s="314">
        <v>0</v>
      </c>
      <c r="L165" s="314">
        <v>0</v>
      </c>
      <c r="M165" s="315">
        <v>45145.9089814815</v>
      </c>
      <c r="N165" s="314" t="s">
        <v>795</v>
      </c>
      <c r="O165" s="314" t="s">
        <v>796</v>
      </c>
      <c r="P165" s="314" t="s">
        <v>112</v>
      </c>
      <c r="Q165" s="314" t="s">
        <v>123</v>
      </c>
      <c r="R165" s="315">
        <v>45145.9089699074</v>
      </c>
      <c r="S165" s="314" t="s">
        <v>795</v>
      </c>
      <c r="T165" s="314" t="s">
        <v>797</v>
      </c>
      <c r="U165" s="314" t="s">
        <v>797</v>
      </c>
      <c r="V165" s="314" t="s">
        <v>114</v>
      </c>
      <c r="W165" s="314"/>
      <c r="X165" s="314" t="str">
        <f>VLOOKUP(D165,代理总表!A:D,3,0)</f>
        <v>GT-骨头</v>
      </c>
      <c r="Y165" t="str">
        <f>VLOOKUP(D:D,代理总表!A:D,4,FALSE)</f>
        <v>GT-骨头gt6677</v>
      </c>
      <c r="Z165">
        <f t="shared" si="6"/>
        <v>0</v>
      </c>
      <c r="AA165">
        <f t="shared" si="7"/>
        <v>21</v>
      </c>
      <c r="AB165">
        <f t="shared" si="8"/>
        <v>1</v>
      </c>
    </row>
    <row r="166" spans="1:28">
      <c r="A166" s="314" t="s">
        <v>798</v>
      </c>
      <c r="B166" s="314" t="s">
        <v>799</v>
      </c>
      <c r="C166" s="314">
        <v>346163881</v>
      </c>
      <c r="D166" s="314" t="s">
        <v>137</v>
      </c>
      <c r="E166" s="314" t="s">
        <v>117</v>
      </c>
      <c r="F166" s="314" t="s">
        <v>118</v>
      </c>
      <c r="G166" s="314" t="s">
        <v>108</v>
      </c>
      <c r="H166" s="314" t="s">
        <v>119</v>
      </c>
      <c r="I166" s="314" t="s">
        <v>108</v>
      </c>
      <c r="J166" s="314" t="s">
        <v>120</v>
      </c>
      <c r="K166" s="314">
        <v>0</v>
      </c>
      <c r="L166" s="314">
        <v>0</v>
      </c>
      <c r="M166" s="315">
        <v>45145.9080555556</v>
      </c>
      <c r="N166" s="314" t="s">
        <v>800</v>
      </c>
      <c r="O166" s="314" t="s">
        <v>139</v>
      </c>
      <c r="P166" s="314" t="s">
        <v>112</v>
      </c>
      <c r="Q166" s="314" t="s">
        <v>123</v>
      </c>
      <c r="R166" s="315">
        <v>45145.9279166667</v>
      </c>
      <c r="S166" s="314" t="s">
        <v>800</v>
      </c>
      <c r="T166" s="314" t="s">
        <v>801</v>
      </c>
      <c r="U166" s="314" t="s">
        <v>801</v>
      </c>
      <c r="V166" s="314" t="s">
        <v>114</v>
      </c>
      <c r="W166" s="314"/>
      <c r="X166" s="314" t="str">
        <f>VLOOKUP(D166,代理总表!A:D,3,0)</f>
        <v>雨燕直播-越</v>
      </c>
      <c r="Y166" t="str">
        <f>VLOOKUP(D:D,代理总表!A:D,4,FALSE)</f>
        <v>雨燕直播-越ffvn66</v>
      </c>
      <c r="Z166">
        <f t="shared" si="6"/>
        <v>0</v>
      </c>
      <c r="AA166">
        <f t="shared" si="7"/>
        <v>21</v>
      </c>
      <c r="AB166">
        <f t="shared" si="8"/>
        <v>1</v>
      </c>
    </row>
    <row r="167" spans="1:28">
      <c r="A167" s="314" t="s">
        <v>802</v>
      </c>
      <c r="B167" s="314"/>
      <c r="C167" s="314">
        <v>336585837</v>
      </c>
      <c r="D167" s="314" t="s">
        <v>116</v>
      </c>
      <c r="E167" s="314" t="s">
        <v>117</v>
      </c>
      <c r="F167" s="314" t="s">
        <v>118</v>
      </c>
      <c r="G167" s="314" t="s">
        <v>108</v>
      </c>
      <c r="H167" s="314" t="s">
        <v>119</v>
      </c>
      <c r="I167" s="314" t="s">
        <v>108</v>
      </c>
      <c r="J167" s="314" t="s">
        <v>120</v>
      </c>
      <c r="K167" s="314">
        <v>0</v>
      </c>
      <c r="L167" s="314">
        <v>0</v>
      </c>
      <c r="M167" s="315">
        <v>45145.9074189815</v>
      </c>
      <c r="N167" s="314" t="s">
        <v>803</v>
      </c>
      <c r="O167" s="314" t="s">
        <v>122</v>
      </c>
      <c r="P167" s="314" t="s">
        <v>208</v>
      </c>
      <c r="Q167" s="314" t="s">
        <v>123</v>
      </c>
      <c r="R167" s="315">
        <v>45145.9074074074</v>
      </c>
      <c r="S167" s="314" t="s">
        <v>803</v>
      </c>
      <c r="T167" s="314" t="s">
        <v>177</v>
      </c>
      <c r="U167" s="314" t="s">
        <v>177</v>
      </c>
      <c r="V167" s="314" t="s">
        <v>114</v>
      </c>
      <c r="W167" s="314"/>
      <c r="X167" s="314" t="str">
        <f>VLOOKUP(D167,代理总表!A:D,3,0)</f>
        <v>外部代理总线</v>
      </c>
      <c r="Y167" t="str">
        <f>VLOOKUP(D:D,代理总表!A:D,4,FALSE)</f>
        <v>外部代理总线zh0808</v>
      </c>
      <c r="Z167">
        <f t="shared" si="6"/>
        <v>0</v>
      </c>
      <c r="AA167">
        <f t="shared" si="7"/>
        <v>21</v>
      </c>
      <c r="AB167">
        <f t="shared" si="8"/>
        <v>1</v>
      </c>
    </row>
    <row r="168" spans="1:28">
      <c r="A168" s="314" t="s">
        <v>804</v>
      </c>
      <c r="B168" s="314"/>
      <c r="C168" s="314"/>
      <c r="D168" s="314" t="s">
        <v>805</v>
      </c>
      <c r="E168" s="314" t="s">
        <v>104</v>
      </c>
      <c r="F168" s="314" t="s">
        <v>118</v>
      </c>
      <c r="G168" s="314" t="s">
        <v>108</v>
      </c>
      <c r="H168" s="314" t="s">
        <v>119</v>
      </c>
      <c r="I168" s="314" t="s">
        <v>108</v>
      </c>
      <c r="J168" s="314" t="s">
        <v>109</v>
      </c>
      <c r="K168" s="314">
        <v>0</v>
      </c>
      <c r="L168" s="314">
        <v>0</v>
      </c>
      <c r="M168" s="315">
        <v>45145.9073611111</v>
      </c>
      <c r="N168" s="314" t="s">
        <v>806</v>
      </c>
      <c r="O168" s="314" t="s">
        <v>807</v>
      </c>
      <c r="P168" s="314" t="s">
        <v>112</v>
      </c>
      <c r="Q168" s="314" t="s">
        <v>123</v>
      </c>
      <c r="R168" s="315">
        <v>45145.9094791667</v>
      </c>
      <c r="S168" s="314" t="s">
        <v>806</v>
      </c>
      <c r="T168" s="314" t="s">
        <v>808</v>
      </c>
      <c r="U168" s="314" t="s">
        <v>808</v>
      </c>
      <c r="V168" s="314" t="s">
        <v>114</v>
      </c>
      <c r="W168" s="314"/>
      <c r="X168" s="314" t="str">
        <f>VLOOKUP(D168,代理总表!A:D,3,0)</f>
        <v>飞哥雨燕直播</v>
      </c>
      <c r="Y168" t="str">
        <f>VLOOKUP(D:D,代理总表!A:D,4,FALSE)</f>
        <v>飞哥雨燕直播ffmk88</v>
      </c>
      <c r="Z168">
        <f t="shared" si="6"/>
        <v>0</v>
      </c>
      <c r="AA168">
        <f t="shared" si="7"/>
        <v>21</v>
      </c>
      <c r="AB168">
        <f t="shared" si="8"/>
        <v>1</v>
      </c>
    </row>
    <row r="169" spans="1:28">
      <c r="A169" s="314" t="s">
        <v>809</v>
      </c>
      <c r="B169" s="314"/>
      <c r="C169" s="314">
        <v>13031192271</v>
      </c>
      <c r="D169" s="314" t="s">
        <v>294</v>
      </c>
      <c r="E169" s="314" t="s">
        <v>104</v>
      </c>
      <c r="F169" s="314" t="s">
        <v>149</v>
      </c>
      <c r="G169" s="314" t="s">
        <v>108</v>
      </c>
      <c r="H169" s="314" t="s">
        <v>119</v>
      </c>
      <c r="I169" s="314" t="s">
        <v>108</v>
      </c>
      <c r="J169" s="314" t="s">
        <v>109</v>
      </c>
      <c r="K169" s="314">
        <v>0</v>
      </c>
      <c r="L169" s="314">
        <v>0</v>
      </c>
      <c r="M169" s="315">
        <v>45145.9063425926</v>
      </c>
      <c r="N169" s="314" t="s">
        <v>810</v>
      </c>
      <c r="O169" s="314" t="s">
        <v>297</v>
      </c>
      <c r="P169" s="314" t="s">
        <v>208</v>
      </c>
      <c r="Q169" s="314" t="s">
        <v>123</v>
      </c>
      <c r="R169" s="315">
        <v>45145.9063425926</v>
      </c>
      <c r="S169" s="314" t="s">
        <v>810</v>
      </c>
      <c r="T169" s="314" t="s">
        <v>748</v>
      </c>
      <c r="U169" s="314" t="s">
        <v>748</v>
      </c>
      <c r="V169" s="314" t="s">
        <v>114</v>
      </c>
      <c r="W169" s="314"/>
      <c r="X169" s="314" t="str">
        <f>VLOOKUP(D169,代理总表!A:D,3,0)</f>
        <v>DK</v>
      </c>
      <c r="Y169" t="str">
        <f>VLOOKUP(D:D,代理总表!A:D,4,FALSE)</f>
        <v>SEO</v>
      </c>
      <c r="Z169">
        <f t="shared" si="6"/>
        <v>0</v>
      </c>
      <c r="AA169">
        <f t="shared" si="7"/>
        <v>21</v>
      </c>
      <c r="AB169">
        <f t="shared" si="8"/>
        <v>1</v>
      </c>
    </row>
    <row r="170" spans="1:28">
      <c r="A170" s="314" t="s">
        <v>811</v>
      </c>
      <c r="B170" s="314"/>
      <c r="C170" s="314">
        <v>18312874969</v>
      </c>
      <c r="D170" s="314" t="s">
        <v>370</v>
      </c>
      <c r="E170" s="314" t="s">
        <v>104</v>
      </c>
      <c r="F170" s="314" t="s">
        <v>118</v>
      </c>
      <c r="G170" s="314" t="s">
        <v>108</v>
      </c>
      <c r="H170" s="314" t="s">
        <v>119</v>
      </c>
      <c r="I170" s="314" t="s">
        <v>108</v>
      </c>
      <c r="J170" s="314" t="s">
        <v>109</v>
      </c>
      <c r="K170" s="314">
        <v>0</v>
      </c>
      <c r="L170" s="314">
        <v>0</v>
      </c>
      <c r="M170" s="315">
        <v>45145.9040046296</v>
      </c>
      <c r="N170" s="314" t="s">
        <v>812</v>
      </c>
      <c r="O170" s="314" t="s">
        <v>813</v>
      </c>
      <c r="P170" s="314" t="s">
        <v>112</v>
      </c>
      <c r="Q170" s="314" t="s">
        <v>123</v>
      </c>
      <c r="R170" s="315">
        <v>45145.9061689815</v>
      </c>
      <c r="S170" s="314" t="s">
        <v>812</v>
      </c>
      <c r="T170" s="314" t="s">
        <v>814</v>
      </c>
      <c r="U170" s="314" t="s">
        <v>814</v>
      </c>
      <c r="V170" s="314" t="s">
        <v>114</v>
      </c>
      <c r="W170" s="314"/>
      <c r="X170" s="314" t="str">
        <f>VLOOKUP(D170,代理总表!A:D,3,0)</f>
        <v>GT-骨头</v>
      </c>
      <c r="Y170" t="str">
        <f>VLOOKUP(D:D,代理总表!A:D,4,FALSE)</f>
        <v>GT-骨头gt6677</v>
      </c>
      <c r="Z170">
        <f t="shared" si="6"/>
        <v>0</v>
      </c>
      <c r="AA170">
        <f t="shared" si="7"/>
        <v>21</v>
      </c>
      <c r="AB170">
        <f t="shared" si="8"/>
        <v>1</v>
      </c>
    </row>
    <row r="171" spans="1:28">
      <c r="A171" s="314" t="s">
        <v>815</v>
      </c>
      <c r="B171" s="314"/>
      <c r="C171" s="314">
        <v>589299835</v>
      </c>
      <c r="D171" s="314" t="s">
        <v>816</v>
      </c>
      <c r="E171" s="314" t="s">
        <v>117</v>
      </c>
      <c r="F171" s="314" t="s">
        <v>118</v>
      </c>
      <c r="G171" s="314" t="s">
        <v>108</v>
      </c>
      <c r="H171" s="314" t="s">
        <v>119</v>
      </c>
      <c r="I171" s="314" t="s">
        <v>108</v>
      </c>
      <c r="J171" s="314" t="s">
        <v>120</v>
      </c>
      <c r="K171" s="314">
        <v>0</v>
      </c>
      <c r="L171" s="314">
        <v>0</v>
      </c>
      <c r="M171" s="315">
        <v>45145.9035532407</v>
      </c>
      <c r="N171" s="314" t="s">
        <v>817</v>
      </c>
      <c r="O171" s="314" t="s">
        <v>818</v>
      </c>
      <c r="P171" s="314" t="s">
        <v>112</v>
      </c>
      <c r="Q171" s="314" t="s">
        <v>123</v>
      </c>
      <c r="R171" s="315">
        <v>45145.9035532407</v>
      </c>
      <c r="S171" s="314" t="s">
        <v>817</v>
      </c>
      <c r="T171" s="314" t="s">
        <v>131</v>
      </c>
      <c r="U171" s="314" t="s">
        <v>131</v>
      </c>
      <c r="V171" s="314" t="s">
        <v>114</v>
      </c>
      <c r="W171" s="314"/>
      <c r="X171" s="314" t="e">
        <f>VLOOKUP(D171,代理总表!A:D,3,0)</f>
        <v>#N/A</v>
      </c>
      <c r="Y171" t="e">
        <f>VLOOKUP(D:D,代理总表!A:D,4,FALSE)</f>
        <v>#N/A</v>
      </c>
      <c r="Z171">
        <f t="shared" si="6"/>
        <v>0</v>
      </c>
      <c r="AA171">
        <f t="shared" si="7"/>
        <v>21</v>
      </c>
      <c r="AB171">
        <f t="shared" si="8"/>
        <v>1</v>
      </c>
    </row>
    <row r="172" spans="1:28">
      <c r="A172" s="314" t="s">
        <v>819</v>
      </c>
      <c r="B172" s="314"/>
      <c r="C172" s="314">
        <v>15260541597</v>
      </c>
      <c r="D172" s="314" t="s">
        <v>148</v>
      </c>
      <c r="E172" s="314" t="s">
        <v>104</v>
      </c>
      <c r="F172" s="314" t="s">
        <v>149</v>
      </c>
      <c r="G172" s="314" t="s">
        <v>108</v>
      </c>
      <c r="H172" s="314" t="s">
        <v>119</v>
      </c>
      <c r="I172" s="314" t="s">
        <v>108</v>
      </c>
      <c r="J172" s="314" t="s">
        <v>109</v>
      </c>
      <c r="K172" s="314">
        <v>0</v>
      </c>
      <c r="L172" s="314">
        <v>0</v>
      </c>
      <c r="M172" s="315">
        <v>45145.9034606482</v>
      </c>
      <c r="N172" s="314" t="s">
        <v>820</v>
      </c>
      <c r="O172" s="314" t="s">
        <v>585</v>
      </c>
      <c r="P172" s="314" t="s">
        <v>112</v>
      </c>
      <c r="Q172" s="314" t="s">
        <v>123</v>
      </c>
      <c r="R172" s="315">
        <v>45145.9034490741</v>
      </c>
      <c r="S172" s="314" t="s">
        <v>820</v>
      </c>
      <c r="T172" s="314" t="s">
        <v>821</v>
      </c>
      <c r="U172" s="314" t="s">
        <v>821</v>
      </c>
      <c r="V172" s="314" t="s">
        <v>114</v>
      </c>
      <c r="W172" s="314"/>
      <c r="X172" s="314" t="str">
        <f>VLOOKUP(D172,代理总表!A:D,3,0)</f>
        <v>martin</v>
      </c>
      <c r="Y172" t="str">
        <f>VLOOKUP(D:D,代理总表!A:D,4,FALSE)</f>
        <v>SEO</v>
      </c>
      <c r="Z172">
        <f t="shared" si="6"/>
        <v>0</v>
      </c>
      <c r="AA172">
        <f t="shared" si="7"/>
        <v>21</v>
      </c>
      <c r="AB172">
        <f t="shared" si="8"/>
        <v>1</v>
      </c>
    </row>
    <row r="173" spans="1:28">
      <c r="A173" s="314" t="s">
        <v>822</v>
      </c>
      <c r="B173" s="314" t="s">
        <v>823</v>
      </c>
      <c r="C173" s="314">
        <v>16625159716</v>
      </c>
      <c r="D173" s="314" t="s">
        <v>148</v>
      </c>
      <c r="E173" s="314" t="s">
        <v>104</v>
      </c>
      <c r="F173" s="314" t="s">
        <v>149</v>
      </c>
      <c r="G173" s="314" t="s">
        <v>108</v>
      </c>
      <c r="H173" s="314" t="s">
        <v>119</v>
      </c>
      <c r="I173" s="314" t="s">
        <v>108</v>
      </c>
      <c r="J173" s="314" t="s">
        <v>109</v>
      </c>
      <c r="K173" s="314">
        <v>0</v>
      </c>
      <c r="L173" s="314">
        <v>0</v>
      </c>
      <c r="M173" s="315">
        <v>45145.9028703704</v>
      </c>
      <c r="N173" s="314" t="s">
        <v>824</v>
      </c>
      <c r="O173" s="314" t="s">
        <v>160</v>
      </c>
      <c r="P173" s="314" t="s">
        <v>161</v>
      </c>
      <c r="Q173" s="314" t="s">
        <v>123</v>
      </c>
      <c r="R173" s="315">
        <v>45146.0433449074</v>
      </c>
      <c r="S173" s="314" t="s">
        <v>825</v>
      </c>
      <c r="T173" s="314" t="s">
        <v>599</v>
      </c>
      <c r="U173" s="314" t="s">
        <v>826</v>
      </c>
      <c r="V173" s="314" t="s">
        <v>114</v>
      </c>
      <c r="W173" s="314"/>
      <c r="X173" s="314" t="str">
        <f>VLOOKUP(D173,代理总表!A:D,3,0)</f>
        <v>martin</v>
      </c>
      <c r="Y173" t="str">
        <f>VLOOKUP(D:D,代理总表!A:D,4,FALSE)</f>
        <v>SEO</v>
      </c>
      <c r="Z173">
        <f t="shared" si="6"/>
        <v>0</v>
      </c>
      <c r="AA173">
        <f t="shared" si="7"/>
        <v>21</v>
      </c>
      <c r="AB173">
        <f t="shared" si="8"/>
        <v>1</v>
      </c>
    </row>
    <row r="174" spans="1:28">
      <c r="A174" s="314" t="s">
        <v>827</v>
      </c>
      <c r="B174" s="314"/>
      <c r="C174" s="314">
        <v>15721610931</v>
      </c>
      <c r="D174" s="314" t="s">
        <v>148</v>
      </c>
      <c r="E174" s="314" t="s">
        <v>104</v>
      </c>
      <c r="F174" s="314" t="s">
        <v>149</v>
      </c>
      <c r="G174" s="314" t="s">
        <v>108</v>
      </c>
      <c r="H174" s="314" t="s">
        <v>119</v>
      </c>
      <c r="I174" s="314" t="s">
        <v>108</v>
      </c>
      <c r="J174" s="314" t="s">
        <v>109</v>
      </c>
      <c r="K174" s="314">
        <v>0</v>
      </c>
      <c r="L174" s="314">
        <v>0</v>
      </c>
      <c r="M174" s="315">
        <v>45145.9023611111</v>
      </c>
      <c r="N174" s="314" t="s">
        <v>828</v>
      </c>
      <c r="O174" s="314" t="s">
        <v>585</v>
      </c>
      <c r="P174" s="314" t="s">
        <v>112</v>
      </c>
      <c r="Q174" s="314" t="s">
        <v>123</v>
      </c>
      <c r="R174" s="315">
        <v>45145.9023611111</v>
      </c>
      <c r="S174" s="314" t="s">
        <v>828</v>
      </c>
      <c r="T174" s="314" t="s">
        <v>829</v>
      </c>
      <c r="U174" s="314" t="s">
        <v>829</v>
      </c>
      <c r="V174" s="314" t="s">
        <v>114</v>
      </c>
      <c r="W174" s="314"/>
      <c r="X174" s="314" t="str">
        <f>VLOOKUP(D174,代理总表!A:D,3,0)</f>
        <v>martin</v>
      </c>
      <c r="Y174" t="str">
        <f>VLOOKUP(D:D,代理总表!A:D,4,FALSE)</f>
        <v>SEO</v>
      </c>
      <c r="Z174">
        <f t="shared" si="6"/>
        <v>0</v>
      </c>
      <c r="AA174">
        <f t="shared" si="7"/>
        <v>21</v>
      </c>
      <c r="AB174">
        <f t="shared" si="8"/>
        <v>1</v>
      </c>
    </row>
    <row r="175" spans="1:28">
      <c r="A175" s="314" t="s">
        <v>830</v>
      </c>
      <c r="B175" s="314"/>
      <c r="C175" s="314">
        <v>13278601179</v>
      </c>
      <c r="D175" s="314" t="s">
        <v>148</v>
      </c>
      <c r="E175" s="314" t="s">
        <v>104</v>
      </c>
      <c r="F175" s="314" t="s">
        <v>149</v>
      </c>
      <c r="G175" s="314" t="s">
        <v>108</v>
      </c>
      <c r="H175" s="314" t="s">
        <v>119</v>
      </c>
      <c r="I175" s="314" t="s">
        <v>108</v>
      </c>
      <c r="J175" s="314" t="s">
        <v>109</v>
      </c>
      <c r="K175" s="314">
        <v>0</v>
      </c>
      <c r="L175" s="314">
        <v>0</v>
      </c>
      <c r="M175" s="315">
        <v>45145.9022569444</v>
      </c>
      <c r="N175" s="314" t="s">
        <v>831</v>
      </c>
      <c r="O175" s="314" t="s">
        <v>585</v>
      </c>
      <c r="P175" s="314" t="s">
        <v>112</v>
      </c>
      <c r="Q175" s="314" t="s">
        <v>123</v>
      </c>
      <c r="R175" s="315">
        <v>45145.9022453704</v>
      </c>
      <c r="S175" s="314" t="s">
        <v>831</v>
      </c>
      <c r="T175" s="314" t="s">
        <v>832</v>
      </c>
      <c r="U175" s="314" t="s">
        <v>832</v>
      </c>
      <c r="V175" s="314" t="s">
        <v>114</v>
      </c>
      <c r="W175" s="314"/>
      <c r="X175" s="314" t="str">
        <f>VLOOKUP(D175,代理总表!A:D,3,0)</f>
        <v>martin</v>
      </c>
      <c r="Y175" t="str">
        <f>VLOOKUP(D:D,代理总表!A:D,4,FALSE)</f>
        <v>SEO</v>
      </c>
      <c r="Z175">
        <f t="shared" si="6"/>
        <v>0</v>
      </c>
      <c r="AA175">
        <f t="shared" si="7"/>
        <v>21</v>
      </c>
      <c r="AB175">
        <f t="shared" si="8"/>
        <v>1</v>
      </c>
    </row>
    <row r="176" spans="1:28">
      <c r="A176" s="314" t="s">
        <v>833</v>
      </c>
      <c r="B176" s="314" t="s">
        <v>834</v>
      </c>
      <c r="C176" s="314">
        <v>19978648719</v>
      </c>
      <c r="D176" s="314" t="s">
        <v>240</v>
      </c>
      <c r="E176" s="314" t="s">
        <v>104</v>
      </c>
      <c r="F176" s="314" t="s">
        <v>149</v>
      </c>
      <c r="G176" s="314" t="s">
        <v>108</v>
      </c>
      <c r="H176" s="314" t="s">
        <v>119</v>
      </c>
      <c r="I176" s="314" t="s">
        <v>108</v>
      </c>
      <c r="J176" s="314" t="s">
        <v>109</v>
      </c>
      <c r="K176" s="314">
        <v>0</v>
      </c>
      <c r="L176" s="314">
        <v>0</v>
      </c>
      <c r="M176" s="315">
        <v>45145.9019560185</v>
      </c>
      <c r="N176" s="314" t="s">
        <v>835</v>
      </c>
      <c r="O176" s="314" t="s">
        <v>836</v>
      </c>
      <c r="P176" s="314" t="s">
        <v>112</v>
      </c>
      <c r="Q176" s="314" t="s">
        <v>123</v>
      </c>
      <c r="R176" s="315">
        <v>45146.3630092593</v>
      </c>
      <c r="S176" s="314" t="s">
        <v>835</v>
      </c>
      <c r="T176" s="314" t="s">
        <v>837</v>
      </c>
      <c r="U176" s="314" t="s">
        <v>837</v>
      </c>
      <c r="V176" s="314" t="s">
        <v>114</v>
      </c>
      <c r="W176" s="314"/>
      <c r="X176" s="314" t="str">
        <f>VLOOKUP(D176,代理总表!A:D,3,0)</f>
        <v>SEO邀请</v>
      </c>
      <c r="Y176" t="str">
        <f>VLOOKUP(D:D,代理总表!A:D,4,FALSE)</f>
        <v>SEO</v>
      </c>
      <c r="Z176">
        <f t="shared" si="6"/>
        <v>0</v>
      </c>
      <c r="AA176">
        <f t="shared" si="7"/>
        <v>21</v>
      </c>
      <c r="AB176">
        <f t="shared" si="8"/>
        <v>1</v>
      </c>
    </row>
    <row r="177" spans="1:28">
      <c r="A177" s="314" t="s">
        <v>838</v>
      </c>
      <c r="B177" s="314" t="s">
        <v>839</v>
      </c>
      <c r="C177" s="314">
        <v>862008375</v>
      </c>
      <c r="D177" s="314" t="s">
        <v>651</v>
      </c>
      <c r="E177" s="314" t="s">
        <v>117</v>
      </c>
      <c r="F177" s="314" t="s">
        <v>144</v>
      </c>
      <c r="G177" s="314" t="s">
        <v>106</v>
      </c>
      <c r="H177" s="314" t="s">
        <v>107</v>
      </c>
      <c r="I177" s="314" t="s">
        <v>108</v>
      </c>
      <c r="J177" s="314" t="s">
        <v>120</v>
      </c>
      <c r="K177" s="314">
        <v>120000</v>
      </c>
      <c r="L177" s="314">
        <v>1000000</v>
      </c>
      <c r="M177" s="315">
        <v>45145.901412037</v>
      </c>
      <c r="N177" s="314" t="s">
        <v>840</v>
      </c>
      <c r="O177" s="314" t="s">
        <v>653</v>
      </c>
      <c r="P177" s="314" t="s">
        <v>112</v>
      </c>
      <c r="Q177" s="315">
        <v>45145.9114699074</v>
      </c>
      <c r="R177" s="315">
        <v>45146.3651273148</v>
      </c>
      <c r="S177" s="314" t="s">
        <v>840</v>
      </c>
      <c r="T177" s="314" t="s">
        <v>124</v>
      </c>
      <c r="U177" s="314" t="s">
        <v>124</v>
      </c>
      <c r="V177" s="314" t="s">
        <v>114</v>
      </c>
      <c r="W177" s="314"/>
      <c r="X177" s="314" t="str">
        <f>VLOOKUP(D177,代理总表!A:D,3,0)</f>
        <v>雨燕直播-越</v>
      </c>
      <c r="Y177" t="str">
        <f>VLOOKUP(D:D,代理总表!A:D,4,FALSE)</f>
        <v>雨燕直播-越ffvn66</v>
      </c>
      <c r="Z177">
        <f t="shared" si="6"/>
        <v>1</v>
      </c>
      <c r="AA177">
        <f t="shared" si="7"/>
        <v>21</v>
      </c>
      <c r="AB177">
        <f t="shared" si="8"/>
        <v>1</v>
      </c>
    </row>
    <row r="178" spans="1:28">
      <c r="A178" s="314" t="s">
        <v>841</v>
      </c>
      <c r="B178" s="314"/>
      <c r="C178" s="314"/>
      <c r="D178" s="314" t="s">
        <v>445</v>
      </c>
      <c r="E178" s="314" t="s">
        <v>117</v>
      </c>
      <c r="F178" s="314" t="s">
        <v>118</v>
      </c>
      <c r="G178" s="314" t="s">
        <v>108</v>
      </c>
      <c r="H178" s="314" t="s">
        <v>119</v>
      </c>
      <c r="I178" s="314" t="s">
        <v>108</v>
      </c>
      <c r="J178" s="314" t="s">
        <v>120</v>
      </c>
      <c r="K178" s="314">
        <v>0</v>
      </c>
      <c r="L178" s="314">
        <v>0</v>
      </c>
      <c r="M178" s="315">
        <v>45145.9009953704</v>
      </c>
      <c r="N178" s="314" t="s">
        <v>842</v>
      </c>
      <c r="O178" s="314" t="s">
        <v>446</v>
      </c>
      <c r="P178" s="314" t="s">
        <v>161</v>
      </c>
      <c r="Q178" s="314" t="s">
        <v>123</v>
      </c>
      <c r="R178" s="315">
        <v>45145.9009837963</v>
      </c>
      <c r="S178" s="314" t="s">
        <v>842</v>
      </c>
      <c r="T178" s="314" t="s">
        <v>131</v>
      </c>
      <c r="U178" s="314" t="s">
        <v>131</v>
      </c>
      <c r="V178" s="314" t="s">
        <v>114</v>
      </c>
      <c r="W178" s="314"/>
      <c r="X178" s="314" t="str">
        <f>VLOOKUP(D178,代理总表!A:D,3,0)</f>
        <v>SOCO越南直播</v>
      </c>
      <c r="Y178" t="str">
        <f>VLOOKUP(D:D,代理总表!A:D,4,FALSE)</f>
        <v>SOCO越南直播ffvn66</v>
      </c>
      <c r="Z178">
        <f t="shared" si="6"/>
        <v>0</v>
      </c>
      <c r="AA178">
        <f t="shared" si="7"/>
        <v>21</v>
      </c>
      <c r="AB178">
        <f t="shared" si="8"/>
        <v>1</v>
      </c>
    </row>
    <row r="179" spans="1:28">
      <c r="A179" s="314" t="s">
        <v>843</v>
      </c>
      <c r="B179" s="314"/>
      <c r="C179" s="314">
        <v>13921096799</v>
      </c>
      <c r="D179" s="314" t="s">
        <v>148</v>
      </c>
      <c r="E179" s="314" t="s">
        <v>104</v>
      </c>
      <c r="F179" s="314" t="s">
        <v>149</v>
      </c>
      <c r="G179" s="314" t="s">
        <v>108</v>
      </c>
      <c r="H179" s="314" t="s">
        <v>119</v>
      </c>
      <c r="I179" s="314" t="s">
        <v>108</v>
      </c>
      <c r="J179" s="314" t="s">
        <v>109</v>
      </c>
      <c r="K179" s="314">
        <v>0</v>
      </c>
      <c r="L179" s="314">
        <v>0</v>
      </c>
      <c r="M179" s="315">
        <v>45145.9005555556</v>
      </c>
      <c r="N179" s="314" t="s">
        <v>844</v>
      </c>
      <c r="O179" s="314" t="s">
        <v>160</v>
      </c>
      <c r="P179" s="314" t="s">
        <v>208</v>
      </c>
      <c r="Q179" s="314" t="s">
        <v>123</v>
      </c>
      <c r="R179" s="315">
        <v>45145.9063773148</v>
      </c>
      <c r="S179" s="314" t="s">
        <v>844</v>
      </c>
      <c r="T179" s="314" t="s">
        <v>845</v>
      </c>
      <c r="U179" s="314" t="s">
        <v>845</v>
      </c>
      <c r="V179" s="314" t="s">
        <v>114</v>
      </c>
      <c r="W179" s="314"/>
      <c r="X179" s="314" t="str">
        <f>VLOOKUP(D179,代理总表!A:D,3,0)</f>
        <v>martin</v>
      </c>
      <c r="Y179" t="str">
        <f>VLOOKUP(D:D,代理总表!A:D,4,FALSE)</f>
        <v>SEO</v>
      </c>
      <c r="Z179">
        <f t="shared" si="6"/>
        <v>0</v>
      </c>
      <c r="AA179">
        <f t="shared" si="7"/>
        <v>21</v>
      </c>
      <c r="AB179">
        <f t="shared" si="8"/>
        <v>1</v>
      </c>
    </row>
    <row r="180" spans="1:28">
      <c r="A180" s="314" t="s">
        <v>846</v>
      </c>
      <c r="B180" s="314" t="s">
        <v>847</v>
      </c>
      <c r="C180" s="314">
        <v>388715684</v>
      </c>
      <c r="D180" s="314" t="s">
        <v>143</v>
      </c>
      <c r="E180" s="314" t="s">
        <v>117</v>
      </c>
      <c r="F180" s="314" t="s">
        <v>118</v>
      </c>
      <c r="G180" s="314" t="s">
        <v>108</v>
      </c>
      <c r="H180" s="314" t="s">
        <v>119</v>
      </c>
      <c r="I180" s="314" t="s">
        <v>108</v>
      </c>
      <c r="J180" s="314" t="s">
        <v>120</v>
      </c>
      <c r="K180" s="314">
        <v>0</v>
      </c>
      <c r="L180" s="314">
        <v>0</v>
      </c>
      <c r="M180" s="315">
        <v>45145.9000115741</v>
      </c>
      <c r="N180" s="314" t="s">
        <v>848</v>
      </c>
      <c r="O180" s="314" t="s">
        <v>407</v>
      </c>
      <c r="P180" s="314" t="s">
        <v>112</v>
      </c>
      <c r="Q180" s="314" t="s">
        <v>123</v>
      </c>
      <c r="R180" s="315">
        <v>45146.3328935185</v>
      </c>
      <c r="S180" s="314" t="s">
        <v>848</v>
      </c>
      <c r="T180" s="314" t="s">
        <v>849</v>
      </c>
      <c r="U180" s="314" t="s">
        <v>849</v>
      </c>
      <c r="V180" s="314" t="s">
        <v>114</v>
      </c>
      <c r="W180" s="314"/>
      <c r="X180" s="314" t="str">
        <f>VLOOKUP(D180,代理总表!A:D,3,0)</f>
        <v>雨燕直播-越</v>
      </c>
      <c r="Y180" t="str">
        <f>VLOOKUP(D:D,代理总表!A:D,4,FALSE)</f>
        <v>雨燕直播-越ffvn66</v>
      </c>
      <c r="Z180">
        <f t="shared" si="6"/>
        <v>0</v>
      </c>
      <c r="AA180">
        <f t="shared" si="7"/>
        <v>21</v>
      </c>
      <c r="AB180">
        <f t="shared" si="8"/>
        <v>1</v>
      </c>
    </row>
    <row r="181" spans="1:28">
      <c r="A181" s="314" t="s">
        <v>850</v>
      </c>
      <c r="B181" s="314"/>
      <c r="C181" s="314"/>
      <c r="D181" s="314" t="s">
        <v>103</v>
      </c>
      <c r="E181" s="314" t="s">
        <v>104</v>
      </c>
      <c r="F181" s="314" t="s">
        <v>118</v>
      </c>
      <c r="G181" s="314" t="s">
        <v>108</v>
      </c>
      <c r="H181" s="314" t="s">
        <v>119</v>
      </c>
      <c r="I181" s="314" t="s">
        <v>108</v>
      </c>
      <c r="J181" s="314" t="s">
        <v>109</v>
      </c>
      <c r="K181" s="314">
        <v>0</v>
      </c>
      <c r="L181" s="314">
        <v>0</v>
      </c>
      <c r="M181" s="315">
        <v>45145.8999305556</v>
      </c>
      <c r="N181" s="314" t="s">
        <v>686</v>
      </c>
      <c r="O181" s="314" t="s">
        <v>851</v>
      </c>
      <c r="P181" s="314" t="s">
        <v>339</v>
      </c>
      <c r="Q181" s="314" t="s">
        <v>123</v>
      </c>
      <c r="R181" s="314"/>
      <c r="S181" s="314"/>
      <c r="T181" s="314" t="s">
        <v>688</v>
      </c>
      <c r="U181" s="314"/>
      <c r="V181" s="314" t="s">
        <v>114</v>
      </c>
      <c r="W181" s="314"/>
      <c r="X181" s="314" t="str">
        <f>VLOOKUP(D181,代理总表!A:D,3,0)</f>
        <v>官网</v>
      </c>
      <c r="Y181" t="str">
        <f>VLOOKUP(D:D,代理总表!A:D,4,FALSE)</f>
        <v>官网</v>
      </c>
      <c r="Z181">
        <f t="shared" si="6"/>
        <v>0</v>
      </c>
      <c r="AA181">
        <f t="shared" si="7"/>
        <v>21</v>
      </c>
      <c r="AB181">
        <f t="shared" si="8"/>
        <v>1</v>
      </c>
    </row>
    <row r="182" spans="1:28">
      <c r="A182" s="314" t="s">
        <v>852</v>
      </c>
      <c r="B182" s="314"/>
      <c r="C182" s="314"/>
      <c r="D182" s="314" t="s">
        <v>103</v>
      </c>
      <c r="E182" s="314" t="s">
        <v>104</v>
      </c>
      <c r="F182" s="314" t="s">
        <v>118</v>
      </c>
      <c r="G182" s="314" t="s">
        <v>108</v>
      </c>
      <c r="H182" s="314" t="s">
        <v>119</v>
      </c>
      <c r="I182" s="314" t="s">
        <v>108</v>
      </c>
      <c r="J182" s="314" t="s">
        <v>109</v>
      </c>
      <c r="K182" s="314">
        <v>0</v>
      </c>
      <c r="L182" s="314">
        <v>0</v>
      </c>
      <c r="M182" s="315">
        <v>45145.8994560185</v>
      </c>
      <c r="N182" s="314" t="s">
        <v>853</v>
      </c>
      <c r="O182" s="314" t="s">
        <v>851</v>
      </c>
      <c r="P182" s="314" t="s">
        <v>339</v>
      </c>
      <c r="Q182" s="314" t="s">
        <v>123</v>
      </c>
      <c r="R182" s="314"/>
      <c r="S182" s="314"/>
      <c r="T182" s="314" t="s">
        <v>467</v>
      </c>
      <c r="U182" s="314"/>
      <c r="V182" s="314" t="s">
        <v>114</v>
      </c>
      <c r="W182" s="314"/>
      <c r="X182" s="314" t="str">
        <f>VLOOKUP(D182,代理总表!A:D,3,0)</f>
        <v>官网</v>
      </c>
      <c r="Y182" t="str">
        <f>VLOOKUP(D:D,代理总表!A:D,4,FALSE)</f>
        <v>官网</v>
      </c>
      <c r="Z182">
        <f t="shared" si="6"/>
        <v>0</v>
      </c>
      <c r="AA182">
        <f t="shared" si="7"/>
        <v>21</v>
      </c>
      <c r="AB182">
        <f t="shared" si="8"/>
        <v>1</v>
      </c>
    </row>
    <row r="183" spans="1:28">
      <c r="A183" s="314" t="s">
        <v>854</v>
      </c>
      <c r="B183" s="314"/>
      <c r="C183" s="314">
        <v>16651269263</v>
      </c>
      <c r="D183" s="314" t="s">
        <v>855</v>
      </c>
      <c r="E183" s="314" t="s">
        <v>104</v>
      </c>
      <c r="F183" s="314" t="s">
        <v>144</v>
      </c>
      <c r="G183" s="314" t="s">
        <v>106</v>
      </c>
      <c r="H183" s="314" t="s">
        <v>856</v>
      </c>
      <c r="I183" s="314" t="s">
        <v>108</v>
      </c>
      <c r="J183" s="314" t="s">
        <v>415</v>
      </c>
      <c r="K183" s="314">
        <v>85</v>
      </c>
      <c r="L183" s="314">
        <v>987.58</v>
      </c>
      <c r="M183" s="315">
        <v>45145.8993634259</v>
      </c>
      <c r="N183" s="314" t="s">
        <v>857</v>
      </c>
      <c r="O183" s="314" t="s">
        <v>858</v>
      </c>
      <c r="P183" s="314" t="s">
        <v>112</v>
      </c>
      <c r="Q183" s="315">
        <v>45145.918287037</v>
      </c>
      <c r="R183" s="315">
        <v>45145.9586111111</v>
      </c>
      <c r="S183" s="314" t="s">
        <v>857</v>
      </c>
      <c r="T183" s="314" t="s">
        <v>859</v>
      </c>
      <c r="U183" s="314" t="s">
        <v>859</v>
      </c>
      <c r="V183" s="314" t="s">
        <v>114</v>
      </c>
      <c r="W183" s="314"/>
      <c r="X183" s="314" t="e">
        <f>VLOOKUP(D183,代理总表!A:D,3,0)</f>
        <v>#N/A</v>
      </c>
      <c r="Y183" t="e">
        <f>VLOOKUP(D:D,代理总表!A:D,4,FALSE)</f>
        <v>#N/A</v>
      </c>
      <c r="Z183">
        <f t="shared" si="6"/>
        <v>1</v>
      </c>
      <c r="AA183">
        <f t="shared" si="7"/>
        <v>21</v>
      </c>
      <c r="AB183">
        <f t="shared" si="8"/>
        <v>1</v>
      </c>
    </row>
    <row r="184" spans="1:28">
      <c r="A184" s="314" t="s">
        <v>860</v>
      </c>
      <c r="B184" s="314"/>
      <c r="C184" s="314">
        <v>385734171</v>
      </c>
      <c r="D184" s="314" t="s">
        <v>116</v>
      </c>
      <c r="E184" s="314" t="s">
        <v>117</v>
      </c>
      <c r="F184" s="314" t="s">
        <v>118</v>
      </c>
      <c r="G184" s="314" t="s">
        <v>108</v>
      </c>
      <c r="H184" s="314" t="s">
        <v>119</v>
      </c>
      <c r="I184" s="314" t="s">
        <v>108</v>
      </c>
      <c r="J184" s="314" t="s">
        <v>120</v>
      </c>
      <c r="K184" s="314">
        <v>0</v>
      </c>
      <c r="L184" s="314">
        <v>0</v>
      </c>
      <c r="M184" s="315">
        <v>45145.8990393519</v>
      </c>
      <c r="N184" s="314" t="s">
        <v>861</v>
      </c>
      <c r="O184" s="314" t="s">
        <v>122</v>
      </c>
      <c r="P184" s="314" t="s">
        <v>112</v>
      </c>
      <c r="Q184" s="314" t="s">
        <v>123</v>
      </c>
      <c r="R184" s="315">
        <v>45145.9066898148</v>
      </c>
      <c r="S184" s="314" t="s">
        <v>861</v>
      </c>
      <c r="T184" s="314" t="s">
        <v>655</v>
      </c>
      <c r="U184" s="314" t="s">
        <v>655</v>
      </c>
      <c r="V184" s="314" t="s">
        <v>114</v>
      </c>
      <c r="W184" s="314"/>
      <c r="X184" s="314" t="str">
        <f>VLOOKUP(D184,代理总表!A:D,3,0)</f>
        <v>外部代理总线</v>
      </c>
      <c r="Y184" t="str">
        <f>VLOOKUP(D:D,代理总表!A:D,4,FALSE)</f>
        <v>外部代理总线zh0808</v>
      </c>
      <c r="Z184">
        <f t="shared" si="6"/>
        <v>0</v>
      </c>
      <c r="AA184">
        <f t="shared" si="7"/>
        <v>21</v>
      </c>
      <c r="AB184">
        <f t="shared" si="8"/>
        <v>1</v>
      </c>
    </row>
    <row r="185" spans="1:28">
      <c r="A185" s="314" t="s">
        <v>862</v>
      </c>
      <c r="B185" s="314" t="s">
        <v>863</v>
      </c>
      <c r="C185" s="314">
        <v>18301061706</v>
      </c>
      <c r="D185" s="314" t="s">
        <v>148</v>
      </c>
      <c r="E185" s="314" t="s">
        <v>104</v>
      </c>
      <c r="F185" s="314" t="s">
        <v>149</v>
      </c>
      <c r="G185" s="314" t="s">
        <v>108</v>
      </c>
      <c r="H185" s="314" t="s">
        <v>119</v>
      </c>
      <c r="I185" s="314" t="s">
        <v>108</v>
      </c>
      <c r="J185" s="314" t="s">
        <v>109</v>
      </c>
      <c r="K185" s="314">
        <v>0</v>
      </c>
      <c r="L185" s="314">
        <v>0</v>
      </c>
      <c r="M185" s="315">
        <v>45145.8980208333</v>
      </c>
      <c r="N185" s="314" t="s">
        <v>864</v>
      </c>
      <c r="O185" s="314" t="s">
        <v>585</v>
      </c>
      <c r="P185" s="314" t="s">
        <v>112</v>
      </c>
      <c r="Q185" s="314" t="s">
        <v>123</v>
      </c>
      <c r="R185" s="315">
        <v>45145.8980092593</v>
      </c>
      <c r="S185" s="314" t="s">
        <v>864</v>
      </c>
      <c r="T185" s="314" t="s">
        <v>561</v>
      </c>
      <c r="U185" s="314" t="s">
        <v>561</v>
      </c>
      <c r="V185" s="314" t="s">
        <v>114</v>
      </c>
      <c r="W185" s="314"/>
      <c r="X185" s="314" t="str">
        <f>VLOOKUP(D185,代理总表!A:D,3,0)</f>
        <v>martin</v>
      </c>
      <c r="Y185" t="str">
        <f>VLOOKUP(D:D,代理总表!A:D,4,FALSE)</f>
        <v>SEO</v>
      </c>
      <c r="Z185">
        <f t="shared" si="6"/>
        <v>0</v>
      </c>
      <c r="AA185">
        <f t="shared" si="7"/>
        <v>21</v>
      </c>
      <c r="AB185">
        <f t="shared" si="8"/>
        <v>1</v>
      </c>
    </row>
    <row r="186" spans="1:28">
      <c r="A186" s="314" t="s">
        <v>865</v>
      </c>
      <c r="B186" s="314"/>
      <c r="C186" s="314">
        <v>18384800451</v>
      </c>
      <c r="D186" s="314" t="s">
        <v>235</v>
      </c>
      <c r="E186" s="314" t="s">
        <v>104</v>
      </c>
      <c r="F186" s="314" t="s">
        <v>149</v>
      </c>
      <c r="G186" s="314" t="s">
        <v>108</v>
      </c>
      <c r="H186" s="314" t="s">
        <v>119</v>
      </c>
      <c r="I186" s="314" t="s">
        <v>108</v>
      </c>
      <c r="J186" s="314" t="s">
        <v>109</v>
      </c>
      <c r="K186" s="314">
        <v>0</v>
      </c>
      <c r="L186" s="314">
        <v>0</v>
      </c>
      <c r="M186" s="315">
        <v>45145.8965740741</v>
      </c>
      <c r="N186" s="314" t="s">
        <v>866</v>
      </c>
      <c r="O186" s="314" t="s">
        <v>786</v>
      </c>
      <c r="P186" s="314" t="s">
        <v>161</v>
      </c>
      <c r="Q186" s="314" t="s">
        <v>123</v>
      </c>
      <c r="R186" s="315">
        <v>45145.8965625</v>
      </c>
      <c r="S186" s="314" t="s">
        <v>866</v>
      </c>
      <c r="T186" s="314" t="s">
        <v>867</v>
      </c>
      <c r="U186" s="314" t="s">
        <v>867</v>
      </c>
      <c r="V186" s="314" t="s">
        <v>114</v>
      </c>
      <c r="W186" s="314"/>
      <c r="X186" s="314" t="str">
        <f>VLOOKUP(D186,代理总表!A:D,3,0)</f>
        <v>aber</v>
      </c>
      <c r="Y186" t="str">
        <f>VLOOKUP(D:D,代理总表!A:D,4,FALSE)</f>
        <v>SEO</v>
      </c>
      <c r="Z186">
        <f t="shared" si="6"/>
        <v>0</v>
      </c>
      <c r="AA186">
        <f t="shared" si="7"/>
        <v>21</v>
      </c>
      <c r="AB186">
        <f t="shared" si="8"/>
        <v>1</v>
      </c>
    </row>
    <row r="187" spans="1:28">
      <c r="A187" s="314" t="s">
        <v>868</v>
      </c>
      <c r="B187" s="314"/>
      <c r="C187" s="314">
        <v>15353802969</v>
      </c>
      <c r="D187" s="314" t="s">
        <v>479</v>
      </c>
      <c r="E187" s="314" t="s">
        <v>104</v>
      </c>
      <c r="F187" s="314" t="s">
        <v>118</v>
      </c>
      <c r="G187" s="314" t="s">
        <v>108</v>
      </c>
      <c r="H187" s="314" t="s">
        <v>119</v>
      </c>
      <c r="I187" s="314" t="s">
        <v>108</v>
      </c>
      <c r="J187" s="314" t="s">
        <v>109</v>
      </c>
      <c r="K187" s="314">
        <v>0</v>
      </c>
      <c r="L187" s="314">
        <v>0</v>
      </c>
      <c r="M187" s="315">
        <v>45145.8959143519</v>
      </c>
      <c r="N187" s="314" t="s">
        <v>869</v>
      </c>
      <c r="O187" s="314" t="s">
        <v>870</v>
      </c>
      <c r="P187" s="314" t="s">
        <v>339</v>
      </c>
      <c r="Q187" s="314" t="s">
        <v>123</v>
      </c>
      <c r="R187" s="315">
        <v>45145.8959143519</v>
      </c>
      <c r="S187" s="314" t="s">
        <v>869</v>
      </c>
      <c r="T187" s="314" t="s">
        <v>871</v>
      </c>
      <c r="U187" s="314" t="s">
        <v>871</v>
      </c>
      <c r="V187" s="314" t="s">
        <v>114</v>
      </c>
      <c r="W187" s="314"/>
      <c r="X187" s="314" t="str">
        <f>VLOOKUP(D187,代理总表!A:D,3,0)</f>
        <v>GT-骨头</v>
      </c>
      <c r="Y187" t="str">
        <f>VLOOKUP(D:D,代理总表!A:D,4,FALSE)</f>
        <v>B直播gt6677</v>
      </c>
      <c r="Z187">
        <f t="shared" si="6"/>
        <v>0</v>
      </c>
      <c r="AA187">
        <f t="shared" si="7"/>
        <v>21</v>
      </c>
      <c r="AB187">
        <f t="shared" si="8"/>
        <v>1</v>
      </c>
    </row>
    <row r="188" spans="1:28">
      <c r="A188" s="314" t="s">
        <v>872</v>
      </c>
      <c r="B188" s="314" t="s">
        <v>873</v>
      </c>
      <c r="C188" s="314">
        <v>559930892</v>
      </c>
      <c r="D188" s="314" t="s">
        <v>197</v>
      </c>
      <c r="E188" s="314" t="s">
        <v>117</v>
      </c>
      <c r="F188" s="314" t="s">
        <v>144</v>
      </c>
      <c r="G188" s="314" t="s">
        <v>106</v>
      </c>
      <c r="H188" s="314" t="s">
        <v>107</v>
      </c>
      <c r="I188" s="314" t="s">
        <v>108</v>
      </c>
      <c r="J188" s="314" t="s">
        <v>120</v>
      </c>
      <c r="K188" s="314">
        <v>280000</v>
      </c>
      <c r="L188" s="314">
        <v>200000</v>
      </c>
      <c r="M188" s="315">
        <v>45145.8946875</v>
      </c>
      <c r="N188" s="314" t="s">
        <v>874</v>
      </c>
      <c r="O188" s="314" t="s">
        <v>875</v>
      </c>
      <c r="P188" s="314" t="s">
        <v>112</v>
      </c>
      <c r="Q188" s="315">
        <v>45145.9026388889</v>
      </c>
      <c r="R188" s="315">
        <v>45145.8946875</v>
      </c>
      <c r="S188" s="314" t="s">
        <v>874</v>
      </c>
      <c r="T188" s="314" t="s">
        <v>849</v>
      </c>
      <c r="U188" s="314" t="s">
        <v>849</v>
      </c>
      <c r="V188" s="314" t="s">
        <v>114</v>
      </c>
      <c r="W188" s="314"/>
      <c r="X188" s="314" t="str">
        <f>VLOOKUP(D188,代理总表!A:D,3,0)</f>
        <v>雨燕直播-越</v>
      </c>
      <c r="Y188" t="str">
        <f>VLOOKUP(D:D,代理总表!A:D,4,FALSE)</f>
        <v>雨燕直播-越ffvn66</v>
      </c>
      <c r="Z188">
        <f t="shared" si="6"/>
        <v>1</v>
      </c>
      <c r="AA188">
        <f t="shared" si="7"/>
        <v>21</v>
      </c>
      <c r="AB188">
        <f t="shared" si="8"/>
        <v>1</v>
      </c>
    </row>
    <row r="189" spans="1:28">
      <c r="A189" s="314" t="s">
        <v>876</v>
      </c>
      <c r="B189" s="314"/>
      <c r="C189" s="314">
        <v>15000675854</v>
      </c>
      <c r="D189" s="314" t="s">
        <v>235</v>
      </c>
      <c r="E189" s="314" t="s">
        <v>104</v>
      </c>
      <c r="F189" s="314" t="s">
        <v>149</v>
      </c>
      <c r="G189" s="314" t="s">
        <v>108</v>
      </c>
      <c r="H189" s="314" t="s">
        <v>119</v>
      </c>
      <c r="I189" s="314" t="s">
        <v>108</v>
      </c>
      <c r="J189" s="314" t="s">
        <v>109</v>
      </c>
      <c r="K189" s="314">
        <v>0</v>
      </c>
      <c r="L189" s="314">
        <v>0</v>
      </c>
      <c r="M189" s="315">
        <v>45145.8941087963</v>
      </c>
      <c r="N189" s="314" t="s">
        <v>877</v>
      </c>
      <c r="O189" s="314" t="s">
        <v>786</v>
      </c>
      <c r="P189" s="314" t="s">
        <v>161</v>
      </c>
      <c r="Q189" s="314" t="s">
        <v>123</v>
      </c>
      <c r="R189" s="315">
        <v>45145.8941087963</v>
      </c>
      <c r="S189" s="314" t="s">
        <v>877</v>
      </c>
      <c r="T189" s="314" t="s">
        <v>878</v>
      </c>
      <c r="U189" s="314" t="s">
        <v>878</v>
      </c>
      <c r="V189" s="314" t="s">
        <v>114</v>
      </c>
      <c r="W189" s="314"/>
      <c r="X189" s="314" t="str">
        <f>VLOOKUP(D189,代理总表!A:D,3,0)</f>
        <v>aber</v>
      </c>
      <c r="Y189" t="str">
        <f>VLOOKUP(D:D,代理总表!A:D,4,FALSE)</f>
        <v>SEO</v>
      </c>
      <c r="Z189">
        <f t="shared" si="6"/>
        <v>0</v>
      </c>
      <c r="AA189">
        <f t="shared" si="7"/>
        <v>21</v>
      </c>
      <c r="AB189">
        <f t="shared" si="8"/>
        <v>1</v>
      </c>
    </row>
    <row r="190" spans="1:28">
      <c r="A190" s="314" t="s">
        <v>879</v>
      </c>
      <c r="B190" s="314"/>
      <c r="C190" s="314"/>
      <c r="D190" s="314" t="s">
        <v>172</v>
      </c>
      <c r="E190" s="314" t="s">
        <v>117</v>
      </c>
      <c r="F190" s="314" t="s">
        <v>118</v>
      </c>
      <c r="G190" s="314" t="s">
        <v>108</v>
      </c>
      <c r="H190" s="314" t="s">
        <v>119</v>
      </c>
      <c r="I190" s="314" t="s">
        <v>108</v>
      </c>
      <c r="J190" s="314" t="s">
        <v>120</v>
      </c>
      <c r="K190" s="314">
        <v>0</v>
      </c>
      <c r="L190" s="314">
        <v>0</v>
      </c>
      <c r="M190" s="315">
        <v>45145.8929398148</v>
      </c>
      <c r="N190" s="314" t="s">
        <v>880</v>
      </c>
      <c r="O190" s="314" t="s">
        <v>881</v>
      </c>
      <c r="P190" s="314" t="s">
        <v>112</v>
      </c>
      <c r="Q190" s="314" t="s">
        <v>123</v>
      </c>
      <c r="R190" s="315">
        <v>45145.8929398148</v>
      </c>
      <c r="S190" s="314" t="s">
        <v>880</v>
      </c>
      <c r="T190" s="314" t="s">
        <v>743</v>
      </c>
      <c r="U190" s="314" t="s">
        <v>743</v>
      </c>
      <c r="V190" s="314" t="s">
        <v>114</v>
      </c>
      <c r="W190" s="314"/>
      <c r="X190" s="314" t="str">
        <f>VLOOKUP(D190,代理总表!A:D,3,0)</f>
        <v>雨燕直播-越</v>
      </c>
      <c r="Y190" t="str">
        <f>VLOOKUP(D:D,代理总表!A:D,4,FALSE)</f>
        <v>雨燕直播-越ffvn66</v>
      </c>
      <c r="Z190">
        <f t="shared" si="6"/>
        <v>0</v>
      </c>
      <c r="AA190">
        <f t="shared" si="7"/>
        <v>21</v>
      </c>
      <c r="AB190">
        <f t="shared" si="8"/>
        <v>1</v>
      </c>
    </row>
    <row r="191" spans="1:28">
      <c r="A191" s="314" t="s">
        <v>882</v>
      </c>
      <c r="B191" s="314" t="s">
        <v>883</v>
      </c>
      <c r="C191" s="314">
        <v>13560088058</v>
      </c>
      <c r="D191" s="314" t="s">
        <v>454</v>
      </c>
      <c r="E191" s="314" t="s">
        <v>104</v>
      </c>
      <c r="F191" s="314" t="s">
        <v>144</v>
      </c>
      <c r="G191" s="314" t="s">
        <v>106</v>
      </c>
      <c r="H191" s="314" t="s">
        <v>107</v>
      </c>
      <c r="I191" s="314" t="s">
        <v>108</v>
      </c>
      <c r="J191" s="314" t="s">
        <v>109</v>
      </c>
      <c r="K191" s="314">
        <v>300</v>
      </c>
      <c r="L191" s="314">
        <v>0</v>
      </c>
      <c r="M191" s="315">
        <v>45145.8929398148</v>
      </c>
      <c r="N191" s="314" t="s">
        <v>884</v>
      </c>
      <c r="O191" s="314" t="s">
        <v>885</v>
      </c>
      <c r="P191" s="314" t="s">
        <v>112</v>
      </c>
      <c r="Q191" s="315">
        <v>45146.0121527778</v>
      </c>
      <c r="R191" s="315">
        <v>45146.0918287037</v>
      </c>
      <c r="S191" s="314" t="s">
        <v>886</v>
      </c>
      <c r="T191" s="314" t="s">
        <v>262</v>
      </c>
      <c r="U191" s="314" t="s">
        <v>887</v>
      </c>
      <c r="V191" s="314" t="s">
        <v>114</v>
      </c>
      <c r="W191" s="314"/>
      <c r="X191" s="314" t="str">
        <f>VLOOKUP(D191,代理总表!A:D,3,0)</f>
        <v>雨燕直播</v>
      </c>
      <c r="Y191" t="str">
        <f>VLOOKUP(D:D,代理总表!A:D,4,FALSE)</f>
        <v>雨燕直播zzzb888</v>
      </c>
      <c r="Z191">
        <f t="shared" si="6"/>
        <v>1</v>
      </c>
      <c r="AA191">
        <f t="shared" si="7"/>
        <v>21</v>
      </c>
      <c r="AB191">
        <f t="shared" si="8"/>
        <v>1</v>
      </c>
    </row>
    <row r="192" spans="1:28">
      <c r="A192" s="314" t="s">
        <v>888</v>
      </c>
      <c r="B192" s="314"/>
      <c r="C192" s="314">
        <v>17665691772</v>
      </c>
      <c r="D192" s="314" t="s">
        <v>148</v>
      </c>
      <c r="E192" s="314" t="s">
        <v>104</v>
      </c>
      <c r="F192" s="314" t="s">
        <v>149</v>
      </c>
      <c r="G192" s="314" t="s">
        <v>108</v>
      </c>
      <c r="H192" s="314" t="s">
        <v>119</v>
      </c>
      <c r="I192" s="314" t="s">
        <v>108</v>
      </c>
      <c r="J192" s="314" t="s">
        <v>109</v>
      </c>
      <c r="K192" s="314">
        <v>0</v>
      </c>
      <c r="L192" s="314">
        <v>0</v>
      </c>
      <c r="M192" s="315">
        <v>45145.8917476852</v>
      </c>
      <c r="N192" s="314" t="s">
        <v>889</v>
      </c>
      <c r="O192" s="314" t="s">
        <v>585</v>
      </c>
      <c r="P192" s="314" t="s">
        <v>112</v>
      </c>
      <c r="Q192" s="314" t="s">
        <v>123</v>
      </c>
      <c r="R192" s="315">
        <v>45145.8917476852</v>
      </c>
      <c r="S192" s="314" t="s">
        <v>889</v>
      </c>
      <c r="T192" s="314" t="s">
        <v>890</v>
      </c>
      <c r="U192" s="314" t="s">
        <v>890</v>
      </c>
      <c r="V192" s="314" t="s">
        <v>114</v>
      </c>
      <c r="W192" s="314"/>
      <c r="X192" s="314" t="str">
        <f>VLOOKUP(D192,代理总表!A:D,3,0)</f>
        <v>martin</v>
      </c>
      <c r="Y192" t="str">
        <f>VLOOKUP(D:D,代理总表!A:D,4,FALSE)</f>
        <v>SEO</v>
      </c>
      <c r="Z192">
        <f t="shared" si="6"/>
        <v>0</v>
      </c>
      <c r="AA192">
        <f t="shared" si="7"/>
        <v>21</v>
      </c>
      <c r="AB192">
        <f t="shared" si="8"/>
        <v>1</v>
      </c>
    </row>
    <row r="193" spans="1:28">
      <c r="A193" s="314" t="s">
        <v>891</v>
      </c>
      <c r="B193" s="314"/>
      <c r="C193" s="314"/>
      <c r="D193" s="314" t="s">
        <v>116</v>
      </c>
      <c r="E193" s="314" t="s">
        <v>117</v>
      </c>
      <c r="F193" s="314" t="s">
        <v>118</v>
      </c>
      <c r="G193" s="314" t="s">
        <v>108</v>
      </c>
      <c r="H193" s="314" t="s">
        <v>119</v>
      </c>
      <c r="I193" s="314" t="s">
        <v>108</v>
      </c>
      <c r="J193" s="314" t="s">
        <v>120</v>
      </c>
      <c r="K193" s="314">
        <v>0</v>
      </c>
      <c r="L193" s="314">
        <v>0</v>
      </c>
      <c r="M193" s="315">
        <v>45145.8911458333</v>
      </c>
      <c r="N193" s="314" t="s">
        <v>792</v>
      </c>
      <c r="O193" s="314" t="s">
        <v>122</v>
      </c>
      <c r="P193" s="314" t="s">
        <v>112</v>
      </c>
      <c r="Q193" s="314" t="s">
        <v>123</v>
      </c>
      <c r="R193" s="315">
        <v>45145.8980671296</v>
      </c>
      <c r="S193" s="314" t="s">
        <v>792</v>
      </c>
      <c r="T193" s="314" t="s">
        <v>131</v>
      </c>
      <c r="U193" s="314" t="s">
        <v>131</v>
      </c>
      <c r="V193" s="314" t="s">
        <v>114</v>
      </c>
      <c r="W193" s="314"/>
      <c r="X193" s="314" t="str">
        <f>VLOOKUP(D193,代理总表!A:D,3,0)</f>
        <v>外部代理总线</v>
      </c>
      <c r="Y193" t="str">
        <f>VLOOKUP(D:D,代理总表!A:D,4,FALSE)</f>
        <v>外部代理总线zh0808</v>
      </c>
      <c r="Z193">
        <f t="shared" si="6"/>
        <v>0</v>
      </c>
      <c r="AA193">
        <f t="shared" si="7"/>
        <v>21</v>
      </c>
      <c r="AB193">
        <f t="shared" si="8"/>
        <v>1</v>
      </c>
    </row>
    <row r="194" spans="1:28">
      <c r="A194" s="314" t="s">
        <v>892</v>
      </c>
      <c r="B194" s="314" t="s">
        <v>893</v>
      </c>
      <c r="C194" s="314">
        <v>15375005562</v>
      </c>
      <c r="D194" s="314" t="s">
        <v>103</v>
      </c>
      <c r="E194" s="314" t="s">
        <v>104</v>
      </c>
      <c r="F194" s="314" t="s">
        <v>118</v>
      </c>
      <c r="G194" s="314" t="s">
        <v>108</v>
      </c>
      <c r="H194" s="314" t="s">
        <v>119</v>
      </c>
      <c r="I194" s="314" t="s">
        <v>108</v>
      </c>
      <c r="J194" s="314" t="s">
        <v>109</v>
      </c>
      <c r="K194" s="314">
        <v>0</v>
      </c>
      <c r="L194" s="314">
        <v>0</v>
      </c>
      <c r="M194" s="315">
        <v>45145.8908333333</v>
      </c>
      <c r="N194" s="314" t="s">
        <v>894</v>
      </c>
      <c r="O194" s="314" t="s">
        <v>895</v>
      </c>
      <c r="P194" s="314" t="s">
        <v>161</v>
      </c>
      <c r="Q194" s="314" t="s">
        <v>123</v>
      </c>
      <c r="R194" s="315">
        <v>45145.8908333333</v>
      </c>
      <c r="S194" s="314" t="s">
        <v>894</v>
      </c>
      <c r="T194" s="314" t="s">
        <v>896</v>
      </c>
      <c r="U194" s="314" t="s">
        <v>896</v>
      </c>
      <c r="V194" s="314" t="s">
        <v>114</v>
      </c>
      <c r="W194" s="314"/>
      <c r="X194" s="314" t="str">
        <f>VLOOKUP(D194,代理总表!A:D,3,0)</f>
        <v>官网</v>
      </c>
      <c r="Y194" t="str">
        <f>VLOOKUP(D:D,代理总表!A:D,4,FALSE)</f>
        <v>官网</v>
      </c>
      <c r="Z194">
        <f t="shared" si="6"/>
        <v>0</v>
      </c>
      <c r="AA194">
        <f t="shared" si="7"/>
        <v>21</v>
      </c>
      <c r="AB194">
        <f t="shared" si="8"/>
        <v>1</v>
      </c>
    </row>
    <row r="195" spans="1:28">
      <c r="A195" s="314" t="s">
        <v>897</v>
      </c>
      <c r="B195" s="314"/>
      <c r="C195" s="314">
        <v>15948740787</v>
      </c>
      <c r="D195" s="314" t="s">
        <v>370</v>
      </c>
      <c r="E195" s="314" t="s">
        <v>104</v>
      </c>
      <c r="F195" s="314" t="s">
        <v>118</v>
      </c>
      <c r="G195" s="314" t="s">
        <v>108</v>
      </c>
      <c r="H195" s="314" t="s">
        <v>119</v>
      </c>
      <c r="I195" s="314" t="s">
        <v>108</v>
      </c>
      <c r="J195" s="314" t="s">
        <v>109</v>
      </c>
      <c r="K195" s="314">
        <v>0</v>
      </c>
      <c r="L195" s="314">
        <v>0</v>
      </c>
      <c r="M195" s="315">
        <v>45145.8894328704</v>
      </c>
      <c r="N195" s="314" t="s">
        <v>898</v>
      </c>
      <c r="O195" s="314" t="s">
        <v>813</v>
      </c>
      <c r="P195" s="314" t="s">
        <v>112</v>
      </c>
      <c r="Q195" s="314" t="s">
        <v>123</v>
      </c>
      <c r="R195" s="315">
        <v>45145.8935416667</v>
      </c>
      <c r="S195" s="314" t="s">
        <v>898</v>
      </c>
      <c r="T195" s="314" t="s">
        <v>899</v>
      </c>
      <c r="U195" s="314" t="s">
        <v>899</v>
      </c>
      <c r="V195" s="314" t="s">
        <v>114</v>
      </c>
      <c r="W195" s="314"/>
      <c r="X195" s="314" t="str">
        <f>VLOOKUP(D195,代理总表!A:D,3,0)</f>
        <v>GT-骨头</v>
      </c>
      <c r="Y195" t="str">
        <f>VLOOKUP(D:D,代理总表!A:D,4,FALSE)</f>
        <v>GT-骨头gt6677</v>
      </c>
      <c r="Z195">
        <f t="shared" ref="Z195:Z258" si="9">IF(RIGHT(H195,1)&gt;"0",1,0)</f>
        <v>0</v>
      </c>
      <c r="AA195">
        <f t="shared" ref="AA195:AA258" si="10">HOUR(M195)</f>
        <v>21</v>
      </c>
      <c r="AB195">
        <f t="shared" ref="AB195:AB258" si="11">IF(AE195=AF195,1,0)</f>
        <v>1</v>
      </c>
    </row>
    <row r="196" spans="1:28">
      <c r="A196" s="314" t="s">
        <v>900</v>
      </c>
      <c r="B196" s="314" t="s">
        <v>901</v>
      </c>
      <c r="C196" s="314">
        <v>983484785</v>
      </c>
      <c r="D196" s="314" t="s">
        <v>197</v>
      </c>
      <c r="E196" s="314" t="s">
        <v>117</v>
      </c>
      <c r="F196" s="314" t="s">
        <v>144</v>
      </c>
      <c r="G196" s="314" t="s">
        <v>106</v>
      </c>
      <c r="H196" s="314" t="s">
        <v>107</v>
      </c>
      <c r="I196" s="314" t="s">
        <v>108</v>
      </c>
      <c r="J196" s="314" t="s">
        <v>120</v>
      </c>
      <c r="K196" s="314">
        <v>600000</v>
      </c>
      <c r="L196" s="314">
        <v>500000</v>
      </c>
      <c r="M196" s="315">
        <v>45145.8890856481</v>
      </c>
      <c r="N196" s="314" t="s">
        <v>902</v>
      </c>
      <c r="O196" s="314" t="s">
        <v>875</v>
      </c>
      <c r="P196" s="314" t="s">
        <v>112</v>
      </c>
      <c r="Q196" s="315">
        <v>45145.9352314815</v>
      </c>
      <c r="R196" s="315">
        <v>45146.0251273148</v>
      </c>
      <c r="S196" s="314" t="s">
        <v>903</v>
      </c>
      <c r="T196" s="314" t="s">
        <v>904</v>
      </c>
      <c r="U196" s="314" t="s">
        <v>124</v>
      </c>
      <c r="V196" s="314" t="s">
        <v>114</v>
      </c>
      <c r="W196" s="314"/>
      <c r="X196" s="314" t="str">
        <f>VLOOKUP(D196,代理总表!A:D,3,0)</f>
        <v>雨燕直播-越</v>
      </c>
      <c r="Y196" t="str">
        <f>VLOOKUP(D:D,代理总表!A:D,4,FALSE)</f>
        <v>雨燕直播-越ffvn66</v>
      </c>
      <c r="Z196">
        <f t="shared" si="9"/>
        <v>1</v>
      </c>
      <c r="AA196">
        <f t="shared" si="10"/>
        <v>21</v>
      </c>
      <c r="AB196">
        <f t="shared" si="11"/>
        <v>1</v>
      </c>
    </row>
    <row r="197" spans="1:28">
      <c r="A197" s="314" t="s">
        <v>905</v>
      </c>
      <c r="B197" s="314"/>
      <c r="C197" s="314"/>
      <c r="D197" s="314" t="s">
        <v>143</v>
      </c>
      <c r="E197" s="314" t="s">
        <v>117</v>
      </c>
      <c r="F197" s="314" t="s">
        <v>118</v>
      </c>
      <c r="G197" s="314" t="s">
        <v>108</v>
      </c>
      <c r="H197" s="314" t="s">
        <v>119</v>
      </c>
      <c r="I197" s="314" t="s">
        <v>108</v>
      </c>
      <c r="J197" s="314" t="s">
        <v>120</v>
      </c>
      <c r="K197" s="314">
        <v>0</v>
      </c>
      <c r="L197" s="314">
        <v>0</v>
      </c>
      <c r="M197" s="315">
        <v>45145.8859606481</v>
      </c>
      <c r="N197" s="314" t="s">
        <v>906</v>
      </c>
      <c r="O197" s="314" t="s">
        <v>407</v>
      </c>
      <c r="P197" s="314" t="s">
        <v>112</v>
      </c>
      <c r="Q197" s="314" t="s">
        <v>123</v>
      </c>
      <c r="R197" s="315">
        <v>45145.8859490741</v>
      </c>
      <c r="S197" s="314" t="s">
        <v>906</v>
      </c>
      <c r="T197" s="314" t="s">
        <v>907</v>
      </c>
      <c r="U197" s="314" t="s">
        <v>907</v>
      </c>
      <c r="V197" s="314" t="s">
        <v>114</v>
      </c>
      <c r="W197" s="314"/>
      <c r="X197" s="314" t="str">
        <f>VLOOKUP(D197,代理总表!A:D,3,0)</f>
        <v>雨燕直播-越</v>
      </c>
      <c r="Y197" t="str">
        <f>VLOOKUP(D:D,代理总表!A:D,4,FALSE)</f>
        <v>雨燕直播-越ffvn66</v>
      </c>
      <c r="Z197">
        <f t="shared" si="9"/>
        <v>0</v>
      </c>
      <c r="AA197">
        <f t="shared" si="10"/>
        <v>21</v>
      </c>
      <c r="AB197">
        <f t="shared" si="11"/>
        <v>1</v>
      </c>
    </row>
    <row r="198" spans="1:28">
      <c r="A198" s="314" t="s">
        <v>908</v>
      </c>
      <c r="B198" s="314"/>
      <c r="C198" s="314">
        <v>19532750112</v>
      </c>
      <c r="D198" s="314" t="s">
        <v>205</v>
      </c>
      <c r="E198" s="314" t="s">
        <v>104</v>
      </c>
      <c r="F198" s="314" t="s">
        <v>149</v>
      </c>
      <c r="G198" s="314" t="s">
        <v>108</v>
      </c>
      <c r="H198" s="314" t="s">
        <v>119</v>
      </c>
      <c r="I198" s="314" t="s">
        <v>108</v>
      </c>
      <c r="J198" s="314" t="s">
        <v>109</v>
      </c>
      <c r="K198" s="314">
        <v>0</v>
      </c>
      <c r="L198" s="314">
        <v>0</v>
      </c>
      <c r="M198" s="315">
        <v>45145.8844328704</v>
      </c>
      <c r="N198" s="314" t="s">
        <v>909</v>
      </c>
      <c r="O198" s="314" t="s">
        <v>910</v>
      </c>
      <c r="P198" s="314" t="s">
        <v>112</v>
      </c>
      <c r="Q198" s="314" t="s">
        <v>123</v>
      </c>
      <c r="R198" s="315">
        <v>45145.8863657407</v>
      </c>
      <c r="S198" s="314" t="s">
        <v>909</v>
      </c>
      <c r="T198" s="314" t="s">
        <v>718</v>
      </c>
      <c r="U198" s="314" t="s">
        <v>718</v>
      </c>
      <c r="V198" s="314" t="s">
        <v>114</v>
      </c>
      <c r="W198" s="314"/>
      <c r="X198" s="314" t="str">
        <f>VLOOKUP(D198,代理总表!A:D,3,0)</f>
        <v>ben</v>
      </c>
      <c r="Y198" t="str">
        <f>VLOOKUP(D:D,代理总表!A:D,4,FALSE)</f>
        <v>SEO</v>
      </c>
      <c r="Z198">
        <f t="shared" si="9"/>
        <v>0</v>
      </c>
      <c r="AA198">
        <f t="shared" si="10"/>
        <v>21</v>
      </c>
      <c r="AB198">
        <f t="shared" si="11"/>
        <v>1</v>
      </c>
    </row>
    <row r="199" spans="1:28">
      <c r="A199" s="314" t="s">
        <v>911</v>
      </c>
      <c r="B199" s="314" t="s">
        <v>912</v>
      </c>
      <c r="C199" s="314">
        <v>15601277410</v>
      </c>
      <c r="D199" s="314" t="s">
        <v>594</v>
      </c>
      <c r="E199" s="314" t="s">
        <v>104</v>
      </c>
      <c r="F199" s="314" t="s">
        <v>181</v>
      </c>
      <c r="G199" s="314" t="s">
        <v>106</v>
      </c>
      <c r="H199" s="314" t="s">
        <v>107</v>
      </c>
      <c r="I199" s="314" t="s">
        <v>108</v>
      </c>
      <c r="J199" s="314" t="s">
        <v>109</v>
      </c>
      <c r="K199" s="314">
        <v>100</v>
      </c>
      <c r="L199" s="314">
        <v>0</v>
      </c>
      <c r="M199" s="315">
        <v>45145.8841666667</v>
      </c>
      <c r="N199" s="314" t="s">
        <v>913</v>
      </c>
      <c r="O199" s="314" t="s">
        <v>914</v>
      </c>
      <c r="P199" s="314" t="s">
        <v>112</v>
      </c>
      <c r="Q199" s="315">
        <v>45145.8870601852</v>
      </c>
      <c r="R199" s="315">
        <v>45145.9673611111</v>
      </c>
      <c r="S199" s="314" t="s">
        <v>913</v>
      </c>
      <c r="T199" s="314" t="s">
        <v>915</v>
      </c>
      <c r="U199" s="314" t="s">
        <v>915</v>
      </c>
      <c r="V199" s="314" t="s">
        <v>114</v>
      </c>
      <c r="W199" s="314"/>
      <c r="X199" s="314" t="str">
        <f>VLOOKUP(D199,代理总表!A:D,3,0)</f>
        <v>zed</v>
      </c>
      <c r="Y199" t="str">
        <f>VLOOKUP(D:D,代理总表!A:D,4,FALSE)</f>
        <v>SEO</v>
      </c>
      <c r="Z199">
        <f t="shared" si="9"/>
        <v>1</v>
      </c>
      <c r="AA199">
        <f t="shared" si="10"/>
        <v>21</v>
      </c>
      <c r="AB199">
        <f t="shared" si="11"/>
        <v>1</v>
      </c>
    </row>
    <row r="200" spans="1:28">
      <c r="A200" s="314" t="s">
        <v>916</v>
      </c>
      <c r="B200" s="314"/>
      <c r="C200" s="314"/>
      <c r="D200" s="314" t="s">
        <v>522</v>
      </c>
      <c r="E200" s="314" t="s">
        <v>117</v>
      </c>
      <c r="F200" s="314" t="s">
        <v>118</v>
      </c>
      <c r="G200" s="314" t="s">
        <v>108</v>
      </c>
      <c r="H200" s="314" t="s">
        <v>119</v>
      </c>
      <c r="I200" s="314" t="s">
        <v>108</v>
      </c>
      <c r="J200" s="314" t="s">
        <v>120</v>
      </c>
      <c r="K200" s="314">
        <v>0</v>
      </c>
      <c r="L200" s="314">
        <v>0</v>
      </c>
      <c r="M200" s="315">
        <v>45145.88375</v>
      </c>
      <c r="N200" s="314" t="s">
        <v>917</v>
      </c>
      <c r="O200" s="314" t="s">
        <v>918</v>
      </c>
      <c r="P200" s="314" t="s">
        <v>112</v>
      </c>
      <c r="Q200" s="314" t="s">
        <v>123</v>
      </c>
      <c r="R200" s="315">
        <v>45145.8837384259</v>
      </c>
      <c r="S200" s="314" t="s">
        <v>917</v>
      </c>
      <c r="T200" s="314" t="s">
        <v>131</v>
      </c>
      <c r="U200" s="314" t="s">
        <v>131</v>
      </c>
      <c r="V200" s="314" t="s">
        <v>114</v>
      </c>
      <c r="W200" s="314"/>
      <c r="X200" s="314" t="str">
        <f>VLOOKUP(D200,代理总表!A:D,3,0)</f>
        <v>SOCO越南直播</v>
      </c>
      <c r="Y200" t="str">
        <f>VLOOKUP(D:D,代理总表!A:D,4,FALSE)</f>
        <v>SOCO越南直播ffvn66</v>
      </c>
      <c r="Z200">
        <f t="shared" si="9"/>
        <v>0</v>
      </c>
      <c r="AA200">
        <f t="shared" si="10"/>
        <v>21</v>
      </c>
      <c r="AB200">
        <f t="shared" si="11"/>
        <v>1</v>
      </c>
    </row>
    <row r="201" spans="1:28">
      <c r="A201" s="314" t="s">
        <v>919</v>
      </c>
      <c r="B201" s="314"/>
      <c r="C201" s="314">
        <v>15595100102</v>
      </c>
      <c r="D201" s="314" t="s">
        <v>235</v>
      </c>
      <c r="E201" s="314" t="s">
        <v>104</v>
      </c>
      <c r="F201" s="314" t="s">
        <v>149</v>
      </c>
      <c r="G201" s="314" t="s">
        <v>108</v>
      </c>
      <c r="H201" s="314" t="s">
        <v>119</v>
      </c>
      <c r="I201" s="314" t="s">
        <v>108</v>
      </c>
      <c r="J201" s="314" t="s">
        <v>109</v>
      </c>
      <c r="K201" s="314">
        <v>0</v>
      </c>
      <c r="L201" s="314">
        <v>0</v>
      </c>
      <c r="M201" s="315">
        <v>45145.8830092593</v>
      </c>
      <c r="N201" s="314" t="s">
        <v>920</v>
      </c>
      <c r="O201" s="314" t="s">
        <v>237</v>
      </c>
      <c r="P201" s="314" t="s">
        <v>112</v>
      </c>
      <c r="Q201" s="314" t="s">
        <v>123</v>
      </c>
      <c r="R201" s="315">
        <v>45145.8830092593</v>
      </c>
      <c r="S201" s="314" t="s">
        <v>920</v>
      </c>
      <c r="T201" s="314" t="s">
        <v>748</v>
      </c>
      <c r="U201" s="314" t="s">
        <v>748</v>
      </c>
      <c r="V201" s="314" t="s">
        <v>114</v>
      </c>
      <c r="W201" s="314"/>
      <c r="X201" s="314" t="str">
        <f>VLOOKUP(D201,代理总表!A:D,3,0)</f>
        <v>aber</v>
      </c>
      <c r="Y201" t="str">
        <f>VLOOKUP(D:D,代理总表!A:D,4,FALSE)</f>
        <v>SEO</v>
      </c>
      <c r="Z201">
        <f t="shared" si="9"/>
        <v>0</v>
      </c>
      <c r="AA201">
        <f t="shared" si="10"/>
        <v>21</v>
      </c>
      <c r="AB201">
        <f t="shared" si="11"/>
        <v>1</v>
      </c>
    </row>
    <row r="202" spans="1:28">
      <c r="A202" s="314" t="s">
        <v>921</v>
      </c>
      <c r="B202" s="314"/>
      <c r="C202" s="314">
        <v>13734749899</v>
      </c>
      <c r="D202" s="314" t="s">
        <v>103</v>
      </c>
      <c r="E202" s="314" t="s">
        <v>104</v>
      </c>
      <c r="F202" s="314" t="s">
        <v>118</v>
      </c>
      <c r="G202" s="314" t="s">
        <v>108</v>
      </c>
      <c r="H202" s="314" t="s">
        <v>119</v>
      </c>
      <c r="I202" s="314" t="s">
        <v>108</v>
      </c>
      <c r="J202" s="314" t="s">
        <v>109</v>
      </c>
      <c r="K202" s="314">
        <v>0</v>
      </c>
      <c r="L202" s="314">
        <v>0</v>
      </c>
      <c r="M202" s="315">
        <v>45145.8818634259</v>
      </c>
      <c r="N202" s="314" t="s">
        <v>922</v>
      </c>
      <c r="O202" s="314" t="s">
        <v>923</v>
      </c>
      <c r="P202" s="314" t="s">
        <v>208</v>
      </c>
      <c r="Q202" s="314" t="s">
        <v>123</v>
      </c>
      <c r="R202" s="315">
        <v>45145.8818518519</v>
      </c>
      <c r="S202" s="314" t="s">
        <v>922</v>
      </c>
      <c r="T202" s="314" t="s">
        <v>924</v>
      </c>
      <c r="U202" s="314" t="s">
        <v>924</v>
      </c>
      <c r="V202" s="314" t="s">
        <v>114</v>
      </c>
      <c r="W202" s="314"/>
      <c r="X202" s="314" t="str">
        <f>VLOOKUP(D202,代理总表!A:D,3,0)</f>
        <v>官网</v>
      </c>
      <c r="Y202" t="str">
        <f>VLOOKUP(D:D,代理总表!A:D,4,FALSE)</f>
        <v>官网</v>
      </c>
      <c r="Z202">
        <f t="shared" si="9"/>
        <v>0</v>
      </c>
      <c r="AA202">
        <f t="shared" si="10"/>
        <v>21</v>
      </c>
      <c r="AB202">
        <f t="shared" si="11"/>
        <v>1</v>
      </c>
    </row>
    <row r="203" spans="1:28">
      <c r="A203" s="314" t="s">
        <v>925</v>
      </c>
      <c r="B203" s="314" t="s">
        <v>926</v>
      </c>
      <c r="C203" s="314">
        <v>18921053620</v>
      </c>
      <c r="D203" s="314" t="s">
        <v>259</v>
      </c>
      <c r="E203" s="314" t="s">
        <v>104</v>
      </c>
      <c r="F203" s="314" t="s">
        <v>181</v>
      </c>
      <c r="G203" s="314" t="s">
        <v>106</v>
      </c>
      <c r="H203" s="314" t="s">
        <v>107</v>
      </c>
      <c r="I203" s="314" t="s">
        <v>108</v>
      </c>
      <c r="J203" s="314" t="s">
        <v>109</v>
      </c>
      <c r="K203" s="314">
        <v>56</v>
      </c>
      <c r="L203" s="314">
        <v>54</v>
      </c>
      <c r="M203" s="315">
        <v>45145.8814814815</v>
      </c>
      <c r="N203" s="314" t="s">
        <v>927</v>
      </c>
      <c r="O203" s="314" t="s">
        <v>471</v>
      </c>
      <c r="P203" s="314" t="s">
        <v>161</v>
      </c>
      <c r="Q203" s="315">
        <v>45145.8877893519</v>
      </c>
      <c r="R203" s="315">
        <v>45146.0345138889</v>
      </c>
      <c r="S203" s="314" t="s">
        <v>928</v>
      </c>
      <c r="T203" s="314" t="s">
        <v>299</v>
      </c>
      <c r="U203" s="314" t="s">
        <v>929</v>
      </c>
      <c r="V203" s="314" t="s">
        <v>114</v>
      </c>
      <c r="W203" s="314"/>
      <c r="X203" s="314" t="str">
        <f>VLOOKUP(D203,代理总表!A:D,3,0)</f>
        <v>tony</v>
      </c>
      <c r="Y203" t="str">
        <f>VLOOKUP(D:D,代理总表!A:D,4,FALSE)</f>
        <v>SEO</v>
      </c>
      <c r="Z203">
        <f t="shared" si="9"/>
        <v>1</v>
      </c>
      <c r="AA203">
        <f t="shared" si="10"/>
        <v>21</v>
      </c>
      <c r="AB203">
        <f t="shared" si="11"/>
        <v>1</v>
      </c>
    </row>
    <row r="204" spans="1:28">
      <c r="A204" s="314" t="s">
        <v>930</v>
      </c>
      <c r="B204" s="314" t="s">
        <v>931</v>
      </c>
      <c r="C204" s="314">
        <v>865454857</v>
      </c>
      <c r="D204" s="314" t="s">
        <v>932</v>
      </c>
      <c r="E204" s="314" t="s">
        <v>117</v>
      </c>
      <c r="F204" s="314" t="s">
        <v>118</v>
      </c>
      <c r="G204" s="314" t="s">
        <v>108</v>
      </c>
      <c r="H204" s="314" t="s">
        <v>119</v>
      </c>
      <c r="I204" s="314" t="s">
        <v>108</v>
      </c>
      <c r="J204" s="314" t="s">
        <v>120</v>
      </c>
      <c r="K204" s="314">
        <v>0</v>
      </c>
      <c r="L204" s="314">
        <v>0</v>
      </c>
      <c r="M204" s="315">
        <v>45145.8810648148</v>
      </c>
      <c r="N204" s="314" t="s">
        <v>933</v>
      </c>
      <c r="O204" s="314" t="s">
        <v>934</v>
      </c>
      <c r="P204" s="314" t="s">
        <v>112</v>
      </c>
      <c r="Q204" s="314" t="s">
        <v>123</v>
      </c>
      <c r="R204" s="315">
        <v>45145.9289236111</v>
      </c>
      <c r="S204" s="314" t="s">
        <v>933</v>
      </c>
      <c r="T204" s="314" t="s">
        <v>177</v>
      </c>
      <c r="U204" s="314" t="s">
        <v>177</v>
      </c>
      <c r="V204" s="314" t="s">
        <v>114</v>
      </c>
      <c r="W204" s="314"/>
      <c r="X204" s="314" t="str">
        <f>VLOOKUP(D204,代理总表!A:D,3,0)</f>
        <v>外代-越</v>
      </c>
      <c r="Y204" t="str">
        <f>VLOOKUP(D:D,代理总表!A:D,4,FALSE)</f>
        <v>外代-越btydl072</v>
      </c>
      <c r="Z204">
        <f t="shared" si="9"/>
        <v>0</v>
      </c>
      <c r="AA204">
        <f t="shared" si="10"/>
        <v>21</v>
      </c>
      <c r="AB204">
        <f t="shared" si="11"/>
        <v>1</v>
      </c>
    </row>
    <row r="205" spans="1:28">
      <c r="A205" s="314" t="s">
        <v>935</v>
      </c>
      <c r="B205" s="314"/>
      <c r="C205" s="314"/>
      <c r="D205" s="314" t="s">
        <v>936</v>
      </c>
      <c r="E205" s="314" t="s">
        <v>104</v>
      </c>
      <c r="F205" s="314" t="s">
        <v>118</v>
      </c>
      <c r="G205" s="314" t="s">
        <v>108</v>
      </c>
      <c r="H205" s="314" t="s">
        <v>119</v>
      </c>
      <c r="I205" s="314" t="s">
        <v>108</v>
      </c>
      <c r="J205" s="314" t="s">
        <v>109</v>
      </c>
      <c r="K205" s="314">
        <v>0</v>
      </c>
      <c r="L205" s="314">
        <v>0</v>
      </c>
      <c r="M205" s="315">
        <v>45145.8808796296</v>
      </c>
      <c r="N205" s="314" t="s">
        <v>937</v>
      </c>
      <c r="O205" s="314" t="s">
        <v>938</v>
      </c>
      <c r="P205" s="314" t="s">
        <v>112</v>
      </c>
      <c r="Q205" s="314" t="s">
        <v>123</v>
      </c>
      <c r="R205" s="315">
        <v>45145.8808680556</v>
      </c>
      <c r="S205" s="314" t="s">
        <v>937</v>
      </c>
      <c r="T205" s="314" t="s">
        <v>939</v>
      </c>
      <c r="U205" s="314" t="s">
        <v>939</v>
      </c>
      <c r="V205" s="314" t="s">
        <v>114</v>
      </c>
      <c r="W205" s="314"/>
      <c r="X205" s="314" t="str">
        <f>VLOOKUP(D205,代理总表!A:D,3,0)</f>
        <v>外部代理总线</v>
      </c>
      <c r="Y205" t="str">
        <f>VLOOKUP(D:D,代理总表!A:D,4,FALSE)</f>
        <v>外部代理总线zh0808</v>
      </c>
      <c r="Z205">
        <f t="shared" si="9"/>
        <v>0</v>
      </c>
      <c r="AA205">
        <f t="shared" si="10"/>
        <v>21</v>
      </c>
      <c r="AB205">
        <f t="shared" si="11"/>
        <v>1</v>
      </c>
    </row>
    <row r="206" spans="1:28">
      <c r="A206" s="314" t="s">
        <v>940</v>
      </c>
      <c r="B206" s="314"/>
      <c r="C206" s="314">
        <v>18866656260</v>
      </c>
      <c r="D206" s="314" t="s">
        <v>249</v>
      </c>
      <c r="E206" s="314" t="s">
        <v>104</v>
      </c>
      <c r="F206" s="314" t="s">
        <v>118</v>
      </c>
      <c r="G206" s="314" t="s">
        <v>108</v>
      </c>
      <c r="H206" s="314" t="s">
        <v>119</v>
      </c>
      <c r="I206" s="314" t="s">
        <v>108</v>
      </c>
      <c r="J206" s="314" t="s">
        <v>109</v>
      </c>
      <c r="K206" s="314">
        <v>0</v>
      </c>
      <c r="L206" s="314">
        <v>0</v>
      </c>
      <c r="M206" s="315">
        <v>45145.8808796296</v>
      </c>
      <c r="N206" s="314" t="s">
        <v>941</v>
      </c>
      <c r="O206" s="314" t="s">
        <v>220</v>
      </c>
      <c r="P206" s="314" t="s">
        <v>112</v>
      </c>
      <c r="Q206" s="314" t="s">
        <v>123</v>
      </c>
      <c r="R206" s="315">
        <v>45145.8830902778</v>
      </c>
      <c r="S206" s="314" t="s">
        <v>941</v>
      </c>
      <c r="T206" s="314" t="s">
        <v>515</v>
      </c>
      <c r="U206" s="314" t="s">
        <v>515</v>
      </c>
      <c r="V206" s="314" t="s">
        <v>114</v>
      </c>
      <c r="W206" s="314"/>
      <c r="X206" s="314" t="str">
        <f>VLOOKUP(D206,代理总表!A:D,3,0)</f>
        <v>飞哥雨燕直播</v>
      </c>
      <c r="Y206" t="str">
        <f>VLOOKUP(D:D,代理总表!A:D,4,FALSE)</f>
        <v>飞哥雨燕直播ffmk88</v>
      </c>
      <c r="Z206">
        <f t="shared" si="9"/>
        <v>0</v>
      </c>
      <c r="AA206">
        <f t="shared" si="10"/>
        <v>21</v>
      </c>
      <c r="AB206">
        <f t="shared" si="11"/>
        <v>1</v>
      </c>
    </row>
    <row r="207" spans="1:28">
      <c r="A207" s="314" t="s">
        <v>942</v>
      </c>
      <c r="B207" s="314" t="s">
        <v>943</v>
      </c>
      <c r="C207" s="314">
        <v>15322791019</v>
      </c>
      <c r="D207" s="314" t="s">
        <v>294</v>
      </c>
      <c r="E207" s="314" t="s">
        <v>104</v>
      </c>
      <c r="F207" s="314" t="s">
        <v>149</v>
      </c>
      <c r="G207" s="314" t="s">
        <v>108</v>
      </c>
      <c r="H207" s="314" t="s">
        <v>119</v>
      </c>
      <c r="I207" s="314" t="s">
        <v>108</v>
      </c>
      <c r="J207" s="314" t="s">
        <v>109</v>
      </c>
      <c r="K207" s="314">
        <v>0</v>
      </c>
      <c r="L207" s="314">
        <v>0</v>
      </c>
      <c r="M207" s="315">
        <v>45145.8806944444</v>
      </c>
      <c r="N207" s="314" t="s">
        <v>944</v>
      </c>
      <c r="O207" s="314" t="s">
        <v>945</v>
      </c>
      <c r="P207" s="314" t="s">
        <v>112</v>
      </c>
      <c r="Q207" s="314" t="s">
        <v>123</v>
      </c>
      <c r="R207" s="315">
        <v>45145.8813657407</v>
      </c>
      <c r="S207" s="314" t="s">
        <v>944</v>
      </c>
      <c r="T207" s="314" t="s">
        <v>946</v>
      </c>
      <c r="U207" s="314" t="s">
        <v>946</v>
      </c>
      <c r="V207" s="314" t="s">
        <v>114</v>
      </c>
      <c r="W207" s="314"/>
      <c r="X207" s="314" t="str">
        <f>VLOOKUP(D207,代理总表!A:D,3,0)</f>
        <v>DK</v>
      </c>
      <c r="Y207" t="str">
        <f>VLOOKUP(D:D,代理总表!A:D,4,FALSE)</f>
        <v>SEO</v>
      </c>
      <c r="Z207">
        <f t="shared" si="9"/>
        <v>0</v>
      </c>
      <c r="AA207">
        <f t="shared" si="10"/>
        <v>21</v>
      </c>
      <c r="AB207">
        <f t="shared" si="11"/>
        <v>1</v>
      </c>
    </row>
    <row r="208" spans="1:28">
      <c r="A208" s="314" t="s">
        <v>947</v>
      </c>
      <c r="B208" s="314" t="s">
        <v>948</v>
      </c>
      <c r="C208" s="314">
        <v>814544337</v>
      </c>
      <c r="D208" s="314" t="s">
        <v>685</v>
      </c>
      <c r="E208" s="314" t="s">
        <v>117</v>
      </c>
      <c r="F208" s="314" t="s">
        <v>118</v>
      </c>
      <c r="G208" s="314" t="s">
        <v>108</v>
      </c>
      <c r="H208" s="314" t="s">
        <v>119</v>
      </c>
      <c r="I208" s="314" t="s">
        <v>108</v>
      </c>
      <c r="J208" s="314" t="s">
        <v>120</v>
      </c>
      <c r="K208" s="314">
        <v>0</v>
      </c>
      <c r="L208" s="314">
        <v>0</v>
      </c>
      <c r="M208" s="315">
        <v>45145.879212963</v>
      </c>
      <c r="N208" s="314" t="s">
        <v>949</v>
      </c>
      <c r="O208" s="314" t="s">
        <v>950</v>
      </c>
      <c r="P208" s="314" t="s">
        <v>112</v>
      </c>
      <c r="Q208" s="314" t="s">
        <v>123</v>
      </c>
      <c r="R208" s="315">
        <v>45145.8792013889</v>
      </c>
      <c r="S208" s="314" t="s">
        <v>949</v>
      </c>
      <c r="T208" s="314" t="s">
        <v>217</v>
      </c>
      <c r="U208" s="314" t="s">
        <v>217</v>
      </c>
      <c r="V208" s="314" t="s">
        <v>114</v>
      </c>
      <c r="W208" s="314"/>
      <c r="X208" s="314" t="e">
        <f>VLOOKUP(D208,代理总表!A:D,3,0)</f>
        <v>#N/A</v>
      </c>
      <c r="Y208" t="e">
        <f>VLOOKUP(D:D,代理总表!A:D,4,FALSE)</f>
        <v>#N/A</v>
      </c>
      <c r="Z208">
        <f t="shared" si="9"/>
        <v>0</v>
      </c>
      <c r="AA208">
        <f t="shared" si="10"/>
        <v>21</v>
      </c>
      <c r="AB208">
        <f t="shared" si="11"/>
        <v>1</v>
      </c>
    </row>
    <row r="209" spans="1:28">
      <c r="A209" s="314" t="s">
        <v>951</v>
      </c>
      <c r="B209" s="314" t="s">
        <v>952</v>
      </c>
      <c r="C209" s="314">
        <v>15002951026</v>
      </c>
      <c r="D209" s="314" t="s">
        <v>103</v>
      </c>
      <c r="E209" s="314" t="s">
        <v>104</v>
      </c>
      <c r="F209" s="314" t="s">
        <v>118</v>
      </c>
      <c r="G209" s="314" t="s">
        <v>108</v>
      </c>
      <c r="H209" s="314" t="s">
        <v>119</v>
      </c>
      <c r="I209" s="314" t="s">
        <v>108</v>
      </c>
      <c r="J209" s="314" t="s">
        <v>109</v>
      </c>
      <c r="K209" s="314">
        <v>0</v>
      </c>
      <c r="L209" s="314">
        <v>0</v>
      </c>
      <c r="M209" s="315">
        <v>45145.8780787037</v>
      </c>
      <c r="N209" s="314" t="s">
        <v>953</v>
      </c>
      <c r="O209" s="314" t="s">
        <v>350</v>
      </c>
      <c r="P209" s="314" t="s">
        <v>208</v>
      </c>
      <c r="Q209" s="314" t="s">
        <v>123</v>
      </c>
      <c r="R209" s="315">
        <v>45145.8780787037</v>
      </c>
      <c r="S209" s="314" t="s">
        <v>953</v>
      </c>
      <c r="T209" s="314" t="s">
        <v>472</v>
      </c>
      <c r="U209" s="314" t="s">
        <v>472</v>
      </c>
      <c r="V209" s="314" t="s">
        <v>114</v>
      </c>
      <c r="W209" s="314"/>
      <c r="X209" s="314" t="str">
        <f>VLOOKUP(D209,代理总表!A:D,3,0)</f>
        <v>官网</v>
      </c>
      <c r="Y209" t="str">
        <f>VLOOKUP(D:D,代理总表!A:D,4,FALSE)</f>
        <v>官网</v>
      </c>
      <c r="Z209">
        <f t="shared" si="9"/>
        <v>0</v>
      </c>
      <c r="AA209">
        <f t="shared" si="10"/>
        <v>21</v>
      </c>
      <c r="AB209">
        <f t="shared" si="11"/>
        <v>1</v>
      </c>
    </row>
    <row r="210" spans="1:28">
      <c r="A210" s="314" t="s">
        <v>954</v>
      </c>
      <c r="B210" s="314"/>
      <c r="C210" s="314"/>
      <c r="D210" s="314" t="s">
        <v>651</v>
      </c>
      <c r="E210" s="314" t="s">
        <v>117</v>
      </c>
      <c r="F210" s="314" t="s">
        <v>118</v>
      </c>
      <c r="G210" s="314" t="s">
        <v>108</v>
      </c>
      <c r="H210" s="314" t="s">
        <v>119</v>
      </c>
      <c r="I210" s="314" t="s">
        <v>108</v>
      </c>
      <c r="J210" s="314" t="s">
        <v>120</v>
      </c>
      <c r="K210" s="314">
        <v>0</v>
      </c>
      <c r="L210" s="314">
        <v>0</v>
      </c>
      <c r="M210" s="315">
        <v>45145.8779282407</v>
      </c>
      <c r="N210" s="314" t="s">
        <v>955</v>
      </c>
      <c r="O210" s="314" t="s">
        <v>653</v>
      </c>
      <c r="P210" s="314" t="s">
        <v>112</v>
      </c>
      <c r="Q210" s="314" t="s">
        <v>123</v>
      </c>
      <c r="R210" s="315">
        <v>45145.8779282407</v>
      </c>
      <c r="S210" s="314" t="s">
        <v>955</v>
      </c>
      <c r="T210" s="314" t="s">
        <v>131</v>
      </c>
      <c r="U210" s="314" t="s">
        <v>131</v>
      </c>
      <c r="V210" s="314" t="s">
        <v>114</v>
      </c>
      <c r="W210" s="314"/>
      <c r="X210" s="314" t="str">
        <f>VLOOKUP(D210,代理总表!A:D,3,0)</f>
        <v>雨燕直播-越</v>
      </c>
      <c r="Y210" t="str">
        <f>VLOOKUP(D:D,代理总表!A:D,4,FALSE)</f>
        <v>雨燕直播-越ffvn66</v>
      </c>
      <c r="Z210">
        <f t="shared" si="9"/>
        <v>0</v>
      </c>
      <c r="AA210">
        <f t="shared" si="10"/>
        <v>21</v>
      </c>
      <c r="AB210">
        <f t="shared" si="11"/>
        <v>1</v>
      </c>
    </row>
    <row r="211" spans="1:28">
      <c r="A211" s="314" t="s">
        <v>956</v>
      </c>
      <c r="B211" s="314" t="s">
        <v>957</v>
      </c>
      <c r="C211" s="314">
        <v>15914144284</v>
      </c>
      <c r="D211" s="314" t="s">
        <v>205</v>
      </c>
      <c r="E211" s="314" t="s">
        <v>104</v>
      </c>
      <c r="F211" s="314" t="s">
        <v>181</v>
      </c>
      <c r="G211" s="314" t="s">
        <v>106</v>
      </c>
      <c r="H211" s="314" t="s">
        <v>107</v>
      </c>
      <c r="I211" s="314" t="s">
        <v>108</v>
      </c>
      <c r="J211" s="314" t="s">
        <v>109</v>
      </c>
      <c r="K211" s="314">
        <v>108</v>
      </c>
      <c r="L211" s="314">
        <v>500</v>
      </c>
      <c r="M211" s="315">
        <v>45145.8766782407</v>
      </c>
      <c r="N211" s="314" t="s">
        <v>958</v>
      </c>
      <c r="O211" s="314" t="s">
        <v>910</v>
      </c>
      <c r="P211" s="314" t="s">
        <v>112</v>
      </c>
      <c r="Q211" s="315">
        <v>45145.8989351852</v>
      </c>
      <c r="R211" s="315">
        <v>45146.3614699074</v>
      </c>
      <c r="S211" s="314" t="s">
        <v>959</v>
      </c>
      <c r="T211" s="314" t="s">
        <v>960</v>
      </c>
      <c r="U211" s="314" t="s">
        <v>960</v>
      </c>
      <c r="V211" s="314" t="s">
        <v>114</v>
      </c>
      <c r="W211" s="314"/>
      <c r="X211" s="314" t="str">
        <f>VLOOKUP(D211,代理总表!A:D,3,0)</f>
        <v>ben</v>
      </c>
      <c r="Y211" t="str">
        <f>VLOOKUP(D:D,代理总表!A:D,4,FALSE)</f>
        <v>SEO</v>
      </c>
      <c r="Z211">
        <f t="shared" si="9"/>
        <v>1</v>
      </c>
      <c r="AA211">
        <f t="shared" si="10"/>
        <v>21</v>
      </c>
      <c r="AB211">
        <f t="shared" si="11"/>
        <v>1</v>
      </c>
    </row>
    <row r="212" spans="1:28">
      <c r="A212" s="314" t="s">
        <v>961</v>
      </c>
      <c r="B212" s="314"/>
      <c r="C212" s="314"/>
      <c r="D212" s="314" t="s">
        <v>609</v>
      </c>
      <c r="E212" s="314" t="s">
        <v>104</v>
      </c>
      <c r="F212" s="314" t="s">
        <v>118</v>
      </c>
      <c r="G212" s="314" t="s">
        <v>108</v>
      </c>
      <c r="H212" s="314" t="s">
        <v>119</v>
      </c>
      <c r="I212" s="314" t="s">
        <v>108</v>
      </c>
      <c r="J212" s="314" t="s">
        <v>109</v>
      </c>
      <c r="K212" s="314">
        <v>0</v>
      </c>
      <c r="L212" s="314">
        <v>0</v>
      </c>
      <c r="M212" s="315">
        <v>45145.8760300926</v>
      </c>
      <c r="N212" s="314" t="s">
        <v>962</v>
      </c>
      <c r="O212" s="314" t="s">
        <v>963</v>
      </c>
      <c r="P212" s="314" t="s">
        <v>112</v>
      </c>
      <c r="Q212" s="314" t="s">
        <v>123</v>
      </c>
      <c r="R212" s="315">
        <v>45145.8760300926</v>
      </c>
      <c r="S212" s="314" t="s">
        <v>962</v>
      </c>
      <c r="T212" s="314" t="s">
        <v>964</v>
      </c>
      <c r="U212" s="314" t="s">
        <v>964</v>
      </c>
      <c r="V212" s="314" t="s">
        <v>114</v>
      </c>
      <c r="W212" s="314"/>
      <c r="X212" s="314" t="str">
        <f>VLOOKUP(D212,代理总表!A:D,3,0)</f>
        <v>GT-B直播</v>
      </c>
      <c r="Y212" t="str">
        <f>VLOOKUP(D:D,代理总表!A:D,4,FALSE)</f>
        <v>B直播gt6688</v>
      </c>
      <c r="Z212">
        <f t="shared" si="9"/>
        <v>0</v>
      </c>
      <c r="AA212">
        <f t="shared" si="10"/>
        <v>21</v>
      </c>
      <c r="AB212">
        <f t="shared" si="11"/>
        <v>1</v>
      </c>
    </row>
    <row r="213" spans="1:28">
      <c r="A213" s="314" t="s">
        <v>965</v>
      </c>
      <c r="B213" s="314"/>
      <c r="C213" s="314"/>
      <c r="D213" s="314" t="s">
        <v>116</v>
      </c>
      <c r="E213" s="314" t="s">
        <v>117</v>
      </c>
      <c r="F213" s="314" t="s">
        <v>118</v>
      </c>
      <c r="G213" s="314" t="s">
        <v>108</v>
      </c>
      <c r="H213" s="314" t="s">
        <v>119</v>
      </c>
      <c r="I213" s="314" t="s">
        <v>108</v>
      </c>
      <c r="J213" s="314" t="s">
        <v>120</v>
      </c>
      <c r="K213" s="314">
        <v>0</v>
      </c>
      <c r="L213" s="314">
        <v>0</v>
      </c>
      <c r="M213" s="315">
        <v>45145.8753009259</v>
      </c>
      <c r="N213" s="314" t="s">
        <v>966</v>
      </c>
      <c r="O213" s="314" t="s">
        <v>127</v>
      </c>
      <c r="P213" s="314" t="s">
        <v>112</v>
      </c>
      <c r="Q213" s="314" t="s">
        <v>123</v>
      </c>
      <c r="R213" s="315">
        <v>45145.8753009259</v>
      </c>
      <c r="S213" s="314" t="s">
        <v>966</v>
      </c>
      <c r="T213" s="314" t="s">
        <v>128</v>
      </c>
      <c r="U213" s="314" t="s">
        <v>128</v>
      </c>
      <c r="V213" s="314" t="s">
        <v>114</v>
      </c>
      <c r="W213" s="314"/>
      <c r="X213" s="314" t="str">
        <f>VLOOKUP(D213,代理总表!A:D,3,0)</f>
        <v>外部代理总线</v>
      </c>
      <c r="Y213" t="str">
        <f>VLOOKUP(D:D,代理总表!A:D,4,FALSE)</f>
        <v>外部代理总线zh0808</v>
      </c>
      <c r="Z213">
        <f t="shared" si="9"/>
        <v>0</v>
      </c>
      <c r="AA213">
        <f t="shared" si="10"/>
        <v>21</v>
      </c>
      <c r="AB213">
        <f t="shared" si="11"/>
        <v>1</v>
      </c>
    </row>
    <row r="214" spans="1:28">
      <c r="A214" s="314" t="s">
        <v>967</v>
      </c>
      <c r="B214" s="314"/>
      <c r="C214" s="314"/>
      <c r="D214" s="314" t="s">
        <v>224</v>
      </c>
      <c r="E214" s="314" t="s">
        <v>117</v>
      </c>
      <c r="F214" s="314" t="s">
        <v>118</v>
      </c>
      <c r="G214" s="314" t="s">
        <v>108</v>
      </c>
      <c r="H214" s="314" t="s">
        <v>119</v>
      </c>
      <c r="I214" s="314" t="s">
        <v>108</v>
      </c>
      <c r="J214" s="314" t="s">
        <v>120</v>
      </c>
      <c r="K214" s="314">
        <v>0</v>
      </c>
      <c r="L214" s="314">
        <v>0</v>
      </c>
      <c r="M214" s="315">
        <v>45145.8750231481</v>
      </c>
      <c r="N214" s="314" t="s">
        <v>968</v>
      </c>
      <c r="O214" s="314" t="s">
        <v>462</v>
      </c>
      <c r="P214" s="314" t="s">
        <v>112</v>
      </c>
      <c r="Q214" s="314" t="s">
        <v>123</v>
      </c>
      <c r="R214" s="315">
        <v>45145.90875</v>
      </c>
      <c r="S214" s="314" t="s">
        <v>968</v>
      </c>
      <c r="T214" s="314" t="s">
        <v>648</v>
      </c>
      <c r="U214" s="314" t="s">
        <v>648</v>
      </c>
      <c r="V214" s="314" t="s">
        <v>114</v>
      </c>
      <c r="W214" s="314"/>
      <c r="X214" s="314" t="str">
        <f>VLOOKUP(D214,代理总表!A:D,3,0)</f>
        <v>雨燕直播-越</v>
      </c>
      <c r="Y214" t="str">
        <f>VLOOKUP(D:D,代理总表!A:D,4,FALSE)</f>
        <v>雨燕直播-越ffvn66</v>
      </c>
      <c r="Z214">
        <f t="shared" si="9"/>
        <v>0</v>
      </c>
      <c r="AA214">
        <f t="shared" si="10"/>
        <v>21</v>
      </c>
      <c r="AB214">
        <f t="shared" si="11"/>
        <v>1</v>
      </c>
    </row>
    <row r="215" spans="1:28">
      <c r="A215" s="314" t="s">
        <v>969</v>
      </c>
      <c r="B215" s="314"/>
      <c r="C215" s="314"/>
      <c r="D215" s="314" t="s">
        <v>197</v>
      </c>
      <c r="E215" s="314" t="s">
        <v>117</v>
      </c>
      <c r="F215" s="314" t="s">
        <v>118</v>
      </c>
      <c r="G215" s="314" t="s">
        <v>108</v>
      </c>
      <c r="H215" s="314" t="s">
        <v>119</v>
      </c>
      <c r="I215" s="314" t="s">
        <v>108</v>
      </c>
      <c r="J215" s="314" t="s">
        <v>120</v>
      </c>
      <c r="K215" s="314">
        <v>0</v>
      </c>
      <c r="L215" s="314">
        <v>0</v>
      </c>
      <c r="M215" s="315">
        <v>45145.8729398148</v>
      </c>
      <c r="N215" s="314" t="s">
        <v>970</v>
      </c>
      <c r="O215" s="314" t="s">
        <v>617</v>
      </c>
      <c r="P215" s="314" t="s">
        <v>339</v>
      </c>
      <c r="Q215" s="314" t="s">
        <v>123</v>
      </c>
      <c r="R215" s="315">
        <v>45145.8740046296</v>
      </c>
      <c r="S215" s="314" t="s">
        <v>970</v>
      </c>
      <c r="T215" s="314" t="s">
        <v>216</v>
      </c>
      <c r="U215" s="314" t="s">
        <v>216</v>
      </c>
      <c r="V215" s="314" t="s">
        <v>114</v>
      </c>
      <c r="W215" s="314"/>
      <c r="X215" s="314" t="str">
        <f>VLOOKUP(D215,代理总表!A:D,3,0)</f>
        <v>雨燕直播-越</v>
      </c>
      <c r="Y215" t="str">
        <f>VLOOKUP(D:D,代理总表!A:D,4,FALSE)</f>
        <v>雨燕直播-越ffvn66</v>
      </c>
      <c r="Z215">
        <f t="shared" si="9"/>
        <v>0</v>
      </c>
      <c r="AA215">
        <f t="shared" si="10"/>
        <v>20</v>
      </c>
      <c r="AB215">
        <f t="shared" si="11"/>
        <v>1</v>
      </c>
    </row>
    <row r="216" spans="1:28">
      <c r="A216" s="314" t="s">
        <v>971</v>
      </c>
      <c r="B216" s="314" t="s">
        <v>972</v>
      </c>
      <c r="C216" s="314">
        <v>945589373</v>
      </c>
      <c r="D216" s="314" t="s">
        <v>224</v>
      </c>
      <c r="E216" s="314" t="s">
        <v>117</v>
      </c>
      <c r="F216" s="314" t="s">
        <v>144</v>
      </c>
      <c r="G216" s="314" t="s">
        <v>106</v>
      </c>
      <c r="H216" s="314" t="s">
        <v>107</v>
      </c>
      <c r="I216" s="314" t="s">
        <v>108</v>
      </c>
      <c r="J216" s="314" t="s">
        <v>120</v>
      </c>
      <c r="K216" s="314">
        <v>200000</v>
      </c>
      <c r="L216" s="314">
        <v>380000</v>
      </c>
      <c r="M216" s="315">
        <v>45145.8728472222</v>
      </c>
      <c r="N216" s="314" t="s">
        <v>973</v>
      </c>
      <c r="O216" s="314" t="s">
        <v>462</v>
      </c>
      <c r="P216" s="314" t="s">
        <v>112</v>
      </c>
      <c r="Q216" s="315">
        <v>45145.9505902778</v>
      </c>
      <c r="R216" s="315">
        <v>45146.3088310185</v>
      </c>
      <c r="S216" s="314" t="s">
        <v>974</v>
      </c>
      <c r="T216" s="314" t="s">
        <v>975</v>
      </c>
      <c r="U216" s="314" t="s">
        <v>131</v>
      </c>
      <c r="V216" s="314" t="s">
        <v>114</v>
      </c>
      <c r="W216" s="314"/>
      <c r="X216" s="314" t="str">
        <f>VLOOKUP(D216,代理总表!A:D,3,0)</f>
        <v>雨燕直播-越</v>
      </c>
      <c r="Y216" t="str">
        <f>VLOOKUP(D:D,代理总表!A:D,4,FALSE)</f>
        <v>雨燕直播-越ffvn66</v>
      </c>
      <c r="Z216">
        <f t="shared" si="9"/>
        <v>1</v>
      </c>
      <c r="AA216">
        <f t="shared" si="10"/>
        <v>20</v>
      </c>
      <c r="AB216">
        <f t="shared" si="11"/>
        <v>1</v>
      </c>
    </row>
    <row r="217" spans="1:28">
      <c r="A217" s="314" t="s">
        <v>976</v>
      </c>
      <c r="B217" s="314"/>
      <c r="C217" s="314"/>
      <c r="D217" s="314" t="s">
        <v>172</v>
      </c>
      <c r="E217" s="314" t="s">
        <v>117</v>
      </c>
      <c r="F217" s="314" t="s">
        <v>118</v>
      </c>
      <c r="G217" s="314" t="s">
        <v>108</v>
      </c>
      <c r="H217" s="314" t="s">
        <v>119</v>
      </c>
      <c r="I217" s="314" t="s">
        <v>108</v>
      </c>
      <c r="J217" s="314" t="s">
        <v>120</v>
      </c>
      <c r="K217" s="314">
        <v>0</v>
      </c>
      <c r="L217" s="314">
        <v>0</v>
      </c>
      <c r="M217" s="315">
        <v>45145.8723958333</v>
      </c>
      <c r="N217" s="314" t="s">
        <v>977</v>
      </c>
      <c r="O217" s="314" t="s">
        <v>193</v>
      </c>
      <c r="P217" s="314" t="s">
        <v>112</v>
      </c>
      <c r="Q217" s="314" t="s">
        <v>123</v>
      </c>
      <c r="R217" s="315">
        <v>45146.3617592593</v>
      </c>
      <c r="S217" s="314" t="s">
        <v>978</v>
      </c>
      <c r="T217" s="314" t="s">
        <v>979</v>
      </c>
      <c r="U217" s="314" t="s">
        <v>124</v>
      </c>
      <c r="V217" s="314" t="s">
        <v>114</v>
      </c>
      <c r="W217" s="314"/>
      <c r="X217" s="314" t="str">
        <f>VLOOKUP(D217,代理总表!A:D,3,0)</f>
        <v>雨燕直播-越</v>
      </c>
      <c r="Y217" t="str">
        <f>VLOOKUP(D:D,代理总表!A:D,4,FALSE)</f>
        <v>雨燕直播-越ffvn66</v>
      </c>
      <c r="Z217">
        <f t="shared" si="9"/>
        <v>0</v>
      </c>
      <c r="AA217">
        <f t="shared" si="10"/>
        <v>20</v>
      </c>
      <c r="AB217">
        <f t="shared" si="11"/>
        <v>1</v>
      </c>
    </row>
    <row r="218" spans="1:28">
      <c r="A218" s="314" t="s">
        <v>980</v>
      </c>
      <c r="B218" s="314"/>
      <c r="C218" s="314"/>
      <c r="D218" s="314" t="s">
        <v>651</v>
      </c>
      <c r="E218" s="314" t="s">
        <v>117</v>
      </c>
      <c r="F218" s="314" t="s">
        <v>118</v>
      </c>
      <c r="G218" s="314" t="s">
        <v>108</v>
      </c>
      <c r="H218" s="314" t="s">
        <v>119</v>
      </c>
      <c r="I218" s="314" t="s">
        <v>108</v>
      </c>
      <c r="J218" s="314" t="s">
        <v>120</v>
      </c>
      <c r="K218" s="314">
        <v>0</v>
      </c>
      <c r="L218" s="314">
        <v>0</v>
      </c>
      <c r="M218" s="315">
        <v>45145.8713425926</v>
      </c>
      <c r="N218" s="314" t="s">
        <v>981</v>
      </c>
      <c r="O218" s="314" t="s">
        <v>653</v>
      </c>
      <c r="P218" s="314" t="s">
        <v>112</v>
      </c>
      <c r="Q218" s="314" t="s">
        <v>123</v>
      </c>
      <c r="R218" s="315">
        <v>45145.8725347222</v>
      </c>
      <c r="S218" s="314" t="s">
        <v>981</v>
      </c>
      <c r="T218" s="314" t="s">
        <v>975</v>
      </c>
      <c r="U218" s="314" t="s">
        <v>975</v>
      </c>
      <c r="V218" s="314" t="s">
        <v>114</v>
      </c>
      <c r="W218" s="314"/>
      <c r="X218" s="314" t="str">
        <f>VLOOKUP(D218,代理总表!A:D,3,0)</f>
        <v>雨燕直播-越</v>
      </c>
      <c r="Y218" t="str">
        <f>VLOOKUP(D:D,代理总表!A:D,4,FALSE)</f>
        <v>雨燕直播-越ffvn66</v>
      </c>
      <c r="Z218">
        <f t="shared" si="9"/>
        <v>0</v>
      </c>
      <c r="AA218">
        <f t="shared" si="10"/>
        <v>20</v>
      </c>
      <c r="AB218">
        <f t="shared" si="11"/>
        <v>1</v>
      </c>
    </row>
    <row r="219" spans="1:28">
      <c r="A219" s="314" t="s">
        <v>982</v>
      </c>
      <c r="B219" s="314"/>
      <c r="C219" s="314">
        <v>17635674774</v>
      </c>
      <c r="D219" s="314" t="s">
        <v>148</v>
      </c>
      <c r="E219" s="314" t="s">
        <v>104</v>
      </c>
      <c r="F219" s="314" t="s">
        <v>149</v>
      </c>
      <c r="G219" s="314" t="s">
        <v>108</v>
      </c>
      <c r="H219" s="314" t="s">
        <v>119</v>
      </c>
      <c r="I219" s="314" t="s">
        <v>108</v>
      </c>
      <c r="J219" s="314" t="s">
        <v>109</v>
      </c>
      <c r="K219" s="314">
        <v>0</v>
      </c>
      <c r="L219" s="314">
        <v>0</v>
      </c>
      <c r="M219" s="315">
        <v>45145.8709837963</v>
      </c>
      <c r="N219" s="314" t="s">
        <v>983</v>
      </c>
      <c r="O219" s="314" t="s">
        <v>984</v>
      </c>
      <c r="P219" s="314" t="s">
        <v>112</v>
      </c>
      <c r="Q219" s="314" t="s">
        <v>123</v>
      </c>
      <c r="R219" s="315">
        <v>45145.873599537</v>
      </c>
      <c r="S219" s="314" t="s">
        <v>983</v>
      </c>
      <c r="T219" s="314" t="s">
        <v>299</v>
      </c>
      <c r="U219" s="314" t="s">
        <v>299</v>
      </c>
      <c r="V219" s="314" t="s">
        <v>114</v>
      </c>
      <c r="W219" s="314"/>
      <c r="X219" s="314" t="str">
        <f>VLOOKUP(D219,代理总表!A:D,3,0)</f>
        <v>martin</v>
      </c>
      <c r="Y219" t="str">
        <f>VLOOKUP(D:D,代理总表!A:D,4,FALSE)</f>
        <v>SEO</v>
      </c>
      <c r="Z219">
        <f t="shared" si="9"/>
        <v>0</v>
      </c>
      <c r="AA219">
        <f t="shared" si="10"/>
        <v>20</v>
      </c>
      <c r="AB219">
        <f t="shared" si="11"/>
        <v>1</v>
      </c>
    </row>
    <row r="220" spans="1:28">
      <c r="A220" s="314" t="s">
        <v>985</v>
      </c>
      <c r="B220" s="314" t="s">
        <v>986</v>
      </c>
      <c r="C220" s="314">
        <v>13621062304</v>
      </c>
      <c r="D220" s="314" t="s">
        <v>594</v>
      </c>
      <c r="E220" s="314" t="s">
        <v>104</v>
      </c>
      <c r="F220" s="314" t="s">
        <v>149</v>
      </c>
      <c r="G220" s="314" t="s">
        <v>108</v>
      </c>
      <c r="H220" s="314" t="s">
        <v>119</v>
      </c>
      <c r="I220" s="314" t="s">
        <v>108</v>
      </c>
      <c r="J220" s="314" t="s">
        <v>109</v>
      </c>
      <c r="K220" s="314">
        <v>0</v>
      </c>
      <c r="L220" s="314">
        <v>0</v>
      </c>
      <c r="M220" s="315">
        <v>45145.8709722222</v>
      </c>
      <c r="N220" s="314" t="s">
        <v>987</v>
      </c>
      <c r="O220" s="314" t="s">
        <v>988</v>
      </c>
      <c r="P220" s="314" t="s">
        <v>161</v>
      </c>
      <c r="Q220" s="314" t="s">
        <v>123</v>
      </c>
      <c r="R220" s="315">
        <v>45145.8709606481</v>
      </c>
      <c r="S220" s="314" t="s">
        <v>987</v>
      </c>
      <c r="T220" s="314" t="s">
        <v>561</v>
      </c>
      <c r="U220" s="314" t="s">
        <v>561</v>
      </c>
      <c r="V220" s="314" t="s">
        <v>114</v>
      </c>
      <c r="W220" s="314"/>
      <c r="X220" s="314" t="str">
        <f>VLOOKUP(D220,代理总表!A:D,3,0)</f>
        <v>zed</v>
      </c>
      <c r="Y220" t="str">
        <f>VLOOKUP(D:D,代理总表!A:D,4,FALSE)</f>
        <v>SEO</v>
      </c>
      <c r="Z220">
        <f t="shared" si="9"/>
        <v>0</v>
      </c>
      <c r="AA220">
        <f t="shared" si="10"/>
        <v>20</v>
      </c>
      <c r="AB220">
        <f t="shared" si="11"/>
        <v>1</v>
      </c>
    </row>
    <row r="221" spans="1:28">
      <c r="A221" s="314" t="s">
        <v>989</v>
      </c>
      <c r="B221" s="314" t="s">
        <v>990</v>
      </c>
      <c r="C221" s="314">
        <v>15637587677</v>
      </c>
      <c r="D221" s="314" t="s">
        <v>805</v>
      </c>
      <c r="E221" s="314" t="s">
        <v>104</v>
      </c>
      <c r="F221" s="314" t="s">
        <v>118</v>
      </c>
      <c r="G221" s="314" t="s">
        <v>108</v>
      </c>
      <c r="H221" s="314" t="s">
        <v>119</v>
      </c>
      <c r="I221" s="314" t="s">
        <v>108</v>
      </c>
      <c r="J221" s="314" t="s">
        <v>109</v>
      </c>
      <c r="K221" s="314">
        <v>0</v>
      </c>
      <c r="L221" s="314">
        <v>0</v>
      </c>
      <c r="M221" s="315">
        <v>45145.8707523148</v>
      </c>
      <c r="N221" s="314" t="s">
        <v>991</v>
      </c>
      <c r="O221" s="314" t="s">
        <v>992</v>
      </c>
      <c r="P221" s="314" t="s">
        <v>112</v>
      </c>
      <c r="Q221" s="314" t="s">
        <v>123</v>
      </c>
      <c r="R221" s="315">
        <v>45145.8753240741</v>
      </c>
      <c r="S221" s="314" t="s">
        <v>991</v>
      </c>
      <c r="T221" s="314" t="s">
        <v>993</v>
      </c>
      <c r="U221" s="314" t="s">
        <v>993</v>
      </c>
      <c r="V221" s="314" t="s">
        <v>114</v>
      </c>
      <c r="W221" s="314"/>
      <c r="X221" s="314" t="str">
        <f>VLOOKUP(D221,代理总表!A:D,3,0)</f>
        <v>飞哥雨燕直播</v>
      </c>
      <c r="Y221" t="str">
        <f>VLOOKUP(D:D,代理总表!A:D,4,FALSE)</f>
        <v>飞哥雨燕直播ffmk88</v>
      </c>
      <c r="Z221">
        <f t="shared" si="9"/>
        <v>0</v>
      </c>
      <c r="AA221">
        <f t="shared" si="10"/>
        <v>20</v>
      </c>
      <c r="AB221">
        <f t="shared" si="11"/>
        <v>1</v>
      </c>
    </row>
    <row r="222" spans="1:28">
      <c r="A222" s="314" t="s">
        <v>994</v>
      </c>
      <c r="B222" s="314" t="s">
        <v>995</v>
      </c>
      <c r="C222" s="314">
        <v>933261681</v>
      </c>
      <c r="D222" s="314" t="s">
        <v>651</v>
      </c>
      <c r="E222" s="314" t="s">
        <v>117</v>
      </c>
      <c r="F222" s="314" t="s">
        <v>144</v>
      </c>
      <c r="G222" s="314" t="s">
        <v>106</v>
      </c>
      <c r="H222" s="314" t="s">
        <v>107</v>
      </c>
      <c r="I222" s="314" t="s">
        <v>108</v>
      </c>
      <c r="J222" s="314" t="s">
        <v>120</v>
      </c>
      <c r="K222" s="314">
        <v>180000</v>
      </c>
      <c r="L222" s="314">
        <v>100000</v>
      </c>
      <c r="M222" s="315">
        <v>45145.8703472222</v>
      </c>
      <c r="N222" s="314" t="s">
        <v>996</v>
      </c>
      <c r="O222" s="314" t="s">
        <v>704</v>
      </c>
      <c r="P222" s="314" t="s">
        <v>161</v>
      </c>
      <c r="Q222" s="315">
        <v>45145.8884722222</v>
      </c>
      <c r="R222" s="315">
        <v>45146.3599884259</v>
      </c>
      <c r="S222" s="314" t="s">
        <v>997</v>
      </c>
      <c r="T222" s="314" t="s">
        <v>124</v>
      </c>
      <c r="U222" s="314" t="s">
        <v>998</v>
      </c>
      <c r="V222" s="314" t="s">
        <v>114</v>
      </c>
      <c r="W222" s="314"/>
      <c r="X222" s="314" t="str">
        <f>VLOOKUP(D222,代理总表!A:D,3,0)</f>
        <v>雨燕直播-越</v>
      </c>
      <c r="Y222" t="str">
        <f>VLOOKUP(D:D,代理总表!A:D,4,FALSE)</f>
        <v>雨燕直播-越ffvn66</v>
      </c>
      <c r="Z222">
        <f t="shared" si="9"/>
        <v>1</v>
      </c>
      <c r="AA222">
        <f t="shared" si="10"/>
        <v>20</v>
      </c>
      <c r="AB222">
        <f t="shared" si="11"/>
        <v>1</v>
      </c>
    </row>
    <row r="223" spans="1:28">
      <c r="A223" s="314" t="s">
        <v>999</v>
      </c>
      <c r="B223" s="314" t="s">
        <v>1000</v>
      </c>
      <c r="C223" s="314">
        <v>19147827461</v>
      </c>
      <c r="D223" s="314" t="s">
        <v>276</v>
      </c>
      <c r="E223" s="314" t="s">
        <v>104</v>
      </c>
      <c r="F223" s="314" t="s">
        <v>144</v>
      </c>
      <c r="G223" s="314" t="s">
        <v>106</v>
      </c>
      <c r="H223" s="314" t="s">
        <v>107</v>
      </c>
      <c r="I223" s="314" t="s">
        <v>108</v>
      </c>
      <c r="J223" s="314" t="s">
        <v>109</v>
      </c>
      <c r="K223" s="314">
        <v>200</v>
      </c>
      <c r="L223" s="314">
        <v>200</v>
      </c>
      <c r="M223" s="315">
        <v>45145.8700578704</v>
      </c>
      <c r="N223" s="314" t="s">
        <v>1001</v>
      </c>
      <c r="O223" s="314" t="s">
        <v>1002</v>
      </c>
      <c r="P223" s="314" t="s">
        <v>112</v>
      </c>
      <c r="Q223" s="315">
        <v>45145.9024189815</v>
      </c>
      <c r="R223" s="315">
        <v>45145.9537962963</v>
      </c>
      <c r="S223" s="314" t="s">
        <v>1003</v>
      </c>
      <c r="T223" s="314" t="s">
        <v>256</v>
      </c>
      <c r="U223" s="314" t="s">
        <v>256</v>
      </c>
      <c r="V223" s="314" t="s">
        <v>114</v>
      </c>
      <c r="W223" s="314"/>
      <c r="X223" s="314" t="str">
        <f>VLOOKUP(D223,代理总表!A:D,3,0)</f>
        <v>飞哥雨燕直播</v>
      </c>
      <c r="Y223" t="str">
        <f>VLOOKUP(D:D,代理总表!A:D,4,FALSE)</f>
        <v>飞哥雨燕直播ffmk88</v>
      </c>
      <c r="Z223">
        <f t="shared" si="9"/>
        <v>1</v>
      </c>
      <c r="AA223">
        <f t="shared" si="10"/>
        <v>20</v>
      </c>
      <c r="AB223">
        <f t="shared" si="11"/>
        <v>1</v>
      </c>
    </row>
    <row r="224" spans="1:28">
      <c r="A224" s="314" t="s">
        <v>1004</v>
      </c>
      <c r="B224" s="314"/>
      <c r="C224" s="314">
        <v>569067211</v>
      </c>
      <c r="D224" s="314" t="s">
        <v>635</v>
      </c>
      <c r="E224" s="314" t="s">
        <v>117</v>
      </c>
      <c r="F224" s="314" t="s">
        <v>118</v>
      </c>
      <c r="G224" s="314" t="s">
        <v>108</v>
      </c>
      <c r="H224" s="314" t="s">
        <v>119</v>
      </c>
      <c r="I224" s="314" t="s">
        <v>108</v>
      </c>
      <c r="J224" s="314" t="s">
        <v>120</v>
      </c>
      <c r="K224" s="314">
        <v>0</v>
      </c>
      <c r="L224" s="314">
        <v>0</v>
      </c>
      <c r="M224" s="315">
        <v>45145.8699537037</v>
      </c>
      <c r="N224" s="314" t="s">
        <v>1005</v>
      </c>
      <c r="O224" s="314" t="s">
        <v>637</v>
      </c>
      <c r="P224" s="314" t="s">
        <v>112</v>
      </c>
      <c r="Q224" s="314" t="s">
        <v>123</v>
      </c>
      <c r="R224" s="315">
        <v>45145.8699537037</v>
      </c>
      <c r="S224" s="314" t="s">
        <v>1005</v>
      </c>
      <c r="T224" s="314" t="s">
        <v>134</v>
      </c>
      <c r="U224" s="314" t="s">
        <v>134</v>
      </c>
      <c r="V224" s="314" t="s">
        <v>114</v>
      </c>
      <c r="W224" s="314"/>
      <c r="X224" s="314" t="str">
        <f>VLOOKUP(D224,代理总表!A:D,3,0)</f>
        <v>外部代理总线</v>
      </c>
      <c r="Y224" t="str">
        <f>VLOOKUP(D:D,代理总表!A:D,4,FALSE)</f>
        <v>外部代理总线zh0808</v>
      </c>
      <c r="Z224">
        <f t="shared" si="9"/>
        <v>0</v>
      </c>
      <c r="AA224">
        <f t="shared" si="10"/>
        <v>20</v>
      </c>
      <c r="AB224">
        <f t="shared" si="11"/>
        <v>1</v>
      </c>
    </row>
    <row r="225" spans="1:28">
      <c r="A225" s="314" t="s">
        <v>1006</v>
      </c>
      <c r="B225" s="314" t="s">
        <v>1007</v>
      </c>
      <c r="C225" s="314">
        <v>908338678</v>
      </c>
      <c r="D225" s="314" t="s">
        <v>172</v>
      </c>
      <c r="E225" s="314" t="s">
        <v>117</v>
      </c>
      <c r="F225" s="314" t="s">
        <v>144</v>
      </c>
      <c r="G225" s="314" t="s">
        <v>106</v>
      </c>
      <c r="H225" s="314" t="s">
        <v>107</v>
      </c>
      <c r="I225" s="314" t="s">
        <v>108</v>
      </c>
      <c r="J225" s="314" t="s">
        <v>120</v>
      </c>
      <c r="K225" s="314">
        <v>120000</v>
      </c>
      <c r="L225" s="314">
        <v>1000000</v>
      </c>
      <c r="M225" s="315">
        <v>45145.8699421296</v>
      </c>
      <c r="N225" s="314" t="s">
        <v>1008</v>
      </c>
      <c r="O225" s="314" t="s">
        <v>193</v>
      </c>
      <c r="P225" s="314" t="s">
        <v>112</v>
      </c>
      <c r="Q225" s="315">
        <v>45145.8782060185</v>
      </c>
      <c r="R225" s="315">
        <v>45146.3156481481</v>
      </c>
      <c r="S225" s="314" t="s">
        <v>1008</v>
      </c>
      <c r="T225" s="314" t="s">
        <v>131</v>
      </c>
      <c r="U225" s="314" t="s">
        <v>131</v>
      </c>
      <c r="V225" s="314" t="s">
        <v>114</v>
      </c>
      <c r="W225" s="314"/>
      <c r="X225" s="314" t="str">
        <f>VLOOKUP(D225,代理总表!A:D,3,0)</f>
        <v>雨燕直播-越</v>
      </c>
      <c r="Y225" t="str">
        <f>VLOOKUP(D:D,代理总表!A:D,4,FALSE)</f>
        <v>雨燕直播-越ffvn66</v>
      </c>
      <c r="Z225">
        <f t="shared" si="9"/>
        <v>1</v>
      </c>
      <c r="AA225">
        <f t="shared" si="10"/>
        <v>20</v>
      </c>
      <c r="AB225">
        <f t="shared" si="11"/>
        <v>1</v>
      </c>
    </row>
    <row r="226" spans="1:28">
      <c r="A226" s="314" t="s">
        <v>1009</v>
      </c>
      <c r="B226" s="314"/>
      <c r="C226" s="314"/>
      <c r="D226" s="314" t="s">
        <v>587</v>
      </c>
      <c r="E226" s="314" t="s">
        <v>104</v>
      </c>
      <c r="F226" s="314" t="s">
        <v>118</v>
      </c>
      <c r="G226" s="314" t="s">
        <v>108</v>
      </c>
      <c r="H226" s="314" t="s">
        <v>119</v>
      </c>
      <c r="I226" s="314" t="s">
        <v>108</v>
      </c>
      <c r="J226" s="314" t="s">
        <v>109</v>
      </c>
      <c r="K226" s="314">
        <v>0</v>
      </c>
      <c r="L226" s="314">
        <v>0</v>
      </c>
      <c r="M226" s="315">
        <v>45145.8692824074</v>
      </c>
      <c r="N226" s="314" t="s">
        <v>1010</v>
      </c>
      <c r="O226" s="314" t="s">
        <v>1011</v>
      </c>
      <c r="P226" s="314" t="s">
        <v>112</v>
      </c>
      <c r="Q226" s="314" t="s">
        <v>123</v>
      </c>
      <c r="R226" s="315">
        <v>45146.1411458333</v>
      </c>
      <c r="S226" s="314" t="s">
        <v>1012</v>
      </c>
      <c r="T226" s="314" t="s">
        <v>1013</v>
      </c>
      <c r="U226" s="314" t="s">
        <v>1014</v>
      </c>
      <c r="V226" s="314" t="s">
        <v>114</v>
      </c>
      <c r="W226" s="314"/>
      <c r="X226" s="314" t="str">
        <f>VLOOKUP(D226,代理总表!A:D,3,0)</f>
        <v>飞哥雨燕直播</v>
      </c>
      <c r="Y226" t="str">
        <f>VLOOKUP(D:D,代理总表!A:D,4,FALSE)</f>
        <v>飞哥雨燕直播ffmk88</v>
      </c>
      <c r="Z226">
        <f t="shared" si="9"/>
        <v>0</v>
      </c>
      <c r="AA226">
        <f t="shared" si="10"/>
        <v>20</v>
      </c>
      <c r="AB226">
        <f t="shared" si="11"/>
        <v>1</v>
      </c>
    </row>
    <row r="227" spans="1:28">
      <c r="A227" s="314" t="s">
        <v>1015</v>
      </c>
      <c r="B227" s="314" t="s">
        <v>1016</v>
      </c>
      <c r="C227" s="314">
        <v>922255764</v>
      </c>
      <c r="D227" s="314" t="s">
        <v>1017</v>
      </c>
      <c r="E227" s="314" t="s">
        <v>117</v>
      </c>
      <c r="F227" s="314" t="s">
        <v>144</v>
      </c>
      <c r="G227" s="314" t="s">
        <v>106</v>
      </c>
      <c r="H227" s="314" t="s">
        <v>107</v>
      </c>
      <c r="I227" s="314" t="s">
        <v>108</v>
      </c>
      <c r="J227" s="314" t="s">
        <v>120</v>
      </c>
      <c r="K227" s="314">
        <v>650000</v>
      </c>
      <c r="L227" s="314">
        <v>4100000</v>
      </c>
      <c r="M227" s="315">
        <v>45145.8682175926</v>
      </c>
      <c r="N227" s="314" t="s">
        <v>1018</v>
      </c>
      <c r="O227" s="314" t="s">
        <v>1019</v>
      </c>
      <c r="P227" s="314" t="s">
        <v>112</v>
      </c>
      <c r="Q227" s="315">
        <v>45145.8853240741</v>
      </c>
      <c r="R227" s="315">
        <v>45145.8867476852</v>
      </c>
      <c r="S227" s="314" t="s">
        <v>1018</v>
      </c>
      <c r="T227" s="314" t="s">
        <v>131</v>
      </c>
      <c r="U227" s="314" t="s">
        <v>131</v>
      </c>
      <c r="V227" s="314" t="s">
        <v>114</v>
      </c>
      <c r="W227" s="314"/>
      <c r="X227" s="314" t="e">
        <f>VLOOKUP(D227,代理总表!A:D,3,0)</f>
        <v>#N/A</v>
      </c>
      <c r="Y227" t="e">
        <f>VLOOKUP(D:D,代理总表!A:D,4,FALSE)</f>
        <v>#N/A</v>
      </c>
      <c r="Z227">
        <f t="shared" si="9"/>
        <v>1</v>
      </c>
      <c r="AA227">
        <f t="shared" si="10"/>
        <v>20</v>
      </c>
      <c r="AB227">
        <f t="shared" si="11"/>
        <v>1</v>
      </c>
    </row>
    <row r="228" spans="1:28">
      <c r="A228" s="314" t="s">
        <v>1020</v>
      </c>
      <c r="B228" s="314"/>
      <c r="C228" s="314">
        <v>903850431</v>
      </c>
      <c r="D228" s="314" t="s">
        <v>1021</v>
      </c>
      <c r="E228" s="314" t="s">
        <v>117</v>
      </c>
      <c r="F228" s="314" t="s">
        <v>118</v>
      </c>
      <c r="G228" s="314" t="s">
        <v>108</v>
      </c>
      <c r="H228" s="314" t="s">
        <v>119</v>
      </c>
      <c r="I228" s="314" t="s">
        <v>108</v>
      </c>
      <c r="J228" s="314" t="s">
        <v>120</v>
      </c>
      <c r="K228" s="314">
        <v>0</v>
      </c>
      <c r="L228" s="314">
        <v>0</v>
      </c>
      <c r="M228" s="315">
        <v>45145.8674189815</v>
      </c>
      <c r="N228" s="314" t="s">
        <v>1022</v>
      </c>
      <c r="O228" s="314" t="s">
        <v>1023</v>
      </c>
      <c r="P228" s="314" t="s">
        <v>112</v>
      </c>
      <c r="Q228" s="314" t="s">
        <v>123</v>
      </c>
      <c r="R228" s="315">
        <v>45145.8715046296</v>
      </c>
      <c r="S228" s="314" t="s">
        <v>1022</v>
      </c>
      <c r="T228" s="314" t="s">
        <v>907</v>
      </c>
      <c r="U228" s="314" t="s">
        <v>907</v>
      </c>
      <c r="V228" s="314" t="s">
        <v>114</v>
      </c>
      <c r="W228" s="314"/>
      <c r="X228" s="314" t="str">
        <f>VLOOKUP(D228,代理总表!A:D,3,0)</f>
        <v>SOCO越南直播</v>
      </c>
      <c r="Y228" t="str">
        <f>VLOOKUP(D:D,代理总表!A:D,4,FALSE)</f>
        <v>SOCO越南直播ffvn66</v>
      </c>
      <c r="Z228">
        <f t="shared" si="9"/>
        <v>0</v>
      </c>
      <c r="AA228">
        <f t="shared" si="10"/>
        <v>20</v>
      </c>
      <c r="AB228">
        <f t="shared" si="11"/>
        <v>1</v>
      </c>
    </row>
    <row r="229" spans="1:28">
      <c r="A229" s="314" t="s">
        <v>1024</v>
      </c>
      <c r="B229" s="314"/>
      <c r="C229" s="314"/>
      <c r="D229" s="314" t="s">
        <v>651</v>
      </c>
      <c r="E229" s="314" t="s">
        <v>117</v>
      </c>
      <c r="F229" s="314" t="s">
        <v>118</v>
      </c>
      <c r="G229" s="314" t="s">
        <v>108</v>
      </c>
      <c r="H229" s="314" t="s">
        <v>119</v>
      </c>
      <c r="I229" s="314" t="s">
        <v>108</v>
      </c>
      <c r="J229" s="314" t="s">
        <v>120</v>
      </c>
      <c r="K229" s="314">
        <v>0</v>
      </c>
      <c r="L229" s="314">
        <v>0</v>
      </c>
      <c r="M229" s="315">
        <v>45145.8653703704</v>
      </c>
      <c r="N229" s="314" t="s">
        <v>1025</v>
      </c>
      <c r="O229" s="314" t="s">
        <v>653</v>
      </c>
      <c r="P229" s="314" t="s">
        <v>112</v>
      </c>
      <c r="Q229" s="314" t="s">
        <v>123</v>
      </c>
      <c r="R229" s="315">
        <v>45145.8653703704</v>
      </c>
      <c r="S229" s="314" t="s">
        <v>1025</v>
      </c>
      <c r="T229" s="314" t="s">
        <v>131</v>
      </c>
      <c r="U229" s="314" t="s">
        <v>131</v>
      </c>
      <c r="V229" s="314" t="s">
        <v>114</v>
      </c>
      <c r="W229" s="314"/>
      <c r="X229" s="314" t="str">
        <f>VLOOKUP(D229,代理总表!A:D,3,0)</f>
        <v>雨燕直播-越</v>
      </c>
      <c r="Y229" t="str">
        <f>VLOOKUP(D:D,代理总表!A:D,4,FALSE)</f>
        <v>雨燕直播-越ffvn66</v>
      </c>
      <c r="Z229">
        <f t="shared" si="9"/>
        <v>0</v>
      </c>
      <c r="AA229">
        <f t="shared" si="10"/>
        <v>20</v>
      </c>
      <c r="AB229">
        <f t="shared" si="11"/>
        <v>1</v>
      </c>
    </row>
    <row r="230" spans="1:28">
      <c r="A230" s="314" t="s">
        <v>1026</v>
      </c>
      <c r="B230" s="314" t="s">
        <v>1027</v>
      </c>
      <c r="C230" s="314">
        <v>358151961</v>
      </c>
      <c r="D230" s="314" t="s">
        <v>651</v>
      </c>
      <c r="E230" s="314" t="s">
        <v>117</v>
      </c>
      <c r="F230" s="314" t="s">
        <v>118</v>
      </c>
      <c r="G230" s="314" t="s">
        <v>108</v>
      </c>
      <c r="H230" s="314" t="s">
        <v>119</v>
      </c>
      <c r="I230" s="314" t="s">
        <v>108</v>
      </c>
      <c r="J230" s="314" t="s">
        <v>120</v>
      </c>
      <c r="K230" s="314">
        <v>0</v>
      </c>
      <c r="L230" s="314">
        <v>0</v>
      </c>
      <c r="M230" s="315">
        <v>45145.8650462963</v>
      </c>
      <c r="N230" s="314" t="s">
        <v>1028</v>
      </c>
      <c r="O230" s="314" t="s">
        <v>653</v>
      </c>
      <c r="P230" s="314" t="s">
        <v>112</v>
      </c>
      <c r="Q230" s="314" t="s">
        <v>123</v>
      </c>
      <c r="R230" s="315">
        <v>45145.8650462963</v>
      </c>
      <c r="S230" s="314" t="s">
        <v>1028</v>
      </c>
      <c r="T230" s="314" t="s">
        <v>177</v>
      </c>
      <c r="U230" s="314" t="s">
        <v>177</v>
      </c>
      <c r="V230" s="314" t="s">
        <v>114</v>
      </c>
      <c r="W230" s="314"/>
      <c r="X230" s="314" t="str">
        <f>VLOOKUP(D230,代理总表!A:D,3,0)</f>
        <v>雨燕直播-越</v>
      </c>
      <c r="Y230" t="str">
        <f>VLOOKUP(D:D,代理总表!A:D,4,FALSE)</f>
        <v>雨燕直播-越ffvn66</v>
      </c>
      <c r="Z230">
        <f t="shared" si="9"/>
        <v>0</v>
      </c>
      <c r="AA230">
        <f t="shared" si="10"/>
        <v>20</v>
      </c>
      <c r="AB230">
        <f t="shared" si="11"/>
        <v>1</v>
      </c>
    </row>
    <row r="231" spans="1:28">
      <c r="A231" s="314" t="s">
        <v>1029</v>
      </c>
      <c r="B231" s="314" t="s">
        <v>1030</v>
      </c>
      <c r="C231" s="314">
        <v>966404568</v>
      </c>
      <c r="D231" s="314" t="s">
        <v>651</v>
      </c>
      <c r="E231" s="314" t="s">
        <v>117</v>
      </c>
      <c r="F231" s="314" t="s">
        <v>144</v>
      </c>
      <c r="G231" s="314" t="s">
        <v>106</v>
      </c>
      <c r="H231" s="314" t="s">
        <v>107</v>
      </c>
      <c r="I231" s="314" t="s">
        <v>108</v>
      </c>
      <c r="J231" s="314" t="s">
        <v>120</v>
      </c>
      <c r="K231" s="314">
        <v>120000</v>
      </c>
      <c r="L231" s="314">
        <v>1000000</v>
      </c>
      <c r="M231" s="315">
        <v>45145.8645717593</v>
      </c>
      <c r="N231" s="314" t="s">
        <v>1031</v>
      </c>
      <c r="O231" s="314" t="s">
        <v>653</v>
      </c>
      <c r="P231" s="314" t="s">
        <v>112</v>
      </c>
      <c r="Q231" s="315">
        <v>45145.9427314815</v>
      </c>
      <c r="R231" s="315">
        <v>45146.2496412037</v>
      </c>
      <c r="S231" s="314" t="s">
        <v>1032</v>
      </c>
      <c r="T231" s="314" t="s">
        <v>177</v>
      </c>
      <c r="U231" s="314" t="s">
        <v>1033</v>
      </c>
      <c r="V231" s="314" t="s">
        <v>114</v>
      </c>
      <c r="W231" s="314"/>
      <c r="X231" s="314" t="str">
        <f>VLOOKUP(D231,代理总表!A:D,3,0)</f>
        <v>雨燕直播-越</v>
      </c>
      <c r="Y231" t="str">
        <f>VLOOKUP(D:D,代理总表!A:D,4,FALSE)</f>
        <v>雨燕直播-越ffvn66</v>
      </c>
      <c r="Z231">
        <f t="shared" si="9"/>
        <v>1</v>
      </c>
      <c r="AA231">
        <f t="shared" si="10"/>
        <v>20</v>
      </c>
      <c r="AB231">
        <f t="shared" si="11"/>
        <v>1</v>
      </c>
    </row>
    <row r="232" spans="1:28">
      <c r="A232" s="314" t="s">
        <v>1034</v>
      </c>
      <c r="B232" s="314"/>
      <c r="C232" s="314"/>
      <c r="D232" s="314" t="s">
        <v>1035</v>
      </c>
      <c r="E232" s="314" t="s">
        <v>117</v>
      </c>
      <c r="F232" s="314" t="s">
        <v>118</v>
      </c>
      <c r="G232" s="314" t="s">
        <v>108</v>
      </c>
      <c r="H232" s="314" t="s">
        <v>119</v>
      </c>
      <c r="I232" s="314" t="s">
        <v>108</v>
      </c>
      <c r="J232" s="314" t="s">
        <v>120</v>
      </c>
      <c r="K232" s="314">
        <v>0</v>
      </c>
      <c r="L232" s="314">
        <v>0</v>
      </c>
      <c r="M232" s="315">
        <v>45145.8644560185</v>
      </c>
      <c r="N232" s="314" t="s">
        <v>1036</v>
      </c>
      <c r="O232" s="314" t="s">
        <v>1037</v>
      </c>
      <c r="P232" s="314" t="s">
        <v>112</v>
      </c>
      <c r="Q232" s="314" t="s">
        <v>123</v>
      </c>
      <c r="R232" s="315">
        <v>45145.8701388889</v>
      </c>
      <c r="S232" s="314" t="s">
        <v>1036</v>
      </c>
      <c r="T232" s="314" t="s">
        <v>131</v>
      </c>
      <c r="U232" s="314" t="s">
        <v>131</v>
      </c>
      <c r="V232" s="314" t="s">
        <v>114</v>
      </c>
      <c r="W232" s="314"/>
      <c r="X232" s="314" t="e">
        <f>VLOOKUP(D232,代理总表!A:D,3,0)</f>
        <v>#N/A</v>
      </c>
      <c r="Y232" t="e">
        <f>VLOOKUP(D:D,代理总表!A:D,4,FALSE)</f>
        <v>#N/A</v>
      </c>
      <c r="Z232">
        <f t="shared" si="9"/>
        <v>0</v>
      </c>
      <c r="AA232">
        <f t="shared" si="10"/>
        <v>20</v>
      </c>
      <c r="AB232">
        <f t="shared" si="11"/>
        <v>1</v>
      </c>
    </row>
    <row r="233" spans="1:28">
      <c r="A233" s="314" t="s">
        <v>1038</v>
      </c>
      <c r="B233" s="314" t="s">
        <v>1039</v>
      </c>
      <c r="C233" s="314">
        <v>336966552</v>
      </c>
      <c r="D233" s="314" t="s">
        <v>137</v>
      </c>
      <c r="E233" s="314" t="s">
        <v>117</v>
      </c>
      <c r="F233" s="314" t="s">
        <v>144</v>
      </c>
      <c r="G233" s="314" t="s">
        <v>106</v>
      </c>
      <c r="H233" s="314" t="s">
        <v>107</v>
      </c>
      <c r="I233" s="314" t="s">
        <v>108</v>
      </c>
      <c r="J233" s="314" t="s">
        <v>120</v>
      </c>
      <c r="K233" s="314">
        <v>50000</v>
      </c>
      <c r="L233" s="314">
        <v>0</v>
      </c>
      <c r="M233" s="315">
        <v>45145.8643518519</v>
      </c>
      <c r="N233" s="314" t="s">
        <v>1040</v>
      </c>
      <c r="O233" s="314" t="s">
        <v>139</v>
      </c>
      <c r="P233" s="314" t="s">
        <v>112</v>
      </c>
      <c r="Q233" s="315">
        <v>45145.8728472222</v>
      </c>
      <c r="R233" s="315">
        <v>45145.9807175926</v>
      </c>
      <c r="S233" s="314" t="s">
        <v>1040</v>
      </c>
      <c r="T233" s="314" t="s">
        <v>217</v>
      </c>
      <c r="U233" s="314" t="s">
        <v>217</v>
      </c>
      <c r="V233" s="314" t="s">
        <v>114</v>
      </c>
      <c r="W233" s="314"/>
      <c r="X233" s="314" t="str">
        <f>VLOOKUP(D233,代理总表!A:D,3,0)</f>
        <v>雨燕直播-越</v>
      </c>
      <c r="Y233" t="str">
        <f>VLOOKUP(D:D,代理总表!A:D,4,FALSE)</f>
        <v>雨燕直播-越ffvn66</v>
      </c>
      <c r="Z233">
        <f t="shared" si="9"/>
        <v>1</v>
      </c>
      <c r="AA233">
        <f t="shared" si="10"/>
        <v>20</v>
      </c>
      <c r="AB233">
        <f t="shared" si="11"/>
        <v>1</v>
      </c>
    </row>
    <row r="234" spans="1:28">
      <c r="A234" s="314" t="s">
        <v>1041</v>
      </c>
      <c r="B234" s="314"/>
      <c r="C234" s="314"/>
      <c r="D234" s="314" t="s">
        <v>103</v>
      </c>
      <c r="E234" s="314" t="s">
        <v>117</v>
      </c>
      <c r="F234" s="314" t="s">
        <v>118</v>
      </c>
      <c r="G234" s="314" t="s">
        <v>108</v>
      </c>
      <c r="H234" s="314" t="s">
        <v>119</v>
      </c>
      <c r="I234" s="314" t="s">
        <v>108</v>
      </c>
      <c r="J234" s="314" t="s">
        <v>120</v>
      </c>
      <c r="K234" s="314">
        <v>0</v>
      </c>
      <c r="L234" s="314">
        <v>0</v>
      </c>
      <c r="M234" s="315">
        <v>45145.8624305556</v>
      </c>
      <c r="N234" s="314" t="s">
        <v>1042</v>
      </c>
      <c r="O234" s="314" t="s">
        <v>1043</v>
      </c>
      <c r="P234" s="314" t="s">
        <v>208</v>
      </c>
      <c r="Q234" s="314" t="s">
        <v>123</v>
      </c>
      <c r="R234" s="315">
        <v>45145.8624305556</v>
      </c>
      <c r="S234" s="314" t="s">
        <v>1042</v>
      </c>
      <c r="T234" s="314" t="s">
        <v>124</v>
      </c>
      <c r="U234" s="314" t="s">
        <v>124</v>
      </c>
      <c r="V234" s="314" t="s">
        <v>114</v>
      </c>
      <c r="W234" s="314"/>
      <c r="X234" s="314" t="str">
        <f>VLOOKUP(D234,代理总表!A:D,3,0)</f>
        <v>官网</v>
      </c>
      <c r="Y234" t="str">
        <f>VLOOKUP(D:D,代理总表!A:D,4,FALSE)</f>
        <v>官网</v>
      </c>
      <c r="Z234">
        <f t="shared" si="9"/>
        <v>0</v>
      </c>
      <c r="AA234">
        <f t="shared" si="10"/>
        <v>20</v>
      </c>
      <c r="AB234">
        <f t="shared" si="11"/>
        <v>1</v>
      </c>
    </row>
    <row r="235" spans="1:28">
      <c r="A235" s="314" t="s">
        <v>1044</v>
      </c>
      <c r="B235" s="314"/>
      <c r="C235" s="314">
        <v>17735666241</v>
      </c>
      <c r="D235" s="314" t="s">
        <v>103</v>
      </c>
      <c r="E235" s="314" t="s">
        <v>104</v>
      </c>
      <c r="F235" s="314" t="s">
        <v>118</v>
      </c>
      <c r="G235" s="314" t="s">
        <v>108</v>
      </c>
      <c r="H235" s="314" t="s">
        <v>119</v>
      </c>
      <c r="I235" s="314" t="s">
        <v>108</v>
      </c>
      <c r="J235" s="314" t="s">
        <v>109</v>
      </c>
      <c r="K235" s="314">
        <v>0</v>
      </c>
      <c r="L235" s="314">
        <v>0</v>
      </c>
      <c r="M235" s="315">
        <v>45145.8618171296</v>
      </c>
      <c r="N235" s="314" t="s">
        <v>1045</v>
      </c>
      <c r="O235" s="314" t="s">
        <v>1046</v>
      </c>
      <c r="P235" s="314" t="s">
        <v>208</v>
      </c>
      <c r="Q235" s="314" t="s">
        <v>123</v>
      </c>
      <c r="R235" s="315">
        <v>45145.8618055556</v>
      </c>
      <c r="S235" s="314" t="s">
        <v>1045</v>
      </c>
      <c r="T235" s="314" t="s">
        <v>515</v>
      </c>
      <c r="U235" s="314" t="s">
        <v>515</v>
      </c>
      <c r="V235" s="314" t="s">
        <v>114</v>
      </c>
      <c r="W235" s="314"/>
      <c r="X235" s="314" t="str">
        <f>VLOOKUP(D235,代理总表!A:D,3,0)</f>
        <v>官网</v>
      </c>
      <c r="Y235" t="str">
        <f>VLOOKUP(D:D,代理总表!A:D,4,FALSE)</f>
        <v>官网</v>
      </c>
      <c r="Z235">
        <f t="shared" si="9"/>
        <v>0</v>
      </c>
      <c r="AA235">
        <f t="shared" si="10"/>
        <v>20</v>
      </c>
      <c r="AB235">
        <f t="shared" si="11"/>
        <v>1</v>
      </c>
    </row>
    <row r="236" spans="1:28">
      <c r="A236" s="314" t="s">
        <v>1047</v>
      </c>
      <c r="B236" s="314"/>
      <c r="C236" s="314">
        <v>15682593056</v>
      </c>
      <c r="D236" s="314" t="s">
        <v>1048</v>
      </c>
      <c r="E236" s="314" t="s">
        <v>104</v>
      </c>
      <c r="F236" s="314" t="s">
        <v>149</v>
      </c>
      <c r="G236" s="314" t="s">
        <v>108</v>
      </c>
      <c r="H236" s="314" t="s">
        <v>119</v>
      </c>
      <c r="I236" s="314" t="s">
        <v>108</v>
      </c>
      <c r="J236" s="314" t="s">
        <v>109</v>
      </c>
      <c r="K236" s="314">
        <v>0</v>
      </c>
      <c r="L236" s="314">
        <v>0</v>
      </c>
      <c r="M236" s="315">
        <v>45145.8617592593</v>
      </c>
      <c r="N236" s="314" t="s">
        <v>1049</v>
      </c>
      <c r="O236" s="314" t="s">
        <v>1050</v>
      </c>
      <c r="P236" s="314" t="s">
        <v>112</v>
      </c>
      <c r="Q236" s="314" t="s">
        <v>123</v>
      </c>
      <c r="R236" s="315">
        <v>45145.8676736111</v>
      </c>
      <c r="S236" s="314" t="s">
        <v>1049</v>
      </c>
      <c r="T236" s="314" t="s">
        <v>1051</v>
      </c>
      <c r="U236" s="314" t="s">
        <v>1051</v>
      </c>
      <c r="V236" s="314" t="s">
        <v>114</v>
      </c>
      <c r="W236" s="314"/>
      <c r="X236" s="314" t="str">
        <f>VLOOKUP(D236,代理总表!A:D,3,0)</f>
        <v>米乐转线</v>
      </c>
      <c r="Y236" t="str">
        <f>VLOOKUP(D:D,代理总表!A:D,4,FALSE)</f>
        <v>SEO</v>
      </c>
      <c r="Z236">
        <f t="shared" si="9"/>
        <v>0</v>
      </c>
      <c r="AA236">
        <f t="shared" si="10"/>
        <v>20</v>
      </c>
      <c r="AB236">
        <f t="shared" si="11"/>
        <v>1</v>
      </c>
    </row>
    <row r="237" spans="1:28">
      <c r="A237" s="314" t="s">
        <v>1052</v>
      </c>
      <c r="B237" s="314" t="s">
        <v>1053</v>
      </c>
      <c r="C237" s="314">
        <v>969703486</v>
      </c>
      <c r="D237" s="314" t="s">
        <v>1035</v>
      </c>
      <c r="E237" s="314" t="s">
        <v>117</v>
      </c>
      <c r="F237" s="314" t="s">
        <v>118</v>
      </c>
      <c r="G237" s="314" t="s">
        <v>108</v>
      </c>
      <c r="H237" s="314" t="s">
        <v>119</v>
      </c>
      <c r="I237" s="314" t="s">
        <v>108</v>
      </c>
      <c r="J237" s="314" t="s">
        <v>120</v>
      </c>
      <c r="K237" s="314">
        <v>0</v>
      </c>
      <c r="L237" s="314">
        <v>0</v>
      </c>
      <c r="M237" s="315">
        <v>45145.8614467593</v>
      </c>
      <c r="N237" s="314" t="s">
        <v>1054</v>
      </c>
      <c r="O237" s="314" t="s">
        <v>1037</v>
      </c>
      <c r="P237" s="314" t="s">
        <v>112</v>
      </c>
      <c r="Q237" s="314" t="s">
        <v>123</v>
      </c>
      <c r="R237" s="315">
        <v>45145.8836689815</v>
      </c>
      <c r="S237" s="314" t="s">
        <v>1054</v>
      </c>
      <c r="T237" s="314" t="s">
        <v>124</v>
      </c>
      <c r="U237" s="314" t="s">
        <v>124</v>
      </c>
      <c r="V237" s="314" t="s">
        <v>114</v>
      </c>
      <c r="W237" s="314"/>
      <c r="X237" s="314" t="e">
        <f>VLOOKUP(D237,代理总表!A:D,3,0)</f>
        <v>#N/A</v>
      </c>
      <c r="Y237" t="e">
        <f>VLOOKUP(D:D,代理总表!A:D,4,FALSE)</f>
        <v>#N/A</v>
      </c>
      <c r="Z237">
        <f t="shared" si="9"/>
        <v>0</v>
      </c>
      <c r="AA237">
        <f t="shared" si="10"/>
        <v>20</v>
      </c>
      <c r="AB237">
        <f t="shared" si="11"/>
        <v>1</v>
      </c>
    </row>
    <row r="238" spans="1:28">
      <c r="A238" s="314" t="s">
        <v>1055</v>
      </c>
      <c r="B238" s="314"/>
      <c r="C238" s="314">
        <v>926125229</v>
      </c>
      <c r="D238" s="314" t="s">
        <v>137</v>
      </c>
      <c r="E238" s="314" t="s">
        <v>117</v>
      </c>
      <c r="F238" s="314" t="s">
        <v>118</v>
      </c>
      <c r="G238" s="314" t="s">
        <v>108</v>
      </c>
      <c r="H238" s="314" t="s">
        <v>119</v>
      </c>
      <c r="I238" s="314" t="s">
        <v>108</v>
      </c>
      <c r="J238" s="314" t="s">
        <v>120</v>
      </c>
      <c r="K238" s="314">
        <v>0</v>
      </c>
      <c r="L238" s="314">
        <v>0</v>
      </c>
      <c r="M238" s="315">
        <v>45145.8605092593</v>
      </c>
      <c r="N238" s="314" t="s">
        <v>1056</v>
      </c>
      <c r="O238" s="314" t="s">
        <v>139</v>
      </c>
      <c r="P238" s="314" t="s">
        <v>161</v>
      </c>
      <c r="Q238" s="314" t="s">
        <v>123</v>
      </c>
      <c r="R238" s="315">
        <v>45145.8605092593</v>
      </c>
      <c r="S238" s="314" t="s">
        <v>1056</v>
      </c>
      <c r="T238" s="314" t="s">
        <v>131</v>
      </c>
      <c r="U238" s="314" t="s">
        <v>131</v>
      </c>
      <c r="V238" s="314" t="s">
        <v>114</v>
      </c>
      <c r="W238" s="314"/>
      <c r="X238" s="314" t="str">
        <f>VLOOKUP(D238,代理总表!A:D,3,0)</f>
        <v>雨燕直播-越</v>
      </c>
      <c r="Y238" t="str">
        <f>VLOOKUP(D:D,代理总表!A:D,4,FALSE)</f>
        <v>雨燕直播-越ffvn66</v>
      </c>
      <c r="Z238">
        <f t="shared" si="9"/>
        <v>0</v>
      </c>
      <c r="AA238">
        <f t="shared" si="10"/>
        <v>20</v>
      </c>
      <c r="AB238">
        <f t="shared" si="11"/>
        <v>1</v>
      </c>
    </row>
    <row r="239" spans="1:28">
      <c r="A239" s="314" t="s">
        <v>1057</v>
      </c>
      <c r="B239" s="314"/>
      <c r="C239" s="314"/>
      <c r="D239" s="314" t="s">
        <v>370</v>
      </c>
      <c r="E239" s="314" t="s">
        <v>104</v>
      </c>
      <c r="F239" s="314" t="s">
        <v>118</v>
      </c>
      <c r="G239" s="314" t="s">
        <v>108</v>
      </c>
      <c r="H239" s="314" t="s">
        <v>119</v>
      </c>
      <c r="I239" s="314" t="s">
        <v>108</v>
      </c>
      <c r="J239" s="314" t="s">
        <v>109</v>
      </c>
      <c r="K239" s="314">
        <v>0</v>
      </c>
      <c r="L239" s="314">
        <v>0</v>
      </c>
      <c r="M239" s="315">
        <v>45145.8594212963</v>
      </c>
      <c r="N239" s="314" t="s">
        <v>1058</v>
      </c>
      <c r="O239" s="314" t="s">
        <v>372</v>
      </c>
      <c r="P239" s="314" t="s">
        <v>112</v>
      </c>
      <c r="Q239" s="314" t="s">
        <v>123</v>
      </c>
      <c r="R239" s="315">
        <v>45145.8594212963</v>
      </c>
      <c r="S239" s="314" t="s">
        <v>1058</v>
      </c>
      <c r="T239" s="314" t="s">
        <v>1059</v>
      </c>
      <c r="U239" s="314" t="s">
        <v>1059</v>
      </c>
      <c r="V239" s="314" t="s">
        <v>114</v>
      </c>
      <c r="W239" s="314"/>
      <c r="X239" s="314" t="str">
        <f>VLOOKUP(D239,代理总表!A:D,3,0)</f>
        <v>GT-骨头</v>
      </c>
      <c r="Y239" t="str">
        <f>VLOOKUP(D:D,代理总表!A:D,4,FALSE)</f>
        <v>GT-骨头gt6677</v>
      </c>
      <c r="Z239">
        <f t="shared" si="9"/>
        <v>0</v>
      </c>
      <c r="AA239">
        <f t="shared" si="10"/>
        <v>20</v>
      </c>
      <c r="AB239">
        <f t="shared" si="11"/>
        <v>1</v>
      </c>
    </row>
    <row r="240" spans="1:28">
      <c r="A240" s="314" t="s">
        <v>1060</v>
      </c>
      <c r="B240" s="314" t="s">
        <v>1061</v>
      </c>
      <c r="C240" s="314">
        <v>338410071</v>
      </c>
      <c r="D240" s="314" t="s">
        <v>1062</v>
      </c>
      <c r="E240" s="314" t="s">
        <v>117</v>
      </c>
      <c r="F240" s="314" t="s">
        <v>144</v>
      </c>
      <c r="G240" s="314" t="s">
        <v>106</v>
      </c>
      <c r="H240" s="314" t="s">
        <v>107</v>
      </c>
      <c r="I240" s="314" t="s">
        <v>108</v>
      </c>
      <c r="J240" s="314" t="s">
        <v>120</v>
      </c>
      <c r="K240" s="314">
        <v>50000</v>
      </c>
      <c r="L240" s="314">
        <v>0</v>
      </c>
      <c r="M240" s="315">
        <v>45145.8579050926</v>
      </c>
      <c r="N240" s="314" t="s">
        <v>1063</v>
      </c>
      <c r="O240" s="314" t="s">
        <v>1064</v>
      </c>
      <c r="P240" s="314" t="s">
        <v>112</v>
      </c>
      <c r="Q240" s="315">
        <v>45145.8686342593</v>
      </c>
      <c r="R240" s="315">
        <v>45145.8578935185</v>
      </c>
      <c r="S240" s="314" t="s">
        <v>1063</v>
      </c>
      <c r="T240" s="314" t="s">
        <v>124</v>
      </c>
      <c r="U240" s="314" t="s">
        <v>124</v>
      </c>
      <c r="V240" s="314" t="s">
        <v>114</v>
      </c>
      <c r="W240" s="314"/>
      <c r="X240" s="314" t="str">
        <f>VLOOKUP(D240,代理总表!A:D,3,0)</f>
        <v>外代-越</v>
      </c>
      <c r="Y240" t="str">
        <f>VLOOKUP(D:D,代理总表!A:D,4,FALSE)</f>
        <v>外代-越btydl072</v>
      </c>
      <c r="Z240">
        <f t="shared" si="9"/>
        <v>1</v>
      </c>
      <c r="AA240">
        <f t="shared" si="10"/>
        <v>20</v>
      </c>
      <c r="AB240">
        <f t="shared" si="11"/>
        <v>1</v>
      </c>
    </row>
    <row r="241" spans="1:28">
      <c r="A241" s="314" t="s">
        <v>1065</v>
      </c>
      <c r="B241" s="314" t="s">
        <v>1066</v>
      </c>
      <c r="C241" s="314">
        <v>963877851</v>
      </c>
      <c r="D241" s="314" t="s">
        <v>103</v>
      </c>
      <c r="E241" s="314" t="s">
        <v>117</v>
      </c>
      <c r="F241" s="314" t="s">
        <v>144</v>
      </c>
      <c r="G241" s="314" t="s">
        <v>106</v>
      </c>
      <c r="H241" s="314" t="s">
        <v>107</v>
      </c>
      <c r="I241" s="314" t="s">
        <v>108</v>
      </c>
      <c r="J241" s="314" t="s">
        <v>120</v>
      </c>
      <c r="K241" s="314">
        <v>50000</v>
      </c>
      <c r="L241" s="314">
        <v>0</v>
      </c>
      <c r="M241" s="315">
        <v>45145.8555324074</v>
      </c>
      <c r="N241" s="314" t="s">
        <v>1067</v>
      </c>
      <c r="O241" s="314" t="s">
        <v>1068</v>
      </c>
      <c r="P241" s="314" t="s">
        <v>208</v>
      </c>
      <c r="Q241" s="315">
        <v>45145.9085763889</v>
      </c>
      <c r="R241" s="315">
        <v>45145.9598263889</v>
      </c>
      <c r="S241" s="314" t="s">
        <v>1069</v>
      </c>
      <c r="T241" s="314" t="s">
        <v>124</v>
      </c>
      <c r="U241" s="314" t="s">
        <v>177</v>
      </c>
      <c r="V241" s="314" t="s">
        <v>114</v>
      </c>
      <c r="W241" s="314"/>
      <c r="X241" s="314" t="str">
        <f>VLOOKUP(D241,代理总表!A:D,3,0)</f>
        <v>官网</v>
      </c>
      <c r="Y241" t="str">
        <f>VLOOKUP(D:D,代理总表!A:D,4,FALSE)</f>
        <v>官网</v>
      </c>
      <c r="Z241">
        <f t="shared" si="9"/>
        <v>1</v>
      </c>
      <c r="AA241">
        <f t="shared" si="10"/>
        <v>20</v>
      </c>
      <c r="AB241">
        <f t="shared" si="11"/>
        <v>1</v>
      </c>
    </row>
    <row r="242" spans="1:28">
      <c r="A242" s="314" t="s">
        <v>1070</v>
      </c>
      <c r="B242" s="314"/>
      <c r="C242" s="314">
        <v>975727096</v>
      </c>
      <c r="D242" s="314" t="s">
        <v>116</v>
      </c>
      <c r="E242" s="314" t="s">
        <v>117</v>
      </c>
      <c r="F242" s="314" t="s">
        <v>118</v>
      </c>
      <c r="G242" s="314" t="s">
        <v>108</v>
      </c>
      <c r="H242" s="314" t="s">
        <v>119</v>
      </c>
      <c r="I242" s="314" t="s">
        <v>108</v>
      </c>
      <c r="J242" s="314" t="s">
        <v>120</v>
      </c>
      <c r="K242" s="314">
        <v>0</v>
      </c>
      <c r="L242" s="314">
        <v>0</v>
      </c>
      <c r="M242" s="315">
        <v>45145.8548611111</v>
      </c>
      <c r="N242" s="314" t="s">
        <v>1071</v>
      </c>
      <c r="O242" s="314" t="s">
        <v>127</v>
      </c>
      <c r="P242" s="314" t="s">
        <v>112</v>
      </c>
      <c r="Q242" s="314" t="s">
        <v>123</v>
      </c>
      <c r="R242" s="315">
        <v>45146.0479282407</v>
      </c>
      <c r="S242" s="314" t="s">
        <v>1071</v>
      </c>
      <c r="T242" s="314" t="s">
        <v>1072</v>
      </c>
      <c r="U242" s="314" t="s">
        <v>1072</v>
      </c>
      <c r="V242" s="314" t="s">
        <v>114</v>
      </c>
      <c r="W242" s="314"/>
      <c r="X242" s="314" t="str">
        <f>VLOOKUP(D242,代理总表!A:D,3,0)</f>
        <v>外部代理总线</v>
      </c>
      <c r="Y242" t="str">
        <f>VLOOKUP(D:D,代理总表!A:D,4,FALSE)</f>
        <v>外部代理总线zh0808</v>
      </c>
      <c r="Z242">
        <f t="shared" si="9"/>
        <v>0</v>
      </c>
      <c r="AA242">
        <f t="shared" si="10"/>
        <v>20</v>
      </c>
      <c r="AB242">
        <f t="shared" si="11"/>
        <v>1</v>
      </c>
    </row>
    <row r="243" spans="1:28">
      <c r="A243" s="314" t="s">
        <v>1073</v>
      </c>
      <c r="B243" s="314"/>
      <c r="C243" s="314">
        <v>18796173415</v>
      </c>
      <c r="D243" s="314" t="s">
        <v>294</v>
      </c>
      <c r="E243" s="314" t="s">
        <v>104</v>
      </c>
      <c r="F243" s="314" t="s">
        <v>149</v>
      </c>
      <c r="G243" s="314" t="s">
        <v>108</v>
      </c>
      <c r="H243" s="314" t="s">
        <v>119</v>
      </c>
      <c r="I243" s="314" t="s">
        <v>108</v>
      </c>
      <c r="J243" s="314" t="s">
        <v>109</v>
      </c>
      <c r="K243" s="314">
        <v>0</v>
      </c>
      <c r="L243" s="314">
        <v>0</v>
      </c>
      <c r="M243" s="315">
        <v>45145.8547222222</v>
      </c>
      <c r="N243" s="314" t="s">
        <v>1074</v>
      </c>
      <c r="O243" s="314" t="s">
        <v>945</v>
      </c>
      <c r="P243" s="314" t="s">
        <v>112</v>
      </c>
      <c r="Q243" s="314" t="s">
        <v>123</v>
      </c>
      <c r="R243" s="315">
        <v>45145.8822106481</v>
      </c>
      <c r="S243" s="314" t="s">
        <v>1074</v>
      </c>
      <c r="T243" s="314" t="s">
        <v>1075</v>
      </c>
      <c r="U243" s="314" t="s">
        <v>1075</v>
      </c>
      <c r="V243" s="314" t="s">
        <v>114</v>
      </c>
      <c r="W243" s="314"/>
      <c r="X243" s="314" t="str">
        <f>VLOOKUP(D243,代理总表!A:D,3,0)</f>
        <v>DK</v>
      </c>
      <c r="Y243" t="str">
        <f>VLOOKUP(D:D,代理总表!A:D,4,FALSE)</f>
        <v>SEO</v>
      </c>
      <c r="Z243">
        <f t="shared" si="9"/>
        <v>0</v>
      </c>
      <c r="AA243">
        <f t="shared" si="10"/>
        <v>20</v>
      </c>
      <c r="AB243">
        <f t="shared" si="11"/>
        <v>1</v>
      </c>
    </row>
    <row r="244" spans="1:28">
      <c r="A244" s="314" t="s">
        <v>1076</v>
      </c>
      <c r="B244" s="314"/>
      <c r="C244" s="314">
        <v>934538919</v>
      </c>
      <c r="D244" s="314" t="s">
        <v>651</v>
      </c>
      <c r="E244" s="314" t="s">
        <v>117</v>
      </c>
      <c r="F244" s="314" t="s">
        <v>118</v>
      </c>
      <c r="G244" s="314" t="s">
        <v>108</v>
      </c>
      <c r="H244" s="314" t="s">
        <v>119</v>
      </c>
      <c r="I244" s="314" t="s">
        <v>108</v>
      </c>
      <c r="J244" s="314" t="s">
        <v>120</v>
      </c>
      <c r="K244" s="314">
        <v>0</v>
      </c>
      <c r="L244" s="314">
        <v>0</v>
      </c>
      <c r="M244" s="315">
        <v>45145.8545833333</v>
      </c>
      <c r="N244" s="314" t="s">
        <v>1077</v>
      </c>
      <c r="O244" s="314" t="s">
        <v>1078</v>
      </c>
      <c r="P244" s="314" t="s">
        <v>339</v>
      </c>
      <c r="Q244" s="314" t="s">
        <v>123</v>
      </c>
      <c r="R244" s="315">
        <v>45145.8545717593</v>
      </c>
      <c r="S244" s="314" t="s">
        <v>1077</v>
      </c>
      <c r="T244" s="314" t="s">
        <v>217</v>
      </c>
      <c r="U244" s="314" t="s">
        <v>217</v>
      </c>
      <c r="V244" s="314" t="s">
        <v>114</v>
      </c>
      <c r="W244" s="314"/>
      <c r="X244" s="314" t="str">
        <f>VLOOKUP(D244,代理总表!A:D,3,0)</f>
        <v>雨燕直播-越</v>
      </c>
      <c r="Y244" t="str">
        <f>VLOOKUP(D:D,代理总表!A:D,4,FALSE)</f>
        <v>雨燕直播-越ffvn66</v>
      </c>
      <c r="Z244">
        <f t="shared" si="9"/>
        <v>0</v>
      </c>
      <c r="AA244">
        <f t="shared" si="10"/>
        <v>20</v>
      </c>
      <c r="AB244">
        <f t="shared" si="11"/>
        <v>1</v>
      </c>
    </row>
    <row r="245" spans="1:28">
      <c r="A245" s="314" t="s">
        <v>1079</v>
      </c>
      <c r="B245" s="314"/>
      <c r="C245" s="314"/>
      <c r="D245" s="314" t="s">
        <v>116</v>
      </c>
      <c r="E245" s="314" t="s">
        <v>117</v>
      </c>
      <c r="F245" s="314" t="s">
        <v>118</v>
      </c>
      <c r="G245" s="314" t="s">
        <v>108</v>
      </c>
      <c r="H245" s="314" t="s">
        <v>119</v>
      </c>
      <c r="I245" s="314" t="s">
        <v>108</v>
      </c>
      <c r="J245" s="314" t="s">
        <v>120</v>
      </c>
      <c r="K245" s="314">
        <v>0</v>
      </c>
      <c r="L245" s="314">
        <v>0</v>
      </c>
      <c r="M245" s="315">
        <v>45145.8540856481</v>
      </c>
      <c r="N245" s="314" t="s">
        <v>1080</v>
      </c>
      <c r="O245" s="314" t="s">
        <v>122</v>
      </c>
      <c r="P245" s="314" t="s">
        <v>112</v>
      </c>
      <c r="Q245" s="314" t="s">
        <v>123</v>
      </c>
      <c r="R245" s="315">
        <v>45145.8540856481</v>
      </c>
      <c r="S245" s="314" t="s">
        <v>1080</v>
      </c>
      <c r="T245" s="314" t="s">
        <v>124</v>
      </c>
      <c r="U245" s="314" t="s">
        <v>124</v>
      </c>
      <c r="V245" s="314" t="s">
        <v>114</v>
      </c>
      <c r="W245" s="314"/>
      <c r="X245" s="314" t="str">
        <f>VLOOKUP(D245,代理总表!A:D,3,0)</f>
        <v>外部代理总线</v>
      </c>
      <c r="Y245" t="str">
        <f>VLOOKUP(D:D,代理总表!A:D,4,FALSE)</f>
        <v>外部代理总线zh0808</v>
      </c>
      <c r="Z245">
        <f t="shared" si="9"/>
        <v>0</v>
      </c>
      <c r="AA245">
        <f t="shared" si="10"/>
        <v>20</v>
      </c>
      <c r="AB245">
        <f t="shared" si="11"/>
        <v>1</v>
      </c>
    </row>
    <row r="246" spans="1:28">
      <c r="A246" s="314" t="s">
        <v>1081</v>
      </c>
      <c r="B246" s="314" t="s">
        <v>1082</v>
      </c>
      <c r="C246" s="314">
        <v>358455897</v>
      </c>
      <c r="D246" s="314" t="s">
        <v>1083</v>
      </c>
      <c r="E246" s="314" t="s">
        <v>117</v>
      </c>
      <c r="F246" s="314" t="s">
        <v>118</v>
      </c>
      <c r="G246" s="314" t="s">
        <v>108</v>
      </c>
      <c r="H246" s="314" t="s">
        <v>119</v>
      </c>
      <c r="I246" s="314" t="s">
        <v>108</v>
      </c>
      <c r="J246" s="314" t="s">
        <v>120</v>
      </c>
      <c r="K246" s="314">
        <v>0</v>
      </c>
      <c r="L246" s="314">
        <v>0</v>
      </c>
      <c r="M246" s="315">
        <v>45145.8533449074</v>
      </c>
      <c r="N246" s="314" t="s">
        <v>1084</v>
      </c>
      <c r="O246" s="314" t="s">
        <v>1085</v>
      </c>
      <c r="P246" s="314" t="s">
        <v>112</v>
      </c>
      <c r="Q246" s="314" t="s">
        <v>123</v>
      </c>
      <c r="R246" s="315">
        <v>45145.9387037037</v>
      </c>
      <c r="S246" s="314" t="s">
        <v>1084</v>
      </c>
      <c r="T246" s="314" t="s">
        <v>1086</v>
      </c>
      <c r="U246" s="314" t="s">
        <v>1086</v>
      </c>
      <c r="V246" s="314" t="s">
        <v>114</v>
      </c>
      <c r="W246" s="314"/>
      <c r="X246" s="314" t="str">
        <f>VLOOKUP(D246,代理总表!A:D,3,0)</f>
        <v>外部代理总线</v>
      </c>
      <c r="Y246" t="str">
        <f>VLOOKUP(D:D,代理总表!A:D,4,FALSE)</f>
        <v>外部代理总线zhaoshang</v>
      </c>
      <c r="Z246">
        <f t="shared" si="9"/>
        <v>0</v>
      </c>
      <c r="AA246">
        <f t="shared" si="10"/>
        <v>20</v>
      </c>
      <c r="AB246">
        <f t="shared" si="11"/>
        <v>1</v>
      </c>
    </row>
    <row r="247" spans="1:28">
      <c r="A247" s="314" t="s">
        <v>1087</v>
      </c>
      <c r="B247" s="314"/>
      <c r="C247" s="314"/>
      <c r="D247" s="314" t="s">
        <v>754</v>
      </c>
      <c r="E247" s="314" t="s">
        <v>104</v>
      </c>
      <c r="F247" s="314" t="s">
        <v>149</v>
      </c>
      <c r="G247" s="314" t="s">
        <v>108</v>
      </c>
      <c r="H247" s="314" t="s">
        <v>119</v>
      </c>
      <c r="I247" s="314" t="s">
        <v>108</v>
      </c>
      <c r="J247" s="314" t="s">
        <v>109</v>
      </c>
      <c r="K247" s="314">
        <v>0</v>
      </c>
      <c r="L247" s="314">
        <v>0</v>
      </c>
      <c r="M247" s="315">
        <v>45145.8520023148</v>
      </c>
      <c r="N247" s="314" t="s">
        <v>1088</v>
      </c>
      <c r="O247" s="314" t="s">
        <v>756</v>
      </c>
      <c r="P247" s="314" t="s">
        <v>112</v>
      </c>
      <c r="Q247" s="314" t="s">
        <v>123</v>
      </c>
      <c r="R247" s="315">
        <v>45145.8796643519</v>
      </c>
      <c r="S247" s="314" t="s">
        <v>1088</v>
      </c>
      <c r="T247" s="314" t="s">
        <v>849</v>
      </c>
      <c r="U247" s="314" t="s">
        <v>849</v>
      </c>
      <c r="V247" s="314" t="s">
        <v>114</v>
      </c>
      <c r="W247" s="314"/>
      <c r="X247" s="314" t="str">
        <f>VLOOKUP(D247,代理总表!A:D,3,0)</f>
        <v>SEO掉线用户转线</v>
      </c>
      <c r="Y247" t="str">
        <f>VLOOKUP(D:D,代理总表!A:D,4,FALSE)</f>
        <v>SEO</v>
      </c>
      <c r="Z247">
        <f t="shared" si="9"/>
        <v>0</v>
      </c>
      <c r="AA247">
        <f t="shared" si="10"/>
        <v>20</v>
      </c>
      <c r="AB247">
        <f t="shared" si="11"/>
        <v>1</v>
      </c>
    </row>
    <row r="248" spans="1:28">
      <c r="A248" s="314" t="s">
        <v>1089</v>
      </c>
      <c r="B248" s="314" t="s">
        <v>1090</v>
      </c>
      <c r="C248" s="314">
        <v>18601775825</v>
      </c>
      <c r="D248" s="314" t="s">
        <v>370</v>
      </c>
      <c r="E248" s="314" t="s">
        <v>104</v>
      </c>
      <c r="F248" s="314" t="s">
        <v>144</v>
      </c>
      <c r="G248" s="314" t="s">
        <v>106</v>
      </c>
      <c r="H248" s="314" t="s">
        <v>107</v>
      </c>
      <c r="I248" s="314" t="s">
        <v>108</v>
      </c>
      <c r="J248" s="314" t="s">
        <v>109</v>
      </c>
      <c r="K248" s="314">
        <v>100</v>
      </c>
      <c r="L248" s="314">
        <v>0</v>
      </c>
      <c r="M248" s="315">
        <v>45145.8510648148</v>
      </c>
      <c r="N248" s="314" t="s">
        <v>1091</v>
      </c>
      <c r="O248" s="314" t="s">
        <v>813</v>
      </c>
      <c r="P248" s="314" t="s">
        <v>112</v>
      </c>
      <c r="Q248" s="315">
        <v>45145.8621527778</v>
      </c>
      <c r="R248" s="315">
        <v>45145.8600578704</v>
      </c>
      <c r="S248" s="314" t="s">
        <v>1091</v>
      </c>
      <c r="T248" s="314" t="s">
        <v>1092</v>
      </c>
      <c r="U248" s="314" t="s">
        <v>1092</v>
      </c>
      <c r="V248" s="314" t="s">
        <v>114</v>
      </c>
      <c r="W248" s="314"/>
      <c r="X248" s="314" t="str">
        <f>VLOOKUP(D248,代理总表!A:D,3,0)</f>
        <v>GT-骨头</v>
      </c>
      <c r="Y248" t="str">
        <f>VLOOKUP(D:D,代理总表!A:D,4,FALSE)</f>
        <v>GT-骨头gt6677</v>
      </c>
      <c r="Z248">
        <f t="shared" si="9"/>
        <v>1</v>
      </c>
      <c r="AA248">
        <f t="shared" si="10"/>
        <v>20</v>
      </c>
      <c r="AB248">
        <f t="shared" si="11"/>
        <v>1</v>
      </c>
    </row>
    <row r="249" spans="1:28">
      <c r="A249" s="314" t="s">
        <v>1093</v>
      </c>
      <c r="B249" s="314" t="s">
        <v>1094</v>
      </c>
      <c r="C249" s="314">
        <v>359333710</v>
      </c>
      <c r="D249" s="314" t="s">
        <v>197</v>
      </c>
      <c r="E249" s="314" t="s">
        <v>117</v>
      </c>
      <c r="F249" s="314" t="s">
        <v>144</v>
      </c>
      <c r="G249" s="314" t="s">
        <v>106</v>
      </c>
      <c r="H249" s="314" t="s">
        <v>107</v>
      </c>
      <c r="I249" s="314" t="s">
        <v>108</v>
      </c>
      <c r="J249" s="314" t="s">
        <v>120</v>
      </c>
      <c r="K249" s="314">
        <v>98000</v>
      </c>
      <c r="L249" s="314">
        <v>16500000</v>
      </c>
      <c r="M249" s="315">
        <v>45145.8510069444</v>
      </c>
      <c r="N249" s="314" t="s">
        <v>1095</v>
      </c>
      <c r="O249" s="314" t="s">
        <v>875</v>
      </c>
      <c r="P249" s="314" t="s">
        <v>112</v>
      </c>
      <c r="Q249" s="315">
        <v>45145.9302430556</v>
      </c>
      <c r="R249" s="315">
        <v>45146.0895023148</v>
      </c>
      <c r="S249" s="314" t="s">
        <v>1096</v>
      </c>
      <c r="T249" s="314" t="s">
        <v>177</v>
      </c>
      <c r="U249" s="314" t="s">
        <v>124</v>
      </c>
      <c r="V249" s="314" t="s">
        <v>114</v>
      </c>
      <c r="W249" s="314"/>
      <c r="X249" s="314" t="str">
        <f>VLOOKUP(D249,代理总表!A:D,3,0)</f>
        <v>雨燕直播-越</v>
      </c>
      <c r="Y249" t="str">
        <f>VLOOKUP(D:D,代理总表!A:D,4,FALSE)</f>
        <v>雨燕直播-越ffvn66</v>
      </c>
      <c r="Z249">
        <f t="shared" si="9"/>
        <v>1</v>
      </c>
      <c r="AA249">
        <f t="shared" si="10"/>
        <v>20</v>
      </c>
      <c r="AB249">
        <f t="shared" si="11"/>
        <v>1</v>
      </c>
    </row>
    <row r="250" spans="1:28">
      <c r="A250" s="314" t="s">
        <v>1097</v>
      </c>
      <c r="B250" s="314"/>
      <c r="C250" s="314"/>
      <c r="D250" s="314" t="s">
        <v>1098</v>
      </c>
      <c r="E250" s="314" t="s">
        <v>104</v>
      </c>
      <c r="F250" s="314" t="s">
        <v>118</v>
      </c>
      <c r="G250" s="314" t="s">
        <v>108</v>
      </c>
      <c r="H250" s="314" t="s">
        <v>119</v>
      </c>
      <c r="I250" s="314" t="s">
        <v>108</v>
      </c>
      <c r="J250" s="314" t="s">
        <v>109</v>
      </c>
      <c r="K250" s="314">
        <v>0</v>
      </c>
      <c r="L250" s="314">
        <v>0</v>
      </c>
      <c r="M250" s="315">
        <v>45145.8509606481</v>
      </c>
      <c r="N250" s="314" t="s">
        <v>1099</v>
      </c>
      <c r="O250" s="314" t="s">
        <v>1100</v>
      </c>
      <c r="P250" s="314" t="s">
        <v>112</v>
      </c>
      <c r="Q250" s="314" t="s">
        <v>123</v>
      </c>
      <c r="R250" s="315">
        <v>45145.8509490741</v>
      </c>
      <c r="S250" s="314" t="s">
        <v>1099</v>
      </c>
      <c r="T250" s="314" t="s">
        <v>299</v>
      </c>
      <c r="U250" s="314" t="s">
        <v>299</v>
      </c>
      <c r="V250" s="314" t="s">
        <v>114</v>
      </c>
      <c r="W250" s="314"/>
      <c r="X250" s="314" t="str">
        <f>VLOOKUP(D250,代理总表!A:D,3,0)</f>
        <v>178直播</v>
      </c>
      <c r="Y250" t="str">
        <f>VLOOKUP(D:D,代理总表!A:D,4,FALSE)</f>
        <v>178直播rg1888</v>
      </c>
      <c r="Z250">
        <f t="shared" si="9"/>
        <v>0</v>
      </c>
      <c r="AA250">
        <f t="shared" si="10"/>
        <v>20</v>
      </c>
      <c r="AB250">
        <f t="shared" si="11"/>
        <v>1</v>
      </c>
    </row>
    <row r="251" spans="1:28">
      <c r="A251" s="314" t="s">
        <v>1101</v>
      </c>
      <c r="B251" s="314" t="s">
        <v>1102</v>
      </c>
      <c r="C251" s="314">
        <v>18892501965</v>
      </c>
      <c r="D251" s="314" t="s">
        <v>103</v>
      </c>
      <c r="E251" s="314" t="s">
        <v>104</v>
      </c>
      <c r="F251" s="314" t="s">
        <v>118</v>
      </c>
      <c r="G251" s="314" t="s">
        <v>106</v>
      </c>
      <c r="H251" s="314" t="s">
        <v>119</v>
      </c>
      <c r="I251" s="314" t="s">
        <v>108</v>
      </c>
      <c r="J251" s="314" t="s">
        <v>109</v>
      </c>
      <c r="K251" s="314">
        <v>0</v>
      </c>
      <c r="L251" s="314">
        <v>0</v>
      </c>
      <c r="M251" s="315">
        <v>45145.8507060185</v>
      </c>
      <c r="N251" s="314" t="s">
        <v>1103</v>
      </c>
      <c r="O251" s="314" t="s">
        <v>1104</v>
      </c>
      <c r="P251" s="314" t="s">
        <v>339</v>
      </c>
      <c r="Q251" s="314" t="s">
        <v>123</v>
      </c>
      <c r="R251" s="315">
        <v>45145.8506944444</v>
      </c>
      <c r="S251" s="314" t="s">
        <v>1103</v>
      </c>
      <c r="T251" s="314" t="s">
        <v>1105</v>
      </c>
      <c r="U251" s="314" t="s">
        <v>1105</v>
      </c>
      <c r="V251" s="314" t="s">
        <v>114</v>
      </c>
      <c r="W251" s="314"/>
      <c r="X251" s="314" t="str">
        <f>VLOOKUP(D251,代理总表!A:D,3,0)</f>
        <v>官网</v>
      </c>
      <c r="Y251" t="str">
        <f>VLOOKUP(D:D,代理总表!A:D,4,FALSE)</f>
        <v>官网</v>
      </c>
      <c r="Z251">
        <f t="shared" si="9"/>
        <v>0</v>
      </c>
      <c r="AA251">
        <f t="shared" si="10"/>
        <v>20</v>
      </c>
      <c r="AB251">
        <f t="shared" si="11"/>
        <v>1</v>
      </c>
    </row>
    <row r="252" spans="1:28">
      <c r="A252" s="314" t="s">
        <v>1106</v>
      </c>
      <c r="B252" s="314" t="s">
        <v>1107</v>
      </c>
      <c r="C252" s="314">
        <v>18385624116</v>
      </c>
      <c r="D252" s="314" t="s">
        <v>103</v>
      </c>
      <c r="E252" s="314" t="s">
        <v>104</v>
      </c>
      <c r="F252" s="314" t="s">
        <v>118</v>
      </c>
      <c r="G252" s="314" t="s">
        <v>106</v>
      </c>
      <c r="H252" s="314" t="s">
        <v>119</v>
      </c>
      <c r="I252" s="314" t="s">
        <v>108</v>
      </c>
      <c r="J252" s="314" t="s">
        <v>109</v>
      </c>
      <c r="K252" s="314">
        <v>0</v>
      </c>
      <c r="L252" s="314">
        <v>0</v>
      </c>
      <c r="M252" s="315">
        <v>45145.8505902778</v>
      </c>
      <c r="N252" s="314" t="s">
        <v>1103</v>
      </c>
      <c r="O252" s="314" t="s">
        <v>1104</v>
      </c>
      <c r="P252" s="314" t="s">
        <v>339</v>
      </c>
      <c r="Q252" s="314" t="s">
        <v>123</v>
      </c>
      <c r="R252" s="315">
        <v>45145.8505902778</v>
      </c>
      <c r="S252" s="314" t="s">
        <v>1103</v>
      </c>
      <c r="T252" s="314" t="s">
        <v>1105</v>
      </c>
      <c r="U252" s="314" t="s">
        <v>1105</v>
      </c>
      <c r="V252" s="314" t="s">
        <v>114</v>
      </c>
      <c r="W252" s="314"/>
      <c r="X252" s="314" t="str">
        <f>VLOOKUP(D252,代理总表!A:D,3,0)</f>
        <v>官网</v>
      </c>
      <c r="Y252" t="str">
        <f>VLOOKUP(D:D,代理总表!A:D,4,FALSE)</f>
        <v>官网</v>
      </c>
      <c r="Z252">
        <f t="shared" si="9"/>
        <v>0</v>
      </c>
      <c r="AA252">
        <f t="shared" si="10"/>
        <v>20</v>
      </c>
      <c r="AB252">
        <f t="shared" si="11"/>
        <v>1</v>
      </c>
    </row>
    <row r="253" spans="1:28">
      <c r="A253" s="314" t="s">
        <v>1108</v>
      </c>
      <c r="B253" s="314"/>
      <c r="C253" s="314">
        <v>13250219662</v>
      </c>
      <c r="D253" s="314" t="s">
        <v>1109</v>
      </c>
      <c r="E253" s="314" t="s">
        <v>104</v>
      </c>
      <c r="F253" s="314" t="s">
        <v>118</v>
      </c>
      <c r="G253" s="314" t="s">
        <v>108</v>
      </c>
      <c r="H253" s="314" t="s">
        <v>119</v>
      </c>
      <c r="I253" s="314" t="s">
        <v>108</v>
      </c>
      <c r="J253" s="314" t="s">
        <v>109</v>
      </c>
      <c r="K253" s="314">
        <v>0</v>
      </c>
      <c r="L253" s="314">
        <v>0</v>
      </c>
      <c r="M253" s="315">
        <v>45145.8492592593</v>
      </c>
      <c r="N253" s="314" t="s">
        <v>1110</v>
      </c>
      <c r="O253" s="314" t="s">
        <v>1111</v>
      </c>
      <c r="P253" s="314" t="s">
        <v>112</v>
      </c>
      <c r="Q253" s="314" t="s">
        <v>123</v>
      </c>
      <c r="R253" s="315">
        <v>45145.8504861111</v>
      </c>
      <c r="S253" s="314" t="s">
        <v>1110</v>
      </c>
      <c r="T253" s="314" t="s">
        <v>476</v>
      </c>
      <c r="U253" s="314" t="s">
        <v>476</v>
      </c>
      <c r="V253" s="314" t="s">
        <v>114</v>
      </c>
      <c r="W253" s="314"/>
      <c r="X253" s="314" t="str">
        <f>VLOOKUP(D253,代理总表!A:D,3,0)</f>
        <v>飞哥雨燕直播</v>
      </c>
      <c r="Y253" t="str">
        <f>VLOOKUP(D:D,代理总表!A:D,4,FALSE)</f>
        <v>飞哥雨燕直播ffmk88</v>
      </c>
      <c r="Z253">
        <f t="shared" si="9"/>
        <v>0</v>
      </c>
      <c r="AA253">
        <f t="shared" si="10"/>
        <v>20</v>
      </c>
      <c r="AB253">
        <f t="shared" si="11"/>
        <v>1</v>
      </c>
    </row>
    <row r="254" spans="1:28">
      <c r="A254" s="314" t="s">
        <v>1112</v>
      </c>
      <c r="B254" s="314" t="s">
        <v>1113</v>
      </c>
      <c r="C254" s="314">
        <v>17600526001</v>
      </c>
      <c r="D254" s="314" t="s">
        <v>454</v>
      </c>
      <c r="E254" s="314" t="s">
        <v>104</v>
      </c>
      <c r="F254" s="314" t="s">
        <v>144</v>
      </c>
      <c r="G254" s="314" t="s">
        <v>106</v>
      </c>
      <c r="H254" s="314" t="s">
        <v>107</v>
      </c>
      <c r="I254" s="314" t="s">
        <v>108</v>
      </c>
      <c r="J254" s="314" t="s">
        <v>109</v>
      </c>
      <c r="K254" s="314">
        <v>400</v>
      </c>
      <c r="L254" s="314">
        <v>0</v>
      </c>
      <c r="M254" s="315">
        <v>45145.8483217593</v>
      </c>
      <c r="N254" s="314" t="s">
        <v>1114</v>
      </c>
      <c r="O254" s="314" t="s">
        <v>1115</v>
      </c>
      <c r="P254" s="314" t="s">
        <v>112</v>
      </c>
      <c r="Q254" s="315">
        <v>45145.8816203704</v>
      </c>
      <c r="R254" s="315">
        <v>45146.0155324074</v>
      </c>
      <c r="S254" s="314" t="s">
        <v>1114</v>
      </c>
      <c r="T254" s="314" t="s">
        <v>1116</v>
      </c>
      <c r="U254" s="314" t="s">
        <v>1116</v>
      </c>
      <c r="V254" s="314" t="s">
        <v>114</v>
      </c>
      <c r="W254" s="314"/>
      <c r="X254" s="314" t="str">
        <f>VLOOKUP(D254,代理总表!A:D,3,0)</f>
        <v>雨燕直播</v>
      </c>
      <c r="Y254" t="str">
        <f>VLOOKUP(D:D,代理总表!A:D,4,FALSE)</f>
        <v>雨燕直播zzzb888</v>
      </c>
      <c r="Z254">
        <f t="shared" si="9"/>
        <v>1</v>
      </c>
      <c r="AA254">
        <f t="shared" si="10"/>
        <v>20</v>
      </c>
      <c r="AB254">
        <f t="shared" si="11"/>
        <v>1</v>
      </c>
    </row>
    <row r="255" spans="1:28">
      <c r="A255" s="314" t="s">
        <v>1117</v>
      </c>
      <c r="B255" s="314" t="s">
        <v>1118</v>
      </c>
      <c r="C255" s="314">
        <v>15018662101</v>
      </c>
      <c r="D255" s="314" t="s">
        <v>103</v>
      </c>
      <c r="E255" s="314" t="s">
        <v>104</v>
      </c>
      <c r="F255" s="314" t="s">
        <v>105</v>
      </c>
      <c r="G255" s="314" t="s">
        <v>106</v>
      </c>
      <c r="H255" s="314" t="s">
        <v>107</v>
      </c>
      <c r="I255" s="314" t="s">
        <v>108</v>
      </c>
      <c r="J255" s="314" t="s">
        <v>109</v>
      </c>
      <c r="K255" s="314">
        <v>58.82</v>
      </c>
      <c r="L255" s="314">
        <v>1000</v>
      </c>
      <c r="M255" s="315">
        <v>45145.8473148148</v>
      </c>
      <c r="N255" s="314" t="s">
        <v>1119</v>
      </c>
      <c r="O255" s="314" t="s">
        <v>582</v>
      </c>
      <c r="P255" s="314" t="s">
        <v>161</v>
      </c>
      <c r="Q255" s="315">
        <v>45145.8890509259</v>
      </c>
      <c r="R255" s="315">
        <v>45146.1064583333</v>
      </c>
      <c r="S255" s="314" t="s">
        <v>1119</v>
      </c>
      <c r="T255" s="314" t="s">
        <v>849</v>
      </c>
      <c r="U255" s="314" t="s">
        <v>849</v>
      </c>
      <c r="V255" s="314" t="s">
        <v>114</v>
      </c>
      <c r="W255" s="314"/>
      <c r="X255" s="314" t="str">
        <f>VLOOKUP(D255,代理总表!A:D,3,0)</f>
        <v>官网</v>
      </c>
      <c r="Y255" t="str">
        <f>VLOOKUP(D:D,代理总表!A:D,4,FALSE)</f>
        <v>官网</v>
      </c>
      <c r="Z255">
        <f t="shared" si="9"/>
        <v>1</v>
      </c>
      <c r="AA255">
        <f t="shared" si="10"/>
        <v>20</v>
      </c>
      <c r="AB255">
        <f t="shared" si="11"/>
        <v>1</v>
      </c>
    </row>
    <row r="256" spans="1:28">
      <c r="A256" s="314" t="s">
        <v>1120</v>
      </c>
      <c r="B256" s="314"/>
      <c r="C256" s="314"/>
      <c r="D256" s="314" t="s">
        <v>454</v>
      </c>
      <c r="E256" s="314" t="s">
        <v>506</v>
      </c>
      <c r="F256" s="314" t="s">
        <v>118</v>
      </c>
      <c r="G256" s="314" t="s">
        <v>108</v>
      </c>
      <c r="H256" s="314" t="s">
        <v>119</v>
      </c>
      <c r="I256" s="314" t="s">
        <v>108</v>
      </c>
      <c r="J256" s="314" t="s">
        <v>109</v>
      </c>
      <c r="K256" s="314">
        <v>0</v>
      </c>
      <c r="L256" s="314">
        <v>0</v>
      </c>
      <c r="M256" s="315">
        <v>45145.8470023148</v>
      </c>
      <c r="N256" s="314" t="s">
        <v>337</v>
      </c>
      <c r="O256" s="314" t="s">
        <v>1121</v>
      </c>
      <c r="P256" s="314" t="s">
        <v>339</v>
      </c>
      <c r="Q256" s="314" t="s">
        <v>123</v>
      </c>
      <c r="R256" s="315">
        <v>45145.8595486111</v>
      </c>
      <c r="S256" s="314" t="s">
        <v>337</v>
      </c>
      <c r="T256" s="314" t="s">
        <v>340</v>
      </c>
      <c r="U256" s="314" t="s">
        <v>340</v>
      </c>
      <c r="V256" s="314" t="s">
        <v>114</v>
      </c>
      <c r="W256" s="314"/>
      <c r="X256" s="314" t="str">
        <f>VLOOKUP(D256,代理总表!A:D,3,0)</f>
        <v>雨燕直播</v>
      </c>
      <c r="Y256" t="str">
        <f>VLOOKUP(D:D,代理总表!A:D,4,FALSE)</f>
        <v>雨燕直播zzzb888</v>
      </c>
      <c r="Z256">
        <f t="shared" si="9"/>
        <v>0</v>
      </c>
      <c r="AA256">
        <f t="shared" si="10"/>
        <v>20</v>
      </c>
      <c r="AB256">
        <f t="shared" si="11"/>
        <v>1</v>
      </c>
    </row>
    <row r="257" spans="1:28">
      <c r="A257" s="314" t="s">
        <v>1122</v>
      </c>
      <c r="B257" s="314" t="s">
        <v>1123</v>
      </c>
      <c r="C257" s="314">
        <v>13724100025</v>
      </c>
      <c r="D257" s="314" t="s">
        <v>240</v>
      </c>
      <c r="E257" s="314" t="s">
        <v>104</v>
      </c>
      <c r="F257" s="314" t="s">
        <v>149</v>
      </c>
      <c r="G257" s="314" t="s">
        <v>108</v>
      </c>
      <c r="H257" s="314" t="s">
        <v>119</v>
      </c>
      <c r="I257" s="314" t="s">
        <v>108</v>
      </c>
      <c r="J257" s="314" t="s">
        <v>109</v>
      </c>
      <c r="K257" s="314">
        <v>0</v>
      </c>
      <c r="L257" s="314">
        <v>0</v>
      </c>
      <c r="M257" s="315">
        <v>45145.8460069444</v>
      </c>
      <c r="N257" s="314" t="s">
        <v>1124</v>
      </c>
      <c r="O257" s="314" t="s">
        <v>836</v>
      </c>
      <c r="P257" s="314" t="s">
        <v>112</v>
      </c>
      <c r="Q257" s="314" t="s">
        <v>123</v>
      </c>
      <c r="R257" s="315">
        <v>45146.0521412037</v>
      </c>
      <c r="S257" s="314" t="s">
        <v>1125</v>
      </c>
      <c r="T257" s="314" t="s">
        <v>946</v>
      </c>
      <c r="U257" s="314" t="s">
        <v>890</v>
      </c>
      <c r="V257" s="314" t="s">
        <v>114</v>
      </c>
      <c r="W257" s="314"/>
      <c r="X257" s="314" t="str">
        <f>VLOOKUP(D257,代理总表!A:D,3,0)</f>
        <v>SEO邀请</v>
      </c>
      <c r="Y257" t="str">
        <f>VLOOKUP(D:D,代理总表!A:D,4,FALSE)</f>
        <v>SEO</v>
      </c>
      <c r="Z257">
        <f t="shared" si="9"/>
        <v>0</v>
      </c>
      <c r="AA257">
        <f t="shared" si="10"/>
        <v>20</v>
      </c>
      <c r="AB257">
        <f t="shared" si="11"/>
        <v>1</v>
      </c>
    </row>
    <row r="258" spans="1:28">
      <c r="A258" s="314" t="s">
        <v>1126</v>
      </c>
      <c r="B258" s="314"/>
      <c r="C258" s="314"/>
      <c r="D258" s="314" t="s">
        <v>276</v>
      </c>
      <c r="E258" s="314" t="s">
        <v>104</v>
      </c>
      <c r="F258" s="314" t="s">
        <v>118</v>
      </c>
      <c r="G258" s="314" t="s">
        <v>108</v>
      </c>
      <c r="H258" s="314" t="s">
        <v>119</v>
      </c>
      <c r="I258" s="314" t="s">
        <v>108</v>
      </c>
      <c r="J258" s="314" t="s">
        <v>109</v>
      </c>
      <c r="K258" s="314">
        <v>0</v>
      </c>
      <c r="L258" s="314">
        <v>0</v>
      </c>
      <c r="M258" s="315">
        <v>45145.8437037037</v>
      </c>
      <c r="N258" s="314" t="s">
        <v>1127</v>
      </c>
      <c r="O258" s="314" t="s">
        <v>1128</v>
      </c>
      <c r="P258" s="314" t="s">
        <v>112</v>
      </c>
      <c r="Q258" s="314" t="s">
        <v>123</v>
      </c>
      <c r="R258" s="315">
        <v>45145.8436921296</v>
      </c>
      <c r="S258" s="314" t="s">
        <v>1127</v>
      </c>
      <c r="T258" s="314" t="s">
        <v>1129</v>
      </c>
      <c r="U258" s="314" t="s">
        <v>1129</v>
      </c>
      <c r="V258" s="314" t="s">
        <v>114</v>
      </c>
      <c r="W258" s="314"/>
      <c r="X258" s="314" t="str">
        <f>VLOOKUP(D258,代理总表!A:D,3,0)</f>
        <v>飞哥雨燕直播</v>
      </c>
      <c r="Y258" t="str">
        <f>VLOOKUP(D:D,代理总表!A:D,4,FALSE)</f>
        <v>飞哥雨燕直播ffmk88</v>
      </c>
      <c r="Z258">
        <f t="shared" si="9"/>
        <v>0</v>
      </c>
      <c r="AA258">
        <f t="shared" si="10"/>
        <v>20</v>
      </c>
      <c r="AB258">
        <f t="shared" si="11"/>
        <v>1</v>
      </c>
    </row>
    <row r="259" spans="1:28">
      <c r="A259" s="314" t="s">
        <v>1130</v>
      </c>
      <c r="B259" s="314"/>
      <c r="C259" s="314"/>
      <c r="D259" s="314" t="s">
        <v>116</v>
      </c>
      <c r="E259" s="314" t="s">
        <v>117</v>
      </c>
      <c r="F259" s="314" t="s">
        <v>118</v>
      </c>
      <c r="G259" s="314" t="s">
        <v>108</v>
      </c>
      <c r="H259" s="314" t="s">
        <v>119</v>
      </c>
      <c r="I259" s="314" t="s">
        <v>108</v>
      </c>
      <c r="J259" s="314" t="s">
        <v>120</v>
      </c>
      <c r="K259" s="314">
        <v>0</v>
      </c>
      <c r="L259" s="314">
        <v>0</v>
      </c>
      <c r="M259" s="315">
        <v>45145.8435185185</v>
      </c>
      <c r="N259" s="314" t="s">
        <v>1131</v>
      </c>
      <c r="O259" s="314" t="s">
        <v>122</v>
      </c>
      <c r="P259" s="314" t="s">
        <v>112</v>
      </c>
      <c r="Q259" s="314" t="s">
        <v>123</v>
      </c>
      <c r="R259" s="315">
        <v>45145.8640162037</v>
      </c>
      <c r="S259" s="314" t="s">
        <v>1131</v>
      </c>
      <c r="T259" s="314" t="s">
        <v>124</v>
      </c>
      <c r="U259" s="314" t="s">
        <v>124</v>
      </c>
      <c r="V259" s="314" t="s">
        <v>114</v>
      </c>
      <c r="W259" s="314"/>
      <c r="X259" s="314" t="str">
        <f>VLOOKUP(D259,代理总表!A:D,3,0)</f>
        <v>外部代理总线</v>
      </c>
      <c r="Y259" t="str">
        <f>VLOOKUP(D:D,代理总表!A:D,4,FALSE)</f>
        <v>外部代理总线zh0808</v>
      </c>
      <c r="Z259">
        <f t="shared" ref="Z259:Z322" si="12">IF(RIGHT(H259,1)&gt;"0",1,0)</f>
        <v>0</v>
      </c>
      <c r="AA259">
        <f t="shared" ref="AA259:AA322" si="13">HOUR(M259)</f>
        <v>20</v>
      </c>
      <c r="AB259">
        <f t="shared" ref="AB259:AB322" si="14">IF(AE259=AF259,1,0)</f>
        <v>1</v>
      </c>
    </row>
    <row r="260" spans="1:28">
      <c r="A260" s="314" t="s">
        <v>1132</v>
      </c>
      <c r="B260" s="314"/>
      <c r="C260" s="314">
        <v>399761591</v>
      </c>
      <c r="D260" s="314" t="s">
        <v>550</v>
      </c>
      <c r="E260" s="314" t="s">
        <v>117</v>
      </c>
      <c r="F260" s="314" t="s">
        <v>118</v>
      </c>
      <c r="G260" s="314" t="s">
        <v>108</v>
      </c>
      <c r="H260" s="314" t="s">
        <v>119</v>
      </c>
      <c r="I260" s="314" t="s">
        <v>108</v>
      </c>
      <c r="J260" s="314" t="s">
        <v>120</v>
      </c>
      <c r="K260" s="314">
        <v>0</v>
      </c>
      <c r="L260" s="314">
        <v>0</v>
      </c>
      <c r="M260" s="315">
        <v>45145.8431828704</v>
      </c>
      <c r="N260" s="314" t="s">
        <v>1133</v>
      </c>
      <c r="O260" s="314" t="s">
        <v>1134</v>
      </c>
      <c r="P260" s="314" t="s">
        <v>112</v>
      </c>
      <c r="Q260" s="314" t="s">
        <v>123</v>
      </c>
      <c r="R260" s="315">
        <v>45145.8565393519</v>
      </c>
      <c r="S260" s="314" t="s">
        <v>1133</v>
      </c>
      <c r="T260" s="314" t="s">
        <v>177</v>
      </c>
      <c r="U260" s="314" t="s">
        <v>177</v>
      </c>
      <c r="V260" s="314" t="s">
        <v>114</v>
      </c>
      <c r="W260" s="314"/>
      <c r="X260" s="314" t="str">
        <f>VLOOKUP(D260,代理总表!A:D,3,0)</f>
        <v>SOCO越南直播</v>
      </c>
      <c r="Y260" t="str">
        <f>VLOOKUP(D:D,代理总表!A:D,4,FALSE)</f>
        <v>SOCO越南直播ffvn66</v>
      </c>
      <c r="Z260">
        <f t="shared" si="12"/>
        <v>0</v>
      </c>
      <c r="AA260">
        <f t="shared" si="13"/>
        <v>20</v>
      </c>
      <c r="AB260">
        <f t="shared" si="14"/>
        <v>1</v>
      </c>
    </row>
    <row r="261" spans="1:28">
      <c r="A261" s="314" t="s">
        <v>1135</v>
      </c>
      <c r="B261" s="314"/>
      <c r="C261" s="314"/>
      <c r="D261" s="314" t="s">
        <v>1109</v>
      </c>
      <c r="E261" s="314" t="s">
        <v>104</v>
      </c>
      <c r="F261" s="314" t="s">
        <v>118</v>
      </c>
      <c r="G261" s="314" t="s">
        <v>108</v>
      </c>
      <c r="H261" s="314" t="s">
        <v>119</v>
      </c>
      <c r="I261" s="314" t="s">
        <v>108</v>
      </c>
      <c r="J261" s="314" t="s">
        <v>109</v>
      </c>
      <c r="K261" s="314">
        <v>0</v>
      </c>
      <c r="L261" s="314">
        <v>0</v>
      </c>
      <c r="M261" s="315">
        <v>45145.8430324074</v>
      </c>
      <c r="N261" s="314" t="s">
        <v>1136</v>
      </c>
      <c r="O261" s="314" t="s">
        <v>1137</v>
      </c>
      <c r="P261" s="314" t="s">
        <v>112</v>
      </c>
      <c r="Q261" s="314" t="s">
        <v>123</v>
      </c>
      <c r="R261" s="315">
        <v>45145.8430208333</v>
      </c>
      <c r="S261" s="314" t="s">
        <v>1136</v>
      </c>
      <c r="T261" s="314" t="s">
        <v>1138</v>
      </c>
      <c r="U261" s="314" t="s">
        <v>1138</v>
      </c>
      <c r="V261" s="314" t="s">
        <v>114</v>
      </c>
      <c r="W261" s="314"/>
      <c r="X261" s="314" t="str">
        <f>VLOOKUP(D261,代理总表!A:D,3,0)</f>
        <v>飞哥雨燕直播</v>
      </c>
      <c r="Y261" t="str">
        <f>VLOOKUP(D:D,代理总表!A:D,4,FALSE)</f>
        <v>飞哥雨燕直播ffmk88</v>
      </c>
      <c r="Z261">
        <f t="shared" si="12"/>
        <v>0</v>
      </c>
      <c r="AA261">
        <f t="shared" si="13"/>
        <v>20</v>
      </c>
      <c r="AB261">
        <f t="shared" si="14"/>
        <v>1</v>
      </c>
    </row>
    <row r="262" spans="1:28">
      <c r="A262" s="314" t="s">
        <v>1139</v>
      </c>
      <c r="B262" s="314"/>
      <c r="C262" s="314">
        <v>61945820</v>
      </c>
      <c r="D262" s="314" t="s">
        <v>1109</v>
      </c>
      <c r="E262" s="314" t="s">
        <v>104</v>
      </c>
      <c r="F262" s="314" t="s">
        <v>118</v>
      </c>
      <c r="G262" s="314" t="s">
        <v>108</v>
      </c>
      <c r="H262" s="314" t="s">
        <v>119</v>
      </c>
      <c r="I262" s="314" t="s">
        <v>108</v>
      </c>
      <c r="J262" s="314" t="s">
        <v>109</v>
      </c>
      <c r="K262" s="314">
        <v>0</v>
      </c>
      <c r="L262" s="314">
        <v>0</v>
      </c>
      <c r="M262" s="315">
        <v>45145.8430324074</v>
      </c>
      <c r="N262" s="314" t="s">
        <v>1140</v>
      </c>
      <c r="O262" s="314" t="s">
        <v>1141</v>
      </c>
      <c r="P262" s="314" t="s">
        <v>112</v>
      </c>
      <c r="Q262" s="314" t="s">
        <v>123</v>
      </c>
      <c r="R262" s="315">
        <v>45145.8453819444</v>
      </c>
      <c r="S262" s="314" t="s">
        <v>1140</v>
      </c>
      <c r="T262" s="314" t="s">
        <v>256</v>
      </c>
      <c r="U262" s="314" t="s">
        <v>256</v>
      </c>
      <c r="V262" s="314" t="s">
        <v>114</v>
      </c>
      <c r="W262" s="314"/>
      <c r="X262" s="314" t="str">
        <f>VLOOKUP(D262,代理总表!A:D,3,0)</f>
        <v>飞哥雨燕直播</v>
      </c>
      <c r="Y262" t="str">
        <f>VLOOKUP(D:D,代理总表!A:D,4,FALSE)</f>
        <v>飞哥雨燕直播ffmk88</v>
      </c>
      <c r="Z262">
        <f t="shared" si="12"/>
        <v>0</v>
      </c>
      <c r="AA262">
        <f t="shared" si="13"/>
        <v>20</v>
      </c>
      <c r="AB262">
        <f t="shared" si="14"/>
        <v>1</v>
      </c>
    </row>
    <row r="263" spans="1:28">
      <c r="A263" s="314" t="s">
        <v>1142</v>
      </c>
      <c r="B263" s="314"/>
      <c r="C263" s="314"/>
      <c r="D263" s="314" t="s">
        <v>116</v>
      </c>
      <c r="E263" s="314" t="s">
        <v>117</v>
      </c>
      <c r="F263" s="314" t="s">
        <v>118</v>
      </c>
      <c r="G263" s="314" t="s">
        <v>108</v>
      </c>
      <c r="H263" s="314" t="s">
        <v>119</v>
      </c>
      <c r="I263" s="314" t="s">
        <v>108</v>
      </c>
      <c r="J263" s="314" t="s">
        <v>120</v>
      </c>
      <c r="K263" s="314">
        <v>0</v>
      </c>
      <c r="L263" s="314">
        <v>0</v>
      </c>
      <c r="M263" s="315">
        <v>45145.8422453704</v>
      </c>
      <c r="N263" s="314" t="s">
        <v>1143</v>
      </c>
      <c r="O263" s="314" t="s">
        <v>122</v>
      </c>
      <c r="P263" s="314" t="s">
        <v>112</v>
      </c>
      <c r="Q263" s="314" t="s">
        <v>123</v>
      </c>
      <c r="R263" s="315">
        <v>45145.8422337963</v>
      </c>
      <c r="S263" s="314" t="s">
        <v>1143</v>
      </c>
      <c r="T263" s="314" t="s">
        <v>124</v>
      </c>
      <c r="U263" s="314" t="s">
        <v>124</v>
      </c>
      <c r="V263" s="314" t="s">
        <v>114</v>
      </c>
      <c r="W263" s="314"/>
      <c r="X263" s="314" t="str">
        <f>VLOOKUP(D263,代理总表!A:D,3,0)</f>
        <v>外部代理总线</v>
      </c>
      <c r="Y263" t="str">
        <f>VLOOKUP(D:D,代理总表!A:D,4,FALSE)</f>
        <v>外部代理总线zh0808</v>
      </c>
      <c r="Z263">
        <f t="shared" si="12"/>
        <v>0</v>
      </c>
      <c r="AA263">
        <f t="shared" si="13"/>
        <v>20</v>
      </c>
      <c r="AB263">
        <f t="shared" si="14"/>
        <v>1</v>
      </c>
    </row>
    <row r="264" spans="1:28">
      <c r="A264" s="314" t="s">
        <v>1144</v>
      </c>
      <c r="B264" s="314" t="s">
        <v>1145</v>
      </c>
      <c r="C264" s="314">
        <v>979223657</v>
      </c>
      <c r="D264" s="314" t="s">
        <v>137</v>
      </c>
      <c r="E264" s="314" t="s">
        <v>117</v>
      </c>
      <c r="F264" s="314" t="s">
        <v>144</v>
      </c>
      <c r="G264" s="314" t="s">
        <v>106</v>
      </c>
      <c r="H264" s="314" t="s">
        <v>107</v>
      </c>
      <c r="I264" s="314" t="s">
        <v>108</v>
      </c>
      <c r="J264" s="314" t="s">
        <v>120</v>
      </c>
      <c r="K264" s="314">
        <v>200000</v>
      </c>
      <c r="L264" s="314">
        <v>0</v>
      </c>
      <c r="M264" s="315">
        <v>45145.8420949074</v>
      </c>
      <c r="N264" s="314" t="s">
        <v>1146</v>
      </c>
      <c r="O264" s="314" t="s">
        <v>139</v>
      </c>
      <c r="P264" s="314" t="s">
        <v>112</v>
      </c>
      <c r="Q264" s="315">
        <v>45145.8539583333</v>
      </c>
      <c r="R264" s="315">
        <v>45146.3023263889</v>
      </c>
      <c r="S264" s="314" t="s">
        <v>1147</v>
      </c>
      <c r="T264" s="314" t="s">
        <v>1072</v>
      </c>
      <c r="U264" s="314" t="s">
        <v>124</v>
      </c>
      <c r="V264" s="314" t="s">
        <v>114</v>
      </c>
      <c r="W264" s="314"/>
      <c r="X264" s="314" t="str">
        <f>VLOOKUP(D264,代理总表!A:D,3,0)</f>
        <v>雨燕直播-越</v>
      </c>
      <c r="Y264" t="str">
        <f>VLOOKUP(D:D,代理总表!A:D,4,FALSE)</f>
        <v>雨燕直播-越ffvn66</v>
      </c>
      <c r="Z264">
        <f t="shared" si="12"/>
        <v>1</v>
      </c>
      <c r="AA264">
        <f t="shared" si="13"/>
        <v>20</v>
      </c>
      <c r="AB264">
        <f t="shared" si="14"/>
        <v>1</v>
      </c>
    </row>
    <row r="265" spans="1:28">
      <c r="A265" s="314" t="s">
        <v>1148</v>
      </c>
      <c r="B265" s="314" t="s">
        <v>1149</v>
      </c>
      <c r="C265" s="314">
        <v>975900123</v>
      </c>
      <c r="D265" s="314" t="s">
        <v>1150</v>
      </c>
      <c r="E265" s="314" t="s">
        <v>117</v>
      </c>
      <c r="F265" s="314" t="s">
        <v>144</v>
      </c>
      <c r="G265" s="314" t="s">
        <v>106</v>
      </c>
      <c r="H265" s="314" t="s">
        <v>107</v>
      </c>
      <c r="I265" s="314" t="s">
        <v>108</v>
      </c>
      <c r="J265" s="314" t="s">
        <v>120</v>
      </c>
      <c r="K265" s="314">
        <v>50000</v>
      </c>
      <c r="L265" s="314">
        <v>0</v>
      </c>
      <c r="M265" s="315">
        <v>45145.8401967593</v>
      </c>
      <c r="N265" s="314" t="s">
        <v>1151</v>
      </c>
      <c r="O265" s="314" t="s">
        <v>1152</v>
      </c>
      <c r="P265" s="314" t="s">
        <v>112</v>
      </c>
      <c r="Q265" s="315">
        <v>45145.893125</v>
      </c>
      <c r="R265" s="315">
        <v>45146.1184953704</v>
      </c>
      <c r="S265" s="314" t="s">
        <v>1151</v>
      </c>
      <c r="T265" s="314" t="s">
        <v>1153</v>
      </c>
      <c r="U265" s="314" t="s">
        <v>1153</v>
      </c>
      <c r="V265" s="314" t="s">
        <v>114</v>
      </c>
      <c r="W265" s="314"/>
      <c r="X265" s="314" t="e">
        <f>VLOOKUP(D265,代理总表!A:D,3,0)</f>
        <v>#N/A</v>
      </c>
      <c r="Y265" t="e">
        <f>VLOOKUP(D:D,代理总表!A:D,4,FALSE)</f>
        <v>#N/A</v>
      </c>
      <c r="Z265">
        <f t="shared" si="12"/>
        <v>1</v>
      </c>
      <c r="AA265">
        <f t="shared" si="13"/>
        <v>20</v>
      </c>
      <c r="AB265">
        <f t="shared" si="14"/>
        <v>1</v>
      </c>
    </row>
    <row r="266" spans="1:28">
      <c r="A266" s="314" t="s">
        <v>1154</v>
      </c>
      <c r="B266" s="314"/>
      <c r="C266" s="314">
        <v>13050440444</v>
      </c>
      <c r="D266" s="314" t="s">
        <v>148</v>
      </c>
      <c r="E266" s="314" t="s">
        <v>104</v>
      </c>
      <c r="F266" s="314" t="s">
        <v>149</v>
      </c>
      <c r="G266" s="314" t="s">
        <v>108</v>
      </c>
      <c r="H266" s="314" t="s">
        <v>119</v>
      </c>
      <c r="I266" s="314" t="s">
        <v>108</v>
      </c>
      <c r="J266" s="314" t="s">
        <v>109</v>
      </c>
      <c r="K266" s="314">
        <v>0</v>
      </c>
      <c r="L266" s="314">
        <v>0</v>
      </c>
      <c r="M266" s="315">
        <v>45145.8399537037</v>
      </c>
      <c r="N266" s="314" t="s">
        <v>1155</v>
      </c>
      <c r="O266" s="314" t="s">
        <v>585</v>
      </c>
      <c r="P266" s="314" t="s">
        <v>112</v>
      </c>
      <c r="Q266" s="314" t="s">
        <v>123</v>
      </c>
      <c r="R266" s="315">
        <v>45145.8399537037</v>
      </c>
      <c r="S266" s="314" t="s">
        <v>1155</v>
      </c>
      <c r="T266" s="314" t="s">
        <v>1156</v>
      </c>
      <c r="U266" s="314" t="s">
        <v>1156</v>
      </c>
      <c r="V266" s="314" t="s">
        <v>114</v>
      </c>
      <c r="W266" s="314"/>
      <c r="X266" s="314" t="str">
        <f>VLOOKUP(D266,代理总表!A:D,3,0)</f>
        <v>martin</v>
      </c>
      <c r="Y266" t="str">
        <f>VLOOKUP(D:D,代理总表!A:D,4,FALSE)</f>
        <v>SEO</v>
      </c>
      <c r="Z266">
        <f t="shared" si="12"/>
        <v>0</v>
      </c>
      <c r="AA266">
        <f t="shared" si="13"/>
        <v>20</v>
      </c>
      <c r="AB266">
        <f t="shared" si="14"/>
        <v>1</v>
      </c>
    </row>
    <row r="267" spans="1:28">
      <c r="A267" s="314" t="s">
        <v>1157</v>
      </c>
      <c r="B267" s="314" t="s">
        <v>1158</v>
      </c>
      <c r="C267" s="314">
        <v>359700668</v>
      </c>
      <c r="D267" s="314" t="s">
        <v>137</v>
      </c>
      <c r="E267" s="314" t="s">
        <v>117</v>
      </c>
      <c r="F267" s="314" t="s">
        <v>144</v>
      </c>
      <c r="G267" s="314" t="s">
        <v>106</v>
      </c>
      <c r="H267" s="314" t="s">
        <v>107</v>
      </c>
      <c r="I267" s="314" t="s">
        <v>108</v>
      </c>
      <c r="J267" s="314" t="s">
        <v>120</v>
      </c>
      <c r="K267" s="314">
        <v>1120000</v>
      </c>
      <c r="L267" s="314">
        <v>1000000</v>
      </c>
      <c r="M267" s="315">
        <v>45145.8383912037</v>
      </c>
      <c r="N267" s="314" t="s">
        <v>1159</v>
      </c>
      <c r="O267" s="314" t="s">
        <v>710</v>
      </c>
      <c r="P267" s="314" t="s">
        <v>339</v>
      </c>
      <c r="Q267" s="315">
        <v>45145.8653472222</v>
      </c>
      <c r="R267" s="315">
        <v>45145.8896990741</v>
      </c>
      <c r="S267" s="314" t="s">
        <v>1159</v>
      </c>
      <c r="T267" s="314" t="s">
        <v>1160</v>
      </c>
      <c r="U267" s="314" t="s">
        <v>1160</v>
      </c>
      <c r="V267" s="314" t="s">
        <v>114</v>
      </c>
      <c r="W267" s="314"/>
      <c r="X267" s="314" t="str">
        <f>VLOOKUP(D267,代理总表!A:D,3,0)</f>
        <v>雨燕直播-越</v>
      </c>
      <c r="Y267" t="str">
        <f>VLOOKUP(D:D,代理总表!A:D,4,FALSE)</f>
        <v>雨燕直播-越ffvn66</v>
      </c>
      <c r="Z267">
        <f t="shared" si="12"/>
        <v>1</v>
      </c>
      <c r="AA267">
        <f t="shared" si="13"/>
        <v>20</v>
      </c>
      <c r="AB267">
        <f t="shared" si="14"/>
        <v>1</v>
      </c>
    </row>
    <row r="268" spans="1:28">
      <c r="A268" s="314" t="s">
        <v>1161</v>
      </c>
      <c r="B268" s="314"/>
      <c r="C268" s="314"/>
      <c r="D268" s="314" t="s">
        <v>103</v>
      </c>
      <c r="E268" s="314" t="s">
        <v>1162</v>
      </c>
      <c r="F268" s="314" t="s">
        <v>118</v>
      </c>
      <c r="G268" s="314" t="s">
        <v>108</v>
      </c>
      <c r="H268" s="314" t="s">
        <v>119</v>
      </c>
      <c r="I268" s="314" t="s">
        <v>108</v>
      </c>
      <c r="J268" s="314" t="s">
        <v>109</v>
      </c>
      <c r="K268" s="314">
        <v>0</v>
      </c>
      <c r="L268" s="314">
        <v>0</v>
      </c>
      <c r="M268" s="315">
        <v>45145.8383449074</v>
      </c>
      <c r="N268" s="314" t="s">
        <v>1163</v>
      </c>
      <c r="O268" s="314" t="s">
        <v>1164</v>
      </c>
      <c r="P268" s="314" t="s">
        <v>339</v>
      </c>
      <c r="Q268" s="314" t="s">
        <v>123</v>
      </c>
      <c r="R268" s="315">
        <v>45145.8383449074</v>
      </c>
      <c r="S268" s="314" t="s">
        <v>1163</v>
      </c>
      <c r="T268" s="314" t="s">
        <v>157</v>
      </c>
      <c r="U268" s="314" t="s">
        <v>157</v>
      </c>
      <c r="V268" s="314" t="s">
        <v>114</v>
      </c>
      <c r="W268" s="314"/>
      <c r="X268" s="314" t="str">
        <f>VLOOKUP(D268,代理总表!A:D,3,0)</f>
        <v>官网</v>
      </c>
      <c r="Y268" t="str">
        <f>VLOOKUP(D:D,代理总表!A:D,4,FALSE)</f>
        <v>官网</v>
      </c>
      <c r="Z268">
        <f t="shared" si="12"/>
        <v>0</v>
      </c>
      <c r="AA268">
        <f t="shared" si="13"/>
        <v>20</v>
      </c>
      <c r="AB268">
        <f t="shared" si="14"/>
        <v>1</v>
      </c>
    </row>
    <row r="269" spans="1:28">
      <c r="A269" s="314" t="s">
        <v>1165</v>
      </c>
      <c r="B269" s="314"/>
      <c r="C269" s="314"/>
      <c r="D269" s="314" t="s">
        <v>240</v>
      </c>
      <c r="E269" s="314" t="s">
        <v>104</v>
      </c>
      <c r="F269" s="314" t="s">
        <v>149</v>
      </c>
      <c r="G269" s="314" t="s">
        <v>108</v>
      </c>
      <c r="H269" s="314" t="s">
        <v>119</v>
      </c>
      <c r="I269" s="314" t="s">
        <v>108</v>
      </c>
      <c r="J269" s="314" t="s">
        <v>109</v>
      </c>
      <c r="K269" s="314">
        <v>0</v>
      </c>
      <c r="L269" s="314">
        <v>0</v>
      </c>
      <c r="M269" s="315">
        <v>45145.8374189815</v>
      </c>
      <c r="N269" s="314" t="s">
        <v>1166</v>
      </c>
      <c r="O269" s="314" t="s">
        <v>242</v>
      </c>
      <c r="P269" s="314" t="s">
        <v>112</v>
      </c>
      <c r="Q269" s="314" t="s">
        <v>123</v>
      </c>
      <c r="R269" s="315">
        <v>45145.8374189815</v>
      </c>
      <c r="S269" s="314" t="s">
        <v>1166</v>
      </c>
      <c r="T269" s="314" t="s">
        <v>1167</v>
      </c>
      <c r="U269" s="314" t="s">
        <v>1167</v>
      </c>
      <c r="V269" s="314" t="s">
        <v>114</v>
      </c>
      <c r="W269" s="314"/>
      <c r="X269" s="314" t="str">
        <f>VLOOKUP(D269,代理总表!A:D,3,0)</f>
        <v>SEO邀请</v>
      </c>
      <c r="Y269" t="str">
        <f>VLOOKUP(D:D,代理总表!A:D,4,FALSE)</f>
        <v>SEO</v>
      </c>
      <c r="Z269">
        <f t="shared" si="12"/>
        <v>0</v>
      </c>
      <c r="AA269">
        <f t="shared" si="13"/>
        <v>20</v>
      </c>
      <c r="AB269">
        <f t="shared" si="14"/>
        <v>1</v>
      </c>
    </row>
    <row r="270" spans="1:28">
      <c r="A270" s="314" t="s">
        <v>1168</v>
      </c>
      <c r="B270" s="314"/>
      <c r="C270" s="314">
        <v>845392152</v>
      </c>
      <c r="D270" s="314" t="s">
        <v>1035</v>
      </c>
      <c r="E270" s="314" t="s">
        <v>117</v>
      </c>
      <c r="F270" s="314" t="s">
        <v>118</v>
      </c>
      <c r="G270" s="314" t="s">
        <v>108</v>
      </c>
      <c r="H270" s="314" t="s">
        <v>119</v>
      </c>
      <c r="I270" s="314" t="s">
        <v>108</v>
      </c>
      <c r="J270" s="314" t="s">
        <v>120</v>
      </c>
      <c r="K270" s="314">
        <v>0</v>
      </c>
      <c r="L270" s="314">
        <v>0</v>
      </c>
      <c r="M270" s="315">
        <v>45145.8369212963</v>
      </c>
      <c r="N270" s="314" t="s">
        <v>1169</v>
      </c>
      <c r="O270" s="314" t="s">
        <v>1037</v>
      </c>
      <c r="P270" s="314" t="s">
        <v>112</v>
      </c>
      <c r="Q270" s="314" t="s">
        <v>123</v>
      </c>
      <c r="R270" s="315">
        <v>45145.8391435185</v>
      </c>
      <c r="S270" s="314" t="s">
        <v>1169</v>
      </c>
      <c r="T270" s="314" t="s">
        <v>131</v>
      </c>
      <c r="U270" s="314" t="s">
        <v>131</v>
      </c>
      <c r="V270" s="314" t="s">
        <v>114</v>
      </c>
      <c r="W270" s="314"/>
      <c r="X270" s="314" t="e">
        <f>VLOOKUP(D270,代理总表!A:D,3,0)</f>
        <v>#N/A</v>
      </c>
      <c r="Y270" t="e">
        <f>VLOOKUP(D:D,代理总表!A:D,4,FALSE)</f>
        <v>#N/A</v>
      </c>
      <c r="Z270">
        <f t="shared" si="12"/>
        <v>0</v>
      </c>
      <c r="AA270">
        <f t="shared" si="13"/>
        <v>20</v>
      </c>
      <c r="AB270">
        <f t="shared" si="14"/>
        <v>1</v>
      </c>
    </row>
    <row r="271" spans="1:28">
      <c r="A271" s="314" t="s">
        <v>1170</v>
      </c>
      <c r="B271" s="314"/>
      <c r="C271" s="314"/>
      <c r="D271" s="314" t="s">
        <v>805</v>
      </c>
      <c r="E271" s="314" t="s">
        <v>104</v>
      </c>
      <c r="F271" s="314" t="s">
        <v>118</v>
      </c>
      <c r="G271" s="314" t="s">
        <v>108</v>
      </c>
      <c r="H271" s="314" t="s">
        <v>119</v>
      </c>
      <c r="I271" s="314" t="s">
        <v>108</v>
      </c>
      <c r="J271" s="314" t="s">
        <v>109</v>
      </c>
      <c r="K271" s="314">
        <v>0</v>
      </c>
      <c r="L271" s="314">
        <v>0</v>
      </c>
      <c r="M271" s="315">
        <v>45145.8368055556</v>
      </c>
      <c r="N271" s="314" t="s">
        <v>1171</v>
      </c>
      <c r="O271" s="314" t="s">
        <v>807</v>
      </c>
      <c r="P271" s="314" t="s">
        <v>112</v>
      </c>
      <c r="Q271" s="314" t="s">
        <v>123</v>
      </c>
      <c r="R271" s="315">
        <v>45145.8367939815</v>
      </c>
      <c r="S271" s="314" t="s">
        <v>1171</v>
      </c>
      <c r="T271" s="314" t="s">
        <v>1172</v>
      </c>
      <c r="U271" s="314" t="s">
        <v>1172</v>
      </c>
      <c r="V271" s="314" t="s">
        <v>114</v>
      </c>
      <c r="W271" s="314"/>
      <c r="X271" s="314" t="str">
        <f>VLOOKUP(D271,代理总表!A:D,3,0)</f>
        <v>飞哥雨燕直播</v>
      </c>
      <c r="Y271" t="str">
        <f>VLOOKUP(D:D,代理总表!A:D,4,FALSE)</f>
        <v>飞哥雨燕直播ffmk88</v>
      </c>
      <c r="Z271">
        <f t="shared" si="12"/>
        <v>0</v>
      </c>
      <c r="AA271">
        <f t="shared" si="13"/>
        <v>20</v>
      </c>
      <c r="AB271">
        <f t="shared" si="14"/>
        <v>1</v>
      </c>
    </row>
    <row r="272" spans="1:28">
      <c r="A272" s="314" t="s">
        <v>1173</v>
      </c>
      <c r="B272" s="314" t="s">
        <v>1174</v>
      </c>
      <c r="C272" s="314">
        <v>19518926838</v>
      </c>
      <c r="D272" s="314" t="s">
        <v>1175</v>
      </c>
      <c r="E272" s="314" t="s">
        <v>104</v>
      </c>
      <c r="F272" s="314" t="s">
        <v>181</v>
      </c>
      <c r="G272" s="314" t="s">
        <v>106</v>
      </c>
      <c r="H272" s="314" t="s">
        <v>107</v>
      </c>
      <c r="I272" s="314" t="s">
        <v>108</v>
      </c>
      <c r="J272" s="314" t="s">
        <v>109</v>
      </c>
      <c r="K272" s="314">
        <v>158</v>
      </c>
      <c r="L272" s="314">
        <v>1000</v>
      </c>
      <c r="M272" s="315">
        <v>45145.8367939815</v>
      </c>
      <c r="N272" s="314" t="s">
        <v>1176</v>
      </c>
      <c r="O272" s="314" t="s">
        <v>1177</v>
      </c>
      <c r="P272" s="314" t="s">
        <v>208</v>
      </c>
      <c r="Q272" s="315">
        <v>45145.8466898148</v>
      </c>
      <c r="R272" s="315">
        <v>45146.0233796296</v>
      </c>
      <c r="S272" s="314" t="s">
        <v>1176</v>
      </c>
      <c r="T272" s="314" t="s">
        <v>256</v>
      </c>
      <c r="U272" s="314" t="s">
        <v>256</v>
      </c>
      <c r="V272" s="314" t="s">
        <v>114</v>
      </c>
      <c r="W272" s="314"/>
      <c r="X272" s="314" t="str">
        <f>VLOOKUP(D272,代理总表!A:D,3,0)</f>
        <v>duobo</v>
      </c>
      <c r="Y272" t="str">
        <f>VLOOKUP(D:D,代理总表!A:D,4,FALSE)</f>
        <v>SEO</v>
      </c>
      <c r="Z272">
        <f t="shared" si="12"/>
        <v>1</v>
      </c>
      <c r="AA272">
        <f t="shared" si="13"/>
        <v>20</v>
      </c>
      <c r="AB272">
        <f t="shared" si="14"/>
        <v>1</v>
      </c>
    </row>
    <row r="273" spans="1:28">
      <c r="A273" s="314" t="s">
        <v>1178</v>
      </c>
      <c r="B273" s="314"/>
      <c r="C273" s="314">
        <v>19533994016</v>
      </c>
      <c r="D273" s="314" t="s">
        <v>148</v>
      </c>
      <c r="E273" s="314" t="s">
        <v>104</v>
      </c>
      <c r="F273" s="314" t="s">
        <v>149</v>
      </c>
      <c r="G273" s="314" t="s">
        <v>108</v>
      </c>
      <c r="H273" s="314" t="s">
        <v>119</v>
      </c>
      <c r="I273" s="314" t="s">
        <v>108</v>
      </c>
      <c r="J273" s="314" t="s">
        <v>109</v>
      </c>
      <c r="K273" s="314">
        <v>0</v>
      </c>
      <c r="L273" s="314">
        <v>0</v>
      </c>
      <c r="M273" s="315">
        <v>45145.8364930556</v>
      </c>
      <c r="N273" s="314" t="s">
        <v>1179</v>
      </c>
      <c r="O273" s="314" t="s">
        <v>585</v>
      </c>
      <c r="P273" s="314" t="s">
        <v>112</v>
      </c>
      <c r="Q273" s="314" t="s">
        <v>123</v>
      </c>
      <c r="R273" s="315">
        <v>45145.8365740741</v>
      </c>
      <c r="S273" s="314" t="s">
        <v>1179</v>
      </c>
      <c r="T273" s="314" t="s">
        <v>1180</v>
      </c>
      <c r="U273" s="314" t="s">
        <v>1180</v>
      </c>
      <c r="V273" s="314" t="s">
        <v>114</v>
      </c>
      <c r="W273" s="314"/>
      <c r="X273" s="314" t="str">
        <f>VLOOKUP(D273,代理总表!A:D,3,0)</f>
        <v>martin</v>
      </c>
      <c r="Y273" t="str">
        <f>VLOOKUP(D:D,代理总表!A:D,4,FALSE)</f>
        <v>SEO</v>
      </c>
      <c r="Z273">
        <f t="shared" si="12"/>
        <v>0</v>
      </c>
      <c r="AA273">
        <f t="shared" si="13"/>
        <v>20</v>
      </c>
      <c r="AB273">
        <f t="shared" si="14"/>
        <v>1</v>
      </c>
    </row>
    <row r="274" spans="1:28">
      <c r="A274" s="314" t="s">
        <v>1181</v>
      </c>
      <c r="B274" s="314" t="s">
        <v>1182</v>
      </c>
      <c r="C274" s="314">
        <v>325487463</v>
      </c>
      <c r="D274" s="314" t="s">
        <v>685</v>
      </c>
      <c r="E274" s="314" t="s">
        <v>117</v>
      </c>
      <c r="F274" s="314" t="s">
        <v>118</v>
      </c>
      <c r="G274" s="314" t="s">
        <v>108</v>
      </c>
      <c r="H274" s="314" t="s">
        <v>119</v>
      </c>
      <c r="I274" s="314" t="s">
        <v>108</v>
      </c>
      <c r="J274" s="314" t="s">
        <v>120</v>
      </c>
      <c r="K274" s="314">
        <v>0</v>
      </c>
      <c r="L274" s="314">
        <v>0</v>
      </c>
      <c r="M274" s="315">
        <v>45145.8363310185</v>
      </c>
      <c r="N274" s="314" t="s">
        <v>949</v>
      </c>
      <c r="O274" s="314" t="s">
        <v>950</v>
      </c>
      <c r="P274" s="314" t="s">
        <v>112</v>
      </c>
      <c r="Q274" s="314" t="s">
        <v>123</v>
      </c>
      <c r="R274" s="315">
        <v>45145.873275463</v>
      </c>
      <c r="S274" s="314" t="s">
        <v>949</v>
      </c>
      <c r="T274" s="314" t="s">
        <v>217</v>
      </c>
      <c r="U274" s="314" t="s">
        <v>217</v>
      </c>
      <c r="V274" s="314" t="s">
        <v>114</v>
      </c>
      <c r="W274" s="314"/>
      <c r="X274" s="314" t="e">
        <f>VLOOKUP(D274,代理总表!A:D,3,0)</f>
        <v>#N/A</v>
      </c>
      <c r="Y274" t="e">
        <f>VLOOKUP(D:D,代理总表!A:D,4,FALSE)</f>
        <v>#N/A</v>
      </c>
      <c r="Z274">
        <f t="shared" si="12"/>
        <v>0</v>
      </c>
      <c r="AA274">
        <f t="shared" si="13"/>
        <v>20</v>
      </c>
      <c r="AB274">
        <f t="shared" si="14"/>
        <v>1</v>
      </c>
    </row>
    <row r="275" spans="1:28">
      <c r="A275" s="314" t="s">
        <v>1183</v>
      </c>
      <c r="B275" s="314" t="s">
        <v>1184</v>
      </c>
      <c r="C275" s="314">
        <v>13964226439</v>
      </c>
      <c r="D275" s="314" t="s">
        <v>1109</v>
      </c>
      <c r="E275" s="314" t="s">
        <v>104</v>
      </c>
      <c r="F275" s="314" t="s">
        <v>144</v>
      </c>
      <c r="G275" s="314" t="s">
        <v>106</v>
      </c>
      <c r="H275" s="314" t="s">
        <v>107</v>
      </c>
      <c r="I275" s="314" t="s">
        <v>108</v>
      </c>
      <c r="J275" s="314" t="s">
        <v>109</v>
      </c>
      <c r="K275" s="314">
        <v>300</v>
      </c>
      <c r="L275" s="314">
        <v>0</v>
      </c>
      <c r="M275" s="315">
        <v>45145.8359606481</v>
      </c>
      <c r="N275" s="314" t="s">
        <v>1185</v>
      </c>
      <c r="O275" s="314" t="s">
        <v>1141</v>
      </c>
      <c r="P275" s="314" t="s">
        <v>112</v>
      </c>
      <c r="Q275" s="315">
        <v>45145.8609722222</v>
      </c>
      <c r="R275" s="315">
        <v>45146.3305324074</v>
      </c>
      <c r="S275" s="314" t="s">
        <v>1186</v>
      </c>
      <c r="T275" s="314" t="s">
        <v>515</v>
      </c>
      <c r="U275" s="314" t="s">
        <v>515</v>
      </c>
      <c r="V275" s="314" t="s">
        <v>114</v>
      </c>
      <c r="W275" s="314"/>
      <c r="X275" s="314" t="str">
        <f>VLOOKUP(D275,代理总表!A:D,3,0)</f>
        <v>飞哥雨燕直播</v>
      </c>
      <c r="Y275" t="str">
        <f>VLOOKUP(D:D,代理总表!A:D,4,FALSE)</f>
        <v>飞哥雨燕直播ffmk88</v>
      </c>
      <c r="Z275">
        <f t="shared" si="12"/>
        <v>1</v>
      </c>
      <c r="AA275">
        <f t="shared" si="13"/>
        <v>20</v>
      </c>
      <c r="AB275">
        <f t="shared" si="14"/>
        <v>1</v>
      </c>
    </row>
    <row r="276" spans="1:28">
      <c r="A276" s="314" t="s">
        <v>1187</v>
      </c>
      <c r="B276" s="314"/>
      <c r="C276" s="314">
        <v>949572116</v>
      </c>
      <c r="D276" s="314" t="s">
        <v>394</v>
      </c>
      <c r="E276" s="314" t="s">
        <v>117</v>
      </c>
      <c r="F276" s="314" t="s">
        <v>118</v>
      </c>
      <c r="G276" s="314" t="s">
        <v>108</v>
      </c>
      <c r="H276" s="314" t="s">
        <v>119</v>
      </c>
      <c r="I276" s="314" t="s">
        <v>108</v>
      </c>
      <c r="J276" s="314" t="s">
        <v>120</v>
      </c>
      <c r="K276" s="314">
        <v>0</v>
      </c>
      <c r="L276" s="314">
        <v>0</v>
      </c>
      <c r="M276" s="315">
        <v>45145.8354513889</v>
      </c>
      <c r="N276" s="314" t="s">
        <v>1188</v>
      </c>
      <c r="O276" s="314" t="s">
        <v>396</v>
      </c>
      <c r="P276" s="314" t="s">
        <v>112</v>
      </c>
      <c r="Q276" s="314" t="s">
        <v>123</v>
      </c>
      <c r="R276" s="315">
        <v>45145.8354513889</v>
      </c>
      <c r="S276" s="314" t="s">
        <v>1188</v>
      </c>
      <c r="T276" s="314" t="s">
        <v>801</v>
      </c>
      <c r="U276" s="314" t="s">
        <v>801</v>
      </c>
      <c r="V276" s="314" t="s">
        <v>114</v>
      </c>
      <c r="W276" s="314"/>
      <c r="X276" s="314" t="str">
        <f>VLOOKUP(D276,代理总表!A:D,3,0)</f>
        <v>外部代理总线</v>
      </c>
      <c r="Y276" t="str">
        <f>VLOOKUP(D:D,代理总表!A:D,4,FALSE)</f>
        <v>外部代理总线zh0808</v>
      </c>
      <c r="Z276">
        <f t="shared" si="12"/>
        <v>0</v>
      </c>
      <c r="AA276">
        <f t="shared" si="13"/>
        <v>20</v>
      </c>
      <c r="AB276">
        <f t="shared" si="14"/>
        <v>1</v>
      </c>
    </row>
    <row r="277" spans="1:28">
      <c r="A277" s="314" t="s">
        <v>1189</v>
      </c>
      <c r="B277" s="314" t="s">
        <v>1190</v>
      </c>
      <c r="C277" s="314">
        <v>964299748</v>
      </c>
      <c r="D277" s="314" t="s">
        <v>143</v>
      </c>
      <c r="E277" s="314" t="s">
        <v>117</v>
      </c>
      <c r="F277" s="314" t="s">
        <v>144</v>
      </c>
      <c r="G277" s="314" t="s">
        <v>106</v>
      </c>
      <c r="H277" s="314" t="s">
        <v>107</v>
      </c>
      <c r="I277" s="314" t="s">
        <v>108</v>
      </c>
      <c r="J277" s="314" t="s">
        <v>120</v>
      </c>
      <c r="K277" s="314">
        <v>39190</v>
      </c>
      <c r="L277" s="314">
        <v>180000</v>
      </c>
      <c r="M277" s="315">
        <v>45145.8344675926</v>
      </c>
      <c r="N277" s="314" t="s">
        <v>1191</v>
      </c>
      <c r="O277" s="314" t="s">
        <v>407</v>
      </c>
      <c r="P277" s="314" t="s">
        <v>112</v>
      </c>
      <c r="Q277" s="315">
        <v>45145.8461226852</v>
      </c>
      <c r="R277" s="315">
        <v>45146.2515509259</v>
      </c>
      <c r="S277" s="314" t="s">
        <v>1191</v>
      </c>
      <c r="T277" s="314" t="s">
        <v>1153</v>
      </c>
      <c r="U277" s="314" t="s">
        <v>1153</v>
      </c>
      <c r="V277" s="314" t="s">
        <v>114</v>
      </c>
      <c r="W277" s="314"/>
      <c r="X277" s="314" t="str">
        <f>VLOOKUP(D277,代理总表!A:D,3,0)</f>
        <v>雨燕直播-越</v>
      </c>
      <c r="Y277" t="str">
        <f>VLOOKUP(D:D,代理总表!A:D,4,FALSE)</f>
        <v>雨燕直播-越ffvn66</v>
      </c>
      <c r="Z277">
        <f t="shared" si="12"/>
        <v>1</v>
      </c>
      <c r="AA277">
        <f t="shared" si="13"/>
        <v>20</v>
      </c>
      <c r="AB277">
        <f t="shared" si="14"/>
        <v>1</v>
      </c>
    </row>
    <row r="278" spans="1:28">
      <c r="A278" s="314" t="s">
        <v>1192</v>
      </c>
      <c r="B278" s="314" t="s">
        <v>1193</v>
      </c>
      <c r="C278" s="314">
        <v>379074815</v>
      </c>
      <c r="D278" s="314" t="s">
        <v>172</v>
      </c>
      <c r="E278" s="314" t="s">
        <v>117</v>
      </c>
      <c r="F278" s="314" t="s">
        <v>144</v>
      </c>
      <c r="G278" s="314" t="s">
        <v>106</v>
      </c>
      <c r="H278" s="314" t="s">
        <v>107</v>
      </c>
      <c r="I278" s="314" t="s">
        <v>108</v>
      </c>
      <c r="J278" s="314" t="s">
        <v>120</v>
      </c>
      <c r="K278" s="314">
        <v>1000800</v>
      </c>
      <c r="L278" s="314">
        <v>80000</v>
      </c>
      <c r="M278" s="315">
        <v>45145.8325347222</v>
      </c>
      <c r="N278" s="314" t="s">
        <v>1194</v>
      </c>
      <c r="O278" s="314" t="s">
        <v>193</v>
      </c>
      <c r="P278" s="314" t="s">
        <v>112</v>
      </c>
      <c r="Q278" s="315">
        <v>45145.8424305556</v>
      </c>
      <c r="R278" s="315">
        <v>45146.3652199074</v>
      </c>
      <c r="S278" s="314" t="s">
        <v>1195</v>
      </c>
      <c r="T278" s="314" t="s">
        <v>1196</v>
      </c>
      <c r="U278" s="314" t="s">
        <v>216</v>
      </c>
      <c r="V278" s="314" t="s">
        <v>114</v>
      </c>
      <c r="W278" s="314"/>
      <c r="X278" s="314" t="str">
        <f>VLOOKUP(D278,代理总表!A:D,3,0)</f>
        <v>雨燕直播-越</v>
      </c>
      <c r="Y278" t="str">
        <f>VLOOKUP(D:D,代理总表!A:D,4,FALSE)</f>
        <v>雨燕直播-越ffvn66</v>
      </c>
      <c r="Z278">
        <f t="shared" si="12"/>
        <v>1</v>
      </c>
      <c r="AA278">
        <f t="shared" si="13"/>
        <v>19</v>
      </c>
      <c r="AB278">
        <f t="shared" si="14"/>
        <v>1</v>
      </c>
    </row>
    <row r="279" spans="1:28">
      <c r="A279" s="314" t="s">
        <v>1197</v>
      </c>
      <c r="B279" s="314"/>
      <c r="C279" s="314">
        <v>19978604226</v>
      </c>
      <c r="D279" s="314" t="s">
        <v>180</v>
      </c>
      <c r="E279" s="314" t="s">
        <v>104</v>
      </c>
      <c r="F279" s="314" t="s">
        <v>149</v>
      </c>
      <c r="G279" s="314" t="s">
        <v>108</v>
      </c>
      <c r="H279" s="314" t="s">
        <v>119</v>
      </c>
      <c r="I279" s="314" t="s">
        <v>108</v>
      </c>
      <c r="J279" s="314" t="s">
        <v>109</v>
      </c>
      <c r="K279" s="314">
        <v>0</v>
      </c>
      <c r="L279" s="314">
        <v>0</v>
      </c>
      <c r="M279" s="315">
        <v>45145.8323032407</v>
      </c>
      <c r="N279" s="314" t="s">
        <v>1198</v>
      </c>
      <c r="O279" s="314" t="s">
        <v>1199</v>
      </c>
      <c r="P279" s="314" t="s">
        <v>112</v>
      </c>
      <c r="Q279" s="314" t="s">
        <v>123</v>
      </c>
      <c r="R279" s="315">
        <v>45145.8322916667</v>
      </c>
      <c r="S279" s="314" t="s">
        <v>1198</v>
      </c>
      <c r="T279" s="314" t="s">
        <v>1014</v>
      </c>
      <c r="U279" s="314" t="s">
        <v>1014</v>
      </c>
      <c r="V279" s="314" t="s">
        <v>114</v>
      </c>
      <c r="W279" s="314"/>
      <c r="X279" s="314" t="str">
        <f>VLOOKUP(D279,代理总表!A:D,3,0)</f>
        <v>hugo</v>
      </c>
      <c r="Y279" t="str">
        <f>VLOOKUP(D:D,代理总表!A:D,4,FALSE)</f>
        <v>SEO</v>
      </c>
      <c r="Z279">
        <f t="shared" si="12"/>
        <v>0</v>
      </c>
      <c r="AA279">
        <f t="shared" si="13"/>
        <v>19</v>
      </c>
      <c r="AB279">
        <f t="shared" si="14"/>
        <v>1</v>
      </c>
    </row>
    <row r="280" spans="1:28">
      <c r="A280" s="314" t="s">
        <v>1200</v>
      </c>
      <c r="B280" s="314"/>
      <c r="C280" s="314">
        <v>13153644537</v>
      </c>
      <c r="D280" s="314" t="s">
        <v>249</v>
      </c>
      <c r="E280" s="314" t="s">
        <v>104</v>
      </c>
      <c r="F280" s="314" t="s">
        <v>118</v>
      </c>
      <c r="G280" s="314" t="s">
        <v>108</v>
      </c>
      <c r="H280" s="314" t="s">
        <v>119</v>
      </c>
      <c r="I280" s="314" t="s">
        <v>108</v>
      </c>
      <c r="J280" s="314" t="s">
        <v>109</v>
      </c>
      <c r="K280" s="314">
        <v>0</v>
      </c>
      <c r="L280" s="314">
        <v>0</v>
      </c>
      <c r="M280" s="315">
        <v>45145.8316319444</v>
      </c>
      <c r="N280" s="314" t="s">
        <v>1201</v>
      </c>
      <c r="O280" s="314" t="s">
        <v>251</v>
      </c>
      <c r="P280" s="314" t="s">
        <v>112</v>
      </c>
      <c r="Q280" s="314" t="s">
        <v>123</v>
      </c>
      <c r="R280" s="315">
        <v>45145.8320486111</v>
      </c>
      <c r="S280" s="314" t="s">
        <v>1201</v>
      </c>
      <c r="T280" s="314" t="s">
        <v>1202</v>
      </c>
      <c r="U280" s="314" t="s">
        <v>1202</v>
      </c>
      <c r="V280" s="314" t="s">
        <v>114</v>
      </c>
      <c r="W280" s="314"/>
      <c r="X280" s="314" t="str">
        <f>VLOOKUP(D280,代理总表!A:D,3,0)</f>
        <v>飞哥雨燕直播</v>
      </c>
      <c r="Y280" t="str">
        <f>VLOOKUP(D:D,代理总表!A:D,4,FALSE)</f>
        <v>飞哥雨燕直播ffmk88</v>
      </c>
      <c r="Z280">
        <f t="shared" si="12"/>
        <v>0</v>
      </c>
      <c r="AA280">
        <f t="shared" si="13"/>
        <v>19</v>
      </c>
      <c r="AB280">
        <f t="shared" si="14"/>
        <v>1</v>
      </c>
    </row>
    <row r="281" spans="1:28">
      <c r="A281" s="314" t="s">
        <v>1203</v>
      </c>
      <c r="B281" s="314"/>
      <c r="C281" s="314"/>
      <c r="D281" s="314" t="s">
        <v>172</v>
      </c>
      <c r="E281" s="314" t="s">
        <v>117</v>
      </c>
      <c r="F281" s="314" t="s">
        <v>118</v>
      </c>
      <c r="G281" s="314" t="s">
        <v>108</v>
      </c>
      <c r="H281" s="314" t="s">
        <v>119</v>
      </c>
      <c r="I281" s="314" t="s">
        <v>108</v>
      </c>
      <c r="J281" s="314" t="s">
        <v>120</v>
      </c>
      <c r="K281" s="314">
        <v>0</v>
      </c>
      <c r="L281" s="314">
        <v>0</v>
      </c>
      <c r="M281" s="315">
        <v>45145.8315046296</v>
      </c>
      <c r="N281" s="314" t="s">
        <v>1204</v>
      </c>
      <c r="O281" s="314" t="s">
        <v>1205</v>
      </c>
      <c r="P281" s="314" t="s">
        <v>339</v>
      </c>
      <c r="Q281" s="314" t="s">
        <v>123</v>
      </c>
      <c r="R281" s="315">
        <v>45145.8318287037</v>
      </c>
      <c r="S281" s="314" t="s">
        <v>1204</v>
      </c>
      <c r="T281" s="314" t="s">
        <v>1206</v>
      </c>
      <c r="U281" s="314" t="s">
        <v>1206</v>
      </c>
      <c r="V281" s="314" t="s">
        <v>114</v>
      </c>
      <c r="W281" s="314"/>
      <c r="X281" s="314" t="str">
        <f>VLOOKUP(D281,代理总表!A:D,3,0)</f>
        <v>雨燕直播-越</v>
      </c>
      <c r="Y281" t="str">
        <f>VLOOKUP(D:D,代理总表!A:D,4,FALSE)</f>
        <v>雨燕直播-越ffvn66</v>
      </c>
      <c r="Z281">
        <f t="shared" si="12"/>
        <v>0</v>
      </c>
      <c r="AA281">
        <f t="shared" si="13"/>
        <v>19</v>
      </c>
      <c r="AB281">
        <f t="shared" si="14"/>
        <v>1</v>
      </c>
    </row>
    <row r="282" spans="1:28">
      <c r="A282" s="314" t="s">
        <v>1207</v>
      </c>
      <c r="B282" s="314" t="s">
        <v>1208</v>
      </c>
      <c r="C282" s="314">
        <v>18207247652</v>
      </c>
      <c r="D282" s="314" t="s">
        <v>249</v>
      </c>
      <c r="E282" s="314" t="s">
        <v>104</v>
      </c>
      <c r="F282" s="314" t="s">
        <v>144</v>
      </c>
      <c r="G282" s="314" t="s">
        <v>106</v>
      </c>
      <c r="H282" s="314" t="s">
        <v>107</v>
      </c>
      <c r="I282" s="314" t="s">
        <v>108</v>
      </c>
      <c r="J282" s="314" t="s">
        <v>109</v>
      </c>
      <c r="K282" s="314">
        <v>1075</v>
      </c>
      <c r="L282" s="314">
        <v>1088</v>
      </c>
      <c r="M282" s="315">
        <v>45145.8303587963</v>
      </c>
      <c r="N282" s="314" t="s">
        <v>1209</v>
      </c>
      <c r="O282" s="314" t="s">
        <v>251</v>
      </c>
      <c r="P282" s="314" t="s">
        <v>112</v>
      </c>
      <c r="Q282" s="315">
        <v>45145.9611458333</v>
      </c>
      <c r="R282" s="315">
        <v>45146.2681481481</v>
      </c>
      <c r="S282" s="314" t="s">
        <v>1210</v>
      </c>
      <c r="T282" s="314" t="s">
        <v>1211</v>
      </c>
      <c r="U282" s="314" t="s">
        <v>1211</v>
      </c>
      <c r="V282" s="314" t="s">
        <v>114</v>
      </c>
      <c r="W282" s="314"/>
      <c r="X282" s="314" t="str">
        <f>VLOOKUP(D282,代理总表!A:D,3,0)</f>
        <v>飞哥雨燕直播</v>
      </c>
      <c r="Y282" t="str">
        <f>VLOOKUP(D:D,代理总表!A:D,4,FALSE)</f>
        <v>飞哥雨燕直播ffmk88</v>
      </c>
      <c r="Z282">
        <f t="shared" si="12"/>
        <v>1</v>
      </c>
      <c r="AA282">
        <f t="shared" si="13"/>
        <v>19</v>
      </c>
      <c r="AB282">
        <f t="shared" si="14"/>
        <v>1</v>
      </c>
    </row>
    <row r="283" spans="1:28">
      <c r="A283" s="314" t="s">
        <v>1212</v>
      </c>
      <c r="B283" s="314" t="s">
        <v>1213</v>
      </c>
      <c r="C283" s="314">
        <v>13981052111</v>
      </c>
      <c r="D283" s="314" t="s">
        <v>294</v>
      </c>
      <c r="E283" s="314" t="s">
        <v>104</v>
      </c>
      <c r="F283" s="314" t="s">
        <v>1214</v>
      </c>
      <c r="G283" s="314" t="s">
        <v>106</v>
      </c>
      <c r="H283" s="314" t="s">
        <v>107</v>
      </c>
      <c r="I283" s="314" t="s">
        <v>108</v>
      </c>
      <c r="J283" s="314" t="s">
        <v>109</v>
      </c>
      <c r="K283" s="314">
        <v>400</v>
      </c>
      <c r="L283" s="314">
        <v>450</v>
      </c>
      <c r="M283" s="315">
        <v>45145.8301851852</v>
      </c>
      <c r="N283" s="314" t="s">
        <v>1215</v>
      </c>
      <c r="O283" s="314" t="s">
        <v>297</v>
      </c>
      <c r="P283" s="314" t="s">
        <v>161</v>
      </c>
      <c r="Q283" s="315">
        <v>45145.8391550926</v>
      </c>
      <c r="R283" s="315">
        <v>45146.3630439815</v>
      </c>
      <c r="S283" s="314" t="s">
        <v>1216</v>
      </c>
      <c r="T283" s="314" t="s">
        <v>599</v>
      </c>
      <c r="U283" s="314" t="s">
        <v>599</v>
      </c>
      <c r="V283" s="314" t="s">
        <v>114</v>
      </c>
      <c r="W283" s="314"/>
      <c r="X283" s="314" t="str">
        <f>VLOOKUP(D283,代理总表!A:D,3,0)</f>
        <v>DK</v>
      </c>
      <c r="Y283" t="str">
        <f>VLOOKUP(D:D,代理总表!A:D,4,FALSE)</f>
        <v>SEO</v>
      </c>
      <c r="Z283">
        <f t="shared" si="12"/>
        <v>1</v>
      </c>
      <c r="AA283">
        <f t="shared" si="13"/>
        <v>19</v>
      </c>
      <c r="AB283">
        <f t="shared" si="14"/>
        <v>1</v>
      </c>
    </row>
    <row r="284" spans="1:28">
      <c r="A284" s="314" t="s">
        <v>1217</v>
      </c>
      <c r="B284" s="314" t="s">
        <v>1218</v>
      </c>
      <c r="C284" s="314">
        <v>981705900</v>
      </c>
      <c r="D284" s="314" t="s">
        <v>224</v>
      </c>
      <c r="E284" s="314" t="s">
        <v>117</v>
      </c>
      <c r="F284" s="314" t="s">
        <v>118</v>
      </c>
      <c r="G284" s="314" t="s">
        <v>108</v>
      </c>
      <c r="H284" s="314" t="s">
        <v>119</v>
      </c>
      <c r="I284" s="314" t="s">
        <v>108</v>
      </c>
      <c r="J284" s="314" t="s">
        <v>120</v>
      </c>
      <c r="K284" s="314">
        <v>0</v>
      </c>
      <c r="L284" s="314">
        <v>0</v>
      </c>
      <c r="M284" s="315">
        <v>45145.8300694444</v>
      </c>
      <c r="N284" s="314" t="s">
        <v>1219</v>
      </c>
      <c r="O284" s="314" t="s">
        <v>462</v>
      </c>
      <c r="P284" s="314" t="s">
        <v>112</v>
      </c>
      <c r="Q284" s="314" t="s">
        <v>123</v>
      </c>
      <c r="R284" s="315">
        <v>45145.8790509259</v>
      </c>
      <c r="S284" s="314" t="s">
        <v>1219</v>
      </c>
      <c r="T284" s="314" t="s">
        <v>131</v>
      </c>
      <c r="U284" s="314" t="s">
        <v>131</v>
      </c>
      <c r="V284" s="314" t="s">
        <v>114</v>
      </c>
      <c r="W284" s="314"/>
      <c r="X284" s="314" t="str">
        <f>VLOOKUP(D284,代理总表!A:D,3,0)</f>
        <v>雨燕直播-越</v>
      </c>
      <c r="Y284" t="str">
        <f>VLOOKUP(D:D,代理总表!A:D,4,FALSE)</f>
        <v>雨燕直播-越ffvn66</v>
      </c>
      <c r="Z284">
        <f t="shared" si="12"/>
        <v>0</v>
      </c>
      <c r="AA284">
        <f t="shared" si="13"/>
        <v>19</v>
      </c>
      <c r="AB284">
        <f t="shared" si="14"/>
        <v>1</v>
      </c>
    </row>
    <row r="285" spans="1:28">
      <c r="A285" s="314" t="s">
        <v>1220</v>
      </c>
      <c r="B285" s="314"/>
      <c r="C285" s="314"/>
      <c r="D285" s="314" t="s">
        <v>805</v>
      </c>
      <c r="E285" s="314" t="s">
        <v>104</v>
      </c>
      <c r="F285" s="314" t="s">
        <v>118</v>
      </c>
      <c r="G285" s="314" t="s">
        <v>108</v>
      </c>
      <c r="H285" s="314" t="s">
        <v>119</v>
      </c>
      <c r="I285" s="314" t="s">
        <v>108</v>
      </c>
      <c r="J285" s="314" t="s">
        <v>109</v>
      </c>
      <c r="K285" s="314">
        <v>0</v>
      </c>
      <c r="L285" s="314">
        <v>0</v>
      </c>
      <c r="M285" s="315">
        <v>45145.8296759259</v>
      </c>
      <c r="N285" s="314" t="s">
        <v>1221</v>
      </c>
      <c r="O285" s="314" t="s">
        <v>1222</v>
      </c>
      <c r="P285" s="314" t="s">
        <v>339</v>
      </c>
      <c r="Q285" s="314" t="s">
        <v>123</v>
      </c>
      <c r="R285" s="315">
        <v>45145.8296759259</v>
      </c>
      <c r="S285" s="314" t="s">
        <v>1221</v>
      </c>
      <c r="T285" s="314" t="s">
        <v>1223</v>
      </c>
      <c r="U285" s="314" t="s">
        <v>1223</v>
      </c>
      <c r="V285" s="314" t="s">
        <v>114</v>
      </c>
      <c r="W285" s="314"/>
      <c r="X285" s="314" t="str">
        <f>VLOOKUP(D285,代理总表!A:D,3,0)</f>
        <v>飞哥雨燕直播</v>
      </c>
      <c r="Y285" t="str">
        <f>VLOOKUP(D:D,代理总表!A:D,4,FALSE)</f>
        <v>飞哥雨燕直播ffmk88</v>
      </c>
      <c r="Z285">
        <f t="shared" si="12"/>
        <v>0</v>
      </c>
      <c r="AA285">
        <f t="shared" si="13"/>
        <v>19</v>
      </c>
      <c r="AB285">
        <f t="shared" si="14"/>
        <v>1</v>
      </c>
    </row>
    <row r="286" spans="1:28">
      <c r="A286" s="314" t="s">
        <v>1224</v>
      </c>
      <c r="B286" s="314"/>
      <c r="C286" s="314">
        <v>946207444</v>
      </c>
      <c r="D286" s="314" t="s">
        <v>143</v>
      </c>
      <c r="E286" s="314" t="s">
        <v>117</v>
      </c>
      <c r="F286" s="314" t="s">
        <v>118</v>
      </c>
      <c r="G286" s="314" t="s">
        <v>108</v>
      </c>
      <c r="H286" s="314" t="s">
        <v>119</v>
      </c>
      <c r="I286" s="314" t="s">
        <v>108</v>
      </c>
      <c r="J286" s="314" t="s">
        <v>120</v>
      </c>
      <c r="K286" s="314">
        <v>0</v>
      </c>
      <c r="L286" s="314">
        <v>0</v>
      </c>
      <c r="M286" s="315">
        <v>45145.8291550926</v>
      </c>
      <c r="N286" s="314" t="s">
        <v>1225</v>
      </c>
      <c r="O286" s="314" t="s">
        <v>407</v>
      </c>
      <c r="P286" s="314" t="s">
        <v>112</v>
      </c>
      <c r="Q286" s="314" t="s">
        <v>123</v>
      </c>
      <c r="R286" s="315">
        <v>45145.8291550926</v>
      </c>
      <c r="S286" s="314" t="s">
        <v>1225</v>
      </c>
      <c r="T286" s="314" t="s">
        <v>1226</v>
      </c>
      <c r="U286" s="314" t="s">
        <v>1226</v>
      </c>
      <c r="V286" s="314" t="s">
        <v>114</v>
      </c>
      <c r="W286" s="314"/>
      <c r="X286" s="314" t="str">
        <f>VLOOKUP(D286,代理总表!A:D,3,0)</f>
        <v>雨燕直播-越</v>
      </c>
      <c r="Y286" t="str">
        <f>VLOOKUP(D:D,代理总表!A:D,4,FALSE)</f>
        <v>雨燕直播-越ffvn66</v>
      </c>
      <c r="Z286">
        <f t="shared" si="12"/>
        <v>0</v>
      </c>
      <c r="AA286">
        <f t="shared" si="13"/>
        <v>19</v>
      </c>
      <c r="AB286">
        <f t="shared" si="14"/>
        <v>1</v>
      </c>
    </row>
    <row r="287" spans="1:28">
      <c r="A287" s="314" t="s">
        <v>1227</v>
      </c>
      <c r="B287" s="314"/>
      <c r="C287" s="314">
        <v>987588023</v>
      </c>
      <c r="D287" s="314" t="s">
        <v>805</v>
      </c>
      <c r="E287" s="314" t="s">
        <v>104</v>
      </c>
      <c r="F287" s="314" t="s">
        <v>118</v>
      </c>
      <c r="G287" s="314" t="s">
        <v>108</v>
      </c>
      <c r="H287" s="314" t="s">
        <v>119</v>
      </c>
      <c r="I287" s="314" t="s">
        <v>108</v>
      </c>
      <c r="J287" s="314" t="s">
        <v>109</v>
      </c>
      <c r="K287" s="314">
        <v>0</v>
      </c>
      <c r="L287" s="314">
        <v>0</v>
      </c>
      <c r="M287" s="315">
        <v>45145.8290046296</v>
      </c>
      <c r="N287" s="314" t="s">
        <v>1228</v>
      </c>
      <c r="O287" s="314" t="s">
        <v>1222</v>
      </c>
      <c r="P287" s="314" t="s">
        <v>339</v>
      </c>
      <c r="Q287" s="314" t="s">
        <v>123</v>
      </c>
      <c r="R287" s="315">
        <v>45145.8456597222</v>
      </c>
      <c r="S287" s="314" t="s">
        <v>1228</v>
      </c>
      <c r="T287" s="314" t="s">
        <v>1229</v>
      </c>
      <c r="U287" s="314" t="s">
        <v>1229</v>
      </c>
      <c r="V287" s="314" t="s">
        <v>114</v>
      </c>
      <c r="W287" s="314"/>
      <c r="X287" s="314" t="str">
        <f>VLOOKUP(D287,代理总表!A:D,3,0)</f>
        <v>飞哥雨燕直播</v>
      </c>
      <c r="Y287" t="str">
        <f>VLOOKUP(D:D,代理总表!A:D,4,FALSE)</f>
        <v>飞哥雨燕直播ffmk88</v>
      </c>
      <c r="Z287">
        <f t="shared" si="12"/>
        <v>0</v>
      </c>
      <c r="AA287">
        <f t="shared" si="13"/>
        <v>19</v>
      </c>
      <c r="AB287">
        <f t="shared" si="14"/>
        <v>1</v>
      </c>
    </row>
    <row r="288" spans="1:28">
      <c r="A288" s="314" t="s">
        <v>1230</v>
      </c>
      <c r="B288" s="314" t="s">
        <v>1231</v>
      </c>
      <c r="C288" s="314">
        <v>973193968</v>
      </c>
      <c r="D288" s="314" t="s">
        <v>445</v>
      </c>
      <c r="E288" s="314" t="s">
        <v>117</v>
      </c>
      <c r="F288" s="314" t="s">
        <v>144</v>
      </c>
      <c r="G288" s="314" t="s">
        <v>106</v>
      </c>
      <c r="H288" s="314" t="s">
        <v>107</v>
      </c>
      <c r="I288" s="314" t="s">
        <v>108</v>
      </c>
      <c r="J288" s="314" t="s">
        <v>120</v>
      </c>
      <c r="K288" s="314">
        <v>218000</v>
      </c>
      <c r="L288" s="314">
        <v>100000</v>
      </c>
      <c r="M288" s="315">
        <v>45145.8287731481</v>
      </c>
      <c r="N288" s="314" t="s">
        <v>1232</v>
      </c>
      <c r="O288" s="314" t="s">
        <v>446</v>
      </c>
      <c r="P288" s="314" t="s">
        <v>112</v>
      </c>
      <c r="Q288" s="315">
        <v>45145.9334606481</v>
      </c>
      <c r="R288" s="315">
        <v>45146.3178703704</v>
      </c>
      <c r="S288" s="314" t="s">
        <v>1233</v>
      </c>
      <c r="T288" s="314" t="s">
        <v>520</v>
      </c>
      <c r="U288" s="314" t="s">
        <v>131</v>
      </c>
      <c r="V288" s="314" t="s">
        <v>114</v>
      </c>
      <c r="W288" s="314"/>
      <c r="X288" s="314" t="str">
        <f>VLOOKUP(D288,代理总表!A:D,3,0)</f>
        <v>SOCO越南直播</v>
      </c>
      <c r="Y288" t="str">
        <f>VLOOKUP(D:D,代理总表!A:D,4,FALSE)</f>
        <v>SOCO越南直播ffvn66</v>
      </c>
      <c r="Z288">
        <f t="shared" si="12"/>
        <v>1</v>
      </c>
      <c r="AA288">
        <f t="shared" si="13"/>
        <v>19</v>
      </c>
      <c r="AB288">
        <f t="shared" si="14"/>
        <v>1</v>
      </c>
    </row>
    <row r="289" spans="1:28">
      <c r="A289" s="314" t="s">
        <v>1234</v>
      </c>
      <c r="B289" s="314"/>
      <c r="C289" s="314"/>
      <c r="D289" s="314" t="s">
        <v>143</v>
      </c>
      <c r="E289" s="314" t="s">
        <v>117</v>
      </c>
      <c r="F289" s="314" t="s">
        <v>118</v>
      </c>
      <c r="G289" s="314" t="s">
        <v>108</v>
      </c>
      <c r="H289" s="314" t="s">
        <v>119</v>
      </c>
      <c r="I289" s="314" t="s">
        <v>108</v>
      </c>
      <c r="J289" s="314" t="s">
        <v>120</v>
      </c>
      <c r="K289" s="314">
        <v>0</v>
      </c>
      <c r="L289" s="314">
        <v>0</v>
      </c>
      <c r="M289" s="315">
        <v>45145.8272916667</v>
      </c>
      <c r="N289" s="314" t="s">
        <v>1235</v>
      </c>
      <c r="O289" s="314" t="s">
        <v>407</v>
      </c>
      <c r="P289" s="314" t="s">
        <v>112</v>
      </c>
      <c r="Q289" s="314" t="s">
        <v>123</v>
      </c>
      <c r="R289" s="315">
        <v>45145.8324189815</v>
      </c>
      <c r="S289" s="314" t="s">
        <v>1235</v>
      </c>
      <c r="T289" s="314" t="s">
        <v>177</v>
      </c>
      <c r="U289" s="314" t="s">
        <v>177</v>
      </c>
      <c r="V289" s="314" t="s">
        <v>114</v>
      </c>
      <c r="W289" s="314"/>
      <c r="X289" s="314" t="str">
        <f>VLOOKUP(D289,代理总表!A:D,3,0)</f>
        <v>雨燕直播-越</v>
      </c>
      <c r="Y289" t="str">
        <f>VLOOKUP(D:D,代理总表!A:D,4,FALSE)</f>
        <v>雨燕直播-越ffvn66</v>
      </c>
      <c r="Z289">
        <f t="shared" si="12"/>
        <v>0</v>
      </c>
      <c r="AA289">
        <f t="shared" si="13"/>
        <v>19</v>
      </c>
      <c r="AB289">
        <f t="shared" si="14"/>
        <v>1</v>
      </c>
    </row>
    <row r="290" spans="1:28">
      <c r="A290" s="314" t="s">
        <v>1236</v>
      </c>
      <c r="B290" s="314"/>
      <c r="C290" s="314"/>
      <c r="D290" s="314" t="s">
        <v>116</v>
      </c>
      <c r="E290" s="314" t="s">
        <v>117</v>
      </c>
      <c r="F290" s="314" t="s">
        <v>118</v>
      </c>
      <c r="G290" s="314" t="s">
        <v>108</v>
      </c>
      <c r="H290" s="314" t="s">
        <v>119</v>
      </c>
      <c r="I290" s="314" t="s">
        <v>108</v>
      </c>
      <c r="J290" s="314" t="s">
        <v>120</v>
      </c>
      <c r="K290" s="314">
        <v>0</v>
      </c>
      <c r="L290" s="314">
        <v>0</v>
      </c>
      <c r="M290" s="315">
        <v>45145.8272106481</v>
      </c>
      <c r="N290" s="314" t="s">
        <v>1237</v>
      </c>
      <c r="O290" s="314" t="s">
        <v>122</v>
      </c>
      <c r="P290" s="314" t="s">
        <v>112</v>
      </c>
      <c r="Q290" s="314" t="s">
        <v>123</v>
      </c>
      <c r="R290" s="315">
        <v>45145.8393518518</v>
      </c>
      <c r="S290" s="314" t="s">
        <v>1237</v>
      </c>
      <c r="T290" s="314" t="s">
        <v>124</v>
      </c>
      <c r="U290" s="314" t="s">
        <v>124</v>
      </c>
      <c r="V290" s="314" t="s">
        <v>114</v>
      </c>
      <c r="W290" s="314"/>
      <c r="X290" s="314" t="str">
        <f>VLOOKUP(D290,代理总表!A:D,3,0)</f>
        <v>外部代理总线</v>
      </c>
      <c r="Y290" t="str">
        <f>VLOOKUP(D:D,代理总表!A:D,4,FALSE)</f>
        <v>外部代理总线zh0808</v>
      </c>
      <c r="Z290">
        <f t="shared" si="12"/>
        <v>0</v>
      </c>
      <c r="AA290">
        <f t="shared" si="13"/>
        <v>19</v>
      </c>
      <c r="AB290">
        <f t="shared" si="14"/>
        <v>1</v>
      </c>
    </row>
    <row r="291" spans="1:28">
      <c r="A291" s="314" t="s">
        <v>1238</v>
      </c>
      <c r="B291" s="314" t="s">
        <v>1239</v>
      </c>
      <c r="C291" s="314">
        <v>914202111</v>
      </c>
      <c r="D291" s="314" t="s">
        <v>116</v>
      </c>
      <c r="E291" s="314" t="s">
        <v>117</v>
      </c>
      <c r="F291" s="314" t="s">
        <v>144</v>
      </c>
      <c r="G291" s="314" t="s">
        <v>106</v>
      </c>
      <c r="H291" s="314" t="s">
        <v>107</v>
      </c>
      <c r="I291" s="314" t="s">
        <v>108</v>
      </c>
      <c r="J291" s="314" t="s">
        <v>120</v>
      </c>
      <c r="K291" s="314">
        <v>1000000</v>
      </c>
      <c r="L291" s="314">
        <v>0</v>
      </c>
      <c r="M291" s="315">
        <v>45145.8268865741</v>
      </c>
      <c r="N291" s="314" t="s">
        <v>1240</v>
      </c>
      <c r="O291" s="314" t="s">
        <v>742</v>
      </c>
      <c r="P291" s="314" t="s">
        <v>339</v>
      </c>
      <c r="Q291" s="315">
        <v>45145.8599537037</v>
      </c>
      <c r="R291" s="315">
        <v>45146.355775463</v>
      </c>
      <c r="S291" s="314" t="s">
        <v>1241</v>
      </c>
      <c r="T291" s="314" t="s">
        <v>1072</v>
      </c>
      <c r="U291" s="314" t="s">
        <v>124</v>
      </c>
      <c r="V291" s="314" t="s">
        <v>114</v>
      </c>
      <c r="W291" s="314"/>
      <c r="X291" s="314" t="str">
        <f>VLOOKUP(D291,代理总表!A:D,3,0)</f>
        <v>外部代理总线</v>
      </c>
      <c r="Y291" t="str">
        <f>VLOOKUP(D:D,代理总表!A:D,4,FALSE)</f>
        <v>外部代理总线zh0808</v>
      </c>
      <c r="Z291">
        <f t="shared" si="12"/>
        <v>1</v>
      </c>
      <c r="AA291">
        <f t="shared" si="13"/>
        <v>19</v>
      </c>
      <c r="AB291">
        <f t="shared" si="14"/>
        <v>1</v>
      </c>
    </row>
    <row r="292" spans="1:28">
      <c r="A292" s="314" t="s">
        <v>1242</v>
      </c>
      <c r="B292" s="314" t="s">
        <v>1243</v>
      </c>
      <c r="C292" s="314">
        <v>16638380806</v>
      </c>
      <c r="D292" s="314" t="s">
        <v>103</v>
      </c>
      <c r="E292" s="314" t="s">
        <v>104</v>
      </c>
      <c r="F292" s="314" t="s">
        <v>105</v>
      </c>
      <c r="G292" s="314" t="s">
        <v>106</v>
      </c>
      <c r="H292" s="314" t="s">
        <v>107</v>
      </c>
      <c r="I292" s="314" t="s">
        <v>108</v>
      </c>
      <c r="J292" s="314" t="s">
        <v>109</v>
      </c>
      <c r="K292" s="314">
        <v>50.13</v>
      </c>
      <c r="L292" s="314">
        <v>300</v>
      </c>
      <c r="M292" s="315">
        <v>45145.8264467593</v>
      </c>
      <c r="N292" s="314" t="s">
        <v>1244</v>
      </c>
      <c r="O292" s="314" t="s">
        <v>350</v>
      </c>
      <c r="P292" s="314" t="s">
        <v>161</v>
      </c>
      <c r="Q292" s="315">
        <v>45145.8316435185</v>
      </c>
      <c r="R292" s="315">
        <v>45146.0242013889</v>
      </c>
      <c r="S292" s="314" t="s">
        <v>1245</v>
      </c>
      <c r="T292" s="314" t="s">
        <v>1246</v>
      </c>
      <c r="U292" s="314" t="s">
        <v>1246</v>
      </c>
      <c r="V292" s="314" t="s">
        <v>114</v>
      </c>
      <c r="W292" s="314"/>
      <c r="X292" s="314" t="str">
        <f>VLOOKUP(D292,代理总表!A:D,3,0)</f>
        <v>官网</v>
      </c>
      <c r="Y292" t="str">
        <f>VLOOKUP(D:D,代理总表!A:D,4,FALSE)</f>
        <v>官网</v>
      </c>
      <c r="Z292">
        <f t="shared" si="12"/>
        <v>1</v>
      </c>
      <c r="AA292">
        <f t="shared" si="13"/>
        <v>19</v>
      </c>
      <c r="AB292">
        <f t="shared" si="14"/>
        <v>1</v>
      </c>
    </row>
    <row r="293" spans="1:28">
      <c r="A293" s="314" t="s">
        <v>1247</v>
      </c>
      <c r="B293" s="314"/>
      <c r="C293" s="314">
        <v>17688989220</v>
      </c>
      <c r="D293" s="314" t="s">
        <v>103</v>
      </c>
      <c r="E293" s="314" t="s">
        <v>104</v>
      </c>
      <c r="F293" s="314" t="s">
        <v>118</v>
      </c>
      <c r="G293" s="314" t="s">
        <v>108</v>
      </c>
      <c r="H293" s="314" t="s">
        <v>119</v>
      </c>
      <c r="I293" s="314" t="s">
        <v>108</v>
      </c>
      <c r="J293" s="314" t="s">
        <v>109</v>
      </c>
      <c r="K293" s="314">
        <v>0</v>
      </c>
      <c r="L293" s="314">
        <v>0</v>
      </c>
      <c r="M293" s="315">
        <v>45145.8261689815</v>
      </c>
      <c r="N293" s="314" t="s">
        <v>1248</v>
      </c>
      <c r="O293" s="314" t="s">
        <v>350</v>
      </c>
      <c r="P293" s="314" t="s">
        <v>161</v>
      </c>
      <c r="Q293" s="314" t="s">
        <v>123</v>
      </c>
      <c r="R293" s="315">
        <v>45145.8261574074</v>
      </c>
      <c r="S293" s="314" t="s">
        <v>1248</v>
      </c>
      <c r="T293" s="314" t="s">
        <v>477</v>
      </c>
      <c r="U293" s="314" t="s">
        <v>477</v>
      </c>
      <c r="V293" s="314" t="s">
        <v>114</v>
      </c>
      <c r="W293" s="314"/>
      <c r="X293" s="314" t="str">
        <f>VLOOKUP(D293,代理总表!A:D,3,0)</f>
        <v>官网</v>
      </c>
      <c r="Y293" t="str">
        <f>VLOOKUP(D:D,代理总表!A:D,4,FALSE)</f>
        <v>官网</v>
      </c>
      <c r="Z293">
        <f t="shared" si="12"/>
        <v>0</v>
      </c>
      <c r="AA293">
        <f t="shared" si="13"/>
        <v>19</v>
      </c>
      <c r="AB293">
        <f t="shared" si="14"/>
        <v>1</v>
      </c>
    </row>
    <row r="294" spans="1:28">
      <c r="A294" s="314" t="s">
        <v>1249</v>
      </c>
      <c r="B294" s="314" t="s">
        <v>1250</v>
      </c>
      <c r="C294" s="314">
        <v>13929962598</v>
      </c>
      <c r="D294" s="314" t="s">
        <v>235</v>
      </c>
      <c r="E294" s="314" t="s">
        <v>104</v>
      </c>
      <c r="F294" s="314" t="s">
        <v>149</v>
      </c>
      <c r="G294" s="314" t="s">
        <v>108</v>
      </c>
      <c r="H294" s="314" t="s">
        <v>119</v>
      </c>
      <c r="I294" s="314" t="s">
        <v>108</v>
      </c>
      <c r="J294" s="314" t="s">
        <v>109</v>
      </c>
      <c r="K294" s="314">
        <v>0</v>
      </c>
      <c r="L294" s="314">
        <v>0</v>
      </c>
      <c r="M294" s="315">
        <v>45145.8255671296</v>
      </c>
      <c r="N294" s="314" t="s">
        <v>1251</v>
      </c>
      <c r="O294" s="314" t="s">
        <v>237</v>
      </c>
      <c r="P294" s="314" t="s">
        <v>112</v>
      </c>
      <c r="Q294" s="314" t="s">
        <v>123</v>
      </c>
      <c r="R294" s="315">
        <v>45145.8265972222</v>
      </c>
      <c r="S294" s="314" t="s">
        <v>1251</v>
      </c>
      <c r="T294" s="314" t="s">
        <v>152</v>
      </c>
      <c r="U294" s="314" t="s">
        <v>152</v>
      </c>
      <c r="V294" s="314" t="s">
        <v>114</v>
      </c>
      <c r="W294" s="314"/>
      <c r="X294" s="314" t="str">
        <f>VLOOKUP(D294,代理总表!A:D,3,0)</f>
        <v>aber</v>
      </c>
      <c r="Y294" t="str">
        <f>VLOOKUP(D:D,代理总表!A:D,4,FALSE)</f>
        <v>SEO</v>
      </c>
      <c r="Z294">
        <f t="shared" si="12"/>
        <v>0</v>
      </c>
      <c r="AA294">
        <f t="shared" si="13"/>
        <v>19</v>
      </c>
      <c r="AB294">
        <f t="shared" si="14"/>
        <v>1</v>
      </c>
    </row>
    <row r="295" spans="1:28">
      <c r="A295" s="314" t="s">
        <v>1252</v>
      </c>
      <c r="B295" s="314"/>
      <c r="C295" s="314"/>
      <c r="D295" s="314" t="s">
        <v>197</v>
      </c>
      <c r="E295" s="314" t="s">
        <v>117</v>
      </c>
      <c r="F295" s="314" t="s">
        <v>118</v>
      </c>
      <c r="G295" s="314" t="s">
        <v>108</v>
      </c>
      <c r="H295" s="314" t="s">
        <v>119</v>
      </c>
      <c r="I295" s="314" t="s">
        <v>108</v>
      </c>
      <c r="J295" s="314" t="s">
        <v>120</v>
      </c>
      <c r="K295" s="314">
        <v>0</v>
      </c>
      <c r="L295" s="314">
        <v>0</v>
      </c>
      <c r="M295" s="315">
        <v>45145.8240277778</v>
      </c>
      <c r="N295" s="314" t="s">
        <v>1253</v>
      </c>
      <c r="O295" s="314" t="s">
        <v>875</v>
      </c>
      <c r="P295" s="314" t="s">
        <v>112</v>
      </c>
      <c r="Q295" s="314" t="s">
        <v>123</v>
      </c>
      <c r="R295" s="315">
        <v>45145.8240277778</v>
      </c>
      <c r="S295" s="314" t="s">
        <v>1253</v>
      </c>
      <c r="T295" s="314" t="s">
        <v>131</v>
      </c>
      <c r="U295" s="314" t="s">
        <v>131</v>
      </c>
      <c r="V295" s="314" t="s">
        <v>114</v>
      </c>
      <c r="W295" s="314"/>
      <c r="X295" s="314" t="str">
        <f>VLOOKUP(D295,代理总表!A:D,3,0)</f>
        <v>雨燕直播-越</v>
      </c>
      <c r="Y295" t="str">
        <f>VLOOKUP(D:D,代理总表!A:D,4,FALSE)</f>
        <v>雨燕直播-越ffvn66</v>
      </c>
      <c r="Z295">
        <f t="shared" si="12"/>
        <v>0</v>
      </c>
      <c r="AA295">
        <f t="shared" si="13"/>
        <v>19</v>
      </c>
      <c r="AB295">
        <f t="shared" si="14"/>
        <v>1</v>
      </c>
    </row>
    <row r="296" spans="1:28">
      <c r="A296" s="314" t="s">
        <v>1254</v>
      </c>
      <c r="B296" s="314"/>
      <c r="C296" s="314">
        <v>865565517</v>
      </c>
      <c r="D296" s="314" t="s">
        <v>137</v>
      </c>
      <c r="E296" s="314" t="s">
        <v>117</v>
      </c>
      <c r="F296" s="314" t="s">
        <v>118</v>
      </c>
      <c r="G296" s="314" t="s">
        <v>108</v>
      </c>
      <c r="H296" s="314" t="s">
        <v>119</v>
      </c>
      <c r="I296" s="314" t="s">
        <v>108</v>
      </c>
      <c r="J296" s="314" t="s">
        <v>120</v>
      </c>
      <c r="K296" s="314">
        <v>0</v>
      </c>
      <c r="L296" s="314">
        <v>0</v>
      </c>
      <c r="M296" s="315">
        <v>45145.8228703704</v>
      </c>
      <c r="N296" s="314" t="s">
        <v>1255</v>
      </c>
      <c r="O296" s="314" t="s">
        <v>139</v>
      </c>
      <c r="P296" s="314" t="s">
        <v>112</v>
      </c>
      <c r="Q296" s="314" t="s">
        <v>123</v>
      </c>
      <c r="R296" s="315">
        <v>45145.8228703704</v>
      </c>
      <c r="S296" s="314" t="s">
        <v>1255</v>
      </c>
      <c r="T296" s="314" t="s">
        <v>743</v>
      </c>
      <c r="U296" s="314" t="s">
        <v>743</v>
      </c>
      <c r="V296" s="314" t="s">
        <v>114</v>
      </c>
      <c r="W296" s="314"/>
      <c r="X296" s="314" t="str">
        <f>VLOOKUP(D296,代理总表!A:D,3,0)</f>
        <v>雨燕直播-越</v>
      </c>
      <c r="Y296" t="str">
        <f>VLOOKUP(D:D,代理总表!A:D,4,FALSE)</f>
        <v>雨燕直播-越ffvn66</v>
      </c>
      <c r="Z296">
        <f t="shared" si="12"/>
        <v>0</v>
      </c>
      <c r="AA296">
        <f t="shared" si="13"/>
        <v>19</v>
      </c>
      <c r="AB296">
        <f t="shared" si="14"/>
        <v>1</v>
      </c>
    </row>
    <row r="297" spans="1:28">
      <c r="A297" s="314" t="s">
        <v>1256</v>
      </c>
      <c r="B297" s="314"/>
      <c r="C297" s="314">
        <v>13631035610</v>
      </c>
      <c r="D297" s="314" t="s">
        <v>103</v>
      </c>
      <c r="E297" s="314" t="s">
        <v>104</v>
      </c>
      <c r="F297" s="314" t="s">
        <v>118</v>
      </c>
      <c r="G297" s="314" t="s">
        <v>108</v>
      </c>
      <c r="H297" s="314" t="s">
        <v>119</v>
      </c>
      <c r="I297" s="314" t="s">
        <v>108</v>
      </c>
      <c r="J297" s="314" t="s">
        <v>109</v>
      </c>
      <c r="K297" s="314">
        <v>0</v>
      </c>
      <c r="L297" s="314">
        <v>0</v>
      </c>
      <c r="M297" s="315">
        <v>45145.8227314815</v>
      </c>
      <c r="N297" s="314" t="s">
        <v>1257</v>
      </c>
      <c r="O297" s="314" t="s">
        <v>384</v>
      </c>
      <c r="P297" s="314" t="s">
        <v>161</v>
      </c>
      <c r="Q297" s="314" t="s">
        <v>123</v>
      </c>
      <c r="R297" s="315">
        <v>45145.8227314815</v>
      </c>
      <c r="S297" s="314" t="s">
        <v>1257</v>
      </c>
      <c r="T297" s="314" t="s">
        <v>324</v>
      </c>
      <c r="U297" s="314" t="s">
        <v>324</v>
      </c>
      <c r="V297" s="314" t="s">
        <v>114</v>
      </c>
      <c r="W297" s="314"/>
      <c r="X297" s="314" t="str">
        <f>VLOOKUP(D297,代理总表!A:D,3,0)</f>
        <v>官网</v>
      </c>
      <c r="Y297" t="str">
        <f>VLOOKUP(D:D,代理总表!A:D,4,FALSE)</f>
        <v>官网</v>
      </c>
      <c r="Z297">
        <f t="shared" si="12"/>
        <v>0</v>
      </c>
      <c r="AA297">
        <f t="shared" si="13"/>
        <v>19</v>
      </c>
      <c r="AB297">
        <f t="shared" si="14"/>
        <v>1</v>
      </c>
    </row>
    <row r="298" spans="1:28">
      <c r="A298" s="314" t="s">
        <v>1258</v>
      </c>
      <c r="B298" s="314"/>
      <c r="C298" s="314"/>
      <c r="D298" s="314" t="s">
        <v>1259</v>
      </c>
      <c r="E298" s="314" t="s">
        <v>104</v>
      </c>
      <c r="F298" s="314" t="s">
        <v>149</v>
      </c>
      <c r="G298" s="314" t="s">
        <v>108</v>
      </c>
      <c r="H298" s="314" t="s">
        <v>119</v>
      </c>
      <c r="I298" s="314" t="s">
        <v>108</v>
      </c>
      <c r="J298" s="314" t="s">
        <v>109</v>
      </c>
      <c r="K298" s="314">
        <v>0</v>
      </c>
      <c r="L298" s="314">
        <v>0</v>
      </c>
      <c r="M298" s="315">
        <v>45145.8222222222</v>
      </c>
      <c r="N298" s="314" t="s">
        <v>1260</v>
      </c>
      <c r="O298" s="314" t="s">
        <v>1261</v>
      </c>
      <c r="P298" s="314" t="s">
        <v>112</v>
      </c>
      <c r="Q298" s="314" t="s">
        <v>123</v>
      </c>
      <c r="R298" s="315">
        <v>45145.83</v>
      </c>
      <c r="S298" s="314" t="s">
        <v>1260</v>
      </c>
      <c r="T298" s="314" t="s">
        <v>299</v>
      </c>
      <c r="U298" s="314" t="s">
        <v>299</v>
      </c>
      <c r="V298" s="314" t="s">
        <v>114</v>
      </c>
      <c r="W298" s="314"/>
      <c r="X298" s="314" t="str">
        <f>VLOOKUP(D298,代理总表!A:D,3,0)</f>
        <v>seo转线</v>
      </c>
      <c r="Y298" t="str">
        <f>VLOOKUP(D:D,代理总表!A:D,4,FALSE)</f>
        <v>seo转线</v>
      </c>
      <c r="Z298">
        <f t="shared" si="12"/>
        <v>0</v>
      </c>
      <c r="AA298">
        <f t="shared" si="13"/>
        <v>19</v>
      </c>
      <c r="AB298">
        <f t="shared" si="14"/>
        <v>1</v>
      </c>
    </row>
    <row r="299" spans="1:28">
      <c r="A299" s="314" t="s">
        <v>1262</v>
      </c>
      <c r="B299" s="314"/>
      <c r="C299" s="314"/>
      <c r="D299" s="314" t="s">
        <v>1259</v>
      </c>
      <c r="E299" s="314" t="s">
        <v>104</v>
      </c>
      <c r="F299" s="314" t="s">
        <v>149</v>
      </c>
      <c r="G299" s="314" t="s">
        <v>108</v>
      </c>
      <c r="H299" s="314" t="s">
        <v>119</v>
      </c>
      <c r="I299" s="314" t="s">
        <v>108</v>
      </c>
      <c r="J299" s="314" t="s">
        <v>109</v>
      </c>
      <c r="K299" s="314">
        <v>0</v>
      </c>
      <c r="L299" s="314">
        <v>0</v>
      </c>
      <c r="M299" s="315">
        <v>45145.8218171296</v>
      </c>
      <c r="N299" s="314" t="s">
        <v>1260</v>
      </c>
      <c r="O299" s="314" t="s">
        <v>1261</v>
      </c>
      <c r="P299" s="314" t="s">
        <v>112</v>
      </c>
      <c r="Q299" s="314" t="s">
        <v>123</v>
      </c>
      <c r="R299" s="315">
        <v>45145.826087963</v>
      </c>
      <c r="S299" s="314" t="s">
        <v>1260</v>
      </c>
      <c r="T299" s="314" t="s">
        <v>299</v>
      </c>
      <c r="U299" s="314" t="s">
        <v>299</v>
      </c>
      <c r="V299" s="314" t="s">
        <v>114</v>
      </c>
      <c r="W299" s="314"/>
      <c r="X299" s="314" t="str">
        <f>VLOOKUP(D299,代理总表!A:D,3,0)</f>
        <v>seo转线</v>
      </c>
      <c r="Y299" t="str">
        <f>VLOOKUP(D:D,代理总表!A:D,4,FALSE)</f>
        <v>seo转线</v>
      </c>
      <c r="Z299">
        <f t="shared" si="12"/>
        <v>0</v>
      </c>
      <c r="AA299">
        <f t="shared" si="13"/>
        <v>19</v>
      </c>
      <c r="AB299">
        <f t="shared" si="14"/>
        <v>1</v>
      </c>
    </row>
    <row r="300" spans="1:28">
      <c r="A300" s="314" t="s">
        <v>1263</v>
      </c>
      <c r="B300" s="314" t="s">
        <v>1264</v>
      </c>
      <c r="C300" s="314">
        <v>899185929</v>
      </c>
      <c r="D300" s="314" t="s">
        <v>1265</v>
      </c>
      <c r="E300" s="314" t="s">
        <v>117</v>
      </c>
      <c r="F300" s="314" t="s">
        <v>144</v>
      </c>
      <c r="G300" s="314" t="s">
        <v>106</v>
      </c>
      <c r="H300" s="314" t="s">
        <v>856</v>
      </c>
      <c r="I300" s="314" t="s">
        <v>108</v>
      </c>
      <c r="J300" s="314" t="s">
        <v>120</v>
      </c>
      <c r="K300" s="314">
        <v>2000000</v>
      </c>
      <c r="L300" s="314">
        <v>1230000</v>
      </c>
      <c r="M300" s="315">
        <v>45145.8217013889</v>
      </c>
      <c r="N300" s="314" t="s">
        <v>1266</v>
      </c>
      <c r="O300" s="314" t="s">
        <v>1267</v>
      </c>
      <c r="P300" s="314" t="s">
        <v>112</v>
      </c>
      <c r="Q300" s="315">
        <v>45145.8692939815</v>
      </c>
      <c r="R300" s="315">
        <v>45145.8331944444</v>
      </c>
      <c r="S300" s="314" t="s">
        <v>1266</v>
      </c>
      <c r="T300" s="314" t="s">
        <v>131</v>
      </c>
      <c r="U300" s="314" t="s">
        <v>131</v>
      </c>
      <c r="V300" s="314" t="s">
        <v>114</v>
      </c>
      <c r="W300" s="314"/>
      <c r="X300" s="314" t="e">
        <f>VLOOKUP(D300,代理总表!A:D,3,0)</f>
        <v>#N/A</v>
      </c>
      <c r="Y300" t="e">
        <f>VLOOKUP(D:D,代理总表!A:D,4,FALSE)</f>
        <v>#N/A</v>
      </c>
      <c r="Z300">
        <f t="shared" si="12"/>
        <v>1</v>
      </c>
      <c r="AA300">
        <f t="shared" si="13"/>
        <v>19</v>
      </c>
      <c r="AB300">
        <f t="shared" si="14"/>
        <v>1</v>
      </c>
    </row>
    <row r="301" spans="1:28">
      <c r="A301" s="314" t="s">
        <v>1268</v>
      </c>
      <c r="B301" s="314"/>
      <c r="C301" s="314"/>
      <c r="D301" s="314" t="s">
        <v>550</v>
      </c>
      <c r="E301" s="314" t="s">
        <v>117</v>
      </c>
      <c r="F301" s="314" t="s">
        <v>118</v>
      </c>
      <c r="G301" s="314" t="s">
        <v>108</v>
      </c>
      <c r="H301" s="314" t="s">
        <v>119</v>
      </c>
      <c r="I301" s="314" t="s">
        <v>108</v>
      </c>
      <c r="J301" s="314" t="s">
        <v>120</v>
      </c>
      <c r="K301" s="314">
        <v>0</v>
      </c>
      <c r="L301" s="314">
        <v>0</v>
      </c>
      <c r="M301" s="315">
        <v>45145.82125</v>
      </c>
      <c r="N301" s="314" t="s">
        <v>1269</v>
      </c>
      <c r="O301" s="314" t="s">
        <v>603</v>
      </c>
      <c r="P301" s="314" t="s">
        <v>112</v>
      </c>
      <c r="Q301" s="314" t="s">
        <v>123</v>
      </c>
      <c r="R301" s="315">
        <v>45145.8237037037</v>
      </c>
      <c r="S301" s="314" t="s">
        <v>1270</v>
      </c>
      <c r="T301" s="314" t="s">
        <v>131</v>
      </c>
      <c r="U301" s="314" t="s">
        <v>131</v>
      </c>
      <c r="V301" s="314" t="s">
        <v>114</v>
      </c>
      <c r="W301" s="314"/>
      <c r="X301" s="314" t="str">
        <f>VLOOKUP(D301,代理总表!A:D,3,0)</f>
        <v>SOCO越南直播</v>
      </c>
      <c r="Y301" t="str">
        <f>VLOOKUP(D:D,代理总表!A:D,4,FALSE)</f>
        <v>SOCO越南直播ffvn66</v>
      </c>
      <c r="Z301">
        <f t="shared" si="12"/>
        <v>0</v>
      </c>
      <c r="AA301">
        <f t="shared" si="13"/>
        <v>19</v>
      </c>
      <c r="AB301">
        <f t="shared" si="14"/>
        <v>1</v>
      </c>
    </row>
    <row r="302" spans="1:28">
      <c r="A302" s="314" t="s">
        <v>1271</v>
      </c>
      <c r="B302" s="314" t="s">
        <v>1272</v>
      </c>
      <c r="C302" s="314">
        <v>964233953</v>
      </c>
      <c r="D302" s="314" t="s">
        <v>1273</v>
      </c>
      <c r="E302" s="314" t="s">
        <v>117</v>
      </c>
      <c r="F302" s="314" t="s">
        <v>105</v>
      </c>
      <c r="G302" s="314" t="s">
        <v>106</v>
      </c>
      <c r="H302" s="314" t="s">
        <v>107</v>
      </c>
      <c r="I302" s="314" t="s">
        <v>108</v>
      </c>
      <c r="J302" s="314" t="s">
        <v>120</v>
      </c>
      <c r="K302" s="314">
        <v>1498420</v>
      </c>
      <c r="L302" s="314">
        <v>600000</v>
      </c>
      <c r="M302" s="315">
        <v>45145.8208680556</v>
      </c>
      <c r="N302" s="314" t="s">
        <v>1274</v>
      </c>
      <c r="O302" s="314" t="s">
        <v>1275</v>
      </c>
      <c r="P302" s="314" t="s">
        <v>112</v>
      </c>
      <c r="Q302" s="315">
        <v>45145.8463657407</v>
      </c>
      <c r="R302" s="315">
        <v>45146.0935069444</v>
      </c>
      <c r="S302" s="314" t="s">
        <v>1274</v>
      </c>
      <c r="T302" s="314" t="s">
        <v>131</v>
      </c>
      <c r="U302" s="314" t="s">
        <v>131</v>
      </c>
      <c r="V302" s="314" t="s">
        <v>114</v>
      </c>
      <c r="W302" s="314"/>
      <c r="X302" s="314" t="str">
        <f>VLOOKUP(D302,代理总表!A:D,3,0)</f>
        <v>酷币</v>
      </c>
      <c r="Y302" t="str">
        <f>VLOOKUP(D:D,代理总表!A:D,4,FALSE)</f>
        <v>酷币btydl0032</v>
      </c>
      <c r="Z302">
        <f t="shared" si="12"/>
        <v>1</v>
      </c>
      <c r="AA302">
        <f t="shared" si="13"/>
        <v>19</v>
      </c>
      <c r="AB302">
        <f t="shared" si="14"/>
        <v>1</v>
      </c>
    </row>
    <row r="303" spans="1:28">
      <c r="A303" s="314" t="s">
        <v>1276</v>
      </c>
      <c r="B303" s="314"/>
      <c r="C303" s="314">
        <v>15801493751</v>
      </c>
      <c r="D303" s="314" t="s">
        <v>148</v>
      </c>
      <c r="E303" s="314" t="s">
        <v>104</v>
      </c>
      <c r="F303" s="314" t="s">
        <v>149</v>
      </c>
      <c r="G303" s="314" t="s">
        <v>108</v>
      </c>
      <c r="H303" s="314" t="s">
        <v>119</v>
      </c>
      <c r="I303" s="314" t="s">
        <v>108</v>
      </c>
      <c r="J303" s="314" t="s">
        <v>109</v>
      </c>
      <c r="K303" s="314">
        <v>0</v>
      </c>
      <c r="L303" s="314">
        <v>0</v>
      </c>
      <c r="M303" s="315">
        <v>45145.8205671296</v>
      </c>
      <c r="N303" s="314" t="s">
        <v>1277</v>
      </c>
      <c r="O303" s="314" t="s">
        <v>160</v>
      </c>
      <c r="P303" s="314" t="s">
        <v>161</v>
      </c>
      <c r="Q303" s="314" t="s">
        <v>123</v>
      </c>
      <c r="R303" s="315">
        <v>45146.020775463</v>
      </c>
      <c r="S303" s="314" t="s">
        <v>1277</v>
      </c>
      <c r="T303" s="314" t="s">
        <v>1278</v>
      </c>
      <c r="U303" s="314" t="s">
        <v>1278</v>
      </c>
      <c r="V303" s="314" t="s">
        <v>114</v>
      </c>
      <c r="W303" s="314"/>
      <c r="X303" s="314" t="str">
        <f>VLOOKUP(D303,代理总表!A:D,3,0)</f>
        <v>martin</v>
      </c>
      <c r="Y303" t="str">
        <f>VLOOKUP(D:D,代理总表!A:D,4,FALSE)</f>
        <v>SEO</v>
      </c>
      <c r="Z303">
        <f t="shared" si="12"/>
        <v>0</v>
      </c>
      <c r="AA303">
        <f t="shared" si="13"/>
        <v>19</v>
      </c>
      <c r="AB303">
        <f t="shared" si="14"/>
        <v>1</v>
      </c>
    </row>
    <row r="304" spans="1:28">
      <c r="A304" s="314" t="s">
        <v>1279</v>
      </c>
      <c r="B304" s="314" t="s">
        <v>1280</v>
      </c>
      <c r="C304" s="314">
        <v>985742635</v>
      </c>
      <c r="D304" s="314" t="s">
        <v>143</v>
      </c>
      <c r="E304" s="314" t="s">
        <v>117</v>
      </c>
      <c r="F304" s="314" t="s">
        <v>118</v>
      </c>
      <c r="G304" s="314" t="s">
        <v>108</v>
      </c>
      <c r="H304" s="314" t="s">
        <v>119</v>
      </c>
      <c r="I304" s="314" t="s">
        <v>108</v>
      </c>
      <c r="J304" s="314" t="s">
        <v>120</v>
      </c>
      <c r="K304" s="314">
        <v>0</v>
      </c>
      <c r="L304" s="314">
        <v>0</v>
      </c>
      <c r="M304" s="315">
        <v>45145.8204398148</v>
      </c>
      <c r="N304" s="314" t="s">
        <v>1281</v>
      </c>
      <c r="O304" s="314" t="s">
        <v>407</v>
      </c>
      <c r="P304" s="314" t="s">
        <v>161</v>
      </c>
      <c r="Q304" s="314" t="s">
        <v>123</v>
      </c>
      <c r="R304" s="315">
        <v>45145.8204282407</v>
      </c>
      <c r="S304" s="314" t="s">
        <v>1281</v>
      </c>
      <c r="T304" s="314" t="s">
        <v>131</v>
      </c>
      <c r="U304" s="314" t="s">
        <v>131</v>
      </c>
      <c r="V304" s="314" t="s">
        <v>114</v>
      </c>
      <c r="W304" s="314"/>
      <c r="X304" s="314" t="str">
        <f>VLOOKUP(D304,代理总表!A:D,3,0)</f>
        <v>雨燕直播-越</v>
      </c>
      <c r="Y304" t="str">
        <f>VLOOKUP(D:D,代理总表!A:D,4,FALSE)</f>
        <v>雨燕直播-越ffvn66</v>
      </c>
      <c r="Z304">
        <f t="shared" si="12"/>
        <v>0</v>
      </c>
      <c r="AA304">
        <f t="shared" si="13"/>
        <v>19</v>
      </c>
      <c r="AB304">
        <f t="shared" si="14"/>
        <v>1</v>
      </c>
    </row>
    <row r="305" spans="1:28">
      <c r="A305" s="314" t="s">
        <v>1282</v>
      </c>
      <c r="B305" s="314"/>
      <c r="C305" s="314">
        <v>15727205757</v>
      </c>
      <c r="D305" s="314" t="s">
        <v>1283</v>
      </c>
      <c r="E305" s="314" t="s">
        <v>104</v>
      </c>
      <c r="F305" s="314" t="s">
        <v>118</v>
      </c>
      <c r="G305" s="314" t="s">
        <v>108</v>
      </c>
      <c r="H305" s="314" t="s">
        <v>119</v>
      </c>
      <c r="I305" s="314" t="s">
        <v>108</v>
      </c>
      <c r="J305" s="314" t="s">
        <v>109</v>
      </c>
      <c r="K305" s="314">
        <v>0</v>
      </c>
      <c r="L305" s="314">
        <v>0</v>
      </c>
      <c r="M305" s="315">
        <v>45145.8192939815</v>
      </c>
      <c r="N305" s="314" t="s">
        <v>1284</v>
      </c>
      <c r="O305" s="314" t="s">
        <v>1285</v>
      </c>
      <c r="P305" s="314" t="s">
        <v>112</v>
      </c>
      <c r="Q305" s="314" t="s">
        <v>123</v>
      </c>
      <c r="R305" s="315">
        <v>45145.8192824074</v>
      </c>
      <c r="S305" s="314" t="s">
        <v>1284</v>
      </c>
      <c r="T305" s="314" t="s">
        <v>347</v>
      </c>
      <c r="U305" s="314" t="s">
        <v>347</v>
      </c>
      <c r="V305" s="314" t="s">
        <v>114</v>
      </c>
      <c r="W305" s="314"/>
      <c r="X305" s="314" t="str">
        <f>VLOOKUP(D305,代理总表!A:D,3,0)</f>
        <v>GT-B直播</v>
      </c>
      <c r="Y305" t="str">
        <f>VLOOKUP(D:D,代理总表!A:D,4,FALSE)</f>
        <v>B直播gt6688</v>
      </c>
      <c r="Z305">
        <f t="shared" si="12"/>
        <v>0</v>
      </c>
      <c r="AA305">
        <f t="shared" si="13"/>
        <v>19</v>
      </c>
      <c r="AB305">
        <f t="shared" si="14"/>
        <v>1</v>
      </c>
    </row>
    <row r="306" spans="1:28">
      <c r="A306" s="314" t="s">
        <v>1286</v>
      </c>
      <c r="B306" s="314"/>
      <c r="C306" s="314">
        <v>16602377786</v>
      </c>
      <c r="D306" s="314" t="s">
        <v>375</v>
      </c>
      <c r="E306" s="314" t="s">
        <v>104</v>
      </c>
      <c r="F306" s="314" t="s">
        <v>118</v>
      </c>
      <c r="G306" s="314" t="s">
        <v>108</v>
      </c>
      <c r="H306" s="314" t="s">
        <v>119</v>
      </c>
      <c r="I306" s="314" t="s">
        <v>108</v>
      </c>
      <c r="J306" s="314" t="s">
        <v>109</v>
      </c>
      <c r="K306" s="314">
        <v>0</v>
      </c>
      <c r="L306" s="314">
        <v>0</v>
      </c>
      <c r="M306" s="315">
        <v>45145.8186574074</v>
      </c>
      <c r="N306" s="314" t="s">
        <v>1287</v>
      </c>
      <c r="O306" s="314" t="s">
        <v>377</v>
      </c>
      <c r="P306" s="314" t="s">
        <v>161</v>
      </c>
      <c r="Q306" s="314" t="s">
        <v>123</v>
      </c>
      <c r="R306" s="315">
        <v>45145.8186574074</v>
      </c>
      <c r="S306" s="314" t="s">
        <v>1287</v>
      </c>
      <c r="T306" s="314" t="s">
        <v>599</v>
      </c>
      <c r="U306" s="314" t="s">
        <v>599</v>
      </c>
      <c r="V306" s="314" t="s">
        <v>114</v>
      </c>
      <c r="W306" s="314"/>
      <c r="X306" s="314" t="e">
        <f>VLOOKUP(D306,代理总表!A:D,3,0)</f>
        <v>#N/A</v>
      </c>
      <c r="Y306" t="e">
        <f>VLOOKUP(D:D,代理总表!A:D,4,FALSE)</f>
        <v>#N/A</v>
      </c>
      <c r="Z306">
        <f t="shared" si="12"/>
        <v>0</v>
      </c>
      <c r="AA306">
        <f t="shared" si="13"/>
        <v>19</v>
      </c>
      <c r="AB306">
        <f t="shared" si="14"/>
        <v>1</v>
      </c>
    </row>
    <row r="307" spans="1:28">
      <c r="A307" s="314" t="s">
        <v>1288</v>
      </c>
      <c r="B307" s="314"/>
      <c r="C307" s="314">
        <v>18323774734</v>
      </c>
      <c r="D307" s="314" t="s">
        <v>1048</v>
      </c>
      <c r="E307" s="314" t="s">
        <v>104</v>
      </c>
      <c r="F307" s="314" t="s">
        <v>149</v>
      </c>
      <c r="G307" s="314" t="s">
        <v>108</v>
      </c>
      <c r="H307" s="314" t="s">
        <v>119</v>
      </c>
      <c r="I307" s="314" t="s">
        <v>108</v>
      </c>
      <c r="J307" s="314" t="s">
        <v>109</v>
      </c>
      <c r="K307" s="314">
        <v>0</v>
      </c>
      <c r="L307" s="314">
        <v>0</v>
      </c>
      <c r="M307" s="315">
        <v>45145.8182638889</v>
      </c>
      <c r="N307" s="314" t="s">
        <v>1289</v>
      </c>
      <c r="O307" s="314" t="s">
        <v>1050</v>
      </c>
      <c r="P307" s="314" t="s">
        <v>112</v>
      </c>
      <c r="Q307" s="314" t="s">
        <v>123</v>
      </c>
      <c r="R307" s="315">
        <v>45145.8182523148</v>
      </c>
      <c r="S307" s="314" t="s">
        <v>1289</v>
      </c>
      <c r="T307" s="314" t="s">
        <v>324</v>
      </c>
      <c r="U307" s="314" t="s">
        <v>324</v>
      </c>
      <c r="V307" s="314" t="s">
        <v>114</v>
      </c>
      <c r="W307" s="314"/>
      <c r="X307" s="314" t="str">
        <f>VLOOKUP(D307,代理总表!A:D,3,0)</f>
        <v>米乐转线</v>
      </c>
      <c r="Y307" t="str">
        <f>VLOOKUP(D:D,代理总表!A:D,4,FALSE)</f>
        <v>SEO</v>
      </c>
      <c r="Z307">
        <f t="shared" si="12"/>
        <v>0</v>
      </c>
      <c r="AA307">
        <f t="shared" si="13"/>
        <v>19</v>
      </c>
      <c r="AB307">
        <f t="shared" si="14"/>
        <v>1</v>
      </c>
    </row>
    <row r="308" spans="1:28">
      <c r="A308" s="314" t="s">
        <v>1290</v>
      </c>
      <c r="B308" s="314"/>
      <c r="C308" s="314">
        <v>18959501525</v>
      </c>
      <c r="D308" s="314" t="s">
        <v>148</v>
      </c>
      <c r="E308" s="314" t="s">
        <v>104</v>
      </c>
      <c r="F308" s="314" t="s">
        <v>149</v>
      </c>
      <c r="G308" s="314" t="s">
        <v>108</v>
      </c>
      <c r="H308" s="314" t="s">
        <v>119</v>
      </c>
      <c r="I308" s="314" t="s">
        <v>108</v>
      </c>
      <c r="J308" s="314" t="s">
        <v>109</v>
      </c>
      <c r="K308" s="314">
        <v>0</v>
      </c>
      <c r="L308" s="314">
        <v>0</v>
      </c>
      <c r="M308" s="315">
        <v>45145.8178125</v>
      </c>
      <c r="N308" s="314" t="s">
        <v>1291</v>
      </c>
      <c r="O308" s="314" t="s">
        <v>585</v>
      </c>
      <c r="P308" s="314" t="s">
        <v>112</v>
      </c>
      <c r="Q308" s="314" t="s">
        <v>123</v>
      </c>
      <c r="R308" s="315">
        <v>45145.8178125</v>
      </c>
      <c r="S308" s="314" t="s">
        <v>1291</v>
      </c>
      <c r="T308" s="314" t="s">
        <v>1292</v>
      </c>
      <c r="U308" s="314" t="s">
        <v>1292</v>
      </c>
      <c r="V308" s="314" t="s">
        <v>114</v>
      </c>
      <c r="W308" s="314"/>
      <c r="X308" s="314" t="str">
        <f>VLOOKUP(D308,代理总表!A:D,3,0)</f>
        <v>martin</v>
      </c>
      <c r="Y308" t="str">
        <f>VLOOKUP(D:D,代理总表!A:D,4,FALSE)</f>
        <v>SEO</v>
      </c>
      <c r="Z308">
        <f t="shared" si="12"/>
        <v>0</v>
      </c>
      <c r="AA308">
        <f t="shared" si="13"/>
        <v>19</v>
      </c>
      <c r="AB308">
        <f t="shared" si="14"/>
        <v>1</v>
      </c>
    </row>
    <row r="309" spans="1:28">
      <c r="A309" s="314" t="s">
        <v>1293</v>
      </c>
      <c r="B309" s="314"/>
      <c r="C309" s="314">
        <v>19972665974</v>
      </c>
      <c r="D309" s="314" t="s">
        <v>1294</v>
      </c>
      <c r="E309" s="314" t="s">
        <v>1295</v>
      </c>
      <c r="F309" s="314" t="s">
        <v>118</v>
      </c>
      <c r="G309" s="314" t="s">
        <v>108</v>
      </c>
      <c r="H309" s="314" t="s">
        <v>119</v>
      </c>
      <c r="I309" s="314" t="s">
        <v>108</v>
      </c>
      <c r="J309" s="314" t="s">
        <v>109</v>
      </c>
      <c r="K309" s="314">
        <v>0</v>
      </c>
      <c r="L309" s="314">
        <v>0</v>
      </c>
      <c r="M309" s="315">
        <v>45145.816724537</v>
      </c>
      <c r="N309" s="314" t="s">
        <v>1296</v>
      </c>
      <c r="O309" s="314" t="s">
        <v>1297</v>
      </c>
      <c r="P309" s="314" t="s">
        <v>339</v>
      </c>
      <c r="Q309" s="314" t="s">
        <v>123</v>
      </c>
      <c r="R309" s="315">
        <v>45145.816712963</v>
      </c>
      <c r="S309" s="314" t="s">
        <v>1296</v>
      </c>
      <c r="T309" s="314" t="s">
        <v>1298</v>
      </c>
      <c r="U309" s="314" t="s">
        <v>1298</v>
      </c>
      <c r="V309" s="314" t="s">
        <v>114</v>
      </c>
      <c r="W309" s="314"/>
      <c r="X309" s="314" t="str">
        <f>VLOOKUP(D309,代理总表!A:D,3,0)</f>
        <v>GT-骨头</v>
      </c>
      <c r="Y309" t="str">
        <f>VLOOKUP(D:D,代理总表!A:D,4,FALSE)</f>
        <v>B直播gt6677</v>
      </c>
      <c r="Z309">
        <f t="shared" si="12"/>
        <v>0</v>
      </c>
      <c r="AA309">
        <f t="shared" si="13"/>
        <v>19</v>
      </c>
      <c r="AB309">
        <f t="shared" si="14"/>
        <v>1</v>
      </c>
    </row>
    <row r="310" spans="1:28">
      <c r="A310" s="314" t="s">
        <v>1299</v>
      </c>
      <c r="B310" s="314" t="s">
        <v>1300</v>
      </c>
      <c r="C310" s="314">
        <v>13259859006</v>
      </c>
      <c r="D310" s="314" t="s">
        <v>285</v>
      </c>
      <c r="E310" s="314" t="s">
        <v>104</v>
      </c>
      <c r="F310" s="314" t="s">
        <v>144</v>
      </c>
      <c r="G310" s="314" t="s">
        <v>106</v>
      </c>
      <c r="H310" s="314" t="s">
        <v>107</v>
      </c>
      <c r="I310" s="314" t="s">
        <v>108</v>
      </c>
      <c r="J310" s="314" t="s">
        <v>109</v>
      </c>
      <c r="K310" s="314">
        <v>330</v>
      </c>
      <c r="L310" s="314">
        <v>300</v>
      </c>
      <c r="M310" s="315">
        <v>45145.8165393519</v>
      </c>
      <c r="N310" s="314" t="s">
        <v>1301</v>
      </c>
      <c r="O310" s="314" t="s">
        <v>287</v>
      </c>
      <c r="P310" s="314" t="s">
        <v>112</v>
      </c>
      <c r="Q310" s="315">
        <v>45145.8274652778</v>
      </c>
      <c r="R310" s="315">
        <v>45146.3322453704</v>
      </c>
      <c r="S310" s="314" t="s">
        <v>1302</v>
      </c>
      <c r="T310" s="314" t="s">
        <v>472</v>
      </c>
      <c r="U310" s="314" t="s">
        <v>1303</v>
      </c>
      <c r="V310" s="314" t="s">
        <v>114</v>
      </c>
      <c r="W310" s="314"/>
      <c r="X310" s="314" t="str">
        <f>VLOOKUP(D310,代理总表!A:D,3,0)</f>
        <v>雨燕直播</v>
      </c>
      <c r="Y310" t="str">
        <f>VLOOKUP(D:D,代理总表!A:D,4,FALSE)</f>
        <v>雨燕直播zzzb888</v>
      </c>
      <c r="Z310">
        <f t="shared" si="12"/>
        <v>1</v>
      </c>
      <c r="AA310">
        <f t="shared" si="13"/>
        <v>19</v>
      </c>
      <c r="AB310">
        <f t="shared" si="14"/>
        <v>1</v>
      </c>
    </row>
    <row r="311" spans="1:28">
      <c r="A311" s="314" t="s">
        <v>1304</v>
      </c>
      <c r="B311" s="314"/>
      <c r="C311" s="314">
        <v>898705598</v>
      </c>
      <c r="D311" s="314" t="s">
        <v>197</v>
      </c>
      <c r="E311" s="314" t="s">
        <v>117</v>
      </c>
      <c r="F311" s="314" t="s">
        <v>118</v>
      </c>
      <c r="G311" s="314" t="s">
        <v>108</v>
      </c>
      <c r="H311" s="314" t="s">
        <v>119</v>
      </c>
      <c r="I311" s="314" t="s">
        <v>108</v>
      </c>
      <c r="J311" s="314" t="s">
        <v>120</v>
      </c>
      <c r="K311" s="314">
        <v>0</v>
      </c>
      <c r="L311" s="314">
        <v>0</v>
      </c>
      <c r="M311" s="315">
        <v>45145.8158796296</v>
      </c>
      <c r="N311" s="314" t="s">
        <v>1305</v>
      </c>
      <c r="O311" s="314" t="s">
        <v>875</v>
      </c>
      <c r="P311" s="314" t="s">
        <v>112</v>
      </c>
      <c r="Q311" s="314" t="s">
        <v>123</v>
      </c>
      <c r="R311" s="315">
        <v>45145.8551736111</v>
      </c>
      <c r="S311" s="314" t="s">
        <v>1305</v>
      </c>
      <c r="T311" s="314" t="s">
        <v>131</v>
      </c>
      <c r="U311" s="314" t="s">
        <v>131</v>
      </c>
      <c r="V311" s="314" t="s">
        <v>114</v>
      </c>
      <c r="W311" s="314"/>
      <c r="X311" s="314" t="str">
        <f>VLOOKUP(D311,代理总表!A:D,3,0)</f>
        <v>雨燕直播-越</v>
      </c>
      <c r="Y311" t="str">
        <f>VLOOKUP(D:D,代理总表!A:D,4,FALSE)</f>
        <v>雨燕直播-越ffvn66</v>
      </c>
      <c r="Z311">
        <f t="shared" si="12"/>
        <v>0</v>
      </c>
      <c r="AA311">
        <f t="shared" si="13"/>
        <v>19</v>
      </c>
      <c r="AB311">
        <f t="shared" si="14"/>
        <v>1</v>
      </c>
    </row>
    <row r="312" spans="1:28">
      <c r="A312" s="314" t="s">
        <v>1306</v>
      </c>
      <c r="B312" s="314" t="s">
        <v>1307</v>
      </c>
      <c r="C312" s="314">
        <v>15343161199</v>
      </c>
      <c r="D312" s="314" t="s">
        <v>454</v>
      </c>
      <c r="E312" s="314" t="s">
        <v>104</v>
      </c>
      <c r="F312" s="314" t="s">
        <v>144</v>
      </c>
      <c r="G312" s="314" t="s">
        <v>106</v>
      </c>
      <c r="H312" s="314" t="s">
        <v>107</v>
      </c>
      <c r="I312" s="314" t="s">
        <v>108</v>
      </c>
      <c r="J312" s="314" t="s">
        <v>109</v>
      </c>
      <c r="K312" s="314">
        <v>30</v>
      </c>
      <c r="L312" s="314">
        <v>300</v>
      </c>
      <c r="M312" s="315">
        <v>45145.8157060185</v>
      </c>
      <c r="N312" s="314" t="s">
        <v>1308</v>
      </c>
      <c r="O312" s="314" t="s">
        <v>456</v>
      </c>
      <c r="P312" s="314" t="s">
        <v>112</v>
      </c>
      <c r="Q312" s="315">
        <v>45145.8234143518</v>
      </c>
      <c r="R312" s="315">
        <v>45146.1173032407</v>
      </c>
      <c r="S312" s="314" t="s">
        <v>1308</v>
      </c>
      <c r="T312" s="314" t="s">
        <v>307</v>
      </c>
      <c r="U312" s="314" t="s">
        <v>307</v>
      </c>
      <c r="V312" s="314" t="s">
        <v>114</v>
      </c>
      <c r="W312" s="314"/>
      <c r="X312" s="314" t="str">
        <f>VLOOKUP(D312,代理总表!A:D,3,0)</f>
        <v>雨燕直播</v>
      </c>
      <c r="Y312" t="str">
        <f>VLOOKUP(D:D,代理总表!A:D,4,FALSE)</f>
        <v>雨燕直播zzzb888</v>
      </c>
      <c r="Z312">
        <f t="shared" si="12"/>
        <v>1</v>
      </c>
      <c r="AA312">
        <f t="shared" si="13"/>
        <v>19</v>
      </c>
      <c r="AB312">
        <f t="shared" si="14"/>
        <v>1</v>
      </c>
    </row>
    <row r="313" spans="1:28">
      <c r="A313" s="314" t="s">
        <v>1309</v>
      </c>
      <c r="B313" s="314"/>
      <c r="C313" s="314"/>
      <c r="D313" s="314" t="s">
        <v>197</v>
      </c>
      <c r="E313" s="314" t="s">
        <v>117</v>
      </c>
      <c r="F313" s="314" t="s">
        <v>118</v>
      </c>
      <c r="G313" s="314" t="s">
        <v>108</v>
      </c>
      <c r="H313" s="314" t="s">
        <v>119</v>
      </c>
      <c r="I313" s="314" t="s">
        <v>108</v>
      </c>
      <c r="J313" s="314" t="s">
        <v>120</v>
      </c>
      <c r="K313" s="314">
        <v>0</v>
      </c>
      <c r="L313" s="314">
        <v>0</v>
      </c>
      <c r="M313" s="315">
        <v>45145.8155902778</v>
      </c>
      <c r="N313" s="314" t="s">
        <v>1235</v>
      </c>
      <c r="O313" s="314" t="s">
        <v>875</v>
      </c>
      <c r="P313" s="314" t="s">
        <v>112</v>
      </c>
      <c r="Q313" s="314" t="s">
        <v>123</v>
      </c>
      <c r="R313" s="315">
        <v>45145.8163078704</v>
      </c>
      <c r="S313" s="314" t="s">
        <v>1235</v>
      </c>
      <c r="T313" s="314" t="s">
        <v>177</v>
      </c>
      <c r="U313" s="314" t="s">
        <v>177</v>
      </c>
      <c r="V313" s="314" t="s">
        <v>114</v>
      </c>
      <c r="W313" s="314"/>
      <c r="X313" s="314" t="str">
        <f>VLOOKUP(D313,代理总表!A:D,3,0)</f>
        <v>雨燕直播-越</v>
      </c>
      <c r="Y313" t="str">
        <f>VLOOKUP(D:D,代理总表!A:D,4,FALSE)</f>
        <v>雨燕直播-越ffvn66</v>
      </c>
      <c r="Z313">
        <f t="shared" si="12"/>
        <v>0</v>
      </c>
      <c r="AA313">
        <f t="shared" si="13"/>
        <v>19</v>
      </c>
      <c r="AB313">
        <f t="shared" si="14"/>
        <v>1</v>
      </c>
    </row>
    <row r="314" spans="1:28">
      <c r="A314" s="314" t="s">
        <v>1310</v>
      </c>
      <c r="B314" s="314"/>
      <c r="C314" s="314"/>
      <c r="D314" s="314" t="s">
        <v>116</v>
      </c>
      <c r="E314" s="314" t="s">
        <v>117</v>
      </c>
      <c r="F314" s="314" t="s">
        <v>118</v>
      </c>
      <c r="G314" s="314" t="s">
        <v>108</v>
      </c>
      <c r="H314" s="314" t="s">
        <v>119</v>
      </c>
      <c r="I314" s="314" t="s">
        <v>108</v>
      </c>
      <c r="J314" s="314" t="s">
        <v>120</v>
      </c>
      <c r="K314" s="314">
        <v>0</v>
      </c>
      <c r="L314" s="314">
        <v>0</v>
      </c>
      <c r="M314" s="315">
        <v>45145.8151851852</v>
      </c>
      <c r="N314" s="314" t="s">
        <v>1311</v>
      </c>
      <c r="O314" s="314" t="s">
        <v>122</v>
      </c>
      <c r="P314" s="314" t="s">
        <v>112</v>
      </c>
      <c r="Q314" s="314" t="s">
        <v>123</v>
      </c>
      <c r="R314" s="315">
        <v>45145.8151851852</v>
      </c>
      <c r="S314" s="314" t="s">
        <v>1311</v>
      </c>
      <c r="T314" s="314" t="s">
        <v>177</v>
      </c>
      <c r="U314" s="314" t="s">
        <v>177</v>
      </c>
      <c r="V314" s="314" t="s">
        <v>114</v>
      </c>
      <c r="W314" s="314"/>
      <c r="X314" s="314" t="str">
        <f>VLOOKUP(D314,代理总表!A:D,3,0)</f>
        <v>外部代理总线</v>
      </c>
      <c r="Y314" t="str">
        <f>VLOOKUP(D:D,代理总表!A:D,4,FALSE)</f>
        <v>外部代理总线zh0808</v>
      </c>
      <c r="Z314">
        <f t="shared" si="12"/>
        <v>0</v>
      </c>
      <c r="AA314">
        <f t="shared" si="13"/>
        <v>19</v>
      </c>
      <c r="AB314">
        <f t="shared" si="14"/>
        <v>1</v>
      </c>
    </row>
    <row r="315" spans="1:28">
      <c r="A315" s="314" t="s">
        <v>1312</v>
      </c>
      <c r="B315" s="314" t="s">
        <v>1313</v>
      </c>
      <c r="C315" s="314">
        <v>988478810</v>
      </c>
      <c r="D315" s="314" t="s">
        <v>645</v>
      </c>
      <c r="E315" s="314" t="s">
        <v>117</v>
      </c>
      <c r="F315" s="314" t="s">
        <v>118</v>
      </c>
      <c r="G315" s="314" t="s">
        <v>108</v>
      </c>
      <c r="H315" s="314" t="s">
        <v>119</v>
      </c>
      <c r="I315" s="314" t="s">
        <v>108</v>
      </c>
      <c r="J315" s="314" t="s">
        <v>120</v>
      </c>
      <c r="K315" s="314">
        <v>0</v>
      </c>
      <c r="L315" s="314">
        <v>0</v>
      </c>
      <c r="M315" s="315">
        <v>45145.8141898148</v>
      </c>
      <c r="N315" s="314" t="s">
        <v>1314</v>
      </c>
      <c r="O315" s="314" t="s">
        <v>647</v>
      </c>
      <c r="P315" s="314" t="s">
        <v>112</v>
      </c>
      <c r="Q315" s="314" t="s">
        <v>123</v>
      </c>
      <c r="R315" s="315">
        <v>45145.9058564815</v>
      </c>
      <c r="S315" s="314" t="s">
        <v>1314</v>
      </c>
      <c r="T315" s="314" t="s">
        <v>548</v>
      </c>
      <c r="U315" s="314" t="s">
        <v>548</v>
      </c>
      <c r="V315" s="314" t="s">
        <v>114</v>
      </c>
      <c r="W315" s="314"/>
      <c r="X315" s="314" t="str">
        <f>VLOOKUP(D315,代理总表!A:D,3,0)</f>
        <v>外部代理总线</v>
      </c>
      <c r="Y315" t="str">
        <f>VLOOKUP(D:D,代理总表!A:D,4,FALSE)</f>
        <v>外部代理总线zh0808</v>
      </c>
      <c r="Z315">
        <f t="shared" si="12"/>
        <v>0</v>
      </c>
      <c r="AA315">
        <f t="shared" si="13"/>
        <v>19</v>
      </c>
      <c r="AB315">
        <f t="shared" si="14"/>
        <v>1</v>
      </c>
    </row>
    <row r="316" spans="1:28">
      <c r="A316" s="314" t="s">
        <v>1315</v>
      </c>
      <c r="B316" s="314" t="s">
        <v>1316</v>
      </c>
      <c r="C316" s="314">
        <v>765221194</v>
      </c>
      <c r="D316" s="314" t="s">
        <v>1317</v>
      </c>
      <c r="E316" s="314" t="s">
        <v>117</v>
      </c>
      <c r="F316" s="314" t="s">
        <v>144</v>
      </c>
      <c r="G316" s="314" t="s">
        <v>106</v>
      </c>
      <c r="H316" s="314" t="s">
        <v>107</v>
      </c>
      <c r="I316" s="314" t="s">
        <v>108</v>
      </c>
      <c r="J316" s="314" t="s">
        <v>120</v>
      </c>
      <c r="K316" s="314">
        <v>100000</v>
      </c>
      <c r="L316" s="314">
        <v>0</v>
      </c>
      <c r="M316" s="315">
        <v>45145.8139351852</v>
      </c>
      <c r="N316" s="314" t="s">
        <v>1318</v>
      </c>
      <c r="O316" s="314" t="s">
        <v>1319</v>
      </c>
      <c r="P316" s="314" t="s">
        <v>112</v>
      </c>
      <c r="Q316" s="315">
        <v>45145.8316550926</v>
      </c>
      <c r="R316" s="315">
        <v>45145.9047916667</v>
      </c>
      <c r="S316" s="314" t="s">
        <v>1320</v>
      </c>
      <c r="T316" s="314" t="s">
        <v>131</v>
      </c>
      <c r="U316" s="314" t="s">
        <v>177</v>
      </c>
      <c r="V316" s="314" t="s">
        <v>114</v>
      </c>
      <c r="W316" s="314"/>
      <c r="X316" s="314" t="str">
        <f>VLOOKUP(D316,代理总表!A:D,3,0)</f>
        <v>外部代理总线</v>
      </c>
      <c r="Y316" t="str">
        <f>VLOOKUP(D:D,代理总表!A:D,4,FALSE)</f>
        <v>外部代理总线zh0808</v>
      </c>
      <c r="Z316">
        <f t="shared" si="12"/>
        <v>1</v>
      </c>
      <c r="AA316">
        <f t="shared" si="13"/>
        <v>19</v>
      </c>
      <c r="AB316">
        <f t="shared" si="14"/>
        <v>1</v>
      </c>
    </row>
    <row r="317" spans="1:28">
      <c r="A317" s="314" t="s">
        <v>1321</v>
      </c>
      <c r="B317" s="314" t="s">
        <v>1322</v>
      </c>
      <c r="C317" s="314">
        <v>917340804</v>
      </c>
      <c r="D317" s="314" t="s">
        <v>143</v>
      </c>
      <c r="E317" s="314" t="s">
        <v>117</v>
      </c>
      <c r="F317" s="314" t="s">
        <v>144</v>
      </c>
      <c r="G317" s="314" t="s">
        <v>106</v>
      </c>
      <c r="H317" s="314" t="s">
        <v>107</v>
      </c>
      <c r="I317" s="314" t="s">
        <v>108</v>
      </c>
      <c r="J317" s="314" t="s">
        <v>120</v>
      </c>
      <c r="K317" s="314">
        <v>80000</v>
      </c>
      <c r="L317" s="314">
        <v>400000</v>
      </c>
      <c r="M317" s="315">
        <v>45145.8135300926</v>
      </c>
      <c r="N317" s="314" t="s">
        <v>1323</v>
      </c>
      <c r="O317" s="314" t="s">
        <v>407</v>
      </c>
      <c r="P317" s="314" t="s">
        <v>112</v>
      </c>
      <c r="Q317" s="315">
        <v>45145.8492939815</v>
      </c>
      <c r="R317" s="315">
        <v>45145.8527083333</v>
      </c>
      <c r="S317" s="314" t="s">
        <v>1323</v>
      </c>
      <c r="T317" s="314" t="s">
        <v>131</v>
      </c>
      <c r="U317" s="314" t="s">
        <v>131</v>
      </c>
      <c r="V317" s="314" t="s">
        <v>114</v>
      </c>
      <c r="W317" s="314"/>
      <c r="X317" s="314" t="str">
        <f>VLOOKUP(D317,代理总表!A:D,3,0)</f>
        <v>雨燕直播-越</v>
      </c>
      <c r="Y317" t="str">
        <f>VLOOKUP(D:D,代理总表!A:D,4,FALSE)</f>
        <v>雨燕直播-越ffvn66</v>
      </c>
      <c r="Z317">
        <f t="shared" si="12"/>
        <v>1</v>
      </c>
      <c r="AA317">
        <f t="shared" si="13"/>
        <v>19</v>
      </c>
      <c r="AB317">
        <f t="shared" si="14"/>
        <v>1</v>
      </c>
    </row>
    <row r="318" spans="1:28">
      <c r="A318" s="314" t="s">
        <v>1324</v>
      </c>
      <c r="B318" s="314"/>
      <c r="C318" s="314">
        <v>18597844724</v>
      </c>
      <c r="D318" s="314" t="s">
        <v>103</v>
      </c>
      <c r="E318" s="314" t="s">
        <v>104</v>
      </c>
      <c r="F318" s="314" t="s">
        <v>118</v>
      </c>
      <c r="G318" s="314" t="s">
        <v>108</v>
      </c>
      <c r="H318" s="314" t="s">
        <v>119</v>
      </c>
      <c r="I318" s="314" t="s">
        <v>108</v>
      </c>
      <c r="J318" s="314" t="s">
        <v>109</v>
      </c>
      <c r="K318" s="314">
        <v>0</v>
      </c>
      <c r="L318" s="314">
        <v>0</v>
      </c>
      <c r="M318" s="315">
        <v>45145.8134837963</v>
      </c>
      <c r="N318" s="314" t="s">
        <v>1325</v>
      </c>
      <c r="O318" s="314" t="s">
        <v>350</v>
      </c>
      <c r="P318" s="314" t="s">
        <v>112</v>
      </c>
      <c r="Q318" s="314" t="s">
        <v>123</v>
      </c>
      <c r="R318" s="315">
        <v>45145.8134837963</v>
      </c>
      <c r="S318" s="314" t="s">
        <v>1325</v>
      </c>
      <c r="T318" s="314" t="s">
        <v>1326</v>
      </c>
      <c r="U318" s="314" t="s">
        <v>1326</v>
      </c>
      <c r="V318" s="314" t="s">
        <v>114</v>
      </c>
      <c r="W318" s="314"/>
      <c r="X318" s="314" t="str">
        <f>VLOOKUP(D318,代理总表!A:D,3,0)</f>
        <v>官网</v>
      </c>
      <c r="Y318" t="str">
        <f>VLOOKUP(D:D,代理总表!A:D,4,FALSE)</f>
        <v>官网</v>
      </c>
      <c r="Z318">
        <f t="shared" si="12"/>
        <v>0</v>
      </c>
      <c r="AA318">
        <f t="shared" si="13"/>
        <v>19</v>
      </c>
      <c r="AB318">
        <f t="shared" si="14"/>
        <v>1</v>
      </c>
    </row>
    <row r="319" spans="1:28">
      <c r="A319" s="314" t="s">
        <v>1327</v>
      </c>
      <c r="B319" s="314" t="s">
        <v>1328</v>
      </c>
      <c r="C319" s="314">
        <v>904947477</v>
      </c>
      <c r="D319" s="314" t="s">
        <v>143</v>
      </c>
      <c r="E319" s="314" t="s">
        <v>117</v>
      </c>
      <c r="F319" s="314" t="s">
        <v>118</v>
      </c>
      <c r="G319" s="314" t="s">
        <v>108</v>
      </c>
      <c r="H319" s="314" t="s">
        <v>119</v>
      </c>
      <c r="I319" s="314" t="s">
        <v>108</v>
      </c>
      <c r="J319" s="314" t="s">
        <v>120</v>
      </c>
      <c r="K319" s="314">
        <v>0</v>
      </c>
      <c r="L319" s="314">
        <v>0</v>
      </c>
      <c r="M319" s="315">
        <v>45145.8131365741</v>
      </c>
      <c r="N319" s="314" t="s">
        <v>1329</v>
      </c>
      <c r="O319" s="314" t="s">
        <v>407</v>
      </c>
      <c r="P319" s="314" t="s">
        <v>112</v>
      </c>
      <c r="Q319" s="314" t="s">
        <v>123</v>
      </c>
      <c r="R319" s="315">
        <v>45145.8197453704</v>
      </c>
      <c r="S319" s="314" t="s">
        <v>1329</v>
      </c>
      <c r="T319" s="314" t="s">
        <v>131</v>
      </c>
      <c r="U319" s="314" t="s">
        <v>131</v>
      </c>
      <c r="V319" s="314" t="s">
        <v>114</v>
      </c>
      <c r="W319" s="314"/>
      <c r="X319" s="314" t="str">
        <f>VLOOKUP(D319,代理总表!A:D,3,0)</f>
        <v>雨燕直播-越</v>
      </c>
      <c r="Y319" t="str">
        <f>VLOOKUP(D:D,代理总表!A:D,4,FALSE)</f>
        <v>雨燕直播-越ffvn66</v>
      </c>
      <c r="Z319">
        <f t="shared" si="12"/>
        <v>0</v>
      </c>
      <c r="AA319">
        <f t="shared" si="13"/>
        <v>19</v>
      </c>
      <c r="AB319">
        <f t="shared" si="14"/>
        <v>1</v>
      </c>
    </row>
    <row r="320" spans="1:28">
      <c r="A320" s="314" t="s">
        <v>1330</v>
      </c>
      <c r="B320" s="314" t="s">
        <v>1331</v>
      </c>
      <c r="C320" s="314">
        <v>347291868</v>
      </c>
      <c r="D320" s="314" t="s">
        <v>137</v>
      </c>
      <c r="E320" s="314" t="s">
        <v>117</v>
      </c>
      <c r="F320" s="314" t="s">
        <v>144</v>
      </c>
      <c r="G320" s="314" t="s">
        <v>106</v>
      </c>
      <c r="H320" s="314" t="s">
        <v>107</v>
      </c>
      <c r="I320" s="314" t="s">
        <v>108</v>
      </c>
      <c r="J320" s="314" t="s">
        <v>120</v>
      </c>
      <c r="K320" s="314">
        <v>80000</v>
      </c>
      <c r="L320" s="314">
        <v>100000</v>
      </c>
      <c r="M320" s="315">
        <v>45145.8101967593</v>
      </c>
      <c r="N320" s="314" t="s">
        <v>1332</v>
      </c>
      <c r="O320" s="314" t="s">
        <v>139</v>
      </c>
      <c r="P320" s="314" t="s">
        <v>112</v>
      </c>
      <c r="Q320" s="315">
        <v>45145.844525463</v>
      </c>
      <c r="R320" s="315">
        <v>45146.1137268519</v>
      </c>
      <c r="S320" s="314" t="s">
        <v>1333</v>
      </c>
      <c r="T320" s="314" t="s">
        <v>216</v>
      </c>
      <c r="U320" s="314" t="s">
        <v>1334</v>
      </c>
      <c r="V320" s="314" t="s">
        <v>114</v>
      </c>
      <c r="W320" s="314"/>
      <c r="X320" s="314" t="str">
        <f>VLOOKUP(D320,代理总表!A:D,3,0)</f>
        <v>雨燕直播-越</v>
      </c>
      <c r="Y320" t="str">
        <f>VLOOKUP(D:D,代理总表!A:D,4,FALSE)</f>
        <v>雨燕直播-越ffvn66</v>
      </c>
      <c r="Z320">
        <f t="shared" si="12"/>
        <v>1</v>
      </c>
      <c r="AA320">
        <f t="shared" si="13"/>
        <v>19</v>
      </c>
      <c r="AB320">
        <f t="shared" si="14"/>
        <v>1</v>
      </c>
    </row>
    <row r="321" spans="1:28">
      <c r="A321" s="314" t="s">
        <v>1335</v>
      </c>
      <c r="B321" s="314"/>
      <c r="C321" s="314">
        <v>15839788577</v>
      </c>
      <c r="D321" s="314" t="s">
        <v>1336</v>
      </c>
      <c r="E321" s="314" t="s">
        <v>104</v>
      </c>
      <c r="F321" s="314" t="s">
        <v>118</v>
      </c>
      <c r="G321" s="314" t="s">
        <v>108</v>
      </c>
      <c r="H321" s="314" t="s">
        <v>119</v>
      </c>
      <c r="I321" s="314" t="s">
        <v>108</v>
      </c>
      <c r="J321" s="314" t="s">
        <v>109</v>
      </c>
      <c r="K321" s="314">
        <v>0</v>
      </c>
      <c r="L321" s="314">
        <v>0</v>
      </c>
      <c r="M321" s="315">
        <v>45145.80875</v>
      </c>
      <c r="N321" s="314" t="s">
        <v>1114</v>
      </c>
      <c r="O321" s="314" t="s">
        <v>1337</v>
      </c>
      <c r="P321" s="314" t="s">
        <v>161</v>
      </c>
      <c r="Q321" s="314" t="s">
        <v>123</v>
      </c>
      <c r="R321" s="315">
        <v>45145.80875</v>
      </c>
      <c r="S321" s="314" t="s">
        <v>1114</v>
      </c>
      <c r="T321" s="314" t="s">
        <v>1116</v>
      </c>
      <c r="U321" s="314" t="s">
        <v>1116</v>
      </c>
      <c r="V321" s="314" t="s">
        <v>114</v>
      </c>
      <c r="W321" s="314"/>
      <c r="X321" s="314" t="str">
        <f>VLOOKUP(D321,代理总表!A:D,3,0)</f>
        <v>飞哥雨燕直播</v>
      </c>
      <c r="Y321" t="str">
        <f>VLOOKUP(D:D,代理总表!A:D,4,FALSE)</f>
        <v>飞哥雨燕直播ffmk88</v>
      </c>
      <c r="Z321">
        <f t="shared" si="12"/>
        <v>0</v>
      </c>
      <c r="AA321">
        <f t="shared" si="13"/>
        <v>19</v>
      </c>
      <c r="AB321">
        <f t="shared" si="14"/>
        <v>1</v>
      </c>
    </row>
    <row r="322" spans="1:28">
      <c r="A322" s="314" t="s">
        <v>1338</v>
      </c>
      <c r="B322" s="314" t="s">
        <v>1339</v>
      </c>
      <c r="C322" s="314">
        <v>977308051</v>
      </c>
      <c r="D322" s="314" t="s">
        <v>651</v>
      </c>
      <c r="E322" s="314" t="s">
        <v>117</v>
      </c>
      <c r="F322" s="314" t="s">
        <v>118</v>
      </c>
      <c r="G322" s="314" t="s">
        <v>108</v>
      </c>
      <c r="H322" s="314" t="s">
        <v>119</v>
      </c>
      <c r="I322" s="314" t="s">
        <v>108</v>
      </c>
      <c r="J322" s="314" t="s">
        <v>120</v>
      </c>
      <c r="K322" s="314">
        <v>0</v>
      </c>
      <c r="L322" s="314">
        <v>0</v>
      </c>
      <c r="M322" s="315">
        <v>45145.8086342593</v>
      </c>
      <c r="N322" s="314" t="s">
        <v>1340</v>
      </c>
      <c r="O322" s="314" t="s">
        <v>704</v>
      </c>
      <c r="P322" s="314" t="s">
        <v>112</v>
      </c>
      <c r="Q322" s="314" t="s">
        <v>123</v>
      </c>
      <c r="R322" s="315">
        <v>45145.8086342593</v>
      </c>
      <c r="S322" s="314" t="s">
        <v>1340</v>
      </c>
      <c r="T322" s="314" t="s">
        <v>124</v>
      </c>
      <c r="U322" s="314" t="s">
        <v>124</v>
      </c>
      <c r="V322" s="314" t="s">
        <v>114</v>
      </c>
      <c r="W322" s="314"/>
      <c r="X322" s="314" t="str">
        <f>VLOOKUP(D322,代理总表!A:D,3,0)</f>
        <v>雨燕直播-越</v>
      </c>
      <c r="Y322" t="str">
        <f>VLOOKUP(D:D,代理总表!A:D,4,FALSE)</f>
        <v>雨燕直播-越ffvn66</v>
      </c>
      <c r="Z322">
        <f t="shared" si="12"/>
        <v>0</v>
      </c>
      <c r="AA322">
        <f t="shared" si="13"/>
        <v>19</v>
      </c>
      <c r="AB322">
        <f t="shared" si="14"/>
        <v>1</v>
      </c>
    </row>
    <row r="323" spans="1:28">
      <c r="A323" s="314" t="s">
        <v>1341</v>
      </c>
      <c r="B323" s="314" t="s">
        <v>1342</v>
      </c>
      <c r="C323" s="314">
        <v>369523086</v>
      </c>
      <c r="D323" s="314" t="s">
        <v>143</v>
      </c>
      <c r="E323" s="314" t="s">
        <v>117</v>
      </c>
      <c r="F323" s="314" t="s">
        <v>118</v>
      </c>
      <c r="G323" s="314" t="s">
        <v>108</v>
      </c>
      <c r="H323" s="314" t="s">
        <v>119</v>
      </c>
      <c r="I323" s="314" t="s">
        <v>108</v>
      </c>
      <c r="J323" s="314" t="s">
        <v>120</v>
      </c>
      <c r="K323" s="314">
        <v>0</v>
      </c>
      <c r="L323" s="314">
        <v>0</v>
      </c>
      <c r="M323" s="315">
        <v>45145.808275463</v>
      </c>
      <c r="N323" s="314" t="s">
        <v>1343</v>
      </c>
      <c r="O323" s="314" t="s">
        <v>407</v>
      </c>
      <c r="P323" s="314" t="s">
        <v>112</v>
      </c>
      <c r="Q323" s="314" t="s">
        <v>123</v>
      </c>
      <c r="R323" s="315">
        <v>45145.8617824074</v>
      </c>
      <c r="S323" s="314" t="s">
        <v>1343</v>
      </c>
      <c r="T323" s="314" t="s">
        <v>189</v>
      </c>
      <c r="U323" s="314" t="s">
        <v>189</v>
      </c>
      <c r="V323" s="314" t="s">
        <v>114</v>
      </c>
      <c r="W323" s="314" t="s">
        <v>1344</v>
      </c>
      <c r="X323" s="314" t="str">
        <f>VLOOKUP(D323,代理总表!A:D,3,0)</f>
        <v>雨燕直播-越</v>
      </c>
      <c r="Y323" t="str">
        <f>VLOOKUP(D:D,代理总表!A:D,4,FALSE)</f>
        <v>雨燕直播-越ffvn66</v>
      </c>
      <c r="Z323">
        <f t="shared" ref="Z323:Z386" si="15">IF(RIGHT(H323,1)&gt;"0",1,0)</f>
        <v>0</v>
      </c>
      <c r="AA323">
        <f t="shared" ref="AA323:AA386" si="16">HOUR(M323)</f>
        <v>19</v>
      </c>
      <c r="AB323">
        <f t="shared" ref="AB323:AB386" si="17">IF(AE323=AF323,1,0)</f>
        <v>1</v>
      </c>
    </row>
    <row r="324" spans="1:28">
      <c r="A324" s="314" t="s">
        <v>1345</v>
      </c>
      <c r="B324" s="314" t="s">
        <v>1346</v>
      </c>
      <c r="C324" s="314">
        <v>907636678</v>
      </c>
      <c r="D324" s="314" t="s">
        <v>651</v>
      </c>
      <c r="E324" s="314" t="s">
        <v>117</v>
      </c>
      <c r="F324" s="314" t="s">
        <v>118</v>
      </c>
      <c r="G324" s="314" t="s">
        <v>108</v>
      </c>
      <c r="H324" s="314" t="s">
        <v>119</v>
      </c>
      <c r="I324" s="314" t="s">
        <v>108</v>
      </c>
      <c r="J324" s="314" t="s">
        <v>120</v>
      </c>
      <c r="K324" s="314">
        <v>0</v>
      </c>
      <c r="L324" s="314">
        <v>0</v>
      </c>
      <c r="M324" s="315">
        <v>45145.8080671296</v>
      </c>
      <c r="N324" s="314" t="s">
        <v>1347</v>
      </c>
      <c r="O324" s="314" t="s">
        <v>653</v>
      </c>
      <c r="P324" s="314" t="s">
        <v>112</v>
      </c>
      <c r="Q324" s="314" t="s">
        <v>123</v>
      </c>
      <c r="R324" s="315">
        <v>45145.8106134259</v>
      </c>
      <c r="S324" s="314" t="s">
        <v>1347</v>
      </c>
      <c r="T324" s="314" t="s">
        <v>128</v>
      </c>
      <c r="U324" s="314" t="s">
        <v>128</v>
      </c>
      <c r="V324" s="314" t="s">
        <v>114</v>
      </c>
      <c r="W324" s="314"/>
      <c r="X324" s="314" t="str">
        <f>VLOOKUP(D324,代理总表!A:D,3,0)</f>
        <v>雨燕直播-越</v>
      </c>
      <c r="Y324" t="str">
        <f>VLOOKUP(D:D,代理总表!A:D,4,FALSE)</f>
        <v>雨燕直播-越ffvn66</v>
      </c>
      <c r="Z324">
        <f t="shared" si="15"/>
        <v>0</v>
      </c>
      <c r="AA324">
        <f t="shared" si="16"/>
        <v>19</v>
      </c>
      <c r="AB324">
        <f t="shared" si="17"/>
        <v>1</v>
      </c>
    </row>
    <row r="325" spans="1:28">
      <c r="A325" s="314" t="s">
        <v>1348</v>
      </c>
      <c r="B325" s="314" t="s">
        <v>1349</v>
      </c>
      <c r="C325" s="314">
        <v>775404198</v>
      </c>
      <c r="D325" s="314" t="s">
        <v>143</v>
      </c>
      <c r="E325" s="314" t="s">
        <v>117</v>
      </c>
      <c r="F325" s="314" t="s">
        <v>144</v>
      </c>
      <c r="G325" s="314" t="s">
        <v>106</v>
      </c>
      <c r="H325" s="314" t="s">
        <v>107</v>
      </c>
      <c r="I325" s="314" t="s">
        <v>108</v>
      </c>
      <c r="J325" s="314" t="s">
        <v>120</v>
      </c>
      <c r="K325" s="314">
        <v>530000</v>
      </c>
      <c r="L325" s="314">
        <v>450000</v>
      </c>
      <c r="M325" s="315">
        <v>45145.8073611111</v>
      </c>
      <c r="N325" s="314" t="s">
        <v>1350</v>
      </c>
      <c r="O325" s="314" t="s">
        <v>407</v>
      </c>
      <c r="P325" s="314" t="s">
        <v>112</v>
      </c>
      <c r="Q325" s="315">
        <v>45145.9063310185</v>
      </c>
      <c r="R325" s="315">
        <v>45146.1700231481</v>
      </c>
      <c r="S325" s="314" t="s">
        <v>1350</v>
      </c>
      <c r="T325" s="314" t="s">
        <v>124</v>
      </c>
      <c r="U325" s="314" t="s">
        <v>124</v>
      </c>
      <c r="V325" s="314" t="s">
        <v>114</v>
      </c>
      <c r="W325" s="314"/>
      <c r="X325" s="314" t="str">
        <f>VLOOKUP(D325,代理总表!A:D,3,0)</f>
        <v>雨燕直播-越</v>
      </c>
      <c r="Y325" t="str">
        <f>VLOOKUP(D:D,代理总表!A:D,4,FALSE)</f>
        <v>雨燕直播-越ffvn66</v>
      </c>
      <c r="Z325">
        <f t="shared" si="15"/>
        <v>1</v>
      </c>
      <c r="AA325">
        <f t="shared" si="16"/>
        <v>19</v>
      </c>
      <c r="AB325">
        <f t="shared" si="17"/>
        <v>1</v>
      </c>
    </row>
    <row r="326" spans="1:28">
      <c r="A326" s="314" t="s">
        <v>1351</v>
      </c>
      <c r="B326" s="314" t="s">
        <v>1352</v>
      </c>
      <c r="C326" s="314">
        <v>976813018</v>
      </c>
      <c r="D326" s="314" t="s">
        <v>137</v>
      </c>
      <c r="E326" s="314" t="s">
        <v>117</v>
      </c>
      <c r="F326" s="314" t="s">
        <v>144</v>
      </c>
      <c r="G326" s="314" t="s">
        <v>106</v>
      </c>
      <c r="H326" s="314" t="s">
        <v>107</v>
      </c>
      <c r="I326" s="314" t="s">
        <v>108</v>
      </c>
      <c r="J326" s="314" t="s">
        <v>120</v>
      </c>
      <c r="K326" s="314">
        <v>100000</v>
      </c>
      <c r="L326" s="314">
        <v>500000</v>
      </c>
      <c r="M326" s="315">
        <v>45145.806087963</v>
      </c>
      <c r="N326" s="314" t="s">
        <v>1353</v>
      </c>
      <c r="O326" s="314" t="s">
        <v>139</v>
      </c>
      <c r="P326" s="314" t="s">
        <v>112</v>
      </c>
      <c r="Q326" s="315">
        <v>45145.820462963</v>
      </c>
      <c r="R326" s="315">
        <v>45146.2831481481</v>
      </c>
      <c r="S326" s="314" t="s">
        <v>1354</v>
      </c>
      <c r="T326" s="314" t="s">
        <v>216</v>
      </c>
      <c r="U326" s="314" t="s">
        <v>1196</v>
      </c>
      <c r="V326" s="314" t="s">
        <v>114</v>
      </c>
      <c r="W326" s="314"/>
      <c r="X326" s="314" t="str">
        <f>VLOOKUP(D326,代理总表!A:D,3,0)</f>
        <v>雨燕直播-越</v>
      </c>
      <c r="Y326" t="str">
        <f>VLOOKUP(D:D,代理总表!A:D,4,FALSE)</f>
        <v>雨燕直播-越ffvn66</v>
      </c>
      <c r="Z326">
        <f t="shared" si="15"/>
        <v>1</v>
      </c>
      <c r="AA326">
        <f t="shared" si="16"/>
        <v>19</v>
      </c>
      <c r="AB326">
        <f t="shared" si="17"/>
        <v>1</v>
      </c>
    </row>
    <row r="327" spans="1:28">
      <c r="A327" s="314" t="s">
        <v>1355</v>
      </c>
      <c r="B327" s="314" t="s">
        <v>1356</v>
      </c>
      <c r="C327" s="314">
        <v>18628920806</v>
      </c>
      <c r="D327" s="314" t="s">
        <v>148</v>
      </c>
      <c r="E327" s="314" t="s">
        <v>104</v>
      </c>
      <c r="F327" s="314" t="s">
        <v>181</v>
      </c>
      <c r="G327" s="314" t="s">
        <v>106</v>
      </c>
      <c r="H327" s="314" t="s">
        <v>107</v>
      </c>
      <c r="I327" s="314" t="s">
        <v>108</v>
      </c>
      <c r="J327" s="314" t="s">
        <v>109</v>
      </c>
      <c r="K327" s="314">
        <v>350</v>
      </c>
      <c r="L327" s="314">
        <v>0</v>
      </c>
      <c r="M327" s="315">
        <v>45145.8058796296</v>
      </c>
      <c r="N327" s="314" t="s">
        <v>1357</v>
      </c>
      <c r="O327" s="314" t="s">
        <v>585</v>
      </c>
      <c r="P327" s="314" t="s">
        <v>112</v>
      </c>
      <c r="Q327" s="315">
        <v>45145.8110300926</v>
      </c>
      <c r="R327" s="315">
        <v>45145.8210416667</v>
      </c>
      <c r="S327" s="314" t="s">
        <v>1357</v>
      </c>
      <c r="T327" s="314" t="s">
        <v>476</v>
      </c>
      <c r="U327" s="314" t="s">
        <v>476</v>
      </c>
      <c r="V327" s="314" t="s">
        <v>114</v>
      </c>
      <c r="W327" s="314"/>
      <c r="X327" s="314" t="str">
        <f>VLOOKUP(D327,代理总表!A:D,3,0)</f>
        <v>martin</v>
      </c>
      <c r="Y327" t="str">
        <f>VLOOKUP(D:D,代理总表!A:D,4,FALSE)</f>
        <v>SEO</v>
      </c>
      <c r="Z327">
        <f t="shared" si="15"/>
        <v>1</v>
      </c>
      <c r="AA327">
        <f t="shared" si="16"/>
        <v>19</v>
      </c>
      <c r="AB327">
        <f t="shared" si="17"/>
        <v>1</v>
      </c>
    </row>
    <row r="328" spans="1:28">
      <c r="A328" s="314" t="s">
        <v>1358</v>
      </c>
      <c r="B328" s="314" t="s">
        <v>1359</v>
      </c>
      <c r="C328" s="314">
        <v>13060782682</v>
      </c>
      <c r="D328" s="314" t="s">
        <v>1109</v>
      </c>
      <c r="E328" s="314" t="s">
        <v>104</v>
      </c>
      <c r="F328" s="314" t="s">
        <v>144</v>
      </c>
      <c r="G328" s="314" t="s">
        <v>106</v>
      </c>
      <c r="H328" s="314" t="s">
        <v>107</v>
      </c>
      <c r="I328" s="314" t="s">
        <v>108</v>
      </c>
      <c r="J328" s="314" t="s">
        <v>109</v>
      </c>
      <c r="K328" s="314">
        <v>202</v>
      </c>
      <c r="L328" s="314">
        <v>200</v>
      </c>
      <c r="M328" s="315">
        <v>45145.8054976852</v>
      </c>
      <c r="N328" s="314" t="s">
        <v>1136</v>
      </c>
      <c r="O328" s="314" t="s">
        <v>1137</v>
      </c>
      <c r="P328" s="314" t="s">
        <v>112</v>
      </c>
      <c r="Q328" s="315">
        <v>45145.8144791667</v>
      </c>
      <c r="R328" s="315">
        <v>45145.8070717593</v>
      </c>
      <c r="S328" s="314" t="s">
        <v>1136</v>
      </c>
      <c r="T328" s="314" t="s">
        <v>1138</v>
      </c>
      <c r="U328" s="314" t="s">
        <v>1138</v>
      </c>
      <c r="V328" s="314" t="s">
        <v>114</v>
      </c>
      <c r="W328" s="314"/>
      <c r="X328" s="314" t="str">
        <f>VLOOKUP(D328,代理总表!A:D,3,0)</f>
        <v>飞哥雨燕直播</v>
      </c>
      <c r="Y328" t="str">
        <f>VLOOKUP(D:D,代理总表!A:D,4,FALSE)</f>
        <v>飞哥雨燕直播ffmk88</v>
      </c>
      <c r="Z328">
        <f t="shared" si="15"/>
        <v>1</v>
      </c>
      <c r="AA328">
        <f t="shared" si="16"/>
        <v>19</v>
      </c>
      <c r="AB328">
        <f t="shared" si="17"/>
        <v>1</v>
      </c>
    </row>
    <row r="329" spans="1:28">
      <c r="A329" s="314" t="s">
        <v>1360</v>
      </c>
      <c r="B329" s="314"/>
      <c r="C329" s="314">
        <v>13533722754</v>
      </c>
      <c r="D329" s="314" t="s">
        <v>235</v>
      </c>
      <c r="E329" s="314" t="s">
        <v>104</v>
      </c>
      <c r="F329" s="314" t="s">
        <v>149</v>
      </c>
      <c r="G329" s="314" t="s">
        <v>108</v>
      </c>
      <c r="H329" s="314" t="s">
        <v>119</v>
      </c>
      <c r="I329" s="314" t="s">
        <v>108</v>
      </c>
      <c r="J329" s="314" t="s">
        <v>109</v>
      </c>
      <c r="K329" s="314">
        <v>0</v>
      </c>
      <c r="L329" s="314">
        <v>0</v>
      </c>
      <c r="M329" s="315">
        <v>45145.8052430556</v>
      </c>
      <c r="N329" s="314" t="s">
        <v>1361</v>
      </c>
      <c r="O329" s="314" t="s">
        <v>786</v>
      </c>
      <c r="P329" s="314" t="s">
        <v>208</v>
      </c>
      <c r="Q329" s="314" t="s">
        <v>123</v>
      </c>
      <c r="R329" s="315">
        <v>45145.9597800926</v>
      </c>
      <c r="S329" s="314" t="s">
        <v>1362</v>
      </c>
      <c r="T329" s="314" t="s">
        <v>1363</v>
      </c>
      <c r="U329" s="314" t="s">
        <v>152</v>
      </c>
      <c r="V329" s="314" t="s">
        <v>114</v>
      </c>
      <c r="W329" s="314"/>
      <c r="X329" s="314" t="str">
        <f>VLOOKUP(D329,代理总表!A:D,3,0)</f>
        <v>aber</v>
      </c>
      <c r="Y329" t="str">
        <f>VLOOKUP(D:D,代理总表!A:D,4,FALSE)</f>
        <v>SEO</v>
      </c>
      <c r="Z329">
        <f t="shared" si="15"/>
        <v>0</v>
      </c>
      <c r="AA329">
        <f t="shared" si="16"/>
        <v>19</v>
      </c>
      <c r="AB329">
        <f t="shared" si="17"/>
        <v>1</v>
      </c>
    </row>
    <row r="330" spans="1:28">
      <c r="A330" s="314" t="s">
        <v>1364</v>
      </c>
      <c r="B330" s="314"/>
      <c r="C330" s="314"/>
      <c r="D330" s="314" t="s">
        <v>276</v>
      </c>
      <c r="E330" s="314" t="s">
        <v>104</v>
      </c>
      <c r="F330" s="314" t="s">
        <v>118</v>
      </c>
      <c r="G330" s="314" t="s">
        <v>108</v>
      </c>
      <c r="H330" s="314" t="s">
        <v>119</v>
      </c>
      <c r="I330" s="314" t="s">
        <v>108</v>
      </c>
      <c r="J330" s="314" t="s">
        <v>109</v>
      </c>
      <c r="K330" s="314">
        <v>0</v>
      </c>
      <c r="L330" s="314">
        <v>0</v>
      </c>
      <c r="M330" s="315">
        <v>45145.8049305556</v>
      </c>
      <c r="N330" s="314" t="s">
        <v>1365</v>
      </c>
      <c r="O330" s="314" t="s">
        <v>1366</v>
      </c>
      <c r="P330" s="314" t="s">
        <v>112</v>
      </c>
      <c r="Q330" s="314" t="s">
        <v>123</v>
      </c>
      <c r="R330" s="315">
        <v>45145.8049189815</v>
      </c>
      <c r="S330" s="314" t="s">
        <v>1365</v>
      </c>
      <c r="T330" s="314" t="s">
        <v>324</v>
      </c>
      <c r="U330" s="314" t="s">
        <v>324</v>
      </c>
      <c r="V330" s="314" t="s">
        <v>114</v>
      </c>
      <c r="W330" s="314"/>
      <c r="X330" s="314" t="str">
        <f>VLOOKUP(D330,代理总表!A:D,3,0)</f>
        <v>飞哥雨燕直播</v>
      </c>
      <c r="Y330" t="str">
        <f>VLOOKUP(D:D,代理总表!A:D,4,FALSE)</f>
        <v>飞哥雨燕直播ffmk88</v>
      </c>
      <c r="Z330">
        <f t="shared" si="15"/>
        <v>0</v>
      </c>
      <c r="AA330">
        <f t="shared" si="16"/>
        <v>19</v>
      </c>
      <c r="AB330">
        <f t="shared" si="17"/>
        <v>1</v>
      </c>
    </row>
    <row r="331" spans="1:28">
      <c r="A331" s="314" t="s">
        <v>1367</v>
      </c>
      <c r="B331" s="314"/>
      <c r="C331" s="314">
        <v>93428417</v>
      </c>
      <c r="D331" s="314" t="s">
        <v>805</v>
      </c>
      <c r="E331" s="314" t="s">
        <v>104</v>
      </c>
      <c r="F331" s="314" t="s">
        <v>118</v>
      </c>
      <c r="G331" s="314" t="s">
        <v>108</v>
      </c>
      <c r="H331" s="314" t="s">
        <v>119</v>
      </c>
      <c r="I331" s="314" t="s">
        <v>108</v>
      </c>
      <c r="J331" s="314" t="s">
        <v>109</v>
      </c>
      <c r="K331" s="314">
        <v>0</v>
      </c>
      <c r="L331" s="314">
        <v>0</v>
      </c>
      <c r="M331" s="315">
        <v>45145.8048611111</v>
      </c>
      <c r="N331" s="314" t="s">
        <v>1368</v>
      </c>
      <c r="O331" s="314" t="s">
        <v>992</v>
      </c>
      <c r="P331" s="314" t="s">
        <v>112</v>
      </c>
      <c r="Q331" s="314" t="s">
        <v>123</v>
      </c>
      <c r="R331" s="315">
        <v>45145.8593634259</v>
      </c>
      <c r="S331" s="314" t="s">
        <v>1368</v>
      </c>
      <c r="T331" s="314" t="s">
        <v>157</v>
      </c>
      <c r="U331" s="314" t="s">
        <v>157</v>
      </c>
      <c r="V331" s="314" t="s">
        <v>114</v>
      </c>
      <c r="W331" s="314"/>
      <c r="X331" s="314" t="str">
        <f>VLOOKUP(D331,代理总表!A:D,3,0)</f>
        <v>飞哥雨燕直播</v>
      </c>
      <c r="Y331" t="str">
        <f>VLOOKUP(D:D,代理总表!A:D,4,FALSE)</f>
        <v>飞哥雨燕直播ffmk88</v>
      </c>
      <c r="Z331">
        <f t="shared" si="15"/>
        <v>0</v>
      </c>
      <c r="AA331">
        <f t="shared" si="16"/>
        <v>19</v>
      </c>
      <c r="AB331">
        <f t="shared" si="17"/>
        <v>1</v>
      </c>
    </row>
    <row r="332" spans="1:28">
      <c r="A332" s="314" t="s">
        <v>1369</v>
      </c>
      <c r="B332" s="314" t="s">
        <v>1370</v>
      </c>
      <c r="C332" s="314">
        <v>18691906672</v>
      </c>
      <c r="D332" s="314" t="s">
        <v>594</v>
      </c>
      <c r="E332" s="314" t="s">
        <v>104</v>
      </c>
      <c r="F332" s="314" t="s">
        <v>1214</v>
      </c>
      <c r="G332" s="314" t="s">
        <v>106</v>
      </c>
      <c r="H332" s="314" t="s">
        <v>107</v>
      </c>
      <c r="I332" s="314" t="s">
        <v>108</v>
      </c>
      <c r="J332" s="314" t="s">
        <v>109</v>
      </c>
      <c r="K332" s="314">
        <v>100.85</v>
      </c>
      <c r="L332" s="314">
        <v>200</v>
      </c>
      <c r="M332" s="315">
        <v>45145.803912037</v>
      </c>
      <c r="N332" s="314" t="s">
        <v>1371</v>
      </c>
      <c r="O332" s="314" t="s">
        <v>988</v>
      </c>
      <c r="P332" s="314" t="s">
        <v>208</v>
      </c>
      <c r="Q332" s="315">
        <v>45145.8092939815</v>
      </c>
      <c r="R332" s="315">
        <v>45145.9060763889</v>
      </c>
      <c r="S332" s="314" t="s">
        <v>1372</v>
      </c>
      <c r="T332" s="314" t="s">
        <v>1373</v>
      </c>
      <c r="U332" s="314" t="s">
        <v>1374</v>
      </c>
      <c r="V332" s="314" t="s">
        <v>114</v>
      </c>
      <c r="W332" s="314"/>
      <c r="X332" s="314" t="str">
        <f>VLOOKUP(D332,代理总表!A:D,3,0)</f>
        <v>zed</v>
      </c>
      <c r="Y332" t="str">
        <f>VLOOKUP(D:D,代理总表!A:D,4,FALSE)</f>
        <v>SEO</v>
      </c>
      <c r="Z332">
        <f t="shared" si="15"/>
        <v>1</v>
      </c>
      <c r="AA332">
        <f t="shared" si="16"/>
        <v>19</v>
      </c>
      <c r="AB332">
        <f t="shared" si="17"/>
        <v>1</v>
      </c>
    </row>
    <row r="333" spans="1:28">
      <c r="A333" s="314" t="s">
        <v>1375</v>
      </c>
      <c r="B333" s="314" t="s">
        <v>1376</v>
      </c>
      <c r="C333" s="314">
        <v>972570454</v>
      </c>
      <c r="D333" s="314" t="s">
        <v>116</v>
      </c>
      <c r="E333" s="314" t="s">
        <v>117</v>
      </c>
      <c r="F333" s="314" t="s">
        <v>118</v>
      </c>
      <c r="G333" s="314" t="s">
        <v>108</v>
      </c>
      <c r="H333" s="314" t="s">
        <v>119</v>
      </c>
      <c r="I333" s="314" t="s">
        <v>108</v>
      </c>
      <c r="J333" s="314" t="s">
        <v>120</v>
      </c>
      <c r="K333" s="314">
        <v>0</v>
      </c>
      <c r="L333" s="314">
        <v>0</v>
      </c>
      <c r="M333" s="315">
        <v>45145.8031481481</v>
      </c>
      <c r="N333" s="314" t="s">
        <v>1377</v>
      </c>
      <c r="O333" s="314" t="s">
        <v>122</v>
      </c>
      <c r="P333" s="314" t="s">
        <v>112</v>
      </c>
      <c r="Q333" s="314" t="s">
        <v>123</v>
      </c>
      <c r="R333" s="315">
        <v>45146.0860069444</v>
      </c>
      <c r="S333" s="314" t="s">
        <v>1378</v>
      </c>
      <c r="T333" s="314" t="s">
        <v>217</v>
      </c>
      <c r="U333" s="314" t="s">
        <v>177</v>
      </c>
      <c r="V333" s="314" t="s">
        <v>114</v>
      </c>
      <c r="W333" s="314"/>
      <c r="X333" s="314" t="str">
        <f>VLOOKUP(D333,代理总表!A:D,3,0)</f>
        <v>外部代理总线</v>
      </c>
      <c r="Y333" t="str">
        <f>VLOOKUP(D:D,代理总表!A:D,4,FALSE)</f>
        <v>外部代理总线zh0808</v>
      </c>
      <c r="Z333">
        <f t="shared" si="15"/>
        <v>0</v>
      </c>
      <c r="AA333">
        <f t="shared" si="16"/>
        <v>19</v>
      </c>
      <c r="AB333">
        <f t="shared" si="17"/>
        <v>1</v>
      </c>
    </row>
    <row r="334" spans="1:28">
      <c r="A334" s="314" t="s">
        <v>1379</v>
      </c>
      <c r="B334" s="314" t="s">
        <v>1380</v>
      </c>
      <c r="C334" s="314">
        <v>987630727</v>
      </c>
      <c r="D334" s="314" t="s">
        <v>116</v>
      </c>
      <c r="E334" s="314" t="s">
        <v>117</v>
      </c>
      <c r="F334" s="314" t="s">
        <v>144</v>
      </c>
      <c r="G334" s="314" t="s">
        <v>106</v>
      </c>
      <c r="H334" s="314" t="s">
        <v>107</v>
      </c>
      <c r="I334" s="314" t="s">
        <v>108</v>
      </c>
      <c r="J334" s="314" t="s">
        <v>120</v>
      </c>
      <c r="K334" s="314">
        <v>10000000</v>
      </c>
      <c r="L334" s="314">
        <v>0</v>
      </c>
      <c r="M334" s="315">
        <v>45145.8029166667</v>
      </c>
      <c r="N334" s="314" t="s">
        <v>1381</v>
      </c>
      <c r="O334" s="314" t="s">
        <v>122</v>
      </c>
      <c r="P334" s="314" t="s">
        <v>112</v>
      </c>
      <c r="Q334" s="315">
        <v>45145.8103587963</v>
      </c>
      <c r="R334" s="315">
        <v>45145.8590162037</v>
      </c>
      <c r="S334" s="314" t="s">
        <v>1382</v>
      </c>
      <c r="T334" s="314" t="s">
        <v>1383</v>
      </c>
      <c r="U334" s="314" t="s">
        <v>1383</v>
      </c>
      <c r="V334" s="314" t="s">
        <v>114</v>
      </c>
      <c r="W334" s="314"/>
      <c r="X334" s="314" t="str">
        <f>VLOOKUP(D334,代理总表!A:D,3,0)</f>
        <v>外部代理总线</v>
      </c>
      <c r="Y334" t="str">
        <f>VLOOKUP(D:D,代理总表!A:D,4,FALSE)</f>
        <v>外部代理总线zh0808</v>
      </c>
      <c r="Z334">
        <f t="shared" si="15"/>
        <v>1</v>
      </c>
      <c r="AA334">
        <f t="shared" si="16"/>
        <v>19</v>
      </c>
      <c r="AB334">
        <f t="shared" si="17"/>
        <v>1</v>
      </c>
    </row>
    <row r="335" spans="1:28">
      <c r="A335" s="314" t="s">
        <v>1384</v>
      </c>
      <c r="B335" s="314"/>
      <c r="C335" s="314"/>
      <c r="D335" s="314" t="s">
        <v>172</v>
      </c>
      <c r="E335" s="314" t="s">
        <v>117</v>
      </c>
      <c r="F335" s="314" t="s">
        <v>118</v>
      </c>
      <c r="G335" s="314" t="s">
        <v>108</v>
      </c>
      <c r="H335" s="314" t="s">
        <v>119</v>
      </c>
      <c r="I335" s="314" t="s">
        <v>108</v>
      </c>
      <c r="J335" s="314" t="s">
        <v>120</v>
      </c>
      <c r="K335" s="314">
        <v>0</v>
      </c>
      <c r="L335" s="314">
        <v>0</v>
      </c>
      <c r="M335" s="315">
        <v>45145.8025</v>
      </c>
      <c r="N335" s="314" t="s">
        <v>1385</v>
      </c>
      <c r="O335" s="314" t="s">
        <v>1205</v>
      </c>
      <c r="P335" s="314" t="s">
        <v>339</v>
      </c>
      <c r="Q335" s="314" t="s">
        <v>123</v>
      </c>
      <c r="R335" s="315">
        <v>45145.8035532407</v>
      </c>
      <c r="S335" s="314" t="s">
        <v>1385</v>
      </c>
      <c r="T335" s="314" t="s">
        <v>124</v>
      </c>
      <c r="U335" s="314" t="s">
        <v>124</v>
      </c>
      <c r="V335" s="314" t="s">
        <v>114</v>
      </c>
      <c r="W335" s="314"/>
      <c r="X335" s="314" t="str">
        <f>VLOOKUP(D335,代理总表!A:D,3,0)</f>
        <v>雨燕直播-越</v>
      </c>
      <c r="Y335" t="str">
        <f>VLOOKUP(D:D,代理总表!A:D,4,FALSE)</f>
        <v>雨燕直播-越ffvn66</v>
      </c>
      <c r="Z335">
        <f t="shared" si="15"/>
        <v>0</v>
      </c>
      <c r="AA335">
        <f t="shared" si="16"/>
        <v>19</v>
      </c>
      <c r="AB335">
        <f t="shared" si="17"/>
        <v>1</v>
      </c>
    </row>
    <row r="336" spans="1:28">
      <c r="A336" s="314" t="s">
        <v>1386</v>
      </c>
      <c r="B336" s="314" t="s">
        <v>1387</v>
      </c>
      <c r="C336" s="314">
        <v>15757388461</v>
      </c>
      <c r="D336" s="314" t="s">
        <v>148</v>
      </c>
      <c r="E336" s="314" t="s">
        <v>104</v>
      </c>
      <c r="F336" s="314" t="s">
        <v>181</v>
      </c>
      <c r="G336" s="314" t="s">
        <v>106</v>
      </c>
      <c r="H336" s="314" t="s">
        <v>107</v>
      </c>
      <c r="I336" s="314" t="s">
        <v>108</v>
      </c>
      <c r="J336" s="314" t="s">
        <v>109</v>
      </c>
      <c r="K336" s="314">
        <v>100</v>
      </c>
      <c r="L336" s="314">
        <v>0</v>
      </c>
      <c r="M336" s="315">
        <v>45145.8016435185</v>
      </c>
      <c r="N336" s="314" t="s">
        <v>1388</v>
      </c>
      <c r="O336" s="314" t="s">
        <v>160</v>
      </c>
      <c r="P336" s="314" t="s">
        <v>208</v>
      </c>
      <c r="Q336" s="315">
        <v>45145.8091319444</v>
      </c>
      <c r="R336" s="315">
        <v>45145.8016435185</v>
      </c>
      <c r="S336" s="314" t="s">
        <v>1388</v>
      </c>
      <c r="T336" s="314" t="s">
        <v>1389</v>
      </c>
      <c r="U336" s="314" t="s">
        <v>1389</v>
      </c>
      <c r="V336" s="314" t="s">
        <v>114</v>
      </c>
      <c r="W336" s="314"/>
      <c r="X336" s="314" t="str">
        <f>VLOOKUP(D336,代理总表!A:D,3,0)</f>
        <v>martin</v>
      </c>
      <c r="Y336" t="str">
        <f>VLOOKUP(D:D,代理总表!A:D,4,FALSE)</f>
        <v>SEO</v>
      </c>
      <c r="Z336">
        <f t="shared" si="15"/>
        <v>1</v>
      </c>
      <c r="AA336">
        <f t="shared" si="16"/>
        <v>19</v>
      </c>
      <c r="AB336">
        <f t="shared" si="17"/>
        <v>1</v>
      </c>
    </row>
    <row r="337" spans="1:28">
      <c r="A337" s="314" t="s">
        <v>1390</v>
      </c>
      <c r="B337" s="314"/>
      <c r="C337" s="314"/>
      <c r="D337" s="314" t="s">
        <v>558</v>
      </c>
      <c r="E337" s="314" t="s">
        <v>104</v>
      </c>
      <c r="F337" s="314" t="s">
        <v>118</v>
      </c>
      <c r="G337" s="314" t="s">
        <v>108</v>
      </c>
      <c r="H337" s="314" t="s">
        <v>119</v>
      </c>
      <c r="I337" s="314" t="s">
        <v>108</v>
      </c>
      <c r="J337" s="314" t="s">
        <v>109</v>
      </c>
      <c r="K337" s="314">
        <v>0</v>
      </c>
      <c r="L337" s="314">
        <v>0</v>
      </c>
      <c r="M337" s="315">
        <v>45145.801412037</v>
      </c>
      <c r="N337" s="314" t="s">
        <v>1391</v>
      </c>
      <c r="O337" s="314" t="s">
        <v>560</v>
      </c>
      <c r="P337" s="314" t="s">
        <v>112</v>
      </c>
      <c r="Q337" s="314" t="s">
        <v>123</v>
      </c>
      <c r="R337" s="315">
        <v>45145.801412037</v>
      </c>
      <c r="S337" s="314" t="s">
        <v>1391</v>
      </c>
      <c r="T337" s="314" t="s">
        <v>1392</v>
      </c>
      <c r="U337" s="314" t="s">
        <v>1392</v>
      </c>
      <c r="V337" s="314" t="s">
        <v>114</v>
      </c>
      <c r="W337" s="314"/>
      <c r="X337" s="314" t="str">
        <f>VLOOKUP(D337,代理总表!A:D,3,0)</f>
        <v>雨燕直播</v>
      </c>
      <c r="Y337" t="str">
        <f>VLOOKUP(D:D,代理总表!A:D,4,FALSE)</f>
        <v>雨燕直播zzzb888</v>
      </c>
      <c r="Z337">
        <f t="shared" si="15"/>
        <v>0</v>
      </c>
      <c r="AA337">
        <f t="shared" si="16"/>
        <v>19</v>
      </c>
      <c r="AB337">
        <f t="shared" si="17"/>
        <v>1</v>
      </c>
    </row>
    <row r="338" spans="1:28">
      <c r="A338" s="314" t="s">
        <v>1393</v>
      </c>
      <c r="B338" s="314" t="s">
        <v>1394</v>
      </c>
      <c r="C338" s="314">
        <v>377184033</v>
      </c>
      <c r="D338" s="314" t="s">
        <v>1395</v>
      </c>
      <c r="E338" s="314" t="s">
        <v>117</v>
      </c>
      <c r="F338" s="314" t="s">
        <v>118</v>
      </c>
      <c r="G338" s="314" t="s">
        <v>108</v>
      </c>
      <c r="H338" s="314" t="s">
        <v>119</v>
      </c>
      <c r="I338" s="314" t="s">
        <v>108</v>
      </c>
      <c r="J338" s="314" t="s">
        <v>120</v>
      </c>
      <c r="K338" s="314">
        <v>0</v>
      </c>
      <c r="L338" s="314">
        <v>0</v>
      </c>
      <c r="M338" s="315">
        <v>45145.8010763889</v>
      </c>
      <c r="N338" s="314" t="s">
        <v>1396</v>
      </c>
      <c r="O338" s="314" t="s">
        <v>1397</v>
      </c>
      <c r="P338" s="314" t="s">
        <v>112</v>
      </c>
      <c r="Q338" s="314" t="s">
        <v>123</v>
      </c>
      <c r="R338" s="315">
        <v>45146.0518055556</v>
      </c>
      <c r="S338" s="314" t="s">
        <v>1398</v>
      </c>
      <c r="T338" s="314" t="s">
        <v>177</v>
      </c>
      <c r="U338" s="314" t="s">
        <v>177</v>
      </c>
      <c r="V338" s="314" t="s">
        <v>114</v>
      </c>
      <c r="W338" s="314"/>
      <c r="X338" s="314" t="str">
        <f>VLOOKUP(D338,代理总表!A:D,3,0)</f>
        <v>外代-越</v>
      </c>
      <c r="Y338" t="str">
        <f>VLOOKUP(D:D,代理总表!A:D,4,FALSE)</f>
        <v>外代-越btydl072</v>
      </c>
      <c r="Z338">
        <f t="shared" si="15"/>
        <v>0</v>
      </c>
      <c r="AA338">
        <f t="shared" si="16"/>
        <v>19</v>
      </c>
      <c r="AB338">
        <f t="shared" si="17"/>
        <v>1</v>
      </c>
    </row>
    <row r="339" spans="1:28">
      <c r="A339" s="314" t="s">
        <v>1399</v>
      </c>
      <c r="B339" s="314"/>
      <c r="C339" s="314">
        <v>15675138593</v>
      </c>
      <c r="D339" s="314" t="s">
        <v>594</v>
      </c>
      <c r="E339" s="314" t="s">
        <v>104</v>
      </c>
      <c r="F339" s="314" t="s">
        <v>149</v>
      </c>
      <c r="G339" s="314" t="s">
        <v>108</v>
      </c>
      <c r="H339" s="314" t="s">
        <v>119</v>
      </c>
      <c r="I339" s="314" t="s">
        <v>108</v>
      </c>
      <c r="J339" s="314" t="s">
        <v>109</v>
      </c>
      <c r="K339" s="314">
        <v>0</v>
      </c>
      <c r="L339" s="314">
        <v>0</v>
      </c>
      <c r="M339" s="315">
        <v>45145.8006712963</v>
      </c>
      <c r="N339" s="314" t="s">
        <v>1400</v>
      </c>
      <c r="O339" s="314" t="s">
        <v>914</v>
      </c>
      <c r="P339" s="314" t="s">
        <v>112</v>
      </c>
      <c r="Q339" s="314" t="s">
        <v>123</v>
      </c>
      <c r="R339" s="315">
        <v>45145.8006597222</v>
      </c>
      <c r="S339" s="314" t="s">
        <v>1400</v>
      </c>
      <c r="T339" s="314" t="s">
        <v>1401</v>
      </c>
      <c r="U339" s="314" t="s">
        <v>1401</v>
      </c>
      <c r="V339" s="314" t="s">
        <v>114</v>
      </c>
      <c r="W339" s="314"/>
      <c r="X339" s="314" t="str">
        <f>VLOOKUP(D339,代理总表!A:D,3,0)</f>
        <v>zed</v>
      </c>
      <c r="Y339" t="str">
        <f>VLOOKUP(D:D,代理总表!A:D,4,FALSE)</f>
        <v>SEO</v>
      </c>
      <c r="Z339">
        <f t="shared" si="15"/>
        <v>0</v>
      </c>
      <c r="AA339">
        <f t="shared" si="16"/>
        <v>19</v>
      </c>
      <c r="AB339">
        <f t="shared" si="17"/>
        <v>1</v>
      </c>
    </row>
    <row r="340" spans="1:28">
      <c r="A340" s="314" t="s">
        <v>1402</v>
      </c>
      <c r="B340" s="314" t="s">
        <v>1403</v>
      </c>
      <c r="C340" s="314">
        <v>388315349</v>
      </c>
      <c r="D340" s="314" t="s">
        <v>116</v>
      </c>
      <c r="E340" s="314" t="s">
        <v>117</v>
      </c>
      <c r="F340" s="314" t="s">
        <v>118</v>
      </c>
      <c r="G340" s="314" t="s">
        <v>108</v>
      </c>
      <c r="H340" s="314" t="s">
        <v>119</v>
      </c>
      <c r="I340" s="314" t="s">
        <v>108</v>
      </c>
      <c r="J340" s="314" t="s">
        <v>120</v>
      </c>
      <c r="K340" s="314">
        <v>0</v>
      </c>
      <c r="L340" s="314">
        <v>0</v>
      </c>
      <c r="M340" s="315">
        <v>45145.8004050926</v>
      </c>
      <c r="N340" s="314" t="s">
        <v>1404</v>
      </c>
      <c r="O340" s="314" t="s">
        <v>122</v>
      </c>
      <c r="P340" s="314" t="s">
        <v>112</v>
      </c>
      <c r="Q340" s="314" t="s">
        <v>123</v>
      </c>
      <c r="R340" s="315">
        <v>45145.8003935185</v>
      </c>
      <c r="S340" s="314" t="s">
        <v>1404</v>
      </c>
      <c r="T340" s="314" t="s">
        <v>124</v>
      </c>
      <c r="U340" s="314" t="s">
        <v>124</v>
      </c>
      <c r="V340" s="314" t="s">
        <v>114</v>
      </c>
      <c r="W340" s="314"/>
      <c r="X340" s="314" t="str">
        <f>VLOOKUP(D340,代理总表!A:D,3,0)</f>
        <v>外部代理总线</v>
      </c>
      <c r="Y340" t="str">
        <f>VLOOKUP(D:D,代理总表!A:D,4,FALSE)</f>
        <v>外部代理总线zh0808</v>
      </c>
      <c r="Z340">
        <f t="shared" si="15"/>
        <v>0</v>
      </c>
      <c r="AA340">
        <f t="shared" si="16"/>
        <v>19</v>
      </c>
      <c r="AB340">
        <f t="shared" si="17"/>
        <v>1</v>
      </c>
    </row>
    <row r="341" spans="1:28">
      <c r="A341" s="314" t="s">
        <v>1405</v>
      </c>
      <c r="B341" s="314"/>
      <c r="C341" s="314">
        <v>17608784460</v>
      </c>
      <c r="D341" s="314" t="s">
        <v>1406</v>
      </c>
      <c r="E341" s="314" t="s">
        <v>104</v>
      </c>
      <c r="F341" s="314" t="s">
        <v>149</v>
      </c>
      <c r="G341" s="314" t="s">
        <v>108</v>
      </c>
      <c r="H341" s="314" t="s">
        <v>119</v>
      </c>
      <c r="I341" s="314" t="s">
        <v>108</v>
      </c>
      <c r="J341" s="314" t="s">
        <v>109</v>
      </c>
      <c r="K341" s="314">
        <v>0</v>
      </c>
      <c r="L341" s="314">
        <v>0</v>
      </c>
      <c r="M341" s="315">
        <v>45145.8003356481</v>
      </c>
      <c r="N341" s="314" t="s">
        <v>1407</v>
      </c>
      <c r="O341" s="314" t="s">
        <v>1408</v>
      </c>
      <c r="P341" s="314" t="s">
        <v>339</v>
      </c>
      <c r="Q341" s="314" t="s">
        <v>123</v>
      </c>
      <c r="R341" s="315">
        <v>45145.8003356481</v>
      </c>
      <c r="S341" s="314" t="s">
        <v>1407</v>
      </c>
      <c r="T341" s="314" t="s">
        <v>1409</v>
      </c>
      <c r="U341" s="314" t="s">
        <v>1409</v>
      </c>
      <c r="V341" s="314" t="s">
        <v>114</v>
      </c>
      <c r="W341" s="314"/>
      <c r="X341" s="314" t="str">
        <f>VLOOKUP(D341,代理总表!A:D,3,0)</f>
        <v>原电销使用</v>
      </c>
      <c r="Y341" t="str">
        <f>VLOOKUP(D:D,代理总表!A:D,4,FALSE)</f>
        <v>原电销使用</v>
      </c>
      <c r="Z341">
        <f t="shared" si="15"/>
        <v>0</v>
      </c>
      <c r="AA341">
        <f t="shared" si="16"/>
        <v>19</v>
      </c>
      <c r="AB341">
        <f t="shared" si="17"/>
        <v>1</v>
      </c>
    </row>
    <row r="342" spans="1:28">
      <c r="A342" s="314" t="s">
        <v>1410</v>
      </c>
      <c r="B342" s="314" t="s">
        <v>1411</v>
      </c>
      <c r="C342" s="314">
        <v>16604852618</v>
      </c>
      <c r="D342" s="314" t="s">
        <v>805</v>
      </c>
      <c r="E342" s="314" t="s">
        <v>104</v>
      </c>
      <c r="F342" s="314" t="s">
        <v>144</v>
      </c>
      <c r="G342" s="314" t="s">
        <v>106</v>
      </c>
      <c r="H342" s="314" t="s">
        <v>107</v>
      </c>
      <c r="I342" s="314" t="s">
        <v>108</v>
      </c>
      <c r="J342" s="314" t="s">
        <v>109</v>
      </c>
      <c r="K342" s="314">
        <v>10</v>
      </c>
      <c r="L342" s="314">
        <v>100</v>
      </c>
      <c r="M342" s="315">
        <v>45145.7993171296</v>
      </c>
      <c r="N342" s="314" t="s">
        <v>1412</v>
      </c>
      <c r="O342" s="314" t="s">
        <v>992</v>
      </c>
      <c r="P342" s="314" t="s">
        <v>161</v>
      </c>
      <c r="Q342" s="315">
        <v>45145.8047685185</v>
      </c>
      <c r="R342" s="315">
        <v>45145.8802546296</v>
      </c>
      <c r="S342" s="314" t="s">
        <v>1412</v>
      </c>
      <c r="T342" s="314" t="s">
        <v>1413</v>
      </c>
      <c r="U342" s="314" t="s">
        <v>1413</v>
      </c>
      <c r="V342" s="314" t="s">
        <v>114</v>
      </c>
      <c r="W342" s="314"/>
      <c r="X342" s="314" t="str">
        <f>VLOOKUP(D342,代理总表!A:D,3,0)</f>
        <v>飞哥雨燕直播</v>
      </c>
      <c r="Y342" t="str">
        <f>VLOOKUP(D:D,代理总表!A:D,4,FALSE)</f>
        <v>飞哥雨燕直播ffmk88</v>
      </c>
      <c r="Z342">
        <f t="shared" si="15"/>
        <v>1</v>
      </c>
      <c r="AA342">
        <f t="shared" si="16"/>
        <v>19</v>
      </c>
      <c r="AB342">
        <f t="shared" si="17"/>
        <v>1</v>
      </c>
    </row>
    <row r="343" spans="1:28">
      <c r="A343" s="314" t="s">
        <v>1414</v>
      </c>
      <c r="B343" s="314"/>
      <c r="C343" s="314"/>
      <c r="D343" s="314" t="s">
        <v>1317</v>
      </c>
      <c r="E343" s="314" t="s">
        <v>117</v>
      </c>
      <c r="F343" s="314" t="s">
        <v>118</v>
      </c>
      <c r="G343" s="314" t="s">
        <v>108</v>
      </c>
      <c r="H343" s="314" t="s">
        <v>119</v>
      </c>
      <c r="I343" s="314" t="s">
        <v>108</v>
      </c>
      <c r="J343" s="314" t="s">
        <v>120</v>
      </c>
      <c r="K343" s="314">
        <v>0</v>
      </c>
      <c r="L343" s="314">
        <v>0</v>
      </c>
      <c r="M343" s="315">
        <v>45145.7988657407</v>
      </c>
      <c r="N343" s="314" t="s">
        <v>1415</v>
      </c>
      <c r="O343" s="314" t="s">
        <v>1416</v>
      </c>
      <c r="P343" s="314" t="s">
        <v>339</v>
      </c>
      <c r="Q343" s="314" t="s">
        <v>123</v>
      </c>
      <c r="R343" s="315">
        <v>45145.8013194444</v>
      </c>
      <c r="S343" s="314" t="s">
        <v>1415</v>
      </c>
      <c r="T343" s="314" t="s">
        <v>131</v>
      </c>
      <c r="U343" s="314" t="s">
        <v>131</v>
      </c>
      <c r="V343" s="314" t="s">
        <v>114</v>
      </c>
      <c r="W343" s="314"/>
      <c r="X343" s="314" t="str">
        <f>VLOOKUP(D343,代理总表!A:D,3,0)</f>
        <v>外部代理总线</v>
      </c>
      <c r="Y343" t="str">
        <f>VLOOKUP(D:D,代理总表!A:D,4,FALSE)</f>
        <v>外部代理总线zh0808</v>
      </c>
      <c r="Z343">
        <f t="shared" si="15"/>
        <v>0</v>
      </c>
      <c r="AA343">
        <f t="shared" si="16"/>
        <v>19</v>
      </c>
      <c r="AB343">
        <f t="shared" si="17"/>
        <v>1</v>
      </c>
    </row>
    <row r="344" spans="1:28">
      <c r="A344" s="314" t="s">
        <v>1417</v>
      </c>
      <c r="B344" s="314" t="s">
        <v>1418</v>
      </c>
      <c r="C344" s="314">
        <v>9983604433</v>
      </c>
      <c r="D344" s="314" t="s">
        <v>172</v>
      </c>
      <c r="E344" s="314" t="s">
        <v>117</v>
      </c>
      <c r="F344" s="314" t="s">
        <v>118</v>
      </c>
      <c r="G344" s="314" t="s">
        <v>108</v>
      </c>
      <c r="H344" s="314" t="s">
        <v>119</v>
      </c>
      <c r="I344" s="314" t="s">
        <v>108</v>
      </c>
      <c r="J344" s="314" t="s">
        <v>120</v>
      </c>
      <c r="K344" s="314">
        <v>0</v>
      </c>
      <c r="L344" s="314">
        <v>0</v>
      </c>
      <c r="M344" s="315">
        <v>45145.7983449074</v>
      </c>
      <c r="N344" s="314" t="s">
        <v>337</v>
      </c>
      <c r="O344" s="314" t="s">
        <v>1205</v>
      </c>
      <c r="P344" s="314" t="s">
        <v>339</v>
      </c>
      <c r="Q344" s="314" t="s">
        <v>123</v>
      </c>
      <c r="R344" s="315">
        <v>45145.8119212963</v>
      </c>
      <c r="S344" s="314" t="s">
        <v>1419</v>
      </c>
      <c r="T344" s="314" t="s">
        <v>340</v>
      </c>
      <c r="U344" s="314" t="s">
        <v>907</v>
      </c>
      <c r="V344" s="314" t="s">
        <v>114</v>
      </c>
      <c r="W344" s="314"/>
      <c r="X344" s="314" t="str">
        <f>VLOOKUP(D344,代理总表!A:D,3,0)</f>
        <v>雨燕直播-越</v>
      </c>
      <c r="Y344" t="str">
        <f>VLOOKUP(D:D,代理总表!A:D,4,FALSE)</f>
        <v>雨燕直播-越ffvn66</v>
      </c>
      <c r="Z344">
        <f t="shared" si="15"/>
        <v>0</v>
      </c>
      <c r="AA344">
        <f t="shared" si="16"/>
        <v>19</v>
      </c>
      <c r="AB344">
        <f t="shared" si="17"/>
        <v>1</v>
      </c>
    </row>
    <row r="345" spans="1:28">
      <c r="A345" s="314" t="s">
        <v>1420</v>
      </c>
      <c r="B345" s="314"/>
      <c r="C345" s="314"/>
      <c r="D345" s="314" t="s">
        <v>550</v>
      </c>
      <c r="E345" s="314" t="s">
        <v>117</v>
      </c>
      <c r="F345" s="314" t="s">
        <v>118</v>
      </c>
      <c r="G345" s="314" t="s">
        <v>108</v>
      </c>
      <c r="H345" s="314" t="s">
        <v>119</v>
      </c>
      <c r="I345" s="314" t="s">
        <v>108</v>
      </c>
      <c r="J345" s="314" t="s">
        <v>120</v>
      </c>
      <c r="K345" s="314">
        <v>0</v>
      </c>
      <c r="L345" s="314">
        <v>0</v>
      </c>
      <c r="M345" s="315">
        <v>45145.7977430556</v>
      </c>
      <c r="N345" s="314" t="s">
        <v>1421</v>
      </c>
      <c r="O345" s="314" t="s">
        <v>1422</v>
      </c>
      <c r="P345" s="314" t="s">
        <v>112</v>
      </c>
      <c r="Q345" s="314" t="s">
        <v>123</v>
      </c>
      <c r="R345" s="315">
        <v>45145.7977314815</v>
      </c>
      <c r="S345" s="314" t="s">
        <v>1421</v>
      </c>
      <c r="T345" s="314" t="s">
        <v>124</v>
      </c>
      <c r="U345" s="314" t="s">
        <v>124</v>
      </c>
      <c r="V345" s="314" t="s">
        <v>114</v>
      </c>
      <c r="W345" s="314"/>
      <c r="X345" s="314" t="str">
        <f>VLOOKUP(D345,代理总表!A:D,3,0)</f>
        <v>SOCO越南直播</v>
      </c>
      <c r="Y345" t="str">
        <f>VLOOKUP(D:D,代理总表!A:D,4,FALSE)</f>
        <v>SOCO越南直播ffvn66</v>
      </c>
      <c r="Z345">
        <f t="shared" si="15"/>
        <v>0</v>
      </c>
      <c r="AA345">
        <f t="shared" si="16"/>
        <v>19</v>
      </c>
      <c r="AB345">
        <f t="shared" si="17"/>
        <v>1</v>
      </c>
    </row>
    <row r="346" spans="1:28">
      <c r="A346" s="314" t="s">
        <v>1423</v>
      </c>
      <c r="B346" s="314" t="s">
        <v>1424</v>
      </c>
      <c r="C346" s="314">
        <v>13347502375</v>
      </c>
      <c r="D346" s="314" t="s">
        <v>587</v>
      </c>
      <c r="E346" s="314" t="s">
        <v>104</v>
      </c>
      <c r="F346" s="314" t="s">
        <v>118</v>
      </c>
      <c r="G346" s="314" t="s">
        <v>108</v>
      </c>
      <c r="H346" s="314" t="s">
        <v>119</v>
      </c>
      <c r="I346" s="314" t="s">
        <v>108</v>
      </c>
      <c r="J346" s="314" t="s">
        <v>109</v>
      </c>
      <c r="K346" s="314">
        <v>0</v>
      </c>
      <c r="L346" s="314">
        <v>0</v>
      </c>
      <c r="M346" s="315">
        <v>45145.7972337963</v>
      </c>
      <c r="N346" s="314" t="s">
        <v>1425</v>
      </c>
      <c r="O346" s="314" t="s">
        <v>589</v>
      </c>
      <c r="P346" s="314" t="s">
        <v>112</v>
      </c>
      <c r="Q346" s="314" t="s">
        <v>123</v>
      </c>
      <c r="R346" s="315">
        <v>45146.0077546296</v>
      </c>
      <c r="S346" s="314" t="s">
        <v>1425</v>
      </c>
      <c r="T346" s="314" t="s">
        <v>1426</v>
      </c>
      <c r="U346" s="314" t="s">
        <v>1426</v>
      </c>
      <c r="V346" s="314" t="s">
        <v>114</v>
      </c>
      <c r="W346" s="314"/>
      <c r="X346" s="314" t="str">
        <f>VLOOKUP(D346,代理总表!A:D,3,0)</f>
        <v>飞哥雨燕直播</v>
      </c>
      <c r="Y346" t="str">
        <f>VLOOKUP(D:D,代理总表!A:D,4,FALSE)</f>
        <v>飞哥雨燕直播ffmk88</v>
      </c>
      <c r="Z346">
        <f t="shared" si="15"/>
        <v>0</v>
      </c>
      <c r="AA346">
        <f t="shared" si="16"/>
        <v>19</v>
      </c>
      <c r="AB346">
        <f t="shared" si="17"/>
        <v>1</v>
      </c>
    </row>
    <row r="347" spans="1:28">
      <c r="A347" s="314" t="s">
        <v>1427</v>
      </c>
      <c r="B347" s="314"/>
      <c r="C347" s="314"/>
      <c r="D347" s="314" t="s">
        <v>116</v>
      </c>
      <c r="E347" s="314" t="s">
        <v>117</v>
      </c>
      <c r="F347" s="314" t="s">
        <v>118</v>
      </c>
      <c r="G347" s="314" t="s">
        <v>108</v>
      </c>
      <c r="H347" s="314" t="s">
        <v>119</v>
      </c>
      <c r="I347" s="314" t="s">
        <v>108</v>
      </c>
      <c r="J347" s="314" t="s">
        <v>120</v>
      </c>
      <c r="K347" s="314">
        <v>0</v>
      </c>
      <c r="L347" s="314">
        <v>0</v>
      </c>
      <c r="M347" s="315">
        <v>45145.7970601852</v>
      </c>
      <c r="N347" s="314" t="s">
        <v>1428</v>
      </c>
      <c r="O347" s="314" t="s">
        <v>122</v>
      </c>
      <c r="P347" s="314" t="s">
        <v>112</v>
      </c>
      <c r="Q347" s="314" t="s">
        <v>123</v>
      </c>
      <c r="R347" s="315">
        <v>45145.7976851852</v>
      </c>
      <c r="S347" s="314" t="s">
        <v>1428</v>
      </c>
      <c r="T347" s="314" t="s">
        <v>1226</v>
      </c>
      <c r="U347" s="314" t="s">
        <v>1226</v>
      </c>
      <c r="V347" s="314" t="s">
        <v>114</v>
      </c>
      <c r="W347" s="314"/>
      <c r="X347" s="314" t="str">
        <f>VLOOKUP(D347,代理总表!A:D,3,0)</f>
        <v>外部代理总线</v>
      </c>
      <c r="Y347" t="str">
        <f>VLOOKUP(D:D,代理总表!A:D,4,FALSE)</f>
        <v>外部代理总线zh0808</v>
      </c>
      <c r="Z347">
        <f t="shared" si="15"/>
        <v>0</v>
      </c>
      <c r="AA347">
        <f t="shared" si="16"/>
        <v>19</v>
      </c>
      <c r="AB347">
        <f t="shared" si="17"/>
        <v>1</v>
      </c>
    </row>
    <row r="348" spans="1:28">
      <c r="A348" s="314" t="s">
        <v>1429</v>
      </c>
      <c r="B348" s="314" t="s">
        <v>1430</v>
      </c>
      <c r="C348" s="314">
        <v>18575208864</v>
      </c>
      <c r="D348" s="314" t="s">
        <v>148</v>
      </c>
      <c r="E348" s="314" t="s">
        <v>104</v>
      </c>
      <c r="F348" s="314" t="s">
        <v>181</v>
      </c>
      <c r="G348" s="314" t="s">
        <v>106</v>
      </c>
      <c r="H348" s="314" t="s">
        <v>107</v>
      </c>
      <c r="I348" s="314" t="s">
        <v>108</v>
      </c>
      <c r="J348" s="314" t="s">
        <v>109</v>
      </c>
      <c r="K348" s="314">
        <v>0.18</v>
      </c>
      <c r="L348" s="314">
        <v>104</v>
      </c>
      <c r="M348" s="315">
        <v>45145.7969560185</v>
      </c>
      <c r="N348" s="314" t="s">
        <v>1431</v>
      </c>
      <c r="O348" s="314" t="s">
        <v>585</v>
      </c>
      <c r="P348" s="314" t="s">
        <v>112</v>
      </c>
      <c r="Q348" s="315">
        <v>45145.8042476852</v>
      </c>
      <c r="R348" s="315">
        <v>45145.8750810185</v>
      </c>
      <c r="S348" s="314" t="s">
        <v>1431</v>
      </c>
      <c r="T348" s="314" t="s">
        <v>152</v>
      </c>
      <c r="U348" s="314" t="s">
        <v>152</v>
      </c>
      <c r="V348" s="314" t="s">
        <v>114</v>
      </c>
      <c r="W348" s="314" t="s">
        <v>1432</v>
      </c>
      <c r="X348" s="314" t="str">
        <f>VLOOKUP(D348,代理总表!A:D,3,0)</f>
        <v>martin</v>
      </c>
      <c r="Y348" t="str">
        <f>VLOOKUP(D:D,代理总表!A:D,4,FALSE)</f>
        <v>SEO</v>
      </c>
      <c r="Z348">
        <f t="shared" si="15"/>
        <v>1</v>
      </c>
      <c r="AA348">
        <f t="shared" si="16"/>
        <v>19</v>
      </c>
      <c r="AB348">
        <f t="shared" si="17"/>
        <v>1</v>
      </c>
    </row>
    <row r="349" spans="1:28">
      <c r="A349" s="314" t="s">
        <v>1433</v>
      </c>
      <c r="B349" s="314" t="s">
        <v>1434</v>
      </c>
      <c r="C349" s="314">
        <v>563525455</v>
      </c>
      <c r="D349" s="314" t="s">
        <v>1150</v>
      </c>
      <c r="E349" s="314" t="s">
        <v>117</v>
      </c>
      <c r="F349" s="314" t="s">
        <v>144</v>
      </c>
      <c r="G349" s="314" t="s">
        <v>106</v>
      </c>
      <c r="H349" s="314" t="s">
        <v>107</v>
      </c>
      <c r="I349" s="314" t="s">
        <v>108</v>
      </c>
      <c r="J349" s="314" t="s">
        <v>120</v>
      </c>
      <c r="K349" s="314">
        <v>50000</v>
      </c>
      <c r="L349" s="314">
        <v>0</v>
      </c>
      <c r="M349" s="315">
        <v>45145.7963888889</v>
      </c>
      <c r="N349" s="314" t="s">
        <v>1435</v>
      </c>
      <c r="O349" s="314" t="s">
        <v>1152</v>
      </c>
      <c r="P349" s="314" t="s">
        <v>112</v>
      </c>
      <c r="Q349" s="315">
        <v>45145.8851851852</v>
      </c>
      <c r="R349" s="315">
        <v>45145.8816203704</v>
      </c>
      <c r="S349" s="314" t="s">
        <v>1436</v>
      </c>
      <c r="T349" s="314" t="s">
        <v>124</v>
      </c>
      <c r="U349" s="314" t="s">
        <v>131</v>
      </c>
      <c r="V349" s="314" t="s">
        <v>114</v>
      </c>
      <c r="W349" s="314"/>
      <c r="X349" s="314" t="e">
        <f>VLOOKUP(D349,代理总表!A:D,3,0)</f>
        <v>#N/A</v>
      </c>
      <c r="Y349" t="e">
        <f>VLOOKUP(D:D,代理总表!A:D,4,FALSE)</f>
        <v>#N/A</v>
      </c>
      <c r="Z349">
        <f t="shared" si="15"/>
        <v>1</v>
      </c>
      <c r="AA349">
        <f t="shared" si="16"/>
        <v>19</v>
      </c>
      <c r="AB349">
        <f t="shared" si="17"/>
        <v>1</v>
      </c>
    </row>
    <row r="350" spans="1:28">
      <c r="A350" s="314" t="s">
        <v>1437</v>
      </c>
      <c r="B350" s="314"/>
      <c r="C350" s="314">
        <v>767840681</v>
      </c>
      <c r="D350" s="314" t="s">
        <v>1438</v>
      </c>
      <c r="E350" s="314" t="s">
        <v>117</v>
      </c>
      <c r="F350" s="314" t="s">
        <v>118</v>
      </c>
      <c r="G350" s="314" t="s">
        <v>108</v>
      </c>
      <c r="H350" s="314" t="s">
        <v>119</v>
      </c>
      <c r="I350" s="314" t="s">
        <v>108</v>
      </c>
      <c r="J350" s="314" t="s">
        <v>120</v>
      </c>
      <c r="K350" s="314">
        <v>0</v>
      </c>
      <c r="L350" s="314">
        <v>0</v>
      </c>
      <c r="M350" s="315">
        <v>45145.7963194444</v>
      </c>
      <c r="N350" s="314" t="s">
        <v>1439</v>
      </c>
      <c r="O350" s="314" t="s">
        <v>1440</v>
      </c>
      <c r="P350" s="314" t="s">
        <v>112</v>
      </c>
      <c r="Q350" s="314" t="s">
        <v>123</v>
      </c>
      <c r="R350" s="315">
        <v>45145.8023611111</v>
      </c>
      <c r="S350" s="314" t="s">
        <v>1439</v>
      </c>
      <c r="T350" s="314" t="s">
        <v>131</v>
      </c>
      <c r="U350" s="314" t="s">
        <v>131</v>
      </c>
      <c r="V350" s="314" t="s">
        <v>114</v>
      </c>
      <c r="W350" s="314"/>
      <c r="X350" s="314" t="e">
        <f>VLOOKUP(D350,代理总表!A:D,3,0)</f>
        <v>#N/A</v>
      </c>
      <c r="Y350" t="e">
        <f>VLOOKUP(D:D,代理总表!A:D,4,FALSE)</f>
        <v>#N/A</v>
      </c>
      <c r="Z350">
        <f t="shared" si="15"/>
        <v>0</v>
      </c>
      <c r="AA350">
        <f t="shared" si="16"/>
        <v>19</v>
      </c>
      <c r="AB350">
        <f t="shared" si="17"/>
        <v>1</v>
      </c>
    </row>
    <row r="351" spans="1:28">
      <c r="A351" s="314" t="s">
        <v>1441</v>
      </c>
      <c r="B351" s="314" t="s">
        <v>1442</v>
      </c>
      <c r="C351" s="314">
        <v>18725069010</v>
      </c>
      <c r="D351" s="314" t="s">
        <v>760</v>
      </c>
      <c r="E351" s="314" t="s">
        <v>104</v>
      </c>
      <c r="F351" s="314" t="s">
        <v>118</v>
      </c>
      <c r="G351" s="314" t="s">
        <v>108</v>
      </c>
      <c r="H351" s="314" t="s">
        <v>119</v>
      </c>
      <c r="I351" s="314" t="s">
        <v>108</v>
      </c>
      <c r="J351" s="314" t="s">
        <v>109</v>
      </c>
      <c r="K351" s="314">
        <v>0</v>
      </c>
      <c r="L351" s="314">
        <v>0</v>
      </c>
      <c r="M351" s="315">
        <v>45145.7950462963</v>
      </c>
      <c r="N351" s="314" t="s">
        <v>1443</v>
      </c>
      <c r="O351" s="314" t="s">
        <v>1444</v>
      </c>
      <c r="P351" s="314" t="s">
        <v>161</v>
      </c>
      <c r="Q351" s="314" t="s">
        <v>123</v>
      </c>
      <c r="R351" s="315">
        <v>45145.914525463</v>
      </c>
      <c r="S351" s="314" t="s">
        <v>1445</v>
      </c>
      <c r="T351" s="314" t="s">
        <v>1446</v>
      </c>
      <c r="U351" s="314" t="s">
        <v>1447</v>
      </c>
      <c r="V351" s="314" t="s">
        <v>114</v>
      </c>
      <c r="W351" s="314"/>
      <c r="X351" s="314" t="str">
        <f>VLOOKUP(D351,代理总表!A:D,3,0)</f>
        <v>GT-骨头</v>
      </c>
      <c r="Y351" t="str">
        <f>VLOOKUP(D:D,代理总表!A:D,4,FALSE)</f>
        <v>B直播gt6677</v>
      </c>
      <c r="Z351">
        <f t="shared" si="15"/>
        <v>0</v>
      </c>
      <c r="AA351">
        <f t="shared" si="16"/>
        <v>19</v>
      </c>
      <c r="AB351">
        <f t="shared" si="17"/>
        <v>1</v>
      </c>
    </row>
    <row r="352" spans="1:28">
      <c r="A352" s="314" t="s">
        <v>1448</v>
      </c>
      <c r="B352" s="314"/>
      <c r="C352" s="314">
        <v>13316559049</v>
      </c>
      <c r="D352" s="314" t="s">
        <v>259</v>
      </c>
      <c r="E352" s="314" t="s">
        <v>104</v>
      </c>
      <c r="F352" s="314" t="s">
        <v>149</v>
      </c>
      <c r="G352" s="314" t="s">
        <v>108</v>
      </c>
      <c r="H352" s="314" t="s">
        <v>119</v>
      </c>
      <c r="I352" s="314" t="s">
        <v>108</v>
      </c>
      <c r="J352" s="314" t="s">
        <v>109</v>
      </c>
      <c r="K352" s="314">
        <v>0</v>
      </c>
      <c r="L352" s="314">
        <v>0</v>
      </c>
      <c r="M352" s="315">
        <v>45145.7947337963</v>
      </c>
      <c r="N352" s="314" t="s">
        <v>1449</v>
      </c>
      <c r="O352" s="314" t="s">
        <v>471</v>
      </c>
      <c r="P352" s="314" t="s">
        <v>208</v>
      </c>
      <c r="Q352" s="314" t="s">
        <v>123</v>
      </c>
      <c r="R352" s="315">
        <v>45145.7947222222</v>
      </c>
      <c r="S352" s="314" t="s">
        <v>1449</v>
      </c>
      <c r="T352" s="314" t="s">
        <v>1450</v>
      </c>
      <c r="U352" s="314" t="s">
        <v>1450</v>
      </c>
      <c r="V352" s="314" t="s">
        <v>114</v>
      </c>
      <c r="W352" s="314"/>
      <c r="X352" s="314" t="str">
        <f>VLOOKUP(D352,代理总表!A:D,3,0)</f>
        <v>tony</v>
      </c>
      <c r="Y352" t="str">
        <f>VLOOKUP(D:D,代理总表!A:D,4,FALSE)</f>
        <v>SEO</v>
      </c>
      <c r="Z352">
        <f t="shared" si="15"/>
        <v>0</v>
      </c>
      <c r="AA352">
        <f t="shared" si="16"/>
        <v>19</v>
      </c>
      <c r="AB352">
        <f t="shared" si="17"/>
        <v>1</v>
      </c>
    </row>
    <row r="353" spans="1:28">
      <c r="A353" s="314" t="s">
        <v>1451</v>
      </c>
      <c r="B353" s="314" t="s">
        <v>1452</v>
      </c>
      <c r="C353" s="314">
        <v>977232339</v>
      </c>
      <c r="D353" s="314" t="s">
        <v>137</v>
      </c>
      <c r="E353" s="314" t="s">
        <v>117</v>
      </c>
      <c r="F353" s="314" t="s">
        <v>144</v>
      </c>
      <c r="G353" s="314" t="s">
        <v>106</v>
      </c>
      <c r="H353" s="314" t="s">
        <v>107</v>
      </c>
      <c r="I353" s="314" t="s">
        <v>108</v>
      </c>
      <c r="J353" s="314" t="s">
        <v>120</v>
      </c>
      <c r="K353" s="314">
        <v>1400920.6</v>
      </c>
      <c r="L353" s="314">
        <v>2620000</v>
      </c>
      <c r="M353" s="315">
        <v>45145.7942476852</v>
      </c>
      <c r="N353" s="314" t="s">
        <v>1453</v>
      </c>
      <c r="O353" s="314" t="s">
        <v>710</v>
      </c>
      <c r="P353" s="314" t="s">
        <v>339</v>
      </c>
      <c r="Q353" s="315">
        <v>45145.8099305556</v>
      </c>
      <c r="R353" s="315">
        <v>45146.1692361111</v>
      </c>
      <c r="S353" s="314" t="s">
        <v>1453</v>
      </c>
      <c r="T353" s="314" t="s">
        <v>216</v>
      </c>
      <c r="U353" s="314" t="s">
        <v>216</v>
      </c>
      <c r="V353" s="314" t="s">
        <v>114</v>
      </c>
      <c r="W353" s="314"/>
      <c r="X353" s="314" t="str">
        <f>VLOOKUP(D353,代理总表!A:D,3,0)</f>
        <v>雨燕直播-越</v>
      </c>
      <c r="Y353" t="str">
        <f>VLOOKUP(D:D,代理总表!A:D,4,FALSE)</f>
        <v>雨燕直播-越ffvn66</v>
      </c>
      <c r="Z353">
        <f t="shared" si="15"/>
        <v>1</v>
      </c>
      <c r="AA353">
        <f t="shared" si="16"/>
        <v>19</v>
      </c>
      <c r="AB353">
        <f t="shared" si="17"/>
        <v>1</v>
      </c>
    </row>
    <row r="354" spans="1:28">
      <c r="A354" s="314" t="s">
        <v>1454</v>
      </c>
      <c r="B354" s="314"/>
      <c r="C354" s="314"/>
      <c r="D354" s="314" t="s">
        <v>754</v>
      </c>
      <c r="E354" s="314" t="s">
        <v>104</v>
      </c>
      <c r="F354" s="314" t="s">
        <v>149</v>
      </c>
      <c r="G354" s="314" t="s">
        <v>108</v>
      </c>
      <c r="H354" s="314" t="s">
        <v>119</v>
      </c>
      <c r="I354" s="314" t="s">
        <v>108</v>
      </c>
      <c r="J354" s="314" t="s">
        <v>109</v>
      </c>
      <c r="K354" s="314">
        <v>0</v>
      </c>
      <c r="L354" s="314">
        <v>0</v>
      </c>
      <c r="M354" s="315">
        <v>45145.794212963</v>
      </c>
      <c r="N354" s="314" t="s">
        <v>1455</v>
      </c>
      <c r="O354" s="314" t="s">
        <v>756</v>
      </c>
      <c r="P354" s="314" t="s">
        <v>112</v>
      </c>
      <c r="Q354" s="314" t="s">
        <v>123</v>
      </c>
      <c r="R354" s="315">
        <v>45145.794212963</v>
      </c>
      <c r="S354" s="314" t="s">
        <v>1455</v>
      </c>
      <c r="T354" s="314" t="s">
        <v>1456</v>
      </c>
      <c r="U354" s="314" t="s">
        <v>1456</v>
      </c>
      <c r="V354" s="314" t="s">
        <v>114</v>
      </c>
      <c r="W354" s="314"/>
      <c r="X354" s="314" t="str">
        <f>VLOOKUP(D354,代理总表!A:D,3,0)</f>
        <v>SEO掉线用户转线</v>
      </c>
      <c r="Y354" t="str">
        <f>VLOOKUP(D:D,代理总表!A:D,4,FALSE)</f>
        <v>SEO</v>
      </c>
      <c r="Z354">
        <f t="shared" si="15"/>
        <v>0</v>
      </c>
      <c r="AA354">
        <f t="shared" si="16"/>
        <v>19</v>
      </c>
      <c r="AB354">
        <f t="shared" si="17"/>
        <v>1</v>
      </c>
    </row>
    <row r="355" spans="1:28">
      <c r="A355" s="314" t="s">
        <v>1457</v>
      </c>
      <c r="B355" s="314"/>
      <c r="C355" s="314"/>
      <c r="D355" s="314" t="s">
        <v>276</v>
      </c>
      <c r="E355" s="314" t="s">
        <v>104</v>
      </c>
      <c r="F355" s="314" t="s">
        <v>118</v>
      </c>
      <c r="G355" s="314" t="s">
        <v>108</v>
      </c>
      <c r="H355" s="314" t="s">
        <v>119</v>
      </c>
      <c r="I355" s="314" t="s">
        <v>108</v>
      </c>
      <c r="J355" s="314" t="s">
        <v>109</v>
      </c>
      <c r="K355" s="314">
        <v>0</v>
      </c>
      <c r="L355" s="314">
        <v>0</v>
      </c>
      <c r="M355" s="315">
        <v>45145.7941782407</v>
      </c>
      <c r="N355" s="314" t="s">
        <v>1458</v>
      </c>
      <c r="O355" s="314" t="s">
        <v>279</v>
      </c>
      <c r="P355" s="314" t="s">
        <v>112</v>
      </c>
      <c r="Q355" s="314" t="s">
        <v>123</v>
      </c>
      <c r="R355" s="315">
        <v>45145.7941666667</v>
      </c>
      <c r="S355" s="314" t="s">
        <v>1458</v>
      </c>
      <c r="T355" s="314" t="s">
        <v>849</v>
      </c>
      <c r="U355" s="314" t="s">
        <v>849</v>
      </c>
      <c r="V355" s="314" t="s">
        <v>114</v>
      </c>
      <c r="W355" s="314"/>
      <c r="X355" s="314" t="str">
        <f>VLOOKUP(D355,代理总表!A:D,3,0)</f>
        <v>飞哥雨燕直播</v>
      </c>
      <c r="Y355" t="str">
        <f>VLOOKUP(D:D,代理总表!A:D,4,FALSE)</f>
        <v>飞哥雨燕直播ffmk88</v>
      </c>
      <c r="Z355">
        <f t="shared" si="15"/>
        <v>0</v>
      </c>
      <c r="AA355">
        <f t="shared" si="16"/>
        <v>19</v>
      </c>
      <c r="AB355">
        <f t="shared" si="17"/>
        <v>1</v>
      </c>
    </row>
    <row r="356" spans="1:28">
      <c r="A356" s="314" t="s">
        <v>1459</v>
      </c>
      <c r="B356" s="314"/>
      <c r="C356" s="314"/>
      <c r="D356" s="314" t="s">
        <v>224</v>
      </c>
      <c r="E356" s="314" t="s">
        <v>117</v>
      </c>
      <c r="F356" s="314" t="s">
        <v>118</v>
      </c>
      <c r="G356" s="314" t="s">
        <v>108</v>
      </c>
      <c r="H356" s="314" t="s">
        <v>119</v>
      </c>
      <c r="I356" s="314" t="s">
        <v>108</v>
      </c>
      <c r="J356" s="314" t="s">
        <v>120</v>
      </c>
      <c r="K356" s="314">
        <v>0</v>
      </c>
      <c r="L356" s="314">
        <v>0</v>
      </c>
      <c r="M356" s="315">
        <v>45145.7931828704</v>
      </c>
      <c r="N356" s="314" t="s">
        <v>1460</v>
      </c>
      <c r="O356" s="314" t="s">
        <v>462</v>
      </c>
      <c r="P356" s="314" t="s">
        <v>112</v>
      </c>
      <c r="Q356" s="314" t="s">
        <v>123</v>
      </c>
      <c r="R356" s="315">
        <v>45145.893125</v>
      </c>
      <c r="S356" s="314" t="s">
        <v>1461</v>
      </c>
      <c r="T356" s="314" t="s">
        <v>503</v>
      </c>
      <c r="U356" s="314" t="s">
        <v>849</v>
      </c>
      <c r="V356" s="314" t="s">
        <v>114</v>
      </c>
      <c r="W356" s="314"/>
      <c r="X356" s="314" t="str">
        <f>VLOOKUP(D356,代理总表!A:D,3,0)</f>
        <v>雨燕直播-越</v>
      </c>
      <c r="Y356" t="str">
        <f>VLOOKUP(D:D,代理总表!A:D,4,FALSE)</f>
        <v>雨燕直播-越ffvn66</v>
      </c>
      <c r="Z356">
        <f t="shared" si="15"/>
        <v>0</v>
      </c>
      <c r="AA356">
        <f t="shared" si="16"/>
        <v>19</v>
      </c>
      <c r="AB356">
        <f t="shared" si="17"/>
        <v>1</v>
      </c>
    </row>
    <row r="357" spans="1:28">
      <c r="A357" s="314" t="s">
        <v>1462</v>
      </c>
      <c r="B357" s="314" t="s">
        <v>1463</v>
      </c>
      <c r="C357" s="314">
        <v>18834846699</v>
      </c>
      <c r="D357" s="314" t="s">
        <v>103</v>
      </c>
      <c r="E357" s="314" t="s">
        <v>104</v>
      </c>
      <c r="F357" s="314" t="s">
        <v>118</v>
      </c>
      <c r="G357" s="314" t="s">
        <v>108</v>
      </c>
      <c r="H357" s="314" t="s">
        <v>119</v>
      </c>
      <c r="I357" s="314" t="s">
        <v>108</v>
      </c>
      <c r="J357" s="314" t="s">
        <v>109</v>
      </c>
      <c r="K357" s="314">
        <v>0</v>
      </c>
      <c r="L357" s="314">
        <v>0</v>
      </c>
      <c r="M357" s="315">
        <v>45145.7931481482</v>
      </c>
      <c r="N357" s="314" t="s">
        <v>1464</v>
      </c>
      <c r="O357" s="314" t="s">
        <v>266</v>
      </c>
      <c r="P357" s="314" t="s">
        <v>112</v>
      </c>
      <c r="Q357" s="314" t="s">
        <v>123</v>
      </c>
      <c r="R357" s="315">
        <v>45145.9948611111</v>
      </c>
      <c r="S357" s="314" t="s">
        <v>1464</v>
      </c>
      <c r="T357" s="314" t="s">
        <v>1465</v>
      </c>
      <c r="U357" s="314" t="s">
        <v>1465</v>
      </c>
      <c r="V357" s="314" t="s">
        <v>114</v>
      </c>
      <c r="W357" s="314"/>
      <c r="X357" s="314" t="str">
        <f>VLOOKUP(D357,代理总表!A:D,3,0)</f>
        <v>官网</v>
      </c>
      <c r="Y357" t="str">
        <f>VLOOKUP(D:D,代理总表!A:D,4,FALSE)</f>
        <v>官网</v>
      </c>
      <c r="Z357">
        <f t="shared" si="15"/>
        <v>0</v>
      </c>
      <c r="AA357">
        <f t="shared" si="16"/>
        <v>19</v>
      </c>
      <c r="AB357">
        <f t="shared" si="17"/>
        <v>1</v>
      </c>
    </row>
    <row r="358" spans="1:28">
      <c r="A358" s="314" t="s">
        <v>1466</v>
      </c>
      <c r="B358" s="314" t="s">
        <v>1467</v>
      </c>
      <c r="C358" s="314">
        <v>18912626363</v>
      </c>
      <c r="D358" s="314" t="s">
        <v>1468</v>
      </c>
      <c r="E358" s="314" t="s">
        <v>104</v>
      </c>
      <c r="F358" s="314" t="s">
        <v>181</v>
      </c>
      <c r="G358" s="314" t="s">
        <v>106</v>
      </c>
      <c r="H358" s="314" t="s">
        <v>107</v>
      </c>
      <c r="I358" s="314" t="s">
        <v>108</v>
      </c>
      <c r="J358" s="314" t="s">
        <v>109</v>
      </c>
      <c r="K358" s="314">
        <v>2000</v>
      </c>
      <c r="L358" s="314">
        <v>0</v>
      </c>
      <c r="M358" s="315">
        <v>45145.7922916667</v>
      </c>
      <c r="N358" s="314" t="s">
        <v>1469</v>
      </c>
      <c r="O358" s="314" t="s">
        <v>1470</v>
      </c>
      <c r="P358" s="314" t="s">
        <v>112</v>
      </c>
      <c r="Q358" s="315">
        <v>45145.7973842593</v>
      </c>
      <c r="R358" s="315">
        <v>45145.8606134259</v>
      </c>
      <c r="S358" s="314" t="s">
        <v>1471</v>
      </c>
      <c r="T358" s="314" t="s">
        <v>781</v>
      </c>
      <c r="U358" s="314" t="s">
        <v>1472</v>
      </c>
      <c r="V358" s="314" t="s">
        <v>114</v>
      </c>
      <c r="W358" s="314"/>
      <c r="X358" s="314" t="str">
        <f>VLOOKUP(D358,代理总表!A:D,3,0)</f>
        <v>paddy</v>
      </c>
      <c r="Y358" t="str">
        <f>VLOOKUP(D:D,代理总表!A:D,4,FALSE)</f>
        <v>SEO</v>
      </c>
      <c r="Z358">
        <f t="shared" si="15"/>
        <v>1</v>
      </c>
      <c r="AA358">
        <f t="shared" si="16"/>
        <v>19</v>
      </c>
      <c r="AB358">
        <f t="shared" si="17"/>
        <v>1</v>
      </c>
    </row>
    <row r="359" spans="1:28">
      <c r="A359" s="314" t="s">
        <v>1473</v>
      </c>
      <c r="B359" s="314" t="s">
        <v>1474</v>
      </c>
      <c r="C359" s="314">
        <v>814360024</v>
      </c>
      <c r="D359" s="314" t="s">
        <v>197</v>
      </c>
      <c r="E359" s="314" t="s">
        <v>117</v>
      </c>
      <c r="F359" s="314" t="s">
        <v>118</v>
      </c>
      <c r="G359" s="314" t="s">
        <v>108</v>
      </c>
      <c r="H359" s="314" t="s">
        <v>119</v>
      </c>
      <c r="I359" s="314" t="s">
        <v>108</v>
      </c>
      <c r="J359" s="314" t="s">
        <v>120</v>
      </c>
      <c r="K359" s="314">
        <v>0</v>
      </c>
      <c r="L359" s="314">
        <v>0</v>
      </c>
      <c r="M359" s="315">
        <v>45145.7900694444</v>
      </c>
      <c r="N359" s="314" t="s">
        <v>1475</v>
      </c>
      <c r="O359" s="314" t="s">
        <v>875</v>
      </c>
      <c r="P359" s="314" t="s">
        <v>112</v>
      </c>
      <c r="Q359" s="314" t="s">
        <v>123</v>
      </c>
      <c r="R359" s="315">
        <v>45145.8191782407</v>
      </c>
      <c r="S359" s="314" t="s">
        <v>1475</v>
      </c>
      <c r="T359" s="314" t="s">
        <v>131</v>
      </c>
      <c r="U359" s="314" t="s">
        <v>131</v>
      </c>
      <c r="V359" s="314" t="s">
        <v>114</v>
      </c>
      <c r="W359" s="314"/>
      <c r="X359" s="314" t="str">
        <f>VLOOKUP(D359,代理总表!A:D,3,0)</f>
        <v>雨燕直播-越</v>
      </c>
      <c r="Y359" t="str">
        <f>VLOOKUP(D:D,代理总表!A:D,4,FALSE)</f>
        <v>雨燕直播-越ffvn66</v>
      </c>
      <c r="Z359">
        <f t="shared" si="15"/>
        <v>0</v>
      </c>
      <c r="AA359">
        <f t="shared" si="16"/>
        <v>18</v>
      </c>
      <c r="AB359">
        <f t="shared" si="17"/>
        <v>1</v>
      </c>
    </row>
    <row r="360" spans="1:28">
      <c r="A360" s="314" t="s">
        <v>1476</v>
      </c>
      <c r="B360" s="314" t="s">
        <v>1477</v>
      </c>
      <c r="C360" s="314">
        <v>982381128</v>
      </c>
      <c r="D360" s="314" t="s">
        <v>197</v>
      </c>
      <c r="E360" s="314" t="s">
        <v>117</v>
      </c>
      <c r="F360" s="314" t="s">
        <v>144</v>
      </c>
      <c r="G360" s="314" t="s">
        <v>106</v>
      </c>
      <c r="H360" s="314" t="s">
        <v>107</v>
      </c>
      <c r="I360" s="314" t="s">
        <v>108</v>
      </c>
      <c r="J360" s="314" t="s">
        <v>120</v>
      </c>
      <c r="K360" s="314">
        <v>100000</v>
      </c>
      <c r="L360" s="314">
        <v>0</v>
      </c>
      <c r="M360" s="315">
        <v>45145.7900462963</v>
      </c>
      <c r="N360" s="314" t="s">
        <v>1478</v>
      </c>
      <c r="O360" s="314" t="s">
        <v>875</v>
      </c>
      <c r="P360" s="314" t="s">
        <v>112</v>
      </c>
      <c r="Q360" s="315">
        <v>45145.8003819444</v>
      </c>
      <c r="R360" s="315">
        <v>45145.9051388889</v>
      </c>
      <c r="S360" s="314" t="s">
        <v>1478</v>
      </c>
      <c r="T360" s="314" t="s">
        <v>131</v>
      </c>
      <c r="U360" s="314" t="s">
        <v>131</v>
      </c>
      <c r="V360" s="314" t="s">
        <v>114</v>
      </c>
      <c r="W360" s="314"/>
      <c r="X360" s="314" t="str">
        <f>VLOOKUP(D360,代理总表!A:D,3,0)</f>
        <v>雨燕直播-越</v>
      </c>
      <c r="Y360" t="str">
        <f>VLOOKUP(D:D,代理总表!A:D,4,FALSE)</f>
        <v>雨燕直播-越ffvn66</v>
      </c>
      <c r="Z360">
        <f t="shared" si="15"/>
        <v>1</v>
      </c>
      <c r="AA360">
        <f t="shared" si="16"/>
        <v>18</v>
      </c>
      <c r="AB360">
        <f t="shared" si="17"/>
        <v>1</v>
      </c>
    </row>
    <row r="361" spans="1:28">
      <c r="A361" s="314" t="s">
        <v>1479</v>
      </c>
      <c r="B361" s="314" t="s">
        <v>1480</v>
      </c>
      <c r="C361" s="314">
        <v>981813885</v>
      </c>
      <c r="D361" s="314" t="s">
        <v>224</v>
      </c>
      <c r="E361" s="314" t="s">
        <v>117</v>
      </c>
      <c r="F361" s="314" t="s">
        <v>118</v>
      </c>
      <c r="G361" s="314" t="s">
        <v>108</v>
      </c>
      <c r="H361" s="314" t="s">
        <v>119</v>
      </c>
      <c r="I361" s="314" t="s">
        <v>108</v>
      </c>
      <c r="J361" s="314" t="s">
        <v>120</v>
      </c>
      <c r="K361" s="314">
        <v>0</v>
      </c>
      <c r="L361" s="314">
        <v>0</v>
      </c>
      <c r="M361" s="315">
        <v>45145.789837963</v>
      </c>
      <c r="N361" s="314" t="s">
        <v>1481</v>
      </c>
      <c r="O361" s="314" t="s">
        <v>226</v>
      </c>
      <c r="P361" s="314" t="s">
        <v>112</v>
      </c>
      <c r="Q361" s="314" t="s">
        <v>123</v>
      </c>
      <c r="R361" s="315">
        <v>45145.789837963</v>
      </c>
      <c r="S361" s="314" t="s">
        <v>1481</v>
      </c>
      <c r="T361" s="314" t="s">
        <v>140</v>
      </c>
      <c r="U361" s="314" t="s">
        <v>140</v>
      </c>
      <c r="V361" s="314" t="s">
        <v>114</v>
      </c>
      <c r="W361" s="314"/>
      <c r="X361" s="314" t="str">
        <f>VLOOKUP(D361,代理总表!A:D,3,0)</f>
        <v>雨燕直播-越</v>
      </c>
      <c r="Y361" t="str">
        <f>VLOOKUP(D:D,代理总表!A:D,4,FALSE)</f>
        <v>雨燕直播-越ffvn66</v>
      </c>
      <c r="Z361">
        <f t="shared" si="15"/>
        <v>0</v>
      </c>
      <c r="AA361">
        <f t="shared" si="16"/>
        <v>18</v>
      </c>
      <c r="AB361">
        <f t="shared" si="17"/>
        <v>1</v>
      </c>
    </row>
    <row r="362" spans="1:28">
      <c r="A362" s="314" t="s">
        <v>1482</v>
      </c>
      <c r="B362" s="314" t="s">
        <v>1483</v>
      </c>
      <c r="C362" s="314">
        <v>986626171</v>
      </c>
      <c r="D362" s="314" t="s">
        <v>197</v>
      </c>
      <c r="E362" s="314" t="s">
        <v>117</v>
      </c>
      <c r="F362" s="314" t="s">
        <v>118</v>
      </c>
      <c r="G362" s="314" t="s">
        <v>108</v>
      </c>
      <c r="H362" s="314" t="s">
        <v>119</v>
      </c>
      <c r="I362" s="314" t="s">
        <v>108</v>
      </c>
      <c r="J362" s="314" t="s">
        <v>120</v>
      </c>
      <c r="K362" s="314">
        <v>0</v>
      </c>
      <c r="L362" s="314">
        <v>0</v>
      </c>
      <c r="M362" s="315">
        <v>45145.7897916667</v>
      </c>
      <c r="N362" s="314" t="s">
        <v>1484</v>
      </c>
      <c r="O362" s="314" t="s">
        <v>875</v>
      </c>
      <c r="P362" s="314" t="s">
        <v>112</v>
      </c>
      <c r="Q362" s="314" t="s">
        <v>123</v>
      </c>
      <c r="R362" s="315">
        <v>45145.7897800926</v>
      </c>
      <c r="S362" s="314" t="s">
        <v>1484</v>
      </c>
      <c r="T362" s="314" t="s">
        <v>124</v>
      </c>
      <c r="U362" s="314" t="s">
        <v>124</v>
      </c>
      <c r="V362" s="314" t="s">
        <v>114</v>
      </c>
      <c r="W362" s="314"/>
      <c r="X362" s="314" t="str">
        <f>VLOOKUP(D362,代理总表!A:D,3,0)</f>
        <v>雨燕直播-越</v>
      </c>
      <c r="Y362" t="str">
        <f>VLOOKUP(D:D,代理总表!A:D,4,FALSE)</f>
        <v>雨燕直播-越ffvn66</v>
      </c>
      <c r="Z362">
        <f t="shared" si="15"/>
        <v>0</v>
      </c>
      <c r="AA362">
        <f t="shared" si="16"/>
        <v>18</v>
      </c>
      <c r="AB362">
        <f t="shared" si="17"/>
        <v>1</v>
      </c>
    </row>
    <row r="363" spans="1:28">
      <c r="A363" s="314" t="s">
        <v>1485</v>
      </c>
      <c r="B363" s="314" t="s">
        <v>1486</v>
      </c>
      <c r="C363" s="314">
        <v>13112172417</v>
      </c>
      <c r="D363" s="314" t="s">
        <v>1487</v>
      </c>
      <c r="E363" s="314" t="s">
        <v>104</v>
      </c>
      <c r="F363" s="314" t="s">
        <v>118</v>
      </c>
      <c r="G363" s="314" t="s">
        <v>108</v>
      </c>
      <c r="H363" s="314" t="s">
        <v>119</v>
      </c>
      <c r="I363" s="314" t="s">
        <v>108</v>
      </c>
      <c r="J363" s="314" t="s">
        <v>109</v>
      </c>
      <c r="K363" s="314">
        <v>0</v>
      </c>
      <c r="L363" s="314">
        <v>0</v>
      </c>
      <c r="M363" s="315">
        <v>45145.7894560185</v>
      </c>
      <c r="N363" s="314" t="s">
        <v>1488</v>
      </c>
      <c r="O363" s="314" t="s">
        <v>1489</v>
      </c>
      <c r="P363" s="314" t="s">
        <v>112</v>
      </c>
      <c r="Q363" s="314" t="s">
        <v>123</v>
      </c>
      <c r="R363" s="315">
        <v>45145.8093287037</v>
      </c>
      <c r="S363" s="314" t="s">
        <v>1488</v>
      </c>
      <c r="T363" s="314" t="s">
        <v>152</v>
      </c>
      <c r="U363" s="314" t="s">
        <v>152</v>
      </c>
      <c r="V363" s="314" t="s">
        <v>114</v>
      </c>
      <c r="W363" s="314"/>
      <c r="X363" s="314" t="str">
        <f>VLOOKUP(D363,代理总表!A:D,3,0)</f>
        <v>外部代理总线</v>
      </c>
      <c r="Y363" t="str">
        <f>VLOOKUP(D:D,代理总表!A:D,4,FALSE)</f>
        <v>外部代理总线zh0808</v>
      </c>
      <c r="Z363">
        <f t="shared" si="15"/>
        <v>0</v>
      </c>
      <c r="AA363">
        <f t="shared" si="16"/>
        <v>18</v>
      </c>
      <c r="AB363">
        <f t="shared" si="17"/>
        <v>1</v>
      </c>
    </row>
    <row r="364" spans="1:28">
      <c r="A364" s="314" t="s">
        <v>1490</v>
      </c>
      <c r="B364" s="314" t="s">
        <v>1491</v>
      </c>
      <c r="C364" s="314">
        <v>967267008</v>
      </c>
      <c r="D364" s="314" t="s">
        <v>224</v>
      </c>
      <c r="E364" s="314" t="s">
        <v>117</v>
      </c>
      <c r="F364" s="314" t="s">
        <v>118</v>
      </c>
      <c r="G364" s="314" t="s">
        <v>108</v>
      </c>
      <c r="H364" s="314" t="s">
        <v>119</v>
      </c>
      <c r="I364" s="314" t="s">
        <v>108</v>
      </c>
      <c r="J364" s="314" t="s">
        <v>120</v>
      </c>
      <c r="K364" s="314">
        <v>0</v>
      </c>
      <c r="L364" s="314">
        <v>0</v>
      </c>
      <c r="M364" s="315">
        <v>45145.7894560185</v>
      </c>
      <c r="N364" s="314" t="s">
        <v>1492</v>
      </c>
      <c r="O364" s="314" t="s">
        <v>226</v>
      </c>
      <c r="P364" s="314" t="s">
        <v>112</v>
      </c>
      <c r="Q364" s="314" t="s">
        <v>123</v>
      </c>
      <c r="R364" s="315">
        <v>45146.055162037</v>
      </c>
      <c r="S364" s="314" t="s">
        <v>703</v>
      </c>
      <c r="T364" s="314" t="s">
        <v>1493</v>
      </c>
      <c r="U364" s="314" t="s">
        <v>216</v>
      </c>
      <c r="V364" s="314" t="s">
        <v>114</v>
      </c>
      <c r="W364" s="314"/>
      <c r="X364" s="314" t="str">
        <f>VLOOKUP(D364,代理总表!A:D,3,0)</f>
        <v>雨燕直播-越</v>
      </c>
      <c r="Y364" t="str">
        <f>VLOOKUP(D:D,代理总表!A:D,4,FALSE)</f>
        <v>雨燕直播-越ffvn66</v>
      </c>
      <c r="Z364">
        <f t="shared" si="15"/>
        <v>0</v>
      </c>
      <c r="AA364">
        <f t="shared" si="16"/>
        <v>18</v>
      </c>
      <c r="AB364">
        <f t="shared" si="17"/>
        <v>1</v>
      </c>
    </row>
    <row r="365" spans="1:28">
      <c r="A365" s="314" t="s">
        <v>1494</v>
      </c>
      <c r="B365" s="314" t="s">
        <v>1495</v>
      </c>
      <c r="C365" s="314">
        <v>902294827</v>
      </c>
      <c r="D365" s="314" t="s">
        <v>137</v>
      </c>
      <c r="E365" s="314" t="s">
        <v>117</v>
      </c>
      <c r="F365" s="314" t="s">
        <v>144</v>
      </c>
      <c r="G365" s="314" t="s">
        <v>106</v>
      </c>
      <c r="H365" s="314" t="s">
        <v>107</v>
      </c>
      <c r="I365" s="314" t="s">
        <v>108</v>
      </c>
      <c r="J365" s="314" t="s">
        <v>120</v>
      </c>
      <c r="K365" s="314">
        <v>80000</v>
      </c>
      <c r="L365" s="314">
        <v>300000</v>
      </c>
      <c r="M365" s="315">
        <v>45145.7889814815</v>
      </c>
      <c r="N365" s="314" t="s">
        <v>1496</v>
      </c>
      <c r="O365" s="314" t="s">
        <v>139</v>
      </c>
      <c r="P365" s="314" t="s">
        <v>112</v>
      </c>
      <c r="Q365" s="315">
        <v>45145.8147685185</v>
      </c>
      <c r="R365" s="315">
        <v>45146.3435648148</v>
      </c>
      <c r="S365" s="314" t="s">
        <v>1497</v>
      </c>
      <c r="T365" s="314" t="s">
        <v>124</v>
      </c>
      <c r="U365" s="314" t="s">
        <v>1498</v>
      </c>
      <c r="V365" s="314" t="s">
        <v>114</v>
      </c>
      <c r="W365" s="314"/>
      <c r="X365" s="314" t="str">
        <f>VLOOKUP(D365,代理总表!A:D,3,0)</f>
        <v>雨燕直播-越</v>
      </c>
      <c r="Y365" t="str">
        <f>VLOOKUP(D:D,代理总表!A:D,4,FALSE)</f>
        <v>雨燕直播-越ffvn66</v>
      </c>
      <c r="Z365">
        <f t="shared" si="15"/>
        <v>1</v>
      </c>
      <c r="AA365">
        <f t="shared" si="16"/>
        <v>18</v>
      </c>
      <c r="AB365">
        <f t="shared" si="17"/>
        <v>1</v>
      </c>
    </row>
    <row r="366" spans="1:28">
      <c r="A366" s="314" t="s">
        <v>1499</v>
      </c>
      <c r="B366" s="314" t="s">
        <v>1500</v>
      </c>
      <c r="C366" s="314">
        <v>934321333</v>
      </c>
      <c r="D366" s="314" t="s">
        <v>197</v>
      </c>
      <c r="E366" s="314" t="s">
        <v>117</v>
      </c>
      <c r="F366" s="314" t="s">
        <v>118</v>
      </c>
      <c r="G366" s="314" t="s">
        <v>108</v>
      </c>
      <c r="H366" s="314" t="s">
        <v>119</v>
      </c>
      <c r="I366" s="314" t="s">
        <v>108</v>
      </c>
      <c r="J366" s="314" t="s">
        <v>120</v>
      </c>
      <c r="K366" s="314">
        <v>0</v>
      </c>
      <c r="L366" s="314">
        <v>0</v>
      </c>
      <c r="M366" s="315">
        <v>45145.7889351852</v>
      </c>
      <c r="N366" s="314" t="s">
        <v>1501</v>
      </c>
      <c r="O366" s="314" t="s">
        <v>875</v>
      </c>
      <c r="P366" s="314" t="s">
        <v>112</v>
      </c>
      <c r="Q366" s="314" t="s">
        <v>123</v>
      </c>
      <c r="R366" s="315">
        <v>45145.7889351852</v>
      </c>
      <c r="S366" s="314" t="s">
        <v>1501</v>
      </c>
      <c r="T366" s="314" t="s">
        <v>124</v>
      </c>
      <c r="U366" s="314" t="s">
        <v>124</v>
      </c>
      <c r="V366" s="314" t="s">
        <v>114</v>
      </c>
      <c r="W366" s="314"/>
      <c r="X366" s="314" t="str">
        <f>VLOOKUP(D366,代理总表!A:D,3,0)</f>
        <v>雨燕直播-越</v>
      </c>
      <c r="Y366" t="str">
        <f>VLOOKUP(D:D,代理总表!A:D,4,FALSE)</f>
        <v>雨燕直播-越ffvn66</v>
      </c>
      <c r="Z366">
        <f t="shared" si="15"/>
        <v>0</v>
      </c>
      <c r="AA366">
        <f t="shared" si="16"/>
        <v>18</v>
      </c>
      <c r="AB366">
        <f t="shared" si="17"/>
        <v>1</v>
      </c>
    </row>
    <row r="367" spans="1:28">
      <c r="A367" s="314" t="s">
        <v>1502</v>
      </c>
      <c r="B367" s="314"/>
      <c r="C367" s="314">
        <v>366831179</v>
      </c>
      <c r="D367" s="314" t="s">
        <v>550</v>
      </c>
      <c r="E367" s="314" t="s">
        <v>117</v>
      </c>
      <c r="F367" s="314" t="s">
        <v>118</v>
      </c>
      <c r="G367" s="314" t="s">
        <v>108</v>
      </c>
      <c r="H367" s="314" t="s">
        <v>119</v>
      </c>
      <c r="I367" s="314" t="s">
        <v>108</v>
      </c>
      <c r="J367" s="314" t="s">
        <v>120</v>
      </c>
      <c r="K367" s="314">
        <v>0</v>
      </c>
      <c r="L367" s="314">
        <v>0</v>
      </c>
      <c r="M367" s="315">
        <v>45145.7888657407</v>
      </c>
      <c r="N367" s="314" t="s">
        <v>1503</v>
      </c>
      <c r="O367" s="314" t="s">
        <v>603</v>
      </c>
      <c r="P367" s="314" t="s">
        <v>161</v>
      </c>
      <c r="Q367" s="314" t="s">
        <v>123</v>
      </c>
      <c r="R367" s="315">
        <v>45145.8106828704</v>
      </c>
      <c r="S367" s="314" t="s">
        <v>1504</v>
      </c>
      <c r="T367" s="314" t="s">
        <v>131</v>
      </c>
      <c r="U367" s="314" t="s">
        <v>124</v>
      </c>
      <c r="V367" s="314" t="s">
        <v>114</v>
      </c>
      <c r="W367" s="314"/>
      <c r="X367" s="314" t="str">
        <f>VLOOKUP(D367,代理总表!A:D,3,0)</f>
        <v>SOCO越南直播</v>
      </c>
      <c r="Y367" t="str">
        <f>VLOOKUP(D:D,代理总表!A:D,4,FALSE)</f>
        <v>SOCO越南直播ffvn66</v>
      </c>
      <c r="Z367">
        <f t="shared" si="15"/>
        <v>0</v>
      </c>
      <c r="AA367">
        <f t="shared" si="16"/>
        <v>18</v>
      </c>
      <c r="AB367">
        <f t="shared" si="17"/>
        <v>1</v>
      </c>
    </row>
    <row r="368" spans="1:28">
      <c r="A368" s="314" t="s">
        <v>1505</v>
      </c>
      <c r="B368" s="314"/>
      <c r="C368" s="314"/>
      <c r="D368" s="314" t="s">
        <v>240</v>
      </c>
      <c r="E368" s="314" t="s">
        <v>104</v>
      </c>
      <c r="F368" s="314" t="s">
        <v>149</v>
      </c>
      <c r="G368" s="314" t="s">
        <v>108</v>
      </c>
      <c r="H368" s="314" t="s">
        <v>119</v>
      </c>
      <c r="I368" s="314" t="s">
        <v>108</v>
      </c>
      <c r="J368" s="314" t="s">
        <v>109</v>
      </c>
      <c r="K368" s="314">
        <v>0</v>
      </c>
      <c r="L368" s="314">
        <v>0</v>
      </c>
      <c r="M368" s="315">
        <v>45145.788587963</v>
      </c>
      <c r="N368" s="314" t="s">
        <v>1506</v>
      </c>
      <c r="O368" s="314" t="s">
        <v>1507</v>
      </c>
      <c r="P368" s="314" t="s">
        <v>112</v>
      </c>
      <c r="Q368" s="314" t="s">
        <v>123</v>
      </c>
      <c r="R368" s="315">
        <v>45145.7894444444</v>
      </c>
      <c r="S368" s="314" t="s">
        <v>1506</v>
      </c>
      <c r="T368" s="314" t="s">
        <v>1508</v>
      </c>
      <c r="U368" s="314" t="s">
        <v>1508</v>
      </c>
      <c r="V368" s="314" t="s">
        <v>114</v>
      </c>
      <c r="W368" s="314"/>
      <c r="X368" s="314" t="str">
        <f>VLOOKUP(D368,代理总表!A:D,3,0)</f>
        <v>SEO邀请</v>
      </c>
      <c r="Y368" t="str">
        <f>VLOOKUP(D:D,代理总表!A:D,4,FALSE)</f>
        <v>SEO</v>
      </c>
      <c r="Z368">
        <f t="shared" si="15"/>
        <v>0</v>
      </c>
      <c r="AA368">
        <f t="shared" si="16"/>
        <v>18</v>
      </c>
      <c r="AB368">
        <f t="shared" si="17"/>
        <v>1</v>
      </c>
    </row>
    <row r="369" spans="1:28">
      <c r="A369" s="314" t="s">
        <v>1509</v>
      </c>
      <c r="B369" s="314"/>
      <c r="C369" s="314">
        <v>17689741867</v>
      </c>
      <c r="D369" s="314" t="s">
        <v>103</v>
      </c>
      <c r="E369" s="314" t="s">
        <v>104</v>
      </c>
      <c r="F369" s="314" t="s">
        <v>118</v>
      </c>
      <c r="G369" s="314" t="s">
        <v>108</v>
      </c>
      <c r="H369" s="314" t="s">
        <v>119</v>
      </c>
      <c r="I369" s="314" t="s">
        <v>108</v>
      </c>
      <c r="J369" s="314" t="s">
        <v>109</v>
      </c>
      <c r="K369" s="314">
        <v>0</v>
      </c>
      <c r="L369" s="314">
        <v>0</v>
      </c>
      <c r="M369" s="315">
        <v>45145.7885763889</v>
      </c>
      <c r="N369" s="314" t="s">
        <v>1510</v>
      </c>
      <c r="O369" s="314" t="s">
        <v>350</v>
      </c>
      <c r="P369" s="314" t="s">
        <v>161</v>
      </c>
      <c r="Q369" s="314" t="s">
        <v>123</v>
      </c>
      <c r="R369" s="315">
        <v>45145.7885763889</v>
      </c>
      <c r="S369" s="314" t="s">
        <v>1510</v>
      </c>
      <c r="T369" s="314" t="s">
        <v>1511</v>
      </c>
      <c r="U369" s="314" t="s">
        <v>1511</v>
      </c>
      <c r="V369" s="314" t="s">
        <v>114</v>
      </c>
      <c r="W369" s="314"/>
      <c r="X369" s="314" t="str">
        <f>VLOOKUP(D369,代理总表!A:D,3,0)</f>
        <v>官网</v>
      </c>
      <c r="Y369" t="str">
        <f>VLOOKUP(D:D,代理总表!A:D,4,FALSE)</f>
        <v>官网</v>
      </c>
      <c r="Z369">
        <f t="shared" si="15"/>
        <v>0</v>
      </c>
      <c r="AA369">
        <f t="shared" si="16"/>
        <v>18</v>
      </c>
      <c r="AB369">
        <f t="shared" si="17"/>
        <v>1</v>
      </c>
    </row>
    <row r="370" spans="1:28">
      <c r="A370" s="314" t="s">
        <v>1512</v>
      </c>
      <c r="B370" s="314"/>
      <c r="C370" s="314">
        <v>13994383715</v>
      </c>
      <c r="D370" s="314" t="s">
        <v>1513</v>
      </c>
      <c r="E370" s="314" t="s">
        <v>104</v>
      </c>
      <c r="F370" s="314" t="s">
        <v>118</v>
      </c>
      <c r="G370" s="314" t="s">
        <v>108</v>
      </c>
      <c r="H370" s="314" t="s">
        <v>119</v>
      </c>
      <c r="I370" s="314" t="s">
        <v>108</v>
      </c>
      <c r="J370" s="314" t="s">
        <v>109</v>
      </c>
      <c r="K370" s="314">
        <v>0</v>
      </c>
      <c r="L370" s="314">
        <v>0</v>
      </c>
      <c r="M370" s="315">
        <v>45145.7877546296</v>
      </c>
      <c r="N370" s="314" t="s">
        <v>1514</v>
      </c>
      <c r="O370" s="314" t="s">
        <v>1515</v>
      </c>
      <c r="P370" s="314" t="s">
        <v>208</v>
      </c>
      <c r="Q370" s="314" t="s">
        <v>123</v>
      </c>
      <c r="R370" s="315">
        <v>45145.7877546296</v>
      </c>
      <c r="S370" s="314" t="s">
        <v>1514</v>
      </c>
      <c r="T370" s="314" t="s">
        <v>1516</v>
      </c>
      <c r="U370" s="314" t="s">
        <v>1516</v>
      </c>
      <c r="V370" s="314" t="s">
        <v>114</v>
      </c>
      <c r="W370" s="314"/>
      <c r="X370" s="314" t="str">
        <f>VLOOKUP(D370,代理总表!A:D,3,0)</f>
        <v>GT-骨头</v>
      </c>
      <c r="Y370" t="str">
        <f>VLOOKUP(D:D,代理总表!A:D,4,FALSE)</f>
        <v>GT-骨头gt6677</v>
      </c>
      <c r="Z370">
        <f t="shared" si="15"/>
        <v>0</v>
      </c>
      <c r="AA370">
        <f t="shared" si="16"/>
        <v>18</v>
      </c>
      <c r="AB370">
        <f t="shared" si="17"/>
        <v>1</v>
      </c>
    </row>
    <row r="371" spans="1:28">
      <c r="A371" s="314" t="s">
        <v>1517</v>
      </c>
      <c r="B371" s="314"/>
      <c r="C371" s="314"/>
      <c r="D371" s="314" t="s">
        <v>754</v>
      </c>
      <c r="E371" s="314" t="s">
        <v>104</v>
      </c>
      <c r="F371" s="314" t="s">
        <v>149</v>
      </c>
      <c r="G371" s="314" t="s">
        <v>108</v>
      </c>
      <c r="H371" s="314" t="s">
        <v>119</v>
      </c>
      <c r="I371" s="314" t="s">
        <v>108</v>
      </c>
      <c r="J371" s="314" t="s">
        <v>109</v>
      </c>
      <c r="K371" s="314">
        <v>0</v>
      </c>
      <c r="L371" s="314">
        <v>0</v>
      </c>
      <c r="M371" s="315">
        <v>45145.786712963</v>
      </c>
      <c r="N371" s="314" t="s">
        <v>1518</v>
      </c>
      <c r="O371" s="314" t="s">
        <v>1519</v>
      </c>
      <c r="P371" s="314" t="s">
        <v>112</v>
      </c>
      <c r="Q371" s="314" t="s">
        <v>123</v>
      </c>
      <c r="R371" s="315">
        <v>45145.786712963</v>
      </c>
      <c r="S371" s="314" t="s">
        <v>1518</v>
      </c>
      <c r="T371" s="314" t="s">
        <v>1013</v>
      </c>
      <c r="U371" s="314" t="s">
        <v>1013</v>
      </c>
      <c r="V371" s="314" t="s">
        <v>114</v>
      </c>
      <c r="W371" s="314"/>
      <c r="X371" s="314" t="str">
        <f>VLOOKUP(D371,代理总表!A:D,3,0)</f>
        <v>SEO掉线用户转线</v>
      </c>
      <c r="Y371" t="str">
        <f>VLOOKUP(D:D,代理总表!A:D,4,FALSE)</f>
        <v>SEO</v>
      </c>
      <c r="Z371">
        <f t="shared" si="15"/>
        <v>0</v>
      </c>
      <c r="AA371">
        <f t="shared" si="16"/>
        <v>18</v>
      </c>
      <c r="AB371">
        <f t="shared" si="17"/>
        <v>1</v>
      </c>
    </row>
    <row r="372" spans="1:28">
      <c r="A372" s="314" t="s">
        <v>1520</v>
      </c>
      <c r="B372" s="314"/>
      <c r="C372" s="314">
        <v>13474658908</v>
      </c>
      <c r="D372" s="314" t="s">
        <v>240</v>
      </c>
      <c r="E372" s="314" t="s">
        <v>104</v>
      </c>
      <c r="F372" s="314" t="s">
        <v>149</v>
      </c>
      <c r="G372" s="314" t="s">
        <v>108</v>
      </c>
      <c r="H372" s="314" t="s">
        <v>119</v>
      </c>
      <c r="I372" s="314" t="s">
        <v>108</v>
      </c>
      <c r="J372" s="314" t="s">
        <v>109</v>
      </c>
      <c r="K372" s="314">
        <v>0</v>
      </c>
      <c r="L372" s="314">
        <v>0</v>
      </c>
      <c r="M372" s="315">
        <v>45145.7858912037</v>
      </c>
      <c r="N372" s="314" t="s">
        <v>1521</v>
      </c>
      <c r="O372" s="314" t="s">
        <v>677</v>
      </c>
      <c r="P372" s="314" t="s">
        <v>112</v>
      </c>
      <c r="Q372" s="314" t="s">
        <v>123</v>
      </c>
      <c r="R372" s="315">
        <v>45145.8525115741</v>
      </c>
      <c r="S372" s="314" t="s">
        <v>1521</v>
      </c>
      <c r="T372" s="314" t="s">
        <v>1522</v>
      </c>
      <c r="U372" s="314" t="s">
        <v>1522</v>
      </c>
      <c r="V372" s="314" t="s">
        <v>114</v>
      </c>
      <c r="W372" s="314"/>
      <c r="X372" s="314" t="str">
        <f>VLOOKUP(D372,代理总表!A:D,3,0)</f>
        <v>SEO邀请</v>
      </c>
      <c r="Y372" t="str">
        <f>VLOOKUP(D:D,代理总表!A:D,4,FALSE)</f>
        <v>SEO</v>
      </c>
      <c r="Z372">
        <f t="shared" si="15"/>
        <v>0</v>
      </c>
      <c r="AA372">
        <f t="shared" si="16"/>
        <v>18</v>
      </c>
      <c r="AB372">
        <f t="shared" si="17"/>
        <v>1</v>
      </c>
    </row>
    <row r="373" spans="1:28">
      <c r="A373" s="314" t="s">
        <v>1523</v>
      </c>
      <c r="B373" s="314" t="s">
        <v>1524</v>
      </c>
      <c r="C373" s="314">
        <v>18253608092</v>
      </c>
      <c r="D373" s="314" t="s">
        <v>1525</v>
      </c>
      <c r="E373" s="314" t="s">
        <v>104</v>
      </c>
      <c r="F373" s="314" t="s">
        <v>118</v>
      </c>
      <c r="G373" s="314" t="s">
        <v>108</v>
      </c>
      <c r="H373" s="314" t="s">
        <v>119</v>
      </c>
      <c r="I373" s="314" t="s">
        <v>108</v>
      </c>
      <c r="J373" s="314" t="s">
        <v>109</v>
      </c>
      <c r="K373" s="314">
        <v>0</v>
      </c>
      <c r="L373" s="314">
        <v>0</v>
      </c>
      <c r="M373" s="315">
        <v>45145.7855324074</v>
      </c>
      <c r="N373" s="314" t="s">
        <v>1526</v>
      </c>
      <c r="O373" s="314" t="s">
        <v>1527</v>
      </c>
      <c r="P373" s="314" t="s">
        <v>112</v>
      </c>
      <c r="Q373" s="314" t="s">
        <v>123</v>
      </c>
      <c r="R373" s="315">
        <v>45145.8144675926</v>
      </c>
      <c r="S373" s="314" t="s">
        <v>1526</v>
      </c>
      <c r="T373" s="314" t="s">
        <v>1528</v>
      </c>
      <c r="U373" s="314" t="s">
        <v>1528</v>
      </c>
      <c r="V373" s="314" t="s">
        <v>114</v>
      </c>
      <c r="W373" s="314"/>
      <c r="X373" s="314" t="str">
        <f>VLOOKUP(D373,代理总表!A:D,3,0)</f>
        <v>GT-骨头</v>
      </c>
      <c r="Y373" t="str">
        <f>VLOOKUP(D:D,代理总表!A:D,4,FALSE)</f>
        <v>B直播gt6677</v>
      </c>
      <c r="Z373">
        <f t="shared" si="15"/>
        <v>0</v>
      </c>
      <c r="AA373">
        <f t="shared" si="16"/>
        <v>18</v>
      </c>
      <c r="AB373">
        <f t="shared" si="17"/>
        <v>1</v>
      </c>
    </row>
    <row r="374" spans="1:28">
      <c r="A374" s="314" t="s">
        <v>1529</v>
      </c>
      <c r="B374" s="314" t="s">
        <v>1530</v>
      </c>
      <c r="C374" s="314">
        <v>588633045</v>
      </c>
      <c r="D374" s="314" t="s">
        <v>1017</v>
      </c>
      <c r="E374" s="314" t="s">
        <v>117</v>
      </c>
      <c r="F374" s="314" t="s">
        <v>144</v>
      </c>
      <c r="G374" s="314" t="s">
        <v>106</v>
      </c>
      <c r="H374" s="314" t="s">
        <v>107</v>
      </c>
      <c r="I374" s="314" t="s">
        <v>108</v>
      </c>
      <c r="J374" s="314" t="s">
        <v>120</v>
      </c>
      <c r="K374" s="314">
        <v>470000</v>
      </c>
      <c r="L374" s="314">
        <v>2170000</v>
      </c>
      <c r="M374" s="315">
        <v>45145.7853587963</v>
      </c>
      <c r="N374" s="314" t="s">
        <v>1531</v>
      </c>
      <c r="O374" s="314" t="s">
        <v>1019</v>
      </c>
      <c r="P374" s="314" t="s">
        <v>112</v>
      </c>
      <c r="Q374" s="315">
        <v>45145.7886921296</v>
      </c>
      <c r="R374" s="315">
        <v>45145.7896527778</v>
      </c>
      <c r="S374" s="314" t="s">
        <v>1531</v>
      </c>
      <c r="T374" s="314" t="s">
        <v>1532</v>
      </c>
      <c r="U374" s="314" t="s">
        <v>1532</v>
      </c>
      <c r="V374" s="314" t="s">
        <v>114</v>
      </c>
      <c r="W374" s="314"/>
      <c r="X374" s="314" t="e">
        <f>VLOOKUP(D374,代理总表!A:D,3,0)</f>
        <v>#N/A</v>
      </c>
      <c r="Y374" t="e">
        <f>VLOOKUP(D:D,代理总表!A:D,4,FALSE)</f>
        <v>#N/A</v>
      </c>
      <c r="Z374">
        <f t="shared" si="15"/>
        <v>1</v>
      </c>
      <c r="AA374">
        <f t="shared" si="16"/>
        <v>18</v>
      </c>
      <c r="AB374">
        <f t="shared" si="17"/>
        <v>1</v>
      </c>
    </row>
    <row r="375" spans="1:28">
      <c r="A375" s="314" t="s">
        <v>1533</v>
      </c>
      <c r="B375" s="314"/>
      <c r="C375" s="314">
        <v>18607521490</v>
      </c>
      <c r="D375" s="314" t="s">
        <v>1336</v>
      </c>
      <c r="E375" s="314" t="s">
        <v>104</v>
      </c>
      <c r="F375" s="314" t="s">
        <v>118</v>
      </c>
      <c r="G375" s="314" t="s">
        <v>108</v>
      </c>
      <c r="H375" s="314" t="s">
        <v>119</v>
      </c>
      <c r="I375" s="314" t="s">
        <v>108</v>
      </c>
      <c r="J375" s="314" t="s">
        <v>109</v>
      </c>
      <c r="K375" s="314">
        <v>0</v>
      </c>
      <c r="L375" s="314">
        <v>0</v>
      </c>
      <c r="M375" s="315">
        <v>45145.784525463</v>
      </c>
      <c r="N375" s="314" t="s">
        <v>1534</v>
      </c>
      <c r="O375" s="314" t="s">
        <v>1535</v>
      </c>
      <c r="P375" s="314" t="s">
        <v>161</v>
      </c>
      <c r="Q375" s="314" t="s">
        <v>123</v>
      </c>
      <c r="R375" s="315">
        <v>45145.8279976852</v>
      </c>
      <c r="S375" s="314" t="s">
        <v>1534</v>
      </c>
      <c r="T375" s="314" t="s">
        <v>1536</v>
      </c>
      <c r="U375" s="314" t="s">
        <v>1536</v>
      </c>
      <c r="V375" s="314" t="s">
        <v>114</v>
      </c>
      <c r="W375" s="314"/>
      <c r="X375" s="314" t="str">
        <f>VLOOKUP(D375,代理总表!A:D,3,0)</f>
        <v>飞哥雨燕直播</v>
      </c>
      <c r="Y375" t="str">
        <f>VLOOKUP(D:D,代理总表!A:D,4,FALSE)</f>
        <v>飞哥雨燕直播ffmk88</v>
      </c>
      <c r="Z375">
        <f t="shared" si="15"/>
        <v>0</v>
      </c>
      <c r="AA375">
        <f t="shared" si="16"/>
        <v>18</v>
      </c>
      <c r="AB375">
        <f t="shared" si="17"/>
        <v>1</v>
      </c>
    </row>
    <row r="376" spans="1:28">
      <c r="A376" s="314" t="s">
        <v>1537</v>
      </c>
      <c r="B376" s="314" t="s">
        <v>1538</v>
      </c>
      <c r="C376" s="314">
        <v>18037558180</v>
      </c>
      <c r="D376" s="314" t="s">
        <v>103</v>
      </c>
      <c r="E376" s="314" t="s">
        <v>104</v>
      </c>
      <c r="F376" s="314" t="s">
        <v>105</v>
      </c>
      <c r="G376" s="314" t="s">
        <v>106</v>
      </c>
      <c r="H376" s="314" t="s">
        <v>856</v>
      </c>
      <c r="I376" s="314" t="s">
        <v>108</v>
      </c>
      <c r="J376" s="314" t="s">
        <v>109</v>
      </c>
      <c r="K376" s="314">
        <v>12.16</v>
      </c>
      <c r="L376" s="314">
        <v>105.64</v>
      </c>
      <c r="M376" s="315">
        <v>45145.7836574074</v>
      </c>
      <c r="N376" s="314" t="s">
        <v>1539</v>
      </c>
      <c r="O376" s="314" t="s">
        <v>350</v>
      </c>
      <c r="P376" s="314" t="s">
        <v>161</v>
      </c>
      <c r="Q376" s="315">
        <v>45145.8261689815</v>
      </c>
      <c r="R376" s="315">
        <v>45146.3595138889</v>
      </c>
      <c r="S376" s="314" t="s">
        <v>1540</v>
      </c>
      <c r="T376" s="314" t="s">
        <v>1541</v>
      </c>
      <c r="U376" s="314" t="s">
        <v>1542</v>
      </c>
      <c r="V376" s="314" t="s">
        <v>114</v>
      </c>
      <c r="W376" s="314"/>
      <c r="X376" s="314" t="str">
        <f>VLOOKUP(D376,代理总表!A:D,3,0)</f>
        <v>官网</v>
      </c>
      <c r="Y376" t="str">
        <f>VLOOKUP(D:D,代理总表!A:D,4,FALSE)</f>
        <v>官网</v>
      </c>
      <c r="Z376">
        <f t="shared" si="15"/>
        <v>1</v>
      </c>
      <c r="AA376">
        <f t="shared" si="16"/>
        <v>18</v>
      </c>
      <c r="AB376">
        <f t="shared" si="17"/>
        <v>1</v>
      </c>
    </row>
    <row r="377" spans="1:28">
      <c r="A377" s="314" t="s">
        <v>1543</v>
      </c>
      <c r="B377" s="314"/>
      <c r="C377" s="314">
        <v>15246773757</v>
      </c>
      <c r="D377" s="314" t="s">
        <v>1544</v>
      </c>
      <c r="E377" s="314" t="s">
        <v>104</v>
      </c>
      <c r="F377" s="314" t="s">
        <v>144</v>
      </c>
      <c r="G377" s="314" t="s">
        <v>106</v>
      </c>
      <c r="H377" s="314" t="s">
        <v>107</v>
      </c>
      <c r="I377" s="314" t="s">
        <v>108</v>
      </c>
      <c r="J377" s="314" t="s">
        <v>415</v>
      </c>
      <c r="K377" s="314">
        <v>767.6</v>
      </c>
      <c r="L377" s="314">
        <v>760</v>
      </c>
      <c r="M377" s="315">
        <v>45145.7836226852</v>
      </c>
      <c r="N377" s="314" t="s">
        <v>1545</v>
      </c>
      <c r="O377" s="314" t="s">
        <v>1546</v>
      </c>
      <c r="P377" s="314" t="s">
        <v>339</v>
      </c>
      <c r="Q377" s="315">
        <v>45145.8474884259</v>
      </c>
      <c r="R377" s="315">
        <v>45145.8704398148</v>
      </c>
      <c r="S377" s="314" t="s">
        <v>1545</v>
      </c>
      <c r="T377" s="314" t="s">
        <v>477</v>
      </c>
      <c r="U377" s="314" t="s">
        <v>477</v>
      </c>
      <c r="V377" s="314" t="s">
        <v>114</v>
      </c>
      <c r="W377" s="314"/>
      <c r="X377" s="314" t="e">
        <f>VLOOKUP(D377,代理总表!A:D,3,0)</f>
        <v>#N/A</v>
      </c>
      <c r="Y377" t="e">
        <f>VLOOKUP(D:D,代理总表!A:D,4,FALSE)</f>
        <v>#N/A</v>
      </c>
      <c r="Z377">
        <f t="shared" si="15"/>
        <v>1</v>
      </c>
      <c r="AA377">
        <f t="shared" si="16"/>
        <v>18</v>
      </c>
      <c r="AB377">
        <f t="shared" si="17"/>
        <v>1</v>
      </c>
    </row>
    <row r="378" spans="1:28">
      <c r="A378" s="314" t="s">
        <v>1547</v>
      </c>
      <c r="B378" s="314"/>
      <c r="C378" s="314"/>
      <c r="D378" s="314" t="s">
        <v>137</v>
      </c>
      <c r="E378" s="314" t="s">
        <v>117</v>
      </c>
      <c r="F378" s="314" t="s">
        <v>118</v>
      </c>
      <c r="G378" s="314" t="s">
        <v>108</v>
      </c>
      <c r="H378" s="314" t="s">
        <v>119</v>
      </c>
      <c r="I378" s="314" t="s">
        <v>108</v>
      </c>
      <c r="J378" s="314" t="s">
        <v>120</v>
      </c>
      <c r="K378" s="314">
        <v>0</v>
      </c>
      <c r="L378" s="314">
        <v>0</v>
      </c>
      <c r="M378" s="315">
        <v>45145.7833333333</v>
      </c>
      <c r="N378" s="314" t="s">
        <v>1548</v>
      </c>
      <c r="O378" s="314" t="s">
        <v>139</v>
      </c>
      <c r="P378" s="314" t="s">
        <v>112</v>
      </c>
      <c r="Q378" s="314" t="s">
        <v>123</v>
      </c>
      <c r="R378" s="315">
        <v>45145.7833333333</v>
      </c>
      <c r="S378" s="314" t="s">
        <v>1548</v>
      </c>
      <c r="T378" s="314" t="s">
        <v>1549</v>
      </c>
      <c r="U378" s="314" t="s">
        <v>1549</v>
      </c>
      <c r="V378" s="314" t="s">
        <v>114</v>
      </c>
      <c r="W378" s="314"/>
      <c r="X378" s="314" t="str">
        <f>VLOOKUP(D378,代理总表!A:D,3,0)</f>
        <v>雨燕直播-越</v>
      </c>
      <c r="Y378" t="str">
        <f>VLOOKUP(D:D,代理总表!A:D,4,FALSE)</f>
        <v>雨燕直播-越ffvn66</v>
      </c>
      <c r="Z378">
        <f t="shared" si="15"/>
        <v>0</v>
      </c>
      <c r="AA378">
        <f t="shared" si="16"/>
        <v>18</v>
      </c>
      <c r="AB378">
        <f t="shared" si="17"/>
        <v>1</v>
      </c>
    </row>
    <row r="379" spans="1:28">
      <c r="A379" s="314" t="s">
        <v>1550</v>
      </c>
      <c r="B379" s="314" t="s">
        <v>1551</v>
      </c>
      <c r="C379" s="314">
        <v>13109806115</v>
      </c>
      <c r="D379" s="314" t="s">
        <v>249</v>
      </c>
      <c r="E379" s="314" t="s">
        <v>104</v>
      </c>
      <c r="F379" s="314" t="s">
        <v>144</v>
      </c>
      <c r="G379" s="314" t="s">
        <v>106</v>
      </c>
      <c r="H379" s="314" t="s">
        <v>107</v>
      </c>
      <c r="I379" s="314" t="s">
        <v>108</v>
      </c>
      <c r="J379" s="314" t="s">
        <v>109</v>
      </c>
      <c r="K379" s="314">
        <v>333</v>
      </c>
      <c r="L379" s="314">
        <v>0</v>
      </c>
      <c r="M379" s="315">
        <v>45145.7831134259</v>
      </c>
      <c r="N379" s="314" t="s">
        <v>1552</v>
      </c>
      <c r="O379" s="314" t="s">
        <v>251</v>
      </c>
      <c r="P379" s="314" t="s">
        <v>112</v>
      </c>
      <c r="Q379" s="315">
        <v>45145.8207523148</v>
      </c>
      <c r="R379" s="315">
        <v>45145.7831018519</v>
      </c>
      <c r="S379" s="314" t="s">
        <v>1552</v>
      </c>
      <c r="T379" s="314" t="s">
        <v>1553</v>
      </c>
      <c r="U379" s="314" t="s">
        <v>1553</v>
      </c>
      <c r="V379" s="314" t="s">
        <v>114</v>
      </c>
      <c r="W379" s="314"/>
      <c r="X379" s="314" t="str">
        <f>VLOOKUP(D379,代理总表!A:D,3,0)</f>
        <v>飞哥雨燕直播</v>
      </c>
      <c r="Y379" t="str">
        <f>VLOOKUP(D:D,代理总表!A:D,4,FALSE)</f>
        <v>飞哥雨燕直播ffmk88</v>
      </c>
      <c r="Z379">
        <f t="shared" si="15"/>
        <v>1</v>
      </c>
      <c r="AA379">
        <f t="shared" si="16"/>
        <v>18</v>
      </c>
      <c r="AB379">
        <f t="shared" si="17"/>
        <v>1</v>
      </c>
    </row>
    <row r="380" spans="1:28">
      <c r="A380" s="314" t="s">
        <v>1554</v>
      </c>
      <c r="B380" s="314" t="s">
        <v>1555</v>
      </c>
      <c r="C380" s="314">
        <v>18295677374</v>
      </c>
      <c r="D380" s="314" t="s">
        <v>103</v>
      </c>
      <c r="E380" s="314" t="s">
        <v>104</v>
      </c>
      <c r="F380" s="314" t="s">
        <v>105</v>
      </c>
      <c r="G380" s="314" t="s">
        <v>106</v>
      </c>
      <c r="H380" s="314" t="s">
        <v>107</v>
      </c>
      <c r="I380" s="314" t="s">
        <v>108</v>
      </c>
      <c r="J380" s="314" t="s">
        <v>109</v>
      </c>
      <c r="K380" s="314">
        <v>200.34</v>
      </c>
      <c r="L380" s="314">
        <v>200</v>
      </c>
      <c r="M380" s="315">
        <v>45145.7828125</v>
      </c>
      <c r="N380" s="314" t="s">
        <v>1556</v>
      </c>
      <c r="O380" s="314" t="s">
        <v>350</v>
      </c>
      <c r="P380" s="314" t="s">
        <v>112</v>
      </c>
      <c r="Q380" s="315">
        <v>45146.1487847222</v>
      </c>
      <c r="R380" s="315">
        <v>45146.3340046296</v>
      </c>
      <c r="S380" s="314" t="s">
        <v>1557</v>
      </c>
      <c r="T380" s="314" t="s">
        <v>1558</v>
      </c>
      <c r="U380" s="314" t="s">
        <v>1558</v>
      </c>
      <c r="V380" s="314" t="s">
        <v>114</v>
      </c>
      <c r="W380" s="314"/>
      <c r="X380" s="314" t="str">
        <f>VLOOKUP(D380,代理总表!A:D,3,0)</f>
        <v>官网</v>
      </c>
      <c r="Y380" t="str">
        <f>VLOOKUP(D:D,代理总表!A:D,4,FALSE)</f>
        <v>官网</v>
      </c>
      <c r="Z380">
        <f t="shared" si="15"/>
        <v>1</v>
      </c>
      <c r="AA380">
        <f t="shared" si="16"/>
        <v>18</v>
      </c>
      <c r="AB380">
        <f t="shared" si="17"/>
        <v>1</v>
      </c>
    </row>
    <row r="381" spans="1:28">
      <c r="A381" s="314" t="s">
        <v>1559</v>
      </c>
      <c r="B381" s="314"/>
      <c r="C381" s="314"/>
      <c r="D381" s="314" t="s">
        <v>103</v>
      </c>
      <c r="E381" s="314" t="s">
        <v>104</v>
      </c>
      <c r="F381" s="314" t="s">
        <v>118</v>
      </c>
      <c r="G381" s="314" t="s">
        <v>108</v>
      </c>
      <c r="H381" s="314" t="s">
        <v>119</v>
      </c>
      <c r="I381" s="314" t="s">
        <v>108</v>
      </c>
      <c r="J381" s="314" t="s">
        <v>109</v>
      </c>
      <c r="K381" s="314">
        <v>0</v>
      </c>
      <c r="L381" s="314">
        <v>0</v>
      </c>
      <c r="M381" s="315">
        <v>45145.7827083333</v>
      </c>
      <c r="N381" s="314" t="s">
        <v>1560</v>
      </c>
      <c r="O381" s="314" t="s">
        <v>851</v>
      </c>
      <c r="P381" s="314" t="s">
        <v>339</v>
      </c>
      <c r="Q381" s="314" t="s">
        <v>123</v>
      </c>
      <c r="R381" s="314"/>
      <c r="S381" s="314"/>
      <c r="T381" s="314" t="s">
        <v>1561</v>
      </c>
      <c r="U381" s="314"/>
      <c r="V381" s="314" t="s">
        <v>114</v>
      </c>
      <c r="W381" s="314"/>
      <c r="X381" s="314" t="str">
        <f>VLOOKUP(D381,代理总表!A:D,3,0)</f>
        <v>官网</v>
      </c>
      <c r="Y381" t="str">
        <f>VLOOKUP(D:D,代理总表!A:D,4,FALSE)</f>
        <v>官网</v>
      </c>
      <c r="Z381">
        <f t="shared" si="15"/>
        <v>0</v>
      </c>
      <c r="AA381">
        <f t="shared" si="16"/>
        <v>18</v>
      </c>
      <c r="AB381">
        <f t="shared" si="17"/>
        <v>1</v>
      </c>
    </row>
    <row r="382" spans="1:28">
      <c r="A382" s="314" t="s">
        <v>1562</v>
      </c>
      <c r="B382" s="314" t="s">
        <v>1563</v>
      </c>
      <c r="C382" s="314">
        <v>854639789</v>
      </c>
      <c r="D382" s="314" t="s">
        <v>394</v>
      </c>
      <c r="E382" s="314" t="s">
        <v>117</v>
      </c>
      <c r="F382" s="314" t="s">
        <v>118</v>
      </c>
      <c r="G382" s="314" t="s">
        <v>108</v>
      </c>
      <c r="H382" s="314" t="s">
        <v>119</v>
      </c>
      <c r="I382" s="314" t="s">
        <v>108</v>
      </c>
      <c r="J382" s="314" t="s">
        <v>120</v>
      </c>
      <c r="K382" s="314">
        <v>0</v>
      </c>
      <c r="L382" s="314">
        <v>0</v>
      </c>
      <c r="M382" s="315">
        <v>45145.7787615741</v>
      </c>
      <c r="N382" s="314" t="s">
        <v>1564</v>
      </c>
      <c r="O382" s="314" t="s">
        <v>396</v>
      </c>
      <c r="P382" s="314" t="s">
        <v>112</v>
      </c>
      <c r="Q382" s="314" t="s">
        <v>123</v>
      </c>
      <c r="R382" s="315">
        <v>45145.784212963</v>
      </c>
      <c r="S382" s="314" t="s">
        <v>1564</v>
      </c>
      <c r="T382" s="314" t="s">
        <v>124</v>
      </c>
      <c r="U382" s="314" t="s">
        <v>124</v>
      </c>
      <c r="V382" s="314" t="s">
        <v>114</v>
      </c>
      <c r="W382" s="314"/>
      <c r="X382" s="314" t="str">
        <f>VLOOKUP(D382,代理总表!A:D,3,0)</f>
        <v>外部代理总线</v>
      </c>
      <c r="Y382" t="str">
        <f>VLOOKUP(D:D,代理总表!A:D,4,FALSE)</f>
        <v>外部代理总线zh0808</v>
      </c>
      <c r="Z382">
        <f t="shared" si="15"/>
        <v>0</v>
      </c>
      <c r="AA382">
        <f t="shared" si="16"/>
        <v>18</v>
      </c>
      <c r="AB382">
        <f t="shared" si="17"/>
        <v>1</v>
      </c>
    </row>
    <row r="383" spans="1:28">
      <c r="A383" s="314" t="s">
        <v>1565</v>
      </c>
      <c r="B383" s="314" t="s">
        <v>1566</v>
      </c>
      <c r="C383" s="314">
        <v>948686565</v>
      </c>
      <c r="D383" s="314" t="s">
        <v>635</v>
      </c>
      <c r="E383" s="314" t="s">
        <v>117</v>
      </c>
      <c r="F383" s="314" t="s">
        <v>118</v>
      </c>
      <c r="G383" s="314" t="s">
        <v>108</v>
      </c>
      <c r="H383" s="314" t="s">
        <v>119</v>
      </c>
      <c r="I383" s="314" t="s">
        <v>108</v>
      </c>
      <c r="J383" s="314" t="s">
        <v>120</v>
      </c>
      <c r="K383" s="314">
        <v>0</v>
      </c>
      <c r="L383" s="314">
        <v>0</v>
      </c>
      <c r="M383" s="315">
        <v>45145.7780208333</v>
      </c>
      <c r="N383" s="314" t="s">
        <v>1567</v>
      </c>
      <c r="O383" s="314" t="s">
        <v>637</v>
      </c>
      <c r="P383" s="314" t="s">
        <v>112</v>
      </c>
      <c r="Q383" s="314" t="s">
        <v>123</v>
      </c>
      <c r="R383" s="315">
        <v>45145.783599537</v>
      </c>
      <c r="S383" s="314" t="s">
        <v>1567</v>
      </c>
      <c r="T383" s="314" t="s">
        <v>124</v>
      </c>
      <c r="U383" s="314" t="s">
        <v>124</v>
      </c>
      <c r="V383" s="314" t="s">
        <v>114</v>
      </c>
      <c r="W383" s="314"/>
      <c r="X383" s="314" t="str">
        <f>VLOOKUP(D383,代理总表!A:D,3,0)</f>
        <v>外部代理总线</v>
      </c>
      <c r="Y383" t="str">
        <f>VLOOKUP(D:D,代理总表!A:D,4,FALSE)</f>
        <v>外部代理总线zh0808</v>
      </c>
      <c r="Z383">
        <f t="shared" si="15"/>
        <v>0</v>
      </c>
      <c r="AA383">
        <f t="shared" si="16"/>
        <v>18</v>
      </c>
      <c r="AB383">
        <f t="shared" si="17"/>
        <v>1</v>
      </c>
    </row>
    <row r="384" spans="1:28">
      <c r="A384" s="314" t="s">
        <v>1568</v>
      </c>
      <c r="B384" s="314" t="s">
        <v>1569</v>
      </c>
      <c r="C384" s="314">
        <v>15344198993</v>
      </c>
      <c r="D384" s="314" t="s">
        <v>276</v>
      </c>
      <c r="E384" s="314" t="s">
        <v>104</v>
      </c>
      <c r="F384" s="314" t="s">
        <v>118</v>
      </c>
      <c r="G384" s="314" t="s">
        <v>108</v>
      </c>
      <c r="H384" s="314" t="s">
        <v>119</v>
      </c>
      <c r="I384" s="314" t="s">
        <v>108</v>
      </c>
      <c r="J384" s="314" t="s">
        <v>109</v>
      </c>
      <c r="K384" s="314">
        <v>0</v>
      </c>
      <c r="L384" s="314">
        <v>0</v>
      </c>
      <c r="M384" s="315">
        <v>45145.7779166667</v>
      </c>
      <c r="N384" s="314" t="s">
        <v>1570</v>
      </c>
      <c r="O384" s="314" t="s">
        <v>422</v>
      </c>
      <c r="P384" s="314" t="s">
        <v>112</v>
      </c>
      <c r="Q384" s="314" t="s">
        <v>123</v>
      </c>
      <c r="R384" s="315">
        <v>45145.7812847222</v>
      </c>
      <c r="S384" s="314" t="s">
        <v>1570</v>
      </c>
      <c r="T384" s="314" t="s">
        <v>1571</v>
      </c>
      <c r="U384" s="314" t="s">
        <v>1571</v>
      </c>
      <c r="V384" s="314" t="s">
        <v>114</v>
      </c>
      <c r="W384" s="314"/>
      <c r="X384" s="314" t="str">
        <f>VLOOKUP(D384,代理总表!A:D,3,0)</f>
        <v>飞哥雨燕直播</v>
      </c>
      <c r="Y384" t="str">
        <f>VLOOKUP(D:D,代理总表!A:D,4,FALSE)</f>
        <v>飞哥雨燕直播ffmk88</v>
      </c>
      <c r="Z384">
        <f t="shared" si="15"/>
        <v>0</v>
      </c>
      <c r="AA384">
        <f t="shared" si="16"/>
        <v>18</v>
      </c>
      <c r="AB384">
        <f t="shared" si="17"/>
        <v>1</v>
      </c>
    </row>
    <row r="385" spans="1:28">
      <c r="A385" s="314" t="s">
        <v>1572</v>
      </c>
      <c r="B385" s="314"/>
      <c r="C385" s="314"/>
      <c r="D385" s="314" t="s">
        <v>103</v>
      </c>
      <c r="E385" s="314" t="s">
        <v>104</v>
      </c>
      <c r="F385" s="314" t="s">
        <v>118</v>
      </c>
      <c r="G385" s="314" t="s">
        <v>108</v>
      </c>
      <c r="H385" s="314" t="s">
        <v>119</v>
      </c>
      <c r="I385" s="314" t="s">
        <v>108</v>
      </c>
      <c r="J385" s="314" t="s">
        <v>109</v>
      </c>
      <c r="K385" s="314">
        <v>0</v>
      </c>
      <c r="L385" s="314">
        <v>0</v>
      </c>
      <c r="M385" s="315">
        <v>45145.7774074074</v>
      </c>
      <c r="N385" s="314" t="s">
        <v>1573</v>
      </c>
      <c r="O385" s="314" t="s">
        <v>577</v>
      </c>
      <c r="P385" s="314" t="s">
        <v>161</v>
      </c>
      <c r="Q385" s="314" t="s">
        <v>123</v>
      </c>
      <c r="R385" s="315">
        <v>45145.7774074074</v>
      </c>
      <c r="S385" s="314" t="s">
        <v>1573</v>
      </c>
      <c r="T385" s="314" t="s">
        <v>1574</v>
      </c>
      <c r="U385" s="314" t="s">
        <v>1574</v>
      </c>
      <c r="V385" s="314" t="s">
        <v>114</v>
      </c>
      <c r="W385" s="314"/>
      <c r="X385" s="314" t="str">
        <f>VLOOKUP(D385,代理总表!A:D,3,0)</f>
        <v>官网</v>
      </c>
      <c r="Y385" t="str">
        <f>VLOOKUP(D:D,代理总表!A:D,4,FALSE)</f>
        <v>官网</v>
      </c>
      <c r="Z385">
        <f t="shared" si="15"/>
        <v>0</v>
      </c>
      <c r="AA385">
        <f t="shared" si="16"/>
        <v>18</v>
      </c>
      <c r="AB385">
        <f t="shared" si="17"/>
        <v>1</v>
      </c>
    </row>
    <row r="386" spans="1:28">
      <c r="A386" s="314" t="s">
        <v>1575</v>
      </c>
      <c r="B386" s="314" t="s">
        <v>1576</v>
      </c>
      <c r="C386" s="314">
        <v>778388676</v>
      </c>
      <c r="D386" s="314" t="s">
        <v>197</v>
      </c>
      <c r="E386" s="314" t="s">
        <v>117</v>
      </c>
      <c r="F386" s="314" t="s">
        <v>118</v>
      </c>
      <c r="G386" s="314" t="s">
        <v>108</v>
      </c>
      <c r="H386" s="314" t="s">
        <v>119</v>
      </c>
      <c r="I386" s="314" t="s">
        <v>108</v>
      </c>
      <c r="J386" s="314" t="s">
        <v>120</v>
      </c>
      <c r="K386" s="314">
        <v>0</v>
      </c>
      <c r="L386" s="314">
        <v>0</v>
      </c>
      <c r="M386" s="315">
        <v>45145.7767939815</v>
      </c>
      <c r="N386" s="314" t="s">
        <v>1577</v>
      </c>
      <c r="O386" s="314" t="s">
        <v>617</v>
      </c>
      <c r="P386" s="314" t="s">
        <v>339</v>
      </c>
      <c r="Q386" s="314" t="s">
        <v>123</v>
      </c>
      <c r="R386" s="315">
        <v>45145.7864236111</v>
      </c>
      <c r="S386" s="314" t="s">
        <v>1577</v>
      </c>
      <c r="T386" s="314" t="s">
        <v>177</v>
      </c>
      <c r="U386" s="314" t="s">
        <v>177</v>
      </c>
      <c r="V386" s="314" t="s">
        <v>114</v>
      </c>
      <c r="W386" s="314"/>
      <c r="X386" s="314" t="str">
        <f>VLOOKUP(D386,代理总表!A:D,3,0)</f>
        <v>雨燕直播-越</v>
      </c>
      <c r="Y386" t="str">
        <f>VLOOKUP(D:D,代理总表!A:D,4,FALSE)</f>
        <v>雨燕直播-越ffvn66</v>
      </c>
      <c r="Z386">
        <f t="shared" si="15"/>
        <v>0</v>
      </c>
      <c r="AA386">
        <f t="shared" si="16"/>
        <v>18</v>
      </c>
      <c r="AB386">
        <f t="shared" si="17"/>
        <v>1</v>
      </c>
    </row>
    <row r="387" spans="1:28">
      <c r="A387" s="314" t="s">
        <v>1578</v>
      </c>
      <c r="B387" s="314"/>
      <c r="C387" s="314"/>
      <c r="D387" s="314" t="s">
        <v>116</v>
      </c>
      <c r="E387" s="314" t="s">
        <v>117</v>
      </c>
      <c r="F387" s="314" t="s">
        <v>118</v>
      </c>
      <c r="G387" s="314" t="s">
        <v>108</v>
      </c>
      <c r="H387" s="314" t="s">
        <v>119</v>
      </c>
      <c r="I387" s="314" t="s">
        <v>108</v>
      </c>
      <c r="J387" s="314" t="s">
        <v>120</v>
      </c>
      <c r="K387" s="314">
        <v>0</v>
      </c>
      <c r="L387" s="314">
        <v>0</v>
      </c>
      <c r="M387" s="315">
        <v>45145.7762731481</v>
      </c>
      <c r="N387" s="314" t="s">
        <v>1579</v>
      </c>
      <c r="O387" s="314" t="s">
        <v>127</v>
      </c>
      <c r="P387" s="314" t="s">
        <v>112</v>
      </c>
      <c r="Q387" s="314" t="s">
        <v>123</v>
      </c>
      <c r="R387" s="315">
        <v>45145.7762731481</v>
      </c>
      <c r="S387" s="314" t="s">
        <v>1579</v>
      </c>
      <c r="T387" s="314" t="s">
        <v>131</v>
      </c>
      <c r="U387" s="314" t="s">
        <v>131</v>
      </c>
      <c r="V387" s="314" t="s">
        <v>114</v>
      </c>
      <c r="W387" s="314"/>
      <c r="X387" s="314" t="str">
        <f>VLOOKUP(D387,代理总表!A:D,3,0)</f>
        <v>外部代理总线</v>
      </c>
      <c r="Y387" t="str">
        <f>VLOOKUP(D:D,代理总表!A:D,4,FALSE)</f>
        <v>外部代理总线zh0808</v>
      </c>
      <c r="Z387">
        <f t="shared" ref="Z387:Z450" si="18">IF(RIGHT(H387,1)&gt;"0",1,0)</f>
        <v>0</v>
      </c>
      <c r="AA387">
        <f t="shared" ref="AA387:AA450" si="19">HOUR(M387)</f>
        <v>18</v>
      </c>
      <c r="AB387">
        <f t="shared" ref="AB387:AB450" si="20">IF(AE387=AF387,1,0)</f>
        <v>1</v>
      </c>
    </row>
    <row r="388" spans="1:28">
      <c r="A388" s="314" t="s">
        <v>1580</v>
      </c>
      <c r="B388" s="314" t="s">
        <v>1581</v>
      </c>
      <c r="C388" s="314">
        <v>13068890702</v>
      </c>
      <c r="D388" s="314" t="s">
        <v>148</v>
      </c>
      <c r="E388" s="314" t="s">
        <v>104</v>
      </c>
      <c r="F388" s="314" t="s">
        <v>181</v>
      </c>
      <c r="G388" s="314" t="s">
        <v>106</v>
      </c>
      <c r="H388" s="314" t="s">
        <v>107</v>
      </c>
      <c r="I388" s="314" t="s">
        <v>108</v>
      </c>
      <c r="J388" s="314" t="s">
        <v>109</v>
      </c>
      <c r="K388" s="314">
        <v>2000</v>
      </c>
      <c r="L388" s="314">
        <v>1000</v>
      </c>
      <c r="M388" s="315">
        <v>45145.7761226852</v>
      </c>
      <c r="N388" s="314" t="s">
        <v>1582</v>
      </c>
      <c r="O388" s="314" t="s">
        <v>160</v>
      </c>
      <c r="P388" s="314" t="s">
        <v>208</v>
      </c>
      <c r="Q388" s="315">
        <v>45145.780474537</v>
      </c>
      <c r="R388" s="315">
        <v>45146.3616898148</v>
      </c>
      <c r="S388" s="314" t="s">
        <v>1583</v>
      </c>
      <c r="T388" s="314" t="s">
        <v>890</v>
      </c>
      <c r="U388" s="314" t="s">
        <v>1584</v>
      </c>
      <c r="V388" s="314" t="s">
        <v>114</v>
      </c>
      <c r="W388" s="314"/>
      <c r="X388" s="314" t="str">
        <f>VLOOKUP(D388,代理总表!A:D,3,0)</f>
        <v>martin</v>
      </c>
      <c r="Y388" t="str">
        <f>VLOOKUP(D:D,代理总表!A:D,4,FALSE)</f>
        <v>SEO</v>
      </c>
      <c r="Z388">
        <f t="shared" si="18"/>
        <v>1</v>
      </c>
      <c r="AA388">
        <f t="shared" si="19"/>
        <v>18</v>
      </c>
      <c r="AB388">
        <f t="shared" si="20"/>
        <v>1</v>
      </c>
    </row>
    <row r="389" spans="1:28">
      <c r="A389" s="314" t="s">
        <v>1585</v>
      </c>
      <c r="B389" s="314"/>
      <c r="C389" s="314">
        <v>18310977932</v>
      </c>
      <c r="D389" s="314" t="s">
        <v>609</v>
      </c>
      <c r="E389" s="314" t="s">
        <v>104</v>
      </c>
      <c r="F389" s="314" t="s">
        <v>118</v>
      </c>
      <c r="G389" s="314" t="s">
        <v>108</v>
      </c>
      <c r="H389" s="314" t="s">
        <v>119</v>
      </c>
      <c r="I389" s="314" t="s">
        <v>108</v>
      </c>
      <c r="J389" s="314" t="s">
        <v>109</v>
      </c>
      <c r="K389" s="314">
        <v>0</v>
      </c>
      <c r="L389" s="314">
        <v>0</v>
      </c>
      <c r="M389" s="315">
        <v>45145.7746990741</v>
      </c>
      <c r="N389" s="314" t="s">
        <v>1586</v>
      </c>
      <c r="O389" s="314" t="s">
        <v>1587</v>
      </c>
      <c r="P389" s="314" t="s">
        <v>112</v>
      </c>
      <c r="Q389" s="314" t="s">
        <v>123</v>
      </c>
      <c r="R389" s="315">
        <v>45145.7746990741</v>
      </c>
      <c r="S389" s="314" t="s">
        <v>1586</v>
      </c>
      <c r="T389" s="314" t="s">
        <v>748</v>
      </c>
      <c r="U389" s="314" t="s">
        <v>748</v>
      </c>
      <c r="V389" s="314" t="s">
        <v>114</v>
      </c>
      <c r="W389" s="314"/>
      <c r="X389" s="314" t="str">
        <f>VLOOKUP(D389,代理总表!A:D,3,0)</f>
        <v>GT-B直播</v>
      </c>
      <c r="Y389" t="str">
        <f>VLOOKUP(D:D,代理总表!A:D,4,FALSE)</f>
        <v>B直播gt6688</v>
      </c>
      <c r="Z389">
        <f t="shared" si="18"/>
        <v>0</v>
      </c>
      <c r="AA389">
        <f t="shared" si="19"/>
        <v>18</v>
      </c>
      <c r="AB389">
        <f t="shared" si="20"/>
        <v>1</v>
      </c>
    </row>
    <row r="390" spans="1:28">
      <c r="A390" s="314" t="s">
        <v>1588</v>
      </c>
      <c r="B390" s="314" t="s">
        <v>1589</v>
      </c>
      <c r="C390" s="314">
        <v>967485246</v>
      </c>
      <c r="D390" s="314" t="s">
        <v>172</v>
      </c>
      <c r="E390" s="314" t="s">
        <v>117</v>
      </c>
      <c r="F390" s="314" t="s">
        <v>118</v>
      </c>
      <c r="G390" s="314" t="s">
        <v>108</v>
      </c>
      <c r="H390" s="314" t="s">
        <v>119</v>
      </c>
      <c r="I390" s="314" t="s">
        <v>108</v>
      </c>
      <c r="J390" s="314" t="s">
        <v>120</v>
      </c>
      <c r="K390" s="314">
        <v>0</v>
      </c>
      <c r="L390" s="314">
        <v>0</v>
      </c>
      <c r="M390" s="315">
        <v>45145.7743981481</v>
      </c>
      <c r="N390" s="314" t="s">
        <v>1590</v>
      </c>
      <c r="O390" s="314" t="s">
        <v>881</v>
      </c>
      <c r="P390" s="314" t="s">
        <v>112</v>
      </c>
      <c r="Q390" s="314" t="s">
        <v>123</v>
      </c>
      <c r="R390" s="315">
        <v>45146.3048611111</v>
      </c>
      <c r="S390" s="314" t="s">
        <v>1590</v>
      </c>
      <c r="T390" s="314" t="s">
        <v>1591</v>
      </c>
      <c r="U390" s="314" t="s">
        <v>1591</v>
      </c>
      <c r="V390" s="314" t="s">
        <v>114</v>
      </c>
      <c r="W390" s="314"/>
      <c r="X390" s="314" t="str">
        <f>VLOOKUP(D390,代理总表!A:D,3,0)</f>
        <v>雨燕直播-越</v>
      </c>
      <c r="Y390" t="str">
        <f>VLOOKUP(D:D,代理总表!A:D,4,FALSE)</f>
        <v>雨燕直播-越ffvn66</v>
      </c>
      <c r="Z390">
        <f t="shared" si="18"/>
        <v>0</v>
      </c>
      <c r="AA390">
        <f t="shared" si="19"/>
        <v>18</v>
      </c>
      <c r="AB390">
        <f t="shared" si="20"/>
        <v>1</v>
      </c>
    </row>
    <row r="391" spans="1:28">
      <c r="A391" s="314" t="s">
        <v>1592</v>
      </c>
      <c r="B391" s="314"/>
      <c r="C391" s="314">
        <v>13559359100</v>
      </c>
      <c r="D391" s="314" t="s">
        <v>294</v>
      </c>
      <c r="E391" s="314" t="s">
        <v>104</v>
      </c>
      <c r="F391" s="314" t="s">
        <v>149</v>
      </c>
      <c r="G391" s="314" t="s">
        <v>108</v>
      </c>
      <c r="H391" s="314" t="s">
        <v>119</v>
      </c>
      <c r="I391" s="314" t="s">
        <v>108</v>
      </c>
      <c r="J391" s="314" t="s">
        <v>109</v>
      </c>
      <c r="K391" s="314">
        <v>0</v>
      </c>
      <c r="L391" s="314">
        <v>0</v>
      </c>
      <c r="M391" s="315">
        <v>45145.7741782407</v>
      </c>
      <c r="N391" s="314" t="s">
        <v>1593</v>
      </c>
      <c r="O391" s="314" t="s">
        <v>297</v>
      </c>
      <c r="P391" s="314" t="s">
        <v>208</v>
      </c>
      <c r="Q391" s="314" t="s">
        <v>123</v>
      </c>
      <c r="R391" s="315">
        <v>45145.7911226852</v>
      </c>
      <c r="S391" s="314" t="s">
        <v>1593</v>
      </c>
      <c r="T391" s="314" t="s">
        <v>1594</v>
      </c>
      <c r="U391" s="314" t="s">
        <v>1594</v>
      </c>
      <c r="V391" s="314" t="s">
        <v>114</v>
      </c>
      <c r="W391" s="314"/>
      <c r="X391" s="314" t="str">
        <f>VLOOKUP(D391,代理总表!A:D,3,0)</f>
        <v>DK</v>
      </c>
      <c r="Y391" t="str">
        <f>VLOOKUP(D:D,代理总表!A:D,4,FALSE)</f>
        <v>SEO</v>
      </c>
      <c r="Z391">
        <f t="shared" si="18"/>
        <v>0</v>
      </c>
      <c r="AA391">
        <f t="shared" si="19"/>
        <v>18</v>
      </c>
      <c r="AB391">
        <f t="shared" si="20"/>
        <v>1</v>
      </c>
    </row>
    <row r="392" spans="1:28">
      <c r="A392" s="314" t="s">
        <v>1595</v>
      </c>
      <c r="B392" s="314"/>
      <c r="C392" s="314"/>
      <c r="D392" s="314" t="s">
        <v>240</v>
      </c>
      <c r="E392" s="314" t="s">
        <v>104</v>
      </c>
      <c r="F392" s="314" t="s">
        <v>149</v>
      </c>
      <c r="G392" s="314" t="s">
        <v>108</v>
      </c>
      <c r="H392" s="314" t="s">
        <v>119</v>
      </c>
      <c r="I392" s="314" t="s">
        <v>108</v>
      </c>
      <c r="J392" s="314" t="s">
        <v>109</v>
      </c>
      <c r="K392" s="314">
        <v>0</v>
      </c>
      <c r="L392" s="314">
        <v>0</v>
      </c>
      <c r="M392" s="315">
        <v>45145.7731944444</v>
      </c>
      <c r="N392" s="314" t="s">
        <v>1596</v>
      </c>
      <c r="O392" s="314" t="s">
        <v>836</v>
      </c>
      <c r="P392" s="314" t="s">
        <v>112</v>
      </c>
      <c r="Q392" s="314" t="s">
        <v>123</v>
      </c>
      <c r="R392" s="315">
        <v>45145.7731944444</v>
      </c>
      <c r="S392" s="314" t="s">
        <v>1596</v>
      </c>
      <c r="T392" s="314" t="s">
        <v>1597</v>
      </c>
      <c r="U392" s="314" t="s">
        <v>1597</v>
      </c>
      <c r="V392" s="314" t="s">
        <v>114</v>
      </c>
      <c r="W392" s="314"/>
      <c r="X392" s="314" t="str">
        <f>VLOOKUP(D392,代理总表!A:D,3,0)</f>
        <v>SEO邀请</v>
      </c>
      <c r="Y392" t="str">
        <f>VLOOKUP(D:D,代理总表!A:D,4,FALSE)</f>
        <v>SEO</v>
      </c>
      <c r="Z392">
        <f t="shared" si="18"/>
        <v>0</v>
      </c>
      <c r="AA392">
        <f t="shared" si="19"/>
        <v>18</v>
      </c>
      <c r="AB392">
        <f t="shared" si="20"/>
        <v>1</v>
      </c>
    </row>
    <row r="393" spans="1:28">
      <c r="A393" s="314" t="s">
        <v>1598</v>
      </c>
      <c r="B393" s="314" t="s">
        <v>1599</v>
      </c>
      <c r="C393" s="314">
        <v>932523269</v>
      </c>
      <c r="D393" s="314" t="s">
        <v>137</v>
      </c>
      <c r="E393" s="314" t="s">
        <v>117</v>
      </c>
      <c r="F393" s="314" t="s">
        <v>118</v>
      </c>
      <c r="G393" s="314" t="s">
        <v>108</v>
      </c>
      <c r="H393" s="314" t="s">
        <v>119</v>
      </c>
      <c r="I393" s="314" t="s">
        <v>108</v>
      </c>
      <c r="J393" s="314" t="s">
        <v>120</v>
      </c>
      <c r="K393" s="314">
        <v>0</v>
      </c>
      <c r="L393" s="314">
        <v>0</v>
      </c>
      <c r="M393" s="315">
        <v>45145.7724768519</v>
      </c>
      <c r="N393" s="314" t="s">
        <v>1600</v>
      </c>
      <c r="O393" s="314" t="s">
        <v>139</v>
      </c>
      <c r="P393" s="314" t="s">
        <v>112</v>
      </c>
      <c r="Q393" s="314" t="s">
        <v>123</v>
      </c>
      <c r="R393" s="315">
        <v>45145.7724768519</v>
      </c>
      <c r="S393" s="314" t="s">
        <v>1600</v>
      </c>
      <c r="T393" s="314" t="s">
        <v>656</v>
      </c>
      <c r="U393" s="314" t="s">
        <v>656</v>
      </c>
      <c r="V393" s="314" t="s">
        <v>114</v>
      </c>
      <c r="W393" s="314"/>
      <c r="X393" s="314" t="str">
        <f>VLOOKUP(D393,代理总表!A:D,3,0)</f>
        <v>雨燕直播-越</v>
      </c>
      <c r="Y393" t="str">
        <f>VLOOKUP(D:D,代理总表!A:D,4,FALSE)</f>
        <v>雨燕直播-越ffvn66</v>
      </c>
      <c r="Z393">
        <f t="shared" si="18"/>
        <v>0</v>
      </c>
      <c r="AA393">
        <f t="shared" si="19"/>
        <v>18</v>
      </c>
      <c r="AB393">
        <f t="shared" si="20"/>
        <v>1</v>
      </c>
    </row>
    <row r="394" spans="1:28">
      <c r="A394" s="314" t="s">
        <v>1601</v>
      </c>
      <c r="B394" s="314"/>
      <c r="C394" s="314"/>
      <c r="D394" s="314" t="s">
        <v>1602</v>
      </c>
      <c r="E394" s="314" t="s">
        <v>104</v>
      </c>
      <c r="F394" s="314" t="s">
        <v>118</v>
      </c>
      <c r="G394" s="314" t="s">
        <v>108</v>
      </c>
      <c r="H394" s="314" t="s">
        <v>119</v>
      </c>
      <c r="I394" s="314" t="s">
        <v>108</v>
      </c>
      <c r="J394" s="314" t="s">
        <v>109</v>
      </c>
      <c r="K394" s="314">
        <v>0</v>
      </c>
      <c r="L394" s="314">
        <v>0</v>
      </c>
      <c r="M394" s="315">
        <v>45145.7715393519</v>
      </c>
      <c r="N394" s="314" t="s">
        <v>1603</v>
      </c>
      <c r="O394" s="314" t="s">
        <v>1604</v>
      </c>
      <c r="P394" s="314" t="s">
        <v>112</v>
      </c>
      <c r="Q394" s="314" t="s">
        <v>123</v>
      </c>
      <c r="R394" s="315">
        <v>45145.7715277778</v>
      </c>
      <c r="S394" s="314" t="s">
        <v>1603</v>
      </c>
      <c r="T394" s="314" t="s">
        <v>808</v>
      </c>
      <c r="U394" s="314" t="s">
        <v>808</v>
      </c>
      <c r="V394" s="314" t="s">
        <v>114</v>
      </c>
      <c r="W394" s="314"/>
      <c r="X394" s="314" t="str">
        <f>VLOOKUP(D394,代理总表!A:D,3,0)</f>
        <v>GT-B直播</v>
      </c>
      <c r="Y394" t="str">
        <f>VLOOKUP(D:D,代理总表!A:D,4,FALSE)</f>
        <v>B直播gt6688</v>
      </c>
      <c r="Z394">
        <f t="shared" si="18"/>
        <v>0</v>
      </c>
      <c r="AA394">
        <f t="shared" si="19"/>
        <v>18</v>
      </c>
      <c r="AB394">
        <f t="shared" si="20"/>
        <v>1</v>
      </c>
    </row>
    <row r="395" spans="1:28">
      <c r="A395" s="314" t="s">
        <v>1605</v>
      </c>
      <c r="B395" s="314"/>
      <c r="C395" s="314">
        <v>15527893170</v>
      </c>
      <c r="D395" s="314" t="s">
        <v>805</v>
      </c>
      <c r="E395" s="314" t="s">
        <v>104</v>
      </c>
      <c r="F395" s="314" t="s">
        <v>118</v>
      </c>
      <c r="G395" s="314" t="s">
        <v>108</v>
      </c>
      <c r="H395" s="314" t="s">
        <v>119</v>
      </c>
      <c r="I395" s="314" t="s">
        <v>108</v>
      </c>
      <c r="J395" s="314" t="s">
        <v>109</v>
      </c>
      <c r="K395" s="314">
        <v>0</v>
      </c>
      <c r="L395" s="314">
        <v>0</v>
      </c>
      <c r="M395" s="315">
        <v>45145.7708333333</v>
      </c>
      <c r="N395" s="314" t="s">
        <v>1606</v>
      </c>
      <c r="O395" s="314" t="s">
        <v>1607</v>
      </c>
      <c r="P395" s="314" t="s">
        <v>208</v>
      </c>
      <c r="Q395" s="314" t="s">
        <v>123</v>
      </c>
      <c r="R395" s="315">
        <v>45145.9975231482</v>
      </c>
      <c r="S395" s="314" t="s">
        <v>1608</v>
      </c>
      <c r="T395" s="314" t="s">
        <v>157</v>
      </c>
      <c r="U395" s="314" t="s">
        <v>1609</v>
      </c>
      <c r="V395" s="314" t="s">
        <v>114</v>
      </c>
      <c r="W395" s="314"/>
      <c r="X395" s="314" t="str">
        <f>VLOOKUP(D395,代理总表!A:D,3,0)</f>
        <v>飞哥雨燕直播</v>
      </c>
      <c r="Y395" t="str">
        <f>VLOOKUP(D:D,代理总表!A:D,4,FALSE)</f>
        <v>飞哥雨燕直播ffmk88</v>
      </c>
      <c r="Z395">
        <f t="shared" si="18"/>
        <v>0</v>
      </c>
      <c r="AA395">
        <f t="shared" si="19"/>
        <v>18</v>
      </c>
      <c r="AB395">
        <f t="shared" si="20"/>
        <v>1</v>
      </c>
    </row>
    <row r="396" spans="1:28">
      <c r="A396" s="314" t="s">
        <v>1610</v>
      </c>
      <c r="B396" s="314"/>
      <c r="C396" s="314"/>
      <c r="D396" s="314" t="s">
        <v>249</v>
      </c>
      <c r="E396" s="314" t="s">
        <v>104</v>
      </c>
      <c r="F396" s="314" t="s">
        <v>118</v>
      </c>
      <c r="G396" s="314" t="s">
        <v>108</v>
      </c>
      <c r="H396" s="314" t="s">
        <v>119</v>
      </c>
      <c r="I396" s="314" t="s">
        <v>108</v>
      </c>
      <c r="J396" s="314" t="s">
        <v>109</v>
      </c>
      <c r="K396" s="314">
        <v>0</v>
      </c>
      <c r="L396" s="314">
        <v>0</v>
      </c>
      <c r="M396" s="315">
        <v>45145.7707175926</v>
      </c>
      <c r="N396" s="314" t="s">
        <v>1611</v>
      </c>
      <c r="O396" s="314" t="s">
        <v>251</v>
      </c>
      <c r="P396" s="314" t="s">
        <v>112</v>
      </c>
      <c r="Q396" s="314" t="s">
        <v>123</v>
      </c>
      <c r="R396" s="315">
        <v>45145.7751967593</v>
      </c>
      <c r="S396" s="314" t="s">
        <v>1611</v>
      </c>
      <c r="T396" s="314" t="s">
        <v>256</v>
      </c>
      <c r="U396" s="314" t="s">
        <v>256</v>
      </c>
      <c r="V396" s="314" t="s">
        <v>114</v>
      </c>
      <c r="W396" s="314"/>
      <c r="X396" s="314" t="str">
        <f>VLOOKUP(D396,代理总表!A:D,3,0)</f>
        <v>飞哥雨燕直播</v>
      </c>
      <c r="Y396" t="str">
        <f>VLOOKUP(D:D,代理总表!A:D,4,FALSE)</f>
        <v>飞哥雨燕直播ffmk88</v>
      </c>
      <c r="Z396">
        <f t="shared" si="18"/>
        <v>0</v>
      </c>
      <c r="AA396">
        <f t="shared" si="19"/>
        <v>18</v>
      </c>
      <c r="AB396">
        <f t="shared" si="20"/>
        <v>1</v>
      </c>
    </row>
    <row r="397" spans="1:28">
      <c r="A397" s="314" t="s">
        <v>1612</v>
      </c>
      <c r="B397" s="314"/>
      <c r="C397" s="314">
        <v>13216204666</v>
      </c>
      <c r="D397" s="314" t="s">
        <v>180</v>
      </c>
      <c r="E397" s="314" t="s">
        <v>104</v>
      </c>
      <c r="F397" s="314" t="s">
        <v>149</v>
      </c>
      <c r="G397" s="314" t="s">
        <v>108</v>
      </c>
      <c r="H397" s="314" t="s">
        <v>119</v>
      </c>
      <c r="I397" s="314" t="s">
        <v>108</v>
      </c>
      <c r="J397" s="314" t="s">
        <v>109</v>
      </c>
      <c r="K397" s="314">
        <v>0</v>
      </c>
      <c r="L397" s="314">
        <v>0</v>
      </c>
      <c r="M397" s="315">
        <v>45145.7699884259</v>
      </c>
      <c r="N397" s="314" t="s">
        <v>1613</v>
      </c>
      <c r="O397" s="314" t="s">
        <v>183</v>
      </c>
      <c r="P397" s="314" t="s">
        <v>112</v>
      </c>
      <c r="Q397" s="314" t="s">
        <v>123</v>
      </c>
      <c r="R397" s="315">
        <v>45145.7699884259</v>
      </c>
      <c r="S397" s="314" t="s">
        <v>1613</v>
      </c>
      <c r="T397" s="314" t="s">
        <v>1614</v>
      </c>
      <c r="U397" s="314" t="s">
        <v>1614</v>
      </c>
      <c r="V397" s="314" t="s">
        <v>114</v>
      </c>
      <c r="W397" s="314"/>
      <c r="X397" s="314" t="str">
        <f>VLOOKUP(D397,代理总表!A:D,3,0)</f>
        <v>hugo</v>
      </c>
      <c r="Y397" t="str">
        <f>VLOOKUP(D:D,代理总表!A:D,4,FALSE)</f>
        <v>SEO</v>
      </c>
      <c r="Z397">
        <f t="shared" si="18"/>
        <v>0</v>
      </c>
      <c r="AA397">
        <f t="shared" si="19"/>
        <v>18</v>
      </c>
      <c r="AB397">
        <f t="shared" si="20"/>
        <v>1</v>
      </c>
    </row>
    <row r="398" spans="1:28">
      <c r="A398" s="314" t="s">
        <v>1615</v>
      </c>
      <c r="B398" s="314"/>
      <c r="C398" s="314"/>
      <c r="D398" s="314" t="s">
        <v>116</v>
      </c>
      <c r="E398" s="314" t="s">
        <v>117</v>
      </c>
      <c r="F398" s="314" t="s">
        <v>118</v>
      </c>
      <c r="G398" s="314" t="s">
        <v>108</v>
      </c>
      <c r="H398" s="314" t="s">
        <v>119</v>
      </c>
      <c r="I398" s="314" t="s">
        <v>108</v>
      </c>
      <c r="J398" s="314" t="s">
        <v>120</v>
      </c>
      <c r="K398" s="314">
        <v>0</v>
      </c>
      <c r="L398" s="314">
        <v>0</v>
      </c>
      <c r="M398" s="315">
        <v>45145.7690046296</v>
      </c>
      <c r="N398" s="314" t="s">
        <v>1616</v>
      </c>
      <c r="O398" s="314" t="s">
        <v>122</v>
      </c>
      <c r="P398" s="314" t="s">
        <v>112</v>
      </c>
      <c r="Q398" s="314" t="s">
        <v>123</v>
      </c>
      <c r="R398" s="315">
        <v>45145.7689930556</v>
      </c>
      <c r="S398" s="314" t="s">
        <v>1616</v>
      </c>
      <c r="T398" s="314" t="s">
        <v>1591</v>
      </c>
      <c r="U398" s="314" t="s">
        <v>1591</v>
      </c>
      <c r="V398" s="314" t="s">
        <v>114</v>
      </c>
      <c r="W398" s="314"/>
      <c r="X398" s="314" t="str">
        <f>VLOOKUP(D398,代理总表!A:D,3,0)</f>
        <v>外部代理总线</v>
      </c>
      <c r="Y398" t="str">
        <f>VLOOKUP(D:D,代理总表!A:D,4,FALSE)</f>
        <v>外部代理总线zh0808</v>
      </c>
      <c r="Z398">
        <f t="shared" si="18"/>
        <v>0</v>
      </c>
      <c r="AA398">
        <f t="shared" si="19"/>
        <v>18</v>
      </c>
      <c r="AB398">
        <f t="shared" si="20"/>
        <v>1</v>
      </c>
    </row>
    <row r="399" spans="1:28">
      <c r="A399" s="314" t="s">
        <v>1617</v>
      </c>
      <c r="B399" s="314"/>
      <c r="C399" s="314"/>
      <c r="D399" s="314" t="s">
        <v>172</v>
      </c>
      <c r="E399" s="314" t="s">
        <v>117</v>
      </c>
      <c r="F399" s="314" t="s">
        <v>118</v>
      </c>
      <c r="G399" s="314" t="s">
        <v>108</v>
      </c>
      <c r="H399" s="314" t="s">
        <v>119</v>
      </c>
      <c r="I399" s="314" t="s">
        <v>108</v>
      </c>
      <c r="J399" s="314" t="s">
        <v>120</v>
      </c>
      <c r="K399" s="314">
        <v>0</v>
      </c>
      <c r="L399" s="314">
        <v>0</v>
      </c>
      <c r="M399" s="315">
        <v>45145.7686921296</v>
      </c>
      <c r="N399" s="314" t="s">
        <v>1618</v>
      </c>
      <c r="O399" s="314" t="s">
        <v>881</v>
      </c>
      <c r="P399" s="314" t="s">
        <v>112</v>
      </c>
      <c r="Q399" s="314" t="s">
        <v>123</v>
      </c>
      <c r="R399" s="315">
        <v>45145.7696180556</v>
      </c>
      <c r="S399" s="314" t="s">
        <v>1618</v>
      </c>
      <c r="T399" s="314" t="s">
        <v>655</v>
      </c>
      <c r="U399" s="314" t="s">
        <v>655</v>
      </c>
      <c r="V399" s="314" t="s">
        <v>114</v>
      </c>
      <c r="W399" s="314"/>
      <c r="X399" s="314" t="str">
        <f>VLOOKUP(D399,代理总表!A:D,3,0)</f>
        <v>雨燕直播-越</v>
      </c>
      <c r="Y399" t="str">
        <f>VLOOKUP(D:D,代理总表!A:D,4,FALSE)</f>
        <v>雨燕直播-越ffvn66</v>
      </c>
      <c r="Z399">
        <f t="shared" si="18"/>
        <v>0</v>
      </c>
      <c r="AA399">
        <f t="shared" si="19"/>
        <v>18</v>
      </c>
      <c r="AB399">
        <f t="shared" si="20"/>
        <v>1</v>
      </c>
    </row>
    <row r="400" spans="1:28">
      <c r="A400" s="314" t="s">
        <v>1619</v>
      </c>
      <c r="B400" s="314"/>
      <c r="C400" s="314">
        <v>393519997</v>
      </c>
      <c r="D400" s="314" t="s">
        <v>651</v>
      </c>
      <c r="E400" s="314" t="s">
        <v>117</v>
      </c>
      <c r="F400" s="314" t="s">
        <v>118</v>
      </c>
      <c r="G400" s="314" t="s">
        <v>108</v>
      </c>
      <c r="H400" s="314" t="s">
        <v>119</v>
      </c>
      <c r="I400" s="314" t="s">
        <v>108</v>
      </c>
      <c r="J400" s="314" t="s">
        <v>120</v>
      </c>
      <c r="K400" s="314">
        <v>0</v>
      </c>
      <c r="L400" s="314">
        <v>0</v>
      </c>
      <c r="M400" s="315">
        <v>45145.7686111111</v>
      </c>
      <c r="N400" s="314" t="s">
        <v>1620</v>
      </c>
      <c r="O400" s="314" t="s">
        <v>653</v>
      </c>
      <c r="P400" s="314" t="s">
        <v>112</v>
      </c>
      <c r="Q400" s="314" t="s">
        <v>123</v>
      </c>
      <c r="R400" s="315">
        <v>45145.9580902778</v>
      </c>
      <c r="S400" s="314" t="s">
        <v>1620</v>
      </c>
      <c r="T400" s="314" t="s">
        <v>124</v>
      </c>
      <c r="U400" s="314" t="s">
        <v>124</v>
      </c>
      <c r="V400" s="314" t="s">
        <v>114</v>
      </c>
      <c r="W400" s="314"/>
      <c r="X400" s="314" t="str">
        <f>VLOOKUP(D400,代理总表!A:D,3,0)</f>
        <v>雨燕直播-越</v>
      </c>
      <c r="Y400" t="str">
        <f>VLOOKUP(D:D,代理总表!A:D,4,FALSE)</f>
        <v>雨燕直播-越ffvn66</v>
      </c>
      <c r="Z400">
        <f t="shared" si="18"/>
        <v>0</v>
      </c>
      <c r="AA400">
        <f t="shared" si="19"/>
        <v>18</v>
      </c>
      <c r="AB400">
        <f t="shared" si="20"/>
        <v>1</v>
      </c>
    </row>
    <row r="401" spans="1:28">
      <c r="A401" s="314" t="s">
        <v>1621</v>
      </c>
      <c r="B401" s="314" t="s">
        <v>1622</v>
      </c>
      <c r="C401" s="314">
        <v>15801893465</v>
      </c>
      <c r="D401" s="314" t="s">
        <v>454</v>
      </c>
      <c r="E401" s="314" t="s">
        <v>104</v>
      </c>
      <c r="F401" s="314" t="s">
        <v>144</v>
      </c>
      <c r="G401" s="314" t="s">
        <v>106</v>
      </c>
      <c r="H401" s="314" t="s">
        <v>107</v>
      </c>
      <c r="I401" s="314" t="s">
        <v>108</v>
      </c>
      <c r="J401" s="314" t="s">
        <v>109</v>
      </c>
      <c r="K401" s="314">
        <v>20</v>
      </c>
      <c r="L401" s="314">
        <v>200</v>
      </c>
      <c r="M401" s="315">
        <v>45145.7685185185</v>
      </c>
      <c r="N401" s="314" t="s">
        <v>1623</v>
      </c>
      <c r="O401" s="314" t="s">
        <v>456</v>
      </c>
      <c r="P401" s="314" t="s">
        <v>112</v>
      </c>
      <c r="Q401" s="315">
        <v>45145.774224537</v>
      </c>
      <c r="R401" s="315">
        <v>45146.3486689815</v>
      </c>
      <c r="S401" s="314" t="s">
        <v>1624</v>
      </c>
      <c r="T401" s="314" t="s">
        <v>273</v>
      </c>
      <c r="U401" s="314" t="s">
        <v>273</v>
      </c>
      <c r="V401" s="314" t="s">
        <v>114</v>
      </c>
      <c r="W401" s="314"/>
      <c r="X401" s="314" t="str">
        <f>VLOOKUP(D401,代理总表!A:D,3,0)</f>
        <v>雨燕直播</v>
      </c>
      <c r="Y401" t="str">
        <f>VLOOKUP(D:D,代理总表!A:D,4,FALSE)</f>
        <v>雨燕直播zzzb888</v>
      </c>
      <c r="Z401">
        <f t="shared" si="18"/>
        <v>1</v>
      </c>
      <c r="AA401">
        <f t="shared" si="19"/>
        <v>18</v>
      </c>
      <c r="AB401">
        <f t="shared" si="20"/>
        <v>1</v>
      </c>
    </row>
    <row r="402" spans="1:28">
      <c r="A402" s="314" t="s">
        <v>1625</v>
      </c>
      <c r="B402" s="314"/>
      <c r="C402" s="314"/>
      <c r="D402" s="314" t="s">
        <v>550</v>
      </c>
      <c r="E402" s="314" t="s">
        <v>117</v>
      </c>
      <c r="F402" s="314" t="s">
        <v>118</v>
      </c>
      <c r="G402" s="314" t="s">
        <v>108</v>
      </c>
      <c r="H402" s="314" t="s">
        <v>119</v>
      </c>
      <c r="I402" s="314" t="s">
        <v>108</v>
      </c>
      <c r="J402" s="314" t="s">
        <v>120</v>
      </c>
      <c r="K402" s="314">
        <v>0</v>
      </c>
      <c r="L402" s="314">
        <v>0</v>
      </c>
      <c r="M402" s="315">
        <v>45145.7680787037</v>
      </c>
      <c r="N402" s="314" t="s">
        <v>1626</v>
      </c>
      <c r="O402" s="314" t="s">
        <v>603</v>
      </c>
      <c r="P402" s="314" t="s">
        <v>112</v>
      </c>
      <c r="Q402" s="314" t="s">
        <v>123</v>
      </c>
      <c r="R402" s="315">
        <v>45145.7680671296</v>
      </c>
      <c r="S402" s="314" t="s">
        <v>1626</v>
      </c>
      <c r="T402" s="314" t="s">
        <v>124</v>
      </c>
      <c r="U402" s="314" t="s">
        <v>124</v>
      </c>
      <c r="V402" s="314" t="s">
        <v>114</v>
      </c>
      <c r="W402" s="314"/>
      <c r="X402" s="314" t="str">
        <f>VLOOKUP(D402,代理总表!A:D,3,0)</f>
        <v>SOCO越南直播</v>
      </c>
      <c r="Y402" t="str">
        <f>VLOOKUP(D:D,代理总表!A:D,4,FALSE)</f>
        <v>SOCO越南直播ffvn66</v>
      </c>
      <c r="Z402">
        <f t="shared" si="18"/>
        <v>0</v>
      </c>
      <c r="AA402">
        <f t="shared" si="19"/>
        <v>18</v>
      </c>
      <c r="AB402">
        <f t="shared" si="20"/>
        <v>1</v>
      </c>
    </row>
    <row r="403" spans="1:28">
      <c r="A403" s="314" t="s">
        <v>1627</v>
      </c>
      <c r="B403" s="314"/>
      <c r="C403" s="314"/>
      <c r="D403" s="314" t="s">
        <v>550</v>
      </c>
      <c r="E403" s="314" t="s">
        <v>117</v>
      </c>
      <c r="F403" s="314" t="s">
        <v>118</v>
      </c>
      <c r="G403" s="314" t="s">
        <v>108</v>
      </c>
      <c r="H403" s="314" t="s">
        <v>119</v>
      </c>
      <c r="I403" s="314" t="s">
        <v>108</v>
      </c>
      <c r="J403" s="314" t="s">
        <v>120</v>
      </c>
      <c r="K403" s="314">
        <v>0</v>
      </c>
      <c r="L403" s="314">
        <v>0</v>
      </c>
      <c r="M403" s="315">
        <v>45145.7679050926</v>
      </c>
      <c r="N403" s="314" t="s">
        <v>1628</v>
      </c>
      <c r="O403" s="314" t="s">
        <v>603</v>
      </c>
      <c r="P403" s="314" t="s">
        <v>112</v>
      </c>
      <c r="Q403" s="314" t="s">
        <v>123</v>
      </c>
      <c r="R403" s="315">
        <v>45145.7679050926</v>
      </c>
      <c r="S403" s="314" t="s">
        <v>1628</v>
      </c>
      <c r="T403" s="314" t="s">
        <v>124</v>
      </c>
      <c r="U403" s="314" t="s">
        <v>124</v>
      </c>
      <c r="V403" s="314" t="s">
        <v>114</v>
      </c>
      <c r="W403" s="314"/>
      <c r="X403" s="314" t="str">
        <f>VLOOKUP(D403,代理总表!A:D,3,0)</f>
        <v>SOCO越南直播</v>
      </c>
      <c r="Y403" t="str">
        <f>VLOOKUP(D:D,代理总表!A:D,4,FALSE)</f>
        <v>SOCO越南直播ffvn66</v>
      </c>
      <c r="Z403">
        <f t="shared" si="18"/>
        <v>0</v>
      </c>
      <c r="AA403">
        <f t="shared" si="19"/>
        <v>18</v>
      </c>
      <c r="AB403">
        <f t="shared" si="20"/>
        <v>1</v>
      </c>
    </row>
    <row r="404" spans="1:28">
      <c r="A404" s="314" t="s">
        <v>1629</v>
      </c>
      <c r="B404" s="314"/>
      <c r="C404" s="314"/>
      <c r="D404" s="314" t="s">
        <v>240</v>
      </c>
      <c r="E404" s="314" t="s">
        <v>104</v>
      </c>
      <c r="F404" s="314" t="s">
        <v>149</v>
      </c>
      <c r="G404" s="314" t="s">
        <v>108</v>
      </c>
      <c r="H404" s="314" t="s">
        <v>119</v>
      </c>
      <c r="I404" s="314" t="s">
        <v>108</v>
      </c>
      <c r="J404" s="314" t="s">
        <v>109</v>
      </c>
      <c r="K404" s="314">
        <v>0</v>
      </c>
      <c r="L404" s="314">
        <v>0</v>
      </c>
      <c r="M404" s="315">
        <v>45145.7679050926</v>
      </c>
      <c r="N404" s="314" t="s">
        <v>1630</v>
      </c>
      <c r="O404" s="314" t="s">
        <v>344</v>
      </c>
      <c r="P404" s="314" t="s">
        <v>112</v>
      </c>
      <c r="Q404" s="314" t="s">
        <v>123</v>
      </c>
      <c r="R404" s="315">
        <v>45145.7678935185</v>
      </c>
      <c r="S404" s="314" t="s">
        <v>1630</v>
      </c>
      <c r="T404" s="314" t="s">
        <v>238</v>
      </c>
      <c r="U404" s="314" t="s">
        <v>238</v>
      </c>
      <c r="V404" s="314" t="s">
        <v>114</v>
      </c>
      <c r="W404" s="314"/>
      <c r="X404" s="314" t="str">
        <f>VLOOKUP(D404,代理总表!A:D,3,0)</f>
        <v>SEO邀请</v>
      </c>
      <c r="Y404" t="str">
        <f>VLOOKUP(D:D,代理总表!A:D,4,FALSE)</f>
        <v>SEO</v>
      </c>
      <c r="Z404">
        <f t="shared" si="18"/>
        <v>0</v>
      </c>
      <c r="AA404">
        <f t="shared" si="19"/>
        <v>18</v>
      </c>
      <c r="AB404">
        <f t="shared" si="20"/>
        <v>1</v>
      </c>
    </row>
    <row r="405" spans="1:28">
      <c r="A405" s="314" t="s">
        <v>1631</v>
      </c>
      <c r="B405" s="314" t="s">
        <v>1632</v>
      </c>
      <c r="C405" s="314">
        <v>392269961</v>
      </c>
      <c r="D405" s="314" t="s">
        <v>197</v>
      </c>
      <c r="E405" s="314" t="s">
        <v>117</v>
      </c>
      <c r="F405" s="314" t="s">
        <v>144</v>
      </c>
      <c r="G405" s="314" t="s">
        <v>106</v>
      </c>
      <c r="H405" s="314" t="s">
        <v>107</v>
      </c>
      <c r="I405" s="314" t="s">
        <v>108</v>
      </c>
      <c r="J405" s="314" t="s">
        <v>120</v>
      </c>
      <c r="K405" s="314">
        <v>148000</v>
      </c>
      <c r="L405" s="314">
        <v>2120000</v>
      </c>
      <c r="M405" s="315">
        <v>45145.7673842593</v>
      </c>
      <c r="N405" s="314" t="s">
        <v>1633</v>
      </c>
      <c r="O405" s="314" t="s">
        <v>875</v>
      </c>
      <c r="P405" s="314" t="s">
        <v>112</v>
      </c>
      <c r="Q405" s="315">
        <v>45145.7779282407</v>
      </c>
      <c r="R405" s="315">
        <v>45146.295787037</v>
      </c>
      <c r="S405" s="314" t="s">
        <v>1634</v>
      </c>
      <c r="T405" s="314" t="s">
        <v>124</v>
      </c>
      <c r="U405" s="314" t="s">
        <v>124</v>
      </c>
      <c r="V405" s="314" t="s">
        <v>114</v>
      </c>
      <c r="W405" s="314"/>
      <c r="X405" s="314" t="str">
        <f>VLOOKUP(D405,代理总表!A:D,3,0)</f>
        <v>雨燕直播-越</v>
      </c>
      <c r="Y405" t="str">
        <f>VLOOKUP(D:D,代理总表!A:D,4,FALSE)</f>
        <v>雨燕直播-越ffvn66</v>
      </c>
      <c r="Z405">
        <f t="shared" si="18"/>
        <v>1</v>
      </c>
      <c r="AA405">
        <f t="shared" si="19"/>
        <v>18</v>
      </c>
      <c r="AB405">
        <f t="shared" si="20"/>
        <v>1</v>
      </c>
    </row>
    <row r="406" spans="1:28">
      <c r="A406" s="314" t="s">
        <v>1635</v>
      </c>
      <c r="B406" s="314" t="s">
        <v>1636</v>
      </c>
      <c r="C406" s="314">
        <v>328542608</v>
      </c>
      <c r="D406" s="314" t="s">
        <v>1637</v>
      </c>
      <c r="E406" s="314" t="s">
        <v>117</v>
      </c>
      <c r="F406" s="314" t="s">
        <v>144</v>
      </c>
      <c r="G406" s="314" t="s">
        <v>106</v>
      </c>
      <c r="H406" s="314" t="s">
        <v>107</v>
      </c>
      <c r="I406" s="314" t="s">
        <v>108</v>
      </c>
      <c r="J406" s="314" t="s">
        <v>120</v>
      </c>
      <c r="K406" s="314">
        <v>200000</v>
      </c>
      <c r="L406" s="314">
        <v>0</v>
      </c>
      <c r="M406" s="315">
        <v>45145.7667592593</v>
      </c>
      <c r="N406" s="314" t="s">
        <v>1638</v>
      </c>
      <c r="O406" s="314" t="s">
        <v>1639</v>
      </c>
      <c r="P406" s="314" t="s">
        <v>339</v>
      </c>
      <c r="Q406" s="315">
        <v>45145.8115856481</v>
      </c>
      <c r="R406" s="315">
        <v>45145.7667476852</v>
      </c>
      <c r="S406" s="314" t="s">
        <v>1638</v>
      </c>
      <c r="T406" s="314" t="s">
        <v>743</v>
      </c>
      <c r="U406" s="314" t="s">
        <v>743</v>
      </c>
      <c r="V406" s="314" t="s">
        <v>114</v>
      </c>
      <c r="W406" s="314"/>
      <c r="X406" s="314" t="str">
        <f>VLOOKUP(D406,代理总表!A:D,3,0)</f>
        <v>外部代理总线</v>
      </c>
      <c r="Y406" t="str">
        <f>VLOOKUP(D:D,代理总表!A:D,4,FALSE)</f>
        <v>外部代理总线zh0808</v>
      </c>
      <c r="Z406">
        <f t="shared" si="18"/>
        <v>1</v>
      </c>
      <c r="AA406">
        <f t="shared" si="19"/>
        <v>18</v>
      </c>
      <c r="AB406">
        <f t="shared" si="20"/>
        <v>1</v>
      </c>
    </row>
    <row r="407" spans="1:28">
      <c r="A407" s="314" t="s">
        <v>1640</v>
      </c>
      <c r="B407" s="314" t="s">
        <v>1641</v>
      </c>
      <c r="C407" s="314">
        <v>866938891</v>
      </c>
      <c r="D407" s="314" t="s">
        <v>651</v>
      </c>
      <c r="E407" s="314" t="s">
        <v>117</v>
      </c>
      <c r="F407" s="314" t="s">
        <v>144</v>
      </c>
      <c r="G407" s="314" t="s">
        <v>106</v>
      </c>
      <c r="H407" s="314" t="s">
        <v>107</v>
      </c>
      <c r="I407" s="314" t="s">
        <v>108</v>
      </c>
      <c r="J407" s="314" t="s">
        <v>120</v>
      </c>
      <c r="K407" s="314">
        <v>0</v>
      </c>
      <c r="L407" s="314">
        <v>600000</v>
      </c>
      <c r="M407" s="315">
        <v>45145.7664351852</v>
      </c>
      <c r="N407" s="314" t="s">
        <v>1642</v>
      </c>
      <c r="O407" s="314" t="s">
        <v>653</v>
      </c>
      <c r="P407" s="314" t="s">
        <v>161</v>
      </c>
      <c r="Q407" s="315">
        <v>45145.8495023148</v>
      </c>
      <c r="R407" s="315">
        <v>45146.3637384259</v>
      </c>
      <c r="S407" s="314" t="s">
        <v>1643</v>
      </c>
      <c r="T407" s="314" t="s">
        <v>124</v>
      </c>
      <c r="U407" s="314" t="s">
        <v>124</v>
      </c>
      <c r="V407" s="314" t="s">
        <v>114</v>
      </c>
      <c r="W407" s="314"/>
      <c r="X407" s="314" t="str">
        <f>VLOOKUP(D407,代理总表!A:D,3,0)</f>
        <v>雨燕直播-越</v>
      </c>
      <c r="Y407" t="str">
        <f>VLOOKUP(D:D,代理总表!A:D,4,FALSE)</f>
        <v>雨燕直播-越ffvn66</v>
      </c>
      <c r="Z407">
        <f t="shared" si="18"/>
        <v>1</v>
      </c>
      <c r="AA407">
        <f t="shared" si="19"/>
        <v>18</v>
      </c>
      <c r="AB407">
        <f t="shared" si="20"/>
        <v>1</v>
      </c>
    </row>
    <row r="408" spans="1:28">
      <c r="A408" s="314" t="s">
        <v>1644</v>
      </c>
      <c r="B408" s="314" t="s">
        <v>1645</v>
      </c>
      <c r="C408" s="314">
        <v>987823129</v>
      </c>
      <c r="D408" s="314" t="s">
        <v>1395</v>
      </c>
      <c r="E408" s="314" t="s">
        <v>117</v>
      </c>
      <c r="F408" s="314" t="s">
        <v>118</v>
      </c>
      <c r="G408" s="314" t="s">
        <v>108</v>
      </c>
      <c r="H408" s="314" t="s">
        <v>119</v>
      </c>
      <c r="I408" s="314" t="s">
        <v>108</v>
      </c>
      <c r="J408" s="314" t="s">
        <v>120</v>
      </c>
      <c r="K408" s="314">
        <v>0</v>
      </c>
      <c r="L408" s="314">
        <v>0</v>
      </c>
      <c r="M408" s="315">
        <v>45145.7651273148</v>
      </c>
      <c r="N408" s="314" t="s">
        <v>1646</v>
      </c>
      <c r="O408" s="314" t="s">
        <v>1397</v>
      </c>
      <c r="P408" s="314" t="s">
        <v>161</v>
      </c>
      <c r="Q408" s="314" t="s">
        <v>123</v>
      </c>
      <c r="R408" s="315">
        <v>45145.7672685185</v>
      </c>
      <c r="S408" s="314" t="s">
        <v>1646</v>
      </c>
      <c r="T408" s="314" t="s">
        <v>177</v>
      </c>
      <c r="U408" s="314" t="s">
        <v>177</v>
      </c>
      <c r="V408" s="314" t="s">
        <v>114</v>
      </c>
      <c r="W408" s="314"/>
      <c r="X408" s="314" t="str">
        <f>VLOOKUP(D408,代理总表!A:D,3,0)</f>
        <v>外代-越</v>
      </c>
      <c r="Y408" t="str">
        <f>VLOOKUP(D:D,代理总表!A:D,4,FALSE)</f>
        <v>外代-越btydl072</v>
      </c>
      <c r="Z408">
        <f t="shared" si="18"/>
        <v>0</v>
      </c>
      <c r="AA408">
        <f t="shared" si="19"/>
        <v>18</v>
      </c>
      <c r="AB408">
        <f t="shared" si="20"/>
        <v>1</v>
      </c>
    </row>
    <row r="409" spans="1:28">
      <c r="A409" s="314" t="s">
        <v>1647</v>
      </c>
      <c r="B409" s="314"/>
      <c r="C409" s="314"/>
      <c r="D409" s="314" t="s">
        <v>224</v>
      </c>
      <c r="E409" s="314" t="s">
        <v>117</v>
      </c>
      <c r="F409" s="314" t="s">
        <v>118</v>
      </c>
      <c r="G409" s="314" t="s">
        <v>108</v>
      </c>
      <c r="H409" s="314" t="s">
        <v>119</v>
      </c>
      <c r="I409" s="314" t="s">
        <v>108</v>
      </c>
      <c r="J409" s="314" t="s">
        <v>120</v>
      </c>
      <c r="K409" s="314">
        <v>0</v>
      </c>
      <c r="L409" s="314">
        <v>0</v>
      </c>
      <c r="M409" s="315">
        <v>45145.7646064815</v>
      </c>
      <c r="N409" s="314" t="s">
        <v>1648</v>
      </c>
      <c r="O409" s="314" t="s">
        <v>462</v>
      </c>
      <c r="P409" s="314" t="s">
        <v>112</v>
      </c>
      <c r="Q409" s="314" t="s">
        <v>123</v>
      </c>
      <c r="R409" s="315">
        <v>45145.7645949074</v>
      </c>
      <c r="S409" s="314" t="s">
        <v>1648</v>
      </c>
      <c r="T409" s="314" t="s">
        <v>904</v>
      </c>
      <c r="U409" s="314" t="s">
        <v>904</v>
      </c>
      <c r="V409" s="314" t="s">
        <v>114</v>
      </c>
      <c r="W409" s="314"/>
      <c r="X409" s="314" t="str">
        <f>VLOOKUP(D409,代理总表!A:D,3,0)</f>
        <v>雨燕直播-越</v>
      </c>
      <c r="Y409" t="str">
        <f>VLOOKUP(D:D,代理总表!A:D,4,FALSE)</f>
        <v>雨燕直播-越ffvn66</v>
      </c>
      <c r="Z409">
        <f t="shared" si="18"/>
        <v>0</v>
      </c>
      <c r="AA409">
        <f t="shared" si="19"/>
        <v>18</v>
      </c>
      <c r="AB409">
        <f t="shared" si="20"/>
        <v>1</v>
      </c>
    </row>
    <row r="410" spans="1:28">
      <c r="A410" s="314" t="s">
        <v>1649</v>
      </c>
      <c r="B410" s="314"/>
      <c r="C410" s="314"/>
      <c r="D410" s="314" t="s">
        <v>240</v>
      </c>
      <c r="E410" s="314" t="s">
        <v>104</v>
      </c>
      <c r="F410" s="314" t="s">
        <v>149</v>
      </c>
      <c r="G410" s="314" t="s">
        <v>108</v>
      </c>
      <c r="H410" s="314" t="s">
        <v>119</v>
      </c>
      <c r="I410" s="314" t="s">
        <v>108</v>
      </c>
      <c r="J410" s="314" t="s">
        <v>109</v>
      </c>
      <c r="K410" s="314">
        <v>0</v>
      </c>
      <c r="L410" s="314">
        <v>0</v>
      </c>
      <c r="M410" s="315">
        <v>45145.7645949074</v>
      </c>
      <c r="N410" s="314" t="s">
        <v>1650</v>
      </c>
      <c r="O410" s="314" t="s">
        <v>836</v>
      </c>
      <c r="P410" s="314" t="s">
        <v>112</v>
      </c>
      <c r="Q410" s="314" t="s">
        <v>123</v>
      </c>
      <c r="R410" s="315">
        <v>45145.7658333333</v>
      </c>
      <c r="S410" s="314" t="s">
        <v>1650</v>
      </c>
      <c r="T410" s="314" t="s">
        <v>599</v>
      </c>
      <c r="U410" s="314" t="s">
        <v>599</v>
      </c>
      <c r="V410" s="314" t="s">
        <v>114</v>
      </c>
      <c r="W410" s="314"/>
      <c r="X410" s="314" t="str">
        <f>VLOOKUP(D410,代理总表!A:D,3,0)</f>
        <v>SEO邀请</v>
      </c>
      <c r="Y410" t="str">
        <f>VLOOKUP(D:D,代理总表!A:D,4,FALSE)</f>
        <v>SEO</v>
      </c>
      <c r="Z410">
        <f t="shared" si="18"/>
        <v>0</v>
      </c>
      <c r="AA410">
        <f t="shared" si="19"/>
        <v>18</v>
      </c>
      <c r="AB410">
        <f t="shared" si="20"/>
        <v>1</v>
      </c>
    </row>
    <row r="411" spans="1:28">
      <c r="A411" s="314" t="s">
        <v>1651</v>
      </c>
      <c r="B411" s="314"/>
      <c r="C411" s="314">
        <v>13133776529</v>
      </c>
      <c r="D411" s="314" t="s">
        <v>1652</v>
      </c>
      <c r="E411" s="314" t="s">
        <v>104</v>
      </c>
      <c r="F411" s="314" t="s">
        <v>144</v>
      </c>
      <c r="G411" s="314" t="s">
        <v>106</v>
      </c>
      <c r="H411" s="314" t="s">
        <v>107</v>
      </c>
      <c r="I411" s="314" t="s">
        <v>108</v>
      </c>
      <c r="J411" s="314" t="s">
        <v>415</v>
      </c>
      <c r="K411" s="314">
        <v>303</v>
      </c>
      <c r="L411" s="314">
        <v>300</v>
      </c>
      <c r="M411" s="315">
        <v>45145.7633796296</v>
      </c>
      <c r="N411" s="314" t="s">
        <v>1653</v>
      </c>
      <c r="O411" s="314" t="s">
        <v>1654</v>
      </c>
      <c r="P411" s="314" t="s">
        <v>339</v>
      </c>
      <c r="Q411" s="315">
        <v>45145.8003009259</v>
      </c>
      <c r="R411" s="315">
        <v>45145.9474768518</v>
      </c>
      <c r="S411" s="314" t="s">
        <v>1653</v>
      </c>
      <c r="T411" s="314" t="s">
        <v>1655</v>
      </c>
      <c r="U411" s="314" t="s">
        <v>1655</v>
      </c>
      <c r="V411" s="314" t="s">
        <v>114</v>
      </c>
      <c r="W411" s="314"/>
      <c r="X411" s="314" t="e">
        <f>VLOOKUP(D411,代理总表!A:D,3,0)</f>
        <v>#N/A</v>
      </c>
      <c r="Y411" t="e">
        <f>VLOOKUP(D:D,代理总表!A:D,4,FALSE)</f>
        <v>#N/A</v>
      </c>
      <c r="Z411">
        <f t="shared" si="18"/>
        <v>1</v>
      </c>
      <c r="AA411">
        <f t="shared" si="19"/>
        <v>18</v>
      </c>
      <c r="AB411">
        <f t="shared" si="20"/>
        <v>1</v>
      </c>
    </row>
    <row r="412" spans="1:28">
      <c r="A412" s="314" t="s">
        <v>1656</v>
      </c>
      <c r="B412" s="314"/>
      <c r="C412" s="314"/>
      <c r="D412" s="314" t="s">
        <v>550</v>
      </c>
      <c r="E412" s="314" t="s">
        <v>117</v>
      </c>
      <c r="F412" s="314" t="s">
        <v>118</v>
      </c>
      <c r="G412" s="314" t="s">
        <v>108</v>
      </c>
      <c r="H412" s="314" t="s">
        <v>119</v>
      </c>
      <c r="I412" s="314" t="s">
        <v>108</v>
      </c>
      <c r="J412" s="314" t="s">
        <v>120</v>
      </c>
      <c r="K412" s="314">
        <v>0</v>
      </c>
      <c r="L412" s="314">
        <v>0</v>
      </c>
      <c r="M412" s="315">
        <v>45145.7633101852</v>
      </c>
      <c r="N412" s="314" t="s">
        <v>1628</v>
      </c>
      <c r="O412" s="314" t="s">
        <v>603</v>
      </c>
      <c r="P412" s="314" t="s">
        <v>112</v>
      </c>
      <c r="Q412" s="314" t="s">
        <v>123</v>
      </c>
      <c r="R412" s="315">
        <v>45145.9296412037</v>
      </c>
      <c r="S412" s="314" t="s">
        <v>1628</v>
      </c>
      <c r="T412" s="314" t="s">
        <v>124</v>
      </c>
      <c r="U412" s="314" t="s">
        <v>124</v>
      </c>
      <c r="V412" s="314" t="s">
        <v>114</v>
      </c>
      <c r="W412" s="314"/>
      <c r="X412" s="314" t="str">
        <f>VLOOKUP(D412,代理总表!A:D,3,0)</f>
        <v>SOCO越南直播</v>
      </c>
      <c r="Y412" t="str">
        <f>VLOOKUP(D:D,代理总表!A:D,4,FALSE)</f>
        <v>SOCO越南直播ffvn66</v>
      </c>
      <c r="Z412">
        <f t="shared" si="18"/>
        <v>0</v>
      </c>
      <c r="AA412">
        <f t="shared" si="19"/>
        <v>18</v>
      </c>
      <c r="AB412">
        <f t="shared" si="20"/>
        <v>1</v>
      </c>
    </row>
    <row r="413" spans="1:28">
      <c r="A413" s="314" t="s">
        <v>1657</v>
      </c>
      <c r="B413" s="314" t="s">
        <v>1658</v>
      </c>
      <c r="C413" s="314">
        <v>936700938</v>
      </c>
      <c r="D413" s="314" t="s">
        <v>522</v>
      </c>
      <c r="E413" s="314" t="s">
        <v>117</v>
      </c>
      <c r="F413" s="314" t="s">
        <v>144</v>
      </c>
      <c r="G413" s="314" t="s">
        <v>106</v>
      </c>
      <c r="H413" s="314" t="s">
        <v>107</v>
      </c>
      <c r="I413" s="314" t="s">
        <v>108</v>
      </c>
      <c r="J413" s="314" t="s">
        <v>120</v>
      </c>
      <c r="K413" s="314">
        <v>400000</v>
      </c>
      <c r="L413" s="314">
        <v>100000</v>
      </c>
      <c r="M413" s="315">
        <v>45145.762962963</v>
      </c>
      <c r="N413" s="314" t="s">
        <v>1659</v>
      </c>
      <c r="O413" s="314" t="s">
        <v>524</v>
      </c>
      <c r="P413" s="314" t="s">
        <v>112</v>
      </c>
      <c r="Q413" s="315">
        <v>45145.7668865741</v>
      </c>
      <c r="R413" s="315">
        <v>45146.3492476852</v>
      </c>
      <c r="S413" s="314" t="s">
        <v>1660</v>
      </c>
      <c r="T413" s="314" t="s">
        <v>124</v>
      </c>
      <c r="U413" s="314" t="s">
        <v>1383</v>
      </c>
      <c r="V413" s="314" t="s">
        <v>114</v>
      </c>
      <c r="W413" s="314"/>
      <c r="X413" s="314" t="str">
        <f>VLOOKUP(D413,代理总表!A:D,3,0)</f>
        <v>SOCO越南直播</v>
      </c>
      <c r="Y413" t="str">
        <f>VLOOKUP(D:D,代理总表!A:D,4,FALSE)</f>
        <v>SOCO越南直播ffvn66</v>
      </c>
      <c r="Z413">
        <f t="shared" si="18"/>
        <v>1</v>
      </c>
      <c r="AA413">
        <f t="shared" si="19"/>
        <v>18</v>
      </c>
      <c r="AB413">
        <f t="shared" si="20"/>
        <v>1</v>
      </c>
    </row>
    <row r="414" spans="1:28">
      <c r="A414" s="314" t="s">
        <v>1661</v>
      </c>
      <c r="B414" s="314" t="s">
        <v>1662</v>
      </c>
      <c r="C414" s="314">
        <v>792668566</v>
      </c>
      <c r="D414" s="314" t="s">
        <v>197</v>
      </c>
      <c r="E414" s="314" t="s">
        <v>117</v>
      </c>
      <c r="F414" s="314" t="s">
        <v>118</v>
      </c>
      <c r="G414" s="314" t="s">
        <v>108</v>
      </c>
      <c r="H414" s="314" t="s">
        <v>119</v>
      </c>
      <c r="I414" s="314" t="s">
        <v>108</v>
      </c>
      <c r="J414" s="314" t="s">
        <v>120</v>
      </c>
      <c r="K414" s="314">
        <v>0</v>
      </c>
      <c r="L414" s="314">
        <v>0</v>
      </c>
      <c r="M414" s="315">
        <v>45145.7629398148</v>
      </c>
      <c r="N414" s="314" t="s">
        <v>1663</v>
      </c>
      <c r="O414" s="314" t="s">
        <v>875</v>
      </c>
      <c r="P414" s="314" t="s">
        <v>112</v>
      </c>
      <c r="Q414" s="314" t="s">
        <v>123</v>
      </c>
      <c r="R414" s="315">
        <v>45146.0083912037</v>
      </c>
      <c r="S414" s="314" t="s">
        <v>1664</v>
      </c>
      <c r="T414" s="314" t="s">
        <v>131</v>
      </c>
      <c r="U414" s="314" t="s">
        <v>131</v>
      </c>
      <c r="V414" s="314" t="s">
        <v>114</v>
      </c>
      <c r="W414" s="314"/>
      <c r="X414" s="314" t="str">
        <f>VLOOKUP(D414,代理总表!A:D,3,0)</f>
        <v>雨燕直播-越</v>
      </c>
      <c r="Y414" t="str">
        <f>VLOOKUP(D:D,代理总表!A:D,4,FALSE)</f>
        <v>雨燕直播-越ffvn66</v>
      </c>
      <c r="Z414">
        <f t="shared" si="18"/>
        <v>0</v>
      </c>
      <c r="AA414">
        <f t="shared" si="19"/>
        <v>18</v>
      </c>
      <c r="AB414">
        <f t="shared" si="20"/>
        <v>1</v>
      </c>
    </row>
    <row r="415" spans="1:28">
      <c r="A415" s="314" t="s">
        <v>1665</v>
      </c>
      <c r="B415" s="314" t="s">
        <v>1666</v>
      </c>
      <c r="C415" s="314">
        <v>18170963591</v>
      </c>
      <c r="D415" s="314" t="s">
        <v>276</v>
      </c>
      <c r="E415" s="314" t="s">
        <v>104</v>
      </c>
      <c r="F415" s="314" t="s">
        <v>144</v>
      </c>
      <c r="G415" s="314" t="s">
        <v>106</v>
      </c>
      <c r="H415" s="314" t="s">
        <v>107</v>
      </c>
      <c r="I415" s="314" t="s">
        <v>108</v>
      </c>
      <c r="J415" s="314" t="s">
        <v>109</v>
      </c>
      <c r="K415" s="314">
        <v>1000.25</v>
      </c>
      <c r="L415" s="314">
        <v>500</v>
      </c>
      <c r="M415" s="315">
        <v>45145.7627083333</v>
      </c>
      <c r="N415" s="314" t="s">
        <v>1667</v>
      </c>
      <c r="O415" s="314" t="s">
        <v>1668</v>
      </c>
      <c r="P415" s="314" t="s">
        <v>339</v>
      </c>
      <c r="Q415" s="315">
        <v>45145.7691435185</v>
      </c>
      <c r="R415" s="315">
        <v>45146.1323148148</v>
      </c>
      <c r="S415" s="314" t="s">
        <v>1667</v>
      </c>
      <c r="T415" s="314" t="s">
        <v>1669</v>
      </c>
      <c r="U415" s="314" t="s">
        <v>1669</v>
      </c>
      <c r="V415" s="314" t="s">
        <v>114</v>
      </c>
      <c r="W415" s="314"/>
      <c r="X415" s="314" t="str">
        <f>VLOOKUP(D415,代理总表!A:D,3,0)</f>
        <v>飞哥雨燕直播</v>
      </c>
      <c r="Y415" t="str">
        <f>VLOOKUP(D:D,代理总表!A:D,4,FALSE)</f>
        <v>飞哥雨燕直播ffmk88</v>
      </c>
      <c r="Z415">
        <f t="shared" si="18"/>
        <v>1</v>
      </c>
      <c r="AA415">
        <f t="shared" si="19"/>
        <v>18</v>
      </c>
      <c r="AB415">
        <f t="shared" si="20"/>
        <v>1</v>
      </c>
    </row>
    <row r="416" spans="1:28">
      <c r="A416" s="314" t="s">
        <v>1670</v>
      </c>
      <c r="B416" s="314" t="s">
        <v>1671</v>
      </c>
      <c r="C416" s="314">
        <v>582979112</v>
      </c>
      <c r="D416" s="314" t="s">
        <v>116</v>
      </c>
      <c r="E416" s="314" t="s">
        <v>117</v>
      </c>
      <c r="F416" s="314" t="s">
        <v>118</v>
      </c>
      <c r="G416" s="314" t="s">
        <v>108</v>
      </c>
      <c r="H416" s="314" t="s">
        <v>119</v>
      </c>
      <c r="I416" s="314" t="s">
        <v>108</v>
      </c>
      <c r="J416" s="314" t="s">
        <v>120</v>
      </c>
      <c r="K416" s="314">
        <v>0</v>
      </c>
      <c r="L416" s="314">
        <v>0</v>
      </c>
      <c r="M416" s="315">
        <v>45145.7624189815</v>
      </c>
      <c r="N416" s="314" t="s">
        <v>1672</v>
      </c>
      <c r="O416" s="314" t="s">
        <v>122</v>
      </c>
      <c r="P416" s="314" t="s">
        <v>112</v>
      </c>
      <c r="Q416" s="314" t="s">
        <v>123</v>
      </c>
      <c r="R416" s="315">
        <v>45145.7647916667</v>
      </c>
      <c r="S416" s="314" t="s">
        <v>1672</v>
      </c>
      <c r="T416" s="314" t="s">
        <v>907</v>
      </c>
      <c r="U416" s="314" t="s">
        <v>907</v>
      </c>
      <c r="V416" s="314" t="s">
        <v>114</v>
      </c>
      <c r="W416" s="314"/>
      <c r="X416" s="314" t="str">
        <f>VLOOKUP(D416,代理总表!A:D,3,0)</f>
        <v>外部代理总线</v>
      </c>
      <c r="Y416" t="str">
        <f>VLOOKUP(D:D,代理总表!A:D,4,FALSE)</f>
        <v>外部代理总线zh0808</v>
      </c>
      <c r="Z416">
        <f t="shared" si="18"/>
        <v>0</v>
      </c>
      <c r="AA416">
        <f t="shared" si="19"/>
        <v>18</v>
      </c>
      <c r="AB416">
        <f t="shared" si="20"/>
        <v>1</v>
      </c>
    </row>
    <row r="417" spans="1:28">
      <c r="A417" s="314" t="s">
        <v>1673</v>
      </c>
      <c r="B417" s="314" t="s">
        <v>1674</v>
      </c>
      <c r="C417" s="314">
        <v>13187750809</v>
      </c>
      <c r="D417" s="314" t="s">
        <v>1109</v>
      </c>
      <c r="E417" s="314" t="s">
        <v>104</v>
      </c>
      <c r="F417" s="314" t="s">
        <v>144</v>
      </c>
      <c r="G417" s="314" t="s">
        <v>106</v>
      </c>
      <c r="H417" s="314" t="s">
        <v>107</v>
      </c>
      <c r="I417" s="314" t="s">
        <v>108</v>
      </c>
      <c r="J417" s="314" t="s">
        <v>109</v>
      </c>
      <c r="K417" s="314">
        <v>8.88</v>
      </c>
      <c r="L417" s="314">
        <v>500</v>
      </c>
      <c r="M417" s="315">
        <v>45145.7606944444</v>
      </c>
      <c r="N417" s="314" t="s">
        <v>1675</v>
      </c>
      <c r="O417" s="314" t="s">
        <v>1141</v>
      </c>
      <c r="P417" s="314" t="s">
        <v>161</v>
      </c>
      <c r="Q417" s="315">
        <v>45145.7654282407</v>
      </c>
      <c r="R417" s="315">
        <v>45146.3043171296</v>
      </c>
      <c r="S417" s="314" t="s">
        <v>1676</v>
      </c>
      <c r="T417" s="314" t="s">
        <v>1677</v>
      </c>
      <c r="U417" s="314" t="s">
        <v>1677</v>
      </c>
      <c r="V417" s="314" t="s">
        <v>114</v>
      </c>
      <c r="W417" s="314"/>
      <c r="X417" s="314" t="str">
        <f>VLOOKUP(D417,代理总表!A:D,3,0)</f>
        <v>飞哥雨燕直播</v>
      </c>
      <c r="Y417" t="str">
        <f>VLOOKUP(D:D,代理总表!A:D,4,FALSE)</f>
        <v>飞哥雨燕直播ffmk88</v>
      </c>
      <c r="Z417">
        <f t="shared" si="18"/>
        <v>1</v>
      </c>
      <c r="AA417">
        <f t="shared" si="19"/>
        <v>18</v>
      </c>
      <c r="AB417">
        <f t="shared" si="20"/>
        <v>1</v>
      </c>
    </row>
    <row r="418" spans="1:28">
      <c r="A418" s="314" t="s">
        <v>1678</v>
      </c>
      <c r="B418" s="314" t="s">
        <v>1679</v>
      </c>
      <c r="C418" s="314">
        <v>18979717557</v>
      </c>
      <c r="D418" s="314" t="s">
        <v>103</v>
      </c>
      <c r="E418" s="314" t="s">
        <v>104</v>
      </c>
      <c r="F418" s="314" t="s">
        <v>118</v>
      </c>
      <c r="G418" s="314" t="s">
        <v>108</v>
      </c>
      <c r="H418" s="314" t="s">
        <v>119</v>
      </c>
      <c r="I418" s="314" t="s">
        <v>108</v>
      </c>
      <c r="J418" s="314" t="s">
        <v>109</v>
      </c>
      <c r="K418" s="314">
        <v>0</v>
      </c>
      <c r="L418" s="314">
        <v>0</v>
      </c>
      <c r="M418" s="315">
        <v>45145.7597569444</v>
      </c>
      <c r="N418" s="314" t="s">
        <v>1680</v>
      </c>
      <c r="O418" s="314" t="s">
        <v>266</v>
      </c>
      <c r="P418" s="314" t="s">
        <v>112</v>
      </c>
      <c r="Q418" s="314" t="s">
        <v>123</v>
      </c>
      <c r="R418" s="315">
        <v>45145.76</v>
      </c>
      <c r="S418" s="314" t="s">
        <v>1680</v>
      </c>
      <c r="T418" s="314" t="s">
        <v>1681</v>
      </c>
      <c r="U418" s="314" t="s">
        <v>1681</v>
      </c>
      <c r="V418" s="314" t="s">
        <v>114</v>
      </c>
      <c r="W418" s="314"/>
      <c r="X418" s="314" t="str">
        <f>VLOOKUP(D418,代理总表!A:D,3,0)</f>
        <v>官网</v>
      </c>
      <c r="Y418" t="str">
        <f>VLOOKUP(D:D,代理总表!A:D,4,FALSE)</f>
        <v>官网</v>
      </c>
      <c r="Z418">
        <f t="shared" si="18"/>
        <v>0</v>
      </c>
      <c r="AA418">
        <f t="shared" si="19"/>
        <v>18</v>
      </c>
      <c r="AB418">
        <f t="shared" si="20"/>
        <v>1</v>
      </c>
    </row>
    <row r="419" spans="1:28">
      <c r="A419" s="314" t="s">
        <v>1682</v>
      </c>
      <c r="B419" s="314"/>
      <c r="C419" s="314">
        <v>983552400</v>
      </c>
      <c r="D419" s="314" t="s">
        <v>651</v>
      </c>
      <c r="E419" s="314" t="s">
        <v>104</v>
      </c>
      <c r="F419" s="314" t="s">
        <v>118</v>
      </c>
      <c r="G419" s="314" t="s">
        <v>108</v>
      </c>
      <c r="H419" s="314" t="s">
        <v>119</v>
      </c>
      <c r="I419" s="314" t="s">
        <v>108</v>
      </c>
      <c r="J419" s="314" t="s">
        <v>109</v>
      </c>
      <c r="K419" s="314">
        <v>0</v>
      </c>
      <c r="L419" s="314">
        <v>0</v>
      </c>
      <c r="M419" s="315">
        <v>45145.759224537</v>
      </c>
      <c r="N419" s="314" t="s">
        <v>1683</v>
      </c>
      <c r="O419" s="314" t="s">
        <v>653</v>
      </c>
      <c r="P419" s="314" t="s">
        <v>112</v>
      </c>
      <c r="Q419" s="314" t="s">
        <v>123</v>
      </c>
      <c r="R419" s="315">
        <v>45145.759224537</v>
      </c>
      <c r="S419" s="314" t="s">
        <v>1683</v>
      </c>
      <c r="T419" s="314" t="s">
        <v>131</v>
      </c>
      <c r="U419" s="314" t="s">
        <v>131</v>
      </c>
      <c r="V419" s="314" t="s">
        <v>114</v>
      </c>
      <c r="W419" s="314"/>
      <c r="X419" s="314" t="str">
        <f>VLOOKUP(D419,代理总表!A:D,3,0)</f>
        <v>雨燕直播-越</v>
      </c>
      <c r="Y419" t="str">
        <f>VLOOKUP(D:D,代理总表!A:D,4,FALSE)</f>
        <v>雨燕直播-越ffvn66</v>
      </c>
      <c r="Z419">
        <f t="shared" si="18"/>
        <v>0</v>
      </c>
      <c r="AA419">
        <f t="shared" si="19"/>
        <v>18</v>
      </c>
      <c r="AB419">
        <f t="shared" si="20"/>
        <v>1</v>
      </c>
    </row>
    <row r="420" spans="1:28">
      <c r="A420" s="314" t="s">
        <v>1684</v>
      </c>
      <c r="B420" s="314" t="s">
        <v>1685</v>
      </c>
      <c r="C420" s="314">
        <v>976966239</v>
      </c>
      <c r="D420" s="314" t="s">
        <v>143</v>
      </c>
      <c r="E420" s="314" t="s">
        <v>117</v>
      </c>
      <c r="F420" s="314" t="s">
        <v>486</v>
      </c>
      <c r="G420" s="314" t="s">
        <v>106</v>
      </c>
      <c r="H420" s="314" t="s">
        <v>107</v>
      </c>
      <c r="I420" s="314" t="s">
        <v>108</v>
      </c>
      <c r="J420" s="314" t="s">
        <v>120</v>
      </c>
      <c r="K420" s="314">
        <v>9263</v>
      </c>
      <c r="L420" s="314">
        <v>100000</v>
      </c>
      <c r="M420" s="315">
        <v>45145.7590162037</v>
      </c>
      <c r="N420" s="314" t="s">
        <v>1686</v>
      </c>
      <c r="O420" s="314" t="s">
        <v>407</v>
      </c>
      <c r="P420" s="314" t="s">
        <v>112</v>
      </c>
      <c r="Q420" s="315">
        <v>45145.7702430556</v>
      </c>
      <c r="R420" s="315">
        <v>45145.9999305556</v>
      </c>
      <c r="S420" s="314" t="s">
        <v>1686</v>
      </c>
      <c r="T420" s="314" t="s">
        <v>131</v>
      </c>
      <c r="U420" s="314" t="s">
        <v>131</v>
      </c>
      <c r="V420" s="314" t="s">
        <v>452</v>
      </c>
      <c r="W420" s="314" t="s">
        <v>1687</v>
      </c>
      <c r="X420" s="314" t="str">
        <f>VLOOKUP(D420,代理总表!A:D,3,0)</f>
        <v>雨燕直播-越</v>
      </c>
      <c r="Y420" t="str">
        <f>VLOOKUP(D:D,代理总表!A:D,4,FALSE)</f>
        <v>雨燕直播-越ffvn66</v>
      </c>
      <c r="Z420">
        <f t="shared" si="18"/>
        <v>1</v>
      </c>
      <c r="AA420">
        <f t="shared" si="19"/>
        <v>18</v>
      </c>
      <c r="AB420">
        <f t="shared" si="20"/>
        <v>1</v>
      </c>
    </row>
    <row r="421" spans="1:28">
      <c r="A421" s="314" t="s">
        <v>1688</v>
      </c>
      <c r="B421" s="314"/>
      <c r="C421" s="314"/>
      <c r="D421" s="314" t="s">
        <v>526</v>
      </c>
      <c r="E421" s="314" t="s">
        <v>117</v>
      </c>
      <c r="F421" s="314" t="s">
        <v>118</v>
      </c>
      <c r="G421" s="314" t="s">
        <v>108</v>
      </c>
      <c r="H421" s="314" t="s">
        <v>119</v>
      </c>
      <c r="I421" s="314" t="s">
        <v>108</v>
      </c>
      <c r="J421" s="314" t="s">
        <v>120</v>
      </c>
      <c r="K421" s="314">
        <v>0</v>
      </c>
      <c r="L421" s="314">
        <v>0</v>
      </c>
      <c r="M421" s="315">
        <v>45145.7586458333</v>
      </c>
      <c r="N421" s="314" t="s">
        <v>1659</v>
      </c>
      <c r="O421" s="314" t="s">
        <v>528</v>
      </c>
      <c r="P421" s="314" t="s">
        <v>112</v>
      </c>
      <c r="Q421" s="314" t="s">
        <v>123</v>
      </c>
      <c r="R421" s="315">
        <v>45145.7586342593</v>
      </c>
      <c r="S421" s="314" t="s">
        <v>1659</v>
      </c>
      <c r="T421" s="314" t="s">
        <v>124</v>
      </c>
      <c r="U421" s="314" t="s">
        <v>124</v>
      </c>
      <c r="V421" s="314" t="s">
        <v>114</v>
      </c>
      <c r="W421" s="314"/>
      <c r="X421" s="314" t="str">
        <f>VLOOKUP(D421,代理总表!A:D,3,0)</f>
        <v>SOCO越南直播</v>
      </c>
      <c r="Y421" t="str">
        <f>VLOOKUP(D:D,代理总表!A:D,4,FALSE)</f>
        <v>SOCO越南直播ffvn66</v>
      </c>
      <c r="Z421">
        <f t="shared" si="18"/>
        <v>0</v>
      </c>
      <c r="AA421">
        <f t="shared" si="19"/>
        <v>18</v>
      </c>
      <c r="AB421">
        <f t="shared" si="20"/>
        <v>1</v>
      </c>
    </row>
    <row r="422" spans="1:28">
      <c r="A422" s="314" t="s">
        <v>1689</v>
      </c>
      <c r="B422" s="314"/>
      <c r="C422" s="314"/>
      <c r="D422" s="314" t="s">
        <v>370</v>
      </c>
      <c r="E422" s="314" t="s">
        <v>104</v>
      </c>
      <c r="F422" s="314" t="s">
        <v>118</v>
      </c>
      <c r="G422" s="314" t="s">
        <v>108</v>
      </c>
      <c r="H422" s="314" t="s">
        <v>119</v>
      </c>
      <c r="I422" s="314" t="s">
        <v>108</v>
      </c>
      <c r="J422" s="314" t="s">
        <v>109</v>
      </c>
      <c r="K422" s="314">
        <v>0</v>
      </c>
      <c r="L422" s="314">
        <v>0</v>
      </c>
      <c r="M422" s="315">
        <v>45145.758587963</v>
      </c>
      <c r="N422" s="314" t="s">
        <v>1690</v>
      </c>
      <c r="O422" s="314" t="s">
        <v>1691</v>
      </c>
      <c r="P422" s="314" t="s">
        <v>112</v>
      </c>
      <c r="Q422" s="314" t="s">
        <v>123</v>
      </c>
      <c r="R422" s="315">
        <v>45145.7587847222</v>
      </c>
      <c r="S422" s="314" t="s">
        <v>1690</v>
      </c>
      <c r="T422" s="314" t="s">
        <v>1692</v>
      </c>
      <c r="U422" s="314" t="s">
        <v>1692</v>
      </c>
      <c r="V422" s="314" t="s">
        <v>114</v>
      </c>
      <c r="W422" s="314"/>
      <c r="X422" s="314" t="str">
        <f>VLOOKUP(D422,代理总表!A:D,3,0)</f>
        <v>GT-骨头</v>
      </c>
      <c r="Y422" t="str">
        <f>VLOOKUP(D:D,代理总表!A:D,4,FALSE)</f>
        <v>GT-骨头gt6677</v>
      </c>
      <c r="Z422">
        <f t="shared" si="18"/>
        <v>0</v>
      </c>
      <c r="AA422">
        <f t="shared" si="19"/>
        <v>18</v>
      </c>
      <c r="AB422">
        <f t="shared" si="20"/>
        <v>1</v>
      </c>
    </row>
    <row r="423" spans="1:28">
      <c r="A423" s="314" t="s">
        <v>1693</v>
      </c>
      <c r="B423" s="314" t="s">
        <v>1694</v>
      </c>
      <c r="C423" s="314">
        <v>987448144</v>
      </c>
      <c r="D423" s="314" t="s">
        <v>197</v>
      </c>
      <c r="E423" s="314" t="s">
        <v>117</v>
      </c>
      <c r="F423" s="314" t="s">
        <v>144</v>
      </c>
      <c r="G423" s="314" t="s">
        <v>106</v>
      </c>
      <c r="H423" s="314" t="s">
        <v>107</v>
      </c>
      <c r="I423" s="314" t="s">
        <v>108</v>
      </c>
      <c r="J423" s="314" t="s">
        <v>120</v>
      </c>
      <c r="K423" s="314">
        <v>100000</v>
      </c>
      <c r="L423" s="314">
        <v>500000</v>
      </c>
      <c r="M423" s="315">
        <v>45145.7576736111</v>
      </c>
      <c r="N423" s="314" t="s">
        <v>1695</v>
      </c>
      <c r="O423" s="314" t="s">
        <v>875</v>
      </c>
      <c r="P423" s="314" t="s">
        <v>112</v>
      </c>
      <c r="Q423" s="315">
        <v>45145.7779282407</v>
      </c>
      <c r="R423" s="315">
        <v>45146.3517708333</v>
      </c>
      <c r="S423" s="314" t="s">
        <v>1696</v>
      </c>
      <c r="T423" s="314" t="s">
        <v>217</v>
      </c>
      <c r="U423" s="314" t="s">
        <v>216</v>
      </c>
      <c r="V423" s="314" t="s">
        <v>114</v>
      </c>
      <c r="W423" s="314"/>
      <c r="X423" s="314" t="str">
        <f>VLOOKUP(D423,代理总表!A:D,3,0)</f>
        <v>雨燕直播-越</v>
      </c>
      <c r="Y423" t="str">
        <f>VLOOKUP(D:D,代理总表!A:D,4,FALSE)</f>
        <v>雨燕直播-越ffvn66</v>
      </c>
      <c r="Z423">
        <f t="shared" si="18"/>
        <v>1</v>
      </c>
      <c r="AA423">
        <f t="shared" si="19"/>
        <v>18</v>
      </c>
      <c r="AB423">
        <f t="shared" si="20"/>
        <v>1</v>
      </c>
    </row>
    <row r="424" spans="1:28">
      <c r="A424" s="314" t="s">
        <v>1697</v>
      </c>
      <c r="B424" s="314"/>
      <c r="C424" s="314"/>
      <c r="D424" s="314" t="s">
        <v>1513</v>
      </c>
      <c r="E424" s="314" t="s">
        <v>104</v>
      </c>
      <c r="F424" s="314" t="s">
        <v>118</v>
      </c>
      <c r="G424" s="314" t="s">
        <v>108</v>
      </c>
      <c r="H424" s="314" t="s">
        <v>119</v>
      </c>
      <c r="I424" s="314" t="s">
        <v>108</v>
      </c>
      <c r="J424" s="314" t="s">
        <v>109</v>
      </c>
      <c r="K424" s="314">
        <v>0</v>
      </c>
      <c r="L424" s="314">
        <v>0</v>
      </c>
      <c r="M424" s="315">
        <v>45145.7568981481</v>
      </c>
      <c r="N424" s="314" t="s">
        <v>1698</v>
      </c>
      <c r="O424" s="314" t="s">
        <v>1699</v>
      </c>
      <c r="P424" s="314" t="s">
        <v>339</v>
      </c>
      <c r="Q424" s="314" t="s">
        <v>123</v>
      </c>
      <c r="R424" s="315">
        <v>45145.8949305556</v>
      </c>
      <c r="S424" s="314" t="s">
        <v>1698</v>
      </c>
      <c r="T424" s="314" t="s">
        <v>1700</v>
      </c>
      <c r="U424" s="314" t="s">
        <v>1700</v>
      </c>
      <c r="V424" s="314" t="s">
        <v>114</v>
      </c>
      <c r="W424" s="314"/>
      <c r="X424" s="314" t="str">
        <f>VLOOKUP(D424,代理总表!A:D,3,0)</f>
        <v>GT-骨头</v>
      </c>
      <c r="Y424" t="str">
        <f>VLOOKUP(D:D,代理总表!A:D,4,FALSE)</f>
        <v>GT-骨头gt6677</v>
      </c>
      <c r="Z424">
        <f t="shared" si="18"/>
        <v>0</v>
      </c>
      <c r="AA424">
        <f t="shared" si="19"/>
        <v>18</v>
      </c>
      <c r="AB424">
        <f t="shared" si="20"/>
        <v>1</v>
      </c>
    </row>
    <row r="425" spans="1:28">
      <c r="A425" s="314" t="s">
        <v>1701</v>
      </c>
      <c r="B425" s="314"/>
      <c r="C425" s="314"/>
      <c r="D425" s="314" t="s">
        <v>454</v>
      </c>
      <c r="E425" s="314" t="s">
        <v>104</v>
      </c>
      <c r="F425" s="314" t="s">
        <v>118</v>
      </c>
      <c r="G425" s="314" t="s">
        <v>108</v>
      </c>
      <c r="H425" s="314" t="s">
        <v>119</v>
      </c>
      <c r="I425" s="314" t="s">
        <v>108</v>
      </c>
      <c r="J425" s="314" t="s">
        <v>109</v>
      </c>
      <c r="K425" s="314">
        <v>0</v>
      </c>
      <c r="L425" s="314">
        <v>0</v>
      </c>
      <c r="M425" s="315">
        <v>45145.7561342593</v>
      </c>
      <c r="N425" s="314" t="s">
        <v>1702</v>
      </c>
      <c r="O425" s="314" t="s">
        <v>885</v>
      </c>
      <c r="P425" s="314" t="s">
        <v>112</v>
      </c>
      <c r="Q425" s="314" t="s">
        <v>123</v>
      </c>
      <c r="R425" s="315">
        <v>45145.7561226852</v>
      </c>
      <c r="S425" s="314" t="s">
        <v>1702</v>
      </c>
      <c r="T425" s="314" t="s">
        <v>1703</v>
      </c>
      <c r="U425" s="314" t="s">
        <v>1703</v>
      </c>
      <c r="V425" s="314" t="s">
        <v>114</v>
      </c>
      <c r="W425" s="314"/>
      <c r="X425" s="314" t="str">
        <f>VLOOKUP(D425,代理总表!A:D,3,0)</f>
        <v>雨燕直播</v>
      </c>
      <c r="Y425" t="str">
        <f>VLOOKUP(D:D,代理总表!A:D,4,FALSE)</f>
        <v>雨燕直播zzzb888</v>
      </c>
      <c r="Z425">
        <f t="shared" si="18"/>
        <v>0</v>
      </c>
      <c r="AA425">
        <f t="shared" si="19"/>
        <v>18</v>
      </c>
      <c r="AB425">
        <f t="shared" si="20"/>
        <v>1</v>
      </c>
    </row>
    <row r="426" spans="1:28">
      <c r="A426" s="314" t="s">
        <v>1704</v>
      </c>
      <c r="B426" s="314"/>
      <c r="C426" s="314">
        <v>378673638</v>
      </c>
      <c r="D426" s="314" t="s">
        <v>167</v>
      </c>
      <c r="E426" s="314" t="s">
        <v>117</v>
      </c>
      <c r="F426" s="314" t="s">
        <v>118</v>
      </c>
      <c r="G426" s="314" t="s">
        <v>108</v>
      </c>
      <c r="H426" s="314" t="s">
        <v>119</v>
      </c>
      <c r="I426" s="314" t="s">
        <v>108</v>
      </c>
      <c r="J426" s="314" t="s">
        <v>120</v>
      </c>
      <c r="K426" s="314">
        <v>0</v>
      </c>
      <c r="L426" s="314">
        <v>0</v>
      </c>
      <c r="M426" s="315">
        <v>45145.7557407407</v>
      </c>
      <c r="N426" s="314" t="s">
        <v>1705</v>
      </c>
      <c r="O426" s="314" t="s">
        <v>169</v>
      </c>
      <c r="P426" s="314" t="s">
        <v>112</v>
      </c>
      <c r="Q426" s="314" t="s">
        <v>123</v>
      </c>
      <c r="R426" s="315">
        <v>45145.7560416667</v>
      </c>
      <c r="S426" s="314" t="s">
        <v>1705</v>
      </c>
      <c r="T426" s="314" t="s">
        <v>216</v>
      </c>
      <c r="U426" s="314" t="s">
        <v>216</v>
      </c>
      <c r="V426" s="314" t="s">
        <v>114</v>
      </c>
      <c r="W426" s="314"/>
      <c r="X426" s="314" t="e">
        <f>VLOOKUP(D426,代理总表!A:D,3,0)</f>
        <v>#N/A</v>
      </c>
      <c r="Y426" t="e">
        <f>VLOOKUP(D:D,代理总表!A:D,4,FALSE)</f>
        <v>#N/A</v>
      </c>
      <c r="Z426">
        <f t="shared" si="18"/>
        <v>0</v>
      </c>
      <c r="AA426">
        <f t="shared" si="19"/>
        <v>18</v>
      </c>
      <c r="AB426">
        <f t="shared" si="20"/>
        <v>1</v>
      </c>
    </row>
    <row r="427" spans="1:28">
      <c r="A427" s="314" t="s">
        <v>1706</v>
      </c>
      <c r="B427" s="314"/>
      <c r="C427" s="314">
        <v>17513128875</v>
      </c>
      <c r="D427" s="314" t="s">
        <v>103</v>
      </c>
      <c r="E427" s="314" t="s">
        <v>104</v>
      </c>
      <c r="F427" s="314" t="s">
        <v>118</v>
      </c>
      <c r="G427" s="314" t="s">
        <v>108</v>
      </c>
      <c r="H427" s="314" t="s">
        <v>119</v>
      </c>
      <c r="I427" s="314" t="s">
        <v>108</v>
      </c>
      <c r="J427" s="314" t="s">
        <v>109</v>
      </c>
      <c r="K427" s="314">
        <v>0</v>
      </c>
      <c r="L427" s="314">
        <v>0</v>
      </c>
      <c r="M427" s="315">
        <v>45145.7543518519</v>
      </c>
      <c r="N427" s="314" t="s">
        <v>1707</v>
      </c>
      <c r="O427" s="314" t="s">
        <v>350</v>
      </c>
      <c r="P427" s="314" t="s">
        <v>112</v>
      </c>
      <c r="Q427" s="314" t="s">
        <v>123</v>
      </c>
      <c r="R427" s="315">
        <v>45145.7543402778</v>
      </c>
      <c r="S427" s="314" t="s">
        <v>1707</v>
      </c>
      <c r="T427" s="314" t="s">
        <v>1708</v>
      </c>
      <c r="U427" s="314" t="s">
        <v>1708</v>
      </c>
      <c r="V427" s="314" t="s">
        <v>114</v>
      </c>
      <c r="W427" s="314"/>
      <c r="X427" s="314" t="str">
        <f>VLOOKUP(D427,代理总表!A:D,3,0)</f>
        <v>官网</v>
      </c>
      <c r="Y427" t="str">
        <f>VLOOKUP(D:D,代理总表!A:D,4,FALSE)</f>
        <v>官网</v>
      </c>
      <c r="Z427">
        <f t="shared" si="18"/>
        <v>0</v>
      </c>
      <c r="AA427">
        <f t="shared" si="19"/>
        <v>18</v>
      </c>
      <c r="AB427">
        <f t="shared" si="20"/>
        <v>1</v>
      </c>
    </row>
    <row r="428" spans="1:28">
      <c r="A428" s="314" t="s">
        <v>1709</v>
      </c>
      <c r="B428" s="314"/>
      <c r="C428" s="314">
        <v>18019991334</v>
      </c>
      <c r="D428" s="314" t="s">
        <v>180</v>
      </c>
      <c r="E428" s="314" t="s">
        <v>104</v>
      </c>
      <c r="F428" s="314" t="s">
        <v>149</v>
      </c>
      <c r="G428" s="314" t="s">
        <v>108</v>
      </c>
      <c r="H428" s="314" t="s">
        <v>119</v>
      </c>
      <c r="I428" s="314" t="s">
        <v>108</v>
      </c>
      <c r="J428" s="314" t="s">
        <v>109</v>
      </c>
      <c r="K428" s="314">
        <v>0</v>
      </c>
      <c r="L428" s="314">
        <v>0</v>
      </c>
      <c r="M428" s="315">
        <v>45145.7540046296</v>
      </c>
      <c r="N428" s="314" t="s">
        <v>1710</v>
      </c>
      <c r="O428" s="314" t="s">
        <v>1711</v>
      </c>
      <c r="P428" s="314" t="s">
        <v>339</v>
      </c>
      <c r="Q428" s="314" t="s">
        <v>123</v>
      </c>
      <c r="R428" s="315">
        <v>45145.7641203704</v>
      </c>
      <c r="S428" s="314" t="s">
        <v>1710</v>
      </c>
      <c r="T428" s="314" t="s">
        <v>1712</v>
      </c>
      <c r="U428" s="314" t="s">
        <v>1712</v>
      </c>
      <c r="V428" s="314" t="s">
        <v>114</v>
      </c>
      <c r="W428" s="314"/>
      <c r="X428" s="314" t="str">
        <f>VLOOKUP(D428,代理总表!A:D,3,0)</f>
        <v>hugo</v>
      </c>
      <c r="Y428" t="str">
        <f>VLOOKUP(D:D,代理总表!A:D,4,FALSE)</f>
        <v>SEO</v>
      </c>
      <c r="Z428">
        <f t="shared" si="18"/>
        <v>0</v>
      </c>
      <c r="AA428">
        <f t="shared" si="19"/>
        <v>18</v>
      </c>
      <c r="AB428">
        <f t="shared" si="20"/>
        <v>1</v>
      </c>
    </row>
    <row r="429" spans="1:28">
      <c r="A429" s="314" t="s">
        <v>1713</v>
      </c>
      <c r="B429" s="314"/>
      <c r="C429" s="314"/>
      <c r="D429" s="314" t="s">
        <v>651</v>
      </c>
      <c r="E429" s="314" t="s">
        <v>117</v>
      </c>
      <c r="F429" s="314" t="s">
        <v>118</v>
      </c>
      <c r="G429" s="314" t="s">
        <v>108</v>
      </c>
      <c r="H429" s="314" t="s">
        <v>119</v>
      </c>
      <c r="I429" s="314" t="s">
        <v>108</v>
      </c>
      <c r="J429" s="314" t="s">
        <v>120</v>
      </c>
      <c r="K429" s="314">
        <v>0</v>
      </c>
      <c r="L429" s="314">
        <v>0</v>
      </c>
      <c r="M429" s="315">
        <v>45145.7532407407</v>
      </c>
      <c r="N429" s="314" t="s">
        <v>1714</v>
      </c>
      <c r="O429" s="314" t="s">
        <v>653</v>
      </c>
      <c r="P429" s="314" t="s">
        <v>112</v>
      </c>
      <c r="Q429" s="314" t="s">
        <v>123</v>
      </c>
      <c r="R429" s="315">
        <v>45145.7532407407</v>
      </c>
      <c r="S429" s="314" t="s">
        <v>1714</v>
      </c>
      <c r="T429" s="314" t="s">
        <v>548</v>
      </c>
      <c r="U429" s="314" t="s">
        <v>548</v>
      </c>
      <c r="V429" s="314" t="s">
        <v>114</v>
      </c>
      <c r="W429" s="314"/>
      <c r="X429" s="314" t="str">
        <f>VLOOKUP(D429,代理总表!A:D,3,0)</f>
        <v>雨燕直播-越</v>
      </c>
      <c r="Y429" t="str">
        <f>VLOOKUP(D:D,代理总表!A:D,4,FALSE)</f>
        <v>雨燕直播-越ffvn66</v>
      </c>
      <c r="Z429">
        <f t="shared" si="18"/>
        <v>0</v>
      </c>
      <c r="AA429">
        <f t="shared" si="19"/>
        <v>18</v>
      </c>
      <c r="AB429">
        <f t="shared" si="20"/>
        <v>1</v>
      </c>
    </row>
    <row r="430" spans="1:28">
      <c r="A430" s="314" t="s">
        <v>1715</v>
      </c>
      <c r="B430" s="314" t="s">
        <v>1716</v>
      </c>
      <c r="C430" s="314">
        <v>898322925</v>
      </c>
      <c r="D430" s="314" t="s">
        <v>137</v>
      </c>
      <c r="E430" s="314" t="s">
        <v>117</v>
      </c>
      <c r="F430" s="314" t="s">
        <v>118</v>
      </c>
      <c r="G430" s="314" t="s">
        <v>108</v>
      </c>
      <c r="H430" s="314" t="s">
        <v>119</v>
      </c>
      <c r="I430" s="314" t="s">
        <v>108</v>
      </c>
      <c r="J430" s="314" t="s">
        <v>120</v>
      </c>
      <c r="K430" s="314">
        <v>0</v>
      </c>
      <c r="L430" s="314">
        <v>0</v>
      </c>
      <c r="M430" s="315">
        <v>45145.7532060185</v>
      </c>
      <c r="N430" s="314" t="s">
        <v>1717</v>
      </c>
      <c r="O430" s="314" t="s">
        <v>139</v>
      </c>
      <c r="P430" s="314" t="s">
        <v>208</v>
      </c>
      <c r="Q430" s="314" t="s">
        <v>123</v>
      </c>
      <c r="R430" s="315">
        <v>45146.0104976852</v>
      </c>
      <c r="S430" s="314" t="s">
        <v>1717</v>
      </c>
      <c r="T430" s="314" t="s">
        <v>667</v>
      </c>
      <c r="U430" s="314" t="s">
        <v>667</v>
      </c>
      <c r="V430" s="314" t="s">
        <v>114</v>
      </c>
      <c r="W430" s="314"/>
      <c r="X430" s="314" t="str">
        <f>VLOOKUP(D430,代理总表!A:D,3,0)</f>
        <v>雨燕直播-越</v>
      </c>
      <c r="Y430" t="str">
        <f>VLOOKUP(D:D,代理总表!A:D,4,FALSE)</f>
        <v>雨燕直播-越ffvn66</v>
      </c>
      <c r="Z430">
        <f t="shared" si="18"/>
        <v>0</v>
      </c>
      <c r="AA430">
        <f t="shared" si="19"/>
        <v>18</v>
      </c>
      <c r="AB430">
        <f t="shared" si="20"/>
        <v>1</v>
      </c>
    </row>
    <row r="431" spans="1:28">
      <c r="A431" s="314" t="s">
        <v>1718</v>
      </c>
      <c r="B431" s="314"/>
      <c r="C431" s="314">
        <v>17340635091</v>
      </c>
      <c r="D431" s="314" t="s">
        <v>103</v>
      </c>
      <c r="E431" s="314" t="s">
        <v>104</v>
      </c>
      <c r="F431" s="314" t="s">
        <v>118</v>
      </c>
      <c r="G431" s="314" t="s">
        <v>108</v>
      </c>
      <c r="H431" s="314" t="s">
        <v>119</v>
      </c>
      <c r="I431" s="314" t="s">
        <v>108</v>
      </c>
      <c r="J431" s="314" t="s">
        <v>109</v>
      </c>
      <c r="K431" s="314">
        <v>0</v>
      </c>
      <c r="L431" s="314">
        <v>0</v>
      </c>
      <c r="M431" s="315">
        <v>45145.752974537</v>
      </c>
      <c r="N431" s="314" t="s">
        <v>1719</v>
      </c>
      <c r="O431" s="314" t="s">
        <v>582</v>
      </c>
      <c r="P431" s="314" t="s">
        <v>161</v>
      </c>
      <c r="Q431" s="314" t="s">
        <v>123</v>
      </c>
      <c r="R431" s="315">
        <v>45145.8839583333</v>
      </c>
      <c r="S431" s="314" t="s">
        <v>1719</v>
      </c>
      <c r="T431" s="314" t="s">
        <v>1720</v>
      </c>
      <c r="U431" s="314" t="s">
        <v>1720</v>
      </c>
      <c r="V431" s="314" t="s">
        <v>114</v>
      </c>
      <c r="W431" s="314"/>
      <c r="X431" s="314" t="str">
        <f>VLOOKUP(D431,代理总表!A:D,3,0)</f>
        <v>官网</v>
      </c>
      <c r="Y431" t="str">
        <f>VLOOKUP(D:D,代理总表!A:D,4,FALSE)</f>
        <v>官网</v>
      </c>
      <c r="Z431">
        <f t="shared" si="18"/>
        <v>0</v>
      </c>
      <c r="AA431">
        <f t="shared" si="19"/>
        <v>18</v>
      </c>
      <c r="AB431">
        <f t="shared" si="20"/>
        <v>1</v>
      </c>
    </row>
    <row r="432" spans="1:28">
      <c r="A432" s="314" t="s">
        <v>1721</v>
      </c>
      <c r="B432" s="314" t="s">
        <v>1722</v>
      </c>
      <c r="C432" s="314">
        <v>975318042</v>
      </c>
      <c r="D432" s="314" t="s">
        <v>172</v>
      </c>
      <c r="E432" s="314" t="s">
        <v>117</v>
      </c>
      <c r="F432" s="314" t="s">
        <v>144</v>
      </c>
      <c r="G432" s="314" t="s">
        <v>106</v>
      </c>
      <c r="H432" s="314" t="s">
        <v>107</v>
      </c>
      <c r="I432" s="314" t="s">
        <v>108</v>
      </c>
      <c r="J432" s="314" t="s">
        <v>120</v>
      </c>
      <c r="K432" s="314">
        <v>1308200</v>
      </c>
      <c r="L432" s="314">
        <v>900000</v>
      </c>
      <c r="M432" s="315">
        <v>45145.7518287037</v>
      </c>
      <c r="N432" s="314" t="s">
        <v>1723</v>
      </c>
      <c r="O432" s="314" t="s">
        <v>881</v>
      </c>
      <c r="P432" s="314" t="s">
        <v>112</v>
      </c>
      <c r="Q432" s="315">
        <v>45145.7595833333</v>
      </c>
      <c r="R432" s="315">
        <v>45146.3251157407</v>
      </c>
      <c r="S432" s="314" t="s">
        <v>1724</v>
      </c>
      <c r="T432" s="314" t="s">
        <v>131</v>
      </c>
      <c r="U432" s="314" t="s">
        <v>124</v>
      </c>
      <c r="V432" s="314" t="s">
        <v>114</v>
      </c>
      <c r="W432" s="314"/>
      <c r="X432" s="314" t="str">
        <f>VLOOKUP(D432,代理总表!A:D,3,0)</f>
        <v>雨燕直播-越</v>
      </c>
      <c r="Y432" t="str">
        <f>VLOOKUP(D:D,代理总表!A:D,4,FALSE)</f>
        <v>雨燕直播-越ffvn66</v>
      </c>
      <c r="Z432">
        <f t="shared" si="18"/>
        <v>1</v>
      </c>
      <c r="AA432">
        <f t="shared" si="19"/>
        <v>18</v>
      </c>
      <c r="AB432">
        <f t="shared" si="20"/>
        <v>1</v>
      </c>
    </row>
    <row r="433" spans="1:28">
      <c r="A433" s="314" t="s">
        <v>1725</v>
      </c>
      <c r="B433" s="314"/>
      <c r="C433" s="314"/>
      <c r="D433" s="314" t="s">
        <v>805</v>
      </c>
      <c r="E433" s="314" t="s">
        <v>1726</v>
      </c>
      <c r="F433" s="314" t="s">
        <v>118</v>
      </c>
      <c r="G433" s="314" t="s">
        <v>108</v>
      </c>
      <c r="H433" s="314" t="s">
        <v>119</v>
      </c>
      <c r="I433" s="314" t="s">
        <v>108</v>
      </c>
      <c r="J433" s="314" t="s">
        <v>1727</v>
      </c>
      <c r="K433" s="314">
        <v>0</v>
      </c>
      <c r="L433" s="314">
        <v>0</v>
      </c>
      <c r="M433" s="315">
        <v>45145.7502893519</v>
      </c>
      <c r="N433" s="314" t="s">
        <v>1728</v>
      </c>
      <c r="O433" s="314" t="s">
        <v>992</v>
      </c>
      <c r="P433" s="314" t="s">
        <v>112</v>
      </c>
      <c r="Q433" s="314" t="s">
        <v>123</v>
      </c>
      <c r="R433" s="315">
        <v>45145.7502893519</v>
      </c>
      <c r="S433" s="314" t="s">
        <v>1728</v>
      </c>
      <c r="T433" s="314" t="s">
        <v>1729</v>
      </c>
      <c r="U433" s="314" t="s">
        <v>1729</v>
      </c>
      <c r="V433" s="314" t="s">
        <v>114</v>
      </c>
      <c r="W433" s="314"/>
      <c r="X433" s="314" t="str">
        <f>VLOOKUP(D433,代理总表!A:D,3,0)</f>
        <v>飞哥雨燕直播</v>
      </c>
      <c r="Y433" t="str">
        <f>VLOOKUP(D:D,代理总表!A:D,4,FALSE)</f>
        <v>飞哥雨燕直播ffmk88</v>
      </c>
      <c r="Z433">
        <f t="shared" si="18"/>
        <v>0</v>
      </c>
      <c r="AA433">
        <f t="shared" si="19"/>
        <v>18</v>
      </c>
      <c r="AB433">
        <f t="shared" si="20"/>
        <v>1</v>
      </c>
    </row>
    <row r="434" spans="1:28">
      <c r="A434" s="314" t="s">
        <v>1730</v>
      </c>
      <c r="B434" s="314"/>
      <c r="C434" s="314"/>
      <c r="D434" s="314" t="s">
        <v>651</v>
      </c>
      <c r="E434" s="314" t="s">
        <v>117</v>
      </c>
      <c r="F434" s="314" t="s">
        <v>118</v>
      </c>
      <c r="G434" s="314" t="s">
        <v>108</v>
      </c>
      <c r="H434" s="314" t="s">
        <v>119</v>
      </c>
      <c r="I434" s="314" t="s">
        <v>108</v>
      </c>
      <c r="J434" s="314" t="s">
        <v>120</v>
      </c>
      <c r="K434" s="314">
        <v>0</v>
      </c>
      <c r="L434" s="314">
        <v>0</v>
      </c>
      <c r="M434" s="315">
        <v>45145.749525463</v>
      </c>
      <c r="N434" s="314" t="s">
        <v>1714</v>
      </c>
      <c r="O434" s="314" t="s">
        <v>653</v>
      </c>
      <c r="P434" s="314" t="s">
        <v>112</v>
      </c>
      <c r="Q434" s="314" t="s">
        <v>123</v>
      </c>
      <c r="R434" s="315">
        <v>45145.7495138889</v>
      </c>
      <c r="S434" s="314" t="s">
        <v>1714</v>
      </c>
      <c r="T434" s="314" t="s">
        <v>548</v>
      </c>
      <c r="U434" s="314" t="s">
        <v>548</v>
      </c>
      <c r="V434" s="314" t="s">
        <v>114</v>
      </c>
      <c r="W434" s="314"/>
      <c r="X434" s="314" t="str">
        <f>VLOOKUP(D434,代理总表!A:D,3,0)</f>
        <v>雨燕直播-越</v>
      </c>
      <c r="Y434" t="str">
        <f>VLOOKUP(D:D,代理总表!A:D,4,FALSE)</f>
        <v>雨燕直播-越ffvn66</v>
      </c>
      <c r="Z434">
        <f t="shared" si="18"/>
        <v>0</v>
      </c>
      <c r="AA434">
        <f t="shared" si="19"/>
        <v>17</v>
      </c>
      <c r="AB434">
        <f t="shared" si="20"/>
        <v>1</v>
      </c>
    </row>
    <row r="435" spans="1:28">
      <c r="A435" s="314" t="s">
        <v>1731</v>
      </c>
      <c r="B435" s="314" t="s">
        <v>1732</v>
      </c>
      <c r="C435" s="314">
        <v>19908424146</v>
      </c>
      <c r="D435" s="314" t="s">
        <v>148</v>
      </c>
      <c r="E435" s="314" t="s">
        <v>104</v>
      </c>
      <c r="F435" s="314" t="s">
        <v>181</v>
      </c>
      <c r="G435" s="314" t="s">
        <v>106</v>
      </c>
      <c r="H435" s="314" t="s">
        <v>107</v>
      </c>
      <c r="I435" s="314" t="s">
        <v>108</v>
      </c>
      <c r="J435" s="314" t="s">
        <v>109</v>
      </c>
      <c r="K435" s="314">
        <v>200</v>
      </c>
      <c r="L435" s="314">
        <v>0</v>
      </c>
      <c r="M435" s="315">
        <v>45145.7484027778</v>
      </c>
      <c r="N435" s="314" t="s">
        <v>1733</v>
      </c>
      <c r="O435" s="314" t="s">
        <v>160</v>
      </c>
      <c r="P435" s="314" t="s">
        <v>208</v>
      </c>
      <c r="Q435" s="315">
        <v>45145.8293402778</v>
      </c>
      <c r="R435" s="315">
        <v>45145.8461689815</v>
      </c>
      <c r="S435" s="314" t="s">
        <v>1734</v>
      </c>
      <c r="T435" s="314" t="s">
        <v>1735</v>
      </c>
      <c r="U435" s="314" t="s">
        <v>152</v>
      </c>
      <c r="V435" s="314" t="s">
        <v>114</v>
      </c>
      <c r="W435" s="314"/>
      <c r="X435" s="314" t="str">
        <f>VLOOKUP(D435,代理总表!A:D,3,0)</f>
        <v>martin</v>
      </c>
      <c r="Y435" t="str">
        <f>VLOOKUP(D:D,代理总表!A:D,4,FALSE)</f>
        <v>SEO</v>
      </c>
      <c r="Z435">
        <f t="shared" si="18"/>
        <v>1</v>
      </c>
      <c r="AA435">
        <f t="shared" si="19"/>
        <v>17</v>
      </c>
      <c r="AB435">
        <f t="shared" si="20"/>
        <v>1</v>
      </c>
    </row>
    <row r="436" spans="1:28">
      <c r="A436" s="314" t="s">
        <v>1736</v>
      </c>
      <c r="B436" s="314"/>
      <c r="C436" s="314"/>
      <c r="D436" s="314" t="s">
        <v>1737</v>
      </c>
      <c r="E436" s="314" t="s">
        <v>104</v>
      </c>
      <c r="F436" s="314" t="s">
        <v>149</v>
      </c>
      <c r="G436" s="314" t="s">
        <v>108</v>
      </c>
      <c r="H436" s="314" t="s">
        <v>119</v>
      </c>
      <c r="I436" s="314" t="s">
        <v>108</v>
      </c>
      <c r="J436" s="314" t="s">
        <v>109</v>
      </c>
      <c r="K436" s="314">
        <v>0</v>
      </c>
      <c r="L436" s="314">
        <v>0</v>
      </c>
      <c r="M436" s="315">
        <v>45145.7457175926</v>
      </c>
      <c r="N436" s="314" t="s">
        <v>1738</v>
      </c>
      <c r="O436" s="314" t="s">
        <v>1519</v>
      </c>
      <c r="P436" s="314" t="s">
        <v>112</v>
      </c>
      <c r="Q436" s="314" t="s">
        <v>123</v>
      </c>
      <c r="R436" s="315">
        <v>45145.9349768519</v>
      </c>
      <c r="S436" s="314" t="s">
        <v>1738</v>
      </c>
      <c r="T436" s="314" t="s">
        <v>736</v>
      </c>
      <c r="U436" s="314" t="s">
        <v>736</v>
      </c>
      <c r="V436" s="314" t="s">
        <v>114</v>
      </c>
      <c r="W436" s="314"/>
      <c r="X436" s="314" t="str">
        <f>VLOOKUP(D436,代理总表!A:D,3,0)</f>
        <v>Admin邀请</v>
      </c>
      <c r="Y436" t="str">
        <f>VLOOKUP(D:D,代理总表!A:D,4,FALSE)</f>
        <v>官网</v>
      </c>
      <c r="Z436">
        <f t="shared" si="18"/>
        <v>0</v>
      </c>
      <c r="AA436">
        <f t="shared" si="19"/>
        <v>17</v>
      </c>
      <c r="AB436">
        <f t="shared" si="20"/>
        <v>1</v>
      </c>
    </row>
    <row r="437" spans="1:28">
      <c r="A437" s="314" t="s">
        <v>1739</v>
      </c>
      <c r="B437" s="314" t="s">
        <v>1740</v>
      </c>
      <c r="C437" s="314">
        <v>18789946241</v>
      </c>
      <c r="D437" s="314" t="s">
        <v>1741</v>
      </c>
      <c r="E437" s="314" t="s">
        <v>104</v>
      </c>
      <c r="F437" s="314" t="s">
        <v>105</v>
      </c>
      <c r="G437" s="314" t="s">
        <v>106</v>
      </c>
      <c r="H437" s="314" t="s">
        <v>107</v>
      </c>
      <c r="I437" s="314" t="s">
        <v>108</v>
      </c>
      <c r="J437" s="314" t="s">
        <v>109</v>
      </c>
      <c r="K437" s="314">
        <v>193.43</v>
      </c>
      <c r="L437" s="314">
        <v>30</v>
      </c>
      <c r="M437" s="315">
        <v>45145.7456481481</v>
      </c>
      <c r="N437" s="314" t="s">
        <v>1742</v>
      </c>
      <c r="O437" s="314" t="s">
        <v>1743</v>
      </c>
      <c r="P437" s="314" t="s">
        <v>161</v>
      </c>
      <c r="Q437" s="315">
        <v>45145.7608333333</v>
      </c>
      <c r="R437" s="315">
        <v>45145.9752083333</v>
      </c>
      <c r="S437" s="314" t="s">
        <v>1742</v>
      </c>
      <c r="T437" s="314" t="s">
        <v>946</v>
      </c>
      <c r="U437" s="314" t="s">
        <v>946</v>
      </c>
      <c r="V437" s="314" t="s">
        <v>114</v>
      </c>
      <c r="W437" s="314"/>
      <c r="X437" s="314" t="str">
        <f>VLOOKUP(D437,代理总表!A:D,3,0)</f>
        <v>飞哥雨燕直播</v>
      </c>
      <c r="Y437" t="str">
        <f>VLOOKUP(D:D,代理总表!A:D,4,FALSE)</f>
        <v>飞哥雨燕直播ffmk88</v>
      </c>
      <c r="Z437">
        <f t="shared" si="18"/>
        <v>1</v>
      </c>
      <c r="AA437">
        <f t="shared" si="19"/>
        <v>17</v>
      </c>
      <c r="AB437">
        <f t="shared" si="20"/>
        <v>1</v>
      </c>
    </row>
    <row r="438" spans="1:28">
      <c r="A438" s="314" t="s">
        <v>1744</v>
      </c>
      <c r="B438" s="314"/>
      <c r="C438" s="314">
        <v>15971693240</v>
      </c>
      <c r="D438" s="314" t="s">
        <v>276</v>
      </c>
      <c r="E438" s="314" t="s">
        <v>104</v>
      </c>
      <c r="F438" s="314" t="s">
        <v>144</v>
      </c>
      <c r="G438" s="314" t="s">
        <v>106</v>
      </c>
      <c r="H438" s="314" t="s">
        <v>107</v>
      </c>
      <c r="I438" s="314" t="s">
        <v>108</v>
      </c>
      <c r="J438" s="314" t="s">
        <v>109</v>
      </c>
      <c r="K438" s="314">
        <v>150</v>
      </c>
      <c r="L438" s="314">
        <v>515</v>
      </c>
      <c r="M438" s="315">
        <v>45145.745625</v>
      </c>
      <c r="N438" s="314" t="s">
        <v>1745</v>
      </c>
      <c r="O438" s="314" t="s">
        <v>1746</v>
      </c>
      <c r="P438" s="314" t="s">
        <v>339</v>
      </c>
      <c r="Q438" s="315">
        <v>45145.7553472222</v>
      </c>
      <c r="R438" s="315">
        <v>45145.8445717593</v>
      </c>
      <c r="S438" s="314" t="s">
        <v>1745</v>
      </c>
      <c r="T438" s="314" t="s">
        <v>1747</v>
      </c>
      <c r="U438" s="314" t="s">
        <v>1747</v>
      </c>
      <c r="V438" s="314" t="s">
        <v>114</v>
      </c>
      <c r="W438" s="314"/>
      <c r="X438" s="314" t="str">
        <f>VLOOKUP(D438,代理总表!A:D,3,0)</f>
        <v>飞哥雨燕直播</v>
      </c>
      <c r="Y438" t="str">
        <f>VLOOKUP(D:D,代理总表!A:D,4,FALSE)</f>
        <v>飞哥雨燕直播ffmk88</v>
      </c>
      <c r="Z438">
        <f t="shared" si="18"/>
        <v>1</v>
      </c>
      <c r="AA438">
        <f t="shared" si="19"/>
        <v>17</v>
      </c>
      <c r="AB438">
        <f t="shared" si="20"/>
        <v>1</v>
      </c>
    </row>
    <row r="439" spans="1:28">
      <c r="A439" s="314" t="s">
        <v>1748</v>
      </c>
      <c r="B439" s="314" t="s">
        <v>1749</v>
      </c>
      <c r="C439" s="314">
        <v>933350368</v>
      </c>
      <c r="D439" s="314" t="s">
        <v>1150</v>
      </c>
      <c r="E439" s="314" t="s">
        <v>117</v>
      </c>
      <c r="F439" s="314" t="s">
        <v>144</v>
      </c>
      <c r="G439" s="314" t="s">
        <v>106</v>
      </c>
      <c r="H439" s="314" t="s">
        <v>107</v>
      </c>
      <c r="I439" s="314" t="s">
        <v>108</v>
      </c>
      <c r="J439" s="314" t="s">
        <v>120</v>
      </c>
      <c r="K439" s="314">
        <v>50000</v>
      </c>
      <c r="L439" s="314">
        <v>0</v>
      </c>
      <c r="M439" s="315">
        <v>45145.7443634259</v>
      </c>
      <c r="N439" s="314" t="s">
        <v>1750</v>
      </c>
      <c r="O439" s="314" t="s">
        <v>1152</v>
      </c>
      <c r="P439" s="314" t="s">
        <v>112</v>
      </c>
      <c r="Q439" s="315">
        <v>45145.7502083333</v>
      </c>
      <c r="R439" s="315">
        <v>45146.0726157407</v>
      </c>
      <c r="S439" s="314" t="s">
        <v>1750</v>
      </c>
      <c r="T439" s="314" t="s">
        <v>176</v>
      </c>
      <c r="U439" s="314" t="s">
        <v>176</v>
      </c>
      <c r="V439" s="314" t="s">
        <v>114</v>
      </c>
      <c r="W439" s="314"/>
      <c r="X439" s="314" t="e">
        <f>VLOOKUP(D439,代理总表!A:D,3,0)</f>
        <v>#N/A</v>
      </c>
      <c r="Y439" t="e">
        <f>VLOOKUP(D:D,代理总表!A:D,4,FALSE)</f>
        <v>#N/A</v>
      </c>
      <c r="Z439">
        <f t="shared" si="18"/>
        <v>1</v>
      </c>
      <c r="AA439">
        <f t="shared" si="19"/>
        <v>17</v>
      </c>
      <c r="AB439">
        <f t="shared" si="20"/>
        <v>1</v>
      </c>
    </row>
    <row r="440" spans="1:28">
      <c r="A440" s="314" t="s">
        <v>1751</v>
      </c>
      <c r="B440" s="314" t="s">
        <v>1752</v>
      </c>
      <c r="C440" s="314">
        <v>358582336</v>
      </c>
      <c r="D440" s="314" t="s">
        <v>1150</v>
      </c>
      <c r="E440" s="314" t="s">
        <v>117</v>
      </c>
      <c r="F440" s="314" t="s">
        <v>144</v>
      </c>
      <c r="G440" s="314" t="s">
        <v>106</v>
      </c>
      <c r="H440" s="314" t="s">
        <v>107</v>
      </c>
      <c r="I440" s="314" t="s">
        <v>108</v>
      </c>
      <c r="J440" s="314" t="s">
        <v>120</v>
      </c>
      <c r="K440" s="314">
        <v>50000</v>
      </c>
      <c r="L440" s="314">
        <v>0</v>
      </c>
      <c r="M440" s="315">
        <v>45145.7435763889</v>
      </c>
      <c r="N440" s="314" t="s">
        <v>1753</v>
      </c>
      <c r="O440" s="314" t="s">
        <v>1152</v>
      </c>
      <c r="P440" s="314" t="s">
        <v>112</v>
      </c>
      <c r="Q440" s="315">
        <v>45145.7513310185</v>
      </c>
      <c r="R440" s="315">
        <v>45145.7558449074</v>
      </c>
      <c r="S440" s="314" t="s">
        <v>1753</v>
      </c>
      <c r="T440" s="314" t="s">
        <v>124</v>
      </c>
      <c r="U440" s="314" t="s">
        <v>124</v>
      </c>
      <c r="V440" s="314" t="s">
        <v>114</v>
      </c>
      <c r="W440" s="314"/>
      <c r="X440" s="314" t="e">
        <f>VLOOKUP(D440,代理总表!A:D,3,0)</f>
        <v>#N/A</v>
      </c>
      <c r="Y440" t="e">
        <f>VLOOKUP(D:D,代理总表!A:D,4,FALSE)</f>
        <v>#N/A</v>
      </c>
      <c r="Z440">
        <f t="shared" si="18"/>
        <v>1</v>
      </c>
      <c r="AA440">
        <f t="shared" si="19"/>
        <v>17</v>
      </c>
      <c r="AB440">
        <f t="shared" si="20"/>
        <v>1</v>
      </c>
    </row>
    <row r="441" spans="1:28">
      <c r="A441" s="314" t="s">
        <v>1754</v>
      </c>
      <c r="B441" s="314"/>
      <c r="C441" s="314">
        <v>15395773581</v>
      </c>
      <c r="D441" s="314" t="s">
        <v>1755</v>
      </c>
      <c r="E441" s="314" t="s">
        <v>104</v>
      </c>
      <c r="F441" s="314" t="s">
        <v>118</v>
      </c>
      <c r="G441" s="314" t="s">
        <v>108</v>
      </c>
      <c r="H441" s="314" t="s">
        <v>119</v>
      </c>
      <c r="I441" s="314" t="s">
        <v>108</v>
      </c>
      <c r="J441" s="314" t="s">
        <v>109</v>
      </c>
      <c r="K441" s="314">
        <v>0</v>
      </c>
      <c r="L441" s="314">
        <v>0</v>
      </c>
      <c r="M441" s="315">
        <v>45145.7431481481</v>
      </c>
      <c r="N441" s="314" t="s">
        <v>1756</v>
      </c>
      <c r="O441" s="314" t="s">
        <v>1757</v>
      </c>
      <c r="P441" s="314" t="s">
        <v>112</v>
      </c>
      <c r="Q441" s="314" t="s">
        <v>123</v>
      </c>
      <c r="R441" s="315">
        <v>45145.81375</v>
      </c>
      <c r="S441" s="314" t="s">
        <v>1756</v>
      </c>
      <c r="T441" s="314" t="s">
        <v>1758</v>
      </c>
      <c r="U441" s="314" t="s">
        <v>1758</v>
      </c>
      <c r="V441" s="314" t="s">
        <v>114</v>
      </c>
      <c r="W441" s="314"/>
      <c r="X441" s="314" t="str">
        <f>VLOOKUP(D441,代理总表!A:D,3,0)</f>
        <v>斌哥</v>
      </c>
      <c r="Y441" t="str">
        <f>VLOOKUP(D:D,代理总表!A:D,4,FALSE)</f>
        <v>斌哥btydl0001</v>
      </c>
      <c r="Z441">
        <f t="shared" si="18"/>
        <v>0</v>
      </c>
      <c r="AA441">
        <f t="shared" si="19"/>
        <v>17</v>
      </c>
      <c r="AB441">
        <f t="shared" si="20"/>
        <v>1</v>
      </c>
    </row>
    <row r="442" spans="1:28">
      <c r="A442" s="314" t="s">
        <v>1759</v>
      </c>
      <c r="B442" s="314"/>
      <c r="C442" s="314"/>
      <c r="D442" s="314" t="s">
        <v>143</v>
      </c>
      <c r="E442" s="314" t="s">
        <v>117</v>
      </c>
      <c r="F442" s="314" t="s">
        <v>118</v>
      </c>
      <c r="G442" s="314" t="s">
        <v>108</v>
      </c>
      <c r="H442" s="314" t="s">
        <v>119</v>
      </c>
      <c r="I442" s="314" t="s">
        <v>108</v>
      </c>
      <c r="J442" s="314" t="s">
        <v>120</v>
      </c>
      <c r="K442" s="314">
        <v>0</v>
      </c>
      <c r="L442" s="314">
        <v>0</v>
      </c>
      <c r="M442" s="315">
        <v>45145.7418055556</v>
      </c>
      <c r="N442" s="314" t="s">
        <v>1760</v>
      </c>
      <c r="O442" s="314" t="s">
        <v>502</v>
      </c>
      <c r="P442" s="314" t="s">
        <v>339</v>
      </c>
      <c r="Q442" s="314" t="s">
        <v>123</v>
      </c>
      <c r="R442" s="315">
        <v>45145.7418055556</v>
      </c>
      <c r="S442" s="314" t="s">
        <v>1760</v>
      </c>
      <c r="T442" s="314" t="s">
        <v>520</v>
      </c>
      <c r="U442" s="314" t="s">
        <v>520</v>
      </c>
      <c r="V442" s="314" t="s">
        <v>114</v>
      </c>
      <c r="W442" s="314"/>
      <c r="X442" s="314" t="str">
        <f>VLOOKUP(D442,代理总表!A:D,3,0)</f>
        <v>雨燕直播-越</v>
      </c>
      <c r="Y442" t="str">
        <f>VLOOKUP(D:D,代理总表!A:D,4,FALSE)</f>
        <v>雨燕直播-越ffvn66</v>
      </c>
      <c r="Z442">
        <f t="shared" si="18"/>
        <v>0</v>
      </c>
      <c r="AA442">
        <f t="shared" si="19"/>
        <v>17</v>
      </c>
      <c r="AB442">
        <f t="shared" si="20"/>
        <v>1</v>
      </c>
    </row>
    <row r="443" spans="1:28">
      <c r="A443" s="314" t="s">
        <v>1761</v>
      </c>
      <c r="B443" s="314"/>
      <c r="C443" s="314"/>
      <c r="D443" s="314" t="s">
        <v>394</v>
      </c>
      <c r="E443" s="314" t="s">
        <v>117</v>
      </c>
      <c r="F443" s="314" t="s">
        <v>118</v>
      </c>
      <c r="G443" s="314" t="s">
        <v>108</v>
      </c>
      <c r="H443" s="314" t="s">
        <v>119</v>
      </c>
      <c r="I443" s="314" t="s">
        <v>108</v>
      </c>
      <c r="J443" s="314" t="s">
        <v>120</v>
      </c>
      <c r="K443" s="314">
        <v>0</v>
      </c>
      <c r="L443" s="314">
        <v>0</v>
      </c>
      <c r="M443" s="315">
        <v>45145.7414467593</v>
      </c>
      <c r="N443" s="314" t="s">
        <v>1762</v>
      </c>
      <c r="O443" s="314" t="s">
        <v>396</v>
      </c>
      <c r="P443" s="314" t="s">
        <v>112</v>
      </c>
      <c r="Q443" s="314" t="s">
        <v>123</v>
      </c>
      <c r="R443" s="315">
        <v>45145.7414351852</v>
      </c>
      <c r="S443" s="314" t="s">
        <v>1762</v>
      </c>
      <c r="T443" s="314" t="s">
        <v>233</v>
      </c>
      <c r="U443" s="314" t="s">
        <v>233</v>
      </c>
      <c r="V443" s="314" t="s">
        <v>114</v>
      </c>
      <c r="W443" s="314"/>
      <c r="X443" s="314" t="str">
        <f>VLOOKUP(D443,代理总表!A:D,3,0)</f>
        <v>外部代理总线</v>
      </c>
      <c r="Y443" t="str">
        <f>VLOOKUP(D:D,代理总表!A:D,4,FALSE)</f>
        <v>外部代理总线zh0808</v>
      </c>
      <c r="Z443">
        <f t="shared" si="18"/>
        <v>0</v>
      </c>
      <c r="AA443">
        <f t="shared" si="19"/>
        <v>17</v>
      </c>
      <c r="AB443">
        <f t="shared" si="20"/>
        <v>1</v>
      </c>
    </row>
    <row r="444" spans="1:28">
      <c r="A444" s="314" t="s">
        <v>1763</v>
      </c>
      <c r="B444" s="314"/>
      <c r="C444" s="314"/>
      <c r="D444" s="314" t="s">
        <v>1737</v>
      </c>
      <c r="E444" s="314" t="s">
        <v>104</v>
      </c>
      <c r="F444" s="314" t="s">
        <v>149</v>
      </c>
      <c r="G444" s="314" t="s">
        <v>108</v>
      </c>
      <c r="H444" s="314" t="s">
        <v>119</v>
      </c>
      <c r="I444" s="314" t="s">
        <v>108</v>
      </c>
      <c r="J444" s="314" t="s">
        <v>109</v>
      </c>
      <c r="K444" s="314">
        <v>0</v>
      </c>
      <c r="L444" s="314">
        <v>0</v>
      </c>
      <c r="M444" s="315">
        <v>45145.74125</v>
      </c>
      <c r="N444" s="314" t="s">
        <v>1738</v>
      </c>
      <c r="O444" s="314" t="s">
        <v>1519</v>
      </c>
      <c r="P444" s="314" t="s">
        <v>112</v>
      </c>
      <c r="Q444" s="314" t="s">
        <v>123</v>
      </c>
      <c r="R444" s="315">
        <v>45145.74125</v>
      </c>
      <c r="S444" s="314" t="s">
        <v>1738</v>
      </c>
      <c r="T444" s="314" t="s">
        <v>736</v>
      </c>
      <c r="U444" s="314" t="s">
        <v>736</v>
      </c>
      <c r="V444" s="314" t="s">
        <v>114</v>
      </c>
      <c r="W444" s="314"/>
      <c r="X444" s="314" t="str">
        <f>VLOOKUP(D444,代理总表!A:D,3,0)</f>
        <v>Admin邀请</v>
      </c>
      <c r="Y444" t="str">
        <f>VLOOKUP(D:D,代理总表!A:D,4,FALSE)</f>
        <v>官网</v>
      </c>
      <c r="Z444">
        <f t="shared" si="18"/>
        <v>0</v>
      </c>
      <c r="AA444">
        <f t="shared" si="19"/>
        <v>17</v>
      </c>
      <c r="AB444">
        <f t="shared" si="20"/>
        <v>1</v>
      </c>
    </row>
    <row r="445" spans="1:28">
      <c r="A445" s="314" t="s">
        <v>1764</v>
      </c>
      <c r="B445" s="314" t="s">
        <v>1765</v>
      </c>
      <c r="C445" s="314">
        <v>586870908</v>
      </c>
      <c r="D445" s="314" t="s">
        <v>197</v>
      </c>
      <c r="E445" s="314" t="s">
        <v>117</v>
      </c>
      <c r="F445" s="314" t="s">
        <v>144</v>
      </c>
      <c r="G445" s="314" t="s">
        <v>106</v>
      </c>
      <c r="H445" s="314" t="s">
        <v>107</v>
      </c>
      <c r="I445" s="314" t="s">
        <v>108</v>
      </c>
      <c r="J445" s="314" t="s">
        <v>120</v>
      </c>
      <c r="K445" s="314">
        <v>960</v>
      </c>
      <c r="L445" s="314">
        <v>98000</v>
      </c>
      <c r="M445" s="315">
        <v>45145.7411342593</v>
      </c>
      <c r="N445" s="314" t="s">
        <v>1766</v>
      </c>
      <c r="O445" s="314" t="s">
        <v>875</v>
      </c>
      <c r="P445" s="314" t="s">
        <v>112</v>
      </c>
      <c r="Q445" s="315">
        <v>45145.7435763889</v>
      </c>
      <c r="R445" s="315">
        <v>45145.7411342593</v>
      </c>
      <c r="S445" s="314" t="s">
        <v>1766</v>
      </c>
      <c r="T445" s="314" t="s">
        <v>131</v>
      </c>
      <c r="U445" s="314" t="s">
        <v>131</v>
      </c>
      <c r="V445" s="314" t="s">
        <v>114</v>
      </c>
      <c r="W445" s="314"/>
      <c r="X445" s="314" t="str">
        <f>VLOOKUP(D445,代理总表!A:D,3,0)</f>
        <v>雨燕直播-越</v>
      </c>
      <c r="Y445" t="str">
        <f>VLOOKUP(D:D,代理总表!A:D,4,FALSE)</f>
        <v>雨燕直播-越ffvn66</v>
      </c>
      <c r="Z445">
        <f t="shared" si="18"/>
        <v>1</v>
      </c>
      <c r="AA445">
        <f t="shared" si="19"/>
        <v>17</v>
      </c>
      <c r="AB445">
        <f t="shared" si="20"/>
        <v>1</v>
      </c>
    </row>
    <row r="446" spans="1:28">
      <c r="A446" s="314" t="s">
        <v>1767</v>
      </c>
      <c r="B446" s="314" t="s">
        <v>1768</v>
      </c>
      <c r="C446" s="314">
        <v>15219469116</v>
      </c>
      <c r="D446" s="314" t="s">
        <v>205</v>
      </c>
      <c r="E446" s="314" t="s">
        <v>104</v>
      </c>
      <c r="F446" s="314" t="s">
        <v>149</v>
      </c>
      <c r="G446" s="314" t="s">
        <v>108</v>
      </c>
      <c r="H446" s="314" t="s">
        <v>119</v>
      </c>
      <c r="I446" s="314" t="s">
        <v>108</v>
      </c>
      <c r="J446" s="314" t="s">
        <v>109</v>
      </c>
      <c r="K446" s="314">
        <v>0</v>
      </c>
      <c r="L446" s="314">
        <v>0</v>
      </c>
      <c r="M446" s="315">
        <v>45145.7402662037</v>
      </c>
      <c r="N446" s="314" t="s">
        <v>1769</v>
      </c>
      <c r="O446" s="314" t="s">
        <v>207</v>
      </c>
      <c r="P446" s="314" t="s">
        <v>161</v>
      </c>
      <c r="Q446" s="314" t="s">
        <v>123</v>
      </c>
      <c r="R446" s="315">
        <v>45145.7463310185</v>
      </c>
      <c r="S446" s="314" t="s">
        <v>1770</v>
      </c>
      <c r="T446" s="314" t="s">
        <v>946</v>
      </c>
      <c r="U446" s="314" t="s">
        <v>946</v>
      </c>
      <c r="V446" s="314" t="s">
        <v>114</v>
      </c>
      <c r="W446" s="314"/>
      <c r="X446" s="314" t="str">
        <f>VLOOKUP(D446,代理总表!A:D,3,0)</f>
        <v>ben</v>
      </c>
      <c r="Y446" t="str">
        <f>VLOOKUP(D:D,代理总表!A:D,4,FALSE)</f>
        <v>SEO</v>
      </c>
      <c r="Z446">
        <f t="shared" si="18"/>
        <v>0</v>
      </c>
      <c r="AA446">
        <f t="shared" si="19"/>
        <v>17</v>
      </c>
      <c r="AB446">
        <f t="shared" si="20"/>
        <v>1</v>
      </c>
    </row>
    <row r="447" spans="1:28">
      <c r="A447" s="314" t="s">
        <v>1771</v>
      </c>
      <c r="B447" s="314"/>
      <c r="C447" s="314">
        <v>13736633351</v>
      </c>
      <c r="D447" s="314" t="s">
        <v>154</v>
      </c>
      <c r="E447" s="314" t="s">
        <v>104</v>
      </c>
      <c r="F447" s="314" t="s">
        <v>149</v>
      </c>
      <c r="G447" s="314" t="s">
        <v>108</v>
      </c>
      <c r="H447" s="314" t="s">
        <v>119</v>
      </c>
      <c r="I447" s="314" t="s">
        <v>108</v>
      </c>
      <c r="J447" s="314" t="s">
        <v>109</v>
      </c>
      <c r="K447" s="314">
        <v>0</v>
      </c>
      <c r="L447" s="314">
        <v>0</v>
      </c>
      <c r="M447" s="315">
        <v>45145.740162037</v>
      </c>
      <c r="N447" s="314" t="s">
        <v>1772</v>
      </c>
      <c r="O447" s="314" t="s">
        <v>323</v>
      </c>
      <c r="P447" s="314" t="s">
        <v>208</v>
      </c>
      <c r="Q447" s="314" t="s">
        <v>123</v>
      </c>
      <c r="R447" s="315">
        <v>45145.740162037</v>
      </c>
      <c r="S447" s="314" t="s">
        <v>1772</v>
      </c>
      <c r="T447" s="314" t="s">
        <v>808</v>
      </c>
      <c r="U447" s="314" t="s">
        <v>808</v>
      </c>
      <c r="V447" s="314" t="s">
        <v>114</v>
      </c>
      <c r="W447" s="314"/>
      <c r="X447" s="314" t="str">
        <f>VLOOKUP(D447,代理总表!A:D,3,0)</f>
        <v>max</v>
      </c>
      <c r="Y447" t="str">
        <f>VLOOKUP(D:D,代理总表!A:D,4,FALSE)</f>
        <v>SEO</v>
      </c>
      <c r="Z447">
        <f t="shared" si="18"/>
        <v>0</v>
      </c>
      <c r="AA447">
        <f t="shared" si="19"/>
        <v>17</v>
      </c>
      <c r="AB447">
        <f t="shared" si="20"/>
        <v>1</v>
      </c>
    </row>
    <row r="448" spans="1:28">
      <c r="A448" s="314" t="s">
        <v>1773</v>
      </c>
      <c r="B448" s="314" t="s">
        <v>1774</v>
      </c>
      <c r="C448" s="314">
        <v>18509955385</v>
      </c>
      <c r="D448" s="314" t="s">
        <v>805</v>
      </c>
      <c r="E448" s="314" t="s">
        <v>104</v>
      </c>
      <c r="F448" s="314" t="s">
        <v>144</v>
      </c>
      <c r="G448" s="314" t="s">
        <v>106</v>
      </c>
      <c r="H448" s="314" t="s">
        <v>107</v>
      </c>
      <c r="I448" s="314" t="s">
        <v>108</v>
      </c>
      <c r="J448" s="314" t="s">
        <v>109</v>
      </c>
      <c r="K448" s="314">
        <v>100.43</v>
      </c>
      <c r="L448" s="314">
        <v>110</v>
      </c>
      <c r="M448" s="315">
        <v>45145.7384490741</v>
      </c>
      <c r="N448" s="314" t="s">
        <v>1775</v>
      </c>
      <c r="O448" s="314" t="s">
        <v>1222</v>
      </c>
      <c r="P448" s="314" t="s">
        <v>339</v>
      </c>
      <c r="Q448" s="315">
        <v>45145.7525578704</v>
      </c>
      <c r="R448" s="315">
        <v>45146.3255092593</v>
      </c>
      <c r="S448" s="314" t="s">
        <v>1775</v>
      </c>
      <c r="T448" s="314" t="s">
        <v>1776</v>
      </c>
      <c r="U448" s="314" t="s">
        <v>1776</v>
      </c>
      <c r="V448" s="314" t="s">
        <v>114</v>
      </c>
      <c r="W448" s="314"/>
      <c r="X448" s="314" t="str">
        <f>VLOOKUP(D448,代理总表!A:D,3,0)</f>
        <v>飞哥雨燕直播</v>
      </c>
      <c r="Y448" t="str">
        <f>VLOOKUP(D:D,代理总表!A:D,4,FALSE)</f>
        <v>飞哥雨燕直播ffmk88</v>
      </c>
      <c r="Z448">
        <f t="shared" si="18"/>
        <v>1</v>
      </c>
      <c r="AA448">
        <f t="shared" si="19"/>
        <v>17</v>
      </c>
      <c r="AB448">
        <f t="shared" si="20"/>
        <v>1</v>
      </c>
    </row>
    <row r="449" spans="1:28">
      <c r="A449" s="314" t="s">
        <v>1777</v>
      </c>
      <c r="B449" s="314"/>
      <c r="C449" s="314">
        <v>13430555706</v>
      </c>
      <c r="D449" s="314" t="s">
        <v>235</v>
      </c>
      <c r="E449" s="314" t="s">
        <v>104</v>
      </c>
      <c r="F449" s="314" t="s">
        <v>149</v>
      </c>
      <c r="G449" s="314" t="s">
        <v>108</v>
      </c>
      <c r="H449" s="314" t="s">
        <v>119</v>
      </c>
      <c r="I449" s="314" t="s">
        <v>108</v>
      </c>
      <c r="J449" s="314" t="s">
        <v>109</v>
      </c>
      <c r="K449" s="314">
        <v>0</v>
      </c>
      <c r="L449" s="314">
        <v>0</v>
      </c>
      <c r="M449" s="315">
        <v>45145.7379398148</v>
      </c>
      <c r="N449" s="314" t="s">
        <v>1778</v>
      </c>
      <c r="O449" s="314" t="s">
        <v>237</v>
      </c>
      <c r="P449" s="314" t="s">
        <v>112</v>
      </c>
      <c r="Q449" s="314" t="s">
        <v>123</v>
      </c>
      <c r="R449" s="315">
        <v>45145.7390740741</v>
      </c>
      <c r="S449" s="314" t="s">
        <v>1778</v>
      </c>
      <c r="T449" s="314" t="s">
        <v>1779</v>
      </c>
      <c r="U449" s="314" t="s">
        <v>1779</v>
      </c>
      <c r="V449" s="314" t="s">
        <v>114</v>
      </c>
      <c r="W449" s="314"/>
      <c r="X449" s="314" t="str">
        <f>VLOOKUP(D449,代理总表!A:D,3,0)</f>
        <v>aber</v>
      </c>
      <c r="Y449" t="str">
        <f>VLOOKUP(D:D,代理总表!A:D,4,FALSE)</f>
        <v>SEO</v>
      </c>
      <c r="Z449">
        <f t="shared" si="18"/>
        <v>0</v>
      </c>
      <c r="AA449">
        <f t="shared" si="19"/>
        <v>17</v>
      </c>
      <c r="AB449">
        <f t="shared" si="20"/>
        <v>1</v>
      </c>
    </row>
    <row r="450" spans="1:28">
      <c r="A450" s="314" t="s">
        <v>1780</v>
      </c>
      <c r="B450" s="314"/>
      <c r="C450" s="314"/>
      <c r="D450" s="314" t="s">
        <v>143</v>
      </c>
      <c r="E450" s="314" t="s">
        <v>117</v>
      </c>
      <c r="F450" s="314" t="s">
        <v>118</v>
      </c>
      <c r="G450" s="314" t="s">
        <v>108</v>
      </c>
      <c r="H450" s="314" t="s">
        <v>119</v>
      </c>
      <c r="I450" s="314" t="s">
        <v>108</v>
      </c>
      <c r="J450" s="314" t="s">
        <v>120</v>
      </c>
      <c r="K450" s="314">
        <v>0</v>
      </c>
      <c r="L450" s="314">
        <v>0</v>
      </c>
      <c r="M450" s="315">
        <v>45145.7379398148</v>
      </c>
      <c r="N450" s="314" t="s">
        <v>1781</v>
      </c>
      <c r="O450" s="314" t="s">
        <v>502</v>
      </c>
      <c r="P450" s="314" t="s">
        <v>339</v>
      </c>
      <c r="Q450" s="314" t="s">
        <v>123</v>
      </c>
      <c r="R450" s="315">
        <v>45145.7379398148</v>
      </c>
      <c r="S450" s="314" t="s">
        <v>1781</v>
      </c>
      <c r="T450" s="314" t="s">
        <v>131</v>
      </c>
      <c r="U450" s="314" t="s">
        <v>131</v>
      </c>
      <c r="V450" s="314" t="s">
        <v>114</v>
      </c>
      <c r="W450" s="314"/>
      <c r="X450" s="314" t="str">
        <f>VLOOKUP(D450,代理总表!A:D,3,0)</f>
        <v>雨燕直播-越</v>
      </c>
      <c r="Y450" t="str">
        <f>VLOOKUP(D:D,代理总表!A:D,4,FALSE)</f>
        <v>雨燕直播-越ffvn66</v>
      </c>
      <c r="Z450">
        <f t="shared" si="18"/>
        <v>0</v>
      </c>
      <c r="AA450">
        <f t="shared" si="19"/>
        <v>17</v>
      </c>
      <c r="AB450">
        <f t="shared" si="20"/>
        <v>1</v>
      </c>
    </row>
    <row r="451" spans="1:28">
      <c r="A451" s="314" t="s">
        <v>1782</v>
      </c>
      <c r="B451" s="314"/>
      <c r="C451" s="314"/>
      <c r="D451" s="314" t="s">
        <v>1062</v>
      </c>
      <c r="E451" s="314" t="s">
        <v>117</v>
      </c>
      <c r="F451" s="314" t="s">
        <v>118</v>
      </c>
      <c r="G451" s="314" t="s">
        <v>108</v>
      </c>
      <c r="H451" s="314" t="s">
        <v>119</v>
      </c>
      <c r="I451" s="314" t="s">
        <v>108</v>
      </c>
      <c r="J451" s="314" t="s">
        <v>120</v>
      </c>
      <c r="K451" s="314">
        <v>0</v>
      </c>
      <c r="L451" s="314">
        <v>0</v>
      </c>
      <c r="M451" s="315">
        <v>45145.7373032407</v>
      </c>
      <c r="N451" s="314" t="s">
        <v>1783</v>
      </c>
      <c r="O451" s="314" t="s">
        <v>1064</v>
      </c>
      <c r="P451" s="314" t="s">
        <v>112</v>
      </c>
      <c r="Q451" s="314" t="s">
        <v>123</v>
      </c>
      <c r="R451" s="315">
        <v>45145.9355902778</v>
      </c>
      <c r="S451" s="314" t="s">
        <v>1783</v>
      </c>
      <c r="T451" s="314" t="s">
        <v>1784</v>
      </c>
      <c r="U451" s="314" t="s">
        <v>1784</v>
      </c>
      <c r="V451" s="314" t="s">
        <v>114</v>
      </c>
      <c r="W451" s="314"/>
      <c r="X451" s="314" t="str">
        <f>VLOOKUP(D451,代理总表!A:D,3,0)</f>
        <v>外代-越</v>
      </c>
      <c r="Y451" t="str">
        <f>VLOOKUP(D:D,代理总表!A:D,4,FALSE)</f>
        <v>外代-越btydl072</v>
      </c>
      <c r="Z451">
        <f t="shared" ref="Z451:Z514" si="21">IF(RIGHT(H451,1)&gt;"0",1,0)</f>
        <v>0</v>
      </c>
      <c r="AA451">
        <f t="shared" ref="AA451:AA514" si="22">HOUR(M451)</f>
        <v>17</v>
      </c>
      <c r="AB451">
        <f t="shared" ref="AB451:AB514" si="23">IF(AE451=AF451,1,0)</f>
        <v>1</v>
      </c>
    </row>
    <row r="452" spans="1:28">
      <c r="A452" s="314" t="s">
        <v>1785</v>
      </c>
      <c r="B452" s="314"/>
      <c r="C452" s="314"/>
      <c r="D452" s="314" t="s">
        <v>276</v>
      </c>
      <c r="E452" s="314" t="s">
        <v>104</v>
      </c>
      <c r="F452" s="314" t="s">
        <v>118</v>
      </c>
      <c r="G452" s="314" t="s">
        <v>108</v>
      </c>
      <c r="H452" s="314" t="s">
        <v>119</v>
      </c>
      <c r="I452" s="314" t="s">
        <v>108</v>
      </c>
      <c r="J452" s="314" t="s">
        <v>109</v>
      </c>
      <c r="K452" s="314">
        <v>0</v>
      </c>
      <c r="L452" s="314">
        <v>0</v>
      </c>
      <c r="M452" s="315">
        <v>45145.7366435185</v>
      </c>
      <c r="N452" s="314" t="s">
        <v>1786</v>
      </c>
      <c r="O452" s="314" t="s">
        <v>1002</v>
      </c>
      <c r="P452" s="314" t="s">
        <v>112</v>
      </c>
      <c r="Q452" s="314" t="s">
        <v>123</v>
      </c>
      <c r="R452" s="315">
        <v>45145.7366319444</v>
      </c>
      <c r="S452" s="314" t="s">
        <v>1786</v>
      </c>
      <c r="T452" s="314" t="s">
        <v>307</v>
      </c>
      <c r="U452" s="314" t="s">
        <v>307</v>
      </c>
      <c r="V452" s="314" t="s">
        <v>114</v>
      </c>
      <c r="W452" s="314"/>
      <c r="X452" s="314" t="str">
        <f>VLOOKUP(D452,代理总表!A:D,3,0)</f>
        <v>飞哥雨燕直播</v>
      </c>
      <c r="Y452" t="str">
        <f>VLOOKUP(D:D,代理总表!A:D,4,FALSE)</f>
        <v>飞哥雨燕直播ffmk88</v>
      </c>
      <c r="Z452">
        <f t="shared" si="21"/>
        <v>0</v>
      </c>
      <c r="AA452">
        <f t="shared" si="22"/>
        <v>17</v>
      </c>
      <c r="AB452">
        <f t="shared" si="23"/>
        <v>1</v>
      </c>
    </row>
    <row r="453" spans="1:28">
      <c r="A453" s="314" t="s">
        <v>1787</v>
      </c>
      <c r="B453" s="314" t="s">
        <v>1788</v>
      </c>
      <c r="C453" s="314">
        <v>983400990</v>
      </c>
      <c r="D453" s="314" t="s">
        <v>197</v>
      </c>
      <c r="E453" s="314" t="s">
        <v>117</v>
      </c>
      <c r="F453" s="314" t="s">
        <v>144</v>
      </c>
      <c r="G453" s="314" t="s">
        <v>106</v>
      </c>
      <c r="H453" s="314" t="s">
        <v>107</v>
      </c>
      <c r="I453" s="314" t="s">
        <v>108</v>
      </c>
      <c r="J453" s="314" t="s">
        <v>120</v>
      </c>
      <c r="K453" s="314">
        <v>100000</v>
      </c>
      <c r="L453" s="314">
        <v>0</v>
      </c>
      <c r="M453" s="315">
        <v>45145.7356712963</v>
      </c>
      <c r="N453" s="314" t="s">
        <v>1789</v>
      </c>
      <c r="O453" s="314" t="s">
        <v>875</v>
      </c>
      <c r="P453" s="314" t="s">
        <v>112</v>
      </c>
      <c r="Q453" s="315">
        <v>45145.7612037037</v>
      </c>
      <c r="R453" s="315">
        <v>45145.8914583333</v>
      </c>
      <c r="S453" s="314" t="s">
        <v>1789</v>
      </c>
      <c r="T453" s="314" t="s">
        <v>1790</v>
      </c>
      <c r="U453" s="314" t="s">
        <v>1790</v>
      </c>
      <c r="V453" s="314" t="s">
        <v>114</v>
      </c>
      <c r="W453" s="314"/>
      <c r="X453" s="314" t="str">
        <f>VLOOKUP(D453,代理总表!A:D,3,0)</f>
        <v>雨燕直播-越</v>
      </c>
      <c r="Y453" t="str">
        <f>VLOOKUP(D:D,代理总表!A:D,4,FALSE)</f>
        <v>雨燕直播-越ffvn66</v>
      </c>
      <c r="Z453">
        <f t="shared" si="21"/>
        <v>1</v>
      </c>
      <c r="AA453">
        <f t="shared" si="22"/>
        <v>17</v>
      </c>
      <c r="AB453">
        <f t="shared" si="23"/>
        <v>1</v>
      </c>
    </row>
    <row r="454" spans="1:28">
      <c r="A454" s="314" t="s">
        <v>1791</v>
      </c>
      <c r="B454" s="314" t="s">
        <v>1792</v>
      </c>
      <c r="C454" s="314">
        <v>708338148</v>
      </c>
      <c r="D454" s="314" t="s">
        <v>651</v>
      </c>
      <c r="E454" s="314" t="s">
        <v>117</v>
      </c>
      <c r="F454" s="314" t="s">
        <v>118</v>
      </c>
      <c r="G454" s="314" t="s">
        <v>108</v>
      </c>
      <c r="H454" s="314" t="s">
        <v>119</v>
      </c>
      <c r="I454" s="314" t="s">
        <v>108</v>
      </c>
      <c r="J454" s="314" t="s">
        <v>120</v>
      </c>
      <c r="K454" s="314">
        <v>0</v>
      </c>
      <c r="L454" s="314">
        <v>0</v>
      </c>
      <c r="M454" s="315">
        <v>45145.7350578704</v>
      </c>
      <c r="N454" s="314" t="s">
        <v>1793</v>
      </c>
      <c r="O454" s="314" t="s">
        <v>1794</v>
      </c>
      <c r="P454" s="314" t="s">
        <v>339</v>
      </c>
      <c r="Q454" s="314" t="s">
        <v>123</v>
      </c>
      <c r="R454" s="315">
        <v>45145.7350462963</v>
      </c>
      <c r="S454" s="314" t="s">
        <v>1793</v>
      </c>
      <c r="T454" s="314" t="s">
        <v>131</v>
      </c>
      <c r="U454" s="314" t="s">
        <v>131</v>
      </c>
      <c r="V454" s="314" t="s">
        <v>114</v>
      </c>
      <c r="W454" s="314"/>
      <c r="X454" s="314" t="str">
        <f>VLOOKUP(D454,代理总表!A:D,3,0)</f>
        <v>雨燕直播-越</v>
      </c>
      <c r="Y454" t="str">
        <f>VLOOKUP(D:D,代理总表!A:D,4,FALSE)</f>
        <v>雨燕直播-越ffvn66</v>
      </c>
      <c r="Z454">
        <f t="shared" si="21"/>
        <v>0</v>
      </c>
      <c r="AA454">
        <f t="shared" si="22"/>
        <v>17</v>
      </c>
      <c r="AB454">
        <f t="shared" si="23"/>
        <v>1</v>
      </c>
    </row>
    <row r="455" spans="1:28">
      <c r="A455" s="314" t="s">
        <v>1795</v>
      </c>
      <c r="B455" s="314" t="s">
        <v>1796</v>
      </c>
      <c r="C455" s="314">
        <v>905156946</v>
      </c>
      <c r="D455" s="314" t="s">
        <v>143</v>
      </c>
      <c r="E455" s="314" t="s">
        <v>117</v>
      </c>
      <c r="F455" s="314" t="s">
        <v>144</v>
      </c>
      <c r="G455" s="314" t="s">
        <v>106</v>
      </c>
      <c r="H455" s="314" t="s">
        <v>107</v>
      </c>
      <c r="I455" s="314" t="s">
        <v>108</v>
      </c>
      <c r="J455" s="314" t="s">
        <v>120</v>
      </c>
      <c r="K455" s="314">
        <v>120000</v>
      </c>
      <c r="L455" s="314">
        <v>1300000</v>
      </c>
      <c r="M455" s="315">
        <v>45145.7328240741</v>
      </c>
      <c r="N455" s="314" t="s">
        <v>1797</v>
      </c>
      <c r="O455" s="314" t="s">
        <v>407</v>
      </c>
      <c r="P455" s="314" t="s">
        <v>112</v>
      </c>
      <c r="Q455" s="315">
        <v>45145.7379398148</v>
      </c>
      <c r="R455" s="315">
        <v>45145.7676736111</v>
      </c>
      <c r="S455" s="314" t="s">
        <v>1797</v>
      </c>
      <c r="T455" s="314" t="s">
        <v>177</v>
      </c>
      <c r="U455" s="314" t="s">
        <v>177</v>
      </c>
      <c r="V455" s="314" t="s">
        <v>114</v>
      </c>
      <c r="W455" s="314"/>
      <c r="X455" s="314" t="str">
        <f>VLOOKUP(D455,代理总表!A:D,3,0)</f>
        <v>雨燕直播-越</v>
      </c>
      <c r="Y455" t="str">
        <f>VLOOKUP(D:D,代理总表!A:D,4,FALSE)</f>
        <v>雨燕直播-越ffvn66</v>
      </c>
      <c r="Z455">
        <f t="shared" si="21"/>
        <v>1</v>
      </c>
      <c r="AA455">
        <f t="shared" si="22"/>
        <v>17</v>
      </c>
      <c r="AB455">
        <f t="shared" si="23"/>
        <v>1</v>
      </c>
    </row>
    <row r="456" spans="1:28">
      <c r="A456" s="314" t="s">
        <v>1798</v>
      </c>
      <c r="B456" s="314" t="s">
        <v>1799</v>
      </c>
      <c r="C456" s="314">
        <v>18536992333</v>
      </c>
      <c r="D456" s="314" t="s">
        <v>148</v>
      </c>
      <c r="E456" s="314" t="s">
        <v>104</v>
      </c>
      <c r="F456" s="314" t="s">
        <v>181</v>
      </c>
      <c r="G456" s="314" t="s">
        <v>106</v>
      </c>
      <c r="H456" s="314" t="s">
        <v>107</v>
      </c>
      <c r="I456" s="314" t="s">
        <v>108</v>
      </c>
      <c r="J456" s="314" t="s">
        <v>109</v>
      </c>
      <c r="K456" s="314">
        <v>20.79</v>
      </c>
      <c r="L456" s="314">
        <v>100</v>
      </c>
      <c r="M456" s="315">
        <v>45145.7324189815</v>
      </c>
      <c r="N456" s="314" t="s">
        <v>1800</v>
      </c>
      <c r="O456" s="314" t="s">
        <v>585</v>
      </c>
      <c r="P456" s="314" t="s">
        <v>112</v>
      </c>
      <c r="Q456" s="315">
        <v>45145.7505555556</v>
      </c>
      <c r="R456" s="315">
        <v>45145.7923611111</v>
      </c>
      <c r="S456" s="314" t="s">
        <v>1800</v>
      </c>
      <c r="T456" s="314" t="s">
        <v>1801</v>
      </c>
      <c r="U456" s="314" t="s">
        <v>1801</v>
      </c>
      <c r="V456" s="314" t="s">
        <v>114</v>
      </c>
      <c r="W456" s="314"/>
      <c r="X456" s="314" t="str">
        <f>VLOOKUP(D456,代理总表!A:D,3,0)</f>
        <v>martin</v>
      </c>
      <c r="Y456" t="str">
        <f>VLOOKUP(D:D,代理总表!A:D,4,FALSE)</f>
        <v>SEO</v>
      </c>
      <c r="Z456">
        <f t="shared" si="21"/>
        <v>1</v>
      </c>
      <c r="AA456">
        <f t="shared" si="22"/>
        <v>17</v>
      </c>
      <c r="AB456">
        <f t="shared" si="23"/>
        <v>1</v>
      </c>
    </row>
    <row r="457" spans="1:28">
      <c r="A457" s="314" t="s">
        <v>1802</v>
      </c>
      <c r="B457" s="314" t="s">
        <v>1803</v>
      </c>
      <c r="C457" s="314">
        <v>379108547</v>
      </c>
      <c r="D457" s="314" t="s">
        <v>1395</v>
      </c>
      <c r="E457" s="314" t="s">
        <v>117</v>
      </c>
      <c r="F457" s="314" t="s">
        <v>118</v>
      </c>
      <c r="G457" s="314" t="s">
        <v>108</v>
      </c>
      <c r="H457" s="314" t="s">
        <v>119</v>
      </c>
      <c r="I457" s="314" t="s">
        <v>108</v>
      </c>
      <c r="J457" s="314" t="s">
        <v>120</v>
      </c>
      <c r="K457" s="314">
        <v>0</v>
      </c>
      <c r="L457" s="314">
        <v>0</v>
      </c>
      <c r="M457" s="315">
        <v>45145.732337963</v>
      </c>
      <c r="N457" s="314" t="s">
        <v>1804</v>
      </c>
      <c r="O457" s="314" t="s">
        <v>1397</v>
      </c>
      <c r="P457" s="314" t="s">
        <v>112</v>
      </c>
      <c r="Q457" s="314" t="s">
        <v>123</v>
      </c>
      <c r="R457" s="315">
        <v>45145.7849305556</v>
      </c>
      <c r="S457" s="314" t="s">
        <v>1804</v>
      </c>
      <c r="T457" s="314" t="s">
        <v>131</v>
      </c>
      <c r="U457" s="314" t="s">
        <v>131</v>
      </c>
      <c r="V457" s="314" t="s">
        <v>114</v>
      </c>
      <c r="W457" s="314"/>
      <c r="X457" s="314" t="str">
        <f>VLOOKUP(D457,代理总表!A:D,3,0)</f>
        <v>外代-越</v>
      </c>
      <c r="Y457" t="str">
        <f>VLOOKUP(D:D,代理总表!A:D,4,FALSE)</f>
        <v>外代-越btydl072</v>
      </c>
      <c r="Z457">
        <f t="shared" si="21"/>
        <v>0</v>
      </c>
      <c r="AA457">
        <f t="shared" si="22"/>
        <v>17</v>
      </c>
      <c r="AB457">
        <f t="shared" si="23"/>
        <v>1</v>
      </c>
    </row>
    <row r="458" spans="1:28">
      <c r="A458" s="314" t="s">
        <v>1805</v>
      </c>
      <c r="B458" s="314"/>
      <c r="C458" s="314">
        <v>17798446544</v>
      </c>
      <c r="D458" s="314" t="s">
        <v>294</v>
      </c>
      <c r="E458" s="314" t="s">
        <v>104</v>
      </c>
      <c r="F458" s="314" t="s">
        <v>149</v>
      </c>
      <c r="G458" s="314" t="s">
        <v>108</v>
      </c>
      <c r="H458" s="314" t="s">
        <v>119</v>
      </c>
      <c r="I458" s="314" t="s">
        <v>108</v>
      </c>
      <c r="J458" s="314" t="s">
        <v>109</v>
      </c>
      <c r="K458" s="314">
        <v>0</v>
      </c>
      <c r="L458" s="314">
        <v>0</v>
      </c>
      <c r="M458" s="315">
        <v>45145.7322569444</v>
      </c>
      <c r="N458" s="314" t="s">
        <v>1806</v>
      </c>
      <c r="O458" s="314" t="s">
        <v>297</v>
      </c>
      <c r="P458" s="314" t="s">
        <v>208</v>
      </c>
      <c r="Q458" s="314" t="s">
        <v>123</v>
      </c>
      <c r="R458" s="315">
        <v>45145.811712963</v>
      </c>
      <c r="S458" s="314" t="s">
        <v>1806</v>
      </c>
      <c r="T458" s="314" t="s">
        <v>1807</v>
      </c>
      <c r="U458" s="314" t="s">
        <v>1807</v>
      </c>
      <c r="V458" s="314" t="s">
        <v>114</v>
      </c>
      <c r="W458" s="314"/>
      <c r="X458" s="314" t="str">
        <f>VLOOKUP(D458,代理总表!A:D,3,0)</f>
        <v>DK</v>
      </c>
      <c r="Y458" t="str">
        <f>VLOOKUP(D:D,代理总表!A:D,4,FALSE)</f>
        <v>SEO</v>
      </c>
      <c r="Z458">
        <f t="shared" si="21"/>
        <v>0</v>
      </c>
      <c r="AA458">
        <f t="shared" si="22"/>
        <v>17</v>
      </c>
      <c r="AB458">
        <f t="shared" si="23"/>
        <v>1</v>
      </c>
    </row>
    <row r="459" spans="1:28">
      <c r="A459" s="314" t="s">
        <v>1808</v>
      </c>
      <c r="B459" s="314"/>
      <c r="C459" s="314"/>
      <c r="D459" s="314" t="s">
        <v>587</v>
      </c>
      <c r="E459" s="314" t="s">
        <v>104</v>
      </c>
      <c r="F459" s="314" t="s">
        <v>118</v>
      </c>
      <c r="G459" s="314" t="s">
        <v>108</v>
      </c>
      <c r="H459" s="314" t="s">
        <v>119</v>
      </c>
      <c r="I459" s="314" t="s">
        <v>108</v>
      </c>
      <c r="J459" s="314" t="s">
        <v>109</v>
      </c>
      <c r="K459" s="314">
        <v>0</v>
      </c>
      <c r="L459" s="314">
        <v>0</v>
      </c>
      <c r="M459" s="315">
        <v>45145.7309490741</v>
      </c>
      <c r="N459" s="314" t="s">
        <v>1809</v>
      </c>
      <c r="O459" s="314" t="s">
        <v>1011</v>
      </c>
      <c r="P459" s="314" t="s">
        <v>112</v>
      </c>
      <c r="Q459" s="314" t="s">
        <v>123</v>
      </c>
      <c r="R459" s="315">
        <v>45145.7330439815</v>
      </c>
      <c r="S459" s="314" t="s">
        <v>1809</v>
      </c>
      <c r="T459" s="314" t="s">
        <v>1810</v>
      </c>
      <c r="U459" s="314" t="s">
        <v>1810</v>
      </c>
      <c r="V459" s="314" t="s">
        <v>114</v>
      </c>
      <c r="W459" s="314"/>
      <c r="X459" s="314" t="str">
        <f>VLOOKUP(D459,代理总表!A:D,3,0)</f>
        <v>飞哥雨燕直播</v>
      </c>
      <c r="Y459" t="str">
        <f>VLOOKUP(D:D,代理总表!A:D,4,FALSE)</f>
        <v>飞哥雨燕直播ffmk88</v>
      </c>
      <c r="Z459">
        <f t="shared" si="21"/>
        <v>0</v>
      </c>
      <c r="AA459">
        <f t="shared" si="22"/>
        <v>17</v>
      </c>
      <c r="AB459">
        <f t="shared" si="23"/>
        <v>1</v>
      </c>
    </row>
    <row r="460" spans="1:28">
      <c r="A460" s="314" t="s">
        <v>1811</v>
      </c>
      <c r="B460" s="314"/>
      <c r="C460" s="314">
        <v>15929317279</v>
      </c>
      <c r="D460" s="314" t="s">
        <v>370</v>
      </c>
      <c r="E460" s="314" t="s">
        <v>104</v>
      </c>
      <c r="F460" s="314" t="s">
        <v>118</v>
      </c>
      <c r="G460" s="314" t="s">
        <v>108</v>
      </c>
      <c r="H460" s="314" t="s">
        <v>119</v>
      </c>
      <c r="I460" s="314" t="s">
        <v>108</v>
      </c>
      <c r="J460" s="314" t="s">
        <v>109</v>
      </c>
      <c r="K460" s="314">
        <v>0</v>
      </c>
      <c r="L460" s="314">
        <v>0</v>
      </c>
      <c r="M460" s="315">
        <v>45145.729212963</v>
      </c>
      <c r="N460" s="314" t="s">
        <v>1812</v>
      </c>
      <c r="O460" s="314" t="s">
        <v>813</v>
      </c>
      <c r="P460" s="314" t="s">
        <v>112</v>
      </c>
      <c r="Q460" s="314" t="s">
        <v>123</v>
      </c>
      <c r="R460" s="315">
        <v>45145.7295717593</v>
      </c>
      <c r="S460" s="314" t="s">
        <v>1812</v>
      </c>
      <c r="T460" s="314" t="s">
        <v>1813</v>
      </c>
      <c r="U460" s="314" t="s">
        <v>1813</v>
      </c>
      <c r="V460" s="314" t="s">
        <v>114</v>
      </c>
      <c r="W460" s="314"/>
      <c r="X460" s="314" t="str">
        <f>VLOOKUP(D460,代理总表!A:D,3,0)</f>
        <v>GT-骨头</v>
      </c>
      <c r="Y460" t="str">
        <f>VLOOKUP(D:D,代理总表!A:D,4,FALSE)</f>
        <v>GT-骨头gt6677</v>
      </c>
      <c r="Z460">
        <f t="shared" si="21"/>
        <v>0</v>
      </c>
      <c r="AA460">
        <f t="shared" si="22"/>
        <v>17</v>
      </c>
      <c r="AB460">
        <f t="shared" si="23"/>
        <v>1</v>
      </c>
    </row>
    <row r="461" spans="1:28">
      <c r="A461" s="314" t="s">
        <v>1814</v>
      </c>
      <c r="B461" s="314" t="s">
        <v>1815</v>
      </c>
      <c r="C461" s="314">
        <v>902265333</v>
      </c>
      <c r="D461" s="314" t="s">
        <v>224</v>
      </c>
      <c r="E461" s="314" t="s">
        <v>117</v>
      </c>
      <c r="F461" s="314" t="s">
        <v>144</v>
      </c>
      <c r="G461" s="314" t="s">
        <v>106</v>
      </c>
      <c r="H461" s="314" t="s">
        <v>107</v>
      </c>
      <c r="I461" s="314" t="s">
        <v>108</v>
      </c>
      <c r="J461" s="314" t="s">
        <v>120</v>
      </c>
      <c r="K461" s="314">
        <v>16500000</v>
      </c>
      <c r="L461" s="314">
        <v>15000000</v>
      </c>
      <c r="M461" s="315">
        <v>45145.7288310185</v>
      </c>
      <c r="N461" s="314" t="s">
        <v>1816</v>
      </c>
      <c r="O461" s="314" t="s">
        <v>1817</v>
      </c>
      <c r="P461" s="314" t="s">
        <v>339</v>
      </c>
      <c r="Q461" s="315">
        <v>45145.7387384259</v>
      </c>
      <c r="R461" s="315">
        <v>45146.045462963</v>
      </c>
      <c r="S461" s="314" t="s">
        <v>1816</v>
      </c>
      <c r="T461" s="314" t="s">
        <v>1334</v>
      </c>
      <c r="U461" s="314" t="s">
        <v>1334</v>
      </c>
      <c r="V461" s="314" t="s">
        <v>114</v>
      </c>
      <c r="W461" s="314"/>
      <c r="X461" s="314" t="str">
        <f>VLOOKUP(D461,代理总表!A:D,3,0)</f>
        <v>雨燕直播-越</v>
      </c>
      <c r="Y461" t="str">
        <f>VLOOKUP(D:D,代理总表!A:D,4,FALSE)</f>
        <v>雨燕直播-越ffvn66</v>
      </c>
      <c r="Z461">
        <f t="shared" si="21"/>
        <v>1</v>
      </c>
      <c r="AA461">
        <f t="shared" si="22"/>
        <v>17</v>
      </c>
      <c r="AB461">
        <f t="shared" si="23"/>
        <v>1</v>
      </c>
    </row>
    <row r="462" spans="1:28">
      <c r="A462" s="314" t="s">
        <v>1818</v>
      </c>
      <c r="B462" s="314" t="s">
        <v>1819</v>
      </c>
      <c r="C462" s="314">
        <v>13976087924</v>
      </c>
      <c r="D462" s="314" t="s">
        <v>1820</v>
      </c>
      <c r="E462" s="314" t="s">
        <v>104</v>
      </c>
      <c r="F462" s="314" t="s">
        <v>118</v>
      </c>
      <c r="G462" s="314" t="s">
        <v>108</v>
      </c>
      <c r="H462" s="314" t="s">
        <v>119</v>
      </c>
      <c r="I462" s="314" t="s">
        <v>108</v>
      </c>
      <c r="J462" s="314" t="s">
        <v>109</v>
      </c>
      <c r="K462" s="314">
        <v>18</v>
      </c>
      <c r="L462" s="314">
        <v>0</v>
      </c>
      <c r="M462" s="315">
        <v>45145.7287731481</v>
      </c>
      <c r="N462" s="314" t="s">
        <v>1821</v>
      </c>
      <c r="O462" s="314" t="s">
        <v>1822</v>
      </c>
      <c r="P462" s="314" t="s">
        <v>112</v>
      </c>
      <c r="Q462" s="314" t="s">
        <v>123</v>
      </c>
      <c r="R462" s="315">
        <v>45145.7464467593</v>
      </c>
      <c r="S462" s="314" t="s">
        <v>1823</v>
      </c>
      <c r="T462" s="314" t="s">
        <v>1824</v>
      </c>
      <c r="U462" s="314" t="s">
        <v>1825</v>
      </c>
      <c r="V462" s="314" t="s">
        <v>114</v>
      </c>
      <c r="W462" s="314"/>
      <c r="X462" s="314" t="e">
        <f>VLOOKUP(D462,代理总表!A:D,3,0)</f>
        <v>#N/A</v>
      </c>
      <c r="Y462" t="e">
        <f>VLOOKUP(D:D,代理总表!A:D,4,FALSE)</f>
        <v>#N/A</v>
      </c>
      <c r="Z462">
        <f t="shared" si="21"/>
        <v>0</v>
      </c>
      <c r="AA462">
        <f t="shared" si="22"/>
        <v>17</v>
      </c>
      <c r="AB462">
        <f t="shared" si="23"/>
        <v>1</v>
      </c>
    </row>
    <row r="463" spans="1:28">
      <c r="A463" s="314" t="s">
        <v>1826</v>
      </c>
      <c r="B463" s="314" t="s">
        <v>1827</v>
      </c>
      <c r="C463" s="314">
        <v>935622366</v>
      </c>
      <c r="D463" s="314" t="s">
        <v>651</v>
      </c>
      <c r="E463" s="314" t="s">
        <v>117</v>
      </c>
      <c r="F463" s="314" t="s">
        <v>118</v>
      </c>
      <c r="G463" s="314" t="s">
        <v>108</v>
      </c>
      <c r="H463" s="314" t="s">
        <v>119</v>
      </c>
      <c r="I463" s="314" t="s">
        <v>108</v>
      </c>
      <c r="J463" s="314" t="s">
        <v>120</v>
      </c>
      <c r="K463" s="314">
        <v>0</v>
      </c>
      <c r="L463" s="314">
        <v>0</v>
      </c>
      <c r="M463" s="315">
        <v>45145.7281481481</v>
      </c>
      <c r="N463" s="314" t="s">
        <v>1828</v>
      </c>
      <c r="O463" s="314" t="s">
        <v>653</v>
      </c>
      <c r="P463" s="314" t="s">
        <v>112</v>
      </c>
      <c r="Q463" s="314" t="s">
        <v>123</v>
      </c>
      <c r="R463" s="315">
        <v>45145.8865740741</v>
      </c>
      <c r="S463" s="314" t="s">
        <v>1829</v>
      </c>
      <c r="T463" s="314" t="s">
        <v>131</v>
      </c>
      <c r="U463" s="314" t="s">
        <v>131</v>
      </c>
      <c r="V463" s="314" t="s">
        <v>114</v>
      </c>
      <c r="W463" s="314"/>
      <c r="X463" s="314" t="str">
        <f>VLOOKUP(D463,代理总表!A:D,3,0)</f>
        <v>雨燕直播-越</v>
      </c>
      <c r="Y463" t="str">
        <f>VLOOKUP(D:D,代理总表!A:D,4,FALSE)</f>
        <v>雨燕直播-越ffvn66</v>
      </c>
      <c r="Z463">
        <f t="shared" si="21"/>
        <v>0</v>
      </c>
      <c r="AA463">
        <f t="shared" si="22"/>
        <v>17</v>
      </c>
      <c r="AB463">
        <f t="shared" si="23"/>
        <v>1</v>
      </c>
    </row>
    <row r="464" spans="1:28">
      <c r="A464" s="314" t="s">
        <v>1830</v>
      </c>
      <c r="B464" s="314" t="s">
        <v>1831</v>
      </c>
      <c r="C464" s="314">
        <v>989663376</v>
      </c>
      <c r="D464" s="314" t="s">
        <v>172</v>
      </c>
      <c r="E464" s="314" t="s">
        <v>117</v>
      </c>
      <c r="F464" s="314" t="s">
        <v>118</v>
      </c>
      <c r="G464" s="314" t="s">
        <v>108</v>
      </c>
      <c r="H464" s="314" t="s">
        <v>119</v>
      </c>
      <c r="I464" s="314" t="s">
        <v>108</v>
      </c>
      <c r="J464" s="314" t="s">
        <v>120</v>
      </c>
      <c r="K464" s="314">
        <v>0</v>
      </c>
      <c r="L464" s="314">
        <v>0</v>
      </c>
      <c r="M464" s="315">
        <v>45145.7265162037</v>
      </c>
      <c r="N464" s="314" t="s">
        <v>1832</v>
      </c>
      <c r="O464" s="314" t="s">
        <v>193</v>
      </c>
      <c r="P464" s="314" t="s">
        <v>112</v>
      </c>
      <c r="Q464" s="314" t="s">
        <v>123</v>
      </c>
      <c r="R464" s="315">
        <v>45145.9707407407</v>
      </c>
      <c r="S464" s="314" t="s">
        <v>1832</v>
      </c>
      <c r="T464" s="314" t="s">
        <v>131</v>
      </c>
      <c r="U464" s="314" t="s">
        <v>131</v>
      </c>
      <c r="V464" s="314" t="s">
        <v>114</v>
      </c>
      <c r="W464" s="314"/>
      <c r="X464" s="314" t="str">
        <f>VLOOKUP(D464,代理总表!A:D,3,0)</f>
        <v>雨燕直播-越</v>
      </c>
      <c r="Y464" t="str">
        <f>VLOOKUP(D:D,代理总表!A:D,4,FALSE)</f>
        <v>雨燕直播-越ffvn66</v>
      </c>
      <c r="Z464">
        <f t="shared" si="21"/>
        <v>0</v>
      </c>
      <c r="AA464">
        <f t="shared" si="22"/>
        <v>17</v>
      </c>
      <c r="AB464">
        <f t="shared" si="23"/>
        <v>1</v>
      </c>
    </row>
    <row r="465" spans="1:28">
      <c r="A465" s="314" t="s">
        <v>1833</v>
      </c>
      <c r="B465" s="314"/>
      <c r="C465" s="314">
        <v>15866343686</v>
      </c>
      <c r="D465" s="314" t="s">
        <v>594</v>
      </c>
      <c r="E465" s="314" t="s">
        <v>104</v>
      </c>
      <c r="F465" s="314" t="s">
        <v>149</v>
      </c>
      <c r="G465" s="314" t="s">
        <v>108</v>
      </c>
      <c r="H465" s="314" t="s">
        <v>119</v>
      </c>
      <c r="I465" s="314" t="s">
        <v>108</v>
      </c>
      <c r="J465" s="314" t="s">
        <v>109</v>
      </c>
      <c r="K465" s="314">
        <v>0</v>
      </c>
      <c r="L465" s="314">
        <v>0</v>
      </c>
      <c r="M465" s="315">
        <v>45145.7263194444</v>
      </c>
      <c r="N465" s="314" t="s">
        <v>1834</v>
      </c>
      <c r="O465" s="314" t="s">
        <v>988</v>
      </c>
      <c r="P465" s="314" t="s">
        <v>208</v>
      </c>
      <c r="Q465" s="314" t="s">
        <v>123</v>
      </c>
      <c r="R465" s="315">
        <v>45145.7263194444</v>
      </c>
      <c r="S465" s="314" t="s">
        <v>1834</v>
      </c>
      <c r="T465" s="314" t="s">
        <v>1835</v>
      </c>
      <c r="U465" s="314" t="s">
        <v>1835</v>
      </c>
      <c r="V465" s="314" t="s">
        <v>114</v>
      </c>
      <c r="W465" s="314"/>
      <c r="X465" s="314" t="str">
        <f>VLOOKUP(D465,代理总表!A:D,3,0)</f>
        <v>zed</v>
      </c>
      <c r="Y465" t="str">
        <f>VLOOKUP(D:D,代理总表!A:D,4,FALSE)</f>
        <v>SEO</v>
      </c>
      <c r="Z465">
        <f t="shared" si="21"/>
        <v>0</v>
      </c>
      <c r="AA465">
        <f t="shared" si="22"/>
        <v>17</v>
      </c>
      <c r="AB465">
        <f t="shared" si="23"/>
        <v>1</v>
      </c>
    </row>
    <row r="466" spans="1:28">
      <c r="A466" s="314" t="s">
        <v>1836</v>
      </c>
      <c r="B466" s="314"/>
      <c r="C466" s="314"/>
      <c r="D466" s="314" t="s">
        <v>103</v>
      </c>
      <c r="E466" s="314" t="s">
        <v>104</v>
      </c>
      <c r="F466" s="314" t="s">
        <v>118</v>
      </c>
      <c r="G466" s="314" t="s">
        <v>108</v>
      </c>
      <c r="H466" s="314" t="s">
        <v>119</v>
      </c>
      <c r="I466" s="314" t="s">
        <v>108</v>
      </c>
      <c r="J466" s="314" t="s">
        <v>109</v>
      </c>
      <c r="K466" s="314">
        <v>0</v>
      </c>
      <c r="L466" s="314">
        <v>0</v>
      </c>
      <c r="M466" s="315">
        <v>45145.7256944444</v>
      </c>
      <c r="N466" s="314" t="s">
        <v>1837</v>
      </c>
      <c r="O466" s="314" t="s">
        <v>1838</v>
      </c>
      <c r="P466" s="314" t="s">
        <v>112</v>
      </c>
      <c r="Q466" s="314" t="s">
        <v>123</v>
      </c>
      <c r="R466" s="314"/>
      <c r="S466" s="314"/>
      <c r="T466" s="314" t="s">
        <v>131</v>
      </c>
      <c r="U466" s="314"/>
      <c r="V466" s="314" t="s">
        <v>114</v>
      </c>
      <c r="W466" s="314"/>
      <c r="X466" s="314" t="str">
        <f>VLOOKUP(D466,代理总表!A:D,3,0)</f>
        <v>官网</v>
      </c>
      <c r="Y466" t="str">
        <f>VLOOKUP(D:D,代理总表!A:D,4,FALSE)</f>
        <v>官网</v>
      </c>
      <c r="Z466">
        <f t="shared" si="21"/>
        <v>0</v>
      </c>
      <c r="AA466">
        <f t="shared" si="22"/>
        <v>17</v>
      </c>
      <c r="AB466">
        <f t="shared" si="23"/>
        <v>1</v>
      </c>
    </row>
    <row r="467" spans="1:28">
      <c r="A467" s="314" t="s">
        <v>1839</v>
      </c>
      <c r="B467" s="314" t="s">
        <v>1840</v>
      </c>
      <c r="C467" s="314">
        <v>366892886</v>
      </c>
      <c r="D467" s="314" t="s">
        <v>651</v>
      </c>
      <c r="E467" s="314" t="s">
        <v>117</v>
      </c>
      <c r="F467" s="314" t="s">
        <v>118</v>
      </c>
      <c r="G467" s="314" t="s">
        <v>108</v>
      </c>
      <c r="H467" s="314" t="s">
        <v>119</v>
      </c>
      <c r="I467" s="314" t="s">
        <v>108</v>
      </c>
      <c r="J467" s="314" t="s">
        <v>120</v>
      </c>
      <c r="K467" s="314">
        <v>0</v>
      </c>
      <c r="L467" s="314">
        <v>0</v>
      </c>
      <c r="M467" s="315">
        <v>45145.7250115741</v>
      </c>
      <c r="N467" s="314" t="s">
        <v>1841</v>
      </c>
      <c r="O467" s="314" t="s">
        <v>653</v>
      </c>
      <c r="P467" s="314" t="s">
        <v>112</v>
      </c>
      <c r="Q467" s="314" t="s">
        <v>123</v>
      </c>
      <c r="R467" s="315">
        <v>45145.7250115741</v>
      </c>
      <c r="S467" s="314" t="s">
        <v>1841</v>
      </c>
      <c r="T467" s="314" t="s">
        <v>176</v>
      </c>
      <c r="U467" s="314" t="s">
        <v>176</v>
      </c>
      <c r="V467" s="314" t="s">
        <v>114</v>
      </c>
      <c r="W467" s="314"/>
      <c r="X467" s="314" t="str">
        <f>VLOOKUP(D467,代理总表!A:D,3,0)</f>
        <v>雨燕直播-越</v>
      </c>
      <c r="Y467" t="str">
        <f>VLOOKUP(D:D,代理总表!A:D,4,FALSE)</f>
        <v>雨燕直播-越ffvn66</v>
      </c>
      <c r="Z467">
        <f t="shared" si="21"/>
        <v>0</v>
      </c>
      <c r="AA467">
        <f t="shared" si="22"/>
        <v>17</v>
      </c>
      <c r="AB467">
        <f t="shared" si="23"/>
        <v>1</v>
      </c>
    </row>
    <row r="468" spans="1:28">
      <c r="A468" s="314" t="s">
        <v>1842</v>
      </c>
      <c r="B468" s="314" t="s">
        <v>1843</v>
      </c>
      <c r="C468" s="314">
        <v>528248250</v>
      </c>
      <c r="D468" s="314" t="s">
        <v>333</v>
      </c>
      <c r="E468" s="314" t="s">
        <v>117</v>
      </c>
      <c r="F468" s="314" t="s">
        <v>144</v>
      </c>
      <c r="G468" s="314" t="s">
        <v>106</v>
      </c>
      <c r="H468" s="314" t="s">
        <v>107</v>
      </c>
      <c r="I468" s="314" t="s">
        <v>108</v>
      </c>
      <c r="J468" s="314" t="s">
        <v>120</v>
      </c>
      <c r="K468" s="314">
        <v>650000</v>
      </c>
      <c r="L468" s="314">
        <v>4340000</v>
      </c>
      <c r="M468" s="315">
        <v>45145.7240740741</v>
      </c>
      <c r="N468" s="314" t="s">
        <v>1844</v>
      </c>
      <c r="O468" s="314" t="s">
        <v>335</v>
      </c>
      <c r="P468" s="314" t="s">
        <v>112</v>
      </c>
      <c r="Q468" s="315">
        <v>45145.7697337963</v>
      </c>
      <c r="R468" s="315">
        <v>45145.9357638889</v>
      </c>
      <c r="S468" s="314" t="s">
        <v>1844</v>
      </c>
      <c r="T468" s="314" t="s">
        <v>177</v>
      </c>
      <c r="U468" s="314" t="s">
        <v>177</v>
      </c>
      <c r="V468" s="314" t="s">
        <v>114</v>
      </c>
      <c r="W468" s="314"/>
      <c r="X468" s="314" t="e">
        <f>VLOOKUP(D468,代理总表!A:D,3,0)</f>
        <v>#N/A</v>
      </c>
      <c r="Y468" t="e">
        <f>VLOOKUP(D:D,代理总表!A:D,4,FALSE)</f>
        <v>#N/A</v>
      </c>
      <c r="Z468">
        <f t="shared" si="21"/>
        <v>1</v>
      </c>
      <c r="AA468">
        <f t="shared" si="22"/>
        <v>17</v>
      </c>
      <c r="AB468">
        <f t="shared" si="23"/>
        <v>1</v>
      </c>
    </row>
    <row r="469" spans="1:28">
      <c r="A469" s="314" t="s">
        <v>1845</v>
      </c>
      <c r="B469" s="314" t="s">
        <v>1846</v>
      </c>
      <c r="C469" s="314">
        <v>921294651</v>
      </c>
      <c r="D469" s="314" t="s">
        <v>1847</v>
      </c>
      <c r="E469" s="314" t="s">
        <v>117</v>
      </c>
      <c r="F469" s="314" t="s">
        <v>144</v>
      </c>
      <c r="G469" s="314" t="s">
        <v>106</v>
      </c>
      <c r="H469" s="314" t="s">
        <v>107</v>
      </c>
      <c r="I469" s="314" t="s">
        <v>108</v>
      </c>
      <c r="J469" s="314" t="s">
        <v>120</v>
      </c>
      <c r="K469" s="314">
        <v>0</v>
      </c>
      <c r="L469" s="314">
        <v>4240000</v>
      </c>
      <c r="M469" s="315">
        <v>45145.7237615741</v>
      </c>
      <c r="N469" s="314" t="s">
        <v>1848</v>
      </c>
      <c r="O469" s="314" t="s">
        <v>1849</v>
      </c>
      <c r="P469" s="314" t="s">
        <v>112</v>
      </c>
      <c r="Q469" s="315">
        <v>45145.7311805556</v>
      </c>
      <c r="R469" s="315">
        <v>45145.7318055556</v>
      </c>
      <c r="S469" s="314" t="s">
        <v>1848</v>
      </c>
      <c r="T469" s="314" t="s">
        <v>128</v>
      </c>
      <c r="U469" s="314" t="s">
        <v>128</v>
      </c>
      <c r="V469" s="314" t="s">
        <v>114</v>
      </c>
      <c r="W469" s="314"/>
      <c r="X469" s="314" t="e">
        <f>VLOOKUP(D469,代理总表!A:D,3,0)</f>
        <v>#N/A</v>
      </c>
      <c r="Y469" t="e">
        <f>VLOOKUP(D:D,代理总表!A:D,4,FALSE)</f>
        <v>#N/A</v>
      </c>
      <c r="Z469">
        <f t="shared" si="21"/>
        <v>1</v>
      </c>
      <c r="AA469">
        <f t="shared" si="22"/>
        <v>17</v>
      </c>
      <c r="AB469">
        <f t="shared" si="23"/>
        <v>1</v>
      </c>
    </row>
    <row r="470" spans="1:28">
      <c r="A470" s="314" t="s">
        <v>1850</v>
      </c>
      <c r="B470" s="314"/>
      <c r="C470" s="314">
        <v>333922010</v>
      </c>
      <c r="D470" s="314" t="s">
        <v>143</v>
      </c>
      <c r="E470" s="314" t="s">
        <v>117</v>
      </c>
      <c r="F470" s="314" t="s">
        <v>118</v>
      </c>
      <c r="G470" s="314" t="s">
        <v>108</v>
      </c>
      <c r="H470" s="314" t="s">
        <v>119</v>
      </c>
      <c r="I470" s="314" t="s">
        <v>108</v>
      </c>
      <c r="J470" s="314" t="s">
        <v>120</v>
      </c>
      <c r="K470" s="314">
        <v>0</v>
      </c>
      <c r="L470" s="314">
        <v>0</v>
      </c>
      <c r="M470" s="315">
        <v>45145.7230902778</v>
      </c>
      <c r="N470" s="314" t="s">
        <v>1851</v>
      </c>
      <c r="O470" s="314" t="s">
        <v>146</v>
      </c>
      <c r="P470" s="314" t="s">
        <v>161</v>
      </c>
      <c r="Q470" s="314" t="s">
        <v>123</v>
      </c>
      <c r="R470" s="315">
        <v>45145.9322569444</v>
      </c>
      <c r="S470" s="314" t="s">
        <v>1851</v>
      </c>
      <c r="T470" s="314" t="s">
        <v>548</v>
      </c>
      <c r="U470" s="314" t="s">
        <v>548</v>
      </c>
      <c r="V470" s="314" t="s">
        <v>114</v>
      </c>
      <c r="W470" s="314"/>
      <c r="X470" s="314" t="str">
        <f>VLOOKUP(D470,代理总表!A:D,3,0)</f>
        <v>雨燕直播-越</v>
      </c>
      <c r="Y470" t="str">
        <f>VLOOKUP(D:D,代理总表!A:D,4,FALSE)</f>
        <v>雨燕直播-越ffvn66</v>
      </c>
      <c r="Z470">
        <f t="shared" si="21"/>
        <v>0</v>
      </c>
      <c r="AA470">
        <f t="shared" si="22"/>
        <v>17</v>
      </c>
      <c r="AB470">
        <f t="shared" si="23"/>
        <v>1</v>
      </c>
    </row>
    <row r="471" spans="1:28">
      <c r="A471" s="314" t="s">
        <v>1852</v>
      </c>
      <c r="B471" s="314"/>
      <c r="C471" s="314"/>
      <c r="D471" s="314" t="s">
        <v>326</v>
      </c>
      <c r="E471" s="314" t="s">
        <v>104</v>
      </c>
      <c r="F471" s="314" t="s">
        <v>118</v>
      </c>
      <c r="G471" s="314" t="s">
        <v>108</v>
      </c>
      <c r="H471" s="314" t="s">
        <v>119</v>
      </c>
      <c r="I471" s="314" t="s">
        <v>108</v>
      </c>
      <c r="J471" s="314" t="s">
        <v>109</v>
      </c>
      <c r="K471" s="314">
        <v>0</v>
      </c>
      <c r="L471" s="314">
        <v>0</v>
      </c>
      <c r="M471" s="315">
        <v>45145.7224884259</v>
      </c>
      <c r="N471" s="314" t="s">
        <v>1745</v>
      </c>
      <c r="O471" s="314" t="s">
        <v>1853</v>
      </c>
      <c r="P471" s="314" t="s">
        <v>339</v>
      </c>
      <c r="Q471" s="314" t="s">
        <v>123</v>
      </c>
      <c r="R471" s="315">
        <v>45145.7224768518</v>
      </c>
      <c r="S471" s="314" t="s">
        <v>1745</v>
      </c>
      <c r="T471" s="314" t="s">
        <v>1747</v>
      </c>
      <c r="U471" s="314" t="s">
        <v>1747</v>
      </c>
      <c r="V471" s="314" t="s">
        <v>114</v>
      </c>
      <c r="W471" s="314"/>
      <c r="X471" s="314" t="str">
        <f>VLOOKUP(D471,代理总表!A:D,3,0)</f>
        <v>雨燕直播</v>
      </c>
      <c r="Y471" t="str">
        <f>VLOOKUP(D:D,代理总表!A:D,4,FALSE)</f>
        <v>雨燕直播zzzb888</v>
      </c>
      <c r="Z471">
        <f t="shared" si="21"/>
        <v>0</v>
      </c>
      <c r="AA471">
        <f t="shared" si="22"/>
        <v>17</v>
      </c>
      <c r="AB471">
        <f t="shared" si="23"/>
        <v>1</v>
      </c>
    </row>
    <row r="472" spans="1:28">
      <c r="A472" s="314" t="s">
        <v>1854</v>
      </c>
      <c r="B472" s="314" t="s">
        <v>1855</v>
      </c>
      <c r="C472" s="314">
        <v>15699672821</v>
      </c>
      <c r="D472" s="314" t="s">
        <v>1856</v>
      </c>
      <c r="E472" s="314" t="s">
        <v>104</v>
      </c>
      <c r="F472" s="314" t="s">
        <v>144</v>
      </c>
      <c r="G472" s="314" t="s">
        <v>106</v>
      </c>
      <c r="H472" s="314" t="s">
        <v>107</v>
      </c>
      <c r="I472" s="314" t="s">
        <v>108</v>
      </c>
      <c r="J472" s="314" t="s">
        <v>109</v>
      </c>
      <c r="K472" s="314">
        <v>5100</v>
      </c>
      <c r="L472" s="314">
        <v>5150</v>
      </c>
      <c r="M472" s="315">
        <v>45145.7224189815</v>
      </c>
      <c r="N472" s="314" t="s">
        <v>1857</v>
      </c>
      <c r="O472" s="314" t="s">
        <v>1858</v>
      </c>
      <c r="P472" s="314" t="s">
        <v>112</v>
      </c>
      <c r="Q472" s="315">
        <v>45145.736875</v>
      </c>
      <c r="R472" s="315">
        <v>45146.3583912037</v>
      </c>
      <c r="S472" s="314" t="s">
        <v>1859</v>
      </c>
      <c r="T472" s="314" t="s">
        <v>1860</v>
      </c>
      <c r="U472" s="314" t="s">
        <v>1860</v>
      </c>
      <c r="V472" s="314" t="s">
        <v>114</v>
      </c>
      <c r="W472" s="314"/>
      <c r="X472" s="314" t="str">
        <f>VLOOKUP(D472,代理总表!A:D,3,0)</f>
        <v>外部代理总线</v>
      </c>
      <c r="Y472" t="str">
        <f>VLOOKUP(D:D,代理总表!A:D,4,FALSE)</f>
        <v>外部代理总线zhaoshang</v>
      </c>
      <c r="Z472">
        <f t="shared" si="21"/>
        <v>1</v>
      </c>
      <c r="AA472">
        <f t="shared" si="22"/>
        <v>17</v>
      </c>
      <c r="AB472">
        <f t="shared" si="23"/>
        <v>1</v>
      </c>
    </row>
    <row r="473" spans="1:28">
      <c r="A473" s="314" t="s">
        <v>1861</v>
      </c>
      <c r="B473" s="314"/>
      <c r="C473" s="314">
        <v>985695656</v>
      </c>
      <c r="D473" s="314" t="s">
        <v>137</v>
      </c>
      <c r="E473" s="314" t="s">
        <v>117</v>
      </c>
      <c r="F473" s="314" t="s">
        <v>118</v>
      </c>
      <c r="G473" s="314" t="s">
        <v>108</v>
      </c>
      <c r="H473" s="314" t="s">
        <v>119</v>
      </c>
      <c r="I473" s="314" t="s">
        <v>108</v>
      </c>
      <c r="J473" s="314" t="s">
        <v>120</v>
      </c>
      <c r="K473" s="314">
        <v>0</v>
      </c>
      <c r="L473" s="314">
        <v>0</v>
      </c>
      <c r="M473" s="315">
        <v>45145.7216550926</v>
      </c>
      <c r="N473" s="314" t="s">
        <v>1862</v>
      </c>
      <c r="O473" s="314" t="s">
        <v>139</v>
      </c>
      <c r="P473" s="314" t="s">
        <v>112</v>
      </c>
      <c r="Q473" s="314" t="s">
        <v>123</v>
      </c>
      <c r="R473" s="315">
        <v>45145.7216550926</v>
      </c>
      <c r="S473" s="314" t="s">
        <v>1862</v>
      </c>
      <c r="T473" s="314" t="s">
        <v>124</v>
      </c>
      <c r="U473" s="314" t="s">
        <v>124</v>
      </c>
      <c r="V473" s="314" t="s">
        <v>114</v>
      </c>
      <c r="W473" s="314"/>
      <c r="X473" s="314" t="str">
        <f>VLOOKUP(D473,代理总表!A:D,3,0)</f>
        <v>雨燕直播-越</v>
      </c>
      <c r="Y473" t="str">
        <f>VLOOKUP(D:D,代理总表!A:D,4,FALSE)</f>
        <v>雨燕直播-越ffvn66</v>
      </c>
      <c r="Z473">
        <f t="shared" si="21"/>
        <v>0</v>
      </c>
      <c r="AA473">
        <f t="shared" si="22"/>
        <v>17</v>
      </c>
      <c r="AB473">
        <f t="shared" si="23"/>
        <v>1</v>
      </c>
    </row>
    <row r="474" spans="1:28">
      <c r="A474" s="314" t="s">
        <v>1863</v>
      </c>
      <c r="B474" s="314" t="s">
        <v>1864</v>
      </c>
      <c r="C474" s="314">
        <v>18487240395</v>
      </c>
      <c r="D474" s="314" t="s">
        <v>103</v>
      </c>
      <c r="E474" s="314" t="s">
        <v>104</v>
      </c>
      <c r="F474" s="314" t="s">
        <v>118</v>
      </c>
      <c r="G474" s="314" t="s">
        <v>108</v>
      </c>
      <c r="H474" s="314" t="s">
        <v>119</v>
      </c>
      <c r="I474" s="314" t="s">
        <v>108</v>
      </c>
      <c r="J474" s="314" t="s">
        <v>109</v>
      </c>
      <c r="K474" s="314">
        <v>0</v>
      </c>
      <c r="L474" s="314">
        <v>0</v>
      </c>
      <c r="M474" s="315">
        <v>45145.7213888889</v>
      </c>
      <c r="N474" s="314" t="s">
        <v>1865</v>
      </c>
      <c r="O474" s="314" t="s">
        <v>350</v>
      </c>
      <c r="P474" s="314" t="s">
        <v>112</v>
      </c>
      <c r="Q474" s="314" t="s">
        <v>123</v>
      </c>
      <c r="R474" s="315">
        <v>45145.8551967593</v>
      </c>
      <c r="S474" s="314" t="s">
        <v>1866</v>
      </c>
      <c r="T474" s="314" t="s">
        <v>184</v>
      </c>
      <c r="U474" s="314" t="s">
        <v>184</v>
      </c>
      <c r="V474" s="314" t="s">
        <v>114</v>
      </c>
      <c r="W474" s="314"/>
      <c r="X474" s="314" t="str">
        <f>VLOOKUP(D474,代理总表!A:D,3,0)</f>
        <v>官网</v>
      </c>
      <c r="Y474" t="str">
        <f>VLOOKUP(D:D,代理总表!A:D,4,FALSE)</f>
        <v>官网</v>
      </c>
      <c r="Z474">
        <f t="shared" si="21"/>
        <v>0</v>
      </c>
      <c r="AA474">
        <f t="shared" si="22"/>
        <v>17</v>
      </c>
      <c r="AB474">
        <f t="shared" si="23"/>
        <v>1</v>
      </c>
    </row>
    <row r="475" spans="1:28">
      <c r="A475" s="314" t="s">
        <v>1867</v>
      </c>
      <c r="B475" s="314"/>
      <c r="C475" s="314">
        <v>17365610922</v>
      </c>
      <c r="D475" s="314" t="s">
        <v>235</v>
      </c>
      <c r="E475" s="314" t="s">
        <v>104</v>
      </c>
      <c r="F475" s="314" t="s">
        <v>149</v>
      </c>
      <c r="G475" s="314" t="s">
        <v>108</v>
      </c>
      <c r="H475" s="314" t="s">
        <v>119</v>
      </c>
      <c r="I475" s="314" t="s">
        <v>108</v>
      </c>
      <c r="J475" s="314" t="s">
        <v>109</v>
      </c>
      <c r="K475" s="314">
        <v>0</v>
      </c>
      <c r="L475" s="314">
        <v>0</v>
      </c>
      <c r="M475" s="315">
        <v>45145.7207407407</v>
      </c>
      <c r="N475" s="314" t="s">
        <v>1868</v>
      </c>
      <c r="O475" s="314" t="s">
        <v>237</v>
      </c>
      <c r="P475" s="314" t="s">
        <v>112</v>
      </c>
      <c r="Q475" s="314" t="s">
        <v>123</v>
      </c>
      <c r="R475" s="315">
        <v>45145.7207291667</v>
      </c>
      <c r="S475" s="314" t="s">
        <v>1868</v>
      </c>
      <c r="T475" s="314" t="s">
        <v>472</v>
      </c>
      <c r="U475" s="314" t="s">
        <v>472</v>
      </c>
      <c r="V475" s="314" t="s">
        <v>114</v>
      </c>
      <c r="W475" s="314"/>
      <c r="X475" s="314" t="str">
        <f>VLOOKUP(D475,代理总表!A:D,3,0)</f>
        <v>aber</v>
      </c>
      <c r="Y475" t="str">
        <f>VLOOKUP(D:D,代理总表!A:D,4,FALSE)</f>
        <v>SEO</v>
      </c>
      <c r="Z475">
        <f t="shared" si="21"/>
        <v>0</v>
      </c>
      <c r="AA475">
        <f t="shared" si="22"/>
        <v>17</v>
      </c>
      <c r="AB475">
        <f t="shared" si="23"/>
        <v>1</v>
      </c>
    </row>
    <row r="476" spans="1:28">
      <c r="A476" s="314" t="s">
        <v>1869</v>
      </c>
      <c r="B476" s="314"/>
      <c r="C476" s="314">
        <v>15669040810</v>
      </c>
      <c r="D476" s="314" t="s">
        <v>148</v>
      </c>
      <c r="E476" s="314" t="s">
        <v>104</v>
      </c>
      <c r="F476" s="314" t="s">
        <v>149</v>
      </c>
      <c r="G476" s="314" t="s">
        <v>108</v>
      </c>
      <c r="H476" s="314" t="s">
        <v>119</v>
      </c>
      <c r="I476" s="314" t="s">
        <v>108</v>
      </c>
      <c r="J476" s="314" t="s">
        <v>109</v>
      </c>
      <c r="K476" s="314">
        <v>0</v>
      </c>
      <c r="L476" s="314">
        <v>0</v>
      </c>
      <c r="M476" s="315">
        <v>45145.7206712963</v>
      </c>
      <c r="N476" s="314" t="s">
        <v>1870</v>
      </c>
      <c r="O476" s="314" t="s">
        <v>160</v>
      </c>
      <c r="P476" s="314" t="s">
        <v>161</v>
      </c>
      <c r="Q476" s="314" t="s">
        <v>123</v>
      </c>
      <c r="R476" s="315">
        <v>45145.7206712963</v>
      </c>
      <c r="S476" s="314" t="s">
        <v>1870</v>
      </c>
      <c r="T476" s="314" t="s">
        <v>808</v>
      </c>
      <c r="U476" s="314" t="s">
        <v>808</v>
      </c>
      <c r="V476" s="314" t="s">
        <v>114</v>
      </c>
      <c r="W476" s="314"/>
      <c r="X476" s="314" t="str">
        <f>VLOOKUP(D476,代理总表!A:D,3,0)</f>
        <v>martin</v>
      </c>
      <c r="Y476" t="str">
        <f>VLOOKUP(D:D,代理总表!A:D,4,FALSE)</f>
        <v>SEO</v>
      </c>
      <c r="Z476">
        <f t="shared" si="21"/>
        <v>0</v>
      </c>
      <c r="AA476">
        <f t="shared" si="22"/>
        <v>17</v>
      </c>
      <c r="AB476">
        <f t="shared" si="23"/>
        <v>1</v>
      </c>
    </row>
    <row r="477" spans="1:28">
      <c r="A477" s="314" t="s">
        <v>1871</v>
      </c>
      <c r="B477" s="314"/>
      <c r="C477" s="314"/>
      <c r="D477" s="314" t="s">
        <v>240</v>
      </c>
      <c r="E477" s="314" t="s">
        <v>104</v>
      </c>
      <c r="F477" s="314" t="s">
        <v>149</v>
      </c>
      <c r="G477" s="314" t="s">
        <v>108</v>
      </c>
      <c r="H477" s="314" t="s">
        <v>119</v>
      </c>
      <c r="I477" s="314" t="s">
        <v>108</v>
      </c>
      <c r="J477" s="314" t="s">
        <v>109</v>
      </c>
      <c r="K477" s="314">
        <v>0</v>
      </c>
      <c r="L477" s="314">
        <v>0</v>
      </c>
      <c r="M477" s="315">
        <v>45145.7195949074</v>
      </c>
      <c r="N477" s="314" t="s">
        <v>1872</v>
      </c>
      <c r="O477" s="314" t="s">
        <v>242</v>
      </c>
      <c r="P477" s="314" t="s">
        <v>112</v>
      </c>
      <c r="Q477" s="314" t="s">
        <v>123</v>
      </c>
      <c r="R477" s="315">
        <v>45145.7195949074</v>
      </c>
      <c r="S477" s="314" t="s">
        <v>1872</v>
      </c>
      <c r="T477" s="314" t="s">
        <v>489</v>
      </c>
      <c r="U477" s="314" t="s">
        <v>489</v>
      </c>
      <c r="V477" s="314" t="s">
        <v>114</v>
      </c>
      <c r="W477" s="314"/>
      <c r="X477" s="314" t="str">
        <f>VLOOKUP(D477,代理总表!A:D,3,0)</f>
        <v>SEO邀请</v>
      </c>
      <c r="Y477" t="str">
        <f>VLOOKUP(D:D,代理总表!A:D,4,FALSE)</f>
        <v>SEO</v>
      </c>
      <c r="Z477">
        <f t="shared" si="21"/>
        <v>0</v>
      </c>
      <c r="AA477">
        <f t="shared" si="22"/>
        <v>17</v>
      </c>
      <c r="AB477">
        <f t="shared" si="23"/>
        <v>1</v>
      </c>
    </row>
    <row r="478" spans="1:28">
      <c r="A478" s="314" t="s">
        <v>1873</v>
      </c>
      <c r="B478" s="314"/>
      <c r="C478" s="314"/>
      <c r="D478" s="314" t="s">
        <v>1259</v>
      </c>
      <c r="E478" s="314" t="s">
        <v>104</v>
      </c>
      <c r="F478" s="314" t="s">
        <v>149</v>
      </c>
      <c r="G478" s="314" t="s">
        <v>108</v>
      </c>
      <c r="H478" s="314" t="s">
        <v>119</v>
      </c>
      <c r="I478" s="314" t="s">
        <v>108</v>
      </c>
      <c r="J478" s="314" t="s">
        <v>109</v>
      </c>
      <c r="K478" s="314">
        <v>0</v>
      </c>
      <c r="L478" s="314">
        <v>0</v>
      </c>
      <c r="M478" s="315">
        <v>45145.7193981481</v>
      </c>
      <c r="N478" s="314" t="s">
        <v>1874</v>
      </c>
      <c r="O478" s="314" t="s">
        <v>1261</v>
      </c>
      <c r="P478" s="314" t="s">
        <v>112</v>
      </c>
      <c r="Q478" s="314" t="s">
        <v>123</v>
      </c>
      <c r="R478" s="315">
        <v>45145.7193981481</v>
      </c>
      <c r="S478" s="314" t="s">
        <v>1874</v>
      </c>
      <c r="T478" s="314" t="s">
        <v>1875</v>
      </c>
      <c r="U478" s="314" t="s">
        <v>1875</v>
      </c>
      <c r="V478" s="314" t="s">
        <v>114</v>
      </c>
      <c r="W478" s="314"/>
      <c r="X478" s="314" t="str">
        <f>VLOOKUP(D478,代理总表!A:D,3,0)</f>
        <v>seo转线</v>
      </c>
      <c r="Y478" t="str">
        <f>VLOOKUP(D:D,代理总表!A:D,4,FALSE)</f>
        <v>seo转线</v>
      </c>
      <c r="Z478">
        <f t="shared" si="21"/>
        <v>0</v>
      </c>
      <c r="AA478">
        <f t="shared" si="22"/>
        <v>17</v>
      </c>
      <c r="AB478">
        <f t="shared" si="23"/>
        <v>1</v>
      </c>
    </row>
    <row r="479" spans="1:28">
      <c r="A479" s="314" t="s">
        <v>1876</v>
      </c>
      <c r="B479" s="314"/>
      <c r="C479" s="314"/>
      <c r="D479" s="314" t="s">
        <v>240</v>
      </c>
      <c r="E479" s="314" t="s">
        <v>104</v>
      </c>
      <c r="F479" s="314" t="s">
        <v>149</v>
      </c>
      <c r="G479" s="314" t="s">
        <v>108</v>
      </c>
      <c r="H479" s="314" t="s">
        <v>119</v>
      </c>
      <c r="I479" s="314" t="s">
        <v>108</v>
      </c>
      <c r="J479" s="314" t="s">
        <v>109</v>
      </c>
      <c r="K479" s="314">
        <v>0</v>
      </c>
      <c r="L479" s="314">
        <v>0</v>
      </c>
      <c r="M479" s="315">
        <v>45145.7187384259</v>
      </c>
      <c r="N479" s="314" t="s">
        <v>1877</v>
      </c>
      <c r="O479" s="314" t="s">
        <v>1878</v>
      </c>
      <c r="P479" s="314" t="s">
        <v>112</v>
      </c>
      <c r="Q479" s="314" t="s">
        <v>123</v>
      </c>
      <c r="R479" s="315">
        <v>45145.7928125</v>
      </c>
      <c r="S479" s="314" t="s">
        <v>1879</v>
      </c>
      <c r="T479" s="314" t="s">
        <v>1880</v>
      </c>
      <c r="U479" s="314" t="s">
        <v>1881</v>
      </c>
      <c r="V479" s="314" t="s">
        <v>114</v>
      </c>
      <c r="W479" s="314"/>
      <c r="X479" s="314" t="str">
        <f>VLOOKUP(D479,代理总表!A:D,3,0)</f>
        <v>SEO邀请</v>
      </c>
      <c r="Y479" t="str">
        <f>VLOOKUP(D:D,代理总表!A:D,4,FALSE)</f>
        <v>SEO</v>
      </c>
      <c r="Z479">
        <f t="shared" si="21"/>
        <v>0</v>
      </c>
      <c r="AA479">
        <f t="shared" si="22"/>
        <v>17</v>
      </c>
      <c r="AB479">
        <f t="shared" si="23"/>
        <v>1</v>
      </c>
    </row>
    <row r="480" spans="1:28">
      <c r="A480" s="314" t="s">
        <v>1882</v>
      </c>
      <c r="B480" s="314"/>
      <c r="C480" s="314">
        <v>13001731311</v>
      </c>
      <c r="D480" s="314" t="s">
        <v>103</v>
      </c>
      <c r="E480" s="314" t="s">
        <v>104</v>
      </c>
      <c r="F480" s="314" t="s">
        <v>144</v>
      </c>
      <c r="G480" s="314" t="s">
        <v>106</v>
      </c>
      <c r="H480" s="314" t="s">
        <v>107</v>
      </c>
      <c r="I480" s="314" t="s">
        <v>108</v>
      </c>
      <c r="J480" s="314" t="s">
        <v>109</v>
      </c>
      <c r="K480" s="314">
        <v>1313</v>
      </c>
      <c r="L480" s="314">
        <v>1300</v>
      </c>
      <c r="M480" s="315">
        <v>45145.7181828704</v>
      </c>
      <c r="N480" s="314" t="s">
        <v>1883</v>
      </c>
      <c r="O480" s="314" t="s">
        <v>713</v>
      </c>
      <c r="P480" s="314" t="s">
        <v>339</v>
      </c>
      <c r="Q480" s="315">
        <v>45145.7295949074</v>
      </c>
      <c r="R480" s="315">
        <v>45145.8333564815</v>
      </c>
      <c r="S480" s="314" t="s">
        <v>1883</v>
      </c>
      <c r="T480" s="314" t="s">
        <v>1884</v>
      </c>
      <c r="U480" s="314" t="s">
        <v>1884</v>
      </c>
      <c r="V480" s="314" t="s">
        <v>114</v>
      </c>
      <c r="W480" s="314"/>
      <c r="X480" s="314" t="str">
        <f>VLOOKUP(D480,代理总表!A:D,3,0)</f>
        <v>官网</v>
      </c>
      <c r="Y480" t="str">
        <f>VLOOKUP(D:D,代理总表!A:D,4,FALSE)</f>
        <v>官网</v>
      </c>
      <c r="Z480">
        <f t="shared" si="21"/>
        <v>1</v>
      </c>
      <c r="AA480">
        <f t="shared" si="22"/>
        <v>17</v>
      </c>
      <c r="AB480">
        <f t="shared" si="23"/>
        <v>1</v>
      </c>
    </row>
    <row r="481" spans="1:28">
      <c r="A481" s="314" t="s">
        <v>1885</v>
      </c>
      <c r="B481" s="314" t="s">
        <v>1886</v>
      </c>
      <c r="C481" s="314">
        <v>15563132821</v>
      </c>
      <c r="D481" s="314" t="s">
        <v>1887</v>
      </c>
      <c r="E481" s="314" t="s">
        <v>104</v>
      </c>
      <c r="F481" s="314" t="s">
        <v>144</v>
      </c>
      <c r="G481" s="314" t="s">
        <v>106</v>
      </c>
      <c r="H481" s="314" t="s">
        <v>107</v>
      </c>
      <c r="I481" s="314" t="s">
        <v>108</v>
      </c>
      <c r="J481" s="314" t="s">
        <v>109</v>
      </c>
      <c r="K481" s="314">
        <v>500</v>
      </c>
      <c r="L481" s="314">
        <v>0</v>
      </c>
      <c r="M481" s="315">
        <v>45145.717662037</v>
      </c>
      <c r="N481" s="314" t="s">
        <v>1888</v>
      </c>
      <c r="O481" s="314" t="s">
        <v>1889</v>
      </c>
      <c r="P481" s="314" t="s">
        <v>112</v>
      </c>
      <c r="Q481" s="315">
        <v>45145.7214583333</v>
      </c>
      <c r="R481" s="315">
        <v>45145.9748263889</v>
      </c>
      <c r="S481" s="314" t="s">
        <v>1890</v>
      </c>
      <c r="T481" s="314" t="s">
        <v>1891</v>
      </c>
      <c r="U481" s="314" t="s">
        <v>1892</v>
      </c>
      <c r="V481" s="314" t="s">
        <v>114</v>
      </c>
      <c r="W481" s="314"/>
      <c r="X481" s="314" t="str">
        <f>VLOOKUP(D481,代理总表!A:D,3,0)</f>
        <v>袋鼠</v>
      </c>
      <c r="Y481" t="str">
        <f>VLOOKUP(D:D,代理总表!A:D,4,FALSE)</f>
        <v>袋鼠btydl0099</v>
      </c>
      <c r="Z481">
        <f t="shared" si="21"/>
        <v>1</v>
      </c>
      <c r="AA481">
        <f t="shared" si="22"/>
        <v>17</v>
      </c>
      <c r="AB481">
        <f t="shared" si="23"/>
        <v>1</v>
      </c>
    </row>
    <row r="482" spans="1:28">
      <c r="A482" s="314" t="s">
        <v>1893</v>
      </c>
      <c r="B482" s="314"/>
      <c r="C482" s="314">
        <v>633026569</v>
      </c>
      <c r="D482" s="314" t="s">
        <v>1894</v>
      </c>
      <c r="E482" s="314" t="s">
        <v>1895</v>
      </c>
      <c r="F482" s="314" t="s">
        <v>118</v>
      </c>
      <c r="G482" s="314" t="s">
        <v>108</v>
      </c>
      <c r="H482" s="314" t="s">
        <v>119</v>
      </c>
      <c r="I482" s="314" t="s">
        <v>108</v>
      </c>
      <c r="J482" s="314" t="s">
        <v>1896</v>
      </c>
      <c r="K482" s="314">
        <v>0</v>
      </c>
      <c r="L482" s="314">
        <v>0</v>
      </c>
      <c r="M482" s="315">
        <v>45145.7175810185</v>
      </c>
      <c r="N482" s="314" t="s">
        <v>1897</v>
      </c>
      <c r="O482" s="314" t="s">
        <v>1898</v>
      </c>
      <c r="P482" s="314" t="s">
        <v>112</v>
      </c>
      <c r="Q482" s="314" t="s">
        <v>123</v>
      </c>
      <c r="R482" s="315">
        <v>45145.771712963</v>
      </c>
      <c r="S482" s="314" t="s">
        <v>1897</v>
      </c>
      <c r="T482" s="314" t="s">
        <v>1899</v>
      </c>
      <c r="U482" s="314" t="s">
        <v>1899</v>
      </c>
      <c r="V482" s="314" t="s">
        <v>114</v>
      </c>
      <c r="W482" s="314"/>
      <c r="X482" s="314" t="str">
        <f>VLOOKUP(D482,代理总表!A:D,3,0)</f>
        <v>鲲鹏admin</v>
      </c>
      <c r="Y482" t="str">
        <f>VLOOKUP(D:D,代理总表!A:D,4,FALSE)</f>
        <v>鲲鹏adminbtydl0057</v>
      </c>
      <c r="Z482">
        <f t="shared" si="21"/>
        <v>0</v>
      </c>
      <c r="AA482">
        <f t="shared" si="22"/>
        <v>17</v>
      </c>
      <c r="AB482">
        <f t="shared" si="23"/>
        <v>1</v>
      </c>
    </row>
    <row r="483" spans="1:28">
      <c r="A483" s="314" t="s">
        <v>1900</v>
      </c>
      <c r="B483" s="314"/>
      <c r="C483" s="314"/>
      <c r="D483" s="314" t="s">
        <v>172</v>
      </c>
      <c r="E483" s="314" t="s">
        <v>117</v>
      </c>
      <c r="F483" s="314" t="s">
        <v>118</v>
      </c>
      <c r="G483" s="314" t="s">
        <v>108</v>
      </c>
      <c r="H483" s="314" t="s">
        <v>119</v>
      </c>
      <c r="I483" s="314" t="s">
        <v>108</v>
      </c>
      <c r="J483" s="314" t="s">
        <v>120</v>
      </c>
      <c r="K483" s="314">
        <v>0</v>
      </c>
      <c r="L483" s="314">
        <v>0</v>
      </c>
      <c r="M483" s="315">
        <v>45145.7167939815</v>
      </c>
      <c r="N483" s="314" t="s">
        <v>1901</v>
      </c>
      <c r="O483" s="314" t="s">
        <v>1205</v>
      </c>
      <c r="P483" s="314" t="s">
        <v>339</v>
      </c>
      <c r="Q483" s="314" t="s">
        <v>123</v>
      </c>
      <c r="R483" s="315">
        <v>45145.7171527778</v>
      </c>
      <c r="S483" s="314" t="s">
        <v>1901</v>
      </c>
      <c r="T483" s="314" t="s">
        <v>216</v>
      </c>
      <c r="U483" s="314" t="s">
        <v>216</v>
      </c>
      <c r="V483" s="314" t="s">
        <v>114</v>
      </c>
      <c r="W483" s="314"/>
      <c r="X483" s="314" t="str">
        <f>VLOOKUP(D483,代理总表!A:D,3,0)</f>
        <v>雨燕直播-越</v>
      </c>
      <c r="Y483" t="str">
        <f>VLOOKUP(D:D,代理总表!A:D,4,FALSE)</f>
        <v>雨燕直播-越ffvn66</v>
      </c>
      <c r="Z483">
        <f t="shared" si="21"/>
        <v>0</v>
      </c>
      <c r="AA483">
        <f t="shared" si="22"/>
        <v>17</v>
      </c>
      <c r="AB483">
        <f t="shared" si="23"/>
        <v>1</v>
      </c>
    </row>
    <row r="484" spans="1:28">
      <c r="A484" s="314" t="s">
        <v>1902</v>
      </c>
      <c r="B484" s="314"/>
      <c r="C484" s="314"/>
      <c r="D484" s="314" t="s">
        <v>1903</v>
      </c>
      <c r="E484" s="314" t="s">
        <v>104</v>
      </c>
      <c r="F484" s="314" t="s">
        <v>118</v>
      </c>
      <c r="G484" s="314" t="s">
        <v>108</v>
      </c>
      <c r="H484" s="314" t="s">
        <v>119</v>
      </c>
      <c r="I484" s="314" t="s">
        <v>108</v>
      </c>
      <c r="J484" s="314" t="s">
        <v>109</v>
      </c>
      <c r="K484" s="314">
        <v>0</v>
      </c>
      <c r="L484" s="314">
        <v>0</v>
      </c>
      <c r="M484" s="315">
        <v>45145.7166435185</v>
      </c>
      <c r="N484" s="314" t="s">
        <v>1904</v>
      </c>
      <c r="O484" s="314" t="s">
        <v>1905</v>
      </c>
      <c r="P484" s="314" t="s">
        <v>339</v>
      </c>
      <c r="Q484" s="314" t="s">
        <v>123</v>
      </c>
      <c r="R484" s="315">
        <v>45145.7166319444</v>
      </c>
      <c r="S484" s="314" t="s">
        <v>1904</v>
      </c>
      <c r="T484" s="314" t="s">
        <v>1906</v>
      </c>
      <c r="U484" s="314" t="s">
        <v>1906</v>
      </c>
      <c r="V484" s="314" t="s">
        <v>114</v>
      </c>
      <c r="W484" s="314"/>
      <c r="X484" s="314" t="e">
        <f>VLOOKUP(D484,代理总表!A:D,3,0)</f>
        <v>#N/A</v>
      </c>
      <c r="Y484" t="e">
        <f>VLOOKUP(D:D,代理总表!A:D,4,FALSE)</f>
        <v>#N/A</v>
      </c>
      <c r="Z484">
        <f t="shared" si="21"/>
        <v>0</v>
      </c>
      <c r="AA484">
        <f t="shared" si="22"/>
        <v>17</v>
      </c>
      <c r="AB484">
        <f t="shared" si="23"/>
        <v>1</v>
      </c>
    </row>
    <row r="485" spans="1:28">
      <c r="A485" s="314" t="s">
        <v>1907</v>
      </c>
      <c r="B485" s="314" t="s">
        <v>1908</v>
      </c>
      <c r="C485" s="314">
        <v>13688129901</v>
      </c>
      <c r="D485" s="314" t="s">
        <v>148</v>
      </c>
      <c r="E485" s="314" t="s">
        <v>104</v>
      </c>
      <c r="F485" s="314" t="s">
        <v>149</v>
      </c>
      <c r="G485" s="314" t="s">
        <v>108</v>
      </c>
      <c r="H485" s="314" t="s">
        <v>119</v>
      </c>
      <c r="I485" s="314" t="s">
        <v>108</v>
      </c>
      <c r="J485" s="314" t="s">
        <v>109</v>
      </c>
      <c r="K485" s="314">
        <v>0</v>
      </c>
      <c r="L485" s="314">
        <v>0</v>
      </c>
      <c r="M485" s="315">
        <v>45145.7165393519</v>
      </c>
      <c r="N485" s="314" t="s">
        <v>825</v>
      </c>
      <c r="O485" s="314" t="s">
        <v>585</v>
      </c>
      <c r="P485" s="314" t="s">
        <v>112</v>
      </c>
      <c r="Q485" s="314" t="s">
        <v>123</v>
      </c>
      <c r="R485" s="315">
        <v>45145.7254976852</v>
      </c>
      <c r="S485" s="314" t="s">
        <v>825</v>
      </c>
      <c r="T485" s="314" t="s">
        <v>826</v>
      </c>
      <c r="U485" s="314" t="s">
        <v>826</v>
      </c>
      <c r="V485" s="314" t="s">
        <v>114</v>
      </c>
      <c r="W485" s="314"/>
      <c r="X485" s="314" t="str">
        <f>VLOOKUP(D485,代理总表!A:D,3,0)</f>
        <v>martin</v>
      </c>
      <c r="Y485" t="str">
        <f>VLOOKUP(D:D,代理总表!A:D,4,FALSE)</f>
        <v>SEO</v>
      </c>
      <c r="Z485">
        <f t="shared" si="21"/>
        <v>0</v>
      </c>
      <c r="AA485">
        <f t="shared" si="22"/>
        <v>17</v>
      </c>
      <c r="AB485">
        <f t="shared" si="23"/>
        <v>1</v>
      </c>
    </row>
    <row r="486" spans="1:28">
      <c r="A486" s="314" t="s">
        <v>1909</v>
      </c>
      <c r="B486" s="314"/>
      <c r="C486" s="314"/>
      <c r="D486" s="314" t="s">
        <v>172</v>
      </c>
      <c r="E486" s="314" t="s">
        <v>104</v>
      </c>
      <c r="F486" s="314" t="s">
        <v>118</v>
      </c>
      <c r="G486" s="314" t="s">
        <v>108</v>
      </c>
      <c r="H486" s="314" t="s">
        <v>119</v>
      </c>
      <c r="I486" s="314" t="s">
        <v>108</v>
      </c>
      <c r="J486" s="314" t="s">
        <v>109</v>
      </c>
      <c r="K486" s="314">
        <v>0</v>
      </c>
      <c r="L486" s="314">
        <v>0</v>
      </c>
      <c r="M486" s="315">
        <v>45145.7155671296</v>
      </c>
      <c r="N486" s="314" t="s">
        <v>874</v>
      </c>
      <c r="O486" s="314" t="s">
        <v>174</v>
      </c>
      <c r="P486" s="314" t="s">
        <v>112</v>
      </c>
      <c r="Q486" s="314" t="s">
        <v>123</v>
      </c>
      <c r="R486" s="315">
        <v>45145.7163657407</v>
      </c>
      <c r="S486" s="314" t="s">
        <v>874</v>
      </c>
      <c r="T486" s="314" t="s">
        <v>849</v>
      </c>
      <c r="U486" s="314" t="s">
        <v>849</v>
      </c>
      <c r="V486" s="314" t="s">
        <v>114</v>
      </c>
      <c r="W486" s="314"/>
      <c r="X486" s="314" t="str">
        <f>VLOOKUP(D486,代理总表!A:D,3,0)</f>
        <v>雨燕直播-越</v>
      </c>
      <c r="Y486" t="str">
        <f>VLOOKUP(D:D,代理总表!A:D,4,FALSE)</f>
        <v>雨燕直播-越ffvn66</v>
      </c>
      <c r="Z486">
        <f t="shared" si="21"/>
        <v>0</v>
      </c>
      <c r="AA486">
        <f t="shared" si="22"/>
        <v>17</v>
      </c>
      <c r="AB486">
        <f t="shared" si="23"/>
        <v>1</v>
      </c>
    </row>
    <row r="487" spans="1:28">
      <c r="A487" s="314" t="s">
        <v>1910</v>
      </c>
      <c r="B487" s="314"/>
      <c r="C487" s="314"/>
      <c r="D487" s="314" t="s">
        <v>137</v>
      </c>
      <c r="E487" s="314" t="s">
        <v>117</v>
      </c>
      <c r="F487" s="314" t="s">
        <v>118</v>
      </c>
      <c r="G487" s="314" t="s">
        <v>108</v>
      </c>
      <c r="H487" s="314" t="s">
        <v>119</v>
      </c>
      <c r="I487" s="314" t="s">
        <v>108</v>
      </c>
      <c r="J487" s="314" t="s">
        <v>120</v>
      </c>
      <c r="K487" s="314">
        <v>0</v>
      </c>
      <c r="L487" s="314">
        <v>0</v>
      </c>
      <c r="M487" s="315">
        <v>45145.7154166667</v>
      </c>
      <c r="N487" s="314" t="s">
        <v>1911</v>
      </c>
      <c r="O487" s="314" t="s">
        <v>139</v>
      </c>
      <c r="P487" s="314" t="s">
        <v>112</v>
      </c>
      <c r="Q487" s="314" t="s">
        <v>123</v>
      </c>
      <c r="R487" s="315">
        <v>45145.7154050926</v>
      </c>
      <c r="S487" s="314" t="s">
        <v>1911</v>
      </c>
      <c r="T487" s="314" t="s">
        <v>131</v>
      </c>
      <c r="U487" s="314" t="s">
        <v>131</v>
      </c>
      <c r="V487" s="314" t="s">
        <v>114</v>
      </c>
      <c r="W487" s="314"/>
      <c r="X487" s="314" t="str">
        <f>VLOOKUP(D487,代理总表!A:D,3,0)</f>
        <v>雨燕直播-越</v>
      </c>
      <c r="Y487" t="str">
        <f>VLOOKUP(D:D,代理总表!A:D,4,FALSE)</f>
        <v>雨燕直播-越ffvn66</v>
      </c>
      <c r="Z487">
        <f t="shared" si="21"/>
        <v>0</v>
      </c>
      <c r="AA487">
        <f t="shared" si="22"/>
        <v>17</v>
      </c>
      <c r="AB487">
        <f t="shared" si="23"/>
        <v>1</v>
      </c>
    </row>
    <row r="488" spans="1:28">
      <c r="A488" s="314" t="s">
        <v>1912</v>
      </c>
      <c r="B488" s="314" t="s">
        <v>1913</v>
      </c>
      <c r="C488" s="314">
        <v>15290009001</v>
      </c>
      <c r="D488" s="314" t="s">
        <v>760</v>
      </c>
      <c r="E488" s="314" t="s">
        <v>104</v>
      </c>
      <c r="F488" s="314" t="s">
        <v>144</v>
      </c>
      <c r="G488" s="314" t="s">
        <v>106</v>
      </c>
      <c r="H488" s="314" t="s">
        <v>107</v>
      </c>
      <c r="I488" s="314" t="s">
        <v>108</v>
      </c>
      <c r="J488" s="314" t="s">
        <v>109</v>
      </c>
      <c r="K488" s="314">
        <v>500</v>
      </c>
      <c r="L488" s="314">
        <v>2000</v>
      </c>
      <c r="M488" s="315">
        <v>45145.7152430556</v>
      </c>
      <c r="N488" s="314" t="s">
        <v>1914</v>
      </c>
      <c r="O488" s="314" t="s">
        <v>1444</v>
      </c>
      <c r="P488" s="314" t="s">
        <v>161</v>
      </c>
      <c r="Q488" s="315">
        <v>45145.7246180556</v>
      </c>
      <c r="R488" s="315">
        <v>45145.9372685185</v>
      </c>
      <c r="S488" s="314" t="s">
        <v>1915</v>
      </c>
      <c r="T488" s="314" t="s">
        <v>1916</v>
      </c>
      <c r="U488" s="314" t="s">
        <v>1917</v>
      </c>
      <c r="V488" s="314" t="s">
        <v>114</v>
      </c>
      <c r="W488" s="314"/>
      <c r="X488" s="314" t="str">
        <f>VLOOKUP(D488,代理总表!A:D,3,0)</f>
        <v>GT-骨头</v>
      </c>
      <c r="Y488" t="str">
        <f>VLOOKUP(D:D,代理总表!A:D,4,FALSE)</f>
        <v>B直播gt6677</v>
      </c>
      <c r="Z488">
        <f t="shared" si="21"/>
        <v>1</v>
      </c>
      <c r="AA488">
        <f t="shared" si="22"/>
        <v>17</v>
      </c>
      <c r="AB488">
        <f t="shared" si="23"/>
        <v>1</v>
      </c>
    </row>
    <row r="489" spans="1:28">
      <c r="A489" s="314" t="s">
        <v>1918</v>
      </c>
      <c r="B489" s="314" t="s">
        <v>1919</v>
      </c>
      <c r="C489" s="314">
        <v>13040847419</v>
      </c>
      <c r="D489" s="314" t="s">
        <v>103</v>
      </c>
      <c r="E489" s="314" t="s">
        <v>104</v>
      </c>
      <c r="F489" s="314" t="s">
        <v>1920</v>
      </c>
      <c r="G489" s="314" t="s">
        <v>106</v>
      </c>
      <c r="H489" s="314" t="s">
        <v>107</v>
      </c>
      <c r="I489" s="314" t="s">
        <v>108</v>
      </c>
      <c r="J489" s="314" t="s">
        <v>109</v>
      </c>
      <c r="K489" s="314">
        <v>6393.56</v>
      </c>
      <c r="L489" s="314">
        <v>6301</v>
      </c>
      <c r="M489" s="315">
        <v>45145.7151967593</v>
      </c>
      <c r="N489" s="314" t="s">
        <v>1921</v>
      </c>
      <c r="O489" s="314" t="s">
        <v>1922</v>
      </c>
      <c r="P489" s="314" t="s">
        <v>339</v>
      </c>
      <c r="Q489" s="315">
        <v>45145.7187152778</v>
      </c>
      <c r="R489" s="315">
        <v>45145.7151851852</v>
      </c>
      <c r="S489" s="314" t="s">
        <v>1921</v>
      </c>
      <c r="T489" s="314" t="s">
        <v>1923</v>
      </c>
      <c r="U489" s="314" t="s">
        <v>1923</v>
      </c>
      <c r="V489" s="314" t="s">
        <v>114</v>
      </c>
      <c r="W489" s="314"/>
      <c r="X489" s="314" t="str">
        <f>VLOOKUP(D489,代理总表!A:D,3,0)</f>
        <v>官网</v>
      </c>
      <c r="Y489" t="str">
        <f>VLOOKUP(D:D,代理总表!A:D,4,FALSE)</f>
        <v>官网</v>
      </c>
      <c r="Z489">
        <f t="shared" si="21"/>
        <v>1</v>
      </c>
      <c r="AA489">
        <f t="shared" si="22"/>
        <v>17</v>
      </c>
      <c r="AB489">
        <f t="shared" si="23"/>
        <v>1</v>
      </c>
    </row>
    <row r="490" spans="1:28">
      <c r="A490" s="314" t="s">
        <v>1924</v>
      </c>
      <c r="B490" s="314" t="s">
        <v>1925</v>
      </c>
      <c r="C490" s="314">
        <v>931751175</v>
      </c>
      <c r="D490" s="314" t="s">
        <v>143</v>
      </c>
      <c r="E490" s="314" t="s">
        <v>117</v>
      </c>
      <c r="F490" s="314" t="s">
        <v>118</v>
      </c>
      <c r="G490" s="314" t="s">
        <v>108</v>
      </c>
      <c r="H490" s="314" t="s">
        <v>119</v>
      </c>
      <c r="I490" s="314" t="s">
        <v>108</v>
      </c>
      <c r="J490" s="314" t="s">
        <v>120</v>
      </c>
      <c r="K490" s="314">
        <v>0</v>
      </c>
      <c r="L490" s="314">
        <v>0</v>
      </c>
      <c r="M490" s="315">
        <v>45145.7146412037</v>
      </c>
      <c r="N490" s="314" t="s">
        <v>1926</v>
      </c>
      <c r="O490" s="314" t="s">
        <v>407</v>
      </c>
      <c r="P490" s="314" t="s">
        <v>112</v>
      </c>
      <c r="Q490" s="314" t="s">
        <v>123</v>
      </c>
      <c r="R490" s="315">
        <v>45145.893912037</v>
      </c>
      <c r="S490" s="314" t="s">
        <v>1926</v>
      </c>
      <c r="T490" s="314" t="s">
        <v>124</v>
      </c>
      <c r="U490" s="314" t="s">
        <v>124</v>
      </c>
      <c r="V490" s="314" t="s">
        <v>114</v>
      </c>
      <c r="W490" s="314"/>
      <c r="X490" s="314" t="str">
        <f>VLOOKUP(D490,代理总表!A:D,3,0)</f>
        <v>雨燕直播-越</v>
      </c>
      <c r="Y490" t="str">
        <f>VLOOKUP(D:D,代理总表!A:D,4,FALSE)</f>
        <v>雨燕直播-越ffvn66</v>
      </c>
      <c r="Z490">
        <f t="shared" si="21"/>
        <v>0</v>
      </c>
      <c r="AA490">
        <f t="shared" si="22"/>
        <v>17</v>
      </c>
      <c r="AB490">
        <f t="shared" si="23"/>
        <v>1</v>
      </c>
    </row>
    <row r="491" spans="1:28">
      <c r="A491" s="314" t="s">
        <v>1927</v>
      </c>
      <c r="B491" s="314"/>
      <c r="C491" s="314">
        <v>15876849916</v>
      </c>
      <c r="D491" s="314" t="s">
        <v>148</v>
      </c>
      <c r="E491" s="314" t="s">
        <v>104</v>
      </c>
      <c r="F491" s="314" t="s">
        <v>149</v>
      </c>
      <c r="G491" s="314" t="s">
        <v>108</v>
      </c>
      <c r="H491" s="314" t="s">
        <v>119</v>
      </c>
      <c r="I491" s="314" t="s">
        <v>108</v>
      </c>
      <c r="J491" s="314" t="s">
        <v>109</v>
      </c>
      <c r="K491" s="314">
        <v>0</v>
      </c>
      <c r="L491" s="314">
        <v>0</v>
      </c>
      <c r="M491" s="315">
        <v>45145.7140509259</v>
      </c>
      <c r="N491" s="314" t="s">
        <v>1928</v>
      </c>
      <c r="O491" s="314" t="s">
        <v>160</v>
      </c>
      <c r="P491" s="314" t="s">
        <v>208</v>
      </c>
      <c r="Q491" s="314" t="s">
        <v>123</v>
      </c>
      <c r="R491" s="315">
        <v>45145.7140393518</v>
      </c>
      <c r="S491" s="314" t="s">
        <v>1928</v>
      </c>
      <c r="T491" s="314" t="s">
        <v>939</v>
      </c>
      <c r="U491" s="314" t="s">
        <v>939</v>
      </c>
      <c r="V491" s="314" t="s">
        <v>452</v>
      </c>
      <c r="W491" s="314"/>
      <c r="X491" s="314" t="str">
        <f>VLOOKUP(D491,代理总表!A:D,3,0)</f>
        <v>martin</v>
      </c>
      <c r="Y491" t="str">
        <f>VLOOKUP(D:D,代理总表!A:D,4,FALSE)</f>
        <v>SEO</v>
      </c>
      <c r="Z491">
        <f t="shared" si="21"/>
        <v>0</v>
      </c>
      <c r="AA491">
        <f t="shared" si="22"/>
        <v>17</v>
      </c>
      <c r="AB491">
        <f t="shared" si="23"/>
        <v>1</v>
      </c>
    </row>
    <row r="492" spans="1:28">
      <c r="A492" s="314" t="s">
        <v>1929</v>
      </c>
      <c r="B492" s="314" t="s">
        <v>1930</v>
      </c>
      <c r="C492" s="314">
        <v>13582302863</v>
      </c>
      <c r="D492" s="314" t="s">
        <v>1259</v>
      </c>
      <c r="E492" s="314" t="s">
        <v>104</v>
      </c>
      <c r="F492" s="314" t="s">
        <v>149</v>
      </c>
      <c r="G492" s="314" t="s">
        <v>108</v>
      </c>
      <c r="H492" s="314" t="s">
        <v>119</v>
      </c>
      <c r="I492" s="314" t="s">
        <v>108</v>
      </c>
      <c r="J492" s="314" t="s">
        <v>109</v>
      </c>
      <c r="K492" s="314">
        <v>0</v>
      </c>
      <c r="L492" s="314">
        <v>0</v>
      </c>
      <c r="M492" s="315">
        <v>45145.7130324074</v>
      </c>
      <c r="N492" s="314" t="s">
        <v>1874</v>
      </c>
      <c r="O492" s="314" t="s">
        <v>1261</v>
      </c>
      <c r="P492" s="314" t="s">
        <v>112</v>
      </c>
      <c r="Q492" s="314" t="s">
        <v>123</v>
      </c>
      <c r="R492" s="315">
        <v>45145.8859490741</v>
      </c>
      <c r="S492" s="314" t="s">
        <v>1931</v>
      </c>
      <c r="T492" s="314" t="s">
        <v>1875</v>
      </c>
      <c r="U492" s="314" t="s">
        <v>1932</v>
      </c>
      <c r="V492" s="314" t="s">
        <v>114</v>
      </c>
      <c r="W492" s="314"/>
      <c r="X492" s="314" t="str">
        <f>VLOOKUP(D492,代理总表!A:D,3,0)</f>
        <v>seo转线</v>
      </c>
      <c r="Y492" t="str">
        <f>VLOOKUP(D:D,代理总表!A:D,4,FALSE)</f>
        <v>seo转线</v>
      </c>
      <c r="Z492">
        <f t="shared" si="21"/>
        <v>0</v>
      </c>
      <c r="AA492">
        <f t="shared" si="22"/>
        <v>17</v>
      </c>
      <c r="AB492">
        <f t="shared" si="23"/>
        <v>1</v>
      </c>
    </row>
    <row r="493" spans="1:28">
      <c r="A493" s="314" t="s">
        <v>1933</v>
      </c>
      <c r="B493" s="314"/>
      <c r="C493" s="314">
        <v>901163824</v>
      </c>
      <c r="D493" s="314" t="s">
        <v>522</v>
      </c>
      <c r="E493" s="314" t="s">
        <v>117</v>
      </c>
      <c r="F493" s="314" t="s">
        <v>118</v>
      </c>
      <c r="G493" s="314" t="s">
        <v>108</v>
      </c>
      <c r="H493" s="314" t="s">
        <v>119</v>
      </c>
      <c r="I493" s="314" t="s">
        <v>108</v>
      </c>
      <c r="J493" s="314" t="s">
        <v>120</v>
      </c>
      <c r="K493" s="314">
        <v>0</v>
      </c>
      <c r="L493" s="314">
        <v>0</v>
      </c>
      <c r="M493" s="315">
        <v>45145.7126851852</v>
      </c>
      <c r="N493" s="314" t="s">
        <v>1934</v>
      </c>
      <c r="O493" s="314" t="s">
        <v>524</v>
      </c>
      <c r="P493" s="314" t="s">
        <v>112</v>
      </c>
      <c r="Q493" s="314" t="s">
        <v>123</v>
      </c>
      <c r="R493" s="315">
        <v>45145.7126851852</v>
      </c>
      <c r="S493" s="314" t="s">
        <v>1934</v>
      </c>
      <c r="T493" s="314" t="s">
        <v>124</v>
      </c>
      <c r="U493" s="314" t="s">
        <v>124</v>
      </c>
      <c r="V493" s="314" t="s">
        <v>114</v>
      </c>
      <c r="W493" s="314"/>
      <c r="X493" s="314" t="str">
        <f>VLOOKUP(D493,代理总表!A:D,3,0)</f>
        <v>SOCO越南直播</v>
      </c>
      <c r="Y493" t="str">
        <f>VLOOKUP(D:D,代理总表!A:D,4,FALSE)</f>
        <v>SOCO越南直播ffvn66</v>
      </c>
      <c r="Z493">
        <f t="shared" si="21"/>
        <v>0</v>
      </c>
      <c r="AA493">
        <f t="shared" si="22"/>
        <v>17</v>
      </c>
      <c r="AB493">
        <f t="shared" si="23"/>
        <v>1</v>
      </c>
    </row>
    <row r="494" spans="1:28">
      <c r="A494" s="314" t="s">
        <v>1935</v>
      </c>
      <c r="B494" s="314" t="s">
        <v>1936</v>
      </c>
      <c r="C494" s="314">
        <v>901804023</v>
      </c>
      <c r="D494" s="314" t="s">
        <v>116</v>
      </c>
      <c r="E494" s="314" t="s">
        <v>117</v>
      </c>
      <c r="F494" s="314" t="s">
        <v>118</v>
      </c>
      <c r="G494" s="314" t="s">
        <v>108</v>
      </c>
      <c r="H494" s="314" t="s">
        <v>119</v>
      </c>
      <c r="I494" s="314" t="s">
        <v>108</v>
      </c>
      <c r="J494" s="314" t="s">
        <v>120</v>
      </c>
      <c r="K494" s="314">
        <v>0</v>
      </c>
      <c r="L494" s="314">
        <v>0</v>
      </c>
      <c r="M494" s="315">
        <v>45145.7124189815</v>
      </c>
      <c r="N494" s="314" t="s">
        <v>1937</v>
      </c>
      <c r="O494" s="314" t="s">
        <v>122</v>
      </c>
      <c r="P494" s="314" t="s">
        <v>112</v>
      </c>
      <c r="Q494" s="314" t="s">
        <v>123</v>
      </c>
      <c r="R494" s="315">
        <v>45145.7124189815</v>
      </c>
      <c r="S494" s="314" t="s">
        <v>1937</v>
      </c>
      <c r="T494" s="314" t="s">
        <v>131</v>
      </c>
      <c r="U494" s="314" t="s">
        <v>131</v>
      </c>
      <c r="V494" s="314" t="s">
        <v>114</v>
      </c>
      <c r="W494" s="314"/>
      <c r="X494" s="314" t="str">
        <f>VLOOKUP(D494,代理总表!A:D,3,0)</f>
        <v>外部代理总线</v>
      </c>
      <c r="Y494" t="str">
        <f>VLOOKUP(D:D,代理总表!A:D,4,FALSE)</f>
        <v>外部代理总线zh0808</v>
      </c>
      <c r="Z494">
        <f t="shared" si="21"/>
        <v>0</v>
      </c>
      <c r="AA494">
        <f t="shared" si="22"/>
        <v>17</v>
      </c>
      <c r="AB494">
        <f t="shared" si="23"/>
        <v>1</v>
      </c>
    </row>
    <row r="495" spans="1:28">
      <c r="A495" s="314" t="s">
        <v>1938</v>
      </c>
      <c r="B495" s="314"/>
      <c r="C495" s="314"/>
      <c r="D495" s="314" t="s">
        <v>760</v>
      </c>
      <c r="E495" s="314" t="s">
        <v>104</v>
      </c>
      <c r="F495" s="314" t="s">
        <v>118</v>
      </c>
      <c r="G495" s="314" t="s">
        <v>108</v>
      </c>
      <c r="H495" s="314" t="s">
        <v>119</v>
      </c>
      <c r="I495" s="314" t="s">
        <v>108</v>
      </c>
      <c r="J495" s="314" t="s">
        <v>109</v>
      </c>
      <c r="K495" s="314">
        <v>0</v>
      </c>
      <c r="L495" s="314">
        <v>0</v>
      </c>
      <c r="M495" s="315">
        <v>45145.7120486111</v>
      </c>
      <c r="N495" s="314" t="s">
        <v>1914</v>
      </c>
      <c r="O495" s="314" t="s">
        <v>1444</v>
      </c>
      <c r="P495" s="314" t="s">
        <v>112</v>
      </c>
      <c r="Q495" s="314" t="s">
        <v>123</v>
      </c>
      <c r="R495" s="315">
        <v>45145.7132523148</v>
      </c>
      <c r="S495" s="314" t="s">
        <v>1914</v>
      </c>
      <c r="T495" s="314" t="s">
        <v>1916</v>
      </c>
      <c r="U495" s="314" t="s">
        <v>1916</v>
      </c>
      <c r="V495" s="314" t="s">
        <v>114</v>
      </c>
      <c r="W495" s="314"/>
      <c r="X495" s="314" t="str">
        <f>VLOOKUP(D495,代理总表!A:D,3,0)</f>
        <v>GT-骨头</v>
      </c>
      <c r="Y495" t="str">
        <f>VLOOKUP(D:D,代理总表!A:D,4,FALSE)</f>
        <v>B直播gt6677</v>
      </c>
      <c r="Z495">
        <f t="shared" si="21"/>
        <v>0</v>
      </c>
      <c r="AA495">
        <f t="shared" si="22"/>
        <v>17</v>
      </c>
      <c r="AB495">
        <f t="shared" si="23"/>
        <v>1</v>
      </c>
    </row>
    <row r="496" spans="1:28">
      <c r="A496" s="314" t="s">
        <v>1939</v>
      </c>
      <c r="B496" s="314" t="s">
        <v>1940</v>
      </c>
      <c r="C496" s="314">
        <v>15810472782</v>
      </c>
      <c r="D496" s="314" t="s">
        <v>1525</v>
      </c>
      <c r="E496" s="314" t="s">
        <v>104</v>
      </c>
      <c r="F496" s="314" t="s">
        <v>144</v>
      </c>
      <c r="G496" s="314" t="s">
        <v>106</v>
      </c>
      <c r="H496" s="314" t="s">
        <v>107</v>
      </c>
      <c r="I496" s="314" t="s">
        <v>108</v>
      </c>
      <c r="J496" s="314" t="s">
        <v>109</v>
      </c>
      <c r="K496" s="314">
        <v>200.7</v>
      </c>
      <c r="L496" s="314">
        <v>100</v>
      </c>
      <c r="M496" s="315">
        <v>45145.7115162037</v>
      </c>
      <c r="N496" s="314" t="s">
        <v>1941</v>
      </c>
      <c r="O496" s="314" t="s">
        <v>1942</v>
      </c>
      <c r="P496" s="314" t="s">
        <v>112</v>
      </c>
      <c r="Q496" s="315">
        <v>45145.7259606481</v>
      </c>
      <c r="R496" s="315">
        <v>45146.1101967593</v>
      </c>
      <c r="S496" s="314" t="s">
        <v>1943</v>
      </c>
      <c r="T496" s="314" t="s">
        <v>203</v>
      </c>
      <c r="U496" s="314" t="s">
        <v>748</v>
      </c>
      <c r="V496" s="314" t="s">
        <v>114</v>
      </c>
      <c r="W496" s="314"/>
      <c r="X496" s="314" t="str">
        <f>VLOOKUP(D496,代理总表!A:D,3,0)</f>
        <v>GT-骨头</v>
      </c>
      <c r="Y496" t="str">
        <f>VLOOKUP(D:D,代理总表!A:D,4,FALSE)</f>
        <v>B直播gt6677</v>
      </c>
      <c r="Z496">
        <f t="shared" si="21"/>
        <v>1</v>
      </c>
      <c r="AA496">
        <f t="shared" si="22"/>
        <v>17</v>
      </c>
      <c r="AB496">
        <f t="shared" si="23"/>
        <v>1</v>
      </c>
    </row>
    <row r="497" spans="1:28">
      <c r="A497" s="314" t="s">
        <v>1944</v>
      </c>
      <c r="B497" s="314"/>
      <c r="C497" s="314">
        <v>904864523</v>
      </c>
      <c r="D497" s="314" t="s">
        <v>172</v>
      </c>
      <c r="E497" s="314" t="s">
        <v>117</v>
      </c>
      <c r="F497" s="314" t="s">
        <v>118</v>
      </c>
      <c r="G497" s="314" t="s">
        <v>108</v>
      </c>
      <c r="H497" s="314" t="s">
        <v>119</v>
      </c>
      <c r="I497" s="314" t="s">
        <v>108</v>
      </c>
      <c r="J497" s="314" t="s">
        <v>120</v>
      </c>
      <c r="K497" s="314">
        <v>0</v>
      </c>
      <c r="L497" s="314">
        <v>0</v>
      </c>
      <c r="M497" s="315">
        <v>45145.7110532407</v>
      </c>
      <c r="N497" s="314" t="s">
        <v>1945</v>
      </c>
      <c r="O497" s="314" t="s">
        <v>881</v>
      </c>
      <c r="P497" s="314" t="s">
        <v>112</v>
      </c>
      <c r="Q497" s="314" t="s">
        <v>123</v>
      </c>
      <c r="R497" s="315">
        <v>45145.7255208333</v>
      </c>
      <c r="S497" s="314" t="s">
        <v>1945</v>
      </c>
      <c r="T497" s="314" t="s">
        <v>134</v>
      </c>
      <c r="U497" s="314" t="s">
        <v>134</v>
      </c>
      <c r="V497" s="314" t="s">
        <v>114</v>
      </c>
      <c r="W497" s="314"/>
      <c r="X497" s="314" t="str">
        <f>VLOOKUP(D497,代理总表!A:D,3,0)</f>
        <v>雨燕直播-越</v>
      </c>
      <c r="Y497" t="str">
        <f>VLOOKUP(D:D,代理总表!A:D,4,FALSE)</f>
        <v>雨燕直播-越ffvn66</v>
      </c>
      <c r="Z497">
        <f t="shared" si="21"/>
        <v>0</v>
      </c>
      <c r="AA497">
        <f t="shared" si="22"/>
        <v>17</v>
      </c>
      <c r="AB497">
        <f t="shared" si="23"/>
        <v>1</v>
      </c>
    </row>
    <row r="498" spans="1:28">
      <c r="A498" s="314" t="s">
        <v>1946</v>
      </c>
      <c r="B498" s="314" t="s">
        <v>1947</v>
      </c>
      <c r="C498" s="314">
        <v>987375657</v>
      </c>
      <c r="D498" s="314" t="s">
        <v>1395</v>
      </c>
      <c r="E498" s="314" t="s">
        <v>117</v>
      </c>
      <c r="F498" s="314" t="s">
        <v>118</v>
      </c>
      <c r="G498" s="314" t="s">
        <v>108</v>
      </c>
      <c r="H498" s="314" t="s">
        <v>119</v>
      </c>
      <c r="I498" s="314" t="s">
        <v>108</v>
      </c>
      <c r="J498" s="314" t="s">
        <v>120</v>
      </c>
      <c r="K498" s="314">
        <v>0</v>
      </c>
      <c r="L498" s="314">
        <v>0</v>
      </c>
      <c r="M498" s="315">
        <v>45145.7104861111</v>
      </c>
      <c r="N498" s="314" t="s">
        <v>1948</v>
      </c>
      <c r="O498" s="314" t="s">
        <v>1397</v>
      </c>
      <c r="P498" s="314" t="s">
        <v>112</v>
      </c>
      <c r="Q498" s="314" t="s">
        <v>123</v>
      </c>
      <c r="R498" s="315">
        <v>45145.7524537037</v>
      </c>
      <c r="S498" s="314" t="s">
        <v>1948</v>
      </c>
      <c r="T498" s="314" t="s">
        <v>124</v>
      </c>
      <c r="U498" s="314" t="s">
        <v>124</v>
      </c>
      <c r="V498" s="314" t="s">
        <v>114</v>
      </c>
      <c r="W498" s="314"/>
      <c r="X498" s="314" t="str">
        <f>VLOOKUP(D498,代理总表!A:D,3,0)</f>
        <v>外代-越</v>
      </c>
      <c r="Y498" t="str">
        <f>VLOOKUP(D:D,代理总表!A:D,4,FALSE)</f>
        <v>外代-越btydl072</v>
      </c>
      <c r="Z498">
        <f t="shared" si="21"/>
        <v>0</v>
      </c>
      <c r="AA498">
        <f t="shared" si="22"/>
        <v>17</v>
      </c>
      <c r="AB498">
        <f t="shared" si="23"/>
        <v>1</v>
      </c>
    </row>
    <row r="499" spans="1:28">
      <c r="A499" s="314" t="s">
        <v>1949</v>
      </c>
      <c r="B499" s="314"/>
      <c r="C499" s="314">
        <v>13873173403</v>
      </c>
      <c r="D499" s="314" t="s">
        <v>294</v>
      </c>
      <c r="E499" s="314" t="s">
        <v>104</v>
      </c>
      <c r="F499" s="314" t="s">
        <v>149</v>
      </c>
      <c r="G499" s="314" t="s">
        <v>108</v>
      </c>
      <c r="H499" s="314" t="s">
        <v>119</v>
      </c>
      <c r="I499" s="314" t="s">
        <v>108</v>
      </c>
      <c r="J499" s="314" t="s">
        <v>109</v>
      </c>
      <c r="K499" s="314">
        <v>0</v>
      </c>
      <c r="L499" s="314">
        <v>0</v>
      </c>
      <c r="M499" s="315">
        <v>45145.7099421296</v>
      </c>
      <c r="N499" s="314" t="s">
        <v>1950</v>
      </c>
      <c r="O499" s="314" t="s">
        <v>1951</v>
      </c>
      <c r="P499" s="314" t="s">
        <v>112</v>
      </c>
      <c r="Q499" s="314" t="s">
        <v>123</v>
      </c>
      <c r="R499" s="315">
        <v>45145.8974074074</v>
      </c>
      <c r="S499" s="314" t="s">
        <v>1950</v>
      </c>
      <c r="T499" s="314" t="s">
        <v>1952</v>
      </c>
      <c r="U499" s="314" t="s">
        <v>1952</v>
      </c>
      <c r="V499" s="314" t="s">
        <v>114</v>
      </c>
      <c r="W499" s="314"/>
      <c r="X499" s="314" t="str">
        <f>VLOOKUP(D499,代理总表!A:D,3,0)</f>
        <v>DK</v>
      </c>
      <c r="Y499" t="str">
        <f>VLOOKUP(D:D,代理总表!A:D,4,FALSE)</f>
        <v>SEO</v>
      </c>
      <c r="Z499">
        <f t="shared" si="21"/>
        <v>0</v>
      </c>
      <c r="AA499">
        <f t="shared" si="22"/>
        <v>17</v>
      </c>
      <c r="AB499">
        <f t="shared" si="23"/>
        <v>1</v>
      </c>
    </row>
    <row r="500" spans="1:28">
      <c r="A500" s="314" t="s">
        <v>1953</v>
      </c>
      <c r="B500" s="314" t="s">
        <v>1954</v>
      </c>
      <c r="C500" s="314">
        <v>13924589831</v>
      </c>
      <c r="D500" s="314" t="s">
        <v>148</v>
      </c>
      <c r="E500" s="314" t="s">
        <v>104</v>
      </c>
      <c r="F500" s="314" t="s">
        <v>149</v>
      </c>
      <c r="G500" s="314" t="s">
        <v>108</v>
      </c>
      <c r="H500" s="314" t="s">
        <v>119</v>
      </c>
      <c r="I500" s="314" t="s">
        <v>108</v>
      </c>
      <c r="J500" s="314" t="s">
        <v>109</v>
      </c>
      <c r="K500" s="314">
        <v>0</v>
      </c>
      <c r="L500" s="314">
        <v>0</v>
      </c>
      <c r="M500" s="315">
        <v>45145.7094444444</v>
      </c>
      <c r="N500" s="314" t="s">
        <v>1955</v>
      </c>
      <c r="O500" s="314" t="s">
        <v>160</v>
      </c>
      <c r="P500" s="314" t="s">
        <v>161</v>
      </c>
      <c r="Q500" s="314" t="s">
        <v>123</v>
      </c>
      <c r="R500" s="315">
        <v>45145.7112384259</v>
      </c>
      <c r="S500" s="314" t="s">
        <v>1956</v>
      </c>
      <c r="T500" s="314" t="s">
        <v>1692</v>
      </c>
      <c r="U500" s="314" t="s">
        <v>1692</v>
      </c>
      <c r="V500" s="314" t="s">
        <v>114</v>
      </c>
      <c r="W500" s="314"/>
      <c r="X500" s="314" t="str">
        <f>VLOOKUP(D500,代理总表!A:D,3,0)</f>
        <v>martin</v>
      </c>
      <c r="Y500" t="str">
        <f>VLOOKUP(D:D,代理总表!A:D,4,FALSE)</f>
        <v>SEO</v>
      </c>
      <c r="Z500">
        <f t="shared" si="21"/>
        <v>0</v>
      </c>
      <c r="AA500">
        <f t="shared" si="22"/>
        <v>17</v>
      </c>
      <c r="AB500">
        <f t="shared" si="23"/>
        <v>1</v>
      </c>
    </row>
    <row r="501" spans="1:28">
      <c r="A501" s="314" t="s">
        <v>1957</v>
      </c>
      <c r="B501" s="314" t="s">
        <v>1958</v>
      </c>
      <c r="C501" s="314">
        <v>914084395</v>
      </c>
      <c r="D501" s="314" t="s">
        <v>635</v>
      </c>
      <c r="E501" s="314" t="s">
        <v>117</v>
      </c>
      <c r="F501" s="314" t="s">
        <v>118</v>
      </c>
      <c r="G501" s="314" t="s">
        <v>108</v>
      </c>
      <c r="H501" s="314" t="s">
        <v>119</v>
      </c>
      <c r="I501" s="314" t="s">
        <v>108</v>
      </c>
      <c r="J501" s="314" t="s">
        <v>120</v>
      </c>
      <c r="K501" s="314">
        <v>0</v>
      </c>
      <c r="L501" s="314">
        <v>0</v>
      </c>
      <c r="M501" s="315">
        <v>45145.7091203704</v>
      </c>
      <c r="N501" s="314" t="s">
        <v>1959</v>
      </c>
      <c r="O501" s="314" t="s">
        <v>637</v>
      </c>
      <c r="P501" s="314" t="s">
        <v>208</v>
      </c>
      <c r="Q501" s="314" t="s">
        <v>123</v>
      </c>
      <c r="R501" s="315">
        <v>45146.2713194444</v>
      </c>
      <c r="S501" s="314" t="s">
        <v>1960</v>
      </c>
      <c r="T501" s="314" t="s">
        <v>1334</v>
      </c>
      <c r="U501" s="314" t="s">
        <v>124</v>
      </c>
      <c r="V501" s="314" t="s">
        <v>114</v>
      </c>
      <c r="W501" s="314"/>
      <c r="X501" s="314" t="str">
        <f>VLOOKUP(D501,代理总表!A:D,3,0)</f>
        <v>外部代理总线</v>
      </c>
      <c r="Y501" t="str">
        <f>VLOOKUP(D:D,代理总表!A:D,4,FALSE)</f>
        <v>外部代理总线zh0808</v>
      </c>
      <c r="Z501">
        <f t="shared" si="21"/>
        <v>0</v>
      </c>
      <c r="AA501">
        <f t="shared" si="22"/>
        <v>17</v>
      </c>
      <c r="AB501">
        <f t="shared" si="23"/>
        <v>1</v>
      </c>
    </row>
    <row r="502" spans="1:28">
      <c r="A502" s="314" t="s">
        <v>1961</v>
      </c>
      <c r="B502" s="314" t="s">
        <v>1962</v>
      </c>
      <c r="C502" s="314">
        <v>18890998188</v>
      </c>
      <c r="D502" s="314" t="s">
        <v>1963</v>
      </c>
      <c r="E502" s="314" t="s">
        <v>104</v>
      </c>
      <c r="F502" s="314" t="s">
        <v>144</v>
      </c>
      <c r="G502" s="314" t="s">
        <v>106</v>
      </c>
      <c r="H502" s="314" t="s">
        <v>107</v>
      </c>
      <c r="I502" s="314" t="s">
        <v>108</v>
      </c>
      <c r="J502" s="314" t="s">
        <v>109</v>
      </c>
      <c r="K502" s="314">
        <v>165.95</v>
      </c>
      <c r="L502" s="314">
        <v>590</v>
      </c>
      <c r="M502" s="315">
        <v>45145.7089236111</v>
      </c>
      <c r="N502" s="314" t="s">
        <v>1964</v>
      </c>
      <c r="O502" s="314" t="s">
        <v>1965</v>
      </c>
      <c r="P502" s="314" t="s">
        <v>112</v>
      </c>
      <c r="Q502" s="315">
        <v>45145.7749421296</v>
      </c>
      <c r="R502" s="315">
        <v>45145.8600810185</v>
      </c>
      <c r="S502" s="314" t="s">
        <v>1966</v>
      </c>
      <c r="T502" s="314" t="s">
        <v>1967</v>
      </c>
      <c r="U502" s="314" t="s">
        <v>1968</v>
      </c>
      <c r="V502" s="314" t="s">
        <v>114</v>
      </c>
      <c r="W502" s="314"/>
      <c r="X502" s="314" t="str">
        <f>VLOOKUP(D502,代理总表!A:D,3,0)</f>
        <v>GT-骨头</v>
      </c>
      <c r="Y502" t="str">
        <f>VLOOKUP(D:D,代理总表!A:D,4,FALSE)</f>
        <v>B直播gt6677</v>
      </c>
      <c r="Z502">
        <f t="shared" si="21"/>
        <v>1</v>
      </c>
      <c r="AA502">
        <f t="shared" si="22"/>
        <v>17</v>
      </c>
      <c r="AB502">
        <f t="shared" si="23"/>
        <v>1</v>
      </c>
    </row>
    <row r="503" spans="1:28">
      <c r="A503" s="314" t="s">
        <v>1969</v>
      </c>
      <c r="B503" s="314"/>
      <c r="C503" s="314"/>
      <c r="D503" s="314" t="s">
        <v>103</v>
      </c>
      <c r="E503" s="314" t="s">
        <v>104</v>
      </c>
      <c r="F503" s="314" t="s">
        <v>118</v>
      </c>
      <c r="G503" s="314" t="s">
        <v>108</v>
      </c>
      <c r="H503" s="314" t="s">
        <v>119</v>
      </c>
      <c r="I503" s="314" t="s">
        <v>108</v>
      </c>
      <c r="J503" s="314" t="s">
        <v>109</v>
      </c>
      <c r="K503" s="314">
        <v>0</v>
      </c>
      <c r="L503" s="314">
        <v>0</v>
      </c>
      <c r="M503" s="315">
        <v>45145.7079513889</v>
      </c>
      <c r="N503" s="314" t="s">
        <v>1970</v>
      </c>
      <c r="O503" s="314" t="s">
        <v>713</v>
      </c>
      <c r="P503" s="314" t="s">
        <v>339</v>
      </c>
      <c r="Q503" s="314" t="s">
        <v>123</v>
      </c>
      <c r="R503" s="315">
        <v>45145.708912037</v>
      </c>
      <c r="S503" s="314" t="s">
        <v>1970</v>
      </c>
      <c r="T503" s="314" t="s">
        <v>1971</v>
      </c>
      <c r="U503" s="314" t="s">
        <v>1971</v>
      </c>
      <c r="V503" s="314" t="s">
        <v>114</v>
      </c>
      <c r="W503" s="314"/>
      <c r="X503" s="314" t="str">
        <f>VLOOKUP(D503,代理总表!A:D,3,0)</f>
        <v>官网</v>
      </c>
      <c r="Y503" t="str">
        <f>VLOOKUP(D:D,代理总表!A:D,4,FALSE)</f>
        <v>官网</v>
      </c>
      <c r="Z503">
        <f t="shared" si="21"/>
        <v>0</v>
      </c>
      <c r="AA503">
        <f t="shared" si="22"/>
        <v>16</v>
      </c>
      <c r="AB503">
        <f t="shared" si="23"/>
        <v>1</v>
      </c>
    </row>
    <row r="504" spans="1:28">
      <c r="A504" s="314" t="s">
        <v>1972</v>
      </c>
      <c r="B504" s="314"/>
      <c r="C504" s="314">
        <v>379304339</v>
      </c>
      <c r="D504" s="314" t="s">
        <v>172</v>
      </c>
      <c r="E504" s="314" t="s">
        <v>104</v>
      </c>
      <c r="F504" s="314" t="s">
        <v>118</v>
      </c>
      <c r="G504" s="314" t="s">
        <v>108</v>
      </c>
      <c r="H504" s="314" t="s">
        <v>119</v>
      </c>
      <c r="I504" s="314" t="s">
        <v>108</v>
      </c>
      <c r="J504" s="314" t="s">
        <v>109</v>
      </c>
      <c r="K504" s="314">
        <v>0</v>
      </c>
      <c r="L504" s="314">
        <v>0</v>
      </c>
      <c r="M504" s="315">
        <v>45145.7075462963</v>
      </c>
      <c r="N504" s="314" t="s">
        <v>1973</v>
      </c>
      <c r="O504" s="314" t="s">
        <v>174</v>
      </c>
      <c r="P504" s="314" t="s">
        <v>112</v>
      </c>
      <c r="Q504" s="314" t="s">
        <v>123</v>
      </c>
      <c r="R504" s="315">
        <v>45145.7142824074</v>
      </c>
      <c r="S504" s="314" t="s">
        <v>1973</v>
      </c>
      <c r="T504" s="314" t="s">
        <v>233</v>
      </c>
      <c r="U504" s="314" t="s">
        <v>233</v>
      </c>
      <c r="V504" s="314" t="s">
        <v>114</v>
      </c>
      <c r="W504" s="314"/>
      <c r="X504" s="314" t="str">
        <f>VLOOKUP(D504,代理总表!A:D,3,0)</f>
        <v>雨燕直播-越</v>
      </c>
      <c r="Y504" t="str">
        <f>VLOOKUP(D:D,代理总表!A:D,4,FALSE)</f>
        <v>雨燕直播-越ffvn66</v>
      </c>
      <c r="Z504">
        <f t="shared" si="21"/>
        <v>0</v>
      </c>
      <c r="AA504">
        <f t="shared" si="22"/>
        <v>16</v>
      </c>
      <c r="AB504">
        <f t="shared" si="23"/>
        <v>1</v>
      </c>
    </row>
    <row r="505" spans="1:28">
      <c r="A505" s="314" t="s">
        <v>1974</v>
      </c>
      <c r="B505" s="314"/>
      <c r="C505" s="314"/>
      <c r="D505" s="314" t="s">
        <v>103</v>
      </c>
      <c r="E505" s="314" t="s">
        <v>104</v>
      </c>
      <c r="F505" s="314" t="s">
        <v>118</v>
      </c>
      <c r="G505" s="314" t="s">
        <v>108</v>
      </c>
      <c r="H505" s="314" t="s">
        <v>119</v>
      </c>
      <c r="I505" s="314" t="s">
        <v>108</v>
      </c>
      <c r="J505" s="314" t="s">
        <v>109</v>
      </c>
      <c r="K505" s="314">
        <v>0</v>
      </c>
      <c r="L505" s="314">
        <v>0</v>
      </c>
      <c r="M505" s="315">
        <v>45145.7073726852</v>
      </c>
      <c r="N505" s="314" t="s">
        <v>1975</v>
      </c>
      <c r="O505" s="314" t="s">
        <v>1838</v>
      </c>
      <c r="P505" s="314" t="s">
        <v>112</v>
      </c>
      <c r="Q505" s="314" t="s">
        <v>123</v>
      </c>
      <c r="R505" s="314"/>
      <c r="S505" s="314"/>
      <c r="T505" s="314" t="s">
        <v>939</v>
      </c>
      <c r="U505" s="314"/>
      <c r="V505" s="314" t="s">
        <v>114</v>
      </c>
      <c r="W505" s="314"/>
      <c r="X505" s="314" t="str">
        <f>VLOOKUP(D505,代理总表!A:D,3,0)</f>
        <v>官网</v>
      </c>
      <c r="Y505" t="str">
        <f>VLOOKUP(D:D,代理总表!A:D,4,FALSE)</f>
        <v>官网</v>
      </c>
      <c r="Z505">
        <f t="shared" si="21"/>
        <v>0</v>
      </c>
      <c r="AA505">
        <f t="shared" si="22"/>
        <v>16</v>
      </c>
      <c r="AB505">
        <f t="shared" si="23"/>
        <v>1</v>
      </c>
    </row>
    <row r="506" spans="1:28">
      <c r="A506" s="314" t="s">
        <v>1976</v>
      </c>
      <c r="B506" s="314" t="s">
        <v>1977</v>
      </c>
      <c r="C506" s="314">
        <v>879397824</v>
      </c>
      <c r="D506" s="314" t="s">
        <v>143</v>
      </c>
      <c r="E506" s="314" t="s">
        <v>117</v>
      </c>
      <c r="F506" s="314" t="s">
        <v>144</v>
      </c>
      <c r="G506" s="314" t="s">
        <v>106</v>
      </c>
      <c r="H506" s="314" t="s">
        <v>107</v>
      </c>
      <c r="I506" s="314" t="s">
        <v>108</v>
      </c>
      <c r="J506" s="314" t="s">
        <v>120</v>
      </c>
      <c r="K506" s="314">
        <v>1500000</v>
      </c>
      <c r="L506" s="314">
        <v>15000000</v>
      </c>
      <c r="M506" s="315">
        <v>45145.7064236111</v>
      </c>
      <c r="N506" s="314" t="s">
        <v>1978</v>
      </c>
      <c r="O506" s="314" t="s">
        <v>407</v>
      </c>
      <c r="P506" s="314" t="s">
        <v>112</v>
      </c>
      <c r="Q506" s="315">
        <v>45145.7561805556</v>
      </c>
      <c r="R506" s="315">
        <v>45146.3551041667</v>
      </c>
      <c r="S506" s="314" t="s">
        <v>1978</v>
      </c>
      <c r="T506" s="314" t="s">
        <v>131</v>
      </c>
      <c r="U506" s="314" t="s">
        <v>131</v>
      </c>
      <c r="V506" s="314" t="s">
        <v>114</v>
      </c>
      <c r="W506" s="314"/>
      <c r="X506" s="314" t="str">
        <f>VLOOKUP(D506,代理总表!A:D,3,0)</f>
        <v>雨燕直播-越</v>
      </c>
      <c r="Y506" t="str">
        <f>VLOOKUP(D:D,代理总表!A:D,4,FALSE)</f>
        <v>雨燕直播-越ffvn66</v>
      </c>
      <c r="Z506">
        <f t="shared" si="21"/>
        <v>1</v>
      </c>
      <c r="AA506">
        <f t="shared" si="22"/>
        <v>16</v>
      </c>
      <c r="AB506">
        <f t="shared" si="23"/>
        <v>1</v>
      </c>
    </row>
    <row r="507" spans="1:28">
      <c r="A507" s="314" t="s">
        <v>1979</v>
      </c>
      <c r="B507" s="314"/>
      <c r="C507" s="314"/>
      <c r="D507" s="314" t="s">
        <v>240</v>
      </c>
      <c r="E507" s="314" t="s">
        <v>104</v>
      </c>
      <c r="F507" s="314" t="s">
        <v>149</v>
      </c>
      <c r="G507" s="314" t="s">
        <v>108</v>
      </c>
      <c r="H507" s="314" t="s">
        <v>119</v>
      </c>
      <c r="I507" s="314" t="s">
        <v>108</v>
      </c>
      <c r="J507" s="314" t="s">
        <v>109</v>
      </c>
      <c r="K507" s="314">
        <v>0</v>
      </c>
      <c r="L507" s="314">
        <v>0</v>
      </c>
      <c r="M507" s="315">
        <v>45145.7050694444</v>
      </c>
      <c r="N507" s="314" t="s">
        <v>1980</v>
      </c>
      <c r="O507" s="314" t="s">
        <v>1981</v>
      </c>
      <c r="P507" s="314" t="s">
        <v>112</v>
      </c>
      <c r="Q507" s="314" t="s">
        <v>123</v>
      </c>
      <c r="R507" s="315">
        <v>45145.7050578704</v>
      </c>
      <c r="S507" s="314" t="s">
        <v>1980</v>
      </c>
      <c r="T507" s="314" t="s">
        <v>946</v>
      </c>
      <c r="U507" s="314" t="s">
        <v>946</v>
      </c>
      <c r="V507" s="314" t="s">
        <v>114</v>
      </c>
      <c r="W507" s="314"/>
      <c r="X507" s="314" t="str">
        <f>VLOOKUP(D507,代理总表!A:D,3,0)</f>
        <v>SEO邀请</v>
      </c>
      <c r="Y507" t="str">
        <f>VLOOKUP(D:D,代理总表!A:D,4,FALSE)</f>
        <v>SEO</v>
      </c>
      <c r="Z507">
        <f t="shared" si="21"/>
        <v>0</v>
      </c>
      <c r="AA507">
        <f t="shared" si="22"/>
        <v>16</v>
      </c>
      <c r="AB507">
        <f t="shared" si="23"/>
        <v>1</v>
      </c>
    </row>
    <row r="508" spans="1:28">
      <c r="A508" s="314" t="s">
        <v>1982</v>
      </c>
      <c r="B508" s="314" t="s">
        <v>1983</v>
      </c>
      <c r="C508" s="314">
        <v>387422957</v>
      </c>
      <c r="D508" s="314" t="s">
        <v>143</v>
      </c>
      <c r="E508" s="314" t="s">
        <v>117</v>
      </c>
      <c r="F508" s="314" t="s">
        <v>118</v>
      </c>
      <c r="G508" s="314" t="s">
        <v>108</v>
      </c>
      <c r="H508" s="314" t="s">
        <v>119</v>
      </c>
      <c r="I508" s="314" t="s">
        <v>108</v>
      </c>
      <c r="J508" s="314" t="s">
        <v>120</v>
      </c>
      <c r="K508" s="314">
        <v>0</v>
      </c>
      <c r="L508" s="314">
        <v>0</v>
      </c>
      <c r="M508" s="315">
        <v>45145.7043518519</v>
      </c>
      <c r="N508" s="314" t="s">
        <v>1984</v>
      </c>
      <c r="O508" s="314" t="s">
        <v>1985</v>
      </c>
      <c r="P508" s="314" t="s">
        <v>339</v>
      </c>
      <c r="Q508" s="314" t="s">
        <v>123</v>
      </c>
      <c r="R508" s="315">
        <v>45145.7289814815</v>
      </c>
      <c r="S508" s="314" t="s">
        <v>1984</v>
      </c>
      <c r="T508" s="314" t="s">
        <v>176</v>
      </c>
      <c r="U508" s="314" t="s">
        <v>176</v>
      </c>
      <c r="V508" s="314" t="s">
        <v>114</v>
      </c>
      <c r="W508" s="314"/>
      <c r="X508" s="314" t="str">
        <f>VLOOKUP(D508,代理总表!A:D,3,0)</f>
        <v>雨燕直播-越</v>
      </c>
      <c r="Y508" t="str">
        <f>VLOOKUP(D:D,代理总表!A:D,4,FALSE)</f>
        <v>雨燕直播-越ffvn66</v>
      </c>
      <c r="Z508">
        <f t="shared" si="21"/>
        <v>0</v>
      </c>
      <c r="AA508">
        <f t="shared" si="22"/>
        <v>16</v>
      </c>
      <c r="AB508">
        <f t="shared" si="23"/>
        <v>1</v>
      </c>
    </row>
    <row r="509" spans="1:28">
      <c r="A509" s="314" t="s">
        <v>1986</v>
      </c>
      <c r="B509" s="314" t="s">
        <v>1987</v>
      </c>
      <c r="C509" s="314">
        <v>983940291</v>
      </c>
      <c r="D509" s="314" t="s">
        <v>224</v>
      </c>
      <c r="E509" s="314" t="s">
        <v>117</v>
      </c>
      <c r="F509" s="314" t="s">
        <v>144</v>
      </c>
      <c r="G509" s="314" t="s">
        <v>106</v>
      </c>
      <c r="H509" s="314" t="s">
        <v>107</v>
      </c>
      <c r="I509" s="314" t="s">
        <v>108</v>
      </c>
      <c r="J509" s="314" t="s">
        <v>120</v>
      </c>
      <c r="K509" s="314">
        <v>100000</v>
      </c>
      <c r="L509" s="314">
        <v>0</v>
      </c>
      <c r="M509" s="315">
        <v>45145.7042361111</v>
      </c>
      <c r="N509" s="314" t="s">
        <v>1988</v>
      </c>
      <c r="O509" s="314" t="s">
        <v>226</v>
      </c>
      <c r="P509" s="314" t="s">
        <v>112</v>
      </c>
      <c r="Q509" s="315">
        <v>45145.7127546296</v>
      </c>
      <c r="R509" s="315">
        <v>45145.8533333333</v>
      </c>
      <c r="S509" s="314" t="s">
        <v>1988</v>
      </c>
      <c r="T509" s="314" t="s">
        <v>124</v>
      </c>
      <c r="U509" s="314" t="s">
        <v>124</v>
      </c>
      <c r="V509" s="314" t="s">
        <v>114</v>
      </c>
      <c r="W509" s="314"/>
      <c r="X509" s="314" t="str">
        <f>VLOOKUP(D509,代理总表!A:D,3,0)</f>
        <v>雨燕直播-越</v>
      </c>
      <c r="Y509" t="str">
        <f>VLOOKUP(D:D,代理总表!A:D,4,FALSE)</f>
        <v>雨燕直播-越ffvn66</v>
      </c>
      <c r="Z509">
        <f t="shared" si="21"/>
        <v>1</v>
      </c>
      <c r="AA509">
        <f t="shared" si="22"/>
        <v>16</v>
      </c>
      <c r="AB509">
        <f t="shared" si="23"/>
        <v>1</v>
      </c>
    </row>
    <row r="510" spans="1:28">
      <c r="A510" s="314" t="s">
        <v>1989</v>
      </c>
      <c r="B510" s="314" t="s">
        <v>1990</v>
      </c>
      <c r="C510" s="314">
        <v>18383984542</v>
      </c>
      <c r="D510" s="314" t="s">
        <v>103</v>
      </c>
      <c r="E510" s="314" t="s">
        <v>104</v>
      </c>
      <c r="F510" s="314" t="s">
        <v>118</v>
      </c>
      <c r="G510" s="314" t="s">
        <v>108</v>
      </c>
      <c r="H510" s="314" t="s">
        <v>119</v>
      </c>
      <c r="I510" s="314" t="s">
        <v>108</v>
      </c>
      <c r="J510" s="314" t="s">
        <v>109</v>
      </c>
      <c r="K510" s="314">
        <v>0</v>
      </c>
      <c r="L510" s="314">
        <v>0</v>
      </c>
      <c r="M510" s="315">
        <v>45145.7022685185</v>
      </c>
      <c r="N510" s="314" t="s">
        <v>1991</v>
      </c>
      <c r="O510" s="314" t="s">
        <v>350</v>
      </c>
      <c r="P510" s="314" t="s">
        <v>112</v>
      </c>
      <c r="Q510" s="314" t="s">
        <v>123</v>
      </c>
      <c r="R510" s="315">
        <v>45145.7022685185</v>
      </c>
      <c r="S510" s="314" t="s">
        <v>1991</v>
      </c>
      <c r="T510" s="314" t="s">
        <v>826</v>
      </c>
      <c r="U510" s="314" t="s">
        <v>826</v>
      </c>
      <c r="V510" s="314" t="s">
        <v>114</v>
      </c>
      <c r="W510" s="314"/>
      <c r="X510" s="314" t="str">
        <f>VLOOKUP(D510,代理总表!A:D,3,0)</f>
        <v>官网</v>
      </c>
      <c r="Y510" t="str">
        <f>VLOOKUP(D:D,代理总表!A:D,4,FALSE)</f>
        <v>官网</v>
      </c>
      <c r="Z510">
        <f t="shared" si="21"/>
        <v>0</v>
      </c>
      <c r="AA510">
        <f t="shared" si="22"/>
        <v>16</v>
      </c>
      <c r="AB510">
        <f t="shared" si="23"/>
        <v>1</v>
      </c>
    </row>
    <row r="511" spans="1:28">
      <c r="A511" s="314" t="s">
        <v>1992</v>
      </c>
      <c r="B511" s="314"/>
      <c r="C511" s="314"/>
      <c r="D511" s="314" t="s">
        <v>172</v>
      </c>
      <c r="E511" s="314" t="s">
        <v>117</v>
      </c>
      <c r="F511" s="314" t="s">
        <v>118</v>
      </c>
      <c r="G511" s="314" t="s">
        <v>108</v>
      </c>
      <c r="H511" s="314" t="s">
        <v>119</v>
      </c>
      <c r="I511" s="314" t="s">
        <v>108</v>
      </c>
      <c r="J511" s="314" t="s">
        <v>120</v>
      </c>
      <c r="K511" s="314">
        <v>0</v>
      </c>
      <c r="L511" s="314">
        <v>0</v>
      </c>
      <c r="M511" s="315">
        <v>45145.7021990741</v>
      </c>
      <c r="N511" s="314" t="s">
        <v>1993</v>
      </c>
      <c r="O511" s="314" t="s">
        <v>193</v>
      </c>
      <c r="P511" s="314" t="s">
        <v>161</v>
      </c>
      <c r="Q511" s="314" t="s">
        <v>123</v>
      </c>
      <c r="R511" s="315">
        <v>45145.9834722222</v>
      </c>
      <c r="S511" s="314" t="s">
        <v>1994</v>
      </c>
      <c r="T511" s="314" t="s">
        <v>743</v>
      </c>
      <c r="U511" s="314" t="s">
        <v>1995</v>
      </c>
      <c r="V511" s="314" t="s">
        <v>114</v>
      </c>
      <c r="W511" s="314"/>
      <c r="X511" s="314" t="str">
        <f>VLOOKUP(D511,代理总表!A:D,3,0)</f>
        <v>雨燕直播-越</v>
      </c>
      <c r="Y511" t="str">
        <f>VLOOKUP(D:D,代理总表!A:D,4,FALSE)</f>
        <v>雨燕直播-越ffvn66</v>
      </c>
      <c r="Z511">
        <f t="shared" si="21"/>
        <v>0</v>
      </c>
      <c r="AA511">
        <f t="shared" si="22"/>
        <v>16</v>
      </c>
      <c r="AB511">
        <f t="shared" si="23"/>
        <v>1</v>
      </c>
    </row>
    <row r="512" spans="1:28">
      <c r="A512" s="314" t="s">
        <v>1996</v>
      </c>
      <c r="B512" s="314"/>
      <c r="C512" s="314">
        <v>17620888797</v>
      </c>
      <c r="D512" s="314" t="s">
        <v>103</v>
      </c>
      <c r="E512" s="314" t="s">
        <v>104</v>
      </c>
      <c r="F512" s="314" t="s">
        <v>118</v>
      </c>
      <c r="G512" s="314" t="s">
        <v>108</v>
      </c>
      <c r="H512" s="314" t="s">
        <v>119</v>
      </c>
      <c r="I512" s="314" t="s">
        <v>108</v>
      </c>
      <c r="J512" s="314" t="s">
        <v>109</v>
      </c>
      <c r="K512" s="314">
        <v>0</v>
      </c>
      <c r="L512" s="314">
        <v>0</v>
      </c>
      <c r="M512" s="315">
        <v>45145.7016898148</v>
      </c>
      <c r="N512" s="314" t="s">
        <v>1997</v>
      </c>
      <c r="O512" s="314" t="s">
        <v>350</v>
      </c>
      <c r="P512" s="314" t="s">
        <v>112</v>
      </c>
      <c r="Q512" s="314" t="s">
        <v>123</v>
      </c>
      <c r="R512" s="315">
        <v>45145.7017939815</v>
      </c>
      <c r="S512" s="314" t="s">
        <v>1997</v>
      </c>
      <c r="T512" s="314" t="s">
        <v>1998</v>
      </c>
      <c r="U512" s="314" t="s">
        <v>1998</v>
      </c>
      <c r="V512" s="314" t="s">
        <v>114</v>
      </c>
      <c r="W512" s="314"/>
      <c r="X512" s="314" t="str">
        <f>VLOOKUP(D512,代理总表!A:D,3,0)</f>
        <v>官网</v>
      </c>
      <c r="Y512" t="str">
        <f>VLOOKUP(D:D,代理总表!A:D,4,FALSE)</f>
        <v>官网</v>
      </c>
      <c r="Z512">
        <f t="shared" si="21"/>
        <v>0</v>
      </c>
      <c r="AA512">
        <f t="shared" si="22"/>
        <v>16</v>
      </c>
      <c r="AB512">
        <f t="shared" si="23"/>
        <v>1</v>
      </c>
    </row>
    <row r="513" spans="1:28">
      <c r="A513" s="314" t="s">
        <v>1999</v>
      </c>
      <c r="B513" s="314"/>
      <c r="C513" s="314"/>
      <c r="D513" s="314" t="s">
        <v>2000</v>
      </c>
      <c r="E513" s="314" t="s">
        <v>117</v>
      </c>
      <c r="F513" s="314" t="s">
        <v>118</v>
      </c>
      <c r="G513" s="314" t="s">
        <v>108</v>
      </c>
      <c r="H513" s="314" t="s">
        <v>119</v>
      </c>
      <c r="I513" s="314" t="s">
        <v>108</v>
      </c>
      <c r="J513" s="314" t="s">
        <v>120</v>
      </c>
      <c r="K513" s="314">
        <v>0</v>
      </c>
      <c r="L513" s="314">
        <v>0</v>
      </c>
      <c r="M513" s="315">
        <v>45145.7015625</v>
      </c>
      <c r="N513" s="314" t="s">
        <v>2001</v>
      </c>
      <c r="O513" s="314" t="s">
        <v>2002</v>
      </c>
      <c r="P513" s="314" t="s">
        <v>112</v>
      </c>
      <c r="Q513" s="314" t="s">
        <v>123</v>
      </c>
      <c r="R513" s="315">
        <v>45145.7152199074</v>
      </c>
      <c r="S513" s="314" t="s">
        <v>2001</v>
      </c>
      <c r="T513" s="314" t="s">
        <v>177</v>
      </c>
      <c r="U513" s="314" t="s">
        <v>177</v>
      </c>
      <c r="V513" s="314" t="s">
        <v>114</v>
      </c>
      <c r="W513" s="314"/>
      <c r="X513" s="314" t="str">
        <f>VLOOKUP(D513,代理总表!A:D,3,0)</f>
        <v>SOCO越南直播</v>
      </c>
      <c r="Y513" t="str">
        <f>VLOOKUP(D:D,代理总表!A:D,4,FALSE)</f>
        <v>SOCO越南直播ffvn66</v>
      </c>
      <c r="Z513">
        <f t="shared" si="21"/>
        <v>0</v>
      </c>
      <c r="AA513">
        <f t="shared" si="22"/>
        <v>16</v>
      </c>
      <c r="AB513">
        <f t="shared" si="23"/>
        <v>1</v>
      </c>
    </row>
    <row r="514" spans="1:28">
      <c r="A514" s="314" t="s">
        <v>2003</v>
      </c>
      <c r="B514" s="314"/>
      <c r="C514" s="314">
        <v>906888255</v>
      </c>
      <c r="D514" s="314" t="s">
        <v>116</v>
      </c>
      <c r="E514" s="314" t="s">
        <v>117</v>
      </c>
      <c r="F514" s="314" t="s">
        <v>118</v>
      </c>
      <c r="G514" s="314" t="s">
        <v>108</v>
      </c>
      <c r="H514" s="314" t="s">
        <v>119</v>
      </c>
      <c r="I514" s="314" t="s">
        <v>108</v>
      </c>
      <c r="J514" s="314" t="s">
        <v>120</v>
      </c>
      <c r="K514" s="314">
        <v>0</v>
      </c>
      <c r="L514" s="314">
        <v>0</v>
      </c>
      <c r="M514" s="315">
        <v>45145.7013310185</v>
      </c>
      <c r="N514" s="314" t="s">
        <v>2004</v>
      </c>
      <c r="O514" s="314" t="s">
        <v>122</v>
      </c>
      <c r="P514" s="314" t="s">
        <v>112</v>
      </c>
      <c r="Q514" s="314" t="s">
        <v>123</v>
      </c>
      <c r="R514" s="315">
        <v>45145.7063078704</v>
      </c>
      <c r="S514" s="314" t="s">
        <v>2004</v>
      </c>
      <c r="T514" s="314" t="s">
        <v>216</v>
      </c>
      <c r="U514" s="314" t="s">
        <v>216</v>
      </c>
      <c r="V514" s="314" t="s">
        <v>114</v>
      </c>
      <c r="W514" s="314"/>
      <c r="X514" s="314" t="str">
        <f>VLOOKUP(D514,代理总表!A:D,3,0)</f>
        <v>外部代理总线</v>
      </c>
      <c r="Y514" t="str">
        <f>VLOOKUP(D:D,代理总表!A:D,4,FALSE)</f>
        <v>外部代理总线zh0808</v>
      </c>
      <c r="Z514">
        <f t="shared" si="21"/>
        <v>0</v>
      </c>
      <c r="AA514">
        <f t="shared" si="22"/>
        <v>16</v>
      </c>
      <c r="AB514">
        <f t="shared" si="23"/>
        <v>1</v>
      </c>
    </row>
    <row r="515" spans="1:28">
      <c r="A515" s="314" t="s">
        <v>2005</v>
      </c>
      <c r="B515" s="314" t="s">
        <v>2006</v>
      </c>
      <c r="C515" s="314">
        <v>19848280625</v>
      </c>
      <c r="D515" s="314" t="s">
        <v>805</v>
      </c>
      <c r="E515" s="314" t="s">
        <v>104</v>
      </c>
      <c r="F515" s="314" t="s">
        <v>144</v>
      </c>
      <c r="G515" s="314" t="s">
        <v>106</v>
      </c>
      <c r="H515" s="314" t="s">
        <v>107</v>
      </c>
      <c r="I515" s="314" t="s">
        <v>108</v>
      </c>
      <c r="J515" s="314" t="s">
        <v>109</v>
      </c>
      <c r="K515" s="314">
        <v>3030</v>
      </c>
      <c r="L515" s="314">
        <v>3309</v>
      </c>
      <c r="M515" s="315">
        <v>45145.7012268519</v>
      </c>
      <c r="N515" s="314" t="s">
        <v>2007</v>
      </c>
      <c r="O515" s="314" t="s">
        <v>2008</v>
      </c>
      <c r="P515" s="314" t="s">
        <v>112</v>
      </c>
      <c r="Q515" s="315">
        <v>45145.7301041667</v>
      </c>
      <c r="R515" s="315">
        <v>45146.1266898148</v>
      </c>
      <c r="S515" s="314" t="s">
        <v>2009</v>
      </c>
      <c r="T515" s="314" t="s">
        <v>2010</v>
      </c>
      <c r="U515" s="314" t="s">
        <v>2010</v>
      </c>
      <c r="V515" s="314" t="s">
        <v>114</v>
      </c>
      <c r="W515" s="314"/>
      <c r="X515" s="314" t="str">
        <f>VLOOKUP(D515,代理总表!A:D,3,0)</f>
        <v>飞哥雨燕直播</v>
      </c>
      <c r="Y515" t="str">
        <f>VLOOKUP(D:D,代理总表!A:D,4,FALSE)</f>
        <v>飞哥雨燕直播ffmk88</v>
      </c>
      <c r="Z515">
        <f t="shared" ref="Z515:Z578" si="24">IF(RIGHT(H515,1)&gt;"0",1,0)</f>
        <v>1</v>
      </c>
      <c r="AA515">
        <f t="shared" ref="AA515:AA578" si="25">HOUR(M515)</f>
        <v>16</v>
      </c>
      <c r="AB515">
        <f t="shared" ref="AB515:AB578" si="26">IF(AE515=AF515,1,0)</f>
        <v>1</v>
      </c>
    </row>
    <row r="516" spans="1:28">
      <c r="A516" s="314" t="s">
        <v>2011</v>
      </c>
      <c r="B516" s="314"/>
      <c r="C516" s="314">
        <v>358619192</v>
      </c>
      <c r="D516" s="314" t="s">
        <v>116</v>
      </c>
      <c r="E516" s="314" t="s">
        <v>117</v>
      </c>
      <c r="F516" s="314" t="s">
        <v>118</v>
      </c>
      <c r="G516" s="314" t="s">
        <v>108</v>
      </c>
      <c r="H516" s="314" t="s">
        <v>119</v>
      </c>
      <c r="I516" s="314" t="s">
        <v>108</v>
      </c>
      <c r="J516" s="314" t="s">
        <v>120</v>
      </c>
      <c r="K516" s="314">
        <v>0</v>
      </c>
      <c r="L516" s="314">
        <v>0</v>
      </c>
      <c r="M516" s="315">
        <v>45145.7009490741</v>
      </c>
      <c r="N516" s="314" t="s">
        <v>2012</v>
      </c>
      <c r="O516" s="314" t="s">
        <v>127</v>
      </c>
      <c r="P516" s="314" t="s">
        <v>112</v>
      </c>
      <c r="Q516" s="314" t="s">
        <v>123</v>
      </c>
      <c r="R516" s="315">
        <v>45145.7009375</v>
      </c>
      <c r="S516" s="314" t="s">
        <v>2012</v>
      </c>
      <c r="T516" s="314" t="s">
        <v>177</v>
      </c>
      <c r="U516" s="314" t="s">
        <v>177</v>
      </c>
      <c r="V516" s="314" t="s">
        <v>114</v>
      </c>
      <c r="W516" s="314"/>
      <c r="X516" s="314" t="str">
        <f>VLOOKUP(D516,代理总表!A:D,3,0)</f>
        <v>外部代理总线</v>
      </c>
      <c r="Y516" t="str">
        <f>VLOOKUP(D:D,代理总表!A:D,4,FALSE)</f>
        <v>外部代理总线zh0808</v>
      </c>
      <c r="Z516">
        <f t="shared" si="24"/>
        <v>0</v>
      </c>
      <c r="AA516">
        <f t="shared" si="25"/>
        <v>16</v>
      </c>
      <c r="AB516">
        <f t="shared" si="26"/>
        <v>1</v>
      </c>
    </row>
    <row r="517" spans="1:28">
      <c r="A517" s="314" t="s">
        <v>2013</v>
      </c>
      <c r="B517" s="314" t="s">
        <v>2014</v>
      </c>
      <c r="C517" s="314">
        <v>703774201</v>
      </c>
      <c r="D517" s="314" t="s">
        <v>2015</v>
      </c>
      <c r="E517" s="314" t="s">
        <v>117</v>
      </c>
      <c r="F517" s="314" t="s">
        <v>118</v>
      </c>
      <c r="G517" s="314" t="s">
        <v>108</v>
      </c>
      <c r="H517" s="314" t="s">
        <v>119</v>
      </c>
      <c r="I517" s="314" t="s">
        <v>108</v>
      </c>
      <c r="J517" s="314" t="s">
        <v>120</v>
      </c>
      <c r="K517" s="314">
        <v>0</v>
      </c>
      <c r="L517" s="314">
        <v>0</v>
      </c>
      <c r="M517" s="315">
        <v>45145.7003125</v>
      </c>
      <c r="N517" s="314" t="s">
        <v>2016</v>
      </c>
      <c r="O517" s="314" t="s">
        <v>2017</v>
      </c>
      <c r="P517" s="314" t="s">
        <v>161</v>
      </c>
      <c r="Q517" s="314" t="s">
        <v>123</v>
      </c>
      <c r="R517" s="315">
        <v>45145.702037037</v>
      </c>
      <c r="S517" s="314" t="s">
        <v>2016</v>
      </c>
      <c r="T517" s="314" t="s">
        <v>131</v>
      </c>
      <c r="U517" s="314" t="s">
        <v>131</v>
      </c>
      <c r="V517" s="314" t="s">
        <v>114</v>
      </c>
      <c r="W517" s="314"/>
      <c r="X517" s="314" t="str">
        <f>VLOOKUP(D517,代理总表!A:D,3,0)</f>
        <v>MM</v>
      </c>
      <c r="Y517" t="str">
        <f>VLOOKUP(D:D,代理总表!A:D,4,FALSE)</f>
        <v>MMMM</v>
      </c>
      <c r="Z517">
        <f t="shared" si="24"/>
        <v>0</v>
      </c>
      <c r="AA517">
        <f t="shared" si="25"/>
        <v>16</v>
      </c>
      <c r="AB517">
        <f t="shared" si="26"/>
        <v>1</v>
      </c>
    </row>
    <row r="518" spans="1:28">
      <c r="A518" s="314" t="s">
        <v>2018</v>
      </c>
      <c r="B518" s="314" t="s">
        <v>2019</v>
      </c>
      <c r="C518" s="314">
        <v>588656995</v>
      </c>
      <c r="D518" s="314" t="s">
        <v>2020</v>
      </c>
      <c r="E518" s="314" t="s">
        <v>117</v>
      </c>
      <c r="F518" s="314" t="s">
        <v>144</v>
      </c>
      <c r="G518" s="314" t="s">
        <v>106</v>
      </c>
      <c r="H518" s="314" t="s">
        <v>107</v>
      </c>
      <c r="I518" s="314" t="s">
        <v>108</v>
      </c>
      <c r="J518" s="314" t="s">
        <v>120</v>
      </c>
      <c r="K518" s="314">
        <v>3058888</v>
      </c>
      <c r="L518" s="314">
        <v>2500000</v>
      </c>
      <c r="M518" s="315">
        <v>45145.6999884259</v>
      </c>
      <c r="N518" s="314" t="s">
        <v>2021</v>
      </c>
      <c r="O518" s="314" t="s">
        <v>2022</v>
      </c>
      <c r="P518" s="314" t="s">
        <v>112</v>
      </c>
      <c r="Q518" s="315">
        <v>45145.7031365741</v>
      </c>
      <c r="R518" s="315">
        <v>45145.7040972222</v>
      </c>
      <c r="S518" s="314" t="s">
        <v>2021</v>
      </c>
      <c r="T518" s="314" t="s">
        <v>128</v>
      </c>
      <c r="U518" s="314" t="s">
        <v>128</v>
      </c>
      <c r="V518" s="314" t="s">
        <v>114</v>
      </c>
      <c r="W518" s="314"/>
      <c r="X518" s="314" t="str">
        <f>VLOOKUP(D518,代理总表!A:D,3,0)</f>
        <v>外部代理总线</v>
      </c>
      <c r="Y518" t="str">
        <f>VLOOKUP(D:D,代理总表!A:D,4,FALSE)</f>
        <v>外部代理总线zhaoshang</v>
      </c>
      <c r="Z518">
        <f t="shared" si="24"/>
        <v>1</v>
      </c>
      <c r="AA518">
        <f t="shared" si="25"/>
        <v>16</v>
      </c>
      <c r="AB518">
        <f t="shared" si="26"/>
        <v>1</v>
      </c>
    </row>
    <row r="519" spans="1:28">
      <c r="A519" s="314" t="s">
        <v>2023</v>
      </c>
      <c r="B519" s="314"/>
      <c r="C519" s="314"/>
      <c r="D519" s="314" t="s">
        <v>2024</v>
      </c>
      <c r="E519" s="314" t="s">
        <v>117</v>
      </c>
      <c r="F519" s="314" t="s">
        <v>118</v>
      </c>
      <c r="G519" s="314" t="s">
        <v>108</v>
      </c>
      <c r="H519" s="314" t="s">
        <v>119</v>
      </c>
      <c r="I519" s="314" t="s">
        <v>108</v>
      </c>
      <c r="J519" s="314" t="s">
        <v>120</v>
      </c>
      <c r="K519" s="314">
        <v>0</v>
      </c>
      <c r="L519" s="314">
        <v>0</v>
      </c>
      <c r="M519" s="315">
        <v>45145.6996875</v>
      </c>
      <c r="N519" s="314" t="s">
        <v>2025</v>
      </c>
      <c r="O519" s="314" t="s">
        <v>2026</v>
      </c>
      <c r="P519" s="314" t="s">
        <v>339</v>
      </c>
      <c r="Q519" s="314" t="s">
        <v>123</v>
      </c>
      <c r="R519" s="315">
        <v>45145.6996759259</v>
      </c>
      <c r="S519" s="314" t="s">
        <v>2025</v>
      </c>
      <c r="T519" s="314" t="s">
        <v>2027</v>
      </c>
      <c r="U519" s="314" t="s">
        <v>2027</v>
      </c>
      <c r="V519" s="314" t="s">
        <v>114</v>
      </c>
      <c r="W519" s="314"/>
      <c r="X519" s="314" t="str">
        <f>VLOOKUP(D519,代理总表!A:D,3,0)</f>
        <v>SOCO越南直播</v>
      </c>
      <c r="Y519" t="str">
        <f>VLOOKUP(D:D,代理总表!A:D,4,FALSE)</f>
        <v>SOCO越南直播ffvn66</v>
      </c>
      <c r="Z519">
        <f t="shared" si="24"/>
        <v>0</v>
      </c>
      <c r="AA519">
        <f t="shared" si="25"/>
        <v>16</v>
      </c>
      <c r="AB519">
        <f t="shared" si="26"/>
        <v>1</v>
      </c>
    </row>
    <row r="520" spans="1:28">
      <c r="A520" s="314" t="s">
        <v>2028</v>
      </c>
      <c r="B520" s="314" t="s">
        <v>2029</v>
      </c>
      <c r="C520" s="314">
        <v>948920779</v>
      </c>
      <c r="D520" s="314" t="s">
        <v>172</v>
      </c>
      <c r="E520" s="314" t="s">
        <v>117</v>
      </c>
      <c r="F520" s="314" t="s">
        <v>118</v>
      </c>
      <c r="G520" s="314" t="s">
        <v>108</v>
      </c>
      <c r="H520" s="314" t="s">
        <v>119</v>
      </c>
      <c r="I520" s="314" t="s">
        <v>108</v>
      </c>
      <c r="J520" s="314" t="s">
        <v>120</v>
      </c>
      <c r="K520" s="314">
        <v>0</v>
      </c>
      <c r="L520" s="314">
        <v>0</v>
      </c>
      <c r="M520" s="315">
        <v>45145.6996875</v>
      </c>
      <c r="N520" s="314" t="s">
        <v>2030</v>
      </c>
      <c r="O520" s="314" t="s">
        <v>1205</v>
      </c>
      <c r="P520" s="314" t="s">
        <v>339</v>
      </c>
      <c r="Q520" s="314" t="s">
        <v>123</v>
      </c>
      <c r="R520" s="315">
        <v>45145.7002314815</v>
      </c>
      <c r="S520" s="314" t="s">
        <v>2030</v>
      </c>
      <c r="T520" s="314" t="s">
        <v>2031</v>
      </c>
      <c r="U520" s="314" t="s">
        <v>2031</v>
      </c>
      <c r="V520" s="314" t="s">
        <v>114</v>
      </c>
      <c r="W520" s="314"/>
      <c r="X520" s="314" t="str">
        <f>VLOOKUP(D520,代理总表!A:D,3,0)</f>
        <v>雨燕直播-越</v>
      </c>
      <c r="Y520" t="str">
        <f>VLOOKUP(D:D,代理总表!A:D,4,FALSE)</f>
        <v>雨燕直播-越ffvn66</v>
      </c>
      <c r="Z520">
        <f t="shared" si="24"/>
        <v>0</v>
      </c>
      <c r="AA520">
        <f t="shared" si="25"/>
        <v>16</v>
      </c>
      <c r="AB520">
        <f t="shared" si="26"/>
        <v>1</v>
      </c>
    </row>
    <row r="521" spans="1:28">
      <c r="A521" s="314" t="s">
        <v>2032</v>
      </c>
      <c r="B521" s="314"/>
      <c r="C521" s="314"/>
      <c r="D521" s="314" t="s">
        <v>143</v>
      </c>
      <c r="E521" s="314" t="s">
        <v>117</v>
      </c>
      <c r="F521" s="314" t="s">
        <v>118</v>
      </c>
      <c r="G521" s="314" t="s">
        <v>108</v>
      </c>
      <c r="H521" s="314" t="s">
        <v>119</v>
      </c>
      <c r="I521" s="314" t="s">
        <v>108</v>
      </c>
      <c r="J521" s="314" t="s">
        <v>120</v>
      </c>
      <c r="K521" s="314">
        <v>0</v>
      </c>
      <c r="L521" s="314">
        <v>0</v>
      </c>
      <c r="M521" s="315">
        <v>45145.6993287037</v>
      </c>
      <c r="N521" s="314" t="s">
        <v>2033</v>
      </c>
      <c r="O521" s="314" t="s">
        <v>502</v>
      </c>
      <c r="P521" s="314" t="s">
        <v>339</v>
      </c>
      <c r="Q521" s="314" t="s">
        <v>123</v>
      </c>
      <c r="R521" s="315">
        <v>45145.6993171296</v>
      </c>
      <c r="S521" s="314" t="s">
        <v>2033</v>
      </c>
      <c r="T521" s="314" t="s">
        <v>177</v>
      </c>
      <c r="U521" s="314" t="s">
        <v>177</v>
      </c>
      <c r="V521" s="314" t="s">
        <v>114</v>
      </c>
      <c r="W521" s="314"/>
      <c r="X521" s="314" t="str">
        <f>VLOOKUP(D521,代理总表!A:D,3,0)</f>
        <v>雨燕直播-越</v>
      </c>
      <c r="Y521" t="str">
        <f>VLOOKUP(D:D,代理总表!A:D,4,FALSE)</f>
        <v>雨燕直播-越ffvn66</v>
      </c>
      <c r="Z521">
        <f t="shared" si="24"/>
        <v>0</v>
      </c>
      <c r="AA521">
        <f t="shared" si="25"/>
        <v>16</v>
      </c>
      <c r="AB521">
        <f t="shared" si="26"/>
        <v>1</v>
      </c>
    </row>
    <row r="522" spans="1:28">
      <c r="A522" s="314" t="s">
        <v>2034</v>
      </c>
      <c r="B522" s="314"/>
      <c r="C522" s="314"/>
      <c r="D522" s="314" t="s">
        <v>116</v>
      </c>
      <c r="E522" s="314" t="s">
        <v>117</v>
      </c>
      <c r="F522" s="314" t="s">
        <v>118</v>
      </c>
      <c r="G522" s="314" t="s">
        <v>108</v>
      </c>
      <c r="H522" s="314" t="s">
        <v>119</v>
      </c>
      <c r="I522" s="314" t="s">
        <v>108</v>
      </c>
      <c r="J522" s="314" t="s">
        <v>120</v>
      </c>
      <c r="K522" s="314">
        <v>0</v>
      </c>
      <c r="L522" s="314">
        <v>0</v>
      </c>
      <c r="M522" s="315">
        <v>45145.698275463</v>
      </c>
      <c r="N522" s="314" t="s">
        <v>2035</v>
      </c>
      <c r="O522" s="314" t="s">
        <v>127</v>
      </c>
      <c r="P522" s="314" t="s">
        <v>112</v>
      </c>
      <c r="Q522" s="314" t="s">
        <v>123</v>
      </c>
      <c r="R522" s="315">
        <v>45145.6982638889</v>
      </c>
      <c r="S522" s="314" t="s">
        <v>2035</v>
      </c>
      <c r="T522" s="314" t="s">
        <v>177</v>
      </c>
      <c r="U522" s="314" t="s">
        <v>177</v>
      </c>
      <c r="V522" s="314" t="s">
        <v>114</v>
      </c>
      <c r="W522" s="314"/>
      <c r="X522" s="314" t="str">
        <f>VLOOKUP(D522,代理总表!A:D,3,0)</f>
        <v>外部代理总线</v>
      </c>
      <c r="Y522" t="str">
        <f>VLOOKUP(D:D,代理总表!A:D,4,FALSE)</f>
        <v>外部代理总线zh0808</v>
      </c>
      <c r="Z522">
        <f t="shared" si="24"/>
        <v>0</v>
      </c>
      <c r="AA522">
        <f t="shared" si="25"/>
        <v>16</v>
      </c>
      <c r="AB522">
        <f t="shared" si="26"/>
        <v>1</v>
      </c>
    </row>
    <row r="523" spans="1:28">
      <c r="A523" s="314" t="s">
        <v>2036</v>
      </c>
      <c r="B523" s="314"/>
      <c r="C523" s="314"/>
      <c r="D523" s="314" t="s">
        <v>240</v>
      </c>
      <c r="E523" s="314" t="s">
        <v>104</v>
      </c>
      <c r="F523" s="314" t="s">
        <v>149</v>
      </c>
      <c r="G523" s="314" t="s">
        <v>108</v>
      </c>
      <c r="H523" s="314" t="s">
        <v>119</v>
      </c>
      <c r="I523" s="314" t="s">
        <v>108</v>
      </c>
      <c r="J523" s="314" t="s">
        <v>109</v>
      </c>
      <c r="K523" s="314">
        <v>0</v>
      </c>
      <c r="L523" s="314">
        <v>0</v>
      </c>
      <c r="M523" s="315">
        <v>45145.6981134259</v>
      </c>
      <c r="N523" s="314" t="s">
        <v>2037</v>
      </c>
      <c r="O523" s="314" t="s">
        <v>363</v>
      </c>
      <c r="P523" s="314" t="s">
        <v>112</v>
      </c>
      <c r="Q523" s="314" t="s">
        <v>123</v>
      </c>
      <c r="R523" s="315">
        <v>45145.6981134259</v>
      </c>
      <c r="S523" s="314" t="s">
        <v>2037</v>
      </c>
      <c r="T523" s="314" t="s">
        <v>324</v>
      </c>
      <c r="U523" s="314" t="s">
        <v>324</v>
      </c>
      <c r="V523" s="314" t="s">
        <v>114</v>
      </c>
      <c r="W523" s="314"/>
      <c r="X523" s="314" t="str">
        <f>VLOOKUP(D523,代理总表!A:D,3,0)</f>
        <v>SEO邀请</v>
      </c>
      <c r="Y523" t="str">
        <f>VLOOKUP(D:D,代理总表!A:D,4,FALSE)</f>
        <v>SEO</v>
      </c>
      <c r="Z523">
        <f t="shared" si="24"/>
        <v>0</v>
      </c>
      <c r="AA523">
        <f t="shared" si="25"/>
        <v>16</v>
      </c>
      <c r="AB523">
        <f t="shared" si="26"/>
        <v>1</v>
      </c>
    </row>
    <row r="524" spans="1:28">
      <c r="A524" s="314" t="s">
        <v>2038</v>
      </c>
      <c r="B524" s="314" t="s">
        <v>2039</v>
      </c>
      <c r="C524" s="314">
        <v>383825488</v>
      </c>
      <c r="D524" s="314" t="s">
        <v>651</v>
      </c>
      <c r="E524" s="314" t="s">
        <v>117</v>
      </c>
      <c r="F524" s="314" t="s">
        <v>144</v>
      </c>
      <c r="G524" s="314" t="s">
        <v>106</v>
      </c>
      <c r="H524" s="314" t="s">
        <v>107</v>
      </c>
      <c r="I524" s="314" t="s">
        <v>108</v>
      </c>
      <c r="J524" s="314" t="s">
        <v>120</v>
      </c>
      <c r="K524" s="314">
        <v>206400</v>
      </c>
      <c r="L524" s="314">
        <v>280000</v>
      </c>
      <c r="M524" s="315">
        <v>45145.6980671296</v>
      </c>
      <c r="N524" s="314" t="s">
        <v>2040</v>
      </c>
      <c r="O524" s="314" t="s">
        <v>653</v>
      </c>
      <c r="P524" s="314" t="s">
        <v>112</v>
      </c>
      <c r="Q524" s="315">
        <v>45145.7251388889</v>
      </c>
      <c r="R524" s="315">
        <v>45146.3629282407</v>
      </c>
      <c r="S524" s="314" t="s">
        <v>2041</v>
      </c>
      <c r="T524" s="314" t="s">
        <v>177</v>
      </c>
      <c r="U524" s="314" t="s">
        <v>177</v>
      </c>
      <c r="V524" s="314" t="s">
        <v>114</v>
      </c>
      <c r="W524" s="314"/>
      <c r="X524" s="314" t="str">
        <f>VLOOKUP(D524,代理总表!A:D,3,0)</f>
        <v>雨燕直播-越</v>
      </c>
      <c r="Y524" t="str">
        <f>VLOOKUP(D:D,代理总表!A:D,4,FALSE)</f>
        <v>雨燕直播-越ffvn66</v>
      </c>
      <c r="Z524">
        <f t="shared" si="24"/>
        <v>1</v>
      </c>
      <c r="AA524">
        <f t="shared" si="25"/>
        <v>16</v>
      </c>
      <c r="AB524">
        <f t="shared" si="26"/>
        <v>1</v>
      </c>
    </row>
    <row r="525" spans="1:28">
      <c r="A525" s="314" t="s">
        <v>2042</v>
      </c>
      <c r="B525" s="314"/>
      <c r="C525" s="314"/>
      <c r="D525" s="314" t="s">
        <v>2024</v>
      </c>
      <c r="E525" s="314" t="s">
        <v>117</v>
      </c>
      <c r="F525" s="314" t="s">
        <v>118</v>
      </c>
      <c r="G525" s="314" t="s">
        <v>108</v>
      </c>
      <c r="H525" s="314" t="s">
        <v>119</v>
      </c>
      <c r="I525" s="314" t="s">
        <v>108</v>
      </c>
      <c r="J525" s="314" t="s">
        <v>120</v>
      </c>
      <c r="K525" s="314">
        <v>0</v>
      </c>
      <c r="L525" s="314">
        <v>0</v>
      </c>
      <c r="M525" s="315">
        <v>45145.6975347222</v>
      </c>
      <c r="N525" s="314" t="s">
        <v>2025</v>
      </c>
      <c r="O525" s="314" t="s">
        <v>2026</v>
      </c>
      <c r="P525" s="314" t="s">
        <v>339</v>
      </c>
      <c r="Q525" s="314" t="s">
        <v>123</v>
      </c>
      <c r="R525" s="315">
        <v>45145.6975347222</v>
      </c>
      <c r="S525" s="314" t="s">
        <v>2025</v>
      </c>
      <c r="T525" s="314" t="s">
        <v>2027</v>
      </c>
      <c r="U525" s="314" t="s">
        <v>2027</v>
      </c>
      <c r="V525" s="314" t="s">
        <v>114</v>
      </c>
      <c r="W525" s="314"/>
      <c r="X525" s="314" t="str">
        <f>VLOOKUP(D525,代理总表!A:D,3,0)</f>
        <v>SOCO越南直播</v>
      </c>
      <c r="Y525" t="str">
        <f>VLOOKUP(D:D,代理总表!A:D,4,FALSE)</f>
        <v>SOCO越南直播ffvn66</v>
      </c>
      <c r="Z525">
        <f t="shared" si="24"/>
        <v>0</v>
      </c>
      <c r="AA525">
        <f t="shared" si="25"/>
        <v>16</v>
      </c>
      <c r="AB525">
        <f t="shared" si="26"/>
        <v>1</v>
      </c>
    </row>
    <row r="526" spans="1:28">
      <c r="A526" s="314" t="s">
        <v>2043</v>
      </c>
      <c r="B526" s="314" t="s">
        <v>2044</v>
      </c>
      <c r="C526" s="314">
        <v>326894958</v>
      </c>
      <c r="D526" s="314" t="s">
        <v>1395</v>
      </c>
      <c r="E526" s="314" t="s">
        <v>117</v>
      </c>
      <c r="F526" s="314" t="s">
        <v>118</v>
      </c>
      <c r="G526" s="314" t="s">
        <v>108</v>
      </c>
      <c r="H526" s="314" t="s">
        <v>119</v>
      </c>
      <c r="I526" s="314" t="s">
        <v>108</v>
      </c>
      <c r="J526" s="314" t="s">
        <v>120</v>
      </c>
      <c r="K526" s="314">
        <v>0</v>
      </c>
      <c r="L526" s="314">
        <v>0</v>
      </c>
      <c r="M526" s="315">
        <v>45145.6974652778</v>
      </c>
      <c r="N526" s="314" t="s">
        <v>2045</v>
      </c>
      <c r="O526" s="314" t="s">
        <v>1397</v>
      </c>
      <c r="P526" s="314" t="s">
        <v>208</v>
      </c>
      <c r="Q526" s="314" t="s">
        <v>123</v>
      </c>
      <c r="R526" s="315">
        <v>45145.7845949074</v>
      </c>
      <c r="S526" s="314" t="s">
        <v>2045</v>
      </c>
      <c r="T526" s="314" t="s">
        <v>1334</v>
      </c>
      <c r="U526" s="314" t="s">
        <v>1334</v>
      </c>
      <c r="V526" s="314" t="s">
        <v>114</v>
      </c>
      <c r="W526" s="314"/>
      <c r="X526" s="314" t="str">
        <f>VLOOKUP(D526,代理总表!A:D,3,0)</f>
        <v>外代-越</v>
      </c>
      <c r="Y526" t="str">
        <f>VLOOKUP(D:D,代理总表!A:D,4,FALSE)</f>
        <v>外代-越btydl072</v>
      </c>
      <c r="Z526">
        <f t="shared" si="24"/>
        <v>0</v>
      </c>
      <c r="AA526">
        <f t="shared" si="25"/>
        <v>16</v>
      </c>
      <c r="AB526">
        <f t="shared" si="26"/>
        <v>1</v>
      </c>
    </row>
    <row r="527" spans="1:28">
      <c r="A527" s="314" t="s">
        <v>2046</v>
      </c>
      <c r="B527" s="314"/>
      <c r="C527" s="314">
        <v>15688217939</v>
      </c>
      <c r="D527" s="314" t="s">
        <v>370</v>
      </c>
      <c r="E527" s="314" t="s">
        <v>104</v>
      </c>
      <c r="F527" s="314" t="s">
        <v>118</v>
      </c>
      <c r="G527" s="314" t="s">
        <v>108</v>
      </c>
      <c r="H527" s="314" t="s">
        <v>119</v>
      </c>
      <c r="I527" s="314" t="s">
        <v>108</v>
      </c>
      <c r="J527" s="314" t="s">
        <v>109</v>
      </c>
      <c r="K527" s="314">
        <v>0</v>
      </c>
      <c r="L527" s="314">
        <v>0</v>
      </c>
      <c r="M527" s="315">
        <v>45145.6969097222</v>
      </c>
      <c r="N527" s="314" t="s">
        <v>2047</v>
      </c>
      <c r="O527" s="314" t="s">
        <v>747</v>
      </c>
      <c r="P527" s="314" t="s">
        <v>112</v>
      </c>
      <c r="Q527" s="314" t="s">
        <v>123</v>
      </c>
      <c r="R527" s="315">
        <v>45145.6969097222</v>
      </c>
      <c r="S527" s="314" t="s">
        <v>2047</v>
      </c>
      <c r="T527" s="314" t="s">
        <v>2048</v>
      </c>
      <c r="U527" s="314" t="s">
        <v>2048</v>
      </c>
      <c r="V527" s="314" t="s">
        <v>114</v>
      </c>
      <c r="W527" s="314"/>
      <c r="X527" s="314" t="str">
        <f>VLOOKUP(D527,代理总表!A:D,3,0)</f>
        <v>GT-骨头</v>
      </c>
      <c r="Y527" t="str">
        <f>VLOOKUP(D:D,代理总表!A:D,4,FALSE)</f>
        <v>GT-骨头gt6677</v>
      </c>
      <c r="Z527">
        <f t="shared" si="24"/>
        <v>0</v>
      </c>
      <c r="AA527">
        <f t="shared" si="25"/>
        <v>16</v>
      </c>
      <c r="AB527">
        <f t="shared" si="26"/>
        <v>1</v>
      </c>
    </row>
    <row r="528" spans="1:28">
      <c r="A528" s="314" t="s">
        <v>2049</v>
      </c>
      <c r="B528" s="314" t="s">
        <v>2050</v>
      </c>
      <c r="C528" s="314">
        <v>373289609</v>
      </c>
      <c r="D528" s="314" t="s">
        <v>143</v>
      </c>
      <c r="E528" s="314" t="s">
        <v>117</v>
      </c>
      <c r="F528" s="314" t="s">
        <v>118</v>
      </c>
      <c r="G528" s="314" t="s">
        <v>108</v>
      </c>
      <c r="H528" s="314" t="s">
        <v>119</v>
      </c>
      <c r="I528" s="314" t="s">
        <v>108</v>
      </c>
      <c r="J528" s="314" t="s">
        <v>120</v>
      </c>
      <c r="K528" s="314">
        <v>0</v>
      </c>
      <c r="L528" s="314">
        <v>0</v>
      </c>
      <c r="M528" s="315">
        <v>45145.6962847222</v>
      </c>
      <c r="N528" s="314" t="s">
        <v>2051</v>
      </c>
      <c r="O528" s="314" t="s">
        <v>407</v>
      </c>
      <c r="P528" s="314" t="s">
        <v>112</v>
      </c>
      <c r="Q528" s="314" t="s">
        <v>123</v>
      </c>
      <c r="R528" s="315">
        <v>45145.7275810185</v>
      </c>
      <c r="S528" s="314" t="s">
        <v>2051</v>
      </c>
      <c r="T528" s="314" t="s">
        <v>124</v>
      </c>
      <c r="U528" s="314" t="s">
        <v>124</v>
      </c>
      <c r="V528" s="314" t="s">
        <v>114</v>
      </c>
      <c r="W528" s="314"/>
      <c r="X528" s="314" t="str">
        <f>VLOOKUP(D528,代理总表!A:D,3,0)</f>
        <v>雨燕直播-越</v>
      </c>
      <c r="Y528" t="str">
        <f>VLOOKUP(D:D,代理总表!A:D,4,FALSE)</f>
        <v>雨燕直播-越ffvn66</v>
      </c>
      <c r="Z528">
        <f t="shared" si="24"/>
        <v>0</v>
      </c>
      <c r="AA528">
        <f t="shared" si="25"/>
        <v>16</v>
      </c>
      <c r="AB528">
        <f t="shared" si="26"/>
        <v>1</v>
      </c>
    </row>
    <row r="529" spans="1:28">
      <c r="A529" s="314" t="s">
        <v>2052</v>
      </c>
      <c r="B529" s="314" t="s">
        <v>2053</v>
      </c>
      <c r="C529" s="314">
        <v>18526673435</v>
      </c>
      <c r="D529" s="314" t="s">
        <v>103</v>
      </c>
      <c r="E529" s="314" t="s">
        <v>104</v>
      </c>
      <c r="F529" s="314" t="s">
        <v>144</v>
      </c>
      <c r="G529" s="314" t="s">
        <v>106</v>
      </c>
      <c r="H529" s="314" t="s">
        <v>107</v>
      </c>
      <c r="I529" s="314" t="s">
        <v>108</v>
      </c>
      <c r="J529" s="314" t="s">
        <v>109</v>
      </c>
      <c r="K529" s="314">
        <v>100</v>
      </c>
      <c r="L529" s="314">
        <v>0</v>
      </c>
      <c r="M529" s="315">
        <v>45145.6961805556</v>
      </c>
      <c r="N529" s="314" t="s">
        <v>2054</v>
      </c>
      <c r="O529" s="314" t="s">
        <v>2055</v>
      </c>
      <c r="P529" s="314" t="s">
        <v>161</v>
      </c>
      <c r="Q529" s="315">
        <v>45145.7017824074</v>
      </c>
      <c r="R529" s="315">
        <v>45145.6992939815</v>
      </c>
      <c r="S529" s="314" t="s">
        <v>2054</v>
      </c>
      <c r="T529" s="314" t="s">
        <v>2056</v>
      </c>
      <c r="U529" s="314" t="s">
        <v>2056</v>
      </c>
      <c r="V529" s="314" t="s">
        <v>114</v>
      </c>
      <c r="W529" s="314" t="s">
        <v>2057</v>
      </c>
      <c r="X529" s="314" t="str">
        <f>VLOOKUP(D529,代理总表!A:D,3,0)</f>
        <v>官网</v>
      </c>
      <c r="Y529" t="str">
        <f>VLOOKUP(D:D,代理总表!A:D,4,FALSE)</f>
        <v>官网</v>
      </c>
      <c r="Z529">
        <f t="shared" si="24"/>
        <v>1</v>
      </c>
      <c r="AA529">
        <f t="shared" si="25"/>
        <v>16</v>
      </c>
      <c r="AB529">
        <f t="shared" si="26"/>
        <v>1</v>
      </c>
    </row>
    <row r="530" spans="1:28">
      <c r="A530" s="314" t="s">
        <v>2058</v>
      </c>
      <c r="B530" s="314"/>
      <c r="C530" s="314">
        <v>344181195</v>
      </c>
      <c r="D530" s="314" t="s">
        <v>116</v>
      </c>
      <c r="E530" s="314" t="s">
        <v>117</v>
      </c>
      <c r="F530" s="314" t="s">
        <v>118</v>
      </c>
      <c r="G530" s="314" t="s">
        <v>108</v>
      </c>
      <c r="H530" s="314" t="s">
        <v>119</v>
      </c>
      <c r="I530" s="314" t="s">
        <v>108</v>
      </c>
      <c r="J530" s="314" t="s">
        <v>120</v>
      </c>
      <c r="K530" s="314">
        <v>0</v>
      </c>
      <c r="L530" s="314">
        <v>0</v>
      </c>
      <c r="M530" s="315">
        <v>45145.6938773148</v>
      </c>
      <c r="N530" s="314" t="s">
        <v>2059</v>
      </c>
      <c r="O530" s="314" t="s">
        <v>127</v>
      </c>
      <c r="P530" s="314" t="s">
        <v>112</v>
      </c>
      <c r="Q530" s="314" t="s">
        <v>123</v>
      </c>
      <c r="R530" s="315">
        <v>45145.7016898148</v>
      </c>
      <c r="S530" s="314" t="s">
        <v>2059</v>
      </c>
      <c r="T530" s="314" t="s">
        <v>124</v>
      </c>
      <c r="U530" s="314" t="s">
        <v>124</v>
      </c>
      <c r="V530" s="314" t="s">
        <v>114</v>
      </c>
      <c r="W530" s="314"/>
      <c r="X530" s="314" t="str">
        <f>VLOOKUP(D530,代理总表!A:D,3,0)</f>
        <v>外部代理总线</v>
      </c>
      <c r="Y530" t="str">
        <f>VLOOKUP(D:D,代理总表!A:D,4,FALSE)</f>
        <v>外部代理总线zh0808</v>
      </c>
      <c r="Z530">
        <f t="shared" si="24"/>
        <v>0</v>
      </c>
      <c r="AA530">
        <f t="shared" si="25"/>
        <v>16</v>
      </c>
      <c r="AB530">
        <f t="shared" si="26"/>
        <v>1</v>
      </c>
    </row>
    <row r="531" spans="1:28">
      <c r="A531" s="314" t="s">
        <v>2060</v>
      </c>
      <c r="B531" s="314"/>
      <c r="C531" s="314">
        <v>344485178</v>
      </c>
      <c r="D531" s="314" t="s">
        <v>116</v>
      </c>
      <c r="E531" s="314" t="s">
        <v>117</v>
      </c>
      <c r="F531" s="314" t="s">
        <v>118</v>
      </c>
      <c r="G531" s="314" t="s">
        <v>108</v>
      </c>
      <c r="H531" s="314" t="s">
        <v>119</v>
      </c>
      <c r="I531" s="314" t="s">
        <v>108</v>
      </c>
      <c r="J531" s="314" t="s">
        <v>120</v>
      </c>
      <c r="K531" s="314">
        <v>0</v>
      </c>
      <c r="L531" s="314">
        <v>0</v>
      </c>
      <c r="M531" s="315">
        <v>45145.6937731481</v>
      </c>
      <c r="N531" s="314" t="s">
        <v>2061</v>
      </c>
      <c r="O531" s="314" t="s">
        <v>2062</v>
      </c>
      <c r="P531" s="314" t="s">
        <v>112</v>
      </c>
      <c r="Q531" s="314" t="s">
        <v>123</v>
      </c>
      <c r="R531" s="315">
        <v>45145.6937615741</v>
      </c>
      <c r="S531" s="314" t="s">
        <v>2061</v>
      </c>
      <c r="T531" s="314" t="s">
        <v>131</v>
      </c>
      <c r="U531" s="314" t="s">
        <v>131</v>
      </c>
      <c r="V531" s="314" t="s">
        <v>114</v>
      </c>
      <c r="W531" s="314"/>
      <c r="X531" s="314" t="str">
        <f>VLOOKUP(D531,代理总表!A:D,3,0)</f>
        <v>外部代理总线</v>
      </c>
      <c r="Y531" t="str">
        <f>VLOOKUP(D:D,代理总表!A:D,4,FALSE)</f>
        <v>外部代理总线zh0808</v>
      </c>
      <c r="Z531">
        <f t="shared" si="24"/>
        <v>0</v>
      </c>
      <c r="AA531">
        <f t="shared" si="25"/>
        <v>16</v>
      </c>
      <c r="AB531">
        <f t="shared" si="26"/>
        <v>1</v>
      </c>
    </row>
    <row r="532" spans="1:28">
      <c r="A532" s="314" t="s">
        <v>2063</v>
      </c>
      <c r="B532" s="314" t="s">
        <v>2064</v>
      </c>
      <c r="C532" s="314">
        <v>842030261</v>
      </c>
      <c r="D532" s="314" t="s">
        <v>2065</v>
      </c>
      <c r="E532" s="314" t="s">
        <v>117</v>
      </c>
      <c r="F532" s="314" t="s">
        <v>144</v>
      </c>
      <c r="G532" s="314" t="s">
        <v>106</v>
      </c>
      <c r="H532" s="314" t="s">
        <v>107</v>
      </c>
      <c r="I532" s="314" t="s">
        <v>108</v>
      </c>
      <c r="J532" s="314" t="s">
        <v>120</v>
      </c>
      <c r="K532" s="314">
        <v>0</v>
      </c>
      <c r="L532" s="314">
        <v>500000</v>
      </c>
      <c r="M532" s="315">
        <v>45145.6935763889</v>
      </c>
      <c r="N532" s="314" t="s">
        <v>2066</v>
      </c>
      <c r="O532" s="314" t="s">
        <v>2067</v>
      </c>
      <c r="P532" s="314" t="s">
        <v>112</v>
      </c>
      <c r="Q532" s="315">
        <v>45145.7053009259</v>
      </c>
      <c r="R532" s="315">
        <v>45145.6977314815</v>
      </c>
      <c r="S532" s="314" t="s">
        <v>2066</v>
      </c>
      <c r="T532" s="314" t="s">
        <v>131</v>
      </c>
      <c r="U532" s="314" t="s">
        <v>131</v>
      </c>
      <c r="V532" s="314" t="s">
        <v>114</v>
      </c>
      <c r="W532" s="314"/>
      <c r="X532" s="314" t="str">
        <f>VLOOKUP(D532,代理总表!A:D,3,0)</f>
        <v>外部代理总线</v>
      </c>
      <c r="Y532" t="str">
        <f>VLOOKUP(D:D,代理总表!A:D,4,FALSE)</f>
        <v>外部代理总线zh0808</v>
      </c>
      <c r="Z532">
        <f t="shared" si="24"/>
        <v>1</v>
      </c>
      <c r="AA532">
        <f t="shared" si="25"/>
        <v>16</v>
      </c>
      <c r="AB532">
        <f t="shared" si="26"/>
        <v>1</v>
      </c>
    </row>
    <row r="533" spans="1:28">
      <c r="A533" s="314" t="s">
        <v>2068</v>
      </c>
      <c r="B533" s="314" t="s">
        <v>2069</v>
      </c>
      <c r="C533" s="314">
        <v>588504220</v>
      </c>
      <c r="D533" s="314" t="s">
        <v>143</v>
      </c>
      <c r="E533" s="314" t="s">
        <v>117</v>
      </c>
      <c r="F533" s="314" t="s">
        <v>144</v>
      </c>
      <c r="G533" s="314" t="s">
        <v>106</v>
      </c>
      <c r="H533" s="314" t="s">
        <v>107</v>
      </c>
      <c r="I533" s="314" t="s">
        <v>108</v>
      </c>
      <c r="J533" s="314" t="s">
        <v>120</v>
      </c>
      <c r="K533" s="314">
        <v>9800000</v>
      </c>
      <c r="L533" s="314">
        <v>9000000</v>
      </c>
      <c r="M533" s="315">
        <v>45145.6933101852</v>
      </c>
      <c r="N533" s="314" t="s">
        <v>2070</v>
      </c>
      <c r="O533" s="314" t="s">
        <v>502</v>
      </c>
      <c r="P533" s="314" t="s">
        <v>339</v>
      </c>
      <c r="Q533" s="315">
        <v>45145.7310069444</v>
      </c>
      <c r="R533" s="315">
        <v>45145.7628125</v>
      </c>
      <c r="S533" s="314" t="s">
        <v>2070</v>
      </c>
      <c r="T533" s="314" t="s">
        <v>177</v>
      </c>
      <c r="U533" s="314" t="s">
        <v>177</v>
      </c>
      <c r="V533" s="314" t="s">
        <v>114</v>
      </c>
      <c r="W533" s="314"/>
      <c r="X533" s="314" t="str">
        <f>VLOOKUP(D533,代理总表!A:D,3,0)</f>
        <v>雨燕直播-越</v>
      </c>
      <c r="Y533" t="str">
        <f>VLOOKUP(D:D,代理总表!A:D,4,FALSE)</f>
        <v>雨燕直播-越ffvn66</v>
      </c>
      <c r="Z533">
        <f t="shared" si="24"/>
        <v>1</v>
      </c>
      <c r="AA533">
        <f t="shared" si="25"/>
        <v>16</v>
      </c>
      <c r="AB533">
        <f t="shared" si="26"/>
        <v>1</v>
      </c>
    </row>
    <row r="534" spans="1:28">
      <c r="A534" s="314" t="s">
        <v>2071</v>
      </c>
      <c r="B534" s="314"/>
      <c r="C534" s="314"/>
      <c r="D534" s="314" t="s">
        <v>116</v>
      </c>
      <c r="E534" s="314" t="s">
        <v>117</v>
      </c>
      <c r="F534" s="314" t="s">
        <v>118</v>
      </c>
      <c r="G534" s="314" t="s">
        <v>108</v>
      </c>
      <c r="H534" s="314" t="s">
        <v>119</v>
      </c>
      <c r="I534" s="314" t="s">
        <v>108</v>
      </c>
      <c r="J534" s="314" t="s">
        <v>120</v>
      </c>
      <c r="K534" s="314">
        <v>0</v>
      </c>
      <c r="L534" s="314">
        <v>0</v>
      </c>
      <c r="M534" s="315">
        <v>45145.6923032407</v>
      </c>
      <c r="N534" s="314" t="s">
        <v>2072</v>
      </c>
      <c r="O534" s="314" t="s">
        <v>122</v>
      </c>
      <c r="P534" s="314" t="s">
        <v>112</v>
      </c>
      <c r="Q534" s="314" t="s">
        <v>123</v>
      </c>
      <c r="R534" s="315">
        <v>45145.7045601852</v>
      </c>
      <c r="S534" s="314" t="s">
        <v>2073</v>
      </c>
      <c r="T534" s="314" t="s">
        <v>177</v>
      </c>
      <c r="U534" s="314" t="s">
        <v>177</v>
      </c>
      <c r="V534" s="314" t="s">
        <v>114</v>
      </c>
      <c r="W534" s="314"/>
      <c r="X534" s="314" t="str">
        <f>VLOOKUP(D534,代理总表!A:D,3,0)</f>
        <v>外部代理总线</v>
      </c>
      <c r="Y534" t="str">
        <f>VLOOKUP(D:D,代理总表!A:D,4,FALSE)</f>
        <v>外部代理总线zh0808</v>
      </c>
      <c r="Z534">
        <f t="shared" si="24"/>
        <v>0</v>
      </c>
      <c r="AA534">
        <f t="shared" si="25"/>
        <v>16</v>
      </c>
      <c r="AB534">
        <f t="shared" si="26"/>
        <v>1</v>
      </c>
    </row>
    <row r="535" spans="1:28">
      <c r="A535" s="314" t="s">
        <v>2074</v>
      </c>
      <c r="B535" s="314" t="s">
        <v>2075</v>
      </c>
      <c r="C535" s="314">
        <v>799162991</v>
      </c>
      <c r="D535" s="314" t="s">
        <v>197</v>
      </c>
      <c r="E535" s="314" t="s">
        <v>117</v>
      </c>
      <c r="F535" s="314" t="s">
        <v>118</v>
      </c>
      <c r="G535" s="314" t="s">
        <v>108</v>
      </c>
      <c r="H535" s="314" t="s">
        <v>119</v>
      </c>
      <c r="I535" s="314" t="s">
        <v>108</v>
      </c>
      <c r="J535" s="314" t="s">
        <v>120</v>
      </c>
      <c r="K535" s="314">
        <v>0</v>
      </c>
      <c r="L535" s="314">
        <v>0</v>
      </c>
      <c r="M535" s="315">
        <v>45145.6917824074</v>
      </c>
      <c r="N535" s="314" t="s">
        <v>2076</v>
      </c>
      <c r="O535" s="314" t="s">
        <v>875</v>
      </c>
      <c r="P535" s="314" t="s">
        <v>112</v>
      </c>
      <c r="Q535" s="314" t="s">
        <v>123</v>
      </c>
      <c r="R535" s="315">
        <v>45146.0115856481</v>
      </c>
      <c r="S535" s="314" t="s">
        <v>2076</v>
      </c>
      <c r="T535" s="314" t="s">
        <v>124</v>
      </c>
      <c r="U535" s="314" t="s">
        <v>124</v>
      </c>
      <c r="V535" s="314" t="s">
        <v>114</v>
      </c>
      <c r="W535" s="314"/>
      <c r="X535" s="314" t="str">
        <f>VLOOKUP(D535,代理总表!A:D,3,0)</f>
        <v>雨燕直播-越</v>
      </c>
      <c r="Y535" t="str">
        <f>VLOOKUP(D:D,代理总表!A:D,4,FALSE)</f>
        <v>雨燕直播-越ffvn66</v>
      </c>
      <c r="Z535">
        <f t="shared" si="24"/>
        <v>0</v>
      </c>
      <c r="AA535">
        <f t="shared" si="25"/>
        <v>16</v>
      </c>
      <c r="AB535">
        <f t="shared" si="26"/>
        <v>1</v>
      </c>
    </row>
    <row r="536" spans="1:28">
      <c r="A536" s="314" t="s">
        <v>2077</v>
      </c>
      <c r="B536" s="314"/>
      <c r="C536" s="314"/>
      <c r="D536" s="314" t="s">
        <v>116</v>
      </c>
      <c r="E536" s="314" t="s">
        <v>117</v>
      </c>
      <c r="F536" s="314" t="s">
        <v>118</v>
      </c>
      <c r="G536" s="314" t="s">
        <v>108</v>
      </c>
      <c r="H536" s="314" t="s">
        <v>119</v>
      </c>
      <c r="I536" s="314" t="s">
        <v>108</v>
      </c>
      <c r="J536" s="314" t="s">
        <v>120</v>
      </c>
      <c r="K536" s="314">
        <v>0</v>
      </c>
      <c r="L536" s="314">
        <v>0</v>
      </c>
      <c r="M536" s="315">
        <v>45145.6913425926</v>
      </c>
      <c r="N536" s="314" t="s">
        <v>2078</v>
      </c>
      <c r="O536" s="314" t="s">
        <v>122</v>
      </c>
      <c r="P536" s="314" t="s">
        <v>112</v>
      </c>
      <c r="Q536" s="314" t="s">
        <v>123</v>
      </c>
      <c r="R536" s="315">
        <v>45145.6913310185</v>
      </c>
      <c r="S536" s="314" t="s">
        <v>2078</v>
      </c>
      <c r="T536" s="314" t="s">
        <v>177</v>
      </c>
      <c r="U536" s="314" t="s">
        <v>177</v>
      </c>
      <c r="V536" s="314" t="s">
        <v>114</v>
      </c>
      <c r="W536" s="314"/>
      <c r="X536" s="314" t="str">
        <f>VLOOKUP(D536,代理总表!A:D,3,0)</f>
        <v>外部代理总线</v>
      </c>
      <c r="Y536" t="str">
        <f>VLOOKUP(D:D,代理总表!A:D,4,FALSE)</f>
        <v>外部代理总线zh0808</v>
      </c>
      <c r="Z536">
        <f t="shared" si="24"/>
        <v>0</v>
      </c>
      <c r="AA536">
        <f t="shared" si="25"/>
        <v>16</v>
      </c>
      <c r="AB536">
        <f t="shared" si="26"/>
        <v>1</v>
      </c>
    </row>
    <row r="537" spans="1:28">
      <c r="A537" s="314" t="s">
        <v>2079</v>
      </c>
      <c r="B537" s="314" t="s">
        <v>2080</v>
      </c>
      <c r="C537" s="314">
        <v>389202484</v>
      </c>
      <c r="D537" s="314" t="s">
        <v>137</v>
      </c>
      <c r="E537" s="314" t="s">
        <v>117</v>
      </c>
      <c r="F537" s="314" t="s">
        <v>144</v>
      </c>
      <c r="G537" s="314" t="s">
        <v>106</v>
      </c>
      <c r="H537" s="314" t="s">
        <v>107</v>
      </c>
      <c r="I537" s="314" t="s">
        <v>108</v>
      </c>
      <c r="J537" s="314" t="s">
        <v>120</v>
      </c>
      <c r="K537" s="314">
        <v>500000</v>
      </c>
      <c r="L537" s="314">
        <v>0</v>
      </c>
      <c r="M537" s="315">
        <v>45145.6905902778</v>
      </c>
      <c r="N537" s="314" t="s">
        <v>2081</v>
      </c>
      <c r="O537" s="314" t="s">
        <v>139</v>
      </c>
      <c r="P537" s="314" t="s">
        <v>112</v>
      </c>
      <c r="Q537" s="315">
        <v>45145.7059837963</v>
      </c>
      <c r="R537" s="315">
        <v>45145.9980902778</v>
      </c>
      <c r="S537" s="314" t="s">
        <v>2082</v>
      </c>
      <c r="T537" s="314" t="s">
        <v>1196</v>
      </c>
      <c r="U537" s="314" t="s">
        <v>131</v>
      </c>
      <c r="V537" s="314" t="s">
        <v>114</v>
      </c>
      <c r="W537" s="314"/>
      <c r="X537" s="314" t="str">
        <f>VLOOKUP(D537,代理总表!A:D,3,0)</f>
        <v>雨燕直播-越</v>
      </c>
      <c r="Y537" t="str">
        <f>VLOOKUP(D:D,代理总表!A:D,4,FALSE)</f>
        <v>雨燕直播-越ffvn66</v>
      </c>
      <c r="Z537">
        <f t="shared" si="24"/>
        <v>1</v>
      </c>
      <c r="AA537">
        <f t="shared" si="25"/>
        <v>16</v>
      </c>
      <c r="AB537">
        <f t="shared" si="26"/>
        <v>1</v>
      </c>
    </row>
    <row r="538" spans="1:28">
      <c r="A538" s="314" t="s">
        <v>2083</v>
      </c>
      <c r="B538" s="314"/>
      <c r="C538" s="314"/>
      <c r="D538" s="314" t="s">
        <v>1336</v>
      </c>
      <c r="E538" s="314" t="s">
        <v>104</v>
      </c>
      <c r="F538" s="314" t="s">
        <v>118</v>
      </c>
      <c r="G538" s="314" t="s">
        <v>108</v>
      </c>
      <c r="H538" s="314" t="s">
        <v>119</v>
      </c>
      <c r="I538" s="314" t="s">
        <v>108</v>
      </c>
      <c r="J538" s="314" t="s">
        <v>109</v>
      </c>
      <c r="K538" s="314">
        <v>0</v>
      </c>
      <c r="L538" s="314">
        <v>0</v>
      </c>
      <c r="M538" s="315">
        <v>45145.6905324074</v>
      </c>
      <c r="N538" s="314" t="s">
        <v>2084</v>
      </c>
      <c r="O538" s="314" t="s">
        <v>2085</v>
      </c>
      <c r="P538" s="314" t="s">
        <v>112</v>
      </c>
      <c r="Q538" s="314" t="s">
        <v>123</v>
      </c>
      <c r="R538" s="315">
        <v>45145.6905324074</v>
      </c>
      <c r="S538" s="314" t="s">
        <v>2084</v>
      </c>
      <c r="T538" s="314" t="s">
        <v>2086</v>
      </c>
      <c r="U538" s="314" t="s">
        <v>2086</v>
      </c>
      <c r="V538" s="314" t="s">
        <v>114</v>
      </c>
      <c r="W538" s="314"/>
      <c r="X538" s="314" t="str">
        <f>VLOOKUP(D538,代理总表!A:D,3,0)</f>
        <v>飞哥雨燕直播</v>
      </c>
      <c r="Y538" t="str">
        <f>VLOOKUP(D:D,代理总表!A:D,4,FALSE)</f>
        <v>飞哥雨燕直播ffmk88</v>
      </c>
      <c r="Z538">
        <f t="shared" si="24"/>
        <v>0</v>
      </c>
      <c r="AA538">
        <f t="shared" si="25"/>
        <v>16</v>
      </c>
      <c r="AB538">
        <f t="shared" si="26"/>
        <v>1</v>
      </c>
    </row>
    <row r="539" spans="1:28">
      <c r="A539" s="314" t="s">
        <v>2087</v>
      </c>
      <c r="B539" s="314"/>
      <c r="C539" s="314"/>
      <c r="D539" s="314" t="s">
        <v>1035</v>
      </c>
      <c r="E539" s="314" t="s">
        <v>117</v>
      </c>
      <c r="F539" s="314" t="s">
        <v>118</v>
      </c>
      <c r="G539" s="314" t="s">
        <v>108</v>
      </c>
      <c r="H539" s="314" t="s">
        <v>119</v>
      </c>
      <c r="I539" s="314" t="s">
        <v>108</v>
      </c>
      <c r="J539" s="314" t="s">
        <v>120</v>
      </c>
      <c r="K539" s="314">
        <v>0</v>
      </c>
      <c r="L539" s="314">
        <v>0</v>
      </c>
      <c r="M539" s="315">
        <v>45145.6902662037</v>
      </c>
      <c r="N539" s="314" t="s">
        <v>2088</v>
      </c>
      <c r="O539" s="314" t="s">
        <v>1037</v>
      </c>
      <c r="P539" s="314" t="s">
        <v>112</v>
      </c>
      <c r="Q539" s="314" t="s">
        <v>123</v>
      </c>
      <c r="R539" s="315">
        <v>45145.7044675926</v>
      </c>
      <c r="S539" s="314" t="s">
        <v>2088</v>
      </c>
      <c r="T539" s="314" t="s">
        <v>368</v>
      </c>
      <c r="U539" s="314" t="s">
        <v>368</v>
      </c>
      <c r="V539" s="314" t="s">
        <v>114</v>
      </c>
      <c r="W539" s="314"/>
      <c r="X539" s="314" t="e">
        <f>VLOOKUP(D539,代理总表!A:D,3,0)</f>
        <v>#N/A</v>
      </c>
      <c r="Y539" t="e">
        <f>VLOOKUP(D:D,代理总表!A:D,4,FALSE)</f>
        <v>#N/A</v>
      </c>
      <c r="Z539">
        <f t="shared" si="24"/>
        <v>0</v>
      </c>
      <c r="AA539">
        <f t="shared" si="25"/>
        <v>16</v>
      </c>
      <c r="AB539">
        <f t="shared" si="26"/>
        <v>1</v>
      </c>
    </row>
    <row r="540" spans="1:28">
      <c r="A540" s="314" t="s">
        <v>2089</v>
      </c>
      <c r="B540" s="314"/>
      <c r="C540" s="314">
        <v>15370011346</v>
      </c>
      <c r="D540" s="314" t="s">
        <v>558</v>
      </c>
      <c r="E540" s="314" t="s">
        <v>104</v>
      </c>
      <c r="F540" s="314" t="s">
        <v>118</v>
      </c>
      <c r="G540" s="314" t="s">
        <v>108</v>
      </c>
      <c r="H540" s="314" t="s">
        <v>119</v>
      </c>
      <c r="I540" s="314" t="s">
        <v>108</v>
      </c>
      <c r="J540" s="314" t="s">
        <v>109</v>
      </c>
      <c r="K540" s="314">
        <v>0</v>
      </c>
      <c r="L540" s="314">
        <v>0</v>
      </c>
      <c r="M540" s="315">
        <v>45145.6900578704</v>
      </c>
      <c r="N540" s="314" t="s">
        <v>2090</v>
      </c>
      <c r="O540" s="314" t="s">
        <v>560</v>
      </c>
      <c r="P540" s="314" t="s">
        <v>112</v>
      </c>
      <c r="Q540" s="314" t="s">
        <v>123</v>
      </c>
      <c r="R540" s="315">
        <v>45146.158275463</v>
      </c>
      <c r="S540" s="314" t="s">
        <v>2090</v>
      </c>
      <c r="T540" s="314" t="s">
        <v>849</v>
      </c>
      <c r="U540" s="314" t="s">
        <v>849</v>
      </c>
      <c r="V540" s="314" t="s">
        <v>114</v>
      </c>
      <c r="W540" s="314"/>
      <c r="X540" s="314" t="str">
        <f>VLOOKUP(D540,代理总表!A:D,3,0)</f>
        <v>雨燕直播</v>
      </c>
      <c r="Y540" t="str">
        <f>VLOOKUP(D:D,代理总表!A:D,4,FALSE)</f>
        <v>雨燕直播zzzb888</v>
      </c>
      <c r="Z540">
        <f t="shared" si="24"/>
        <v>0</v>
      </c>
      <c r="AA540">
        <f t="shared" si="25"/>
        <v>16</v>
      </c>
      <c r="AB540">
        <f t="shared" si="26"/>
        <v>1</v>
      </c>
    </row>
    <row r="541" spans="1:28">
      <c r="A541" s="314" t="s">
        <v>2091</v>
      </c>
      <c r="B541" s="314" t="s">
        <v>2092</v>
      </c>
      <c r="C541" s="314">
        <v>963695372</v>
      </c>
      <c r="D541" s="314" t="s">
        <v>143</v>
      </c>
      <c r="E541" s="314" t="s">
        <v>117</v>
      </c>
      <c r="F541" s="314" t="s">
        <v>118</v>
      </c>
      <c r="G541" s="314" t="s">
        <v>108</v>
      </c>
      <c r="H541" s="314" t="s">
        <v>119</v>
      </c>
      <c r="I541" s="314" t="s">
        <v>108</v>
      </c>
      <c r="J541" s="314" t="s">
        <v>120</v>
      </c>
      <c r="K541" s="314">
        <v>0</v>
      </c>
      <c r="L541" s="314">
        <v>0</v>
      </c>
      <c r="M541" s="315">
        <v>45145.6899305556</v>
      </c>
      <c r="N541" s="314" t="s">
        <v>2093</v>
      </c>
      <c r="O541" s="314" t="s">
        <v>407</v>
      </c>
      <c r="P541" s="314" t="s">
        <v>112</v>
      </c>
      <c r="Q541" s="314" t="s">
        <v>123</v>
      </c>
      <c r="R541" s="315">
        <v>45145.7285185185</v>
      </c>
      <c r="S541" s="314" t="s">
        <v>2093</v>
      </c>
      <c r="T541" s="314" t="s">
        <v>131</v>
      </c>
      <c r="U541" s="314" t="s">
        <v>131</v>
      </c>
      <c r="V541" s="314" t="s">
        <v>114</v>
      </c>
      <c r="W541" s="314"/>
      <c r="X541" s="314" t="str">
        <f>VLOOKUP(D541,代理总表!A:D,3,0)</f>
        <v>雨燕直播-越</v>
      </c>
      <c r="Y541" t="str">
        <f>VLOOKUP(D:D,代理总表!A:D,4,FALSE)</f>
        <v>雨燕直播-越ffvn66</v>
      </c>
      <c r="Z541">
        <f t="shared" si="24"/>
        <v>0</v>
      </c>
      <c r="AA541">
        <f t="shared" si="25"/>
        <v>16</v>
      </c>
      <c r="AB541">
        <f t="shared" si="26"/>
        <v>1</v>
      </c>
    </row>
    <row r="542" spans="1:28">
      <c r="A542" s="314" t="s">
        <v>2094</v>
      </c>
      <c r="B542" s="314"/>
      <c r="C542" s="314">
        <v>942585978</v>
      </c>
      <c r="D542" s="314" t="s">
        <v>137</v>
      </c>
      <c r="E542" s="314" t="s">
        <v>117</v>
      </c>
      <c r="F542" s="314" t="s">
        <v>118</v>
      </c>
      <c r="G542" s="314" t="s">
        <v>108</v>
      </c>
      <c r="H542" s="314" t="s">
        <v>119</v>
      </c>
      <c r="I542" s="314" t="s">
        <v>108</v>
      </c>
      <c r="J542" s="314" t="s">
        <v>120</v>
      </c>
      <c r="K542" s="314">
        <v>0</v>
      </c>
      <c r="L542" s="314">
        <v>0</v>
      </c>
      <c r="M542" s="315">
        <v>45145.6899305556</v>
      </c>
      <c r="N542" s="314" t="s">
        <v>2095</v>
      </c>
      <c r="O542" s="314" t="s">
        <v>139</v>
      </c>
      <c r="P542" s="314" t="s">
        <v>112</v>
      </c>
      <c r="Q542" s="314" t="s">
        <v>123</v>
      </c>
      <c r="R542" s="315">
        <v>45146.2664583333</v>
      </c>
      <c r="S542" s="314" t="s">
        <v>2096</v>
      </c>
      <c r="T542" s="314" t="s">
        <v>128</v>
      </c>
      <c r="U542" s="314" t="s">
        <v>128</v>
      </c>
      <c r="V542" s="314" t="s">
        <v>114</v>
      </c>
      <c r="W542" s="314"/>
      <c r="X542" s="314" t="str">
        <f>VLOOKUP(D542,代理总表!A:D,3,0)</f>
        <v>雨燕直播-越</v>
      </c>
      <c r="Y542" t="str">
        <f>VLOOKUP(D:D,代理总表!A:D,4,FALSE)</f>
        <v>雨燕直播-越ffvn66</v>
      </c>
      <c r="Z542">
        <f t="shared" si="24"/>
        <v>0</v>
      </c>
      <c r="AA542">
        <f t="shared" si="25"/>
        <v>16</v>
      </c>
      <c r="AB542">
        <f t="shared" si="26"/>
        <v>1</v>
      </c>
    </row>
    <row r="543" spans="1:28">
      <c r="A543" s="314" t="s">
        <v>2097</v>
      </c>
      <c r="B543" s="314" t="s">
        <v>2098</v>
      </c>
      <c r="C543" s="314">
        <v>15301880959</v>
      </c>
      <c r="D543" s="314" t="s">
        <v>1109</v>
      </c>
      <c r="E543" s="314" t="s">
        <v>104</v>
      </c>
      <c r="F543" s="314" t="s">
        <v>144</v>
      </c>
      <c r="G543" s="314" t="s">
        <v>106</v>
      </c>
      <c r="H543" s="314" t="s">
        <v>107</v>
      </c>
      <c r="I543" s="314" t="s">
        <v>108</v>
      </c>
      <c r="J543" s="314" t="s">
        <v>109</v>
      </c>
      <c r="K543" s="314">
        <v>301.88</v>
      </c>
      <c r="L543" s="314">
        <v>300</v>
      </c>
      <c r="M543" s="315">
        <v>45145.6895023148</v>
      </c>
      <c r="N543" s="314" t="s">
        <v>2099</v>
      </c>
      <c r="O543" s="314" t="s">
        <v>1141</v>
      </c>
      <c r="P543" s="314" t="s">
        <v>112</v>
      </c>
      <c r="Q543" s="315">
        <v>45145.7003935185</v>
      </c>
      <c r="R543" s="315">
        <v>45145.7167939815</v>
      </c>
      <c r="S543" s="314" t="s">
        <v>2099</v>
      </c>
      <c r="T543" s="314" t="s">
        <v>2100</v>
      </c>
      <c r="U543" s="314" t="s">
        <v>2100</v>
      </c>
      <c r="V543" s="314" t="s">
        <v>114</v>
      </c>
      <c r="W543" s="314"/>
      <c r="X543" s="314" t="str">
        <f>VLOOKUP(D543,代理总表!A:D,3,0)</f>
        <v>飞哥雨燕直播</v>
      </c>
      <c r="Y543" t="str">
        <f>VLOOKUP(D:D,代理总表!A:D,4,FALSE)</f>
        <v>飞哥雨燕直播ffmk88</v>
      </c>
      <c r="Z543">
        <f t="shared" si="24"/>
        <v>1</v>
      </c>
      <c r="AA543">
        <f t="shared" si="25"/>
        <v>16</v>
      </c>
      <c r="AB543">
        <f t="shared" si="26"/>
        <v>1</v>
      </c>
    </row>
    <row r="544" spans="1:28">
      <c r="A544" s="314" t="s">
        <v>2101</v>
      </c>
      <c r="B544" s="314"/>
      <c r="C544" s="314"/>
      <c r="D544" s="314" t="s">
        <v>197</v>
      </c>
      <c r="E544" s="314" t="s">
        <v>117</v>
      </c>
      <c r="F544" s="314" t="s">
        <v>118</v>
      </c>
      <c r="G544" s="314" t="s">
        <v>108</v>
      </c>
      <c r="H544" s="314" t="s">
        <v>119</v>
      </c>
      <c r="I544" s="314" t="s">
        <v>108</v>
      </c>
      <c r="J544" s="314" t="s">
        <v>120</v>
      </c>
      <c r="K544" s="314">
        <v>0</v>
      </c>
      <c r="L544" s="314">
        <v>0</v>
      </c>
      <c r="M544" s="315">
        <v>45145.6887268519</v>
      </c>
      <c r="N544" s="314" t="s">
        <v>2102</v>
      </c>
      <c r="O544" s="314" t="s">
        <v>617</v>
      </c>
      <c r="P544" s="314" t="s">
        <v>339</v>
      </c>
      <c r="Q544" s="314" t="s">
        <v>123</v>
      </c>
      <c r="R544" s="315">
        <v>45145.688900463</v>
      </c>
      <c r="S544" s="314" t="s">
        <v>2102</v>
      </c>
      <c r="T544" s="314" t="s">
        <v>124</v>
      </c>
      <c r="U544" s="314" t="s">
        <v>124</v>
      </c>
      <c r="V544" s="314" t="s">
        <v>114</v>
      </c>
      <c r="W544" s="314"/>
      <c r="X544" s="314" t="str">
        <f>VLOOKUP(D544,代理总表!A:D,3,0)</f>
        <v>雨燕直播-越</v>
      </c>
      <c r="Y544" t="str">
        <f>VLOOKUP(D:D,代理总表!A:D,4,FALSE)</f>
        <v>雨燕直播-越ffvn66</v>
      </c>
      <c r="Z544">
        <f t="shared" si="24"/>
        <v>0</v>
      </c>
      <c r="AA544">
        <f t="shared" si="25"/>
        <v>16</v>
      </c>
      <c r="AB544">
        <f t="shared" si="26"/>
        <v>1</v>
      </c>
    </row>
    <row r="545" spans="1:28">
      <c r="A545" s="314" t="s">
        <v>2103</v>
      </c>
      <c r="B545" s="314"/>
      <c r="C545" s="314"/>
      <c r="D545" s="314" t="s">
        <v>1109</v>
      </c>
      <c r="E545" s="314" t="s">
        <v>104</v>
      </c>
      <c r="F545" s="314" t="s">
        <v>118</v>
      </c>
      <c r="G545" s="314" t="s">
        <v>108</v>
      </c>
      <c r="H545" s="314" t="s">
        <v>119</v>
      </c>
      <c r="I545" s="314" t="s">
        <v>108</v>
      </c>
      <c r="J545" s="314" t="s">
        <v>109</v>
      </c>
      <c r="K545" s="314">
        <v>0</v>
      </c>
      <c r="L545" s="314">
        <v>0</v>
      </c>
      <c r="M545" s="315">
        <v>45145.6882986111</v>
      </c>
      <c r="N545" s="314" t="s">
        <v>2104</v>
      </c>
      <c r="O545" s="314" t="s">
        <v>2105</v>
      </c>
      <c r="P545" s="314" t="s">
        <v>339</v>
      </c>
      <c r="Q545" s="314" t="s">
        <v>123</v>
      </c>
      <c r="R545" s="315">
        <v>45145.6898958333</v>
      </c>
      <c r="S545" s="314" t="s">
        <v>2104</v>
      </c>
      <c r="T545" s="314" t="s">
        <v>2106</v>
      </c>
      <c r="U545" s="314" t="s">
        <v>2106</v>
      </c>
      <c r="V545" s="314" t="s">
        <v>114</v>
      </c>
      <c r="W545" s="314"/>
      <c r="X545" s="314" t="str">
        <f>VLOOKUP(D545,代理总表!A:D,3,0)</f>
        <v>飞哥雨燕直播</v>
      </c>
      <c r="Y545" t="str">
        <f>VLOOKUP(D:D,代理总表!A:D,4,FALSE)</f>
        <v>飞哥雨燕直播ffmk88</v>
      </c>
      <c r="Z545">
        <f t="shared" si="24"/>
        <v>0</v>
      </c>
      <c r="AA545">
        <f t="shared" si="25"/>
        <v>16</v>
      </c>
      <c r="AB545">
        <f t="shared" si="26"/>
        <v>1</v>
      </c>
    </row>
    <row r="546" spans="1:28">
      <c r="A546" s="314" t="s">
        <v>2107</v>
      </c>
      <c r="B546" s="314"/>
      <c r="C546" s="314">
        <v>13971008848</v>
      </c>
      <c r="D546" s="314" t="s">
        <v>2108</v>
      </c>
      <c r="E546" s="314" t="s">
        <v>104</v>
      </c>
      <c r="F546" s="314" t="s">
        <v>118</v>
      </c>
      <c r="G546" s="314" t="s">
        <v>108</v>
      </c>
      <c r="H546" s="314" t="s">
        <v>119</v>
      </c>
      <c r="I546" s="314" t="s">
        <v>108</v>
      </c>
      <c r="J546" s="314" t="s">
        <v>109</v>
      </c>
      <c r="K546" s="314">
        <v>0</v>
      </c>
      <c r="L546" s="314">
        <v>0</v>
      </c>
      <c r="M546" s="315">
        <v>45145.6878125</v>
      </c>
      <c r="N546" s="314" t="s">
        <v>2109</v>
      </c>
      <c r="O546" s="314" t="s">
        <v>2110</v>
      </c>
      <c r="P546" s="314" t="s">
        <v>161</v>
      </c>
      <c r="Q546" s="314" t="s">
        <v>123</v>
      </c>
      <c r="R546" s="315">
        <v>45145.9752893519</v>
      </c>
      <c r="S546" s="314" t="s">
        <v>2111</v>
      </c>
      <c r="T546" s="314" t="s">
        <v>1609</v>
      </c>
      <c r="U546" s="314" t="s">
        <v>2112</v>
      </c>
      <c r="V546" s="314" t="s">
        <v>114</v>
      </c>
      <c r="W546" s="314"/>
      <c r="X546" s="314" t="str">
        <f>VLOOKUP(D546,代理总表!A:D,3,0)</f>
        <v>雨燕直播</v>
      </c>
      <c r="Y546" t="str">
        <f>VLOOKUP(D:D,代理总表!A:D,4,FALSE)</f>
        <v>雨燕直播zzzb888</v>
      </c>
      <c r="Z546">
        <f t="shared" si="24"/>
        <v>0</v>
      </c>
      <c r="AA546">
        <f t="shared" si="25"/>
        <v>16</v>
      </c>
      <c r="AB546">
        <f t="shared" si="26"/>
        <v>1</v>
      </c>
    </row>
    <row r="547" spans="1:28">
      <c r="A547" s="314" t="s">
        <v>2113</v>
      </c>
      <c r="B547" s="314" t="s">
        <v>2114</v>
      </c>
      <c r="C547" s="314">
        <v>325132310</v>
      </c>
      <c r="D547" s="314" t="s">
        <v>445</v>
      </c>
      <c r="E547" s="314" t="s">
        <v>117</v>
      </c>
      <c r="F547" s="314" t="s">
        <v>144</v>
      </c>
      <c r="G547" s="314" t="s">
        <v>106</v>
      </c>
      <c r="H547" s="314" t="s">
        <v>107</v>
      </c>
      <c r="I547" s="314" t="s">
        <v>108</v>
      </c>
      <c r="J547" s="314" t="s">
        <v>120</v>
      </c>
      <c r="K547" s="314">
        <v>700000</v>
      </c>
      <c r="L547" s="314">
        <v>500000</v>
      </c>
      <c r="M547" s="315">
        <v>45145.687662037</v>
      </c>
      <c r="N547" s="314" t="s">
        <v>2115</v>
      </c>
      <c r="O547" s="314" t="s">
        <v>2116</v>
      </c>
      <c r="P547" s="314" t="s">
        <v>339</v>
      </c>
      <c r="Q547" s="315">
        <v>45145.6971759259</v>
      </c>
      <c r="R547" s="315">
        <v>45145.687662037</v>
      </c>
      <c r="S547" s="314" t="s">
        <v>2115</v>
      </c>
      <c r="T547" s="314" t="s">
        <v>134</v>
      </c>
      <c r="U547" s="314" t="s">
        <v>134</v>
      </c>
      <c r="V547" s="314" t="s">
        <v>114</v>
      </c>
      <c r="W547" s="314"/>
      <c r="X547" s="314" t="str">
        <f>VLOOKUP(D547,代理总表!A:D,3,0)</f>
        <v>SOCO越南直播</v>
      </c>
      <c r="Y547" t="str">
        <f>VLOOKUP(D:D,代理总表!A:D,4,FALSE)</f>
        <v>SOCO越南直播ffvn66</v>
      </c>
      <c r="Z547">
        <f t="shared" si="24"/>
        <v>1</v>
      </c>
      <c r="AA547">
        <f t="shared" si="25"/>
        <v>16</v>
      </c>
      <c r="AB547">
        <f t="shared" si="26"/>
        <v>1</v>
      </c>
    </row>
    <row r="548" spans="1:28">
      <c r="A548" s="314" t="s">
        <v>2117</v>
      </c>
      <c r="B548" s="314"/>
      <c r="C548" s="314"/>
      <c r="D548" s="314" t="s">
        <v>651</v>
      </c>
      <c r="E548" s="314" t="s">
        <v>117</v>
      </c>
      <c r="F548" s="314" t="s">
        <v>118</v>
      </c>
      <c r="G548" s="314" t="s">
        <v>108</v>
      </c>
      <c r="H548" s="314" t="s">
        <v>119</v>
      </c>
      <c r="I548" s="314" t="s">
        <v>108</v>
      </c>
      <c r="J548" s="314" t="s">
        <v>120</v>
      </c>
      <c r="K548" s="314">
        <v>0</v>
      </c>
      <c r="L548" s="314">
        <v>0</v>
      </c>
      <c r="M548" s="315">
        <v>45145.6874768519</v>
      </c>
      <c r="N548" s="314" t="s">
        <v>2118</v>
      </c>
      <c r="O548" s="314" t="s">
        <v>653</v>
      </c>
      <c r="P548" s="314" t="s">
        <v>112</v>
      </c>
      <c r="Q548" s="314" t="s">
        <v>123</v>
      </c>
      <c r="R548" s="315">
        <v>45145.6874652778</v>
      </c>
      <c r="S548" s="314" t="s">
        <v>2118</v>
      </c>
      <c r="T548" s="314" t="s">
        <v>128</v>
      </c>
      <c r="U548" s="314" t="s">
        <v>128</v>
      </c>
      <c r="V548" s="314" t="s">
        <v>114</v>
      </c>
      <c r="W548" s="314"/>
      <c r="X548" s="314" t="str">
        <f>VLOOKUP(D548,代理总表!A:D,3,0)</f>
        <v>雨燕直播-越</v>
      </c>
      <c r="Y548" t="str">
        <f>VLOOKUP(D:D,代理总表!A:D,4,FALSE)</f>
        <v>雨燕直播-越ffvn66</v>
      </c>
      <c r="Z548">
        <f t="shared" si="24"/>
        <v>0</v>
      </c>
      <c r="AA548">
        <f t="shared" si="25"/>
        <v>16</v>
      </c>
      <c r="AB548">
        <f t="shared" si="26"/>
        <v>1</v>
      </c>
    </row>
    <row r="549" spans="1:28">
      <c r="A549" s="314" t="s">
        <v>2119</v>
      </c>
      <c r="B549" s="314" t="s">
        <v>2120</v>
      </c>
      <c r="C549" s="314">
        <v>19972483638</v>
      </c>
      <c r="D549" s="314" t="s">
        <v>2121</v>
      </c>
      <c r="E549" s="314" t="s">
        <v>104</v>
      </c>
      <c r="F549" s="314" t="s">
        <v>105</v>
      </c>
      <c r="G549" s="314" t="s">
        <v>106</v>
      </c>
      <c r="H549" s="314" t="s">
        <v>107</v>
      </c>
      <c r="I549" s="314" t="s">
        <v>108</v>
      </c>
      <c r="J549" s="314" t="s">
        <v>109</v>
      </c>
      <c r="K549" s="314">
        <v>102.6</v>
      </c>
      <c r="L549" s="314">
        <v>100</v>
      </c>
      <c r="M549" s="315">
        <v>45145.6867476852</v>
      </c>
      <c r="N549" s="314" t="s">
        <v>2122</v>
      </c>
      <c r="O549" s="314" t="s">
        <v>2123</v>
      </c>
      <c r="P549" s="314" t="s">
        <v>112</v>
      </c>
      <c r="Q549" s="315">
        <v>45145.6997685185</v>
      </c>
      <c r="R549" s="315">
        <v>45145.9531365741</v>
      </c>
      <c r="S549" s="314" t="s">
        <v>2124</v>
      </c>
      <c r="T549" s="314" t="s">
        <v>1609</v>
      </c>
      <c r="U549" s="314" t="s">
        <v>1609</v>
      </c>
      <c r="V549" s="314" t="s">
        <v>114</v>
      </c>
      <c r="W549" s="314"/>
      <c r="X549" s="314" t="str">
        <f>VLOOKUP(D549,代理总表!A:D,3,0)</f>
        <v>飞哥雨燕直播</v>
      </c>
      <c r="Y549" t="str">
        <f>VLOOKUP(D:D,代理总表!A:D,4,FALSE)</f>
        <v>飞哥雨燕直播ffmk88</v>
      </c>
      <c r="Z549">
        <f t="shared" si="24"/>
        <v>1</v>
      </c>
      <c r="AA549">
        <f t="shared" si="25"/>
        <v>16</v>
      </c>
      <c r="AB549">
        <f t="shared" si="26"/>
        <v>1</v>
      </c>
    </row>
    <row r="550" spans="1:28">
      <c r="A550" s="314" t="s">
        <v>2125</v>
      </c>
      <c r="B550" s="314"/>
      <c r="C550" s="314"/>
      <c r="D550" s="314" t="s">
        <v>143</v>
      </c>
      <c r="E550" s="314" t="s">
        <v>117</v>
      </c>
      <c r="F550" s="314" t="s">
        <v>118</v>
      </c>
      <c r="G550" s="314" t="s">
        <v>108</v>
      </c>
      <c r="H550" s="314" t="s">
        <v>119</v>
      </c>
      <c r="I550" s="314" t="s">
        <v>108</v>
      </c>
      <c r="J550" s="314" t="s">
        <v>120</v>
      </c>
      <c r="K550" s="314">
        <v>0</v>
      </c>
      <c r="L550" s="314">
        <v>0</v>
      </c>
      <c r="M550" s="315">
        <v>45145.6861689815</v>
      </c>
      <c r="N550" s="314" t="s">
        <v>2126</v>
      </c>
      <c r="O550" s="314" t="s">
        <v>407</v>
      </c>
      <c r="P550" s="314" t="s">
        <v>112</v>
      </c>
      <c r="Q550" s="314" t="s">
        <v>123</v>
      </c>
      <c r="R550" s="315">
        <v>45145.8241898148</v>
      </c>
      <c r="S550" s="314" t="s">
        <v>2126</v>
      </c>
      <c r="T550" s="314" t="s">
        <v>2127</v>
      </c>
      <c r="U550" s="314" t="s">
        <v>2127</v>
      </c>
      <c r="V550" s="314" t="s">
        <v>114</v>
      </c>
      <c r="W550" s="314"/>
      <c r="X550" s="314" t="str">
        <f>VLOOKUP(D550,代理总表!A:D,3,0)</f>
        <v>雨燕直播-越</v>
      </c>
      <c r="Y550" t="str">
        <f>VLOOKUP(D:D,代理总表!A:D,4,FALSE)</f>
        <v>雨燕直播-越ffvn66</v>
      </c>
      <c r="Z550">
        <f t="shared" si="24"/>
        <v>0</v>
      </c>
      <c r="AA550">
        <f t="shared" si="25"/>
        <v>16</v>
      </c>
      <c r="AB550">
        <f t="shared" si="26"/>
        <v>1</v>
      </c>
    </row>
    <row r="551" spans="1:28">
      <c r="A551" s="314" t="s">
        <v>2128</v>
      </c>
      <c r="B551" s="314" t="s">
        <v>2129</v>
      </c>
      <c r="C551" s="314">
        <v>933587408</v>
      </c>
      <c r="D551" s="314" t="s">
        <v>137</v>
      </c>
      <c r="E551" s="314" t="s">
        <v>117</v>
      </c>
      <c r="F551" s="314" t="s">
        <v>144</v>
      </c>
      <c r="G551" s="314" t="s">
        <v>106</v>
      </c>
      <c r="H551" s="314" t="s">
        <v>107</v>
      </c>
      <c r="I551" s="314" t="s">
        <v>108</v>
      </c>
      <c r="J551" s="314" t="s">
        <v>120</v>
      </c>
      <c r="K551" s="314">
        <v>100000</v>
      </c>
      <c r="L551" s="314">
        <v>0</v>
      </c>
      <c r="M551" s="315">
        <v>45145.6858101852</v>
      </c>
      <c r="N551" s="314" t="s">
        <v>2130</v>
      </c>
      <c r="O551" s="314" t="s">
        <v>139</v>
      </c>
      <c r="P551" s="314" t="s">
        <v>112</v>
      </c>
      <c r="Q551" s="315">
        <v>45145.754224537</v>
      </c>
      <c r="R551" s="315">
        <v>45145.7727083333</v>
      </c>
      <c r="S551" s="314" t="s">
        <v>2130</v>
      </c>
      <c r="T551" s="314" t="s">
        <v>849</v>
      </c>
      <c r="U551" s="314" t="s">
        <v>849</v>
      </c>
      <c r="V551" s="314" t="s">
        <v>114</v>
      </c>
      <c r="W551" s="314"/>
      <c r="X551" s="314" t="str">
        <f>VLOOKUP(D551,代理总表!A:D,3,0)</f>
        <v>雨燕直播-越</v>
      </c>
      <c r="Y551" t="str">
        <f>VLOOKUP(D:D,代理总表!A:D,4,FALSE)</f>
        <v>雨燕直播-越ffvn66</v>
      </c>
      <c r="Z551">
        <f t="shared" si="24"/>
        <v>1</v>
      </c>
      <c r="AA551">
        <f t="shared" si="25"/>
        <v>16</v>
      </c>
      <c r="AB551">
        <f t="shared" si="26"/>
        <v>1</v>
      </c>
    </row>
    <row r="552" spans="1:28">
      <c r="A552" s="314" t="s">
        <v>2131</v>
      </c>
      <c r="B552" s="314" t="s">
        <v>2132</v>
      </c>
      <c r="C552" s="314">
        <v>19156500894</v>
      </c>
      <c r="D552" s="314" t="s">
        <v>205</v>
      </c>
      <c r="E552" s="314" t="s">
        <v>104</v>
      </c>
      <c r="F552" s="314" t="s">
        <v>181</v>
      </c>
      <c r="G552" s="314" t="s">
        <v>106</v>
      </c>
      <c r="H552" s="314" t="s">
        <v>107</v>
      </c>
      <c r="I552" s="314" t="s">
        <v>108</v>
      </c>
      <c r="J552" s="314" t="s">
        <v>109</v>
      </c>
      <c r="K552" s="314">
        <v>105</v>
      </c>
      <c r="L552" s="314">
        <v>0</v>
      </c>
      <c r="M552" s="315">
        <v>45145.6853240741</v>
      </c>
      <c r="N552" s="314" t="s">
        <v>2133</v>
      </c>
      <c r="O552" s="314" t="s">
        <v>207</v>
      </c>
      <c r="P552" s="314" t="s">
        <v>161</v>
      </c>
      <c r="Q552" s="315">
        <v>45145.7009143519</v>
      </c>
      <c r="R552" s="315">
        <v>45145.6853240741</v>
      </c>
      <c r="S552" s="314" t="s">
        <v>2133</v>
      </c>
      <c r="T552" s="314" t="s">
        <v>736</v>
      </c>
      <c r="U552" s="314" t="s">
        <v>736</v>
      </c>
      <c r="V552" s="314" t="s">
        <v>114</v>
      </c>
      <c r="W552" s="314" t="s">
        <v>2057</v>
      </c>
      <c r="X552" s="314" t="str">
        <f>VLOOKUP(D552,代理总表!A:D,3,0)</f>
        <v>ben</v>
      </c>
      <c r="Y552" t="str">
        <f>VLOOKUP(D:D,代理总表!A:D,4,FALSE)</f>
        <v>SEO</v>
      </c>
      <c r="Z552">
        <f t="shared" si="24"/>
        <v>1</v>
      </c>
      <c r="AA552">
        <f t="shared" si="25"/>
        <v>16</v>
      </c>
      <c r="AB552">
        <f t="shared" si="26"/>
        <v>1</v>
      </c>
    </row>
    <row r="553" spans="1:28">
      <c r="A553" s="314" t="s">
        <v>2134</v>
      </c>
      <c r="B553" s="314"/>
      <c r="C553" s="314"/>
      <c r="D553" s="314" t="s">
        <v>103</v>
      </c>
      <c r="E553" s="314" t="s">
        <v>104</v>
      </c>
      <c r="F553" s="314" t="s">
        <v>118</v>
      </c>
      <c r="G553" s="314" t="s">
        <v>108</v>
      </c>
      <c r="H553" s="314" t="s">
        <v>119</v>
      </c>
      <c r="I553" s="314" t="s">
        <v>108</v>
      </c>
      <c r="J553" s="314" t="s">
        <v>109</v>
      </c>
      <c r="K553" s="314">
        <v>0</v>
      </c>
      <c r="L553" s="314">
        <v>0</v>
      </c>
      <c r="M553" s="315">
        <v>45145.6849189815</v>
      </c>
      <c r="N553" s="314" t="s">
        <v>2135</v>
      </c>
      <c r="O553" s="314" t="s">
        <v>2055</v>
      </c>
      <c r="P553" s="314" t="s">
        <v>161</v>
      </c>
      <c r="Q553" s="314" t="s">
        <v>123</v>
      </c>
      <c r="R553" s="315">
        <v>45145.8667592593</v>
      </c>
      <c r="S553" s="314" t="s">
        <v>2135</v>
      </c>
      <c r="T553" s="314" t="s">
        <v>489</v>
      </c>
      <c r="U553" s="314" t="s">
        <v>489</v>
      </c>
      <c r="V553" s="314" t="s">
        <v>114</v>
      </c>
      <c r="W553" s="314"/>
      <c r="X553" s="314" t="str">
        <f>VLOOKUP(D553,代理总表!A:D,3,0)</f>
        <v>官网</v>
      </c>
      <c r="Y553" t="str">
        <f>VLOOKUP(D:D,代理总表!A:D,4,FALSE)</f>
        <v>官网</v>
      </c>
      <c r="Z553">
        <f t="shared" si="24"/>
        <v>0</v>
      </c>
      <c r="AA553">
        <f t="shared" si="25"/>
        <v>16</v>
      </c>
      <c r="AB553">
        <f t="shared" si="26"/>
        <v>1</v>
      </c>
    </row>
    <row r="554" spans="1:28">
      <c r="A554" s="314" t="s">
        <v>2136</v>
      </c>
      <c r="B554" s="314"/>
      <c r="C554" s="314"/>
      <c r="D554" s="314" t="s">
        <v>103</v>
      </c>
      <c r="E554" s="314" t="s">
        <v>104</v>
      </c>
      <c r="F554" s="314" t="s">
        <v>118</v>
      </c>
      <c r="G554" s="314" t="s">
        <v>108</v>
      </c>
      <c r="H554" s="314" t="s">
        <v>119</v>
      </c>
      <c r="I554" s="314" t="s">
        <v>108</v>
      </c>
      <c r="J554" s="314" t="s">
        <v>109</v>
      </c>
      <c r="K554" s="314">
        <v>0</v>
      </c>
      <c r="L554" s="314">
        <v>0</v>
      </c>
      <c r="M554" s="315">
        <v>45145.6847222222</v>
      </c>
      <c r="N554" s="314" t="s">
        <v>2137</v>
      </c>
      <c r="O554" s="314" t="s">
        <v>2138</v>
      </c>
      <c r="P554" s="314" t="s">
        <v>161</v>
      </c>
      <c r="Q554" s="314" t="s">
        <v>123</v>
      </c>
      <c r="R554" s="315">
        <v>45145.6847106482</v>
      </c>
      <c r="S554" s="314" t="s">
        <v>2137</v>
      </c>
      <c r="T554" s="314" t="s">
        <v>939</v>
      </c>
      <c r="U554" s="314" t="s">
        <v>939</v>
      </c>
      <c r="V554" s="314" t="s">
        <v>114</v>
      </c>
      <c r="W554" s="314"/>
      <c r="X554" s="314" t="str">
        <f>VLOOKUP(D554,代理总表!A:D,3,0)</f>
        <v>官网</v>
      </c>
      <c r="Y554" t="str">
        <f>VLOOKUP(D:D,代理总表!A:D,4,FALSE)</f>
        <v>官网</v>
      </c>
      <c r="Z554">
        <f t="shared" si="24"/>
        <v>0</v>
      </c>
      <c r="AA554">
        <f t="shared" si="25"/>
        <v>16</v>
      </c>
      <c r="AB554">
        <f t="shared" si="26"/>
        <v>1</v>
      </c>
    </row>
    <row r="555" spans="1:28">
      <c r="A555" s="314" t="s">
        <v>2139</v>
      </c>
      <c r="B555" s="314"/>
      <c r="C555" s="314">
        <v>13690455556</v>
      </c>
      <c r="D555" s="314" t="s">
        <v>235</v>
      </c>
      <c r="E555" s="314" t="s">
        <v>104</v>
      </c>
      <c r="F555" s="314" t="s">
        <v>149</v>
      </c>
      <c r="G555" s="314" t="s">
        <v>108</v>
      </c>
      <c r="H555" s="314" t="s">
        <v>119</v>
      </c>
      <c r="I555" s="314" t="s">
        <v>108</v>
      </c>
      <c r="J555" s="314" t="s">
        <v>109</v>
      </c>
      <c r="K555" s="314">
        <v>0</v>
      </c>
      <c r="L555" s="314">
        <v>0</v>
      </c>
      <c r="M555" s="315">
        <v>45145.6844444444</v>
      </c>
      <c r="N555" s="314" t="s">
        <v>2140</v>
      </c>
      <c r="O555" s="314" t="s">
        <v>786</v>
      </c>
      <c r="P555" s="314" t="s">
        <v>208</v>
      </c>
      <c r="Q555" s="314" t="s">
        <v>123</v>
      </c>
      <c r="R555" s="315">
        <v>45145.6844444444</v>
      </c>
      <c r="S555" s="314" t="s">
        <v>2140</v>
      </c>
      <c r="T555" s="314" t="s">
        <v>152</v>
      </c>
      <c r="U555" s="314" t="s">
        <v>152</v>
      </c>
      <c r="V555" s="314" t="s">
        <v>114</v>
      </c>
      <c r="W555" s="314"/>
      <c r="X555" s="314" t="str">
        <f>VLOOKUP(D555,代理总表!A:D,3,0)</f>
        <v>aber</v>
      </c>
      <c r="Y555" t="str">
        <f>VLOOKUP(D:D,代理总表!A:D,4,FALSE)</f>
        <v>SEO</v>
      </c>
      <c r="Z555">
        <f t="shared" si="24"/>
        <v>0</v>
      </c>
      <c r="AA555">
        <f t="shared" si="25"/>
        <v>16</v>
      </c>
      <c r="AB555">
        <f t="shared" si="26"/>
        <v>1</v>
      </c>
    </row>
    <row r="556" spans="1:28">
      <c r="A556" s="314" t="s">
        <v>2141</v>
      </c>
      <c r="B556" s="314"/>
      <c r="C556" s="314">
        <v>69953620</v>
      </c>
      <c r="D556" s="314" t="s">
        <v>1109</v>
      </c>
      <c r="E556" s="314" t="s">
        <v>104</v>
      </c>
      <c r="F556" s="314" t="s">
        <v>118</v>
      </c>
      <c r="G556" s="314" t="s">
        <v>108</v>
      </c>
      <c r="H556" s="314" t="s">
        <v>119</v>
      </c>
      <c r="I556" s="314" t="s">
        <v>108</v>
      </c>
      <c r="J556" s="314" t="s">
        <v>109</v>
      </c>
      <c r="K556" s="314">
        <v>0</v>
      </c>
      <c r="L556" s="314">
        <v>0</v>
      </c>
      <c r="M556" s="315">
        <v>45145.6838657407</v>
      </c>
      <c r="N556" s="314" t="s">
        <v>2142</v>
      </c>
      <c r="O556" s="314" t="s">
        <v>2143</v>
      </c>
      <c r="P556" s="314" t="s">
        <v>208</v>
      </c>
      <c r="Q556" s="314" t="s">
        <v>123</v>
      </c>
      <c r="R556" s="315">
        <v>45145.9498842593</v>
      </c>
      <c r="S556" s="314" t="s">
        <v>2144</v>
      </c>
      <c r="T556" s="314" t="s">
        <v>256</v>
      </c>
      <c r="U556" s="314" t="s">
        <v>256</v>
      </c>
      <c r="V556" s="314" t="s">
        <v>114</v>
      </c>
      <c r="W556" s="314"/>
      <c r="X556" s="314" t="str">
        <f>VLOOKUP(D556,代理总表!A:D,3,0)</f>
        <v>飞哥雨燕直播</v>
      </c>
      <c r="Y556" t="str">
        <f>VLOOKUP(D:D,代理总表!A:D,4,FALSE)</f>
        <v>飞哥雨燕直播ffmk88</v>
      </c>
      <c r="Z556">
        <f t="shared" si="24"/>
        <v>0</v>
      </c>
      <c r="AA556">
        <f t="shared" si="25"/>
        <v>16</v>
      </c>
      <c r="AB556">
        <f t="shared" si="26"/>
        <v>1</v>
      </c>
    </row>
    <row r="557" spans="1:28">
      <c r="A557" s="314" t="s">
        <v>2145</v>
      </c>
      <c r="B557" s="314"/>
      <c r="C557" s="314"/>
      <c r="D557" s="314" t="s">
        <v>172</v>
      </c>
      <c r="E557" s="314" t="s">
        <v>117</v>
      </c>
      <c r="F557" s="314" t="s">
        <v>118</v>
      </c>
      <c r="G557" s="314" t="s">
        <v>108</v>
      </c>
      <c r="H557" s="314" t="s">
        <v>119</v>
      </c>
      <c r="I557" s="314" t="s">
        <v>108</v>
      </c>
      <c r="J557" s="314" t="s">
        <v>120</v>
      </c>
      <c r="K557" s="314">
        <v>0</v>
      </c>
      <c r="L557" s="314">
        <v>0</v>
      </c>
      <c r="M557" s="315">
        <v>45145.6834837963</v>
      </c>
      <c r="N557" s="314" t="s">
        <v>2146</v>
      </c>
      <c r="O557" s="314" t="s">
        <v>174</v>
      </c>
      <c r="P557" s="314" t="s">
        <v>112</v>
      </c>
      <c r="Q557" s="314" t="s">
        <v>123</v>
      </c>
      <c r="R557" s="315">
        <v>45145.6834837963</v>
      </c>
      <c r="S557" s="314" t="s">
        <v>2146</v>
      </c>
      <c r="T557" s="314" t="s">
        <v>177</v>
      </c>
      <c r="U557" s="314" t="s">
        <v>177</v>
      </c>
      <c r="V557" s="314" t="s">
        <v>114</v>
      </c>
      <c r="W557" s="314"/>
      <c r="X557" s="314" t="str">
        <f>VLOOKUP(D557,代理总表!A:D,3,0)</f>
        <v>雨燕直播-越</v>
      </c>
      <c r="Y557" t="str">
        <f>VLOOKUP(D:D,代理总表!A:D,4,FALSE)</f>
        <v>雨燕直播-越ffvn66</v>
      </c>
      <c r="Z557">
        <f t="shared" si="24"/>
        <v>0</v>
      </c>
      <c r="AA557">
        <f t="shared" si="25"/>
        <v>16</v>
      </c>
      <c r="AB557">
        <f t="shared" si="26"/>
        <v>1</v>
      </c>
    </row>
    <row r="558" spans="1:28">
      <c r="A558" s="314" t="s">
        <v>2147</v>
      </c>
      <c r="B558" s="314"/>
      <c r="C558" s="314">
        <v>18671111841</v>
      </c>
      <c r="D558" s="314" t="s">
        <v>249</v>
      </c>
      <c r="E558" s="314" t="s">
        <v>104</v>
      </c>
      <c r="F558" s="314" t="s">
        <v>118</v>
      </c>
      <c r="G558" s="314" t="s">
        <v>108</v>
      </c>
      <c r="H558" s="314" t="s">
        <v>119</v>
      </c>
      <c r="I558" s="314" t="s">
        <v>108</v>
      </c>
      <c r="J558" s="314" t="s">
        <v>109</v>
      </c>
      <c r="K558" s="314">
        <v>0</v>
      </c>
      <c r="L558" s="314">
        <v>0</v>
      </c>
      <c r="M558" s="315">
        <v>45145.6827777778</v>
      </c>
      <c r="N558" s="314" t="s">
        <v>2148</v>
      </c>
      <c r="O558" s="314" t="s">
        <v>251</v>
      </c>
      <c r="P558" s="314" t="s">
        <v>112</v>
      </c>
      <c r="Q558" s="314" t="s">
        <v>123</v>
      </c>
      <c r="R558" s="315">
        <v>45145.6858449074</v>
      </c>
      <c r="S558" s="314" t="s">
        <v>2148</v>
      </c>
      <c r="T558" s="314" t="s">
        <v>2149</v>
      </c>
      <c r="U558" s="314" t="s">
        <v>2149</v>
      </c>
      <c r="V558" s="314" t="s">
        <v>114</v>
      </c>
      <c r="W558" s="314"/>
      <c r="X558" s="314" t="str">
        <f>VLOOKUP(D558,代理总表!A:D,3,0)</f>
        <v>飞哥雨燕直播</v>
      </c>
      <c r="Y558" t="str">
        <f>VLOOKUP(D:D,代理总表!A:D,4,FALSE)</f>
        <v>飞哥雨燕直播ffmk88</v>
      </c>
      <c r="Z558">
        <f t="shared" si="24"/>
        <v>0</v>
      </c>
      <c r="AA558">
        <f t="shared" si="25"/>
        <v>16</v>
      </c>
      <c r="AB558">
        <f t="shared" si="26"/>
        <v>1</v>
      </c>
    </row>
    <row r="559" spans="1:28">
      <c r="A559" s="314" t="s">
        <v>2150</v>
      </c>
      <c r="B559" s="314" t="s">
        <v>2151</v>
      </c>
      <c r="C559" s="314">
        <v>587465003</v>
      </c>
      <c r="D559" s="314" t="s">
        <v>137</v>
      </c>
      <c r="E559" s="314" t="s">
        <v>117</v>
      </c>
      <c r="F559" s="314" t="s">
        <v>144</v>
      </c>
      <c r="G559" s="314" t="s">
        <v>106</v>
      </c>
      <c r="H559" s="314" t="s">
        <v>107</v>
      </c>
      <c r="I559" s="314" t="s">
        <v>108</v>
      </c>
      <c r="J559" s="314" t="s">
        <v>120</v>
      </c>
      <c r="K559" s="314">
        <v>100000</v>
      </c>
      <c r="L559" s="314">
        <v>100000</v>
      </c>
      <c r="M559" s="315">
        <v>45145.6822337963</v>
      </c>
      <c r="N559" s="314" t="s">
        <v>2152</v>
      </c>
      <c r="O559" s="314" t="s">
        <v>139</v>
      </c>
      <c r="P559" s="314" t="s">
        <v>112</v>
      </c>
      <c r="Q559" s="315">
        <v>45145.7119212963</v>
      </c>
      <c r="R559" s="315">
        <v>45146.336712963</v>
      </c>
      <c r="S559" s="314" t="s">
        <v>2152</v>
      </c>
      <c r="T559" s="314" t="s">
        <v>520</v>
      </c>
      <c r="U559" s="314" t="s">
        <v>520</v>
      </c>
      <c r="V559" s="314" t="s">
        <v>114</v>
      </c>
      <c r="W559" s="314"/>
      <c r="X559" s="314" t="str">
        <f>VLOOKUP(D559,代理总表!A:D,3,0)</f>
        <v>雨燕直播-越</v>
      </c>
      <c r="Y559" t="str">
        <f>VLOOKUP(D:D,代理总表!A:D,4,FALSE)</f>
        <v>雨燕直播-越ffvn66</v>
      </c>
      <c r="Z559">
        <f t="shared" si="24"/>
        <v>1</v>
      </c>
      <c r="AA559">
        <f t="shared" si="25"/>
        <v>16</v>
      </c>
      <c r="AB559">
        <f t="shared" si="26"/>
        <v>1</v>
      </c>
    </row>
    <row r="560" spans="1:28">
      <c r="A560" s="314" t="s">
        <v>2153</v>
      </c>
      <c r="B560" s="314" t="s">
        <v>2154</v>
      </c>
      <c r="C560" s="314">
        <v>988821082</v>
      </c>
      <c r="D560" s="314" t="s">
        <v>651</v>
      </c>
      <c r="E560" s="314" t="s">
        <v>117</v>
      </c>
      <c r="F560" s="314" t="s">
        <v>118</v>
      </c>
      <c r="G560" s="314" t="s">
        <v>108</v>
      </c>
      <c r="H560" s="314" t="s">
        <v>119</v>
      </c>
      <c r="I560" s="314" t="s">
        <v>108</v>
      </c>
      <c r="J560" s="314" t="s">
        <v>120</v>
      </c>
      <c r="K560" s="314">
        <v>0</v>
      </c>
      <c r="L560" s="314">
        <v>0</v>
      </c>
      <c r="M560" s="315">
        <v>45145.6804861111</v>
      </c>
      <c r="N560" s="314" t="s">
        <v>2155</v>
      </c>
      <c r="O560" s="314" t="s">
        <v>653</v>
      </c>
      <c r="P560" s="314" t="s">
        <v>112</v>
      </c>
      <c r="Q560" s="314" t="s">
        <v>123</v>
      </c>
      <c r="R560" s="315">
        <v>45145.6861689815</v>
      </c>
      <c r="S560" s="314" t="s">
        <v>2155</v>
      </c>
      <c r="T560" s="314" t="s">
        <v>176</v>
      </c>
      <c r="U560" s="314" t="s">
        <v>176</v>
      </c>
      <c r="V560" s="314" t="s">
        <v>114</v>
      </c>
      <c r="W560" s="314"/>
      <c r="X560" s="314" t="str">
        <f>VLOOKUP(D560,代理总表!A:D,3,0)</f>
        <v>雨燕直播-越</v>
      </c>
      <c r="Y560" t="str">
        <f>VLOOKUP(D:D,代理总表!A:D,4,FALSE)</f>
        <v>雨燕直播-越ffvn66</v>
      </c>
      <c r="Z560">
        <f t="shared" si="24"/>
        <v>0</v>
      </c>
      <c r="AA560">
        <f t="shared" si="25"/>
        <v>16</v>
      </c>
      <c r="AB560">
        <f t="shared" si="26"/>
        <v>1</v>
      </c>
    </row>
    <row r="561" spans="1:28">
      <c r="A561" s="314" t="s">
        <v>2156</v>
      </c>
      <c r="B561" s="314" t="s">
        <v>2157</v>
      </c>
      <c r="C561" s="314">
        <v>18993329382</v>
      </c>
      <c r="D561" s="314" t="s">
        <v>103</v>
      </c>
      <c r="E561" s="314" t="s">
        <v>104</v>
      </c>
      <c r="F561" s="314" t="s">
        <v>118</v>
      </c>
      <c r="G561" s="314" t="s">
        <v>108</v>
      </c>
      <c r="H561" s="314" t="s">
        <v>119</v>
      </c>
      <c r="I561" s="314" t="s">
        <v>108</v>
      </c>
      <c r="J561" s="314" t="s">
        <v>109</v>
      </c>
      <c r="K561" s="314">
        <v>0</v>
      </c>
      <c r="L561" s="314">
        <v>0</v>
      </c>
      <c r="M561" s="315">
        <v>45145.680462963</v>
      </c>
      <c r="N561" s="314" t="s">
        <v>2158</v>
      </c>
      <c r="O561" s="314" t="s">
        <v>582</v>
      </c>
      <c r="P561" s="314" t="s">
        <v>161</v>
      </c>
      <c r="Q561" s="314" t="s">
        <v>123</v>
      </c>
      <c r="R561" s="315">
        <v>45145.680462963</v>
      </c>
      <c r="S561" s="314" t="s">
        <v>2158</v>
      </c>
      <c r="T561" s="314" t="s">
        <v>781</v>
      </c>
      <c r="U561" s="314" t="s">
        <v>781</v>
      </c>
      <c r="V561" s="314" t="s">
        <v>114</v>
      </c>
      <c r="W561" s="314"/>
      <c r="X561" s="314" t="str">
        <f>VLOOKUP(D561,代理总表!A:D,3,0)</f>
        <v>官网</v>
      </c>
      <c r="Y561" t="str">
        <f>VLOOKUP(D:D,代理总表!A:D,4,FALSE)</f>
        <v>官网</v>
      </c>
      <c r="Z561">
        <f t="shared" si="24"/>
        <v>0</v>
      </c>
      <c r="AA561">
        <f t="shared" si="25"/>
        <v>16</v>
      </c>
      <c r="AB561">
        <f t="shared" si="26"/>
        <v>1</v>
      </c>
    </row>
    <row r="562" spans="1:28">
      <c r="A562" s="314" t="s">
        <v>2159</v>
      </c>
      <c r="B562" s="314"/>
      <c r="C562" s="314">
        <v>13321310516</v>
      </c>
      <c r="D562" s="314" t="s">
        <v>205</v>
      </c>
      <c r="E562" s="314" t="s">
        <v>104</v>
      </c>
      <c r="F562" s="314" t="s">
        <v>149</v>
      </c>
      <c r="G562" s="314" t="s">
        <v>108</v>
      </c>
      <c r="H562" s="314" t="s">
        <v>119</v>
      </c>
      <c r="I562" s="314" t="s">
        <v>108</v>
      </c>
      <c r="J562" s="314" t="s">
        <v>109</v>
      </c>
      <c r="K562" s="314">
        <v>0</v>
      </c>
      <c r="L562" s="314">
        <v>0</v>
      </c>
      <c r="M562" s="315">
        <v>45145.6803587963</v>
      </c>
      <c r="N562" s="314" t="s">
        <v>2160</v>
      </c>
      <c r="O562" s="314" t="s">
        <v>2161</v>
      </c>
      <c r="P562" s="314" t="s">
        <v>112</v>
      </c>
      <c r="Q562" s="314" t="s">
        <v>123</v>
      </c>
      <c r="R562" s="315">
        <v>45145.6803587963</v>
      </c>
      <c r="S562" s="314" t="s">
        <v>2160</v>
      </c>
      <c r="T562" s="314" t="s">
        <v>1092</v>
      </c>
      <c r="U562" s="314" t="s">
        <v>1092</v>
      </c>
      <c r="V562" s="314" t="s">
        <v>114</v>
      </c>
      <c r="W562" s="314"/>
      <c r="X562" s="314" t="str">
        <f>VLOOKUP(D562,代理总表!A:D,3,0)</f>
        <v>ben</v>
      </c>
      <c r="Y562" t="str">
        <f>VLOOKUP(D:D,代理总表!A:D,4,FALSE)</f>
        <v>SEO</v>
      </c>
      <c r="Z562">
        <f t="shared" si="24"/>
        <v>0</v>
      </c>
      <c r="AA562">
        <f t="shared" si="25"/>
        <v>16</v>
      </c>
      <c r="AB562">
        <f t="shared" si="26"/>
        <v>1</v>
      </c>
    </row>
    <row r="563" spans="1:28">
      <c r="A563" s="314" t="s">
        <v>2162</v>
      </c>
      <c r="B563" s="314"/>
      <c r="C563" s="314"/>
      <c r="D563" s="314" t="s">
        <v>116</v>
      </c>
      <c r="E563" s="314" t="s">
        <v>117</v>
      </c>
      <c r="F563" s="314" t="s">
        <v>118</v>
      </c>
      <c r="G563" s="314" t="s">
        <v>108</v>
      </c>
      <c r="H563" s="314" t="s">
        <v>119</v>
      </c>
      <c r="I563" s="314" t="s">
        <v>108</v>
      </c>
      <c r="J563" s="314" t="s">
        <v>120</v>
      </c>
      <c r="K563" s="314">
        <v>0</v>
      </c>
      <c r="L563" s="314">
        <v>0</v>
      </c>
      <c r="M563" s="315">
        <v>45145.6803009259</v>
      </c>
      <c r="N563" s="314" t="s">
        <v>2163</v>
      </c>
      <c r="O563" s="314" t="s">
        <v>742</v>
      </c>
      <c r="P563" s="314" t="s">
        <v>339</v>
      </c>
      <c r="Q563" s="314" t="s">
        <v>123</v>
      </c>
      <c r="R563" s="315">
        <v>45145.7237847222</v>
      </c>
      <c r="S563" s="314" t="s">
        <v>2163</v>
      </c>
      <c r="T563" s="314" t="s">
        <v>688</v>
      </c>
      <c r="U563" s="314" t="s">
        <v>688</v>
      </c>
      <c r="V563" s="314" t="s">
        <v>114</v>
      </c>
      <c r="W563" s="314"/>
      <c r="X563" s="314" t="str">
        <f>VLOOKUP(D563,代理总表!A:D,3,0)</f>
        <v>外部代理总线</v>
      </c>
      <c r="Y563" t="str">
        <f>VLOOKUP(D:D,代理总表!A:D,4,FALSE)</f>
        <v>外部代理总线zh0808</v>
      </c>
      <c r="Z563">
        <f t="shared" si="24"/>
        <v>0</v>
      </c>
      <c r="AA563">
        <f t="shared" si="25"/>
        <v>16</v>
      </c>
      <c r="AB563">
        <f t="shared" si="26"/>
        <v>1</v>
      </c>
    </row>
    <row r="564" spans="1:28">
      <c r="A564" s="314" t="s">
        <v>2164</v>
      </c>
      <c r="B564" s="314" t="s">
        <v>2165</v>
      </c>
      <c r="C564" s="314">
        <v>18587063563</v>
      </c>
      <c r="D564" s="314" t="s">
        <v>103</v>
      </c>
      <c r="E564" s="314" t="s">
        <v>104</v>
      </c>
      <c r="F564" s="314" t="s">
        <v>105</v>
      </c>
      <c r="G564" s="314" t="s">
        <v>106</v>
      </c>
      <c r="H564" s="314" t="s">
        <v>107</v>
      </c>
      <c r="I564" s="314" t="s">
        <v>108</v>
      </c>
      <c r="J564" s="314" t="s">
        <v>109</v>
      </c>
      <c r="K564" s="314">
        <v>200</v>
      </c>
      <c r="L564" s="314">
        <v>5.64</v>
      </c>
      <c r="M564" s="315">
        <v>45145.6802199074</v>
      </c>
      <c r="N564" s="314" t="s">
        <v>2166</v>
      </c>
      <c r="O564" s="314" t="s">
        <v>350</v>
      </c>
      <c r="P564" s="314" t="s">
        <v>112</v>
      </c>
      <c r="Q564" s="315">
        <v>45145.6868402778</v>
      </c>
      <c r="R564" s="315">
        <v>45145.9695949074</v>
      </c>
      <c r="S564" s="314" t="s">
        <v>2167</v>
      </c>
      <c r="T564" s="314" t="s">
        <v>238</v>
      </c>
      <c r="U564" s="314" t="s">
        <v>238</v>
      </c>
      <c r="V564" s="314" t="s">
        <v>114</v>
      </c>
      <c r="W564" s="314"/>
      <c r="X564" s="314" t="str">
        <f>VLOOKUP(D564,代理总表!A:D,3,0)</f>
        <v>官网</v>
      </c>
      <c r="Y564" t="str">
        <f>VLOOKUP(D:D,代理总表!A:D,4,FALSE)</f>
        <v>官网</v>
      </c>
      <c r="Z564">
        <f t="shared" si="24"/>
        <v>1</v>
      </c>
      <c r="AA564">
        <f t="shared" si="25"/>
        <v>16</v>
      </c>
      <c r="AB564">
        <f t="shared" si="26"/>
        <v>1</v>
      </c>
    </row>
    <row r="565" spans="1:28">
      <c r="A565" s="314" t="s">
        <v>2168</v>
      </c>
      <c r="B565" s="314" t="s">
        <v>2169</v>
      </c>
      <c r="C565" s="314">
        <v>909848280</v>
      </c>
      <c r="D565" s="314" t="s">
        <v>172</v>
      </c>
      <c r="E565" s="314" t="s">
        <v>117</v>
      </c>
      <c r="F565" s="314" t="s">
        <v>144</v>
      </c>
      <c r="G565" s="314" t="s">
        <v>106</v>
      </c>
      <c r="H565" s="314" t="s">
        <v>107</v>
      </c>
      <c r="I565" s="314" t="s">
        <v>108</v>
      </c>
      <c r="J565" s="314" t="s">
        <v>120</v>
      </c>
      <c r="K565" s="314">
        <v>120000</v>
      </c>
      <c r="L565" s="314">
        <v>1000000</v>
      </c>
      <c r="M565" s="315">
        <v>45145.6798148148</v>
      </c>
      <c r="N565" s="314" t="s">
        <v>2170</v>
      </c>
      <c r="O565" s="314" t="s">
        <v>1205</v>
      </c>
      <c r="P565" s="314" t="s">
        <v>339</v>
      </c>
      <c r="Q565" s="315">
        <v>45145.6941203704</v>
      </c>
      <c r="R565" s="315">
        <v>45145.7033217593</v>
      </c>
      <c r="S565" s="314" t="s">
        <v>2170</v>
      </c>
      <c r="T565" s="314" t="s">
        <v>177</v>
      </c>
      <c r="U565" s="314" t="s">
        <v>177</v>
      </c>
      <c r="V565" s="314" t="s">
        <v>114</v>
      </c>
      <c r="W565" s="314"/>
      <c r="X565" s="314" t="str">
        <f>VLOOKUP(D565,代理总表!A:D,3,0)</f>
        <v>雨燕直播-越</v>
      </c>
      <c r="Y565" t="str">
        <f>VLOOKUP(D:D,代理总表!A:D,4,FALSE)</f>
        <v>雨燕直播-越ffvn66</v>
      </c>
      <c r="Z565">
        <f t="shared" si="24"/>
        <v>1</v>
      </c>
      <c r="AA565">
        <f t="shared" si="25"/>
        <v>16</v>
      </c>
      <c r="AB565">
        <f t="shared" si="26"/>
        <v>1</v>
      </c>
    </row>
    <row r="566" spans="1:28">
      <c r="A566" s="314" t="s">
        <v>2171</v>
      </c>
      <c r="B566" s="314" t="s">
        <v>2172</v>
      </c>
      <c r="C566" s="314">
        <v>13135315339</v>
      </c>
      <c r="D566" s="314" t="s">
        <v>1741</v>
      </c>
      <c r="E566" s="314" t="s">
        <v>104</v>
      </c>
      <c r="F566" s="314" t="s">
        <v>144</v>
      </c>
      <c r="G566" s="314" t="s">
        <v>106</v>
      </c>
      <c r="H566" s="314" t="s">
        <v>107</v>
      </c>
      <c r="I566" s="314" t="s">
        <v>108</v>
      </c>
      <c r="J566" s="314" t="s">
        <v>109</v>
      </c>
      <c r="K566" s="314">
        <v>385</v>
      </c>
      <c r="L566" s="314">
        <v>500</v>
      </c>
      <c r="M566" s="315">
        <v>45145.6797453704</v>
      </c>
      <c r="N566" s="314" t="s">
        <v>2173</v>
      </c>
      <c r="O566" s="314" t="s">
        <v>2174</v>
      </c>
      <c r="P566" s="314" t="s">
        <v>112</v>
      </c>
      <c r="Q566" s="315">
        <v>45145.6820949074</v>
      </c>
      <c r="R566" s="315">
        <v>45146.1231365741</v>
      </c>
      <c r="S566" s="314" t="s">
        <v>2175</v>
      </c>
      <c r="T566" s="314" t="s">
        <v>939</v>
      </c>
      <c r="U566" s="314" t="s">
        <v>2176</v>
      </c>
      <c r="V566" s="314" t="s">
        <v>114</v>
      </c>
      <c r="W566" s="314"/>
      <c r="X566" s="314" t="str">
        <f>VLOOKUP(D566,代理总表!A:D,3,0)</f>
        <v>飞哥雨燕直播</v>
      </c>
      <c r="Y566" t="str">
        <f>VLOOKUP(D:D,代理总表!A:D,4,FALSE)</f>
        <v>飞哥雨燕直播ffmk88</v>
      </c>
      <c r="Z566">
        <f t="shared" si="24"/>
        <v>1</v>
      </c>
      <c r="AA566">
        <f t="shared" si="25"/>
        <v>16</v>
      </c>
      <c r="AB566">
        <f t="shared" si="26"/>
        <v>1</v>
      </c>
    </row>
    <row r="567" spans="1:28">
      <c r="A567" s="314" t="s">
        <v>2177</v>
      </c>
      <c r="B567" s="314"/>
      <c r="C567" s="314"/>
      <c r="D567" s="314" t="s">
        <v>1109</v>
      </c>
      <c r="E567" s="314" t="s">
        <v>104</v>
      </c>
      <c r="F567" s="314" t="s">
        <v>118</v>
      </c>
      <c r="G567" s="314" t="s">
        <v>108</v>
      </c>
      <c r="H567" s="314" t="s">
        <v>119</v>
      </c>
      <c r="I567" s="314" t="s">
        <v>108</v>
      </c>
      <c r="J567" s="314" t="s">
        <v>109</v>
      </c>
      <c r="K567" s="314">
        <v>0</v>
      </c>
      <c r="L567" s="314">
        <v>0</v>
      </c>
      <c r="M567" s="315">
        <v>45145.6792939815</v>
      </c>
      <c r="N567" s="314" t="s">
        <v>2178</v>
      </c>
      <c r="O567" s="314" t="s">
        <v>1141</v>
      </c>
      <c r="P567" s="314" t="s">
        <v>112</v>
      </c>
      <c r="Q567" s="314" t="s">
        <v>123</v>
      </c>
      <c r="R567" s="315">
        <v>45145.6850462963</v>
      </c>
      <c r="S567" s="314" t="s">
        <v>2178</v>
      </c>
      <c r="T567" s="314" t="s">
        <v>2179</v>
      </c>
      <c r="U567" s="314" t="s">
        <v>2179</v>
      </c>
      <c r="V567" s="314" t="s">
        <v>114</v>
      </c>
      <c r="W567" s="314"/>
      <c r="X567" s="314" t="str">
        <f>VLOOKUP(D567,代理总表!A:D,3,0)</f>
        <v>飞哥雨燕直播</v>
      </c>
      <c r="Y567" t="str">
        <f>VLOOKUP(D:D,代理总表!A:D,4,FALSE)</f>
        <v>飞哥雨燕直播ffmk88</v>
      </c>
      <c r="Z567">
        <f t="shared" si="24"/>
        <v>0</v>
      </c>
      <c r="AA567">
        <f t="shared" si="25"/>
        <v>16</v>
      </c>
      <c r="AB567">
        <f t="shared" si="26"/>
        <v>1</v>
      </c>
    </row>
    <row r="568" spans="1:28">
      <c r="A568" s="314" t="s">
        <v>2180</v>
      </c>
      <c r="B568" s="314"/>
      <c r="C568" s="314">
        <v>18822887876</v>
      </c>
      <c r="D568" s="314" t="s">
        <v>154</v>
      </c>
      <c r="E568" s="314" t="s">
        <v>104</v>
      </c>
      <c r="F568" s="314" t="s">
        <v>149</v>
      </c>
      <c r="G568" s="314" t="s">
        <v>108</v>
      </c>
      <c r="H568" s="314" t="s">
        <v>119</v>
      </c>
      <c r="I568" s="314" t="s">
        <v>108</v>
      </c>
      <c r="J568" s="314" t="s">
        <v>109</v>
      </c>
      <c r="K568" s="314">
        <v>0</v>
      </c>
      <c r="L568" s="314">
        <v>0</v>
      </c>
      <c r="M568" s="315">
        <v>45145.6789351852</v>
      </c>
      <c r="N568" s="314" t="s">
        <v>2181</v>
      </c>
      <c r="O568" s="314" t="s">
        <v>156</v>
      </c>
      <c r="P568" s="314" t="s">
        <v>112</v>
      </c>
      <c r="Q568" s="314" t="s">
        <v>123</v>
      </c>
      <c r="R568" s="315">
        <v>45145.6807523148</v>
      </c>
      <c r="S568" s="314" t="s">
        <v>2181</v>
      </c>
      <c r="T568" s="314" t="s">
        <v>1450</v>
      </c>
      <c r="U568" s="314" t="s">
        <v>1450</v>
      </c>
      <c r="V568" s="314" t="s">
        <v>114</v>
      </c>
      <c r="W568" s="314"/>
      <c r="X568" s="314" t="str">
        <f>VLOOKUP(D568,代理总表!A:D,3,0)</f>
        <v>max</v>
      </c>
      <c r="Y568" t="str">
        <f>VLOOKUP(D:D,代理总表!A:D,4,FALSE)</f>
        <v>SEO</v>
      </c>
      <c r="Z568">
        <f t="shared" si="24"/>
        <v>0</v>
      </c>
      <c r="AA568">
        <f t="shared" si="25"/>
        <v>16</v>
      </c>
      <c r="AB568">
        <f t="shared" si="26"/>
        <v>1</v>
      </c>
    </row>
    <row r="569" spans="1:28">
      <c r="A569" s="314" t="s">
        <v>2182</v>
      </c>
      <c r="B569" s="314"/>
      <c r="C569" s="314"/>
      <c r="D569" s="314" t="s">
        <v>651</v>
      </c>
      <c r="E569" s="314" t="s">
        <v>117</v>
      </c>
      <c r="F569" s="314" t="s">
        <v>118</v>
      </c>
      <c r="G569" s="314" t="s">
        <v>108</v>
      </c>
      <c r="H569" s="314" t="s">
        <v>119</v>
      </c>
      <c r="I569" s="314" t="s">
        <v>108</v>
      </c>
      <c r="J569" s="314" t="s">
        <v>120</v>
      </c>
      <c r="K569" s="314">
        <v>0</v>
      </c>
      <c r="L569" s="314">
        <v>0</v>
      </c>
      <c r="M569" s="315">
        <v>45145.677337963</v>
      </c>
      <c r="N569" s="314" t="s">
        <v>2183</v>
      </c>
      <c r="O569" s="314" t="s">
        <v>653</v>
      </c>
      <c r="P569" s="314" t="s">
        <v>112</v>
      </c>
      <c r="Q569" s="314" t="s">
        <v>123</v>
      </c>
      <c r="R569" s="315">
        <v>45145.9997453704</v>
      </c>
      <c r="S569" s="314" t="s">
        <v>2184</v>
      </c>
      <c r="T569" s="314" t="s">
        <v>2185</v>
      </c>
      <c r="U569" s="314" t="s">
        <v>124</v>
      </c>
      <c r="V569" s="314" t="s">
        <v>114</v>
      </c>
      <c r="W569" s="314"/>
      <c r="X569" s="314" t="str">
        <f>VLOOKUP(D569,代理总表!A:D,3,0)</f>
        <v>雨燕直播-越</v>
      </c>
      <c r="Y569" t="str">
        <f>VLOOKUP(D:D,代理总表!A:D,4,FALSE)</f>
        <v>雨燕直播-越ffvn66</v>
      </c>
      <c r="Z569">
        <f t="shared" si="24"/>
        <v>0</v>
      </c>
      <c r="AA569">
        <f t="shared" si="25"/>
        <v>16</v>
      </c>
      <c r="AB569">
        <f t="shared" si="26"/>
        <v>1</v>
      </c>
    </row>
    <row r="570" spans="1:28">
      <c r="A570" s="314" t="s">
        <v>2186</v>
      </c>
      <c r="B570" s="314" t="s">
        <v>2187</v>
      </c>
      <c r="C570" s="314">
        <v>915666112</v>
      </c>
      <c r="D570" s="314" t="s">
        <v>651</v>
      </c>
      <c r="E570" s="314" t="s">
        <v>117</v>
      </c>
      <c r="F570" s="314" t="s">
        <v>118</v>
      </c>
      <c r="G570" s="314" t="s">
        <v>108</v>
      </c>
      <c r="H570" s="314" t="s">
        <v>119</v>
      </c>
      <c r="I570" s="314" t="s">
        <v>108</v>
      </c>
      <c r="J570" s="314" t="s">
        <v>120</v>
      </c>
      <c r="K570" s="314">
        <v>0</v>
      </c>
      <c r="L570" s="314">
        <v>0</v>
      </c>
      <c r="M570" s="315">
        <v>45145.6768865741</v>
      </c>
      <c r="N570" s="314" t="s">
        <v>2188</v>
      </c>
      <c r="O570" s="314" t="s">
        <v>653</v>
      </c>
      <c r="P570" s="314" t="s">
        <v>112</v>
      </c>
      <c r="Q570" s="314" t="s">
        <v>123</v>
      </c>
      <c r="R570" s="315">
        <v>45146.3489930556</v>
      </c>
      <c r="S570" s="314" t="s">
        <v>2188</v>
      </c>
      <c r="T570" s="314" t="s">
        <v>176</v>
      </c>
      <c r="U570" s="314" t="s">
        <v>176</v>
      </c>
      <c r="V570" s="314" t="s">
        <v>114</v>
      </c>
      <c r="W570" s="314"/>
      <c r="X570" s="314" t="str">
        <f>VLOOKUP(D570,代理总表!A:D,3,0)</f>
        <v>雨燕直播-越</v>
      </c>
      <c r="Y570" t="str">
        <f>VLOOKUP(D:D,代理总表!A:D,4,FALSE)</f>
        <v>雨燕直播-越ffvn66</v>
      </c>
      <c r="Z570">
        <f t="shared" si="24"/>
        <v>0</v>
      </c>
      <c r="AA570">
        <f t="shared" si="25"/>
        <v>16</v>
      </c>
      <c r="AB570">
        <f t="shared" si="26"/>
        <v>1</v>
      </c>
    </row>
    <row r="571" spans="1:28">
      <c r="A571" s="314" t="s">
        <v>2189</v>
      </c>
      <c r="B571" s="314"/>
      <c r="C571" s="314"/>
      <c r="D571" s="314" t="s">
        <v>116</v>
      </c>
      <c r="E571" s="314" t="s">
        <v>117</v>
      </c>
      <c r="F571" s="314" t="s">
        <v>118</v>
      </c>
      <c r="G571" s="314" t="s">
        <v>108</v>
      </c>
      <c r="H571" s="314" t="s">
        <v>119</v>
      </c>
      <c r="I571" s="314" t="s">
        <v>108</v>
      </c>
      <c r="J571" s="314" t="s">
        <v>120</v>
      </c>
      <c r="K571" s="314">
        <v>0</v>
      </c>
      <c r="L571" s="314">
        <v>0</v>
      </c>
      <c r="M571" s="315">
        <v>45145.6764583333</v>
      </c>
      <c r="N571" s="314" t="s">
        <v>2190</v>
      </c>
      <c r="O571" s="314" t="s">
        <v>122</v>
      </c>
      <c r="P571" s="314" t="s">
        <v>112</v>
      </c>
      <c r="Q571" s="314" t="s">
        <v>123</v>
      </c>
      <c r="R571" s="315">
        <v>45145.6764583333</v>
      </c>
      <c r="S571" s="314" t="s">
        <v>2190</v>
      </c>
      <c r="T571" s="314" t="s">
        <v>1196</v>
      </c>
      <c r="U571" s="314" t="s">
        <v>1196</v>
      </c>
      <c r="V571" s="314" t="s">
        <v>114</v>
      </c>
      <c r="W571" s="314"/>
      <c r="X571" s="314" t="str">
        <f>VLOOKUP(D571,代理总表!A:D,3,0)</f>
        <v>外部代理总线</v>
      </c>
      <c r="Y571" t="str">
        <f>VLOOKUP(D:D,代理总表!A:D,4,FALSE)</f>
        <v>外部代理总线zh0808</v>
      </c>
      <c r="Z571">
        <f t="shared" si="24"/>
        <v>0</v>
      </c>
      <c r="AA571">
        <f t="shared" si="25"/>
        <v>16</v>
      </c>
      <c r="AB571">
        <f t="shared" si="26"/>
        <v>1</v>
      </c>
    </row>
    <row r="572" spans="1:28">
      <c r="A572" s="314" t="s">
        <v>2191</v>
      </c>
      <c r="B572" s="314"/>
      <c r="C572" s="314"/>
      <c r="D572" s="314" t="s">
        <v>2192</v>
      </c>
      <c r="E572" s="314" t="s">
        <v>104</v>
      </c>
      <c r="F572" s="314" t="s">
        <v>118</v>
      </c>
      <c r="G572" s="314" t="s">
        <v>108</v>
      </c>
      <c r="H572" s="314" t="s">
        <v>119</v>
      </c>
      <c r="I572" s="314" t="s">
        <v>108</v>
      </c>
      <c r="J572" s="314" t="s">
        <v>109</v>
      </c>
      <c r="K572" s="314">
        <v>0</v>
      </c>
      <c r="L572" s="314">
        <v>0</v>
      </c>
      <c r="M572" s="315">
        <v>45145.6761111111</v>
      </c>
      <c r="N572" s="314" t="s">
        <v>2193</v>
      </c>
      <c r="O572" s="314" t="s">
        <v>2194</v>
      </c>
      <c r="P572" s="314" t="s">
        <v>339</v>
      </c>
      <c r="Q572" s="314" t="s">
        <v>123</v>
      </c>
      <c r="R572" s="315">
        <v>45145.6761111111</v>
      </c>
      <c r="S572" s="314" t="s">
        <v>2193</v>
      </c>
      <c r="T572" s="314" t="s">
        <v>2195</v>
      </c>
      <c r="U572" s="314" t="s">
        <v>2195</v>
      </c>
      <c r="V572" s="314" t="s">
        <v>114</v>
      </c>
      <c r="W572" s="314"/>
      <c r="X572" s="314" t="str">
        <f>VLOOKUP(D572,代理总表!A:D,3,0)</f>
        <v>kk6699</v>
      </c>
      <c r="Y572" t="str">
        <f>VLOOKUP(D:D,代理总表!A:D,4,FALSE)</f>
        <v>KK体育总线kk6699</v>
      </c>
      <c r="Z572">
        <f t="shared" si="24"/>
        <v>0</v>
      </c>
      <c r="AA572">
        <f t="shared" si="25"/>
        <v>16</v>
      </c>
      <c r="AB572">
        <f t="shared" si="26"/>
        <v>1</v>
      </c>
    </row>
    <row r="573" spans="1:28">
      <c r="A573" s="314" t="s">
        <v>2196</v>
      </c>
      <c r="B573" s="314" t="s">
        <v>2197</v>
      </c>
      <c r="C573" s="314">
        <v>15550026444</v>
      </c>
      <c r="D573" s="314" t="s">
        <v>805</v>
      </c>
      <c r="E573" s="314" t="s">
        <v>104</v>
      </c>
      <c r="F573" s="314" t="s">
        <v>144</v>
      </c>
      <c r="G573" s="314" t="s">
        <v>106</v>
      </c>
      <c r="H573" s="314" t="s">
        <v>107</v>
      </c>
      <c r="I573" s="314" t="s">
        <v>108</v>
      </c>
      <c r="J573" s="314" t="s">
        <v>109</v>
      </c>
      <c r="K573" s="314">
        <v>100</v>
      </c>
      <c r="L573" s="314">
        <v>300</v>
      </c>
      <c r="M573" s="315">
        <v>45145.676099537</v>
      </c>
      <c r="N573" s="314" t="s">
        <v>2198</v>
      </c>
      <c r="O573" s="314" t="s">
        <v>2199</v>
      </c>
      <c r="P573" s="314" t="s">
        <v>112</v>
      </c>
      <c r="Q573" s="315">
        <v>45145.6938425926</v>
      </c>
      <c r="R573" s="315">
        <v>45145.8634027778</v>
      </c>
      <c r="S573" s="314" t="s">
        <v>2198</v>
      </c>
      <c r="T573" s="314" t="s">
        <v>2200</v>
      </c>
      <c r="U573" s="314" t="s">
        <v>2200</v>
      </c>
      <c r="V573" s="314" t="s">
        <v>114</v>
      </c>
      <c r="W573" s="314"/>
      <c r="X573" s="314" t="str">
        <f>VLOOKUP(D573,代理总表!A:D,3,0)</f>
        <v>飞哥雨燕直播</v>
      </c>
      <c r="Y573" t="str">
        <f>VLOOKUP(D:D,代理总表!A:D,4,FALSE)</f>
        <v>飞哥雨燕直播ffmk88</v>
      </c>
      <c r="Z573">
        <f t="shared" si="24"/>
        <v>1</v>
      </c>
      <c r="AA573">
        <f t="shared" si="25"/>
        <v>16</v>
      </c>
      <c r="AB573">
        <f t="shared" si="26"/>
        <v>1</v>
      </c>
    </row>
    <row r="574" spans="1:28">
      <c r="A574" s="314" t="s">
        <v>2201</v>
      </c>
      <c r="B574" s="314"/>
      <c r="C574" s="314"/>
      <c r="D574" s="314" t="s">
        <v>143</v>
      </c>
      <c r="E574" s="314" t="s">
        <v>117</v>
      </c>
      <c r="F574" s="314" t="s">
        <v>118</v>
      </c>
      <c r="G574" s="314" t="s">
        <v>108</v>
      </c>
      <c r="H574" s="314" t="s">
        <v>119</v>
      </c>
      <c r="I574" s="314" t="s">
        <v>108</v>
      </c>
      <c r="J574" s="314" t="s">
        <v>120</v>
      </c>
      <c r="K574" s="314">
        <v>0</v>
      </c>
      <c r="L574" s="314">
        <v>0</v>
      </c>
      <c r="M574" s="315">
        <v>45145.6757523148</v>
      </c>
      <c r="N574" s="314" t="s">
        <v>2202</v>
      </c>
      <c r="O574" s="314" t="s">
        <v>407</v>
      </c>
      <c r="P574" s="314" t="s">
        <v>112</v>
      </c>
      <c r="Q574" s="314" t="s">
        <v>123</v>
      </c>
      <c r="R574" s="315">
        <v>45145.6757407407</v>
      </c>
      <c r="S574" s="314" t="s">
        <v>2202</v>
      </c>
      <c r="T574" s="314" t="s">
        <v>124</v>
      </c>
      <c r="U574" s="314" t="s">
        <v>124</v>
      </c>
      <c r="V574" s="314" t="s">
        <v>114</v>
      </c>
      <c r="W574" s="314"/>
      <c r="X574" s="314" t="str">
        <f>VLOOKUP(D574,代理总表!A:D,3,0)</f>
        <v>雨燕直播-越</v>
      </c>
      <c r="Y574" t="str">
        <f>VLOOKUP(D:D,代理总表!A:D,4,FALSE)</f>
        <v>雨燕直播-越ffvn66</v>
      </c>
      <c r="Z574">
        <f t="shared" si="24"/>
        <v>0</v>
      </c>
      <c r="AA574">
        <f t="shared" si="25"/>
        <v>16</v>
      </c>
      <c r="AB574">
        <f t="shared" si="26"/>
        <v>1</v>
      </c>
    </row>
    <row r="575" spans="1:28">
      <c r="A575" s="314" t="s">
        <v>2203</v>
      </c>
      <c r="B575" s="314" t="s">
        <v>2204</v>
      </c>
      <c r="C575" s="314">
        <v>357980965</v>
      </c>
      <c r="D575" s="314" t="s">
        <v>1150</v>
      </c>
      <c r="E575" s="314" t="s">
        <v>117</v>
      </c>
      <c r="F575" s="314" t="s">
        <v>118</v>
      </c>
      <c r="G575" s="314" t="s">
        <v>108</v>
      </c>
      <c r="H575" s="314" t="s">
        <v>119</v>
      </c>
      <c r="I575" s="314" t="s">
        <v>108</v>
      </c>
      <c r="J575" s="314" t="s">
        <v>120</v>
      </c>
      <c r="K575" s="314">
        <v>0</v>
      </c>
      <c r="L575" s="314">
        <v>0</v>
      </c>
      <c r="M575" s="315">
        <v>45145.6755208333</v>
      </c>
      <c r="N575" s="314" t="s">
        <v>2205</v>
      </c>
      <c r="O575" s="314" t="s">
        <v>2206</v>
      </c>
      <c r="P575" s="314" t="s">
        <v>112</v>
      </c>
      <c r="Q575" s="314" t="s">
        <v>123</v>
      </c>
      <c r="R575" s="315">
        <v>45145.8670717593</v>
      </c>
      <c r="S575" s="314" t="s">
        <v>2205</v>
      </c>
      <c r="T575" s="314" t="s">
        <v>134</v>
      </c>
      <c r="U575" s="314" t="s">
        <v>134</v>
      </c>
      <c r="V575" s="314" t="s">
        <v>114</v>
      </c>
      <c r="W575" s="314"/>
      <c r="X575" s="314" t="e">
        <f>VLOOKUP(D575,代理总表!A:D,3,0)</f>
        <v>#N/A</v>
      </c>
      <c r="Y575" t="e">
        <f>VLOOKUP(D:D,代理总表!A:D,4,FALSE)</f>
        <v>#N/A</v>
      </c>
      <c r="Z575">
        <f t="shared" si="24"/>
        <v>0</v>
      </c>
      <c r="AA575">
        <f t="shared" si="25"/>
        <v>16</v>
      </c>
      <c r="AB575">
        <f t="shared" si="26"/>
        <v>1</v>
      </c>
    </row>
    <row r="576" spans="1:28">
      <c r="A576" s="314" t="s">
        <v>2207</v>
      </c>
      <c r="B576" s="314"/>
      <c r="C576" s="314"/>
      <c r="D576" s="314" t="s">
        <v>2208</v>
      </c>
      <c r="E576" s="314" t="s">
        <v>104</v>
      </c>
      <c r="F576" s="314" t="s">
        <v>118</v>
      </c>
      <c r="G576" s="314" t="s">
        <v>108</v>
      </c>
      <c r="H576" s="314" t="s">
        <v>119</v>
      </c>
      <c r="I576" s="314" t="s">
        <v>108</v>
      </c>
      <c r="J576" s="314" t="s">
        <v>109</v>
      </c>
      <c r="K576" s="314">
        <v>0</v>
      </c>
      <c r="L576" s="314">
        <v>0</v>
      </c>
      <c r="M576" s="315">
        <v>45145.6754050926</v>
      </c>
      <c r="N576" s="314" t="s">
        <v>2209</v>
      </c>
      <c r="O576" s="314" t="s">
        <v>2210</v>
      </c>
      <c r="P576" s="314" t="s">
        <v>112</v>
      </c>
      <c r="Q576" s="314" t="s">
        <v>123</v>
      </c>
      <c r="R576" s="315">
        <v>45145.7181365741</v>
      </c>
      <c r="S576" s="314" t="s">
        <v>2211</v>
      </c>
      <c r="T576" s="314" t="s">
        <v>152</v>
      </c>
      <c r="U576" s="314" t="s">
        <v>152</v>
      </c>
      <c r="V576" s="314" t="s">
        <v>114</v>
      </c>
      <c r="W576" s="314"/>
      <c r="X576" s="314" t="str">
        <f>VLOOKUP(D576,代理总表!A:D,3,0)</f>
        <v>飞哥雨燕直播</v>
      </c>
      <c r="Y576" t="str">
        <f>VLOOKUP(D:D,代理总表!A:D,4,FALSE)</f>
        <v>飞哥雨燕直播ffmk88</v>
      </c>
      <c r="Z576">
        <f t="shared" si="24"/>
        <v>0</v>
      </c>
      <c r="AA576">
        <f t="shared" si="25"/>
        <v>16</v>
      </c>
      <c r="AB576">
        <f t="shared" si="26"/>
        <v>1</v>
      </c>
    </row>
    <row r="577" spans="1:28">
      <c r="A577" s="314" t="s">
        <v>2212</v>
      </c>
      <c r="B577" s="314"/>
      <c r="C577" s="314">
        <v>15961142557</v>
      </c>
      <c r="D577" s="314" t="s">
        <v>805</v>
      </c>
      <c r="E577" s="314" t="s">
        <v>104</v>
      </c>
      <c r="F577" s="314" t="s">
        <v>118</v>
      </c>
      <c r="G577" s="314" t="s">
        <v>108</v>
      </c>
      <c r="H577" s="314" t="s">
        <v>119</v>
      </c>
      <c r="I577" s="314" t="s">
        <v>108</v>
      </c>
      <c r="J577" s="314" t="s">
        <v>109</v>
      </c>
      <c r="K577" s="314">
        <v>0</v>
      </c>
      <c r="L577" s="314">
        <v>0</v>
      </c>
      <c r="M577" s="315">
        <v>45145.6751851852</v>
      </c>
      <c r="N577" s="314" t="s">
        <v>2213</v>
      </c>
      <c r="O577" s="314" t="s">
        <v>1222</v>
      </c>
      <c r="P577" s="314" t="s">
        <v>339</v>
      </c>
      <c r="Q577" s="314" t="s">
        <v>123</v>
      </c>
      <c r="R577" s="315">
        <v>45145.6835069444</v>
      </c>
      <c r="S577" s="314" t="s">
        <v>2213</v>
      </c>
      <c r="T577" s="314" t="s">
        <v>157</v>
      </c>
      <c r="U577" s="314" t="s">
        <v>157</v>
      </c>
      <c r="V577" s="314" t="s">
        <v>114</v>
      </c>
      <c r="W577" s="314"/>
      <c r="X577" s="314" t="str">
        <f>VLOOKUP(D577,代理总表!A:D,3,0)</f>
        <v>飞哥雨燕直播</v>
      </c>
      <c r="Y577" t="str">
        <f>VLOOKUP(D:D,代理总表!A:D,4,FALSE)</f>
        <v>飞哥雨燕直播ffmk88</v>
      </c>
      <c r="Z577">
        <f t="shared" si="24"/>
        <v>0</v>
      </c>
      <c r="AA577">
        <f t="shared" si="25"/>
        <v>16</v>
      </c>
      <c r="AB577">
        <f t="shared" si="26"/>
        <v>1</v>
      </c>
    </row>
    <row r="578" spans="1:28">
      <c r="A578" s="314" t="s">
        <v>2214</v>
      </c>
      <c r="B578" s="314" t="s">
        <v>2215</v>
      </c>
      <c r="C578" s="314">
        <v>15070386385</v>
      </c>
      <c r="D578" s="314" t="s">
        <v>249</v>
      </c>
      <c r="E578" s="314" t="s">
        <v>104</v>
      </c>
      <c r="F578" s="314" t="s">
        <v>105</v>
      </c>
      <c r="G578" s="314" t="s">
        <v>106</v>
      </c>
      <c r="H578" s="314" t="s">
        <v>856</v>
      </c>
      <c r="I578" s="314" t="s">
        <v>108</v>
      </c>
      <c r="J578" s="314" t="s">
        <v>109</v>
      </c>
      <c r="K578" s="314">
        <v>200</v>
      </c>
      <c r="L578" s="314">
        <v>84</v>
      </c>
      <c r="M578" s="315">
        <v>45145.6750810185</v>
      </c>
      <c r="N578" s="314" t="s">
        <v>2216</v>
      </c>
      <c r="O578" s="314" t="s">
        <v>251</v>
      </c>
      <c r="P578" s="314" t="s">
        <v>112</v>
      </c>
      <c r="Q578" s="315">
        <v>45145.6893518519</v>
      </c>
      <c r="R578" s="315">
        <v>45146.3612731481</v>
      </c>
      <c r="S578" s="314" t="s">
        <v>2217</v>
      </c>
      <c r="T578" s="314" t="s">
        <v>477</v>
      </c>
      <c r="U578" s="314" t="s">
        <v>2218</v>
      </c>
      <c r="V578" s="314" t="s">
        <v>114</v>
      </c>
      <c r="W578" s="314"/>
      <c r="X578" s="314" t="str">
        <f>VLOOKUP(D578,代理总表!A:D,3,0)</f>
        <v>飞哥雨燕直播</v>
      </c>
      <c r="Y578" t="str">
        <f>VLOOKUP(D:D,代理总表!A:D,4,FALSE)</f>
        <v>飞哥雨燕直播ffmk88</v>
      </c>
      <c r="Z578">
        <f t="shared" si="24"/>
        <v>1</v>
      </c>
      <c r="AA578">
        <f t="shared" si="25"/>
        <v>16</v>
      </c>
      <c r="AB578">
        <f t="shared" si="26"/>
        <v>1</v>
      </c>
    </row>
    <row r="579" spans="1:28">
      <c r="A579" s="314" t="s">
        <v>2219</v>
      </c>
      <c r="B579" s="314"/>
      <c r="C579" s="314">
        <v>13028020626</v>
      </c>
      <c r="D579" s="314" t="s">
        <v>249</v>
      </c>
      <c r="E579" s="314" t="s">
        <v>104</v>
      </c>
      <c r="F579" s="314" t="s">
        <v>118</v>
      </c>
      <c r="G579" s="314" t="s">
        <v>108</v>
      </c>
      <c r="H579" s="314" t="s">
        <v>119</v>
      </c>
      <c r="I579" s="314" t="s">
        <v>108</v>
      </c>
      <c r="J579" s="314" t="s">
        <v>109</v>
      </c>
      <c r="K579" s="314">
        <v>0</v>
      </c>
      <c r="L579" s="314">
        <v>0</v>
      </c>
      <c r="M579" s="315">
        <v>45145.6750578704</v>
      </c>
      <c r="N579" s="314" t="s">
        <v>2220</v>
      </c>
      <c r="O579" s="314" t="s">
        <v>735</v>
      </c>
      <c r="P579" s="314" t="s">
        <v>112</v>
      </c>
      <c r="Q579" s="314" t="s">
        <v>123</v>
      </c>
      <c r="R579" s="315">
        <v>45145.9841782407</v>
      </c>
      <c r="S579" s="314" t="s">
        <v>2220</v>
      </c>
      <c r="T579" s="314" t="s">
        <v>2221</v>
      </c>
      <c r="U579" s="314" t="s">
        <v>2221</v>
      </c>
      <c r="V579" s="314" t="s">
        <v>114</v>
      </c>
      <c r="W579" s="314"/>
      <c r="X579" s="314" t="str">
        <f>VLOOKUP(D579,代理总表!A:D,3,0)</f>
        <v>飞哥雨燕直播</v>
      </c>
      <c r="Y579" t="str">
        <f>VLOOKUP(D:D,代理总表!A:D,4,FALSE)</f>
        <v>飞哥雨燕直播ffmk88</v>
      </c>
      <c r="Z579">
        <f t="shared" ref="Z579:Z642" si="27">IF(RIGHT(H579,1)&gt;"0",1,0)</f>
        <v>0</v>
      </c>
      <c r="AA579">
        <f t="shared" ref="AA579:AA642" si="28">HOUR(M579)</f>
        <v>16</v>
      </c>
      <c r="AB579">
        <f t="shared" ref="AB579:AB642" si="29">IF(AE579=AF579,1,0)</f>
        <v>1</v>
      </c>
    </row>
    <row r="580" spans="1:28">
      <c r="A580" s="314" t="s">
        <v>2222</v>
      </c>
      <c r="B580" s="314" t="s">
        <v>2223</v>
      </c>
      <c r="C580" s="314">
        <v>15924457076</v>
      </c>
      <c r="D580" s="314" t="s">
        <v>148</v>
      </c>
      <c r="E580" s="314" t="s">
        <v>104</v>
      </c>
      <c r="F580" s="314" t="s">
        <v>181</v>
      </c>
      <c r="G580" s="314" t="s">
        <v>106</v>
      </c>
      <c r="H580" s="314" t="s">
        <v>107</v>
      </c>
      <c r="I580" s="314" t="s">
        <v>108</v>
      </c>
      <c r="J580" s="314" t="s">
        <v>109</v>
      </c>
      <c r="K580" s="314">
        <v>108</v>
      </c>
      <c r="L580" s="314">
        <v>500</v>
      </c>
      <c r="M580" s="315">
        <v>45145.6744097222</v>
      </c>
      <c r="N580" s="314" t="s">
        <v>2224</v>
      </c>
      <c r="O580" s="314" t="s">
        <v>160</v>
      </c>
      <c r="P580" s="314" t="s">
        <v>161</v>
      </c>
      <c r="Q580" s="315">
        <v>45145.6869328704</v>
      </c>
      <c r="R580" s="315">
        <v>45145.6928125</v>
      </c>
      <c r="S580" s="314" t="s">
        <v>2224</v>
      </c>
      <c r="T580" s="314" t="s">
        <v>2225</v>
      </c>
      <c r="U580" s="314" t="s">
        <v>2225</v>
      </c>
      <c r="V580" s="314" t="s">
        <v>114</v>
      </c>
      <c r="W580" s="314"/>
      <c r="X580" s="314" t="str">
        <f>VLOOKUP(D580,代理总表!A:D,3,0)</f>
        <v>martin</v>
      </c>
      <c r="Y580" t="str">
        <f>VLOOKUP(D:D,代理总表!A:D,4,FALSE)</f>
        <v>SEO</v>
      </c>
      <c r="Z580">
        <f t="shared" si="27"/>
        <v>1</v>
      </c>
      <c r="AA580">
        <f t="shared" si="28"/>
        <v>16</v>
      </c>
      <c r="AB580">
        <f t="shared" si="29"/>
        <v>1</v>
      </c>
    </row>
    <row r="581" spans="1:28">
      <c r="A581" s="314" t="s">
        <v>2226</v>
      </c>
      <c r="B581" s="314"/>
      <c r="C581" s="314"/>
      <c r="D581" s="314" t="s">
        <v>240</v>
      </c>
      <c r="E581" s="314" t="s">
        <v>104</v>
      </c>
      <c r="F581" s="314" t="s">
        <v>149</v>
      </c>
      <c r="G581" s="314" t="s">
        <v>108</v>
      </c>
      <c r="H581" s="314" t="s">
        <v>119</v>
      </c>
      <c r="I581" s="314" t="s">
        <v>108</v>
      </c>
      <c r="J581" s="314" t="s">
        <v>109</v>
      </c>
      <c r="K581" s="314">
        <v>0</v>
      </c>
      <c r="L581" s="314">
        <v>0</v>
      </c>
      <c r="M581" s="315">
        <v>45145.6739930556</v>
      </c>
      <c r="N581" s="314" t="s">
        <v>2227</v>
      </c>
      <c r="O581" s="314" t="s">
        <v>836</v>
      </c>
      <c r="P581" s="314" t="s">
        <v>112</v>
      </c>
      <c r="Q581" s="314" t="s">
        <v>123</v>
      </c>
      <c r="R581" s="315">
        <v>45145.6739814815</v>
      </c>
      <c r="S581" s="314" t="s">
        <v>2227</v>
      </c>
      <c r="T581" s="314" t="s">
        <v>2228</v>
      </c>
      <c r="U581" s="314" t="s">
        <v>2228</v>
      </c>
      <c r="V581" s="314" t="s">
        <v>114</v>
      </c>
      <c r="W581" s="314"/>
      <c r="X581" s="314" t="str">
        <f>VLOOKUP(D581,代理总表!A:D,3,0)</f>
        <v>SEO邀请</v>
      </c>
      <c r="Y581" t="str">
        <f>VLOOKUP(D:D,代理总表!A:D,4,FALSE)</f>
        <v>SEO</v>
      </c>
      <c r="Z581">
        <f t="shared" si="27"/>
        <v>0</v>
      </c>
      <c r="AA581">
        <f t="shared" si="28"/>
        <v>16</v>
      </c>
      <c r="AB581">
        <f t="shared" si="29"/>
        <v>1</v>
      </c>
    </row>
    <row r="582" spans="1:28">
      <c r="A582" s="314" t="s">
        <v>2229</v>
      </c>
      <c r="B582" s="314" t="s">
        <v>2230</v>
      </c>
      <c r="C582" s="314">
        <v>975124935</v>
      </c>
      <c r="D582" s="314" t="s">
        <v>445</v>
      </c>
      <c r="E582" s="314" t="s">
        <v>117</v>
      </c>
      <c r="F582" s="314" t="s">
        <v>118</v>
      </c>
      <c r="G582" s="314" t="s">
        <v>108</v>
      </c>
      <c r="H582" s="314" t="s">
        <v>119</v>
      </c>
      <c r="I582" s="314" t="s">
        <v>108</v>
      </c>
      <c r="J582" s="314" t="s">
        <v>120</v>
      </c>
      <c r="K582" s="314">
        <v>0</v>
      </c>
      <c r="L582" s="314">
        <v>0</v>
      </c>
      <c r="M582" s="315">
        <v>45145.6725578704</v>
      </c>
      <c r="N582" s="314" t="s">
        <v>2231</v>
      </c>
      <c r="O582" s="314" t="s">
        <v>446</v>
      </c>
      <c r="P582" s="314" t="s">
        <v>112</v>
      </c>
      <c r="Q582" s="314" t="s">
        <v>123</v>
      </c>
      <c r="R582" s="315">
        <v>45145.6866087963</v>
      </c>
      <c r="S582" s="314" t="s">
        <v>2231</v>
      </c>
      <c r="T582" s="314" t="s">
        <v>1532</v>
      </c>
      <c r="U582" s="314" t="s">
        <v>1532</v>
      </c>
      <c r="V582" s="314" t="s">
        <v>114</v>
      </c>
      <c r="W582" s="314"/>
      <c r="X582" s="314" t="str">
        <f>VLOOKUP(D582,代理总表!A:D,3,0)</f>
        <v>SOCO越南直播</v>
      </c>
      <c r="Y582" t="str">
        <f>VLOOKUP(D:D,代理总表!A:D,4,FALSE)</f>
        <v>SOCO越南直播ffvn66</v>
      </c>
      <c r="Z582">
        <f t="shared" si="27"/>
        <v>0</v>
      </c>
      <c r="AA582">
        <f t="shared" si="28"/>
        <v>16</v>
      </c>
      <c r="AB582">
        <f t="shared" si="29"/>
        <v>1</v>
      </c>
    </row>
    <row r="583" spans="1:28">
      <c r="A583" s="314" t="s">
        <v>2232</v>
      </c>
      <c r="B583" s="314" t="s">
        <v>2233</v>
      </c>
      <c r="C583" s="314">
        <v>17754586549</v>
      </c>
      <c r="D583" s="314" t="s">
        <v>594</v>
      </c>
      <c r="E583" s="314" t="s">
        <v>104</v>
      </c>
      <c r="F583" s="314" t="s">
        <v>1214</v>
      </c>
      <c r="G583" s="314" t="s">
        <v>106</v>
      </c>
      <c r="H583" s="314" t="s">
        <v>107</v>
      </c>
      <c r="I583" s="314" t="s">
        <v>108</v>
      </c>
      <c r="J583" s="314" t="s">
        <v>109</v>
      </c>
      <c r="K583" s="314">
        <v>1001.61</v>
      </c>
      <c r="L583" s="314">
        <v>1000</v>
      </c>
      <c r="M583" s="315">
        <v>45145.6716435185</v>
      </c>
      <c r="N583" s="314" t="s">
        <v>2234</v>
      </c>
      <c r="O583" s="314" t="s">
        <v>596</v>
      </c>
      <c r="P583" s="314" t="s">
        <v>112</v>
      </c>
      <c r="Q583" s="315">
        <v>45145.6814351852</v>
      </c>
      <c r="R583" s="315">
        <v>45146.2157407407</v>
      </c>
      <c r="S583" s="314" t="s">
        <v>2235</v>
      </c>
      <c r="T583" s="314" t="s">
        <v>1013</v>
      </c>
      <c r="U583" s="314" t="s">
        <v>2236</v>
      </c>
      <c r="V583" s="314" t="s">
        <v>114</v>
      </c>
      <c r="W583" s="314"/>
      <c r="X583" s="314" t="str">
        <f>VLOOKUP(D583,代理总表!A:D,3,0)</f>
        <v>zed</v>
      </c>
      <c r="Y583" t="str">
        <f>VLOOKUP(D:D,代理总表!A:D,4,FALSE)</f>
        <v>SEO</v>
      </c>
      <c r="Z583">
        <f t="shared" si="27"/>
        <v>1</v>
      </c>
      <c r="AA583">
        <f t="shared" si="28"/>
        <v>16</v>
      </c>
      <c r="AB583">
        <f t="shared" si="29"/>
        <v>1</v>
      </c>
    </row>
    <row r="584" spans="1:28">
      <c r="A584" s="314" t="s">
        <v>2237</v>
      </c>
      <c r="B584" s="314"/>
      <c r="C584" s="314"/>
      <c r="D584" s="314" t="s">
        <v>197</v>
      </c>
      <c r="E584" s="314" t="s">
        <v>117</v>
      </c>
      <c r="F584" s="314" t="s">
        <v>118</v>
      </c>
      <c r="G584" s="314" t="s">
        <v>108</v>
      </c>
      <c r="H584" s="314" t="s">
        <v>119</v>
      </c>
      <c r="I584" s="314" t="s">
        <v>108</v>
      </c>
      <c r="J584" s="314" t="s">
        <v>120</v>
      </c>
      <c r="K584" s="314">
        <v>0</v>
      </c>
      <c r="L584" s="314">
        <v>0</v>
      </c>
      <c r="M584" s="315">
        <v>45145.6709490741</v>
      </c>
      <c r="N584" s="314" t="s">
        <v>2238</v>
      </c>
      <c r="O584" s="314" t="s">
        <v>875</v>
      </c>
      <c r="P584" s="314" t="s">
        <v>112</v>
      </c>
      <c r="Q584" s="314" t="s">
        <v>123</v>
      </c>
      <c r="R584" s="315">
        <v>45145.6774768519</v>
      </c>
      <c r="S584" s="314" t="s">
        <v>2238</v>
      </c>
      <c r="T584" s="314" t="s">
        <v>907</v>
      </c>
      <c r="U584" s="314" t="s">
        <v>907</v>
      </c>
      <c r="V584" s="314" t="s">
        <v>114</v>
      </c>
      <c r="W584" s="314"/>
      <c r="X584" s="314" t="str">
        <f>VLOOKUP(D584,代理总表!A:D,3,0)</f>
        <v>雨燕直播-越</v>
      </c>
      <c r="Y584" t="str">
        <f>VLOOKUP(D:D,代理总表!A:D,4,FALSE)</f>
        <v>雨燕直播-越ffvn66</v>
      </c>
      <c r="Z584">
        <f t="shared" si="27"/>
        <v>0</v>
      </c>
      <c r="AA584">
        <f t="shared" si="28"/>
        <v>16</v>
      </c>
      <c r="AB584">
        <f t="shared" si="29"/>
        <v>1</v>
      </c>
    </row>
    <row r="585" spans="1:28">
      <c r="A585" s="314" t="s">
        <v>2239</v>
      </c>
      <c r="B585" s="314" t="s">
        <v>2240</v>
      </c>
      <c r="C585" s="314">
        <v>333564623</v>
      </c>
      <c r="D585" s="314" t="s">
        <v>143</v>
      </c>
      <c r="E585" s="314" t="s">
        <v>117</v>
      </c>
      <c r="F585" s="314" t="s">
        <v>118</v>
      </c>
      <c r="G585" s="314" t="s">
        <v>108</v>
      </c>
      <c r="H585" s="314" t="s">
        <v>119</v>
      </c>
      <c r="I585" s="314" t="s">
        <v>108</v>
      </c>
      <c r="J585" s="314" t="s">
        <v>120</v>
      </c>
      <c r="K585" s="314">
        <v>0</v>
      </c>
      <c r="L585" s="314">
        <v>0</v>
      </c>
      <c r="M585" s="315">
        <v>45145.67</v>
      </c>
      <c r="N585" s="314" t="s">
        <v>2241</v>
      </c>
      <c r="O585" s="314" t="s">
        <v>407</v>
      </c>
      <c r="P585" s="314" t="s">
        <v>112</v>
      </c>
      <c r="Q585" s="314" t="s">
        <v>123</v>
      </c>
      <c r="R585" s="315">
        <v>45145.8603587963</v>
      </c>
      <c r="S585" s="314" t="s">
        <v>2241</v>
      </c>
      <c r="T585" s="314" t="s">
        <v>131</v>
      </c>
      <c r="U585" s="314" t="s">
        <v>131</v>
      </c>
      <c r="V585" s="314" t="s">
        <v>114</v>
      </c>
      <c r="W585" s="314"/>
      <c r="X585" s="314" t="str">
        <f>VLOOKUP(D585,代理总表!A:D,3,0)</f>
        <v>雨燕直播-越</v>
      </c>
      <c r="Y585" t="str">
        <f>VLOOKUP(D:D,代理总表!A:D,4,FALSE)</f>
        <v>雨燕直播-越ffvn66</v>
      </c>
      <c r="Z585">
        <f t="shared" si="27"/>
        <v>0</v>
      </c>
      <c r="AA585">
        <f t="shared" si="28"/>
        <v>16</v>
      </c>
      <c r="AB585">
        <f t="shared" si="29"/>
        <v>1</v>
      </c>
    </row>
    <row r="586" spans="1:28">
      <c r="A586" s="314" t="s">
        <v>2242</v>
      </c>
      <c r="B586" s="314" t="s">
        <v>2243</v>
      </c>
      <c r="C586" s="314">
        <v>903389646</v>
      </c>
      <c r="D586" s="314" t="s">
        <v>143</v>
      </c>
      <c r="E586" s="314" t="s">
        <v>117</v>
      </c>
      <c r="F586" s="314" t="s">
        <v>144</v>
      </c>
      <c r="G586" s="314" t="s">
        <v>106</v>
      </c>
      <c r="H586" s="314" t="s">
        <v>107</v>
      </c>
      <c r="I586" s="314" t="s">
        <v>108</v>
      </c>
      <c r="J586" s="314" t="s">
        <v>120</v>
      </c>
      <c r="K586" s="314">
        <v>4350000</v>
      </c>
      <c r="L586" s="314">
        <v>4000000</v>
      </c>
      <c r="M586" s="315">
        <v>45145.6696412037</v>
      </c>
      <c r="N586" s="314" t="s">
        <v>2244</v>
      </c>
      <c r="O586" s="314" t="s">
        <v>407</v>
      </c>
      <c r="P586" s="314" t="s">
        <v>112</v>
      </c>
      <c r="Q586" s="315">
        <v>45146.3448611111</v>
      </c>
      <c r="R586" s="315">
        <v>45146.1850231482</v>
      </c>
      <c r="S586" s="314" t="s">
        <v>2245</v>
      </c>
      <c r="T586" s="314" t="s">
        <v>177</v>
      </c>
      <c r="U586" s="314" t="s">
        <v>907</v>
      </c>
      <c r="V586" s="314" t="s">
        <v>114</v>
      </c>
      <c r="W586" s="314"/>
      <c r="X586" s="314" t="str">
        <f>VLOOKUP(D586,代理总表!A:D,3,0)</f>
        <v>雨燕直播-越</v>
      </c>
      <c r="Y586" t="str">
        <f>VLOOKUP(D:D,代理总表!A:D,4,FALSE)</f>
        <v>雨燕直播-越ffvn66</v>
      </c>
      <c r="Z586">
        <f t="shared" si="27"/>
        <v>1</v>
      </c>
      <c r="AA586">
        <f t="shared" si="28"/>
        <v>16</v>
      </c>
      <c r="AB586">
        <f t="shared" si="29"/>
        <v>1</v>
      </c>
    </row>
    <row r="587" spans="1:28">
      <c r="A587" s="314" t="s">
        <v>2246</v>
      </c>
      <c r="B587" s="314" t="s">
        <v>2247</v>
      </c>
      <c r="C587" s="314">
        <v>975540008</v>
      </c>
      <c r="D587" s="314" t="s">
        <v>143</v>
      </c>
      <c r="E587" s="314" t="s">
        <v>117</v>
      </c>
      <c r="F587" s="314" t="s">
        <v>144</v>
      </c>
      <c r="G587" s="314" t="s">
        <v>106</v>
      </c>
      <c r="H587" s="314" t="s">
        <v>107</v>
      </c>
      <c r="I587" s="314" t="s">
        <v>108</v>
      </c>
      <c r="J587" s="314" t="s">
        <v>120</v>
      </c>
      <c r="K587" s="314">
        <v>100000</v>
      </c>
      <c r="L587" s="314">
        <v>500000</v>
      </c>
      <c r="M587" s="315">
        <v>45145.668912037</v>
      </c>
      <c r="N587" s="314" t="s">
        <v>2248</v>
      </c>
      <c r="O587" s="314" t="s">
        <v>407</v>
      </c>
      <c r="P587" s="314" t="s">
        <v>112</v>
      </c>
      <c r="Q587" s="315">
        <v>45145.6778356481</v>
      </c>
      <c r="R587" s="315">
        <v>45145.7076851852</v>
      </c>
      <c r="S587" s="314" t="s">
        <v>2248</v>
      </c>
      <c r="T587" s="314" t="s">
        <v>2249</v>
      </c>
      <c r="U587" s="314" t="s">
        <v>2249</v>
      </c>
      <c r="V587" s="314" t="s">
        <v>114</v>
      </c>
      <c r="W587" s="314"/>
      <c r="X587" s="314" t="str">
        <f>VLOOKUP(D587,代理总表!A:D,3,0)</f>
        <v>雨燕直播-越</v>
      </c>
      <c r="Y587" t="str">
        <f>VLOOKUP(D:D,代理总表!A:D,4,FALSE)</f>
        <v>雨燕直播-越ffvn66</v>
      </c>
      <c r="Z587">
        <f t="shared" si="27"/>
        <v>1</v>
      </c>
      <c r="AA587">
        <f t="shared" si="28"/>
        <v>16</v>
      </c>
      <c r="AB587">
        <f t="shared" si="29"/>
        <v>1</v>
      </c>
    </row>
    <row r="588" spans="1:28">
      <c r="A588" s="314" t="s">
        <v>2250</v>
      </c>
      <c r="B588" s="314"/>
      <c r="C588" s="314"/>
      <c r="D588" s="314" t="s">
        <v>116</v>
      </c>
      <c r="E588" s="314" t="s">
        <v>117</v>
      </c>
      <c r="F588" s="314" t="s">
        <v>118</v>
      </c>
      <c r="G588" s="314" t="s">
        <v>108</v>
      </c>
      <c r="H588" s="314" t="s">
        <v>119</v>
      </c>
      <c r="I588" s="314" t="s">
        <v>108</v>
      </c>
      <c r="J588" s="314" t="s">
        <v>120</v>
      </c>
      <c r="K588" s="314">
        <v>0</v>
      </c>
      <c r="L588" s="314">
        <v>0</v>
      </c>
      <c r="M588" s="315">
        <v>45145.6680555556</v>
      </c>
      <c r="N588" s="314" t="s">
        <v>2251</v>
      </c>
      <c r="O588" s="314" t="s">
        <v>122</v>
      </c>
      <c r="P588" s="314" t="s">
        <v>112</v>
      </c>
      <c r="Q588" s="314" t="s">
        <v>123</v>
      </c>
      <c r="R588" s="315">
        <v>45145.6716550926</v>
      </c>
      <c r="S588" s="314" t="s">
        <v>2251</v>
      </c>
      <c r="T588" s="314" t="s">
        <v>1072</v>
      </c>
      <c r="U588" s="314" t="s">
        <v>1072</v>
      </c>
      <c r="V588" s="314" t="s">
        <v>114</v>
      </c>
      <c r="W588" s="314"/>
      <c r="X588" s="314" t="str">
        <f>VLOOKUP(D588,代理总表!A:D,3,0)</f>
        <v>外部代理总线</v>
      </c>
      <c r="Y588" t="str">
        <f>VLOOKUP(D:D,代理总表!A:D,4,FALSE)</f>
        <v>外部代理总线zh0808</v>
      </c>
      <c r="Z588">
        <f t="shared" si="27"/>
        <v>0</v>
      </c>
      <c r="AA588">
        <f t="shared" si="28"/>
        <v>16</v>
      </c>
      <c r="AB588">
        <f t="shared" si="29"/>
        <v>1</v>
      </c>
    </row>
    <row r="589" spans="1:28">
      <c r="A589" s="314" t="s">
        <v>2252</v>
      </c>
      <c r="B589" s="314"/>
      <c r="C589" s="314">
        <v>938418594</v>
      </c>
      <c r="D589" s="314" t="s">
        <v>197</v>
      </c>
      <c r="E589" s="314" t="s">
        <v>117</v>
      </c>
      <c r="F589" s="314" t="s">
        <v>118</v>
      </c>
      <c r="G589" s="314" t="s">
        <v>108</v>
      </c>
      <c r="H589" s="314" t="s">
        <v>119</v>
      </c>
      <c r="I589" s="314" t="s">
        <v>108</v>
      </c>
      <c r="J589" s="314" t="s">
        <v>120</v>
      </c>
      <c r="K589" s="314">
        <v>0</v>
      </c>
      <c r="L589" s="314">
        <v>0</v>
      </c>
      <c r="M589" s="315">
        <v>45145.6673726852</v>
      </c>
      <c r="N589" s="314" t="s">
        <v>2253</v>
      </c>
      <c r="O589" s="314" t="s">
        <v>875</v>
      </c>
      <c r="P589" s="314" t="s">
        <v>112</v>
      </c>
      <c r="Q589" s="314" t="s">
        <v>123</v>
      </c>
      <c r="R589" s="315">
        <v>45145.6735416667</v>
      </c>
      <c r="S589" s="314" t="s">
        <v>2253</v>
      </c>
      <c r="T589" s="314" t="s">
        <v>907</v>
      </c>
      <c r="U589" s="314" t="s">
        <v>907</v>
      </c>
      <c r="V589" s="314" t="s">
        <v>114</v>
      </c>
      <c r="W589" s="314"/>
      <c r="X589" s="314" t="str">
        <f>VLOOKUP(D589,代理总表!A:D,3,0)</f>
        <v>雨燕直播-越</v>
      </c>
      <c r="Y589" t="str">
        <f>VLOOKUP(D:D,代理总表!A:D,4,FALSE)</f>
        <v>雨燕直播-越ffvn66</v>
      </c>
      <c r="Z589">
        <f t="shared" si="27"/>
        <v>0</v>
      </c>
      <c r="AA589">
        <f t="shared" si="28"/>
        <v>16</v>
      </c>
      <c r="AB589">
        <f t="shared" si="29"/>
        <v>1</v>
      </c>
    </row>
    <row r="590" spans="1:28">
      <c r="A590" s="314" t="s">
        <v>2254</v>
      </c>
      <c r="B590" s="314"/>
      <c r="C590" s="314">
        <v>908531500</v>
      </c>
      <c r="D590" s="314" t="s">
        <v>651</v>
      </c>
      <c r="E590" s="314" t="s">
        <v>117</v>
      </c>
      <c r="F590" s="314" t="s">
        <v>118</v>
      </c>
      <c r="G590" s="314" t="s">
        <v>108</v>
      </c>
      <c r="H590" s="314" t="s">
        <v>119</v>
      </c>
      <c r="I590" s="314" t="s">
        <v>108</v>
      </c>
      <c r="J590" s="314" t="s">
        <v>120</v>
      </c>
      <c r="K590" s="314">
        <v>0</v>
      </c>
      <c r="L590" s="314">
        <v>0</v>
      </c>
      <c r="M590" s="315">
        <v>45145.6672916667</v>
      </c>
      <c r="N590" s="314" t="s">
        <v>2255</v>
      </c>
      <c r="O590" s="314" t="s">
        <v>653</v>
      </c>
      <c r="P590" s="314" t="s">
        <v>112</v>
      </c>
      <c r="Q590" s="314" t="s">
        <v>123</v>
      </c>
      <c r="R590" s="315">
        <v>45145.6672916667</v>
      </c>
      <c r="S590" s="314" t="s">
        <v>2255</v>
      </c>
      <c r="T590" s="314" t="s">
        <v>131</v>
      </c>
      <c r="U590" s="314" t="s">
        <v>131</v>
      </c>
      <c r="V590" s="314" t="s">
        <v>114</v>
      </c>
      <c r="W590" s="314"/>
      <c r="X590" s="314" t="str">
        <f>VLOOKUP(D590,代理总表!A:D,3,0)</f>
        <v>雨燕直播-越</v>
      </c>
      <c r="Y590" t="str">
        <f>VLOOKUP(D:D,代理总表!A:D,4,FALSE)</f>
        <v>雨燕直播-越ffvn66</v>
      </c>
      <c r="Z590">
        <f t="shared" si="27"/>
        <v>0</v>
      </c>
      <c r="AA590">
        <f t="shared" si="28"/>
        <v>16</v>
      </c>
      <c r="AB590">
        <f t="shared" si="29"/>
        <v>1</v>
      </c>
    </row>
    <row r="591" spans="1:28">
      <c r="A591" s="314" t="s">
        <v>2256</v>
      </c>
      <c r="B591" s="314" t="s">
        <v>2257</v>
      </c>
      <c r="C591" s="314">
        <v>789169012</v>
      </c>
      <c r="D591" s="314" t="s">
        <v>137</v>
      </c>
      <c r="E591" s="314" t="s">
        <v>117</v>
      </c>
      <c r="F591" s="314" t="s">
        <v>144</v>
      </c>
      <c r="G591" s="314" t="s">
        <v>106</v>
      </c>
      <c r="H591" s="314" t="s">
        <v>107</v>
      </c>
      <c r="I591" s="314" t="s">
        <v>108</v>
      </c>
      <c r="J591" s="314" t="s">
        <v>120</v>
      </c>
      <c r="K591" s="314">
        <v>368000</v>
      </c>
      <c r="L591" s="314">
        <v>300000</v>
      </c>
      <c r="M591" s="315">
        <v>45145.6670949074</v>
      </c>
      <c r="N591" s="314" t="s">
        <v>2258</v>
      </c>
      <c r="O591" s="314" t="s">
        <v>139</v>
      </c>
      <c r="P591" s="314" t="s">
        <v>112</v>
      </c>
      <c r="Q591" s="315">
        <v>45145.6857638889</v>
      </c>
      <c r="R591" s="315">
        <v>45146.3582986111</v>
      </c>
      <c r="S591" s="314" t="s">
        <v>2259</v>
      </c>
      <c r="T591" s="314" t="s">
        <v>124</v>
      </c>
      <c r="U591" s="314" t="s">
        <v>216</v>
      </c>
      <c r="V591" s="314" t="s">
        <v>114</v>
      </c>
      <c r="W591" s="314"/>
      <c r="X591" s="314" t="str">
        <f>VLOOKUP(D591,代理总表!A:D,3,0)</f>
        <v>雨燕直播-越</v>
      </c>
      <c r="Y591" t="str">
        <f>VLOOKUP(D:D,代理总表!A:D,4,FALSE)</f>
        <v>雨燕直播-越ffvn66</v>
      </c>
      <c r="Z591">
        <f t="shared" si="27"/>
        <v>1</v>
      </c>
      <c r="AA591">
        <f t="shared" si="28"/>
        <v>16</v>
      </c>
      <c r="AB591">
        <f t="shared" si="29"/>
        <v>1</v>
      </c>
    </row>
    <row r="592" spans="1:28">
      <c r="A592" s="314" t="s">
        <v>2260</v>
      </c>
      <c r="B592" s="314" t="s">
        <v>2261</v>
      </c>
      <c r="C592" s="314">
        <v>968765596</v>
      </c>
      <c r="D592" s="314" t="s">
        <v>137</v>
      </c>
      <c r="E592" s="314" t="s">
        <v>117</v>
      </c>
      <c r="F592" s="314" t="s">
        <v>144</v>
      </c>
      <c r="G592" s="314" t="s">
        <v>106</v>
      </c>
      <c r="H592" s="314" t="s">
        <v>107</v>
      </c>
      <c r="I592" s="314" t="s">
        <v>108</v>
      </c>
      <c r="J592" s="314" t="s">
        <v>120</v>
      </c>
      <c r="K592" s="314">
        <v>100000</v>
      </c>
      <c r="L592" s="314">
        <v>800000</v>
      </c>
      <c r="M592" s="315">
        <v>45145.6670138889</v>
      </c>
      <c r="N592" s="314" t="s">
        <v>2262</v>
      </c>
      <c r="O592" s="314" t="s">
        <v>139</v>
      </c>
      <c r="P592" s="314" t="s">
        <v>112</v>
      </c>
      <c r="Q592" s="315">
        <v>45145.6761111111</v>
      </c>
      <c r="R592" s="315">
        <v>45146.1594097222</v>
      </c>
      <c r="S592" s="314" t="s">
        <v>2263</v>
      </c>
      <c r="T592" s="314" t="s">
        <v>124</v>
      </c>
      <c r="U592" s="314" t="s">
        <v>124</v>
      </c>
      <c r="V592" s="314" t="s">
        <v>114</v>
      </c>
      <c r="W592" s="314"/>
      <c r="X592" s="314" t="str">
        <f>VLOOKUP(D592,代理总表!A:D,3,0)</f>
        <v>雨燕直播-越</v>
      </c>
      <c r="Y592" t="str">
        <f>VLOOKUP(D:D,代理总表!A:D,4,FALSE)</f>
        <v>雨燕直播-越ffvn66</v>
      </c>
      <c r="Z592">
        <f t="shared" si="27"/>
        <v>1</v>
      </c>
      <c r="AA592">
        <f t="shared" si="28"/>
        <v>16</v>
      </c>
      <c r="AB592">
        <f t="shared" si="29"/>
        <v>1</v>
      </c>
    </row>
    <row r="593" spans="1:28">
      <c r="A593" s="314" t="s">
        <v>2264</v>
      </c>
      <c r="B593" s="314" t="s">
        <v>2265</v>
      </c>
      <c r="C593" s="314">
        <v>984370731</v>
      </c>
      <c r="D593" s="314" t="s">
        <v>143</v>
      </c>
      <c r="E593" s="314" t="s">
        <v>117</v>
      </c>
      <c r="F593" s="314" t="s">
        <v>144</v>
      </c>
      <c r="G593" s="314" t="s">
        <v>106</v>
      </c>
      <c r="H593" s="314" t="s">
        <v>107</v>
      </c>
      <c r="I593" s="314" t="s">
        <v>108</v>
      </c>
      <c r="J593" s="314" t="s">
        <v>120</v>
      </c>
      <c r="K593" s="314">
        <v>100000</v>
      </c>
      <c r="L593" s="314">
        <v>2000000</v>
      </c>
      <c r="M593" s="315">
        <v>45145.665474537</v>
      </c>
      <c r="N593" s="314" t="s">
        <v>2266</v>
      </c>
      <c r="O593" s="314" t="s">
        <v>146</v>
      </c>
      <c r="P593" s="314" t="s">
        <v>112</v>
      </c>
      <c r="Q593" s="315">
        <v>45145.6727662037</v>
      </c>
      <c r="R593" s="315">
        <v>45145.7746064815</v>
      </c>
      <c r="S593" s="314" t="s">
        <v>2267</v>
      </c>
      <c r="T593" s="314" t="s">
        <v>656</v>
      </c>
      <c r="U593" s="314" t="s">
        <v>177</v>
      </c>
      <c r="V593" s="314" t="s">
        <v>114</v>
      </c>
      <c r="W593" s="314"/>
      <c r="X593" s="314" t="str">
        <f>VLOOKUP(D593,代理总表!A:D,3,0)</f>
        <v>雨燕直播-越</v>
      </c>
      <c r="Y593" t="str">
        <f>VLOOKUP(D:D,代理总表!A:D,4,FALSE)</f>
        <v>雨燕直播-越ffvn66</v>
      </c>
      <c r="Z593">
        <f t="shared" si="27"/>
        <v>1</v>
      </c>
      <c r="AA593">
        <f t="shared" si="28"/>
        <v>15</v>
      </c>
      <c r="AB593">
        <f t="shared" si="29"/>
        <v>1</v>
      </c>
    </row>
    <row r="594" spans="1:28">
      <c r="A594" s="314" t="s">
        <v>2268</v>
      </c>
      <c r="B594" s="314" t="s">
        <v>2269</v>
      </c>
      <c r="C594" s="314">
        <v>862787152</v>
      </c>
      <c r="D594" s="314" t="s">
        <v>635</v>
      </c>
      <c r="E594" s="314" t="s">
        <v>117</v>
      </c>
      <c r="F594" s="314" t="s">
        <v>118</v>
      </c>
      <c r="G594" s="314" t="s">
        <v>108</v>
      </c>
      <c r="H594" s="314" t="s">
        <v>119</v>
      </c>
      <c r="I594" s="314" t="s">
        <v>108</v>
      </c>
      <c r="J594" s="314" t="s">
        <v>120</v>
      </c>
      <c r="K594" s="314">
        <v>0</v>
      </c>
      <c r="L594" s="314">
        <v>0</v>
      </c>
      <c r="M594" s="315">
        <v>45145.6653240741</v>
      </c>
      <c r="N594" s="314" t="s">
        <v>2270</v>
      </c>
      <c r="O594" s="314" t="s">
        <v>2271</v>
      </c>
      <c r="P594" s="314" t="s">
        <v>339</v>
      </c>
      <c r="Q594" s="314" t="s">
        <v>123</v>
      </c>
      <c r="R594" s="315">
        <v>45145.6653125</v>
      </c>
      <c r="S594" s="314" t="s">
        <v>2270</v>
      </c>
      <c r="T594" s="314" t="s">
        <v>1995</v>
      </c>
      <c r="U594" s="314" t="s">
        <v>1995</v>
      </c>
      <c r="V594" s="314" t="s">
        <v>114</v>
      </c>
      <c r="W594" s="314"/>
      <c r="X594" s="314" t="str">
        <f>VLOOKUP(D594,代理总表!A:D,3,0)</f>
        <v>外部代理总线</v>
      </c>
      <c r="Y594" t="str">
        <f>VLOOKUP(D:D,代理总表!A:D,4,FALSE)</f>
        <v>外部代理总线zh0808</v>
      </c>
      <c r="Z594">
        <f t="shared" si="27"/>
        <v>0</v>
      </c>
      <c r="AA594">
        <f t="shared" si="28"/>
        <v>15</v>
      </c>
      <c r="AB594">
        <f t="shared" si="29"/>
        <v>1</v>
      </c>
    </row>
    <row r="595" spans="1:28">
      <c r="A595" s="314" t="s">
        <v>2272</v>
      </c>
      <c r="B595" s="314"/>
      <c r="C595" s="314">
        <v>18195024246</v>
      </c>
      <c r="D595" s="314" t="s">
        <v>805</v>
      </c>
      <c r="E595" s="314" t="s">
        <v>104</v>
      </c>
      <c r="F595" s="314" t="s">
        <v>118</v>
      </c>
      <c r="G595" s="314" t="s">
        <v>108</v>
      </c>
      <c r="H595" s="314" t="s">
        <v>119</v>
      </c>
      <c r="I595" s="314" t="s">
        <v>108</v>
      </c>
      <c r="J595" s="314" t="s">
        <v>109</v>
      </c>
      <c r="K595" s="314">
        <v>0</v>
      </c>
      <c r="L595" s="314">
        <v>0</v>
      </c>
      <c r="M595" s="315">
        <v>45145.6651967593</v>
      </c>
      <c r="N595" s="314" t="s">
        <v>2273</v>
      </c>
      <c r="O595" s="314" t="s">
        <v>2008</v>
      </c>
      <c r="P595" s="314" t="s">
        <v>112</v>
      </c>
      <c r="Q595" s="314" t="s">
        <v>123</v>
      </c>
      <c r="R595" s="315">
        <v>45145.6651967593</v>
      </c>
      <c r="S595" s="314" t="s">
        <v>2273</v>
      </c>
      <c r="T595" s="314" t="s">
        <v>2274</v>
      </c>
      <c r="U595" s="314" t="s">
        <v>2274</v>
      </c>
      <c r="V595" s="314" t="s">
        <v>114</v>
      </c>
      <c r="W595" s="314"/>
      <c r="X595" s="314" t="str">
        <f>VLOOKUP(D595,代理总表!A:D,3,0)</f>
        <v>飞哥雨燕直播</v>
      </c>
      <c r="Y595" t="str">
        <f>VLOOKUP(D:D,代理总表!A:D,4,FALSE)</f>
        <v>飞哥雨燕直播ffmk88</v>
      </c>
      <c r="Z595">
        <f t="shared" si="27"/>
        <v>0</v>
      </c>
      <c r="AA595">
        <f t="shared" si="28"/>
        <v>15</v>
      </c>
      <c r="AB595">
        <f t="shared" si="29"/>
        <v>1</v>
      </c>
    </row>
    <row r="596" spans="1:28">
      <c r="A596" s="314" t="s">
        <v>2275</v>
      </c>
      <c r="B596" s="314" t="s">
        <v>2276</v>
      </c>
      <c r="C596" s="314">
        <v>914992416</v>
      </c>
      <c r="D596" s="314" t="s">
        <v>197</v>
      </c>
      <c r="E596" s="314" t="s">
        <v>117</v>
      </c>
      <c r="F596" s="314" t="s">
        <v>144</v>
      </c>
      <c r="G596" s="314" t="s">
        <v>106</v>
      </c>
      <c r="H596" s="314" t="s">
        <v>107</v>
      </c>
      <c r="I596" s="314" t="s">
        <v>108</v>
      </c>
      <c r="J596" s="314" t="s">
        <v>120</v>
      </c>
      <c r="K596" s="314">
        <v>100000</v>
      </c>
      <c r="L596" s="314">
        <v>500000</v>
      </c>
      <c r="M596" s="315">
        <v>45145.6647800926</v>
      </c>
      <c r="N596" s="314" t="s">
        <v>2277</v>
      </c>
      <c r="O596" s="314" t="s">
        <v>875</v>
      </c>
      <c r="P596" s="314" t="s">
        <v>112</v>
      </c>
      <c r="Q596" s="315">
        <v>45145.6750694444</v>
      </c>
      <c r="R596" s="315">
        <v>45146.1537731482</v>
      </c>
      <c r="S596" s="314" t="s">
        <v>2277</v>
      </c>
      <c r="T596" s="314" t="s">
        <v>124</v>
      </c>
      <c r="U596" s="314" t="s">
        <v>124</v>
      </c>
      <c r="V596" s="314" t="s">
        <v>114</v>
      </c>
      <c r="W596" s="314"/>
      <c r="X596" s="314" t="str">
        <f>VLOOKUP(D596,代理总表!A:D,3,0)</f>
        <v>雨燕直播-越</v>
      </c>
      <c r="Y596" t="str">
        <f>VLOOKUP(D:D,代理总表!A:D,4,FALSE)</f>
        <v>雨燕直播-越ffvn66</v>
      </c>
      <c r="Z596">
        <f t="shared" si="27"/>
        <v>1</v>
      </c>
      <c r="AA596">
        <f t="shared" si="28"/>
        <v>15</v>
      </c>
      <c r="AB596">
        <f t="shared" si="29"/>
        <v>1</v>
      </c>
    </row>
    <row r="597" spans="1:28">
      <c r="A597" s="314" t="s">
        <v>2278</v>
      </c>
      <c r="B597" s="314" t="s">
        <v>2279</v>
      </c>
      <c r="C597" s="314">
        <v>13756589150</v>
      </c>
      <c r="D597" s="314" t="s">
        <v>294</v>
      </c>
      <c r="E597" s="314" t="s">
        <v>104</v>
      </c>
      <c r="F597" s="314" t="s">
        <v>149</v>
      </c>
      <c r="G597" s="314" t="s">
        <v>108</v>
      </c>
      <c r="H597" s="314" t="s">
        <v>119</v>
      </c>
      <c r="I597" s="314" t="s">
        <v>108</v>
      </c>
      <c r="J597" s="314" t="s">
        <v>109</v>
      </c>
      <c r="K597" s="314">
        <v>0</v>
      </c>
      <c r="L597" s="314">
        <v>0</v>
      </c>
      <c r="M597" s="315">
        <v>45145.6638773148</v>
      </c>
      <c r="N597" s="314" t="s">
        <v>2280</v>
      </c>
      <c r="O597" s="314" t="s">
        <v>297</v>
      </c>
      <c r="P597" s="314" t="s">
        <v>161</v>
      </c>
      <c r="Q597" s="314" t="s">
        <v>123</v>
      </c>
      <c r="R597" s="315">
        <v>45145.676412037</v>
      </c>
      <c r="S597" s="314" t="s">
        <v>2280</v>
      </c>
      <c r="T597" s="314" t="s">
        <v>2281</v>
      </c>
      <c r="U597" s="314" t="s">
        <v>2281</v>
      </c>
      <c r="V597" s="314" t="s">
        <v>114</v>
      </c>
      <c r="W597" s="314"/>
      <c r="X597" s="314" t="str">
        <f>VLOOKUP(D597,代理总表!A:D,3,0)</f>
        <v>DK</v>
      </c>
      <c r="Y597" t="str">
        <f>VLOOKUP(D:D,代理总表!A:D,4,FALSE)</f>
        <v>SEO</v>
      </c>
      <c r="Z597">
        <f t="shared" si="27"/>
        <v>0</v>
      </c>
      <c r="AA597">
        <f t="shared" si="28"/>
        <v>15</v>
      </c>
      <c r="AB597">
        <f t="shared" si="29"/>
        <v>1</v>
      </c>
    </row>
    <row r="598" spans="1:28">
      <c r="A598" s="314" t="s">
        <v>2282</v>
      </c>
      <c r="B598" s="314" t="s">
        <v>2283</v>
      </c>
      <c r="C598" s="314">
        <v>15377467830</v>
      </c>
      <c r="D598" s="314" t="s">
        <v>558</v>
      </c>
      <c r="E598" s="314" t="s">
        <v>104</v>
      </c>
      <c r="F598" s="314" t="s">
        <v>118</v>
      </c>
      <c r="G598" s="314" t="s">
        <v>108</v>
      </c>
      <c r="H598" s="314" t="s">
        <v>119</v>
      </c>
      <c r="I598" s="314" t="s">
        <v>108</v>
      </c>
      <c r="J598" s="314" t="s">
        <v>109</v>
      </c>
      <c r="K598" s="314">
        <v>0</v>
      </c>
      <c r="L598" s="314">
        <v>0</v>
      </c>
      <c r="M598" s="315">
        <v>45145.6629282407</v>
      </c>
      <c r="N598" s="314" t="s">
        <v>2284</v>
      </c>
      <c r="O598" s="314" t="s">
        <v>2285</v>
      </c>
      <c r="P598" s="314" t="s">
        <v>339</v>
      </c>
      <c r="Q598" s="314" t="s">
        <v>123</v>
      </c>
      <c r="R598" s="315">
        <v>45145.6834953704</v>
      </c>
      <c r="S598" s="314" t="s">
        <v>2284</v>
      </c>
      <c r="T598" s="314" t="s">
        <v>2286</v>
      </c>
      <c r="U598" s="314" t="s">
        <v>2286</v>
      </c>
      <c r="V598" s="314" t="s">
        <v>114</v>
      </c>
      <c r="W598" s="314"/>
      <c r="X598" s="314" t="str">
        <f>VLOOKUP(D598,代理总表!A:D,3,0)</f>
        <v>雨燕直播</v>
      </c>
      <c r="Y598" t="str">
        <f>VLOOKUP(D:D,代理总表!A:D,4,FALSE)</f>
        <v>雨燕直播zzzb888</v>
      </c>
      <c r="Z598">
        <f t="shared" si="27"/>
        <v>0</v>
      </c>
      <c r="AA598">
        <f t="shared" si="28"/>
        <v>15</v>
      </c>
      <c r="AB598">
        <f t="shared" si="29"/>
        <v>1</v>
      </c>
    </row>
    <row r="599" spans="1:28">
      <c r="A599" s="314" t="s">
        <v>2287</v>
      </c>
      <c r="B599" s="314" t="s">
        <v>2288</v>
      </c>
      <c r="C599" s="314">
        <v>879440953</v>
      </c>
      <c r="D599" s="314" t="s">
        <v>651</v>
      </c>
      <c r="E599" s="314" t="s">
        <v>117</v>
      </c>
      <c r="F599" s="314" t="s">
        <v>118</v>
      </c>
      <c r="G599" s="314" t="s">
        <v>108</v>
      </c>
      <c r="H599" s="314" t="s">
        <v>119</v>
      </c>
      <c r="I599" s="314" t="s">
        <v>108</v>
      </c>
      <c r="J599" s="314" t="s">
        <v>120</v>
      </c>
      <c r="K599" s="314">
        <v>0</v>
      </c>
      <c r="L599" s="314">
        <v>0</v>
      </c>
      <c r="M599" s="315">
        <v>45145.6619328704</v>
      </c>
      <c r="N599" s="314" t="s">
        <v>2289</v>
      </c>
      <c r="O599" s="314" t="s">
        <v>653</v>
      </c>
      <c r="P599" s="314" t="s">
        <v>112</v>
      </c>
      <c r="Q599" s="314" t="s">
        <v>123</v>
      </c>
      <c r="R599" s="315">
        <v>45145.6651041667</v>
      </c>
      <c r="S599" s="314" t="s">
        <v>2289</v>
      </c>
      <c r="T599" s="314" t="s">
        <v>140</v>
      </c>
      <c r="U599" s="314" t="s">
        <v>140</v>
      </c>
      <c r="V599" s="314" t="s">
        <v>114</v>
      </c>
      <c r="W599" s="314"/>
      <c r="X599" s="314" t="str">
        <f>VLOOKUP(D599,代理总表!A:D,3,0)</f>
        <v>雨燕直播-越</v>
      </c>
      <c r="Y599" t="str">
        <f>VLOOKUP(D:D,代理总表!A:D,4,FALSE)</f>
        <v>雨燕直播-越ffvn66</v>
      </c>
      <c r="Z599">
        <f t="shared" si="27"/>
        <v>0</v>
      </c>
      <c r="AA599">
        <f t="shared" si="28"/>
        <v>15</v>
      </c>
      <c r="AB599">
        <f t="shared" si="29"/>
        <v>1</v>
      </c>
    </row>
    <row r="600" spans="1:28">
      <c r="A600" s="314" t="s">
        <v>2290</v>
      </c>
      <c r="B600" s="314" t="s">
        <v>2291</v>
      </c>
      <c r="C600" s="314">
        <v>399249205</v>
      </c>
      <c r="D600" s="314" t="s">
        <v>685</v>
      </c>
      <c r="E600" s="314" t="s">
        <v>117</v>
      </c>
      <c r="F600" s="314" t="s">
        <v>118</v>
      </c>
      <c r="G600" s="314" t="s">
        <v>108</v>
      </c>
      <c r="H600" s="314" t="s">
        <v>119</v>
      </c>
      <c r="I600" s="314" t="s">
        <v>108</v>
      </c>
      <c r="J600" s="314" t="s">
        <v>120</v>
      </c>
      <c r="K600" s="314">
        <v>0</v>
      </c>
      <c r="L600" s="314">
        <v>0</v>
      </c>
      <c r="M600" s="315">
        <v>45145.6614583333</v>
      </c>
      <c r="N600" s="314" t="s">
        <v>2292</v>
      </c>
      <c r="O600" s="314" t="s">
        <v>950</v>
      </c>
      <c r="P600" s="314" t="s">
        <v>112</v>
      </c>
      <c r="Q600" s="314" t="s">
        <v>123</v>
      </c>
      <c r="R600" s="315">
        <v>45145.6643865741</v>
      </c>
      <c r="S600" s="314" t="s">
        <v>2292</v>
      </c>
      <c r="T600" s="314" t="s">
        <v>124</v>
      </c>
      <c r="U600" s="314" t="s">
        <v>124</v>
      </c>
      <c r="V600" s="314" t="s">
        <v>114</v>
      </c>
      <c r="W600" s="314"/>
      <c r="X600" s="314" t="e">
        <f>VLOOKUP(D600,代理总表!A:D,3,0)</f>
        <v>#N/A</v>
      </c>
      <c r="Y600" t="e">
        <f>VLOOKUP(D:D,代理总表!A:D,4,FALSE)</f>
        <v>#N/A</v>
      </c>
      <c r="Z600">
        <f t="shared" si="27"/>
        <v>0</v>
      </c>
      <c r="AA600">
        <f t="shared" si="28"/>
        <v>15</v>
      </c>
      <c r="AB600">
        <f t="shared" si="29"/>
        <v>1</v>
      </c>
    </row>
    <row r="601" spans="1:28">
      <c r="A601" s="314" t="s">
        <v>2293</v>
      </c>
      <c r="B601" s="314" t="s">
        <v>2294</v>
      </c>
      <c r="C601" s="314">
        <v>817112200</v>
      </c>
      <c r="D601" s="314" t="s">
        <v>137</v>
      </c>
      <c r="E601" s="314" t="s">
        <v>117</v>
      </c>
      <c r="F601" s="314" t="s">
        <v>144</v>
      </c>
      <c r="G601" s="314" t="s">
        <v>106</v>
      </c>
      <c r="H601" s="314" t="s">
        <v>107</v>
      </c>
      <c r="I601" s="314" t="s">
        <v>108</v>
      </c>
      <c r="J601" s="314" t="s">
        <v>120</v>
      </c>
      <c r="K601" s="314">
        <v>800000</v>
      </c>
      <c r="L601" s="314">
        <v>0</v>
      </c>
      <c r="M601" s="315">
        <v>45145.6613657407</v>
      </c>
      <c r="N601" s="314" t="s">
        <v>2295</v>
      </c>
      <c r="O601" s="314" t="s">
        <v>139</v>
      </c>
      <c r="P601" s="314" t="s">
        <v>112</v>
      </c>
      <c r="Q601" s="315">
        <v>45145.6835416667</v>
      </c>
      <c r="R601" s="315">
        <v>45145.742337963</v>
      </c>
      <c r="S601" s="314" t="s">
        <v>2296</v>
      </c>
      <c r="T601" s="314" t="s">
        <v>849</v>
      </c>
      <c r="U601" s="314" t="s">
        <v>2297</v>
      </c>
      <c r="V601" s="314" t="s">
        <v>114</v>
      </c>
      <c r="W601" s="314"/>
      <c r="X601" s="314" t="str">
        <f>VLOOKUP(D601,代理总表!A:D,3,0)</f>
        <v>雨燕直播-越</v>
      </c>
      <c r="Y601" t="str">
        <f>VLOOKUP(D:D,代理总表!A:D,4,FALSE)</f>
        <v>雨燕直播-越ffvn66</v>
      </c>
      <c r="Z601">
        <f t="shared" si="27"/>
        <v>1</v>
      </c>
      <c r="AA601">
        <f t="shared" si="28"/>
        <v>15</v>
      </c>
      <c r="AB601">
        <f t="shared" si="29"/>
        <v>1</v>
      </c>
    </row>
    <row r="602" spans="1:28">
      <c r="A602" s="314" t="s">
        <v>2298</v>
      </c>
      <c r="B602" s="314" t="s">
        <v>2299</v>
      </c>
      <c r="C602" s="314">
        <v>936243500</v>
      </c>
      <c r="D602" s="314" t="s">
        <v>1021</v>
      </c>
      <c r="E602" s="314" t="s">
        <v>117</v>
      </c>
      <c r="F602" s="314" t="s">
        <v>144</v>
      </c>
      <c r="G602" s="314" t="s">
        <v>106</v>
      </c>
      <c r="H602" s="314" t="s">
        <v>107</v>
      </c>
      <c r="I602" s="314" t="s">
        <v>108</v>
      </c>
      <c r="J602" s="314" t="s">
        <v>120</v>
      </c>
      <c r="K602" s="314">
        <v>10900000</v>
      </c>
      <c r="L602" s="314">
        <v>10300000</v>
      </c>
      <c r="M602" s="315">
        <v>45145.6612615741</v>
      </c>
      <c r="N602" s="314" t="s">
        <v>2300</v>
      </c>
      <c r="O602" s="314" t="s">
        <v>2301</v>
      </c>
      <c r="P602" s="314" t="s">
        <v>112</v>
      </c>
      <c r="Q602" s="315">
        <v>45145.9012847222</v>
      </c>
      <c r="R602" s="315">
        <v>45146.0007407407</v>
      </c>
      <c r="S602" s="314" t="s">
        <v>2302</v>
      </c>
      <c r="T602" s="314" t="s">
        <v>131</v>
      </c>
      <c r="U602" s="314" t="s">
        <v>177</v>
      </c>
      <c r="V602" s="314" t="s">
        <v>114</v>
      </c>
      <c r="W602" s="314"/>
      <c r="X602" s="314" t="str">
        <f>VLOOKUP(D602,代理总表!A:D,3,0)</f>
        <v>SOCO越南直播</v>
      </c>
      <c r="Y602" t="str">
        <f>VLOOKUP(D:D,代理总表!A:D,4,FALSE)</f>
        <v>SOCO越南直播ffvn66</v>
      </c>
      <c r="Z602">
        <f t="shared" si="27"/>
        <v>1</v>
      </c>
      <c r="AA602">
        <f t="shared" si="28"/>
        <v>15</v>
      </c>
      <c r="AB602">
        <f t="shared" si="29"/>
        <v>1</v>
      </c>
    </row>
    <row r="603" spans="1:28">
      <c r="A603" s="314" t="s">
        <v>2303</v>
      </c>
      <c r="B603" s="314"/>
      <c r="C603" s="314"/>
      <c r="D603" s="314" t="s">
        <v>370</v>
      </c>
      <c r="E603" s="314" t="s">
        <v>104</v>
      </c>
      <c r="F603" s="314" t="s">
        <v>118</v>
      </c>
      <c r="G603" s="314" t="s">
        <v>108</v>
      </c>
      <c r="H603" s="314" t="s">
        <v>119</v>
      </c>
      <c r="I603" s="314" t="s">
        <v>108</v>
      </c>
      <c r="J603" s="314" t="s">
        <v>109</v>
      </c>
      <c r="K603" s="314">
        <v>0</v>
      </c>
      <c r="L603" s="314">
        <v>0</v>
      </c>
      <c r="M603" s="315">
        <v>45145.6610532407</v>
      </c>
      <c r="N603" s="314" t="s">
        <v>2304</v>
      </c>
      <c r="O603" s="314" t="s">
        <v>2305</v>
      </c>
      <c r="P603" s="314" t="s">
        <v>339</v>
      </c>
      <c r="Q603" s="314" t="s">
        <v>123</v>
      </c>
      <c r="R603" s="315">
        <v>45145.6610416667</v>
      </c>
      <c r="S603" s="314" t="s">
        <v>2304</v>
      </c>
      <c r="T603" s="314" t="s">
        <v>2306</v>
      </c>
      <c r="U603" s="314" t="s">
        <v>2306</v>
      </c>
      <c r="V603" s="314" t="s">
        <v>114</v>
      </c>
      <c r="W603" s="314"/>
      <c r="X603" s="314" t="str">
        <f>VLOOKUP(D603,代理总表!A:D,3,0)</f>
        <v>GT-骨头</v>
      </c>
      <c r="Y603" t="str">
        <f>VLOOKUP(D:D,代理总表!A:D,4,FALSE)</f>
        <v>GT-骨头gt6677</v>
      </c>
      <c r="Z603">
        <f t="shared" si="27"/>
        <v>0</v>
      </c>
      <c r="AA603">
        <f t="shared" si="28"/>
        <v>15</v>
      </c>
      <c r="AB603">
        <f t="shared" si="29"/>
        <v>1</v>
      </c>
    </row>
    <row r="604" spans="1:28">
      <c r="A604" s="314" t="s">
        <v>2307</v>
      </c>
      <c r="B604" s="314" t="s">
        <v>2308</v>
      </c>
      <c r="C604" s="314">
        <v>915874756</v>
      </c>
      <c r="D604" s="314" t="s">
        <v>224</v>
      </c>
      <c r="E604" s="314" t="s">
        <v>117</v>
      </c>
      <c r="F604" s="314" t="s">
        <v>144</v>
      </c>
      <c r="G604" s="314" t="s">
        <v>106</v>
      </c>
      <c r="H604" s="314" t="s">
        <v>107</v>
      </c>
      <c r="I604" s="314" t="s">
        <v>108</v>
      </c>
      <c r="J604" s="314" t="s">
        <v>120</v>
      </c>
      <c r="K604" s="314">
        <v>380000</v>
      </c>
      <c r="L604" s="314">
        <v>300000</v>
      </c>
      <c r="M604" s="315">
        <v>45145.6604398148</v>
      </c>
      <c r="N604" s="314" t="s">
        <v>2309</v>
      </c>
      <c r="O604" s="314" t="s">
        <v>226</v>
      </c>
      <c r="P604" s="314" t="s">
        <v>112</v>
      </c>
      <c r="Q604" s="315">
        <v>45145.6667708333</v>
      </c>
      <c r="R604" s="315">
        <v>45145.7940509259</v>
      </c>
      <c r="S604" s="314" t="s">
        <v>2310</v>
      </c>
      <c r="T604" s="314" t="s">
        <v>131</v>
      </c>
      <c r="U604" s="314" t="s">
        <v>131</v>
      </c>
      <c r="V604" s="314" t="s">
        <v>114</v>
      </c>
      <c r="W604" s="314"/>
      <c r="X604" s="314" t="str">
        <f>VLOOKUP(D604,代理总表!A:D,3,0)</f>
        <v>雨燕直播-越</v>
      </c>
      <c r="Y604" t="str">
        <f>VLOOKUP(D:D,代理总表!A:D,4,FALSE)</f>
        <v>雨燕直播-越ffvn66</v>
      </c>
      <c r="Z604">
        <f t="shared" si="27"/>
        <v>1</v>
      </c>
      <c r="AA604">
        <f t="shared" si="28"/>
        <v>15</v>
      </c>
      <c r="AB604">
        <f t="shared" si="29"/>
        <v>1</v>
      </c>
    </row>
    <row r="605" spans="1:28">
      <c r="A605" s="314" t="s">
        <v>2311</v>
      </c>
      <c r="B605" s="314" t="s">
        <v>2312</v>
      </c>
      <c r="C605" s="314">
        <v>969511396</v>
      </c>
      <c r="D605" s="314" t="s">
        <v>143</v>
      </c>
      <c r="E605" s="314" t="s">
        <v>117</v>
      </c>
      <c r="F605" s="314" t="s">
        <v>144</v>
      </c>
      <c r="G605" s="314" t="s">
        <v>106</v>
      </c>
      <c r="H605" s="314" t="s">
        <v>107</v>
      </c>
      <c r="I605" s="314" t="s">
        <v>108</v>
      </c>
      <c r="J605" s="314" t="s">
        <v>120</v>
      </c>
      <c r="K605" s="314">
        <v>400000</v>
      </c>
      <c r="L605" s="314">
        <v>200000</v>
      </c>
      <c r="M605" s="315">
        <v>45145.6604398148</v>
      </c>
      <c r="N605" s="314" t="s">
        <v>2313</v>
      </c>
      <c r="O605" s="314" t="s">
        <v>407</v>
      </c>
      <c r="P605" s="314" t="s">
        <v>112</v>
      </c>
      <c r="Q605" s="315">
        <v>45145.690787037</v>
      </c>
      <c r="R605" s="315">
        <v>45146.3116550926</v>
      </c>
      <c r="S605" s="314" t="s">
        <v>2314</v>
      </c>
      <c r="T605" s="314" t="s">
        <v>233</v>
      </c>
      <c r="U605" s="314" t="s">
        <v>1334</v>
      </c>
      <c r="V605" s="314" t="s">
        <v>114</v>
      </c>
      <c r="W605" s="314"/>
      <c r="X605" s="314" t="str">
        <f>VLOOKUP(D605,代理总表!A:D,3,0)</f>
        <v>雨燕直播-越</v>
      </c>
      <c r="Y605" t="str">
        <f>VLOOKUP(D:D,代理总表!A:D,4,FALSE)</f>
        <v>雨燕直播-越ffvn66</v>
      </c>
      <c r="Z605">
        <f t="shared" si="27"/>
        <v>1</v>
      </c>
      <c r="AA605">
        <f t="shared" si="28"/>
        <v>15</v>
      </c>
      <c r="AB605">
        <f t="shared" si="29"/>
        <v>1</v>
      </c>
    </row>
    <row r="606" spans="1:28">
      <c r="A606" s="314" t="s">
        <v>2315</v>
      </c>
      <c r="B606" s="314" t="s">
        <v>2316</v>
      </c>
      <c r="C606" s="314">
        <v>13420277782</v>
      </c>
      <c r="D606" s="314" t="s">
        <v>148</v>
      </c>
      <c r="E606" s="314" t="s">
        <v>104</v>
      </c>
      <c r="F606" s="314" t="s">
        <v>149</v>
      </c>
      <c r="G606" s="314" t="s">
        <v>108</v>
      </c>
      <c r="H606" s="314" t="s">
        <v>119</v>
      </c>
      <c r="I606" s="314" t="s">
        <v>108</v>
      </c>
      <c r="J606" s="314" t="s">
        <v>109</v>
      </c>
      <c r="K606" s="314">
        <v>0</v>
      </c>
      <c r="L606" s="314">
        <v>0</v>
      </c>
      <c r="M606" s="315">
        <v>45145.6601273148</v>
      </c>
      <c r="N606" s="314" t="s">
        <v>2317</v>
      </c>
      <c r="O606" s="314" t="s">
        <v>585</v>
      </c>
      <c r="P606" s="314" t="s">
        <v>112</v>
      </c>
      <c r="Q606" s="314" t="s">
        <v>123</v>
      </c>
      <c r="R606" s="315">
        <v>45145.6601273148</v>
      </c>
      <c r="S606" s="314" t="s">
        <v>2317</v>
      </c>
      <c r="T606" s="314" t="s">
        <v>152</v>
      </c>
      <c r="U606" s="314" t="s">
        <v>152</v>
      </c>
      <c r="V606" s="314" t="s">
        <v>114</v>
      </c>
      <c r="W606" s="314"/>
      <c r="X606" s="314" t="str">
        <f>VLOOKUP(D606,代理总表!A:D,3,0)</f>
        <v>martin</v>
      </c>
      <c r="Y606" t="str">
        <f>VLOOKUP(D:D,代理总表!A:D,4,FALSE)</f>
        <v>SEO</v>
      </c>
      <c r="Z606">
        <f t="shared" si="27"/>
        <v>0</v>
      </c>
      <c r="AA606">
        <f t="shared" si="28"/>
        <v>15</v>
      </c>
      <c r="AB606">
        <f t="shared" si="29"/>
        <v>1</v>
      </c>
    </row>
    <row r="607" spans="1:28">
      <c r="A607" s="314" t="s">
        <v>2318</v>
      </c>
      <c r="B607" s="314"/>
      <c r="C607" s="314">
        <v>902032007</v>
      </c>
      <c r="D607" s="314" t="s">
        <v>103</v>
      </c>
      <c r="E607" s="314" t="s">
        <v>117</v>
      </c>
      <c r="F607" s="314" t="s">
        <v>118</v>
      </c>
      <c r="G607" s="314" t="s">
        <v>108</v>
      </c>
      <c r="H607" s="314" t="s">
        <v>119</v>
      </c>
      <c r="I607" s="314" t="s">
        <v>108</v>
      </c>
      <c r="J607" s="314" t="s">
        <v>120</v>
      </c>
      <c r="K607" s="314">
        <v>0</v>
      </c>
      <c r="L607" s="314">
        <v>0</v>
      </c>
      <c r="M607" s="315">
        <v>45145.6601157407</v>
      </c>
      <c r="N607" s="314" t="s">
        <v>2183</v>
      </c>
      <c r="O607" s="314" t="s">
        <v>582</v>
      </c>
      <c r="P607" s="314" t="s">
        <v>208</v>
      </c>
      <c r="Q607" s="314" t="s">
        <v>123</v>
      </c>
      <c r="R607" s="315">
        <v>45145.9993055556</v>
      </c>
      <c r="S607" s="314" t="s">
        <v>2184</v>
      </c>
      <c r="T607" s="314" t="s">
        <v>2185</v>
      </c>
      <c r="U607" s="314" t="s">
        <v>124</v>
      </c>
      <c r="V607" s="314" t="s">
        <v>114</v>
      </c>
      <c r="W607" s="314"/>
      <c r="X607" s="314" t="str">
        <f>VLOOKUP(D607,代理总表!A:D,3,0)</f>
        <v>官网</v>
      </c>
      <c r="Y607" t="str">
        <f>VLOOKUP(D:D,代理总表!A:D,4,FALSE)</f>
        <v>官网</v>
      </c>
      <c r="Z607">
        <f t="shared" si="27"/>
        <v>0</v>
      </c>
      <c r="AA607">
        <f t="shared" si="28"/>
        <v>15</v>
      </c>
      <c r="AB607">
        <f t="shared" si="29"/>
        <v>1</v>
      </c>
    </row>
    <row r="608" spans="1:28">
      <c r="A608" s="314" t="s">
        <v>2319</v>
      </c>
      <c r="B608" s="314"/>
      <c r="C608" s="314">
        <v>13426404964</v>
      </c>
      <c r="D608" s="314" t="s">
        <v>103</v>
      </c>
      <c r="E608" s="314" t="s">
        <v>104</v>
      </c>
      <c r="F608" s="314" t="s">
        <v>118</v>
      </c>
      <c r="G608" s="314" t="s">
        <v>108</v>
      </c>
      <c r="H608" s="314" t="s">
        <v>119</v>
      </c>
      <c r="I608" s="314" t="s">
        <v>108</v>
      </c>
      <c r="J608" s="314" t="s">
        <v>109</v>
      </c>
      <c r="K608" s="314">
        <v>0</v>
      </c>
      <c r="L608" s="314">
        <v>0</v>
      </c>
      <c r="M608" s="315">
        <v>45145.6597916667</v>
      </c>
      <c r="N608" s="314" t="s">
        <v>2320</v>
      </c>
      <c r="O608" s="314" t="s">
        <v>582</v>
      </c>
      <c r="P608" s="314" t="s">
        <v>208</v>
      </c>
      <c r="Q608" s="314" t="s">
        <v>123</v>
      </c>
      <c r="R608" s="315">
        <v>45145.6597800926</v>
      </c>
      <c r="S608" s="314" t="s">
        <v>2320</v>
      </c>
      <c r="T608" s="314" t="s">
        <v>2274</v>
      </c>
      <c r="U608" s="314" t="s">
        <v>2274</v>
      </c>
      <c r="V608" s="314" t="s">
        <v>114</v>
      </c>
      <c r="W608" s="314"/>
      <c r="X608" s="314" t="str">
        <f>VLOOKUP(D608,代理总表!A:D,3,0)</f>
        <v>官网</v>
      </c>
      <c r="Y608" t="str">
        <f>VLOOKUP(D:D,代理总表!A:D,4,FALSE)</f>
        <v>官网</v>
      </c>
      <c r="Z608">
        <f t="shared" si="27"/>
        <v>0</v>
      </c>
      <c r="AA608">
        <f t="shared" si="28"/>
        <v>15</v>
      </c>
      <c r="AB608">
        <f t="shared" si="29"/>
        <v>1</v>
      </c>
    </row>
    <row r="609" spans="1:28">
      <c r="A609" s="314" t="s">
        <v>2321</v>
      </c>
      <c r="B609" s="314"/>
      <c r="C609" s="314">
        <v>944668558</v>
      </c>
      <c r="D609" s="314" t="s">
        <v>143</v>
      </c>
      <c r="E609" s="314" t="s">
        <v>117</v>
      </c>
      <c r="F609" s="314" t="s">
        <v>118</v>
      </c>
      <c r="G609" s="314" t="s">
        <v>108</v>
      </c>
      <c r="H609" s="314" t="s">
        <v>119</v>
      </c>
      <c r="I609" s="314" t="s">
        <v>108</v>
      </c>
      <c r="J609" s="314" t="s">
        <v>120</v>
      </c>
      <c r="K609" s="314">
        <v>0</v>
      </c>
      <c r="L609" s="314">
        <v>0</v>
      </c>
      <c r="M609" s="315">
        <v>45145.6594560185</v>
      </c>
      <c r="N609" s="314" t="s">
        <v>2322</v>
      </c>
      <c r="O609" s="314" t="s">
        <v>146</v>
      </c>
      <c r="P609" s="314" t="s">
        <v>112</v>
      </c>
      <c r="Q609" s="314" t="s">
        <v>123</v>
      </c>
      <c r="R609" s="315">
        <v>45145.6647916667</v>
      </c>
      <c r="S609" s="314" t="s">
        <v>2322</v>
      </c>
      <c r="T609" s="314" t="s">
        <v>124</v>
      </c>
      <c r="U609" s="314" t="s">
        <v>124</v>
      </c>
      <c r="V609" s="314" t="s">
        <v>114</v>
      </c>
      <c r="W609" s="314"/>
      <c r="X609" s="314" t="str">
        <f>VLOOKUP(D609,代理总表!A:D,3,0)</f>
        <v>雨燕直播-越</v>
      </c>
      <c r="Y609" t="str">
        <f>VLOOKUP(D:D,代理总表!A:D,4,FALSE)</f>
        <v>雨燕直播-越ffvn66</v>
      </c>
      <c r="Z609">
        <f t="shared" si="27"/>
        <v>0</v>
      </c>
      <c r="AA609">
        <f t="shared" si="28"/>
        <v>15</v>
      </c>
      <c r="AB609">
        <f t="shared" si="29"/>
        <v>1</v>
      </c>
    </row>
    <row r="610" spans="1:28">
      <c r="A610" s="314" t="s">
        <v>2323</v>
      </c>
      <c r="B610" s="314" t="s">
        <v>2324</v>
      </c>
      <c r="C610" s="314">
        <v>18359810971</v>
      </c>
      <c r="D610" s="314" t="s">
        <v>2192</v>
      </c>
      <c r="E610" s="314" t="s">
        <v>104</v>
      </c>
      <c r="F610" s="314" t="s">
        <v>118</v>
      </c>
      <c r="G610" s="314" t="s">
        <v>108</v>
      </c>
      <c r="H610" s="314" t="s">
        <v>119</v>
      </c>
      <c r="I610" s="314" t="s">
        <v>108</v>
      </c>
      <c r="J610" s="314" t="s">
        <v>109</v>
      </c>
      <c r="K610" s="314">
        <v>0</v>
      </c>
      <c r="L610" s="314">
        <v>0</v>
      </c>
      <c r="M610" s="315">
        <v>45145.6588194444</v>
      </c>
      <c r="N610" s="314" t="s">
        <v>2325</v>
      </c>
      <c r="O610" s="314" t="s">
        <v>2194</v>
      </c>
      <c r="P610" s="314" t="s">
        <v>339</v>
      </c>
      <c r="Q610" s="314" t="s">
        <v>123</v>
      </c>
      <c r="R610" s="315">
        <v>45145.6844791667</v>
      </c>
      <c r="S610" s="314" t="s">
        <v>2326</v>
      </c>
      <c r="T610" s="314" t="s">
        <v>2327</v>
      </c>
      <c r="U610" s="314" t="s">
        <v>2327</v>
      </c>
      <c r="V610" s="314" t="s">
        <v>114</v>
      </c>
      <c r="W610" s="314"/>
      <c r="X610" s="314" t="str">
        <f>VLOOKUP(D610,代理总表!A:D,3,0)</f>
        <v>kk6699</v>
      </c>
      <c r="Y610" t="str">
        <f>VLOOKUP(D:D,代理总表!A:D,4,FALSE)</f>
        <v>KK体育总线kk6699</v>
      </c>
      <c r="Z610">
        <f t="shared" si="27"/>
        <v>0</v>
      </c>
      <c r="AA610">
        <f t="shared" si="28"/>
        <v>15</v>
      </c>
      <c r="AB610">
        <f t="shared" si="29"/>
        <v>1</v>
      </c>
    </row>
    <row r="611" spans="1:28">
      <c r="A611" s="314" t="s">
        <v>2328</v>
      </c>
      <c r="B611" s="314"/>
      <c r="C611" s="314">
        <v>966026760</v>
      </c>
      <c r="D611" s="314" t="s">
        <v>197</v>
      </c>
      <c r="E611" s="314" t="s">
        <v>117</v>
      </c>
      <c r="F611" s="314" t="s">
        <v>118</v>
      </c>
      <c r="G611" s="314" t="s">
        <v>108</v>
      </c>
      <c r="H611" s="314" t="s">
        <v>119</v>
      </c>
      <c r="I611" s="314" t="s">
        <v>108</v>
      </c>
      <c r="J611" s="314" t="s">
        <v>120</v>
      </c>
      <c r="K611" s="314">
        <v>0</v>
      </c>
      <c r="L611" s="314">
        <v>0</v>
      </c>
      <c r="M611" s="315">
        <v>45145.6578587963</v>
      </c>
      <c r="N611" s="314" t="s">
        <v>2329</v>
      </c>
      <c r="O611" s="314" t="s">
        <v>875</v>
      </c>
      <c r="P611" s="314" t="s">
        <v>112</v>
      </c>
      <c r="Q611" s="314" t="s">
        <v>123</v>
      </c>
      <c r="R611" s="315">
        <v>45145.6578587963</v>
      </c>
      <c r="S611" s="314" t="s">
        <v>2329</v>
      </c>
      <c r="T611" s="314" t="s">
        <v>1033</v>
      </c>
      <c r="U611" s="314" t="s">
        <v>1033</v>
      </c>
      <c r="V611" s="314" t="s">
        <v>114</v>
      </c>
      <c r="W611" s="314"/>
      <c r="X611" s="314" t="str">
        <f>VLOOKUP(D611,代理总表!A:D,3,0)</f>
        <v>雨燕直播-越</v>
      </c>
      <c r="Y611" t="str">
        <f>VLOOKUP(D:D,代理总表!A:D,4,FALSE)</f>
        <v>雨燕直播-越ffvn66</v>
      </c>
      <c r="Z611">
        <f t="shared" si="27"/>
        <v>0</v>
      </c>
      <c r="AA611">
        <f t="shared" si="28"/>
        <v>15</v>
      </c>
      <c r="AB611">
        <f t="shared" si="29"/>
        <v>1</v>
      </c>
    </row>
    <row r="612" spans="1:28">
      <c r="A612" s="314" t="s">
        <v>2330</v>
      </c>
      <c r="B612" s="314"/>
      <c r="C612" s="314">
        <v>18948216303</v>
      </c>
      <c r="D612" s="314" t="s">
        <v>249</v>
      </c>
      <c r="E612" s="314" t="s">
        <v>104</v>
      </c>
      <c r="F612" s="314" t="s">
        <v>118</v>
      </c>
      <c r="G612" s="314" t="s">
        <v>108</v>
      </c>
      <c r="H612" s="314" t="s">
        <v>119</v>
      </c>
      <c r="I612" s="314" t="s">
        <v>108</v>
      </c>
      <c r="J612" s="314" t="s">
        <v>109</v>
      </c>
      <c r="K612" s="314">
        <v>0</v>
      </c>
      <c r="L612" s="314">
        <v>0</v>
      </c>
      <c r="M612" s="315">
        <v>45145.6578587963</v>
      </c>
      <c r="N612" s="314" t="s">
        <v>2331</v>
      </c>
      <c r="O612" s="314" t="s">
        <v>251</v>
      </c>
      <c r="P612" s="314" t="s">
        <v>112</v>
      </c>
      <c r="Q612" s="314" t="s">
        <v>123</v>
      </c>
      <c r="R612" s="315">
        <v>45145.692037037</v>
      </c>
      <c r="S612" s="314" t="s">
        <v>2331</v>
      </c>
      <c r="T612" s="314" t="s">
        <v>2332</v>
      </c>
      <c r="U612" s="314" t="s">
        <v>2332</v>
      </c>
      <c r="V612" s="314" t="s">
        <v>114</v>
      </c>
      <c r="W612" s="314"/>
      <c r="X612" s="314" t="str">
        <f>VLOOKUP(D612,代理总表!A:D,3,0)</f>
        <v>飞哥雨燕直播</v>
      </c>
      <c r="Y612" t="str">
        <f>VLOOKUP(D:D,代理总表!A:D,4,FALSE)</f>
        <v>飞哥雨燕直播ffmk88</v>
      </c>
      <c r="Z612">
        <f t="shared" si="27"/>
        <v>0</v>
      </c>
      <c r="AA612">
        <f t="shared" si="28"/>
        <v>15</v>
      </c>
      <c r="AB612">
        <f t="shared" si="29"/>
        <v>1</v>
      </c>
    </row>
    <row r="613" spans="1:28">
      <c r="A613" s="314" t="s">
        <v>2333</v>
      </c>
      <c r="B613" s="314" t="s">
        <v>2334</v>
      </c>
      <c r="C613" s="314">
        <v>934566242</v>
      </c>
      <c r="D613" s="314" t="s">
        <v>224</v>
      </c>
      <c r="E613" s="314" t="s">
        <v>117</v>
      </c>
      <c r="F613" s="314" t="s">
        <v>144</v>
      </c>
      <c r="G613" s="314" t="s">
        <v>106</v>
      </c>
      <c r="H613" s="314" t="s">
        <v>107</v>
      </c>
      <c r="I613" s="314" t="s">
        <v>108</v>
      </c>
      <c r="J613" s="314" t="s">
        <v>120</v>
      </c>
      <c r="K613" s="314">
        <v>100000</v>
      </c>
      <c r="L613" s="314">
        <v>500000</v>
      </c>
      <c r="M613" s="315">
        <v>45145.6571759259</v>
      </c>
      <c r="N613" s="314" t="s">
        <v>2335</v>
      </c>
      <c r="O613" s="314" t="s">
        <v>226</v>
      </c>
      <c r="P613" s="314" t="s">
        <v>112</v>
      </c>
      <c r="Q613" s="315">
        <v>45145.6689583333</v>
      </c>
      <c r="R613" s="315">
        <v>45146.3558449074</v>
      </c>
      <c r="S613" s="314" t="s">
        <v>2336</v>
      </c>
      <c r="T613" s="314" t="s">
        <v>124</v>
      </c>
      <c r="U613" s="314" t="s">
        <v>131</v>
      </c>
      <c r="V613" s="314" t="s">
        <v>114</v>
      </c>
      <c r="W613" s="314"/>
      <c r="X613" s="314" t="str">
        <f>VLOOKUP(D613,代理总表!A:D,3,0)</f>
        <v>雨燕直播-越</v>
      </c>
      <c r="Y613" t="str">
        <f>VLOOKUP(D:D,代理总表!A:D,4,FALSE)</f>
        <v>雨燕直播-越ffvn66</v>
      </c>
      <c r="Z613">
        <f t="shared" si="27"/>
        <v>1</v>
      </c>
      <c r="AA613">
        <f t="shared" si="28"/>
        <v>15</v>
      </c>
      <c r="AB613">
        <f t="shared" si="29"/>
        <v>1</v>
      </c>
    </row>
    <row r="614" spans="1:28">
      <c r="A614" s="314" t="s">
        <v>2337</v>
      </c>
      <c r="B614" s="314" t="s">
        <v>2338</v>
      </c>
      <c r="C614" s="314">
        <v>812793008</v>
      </c>
      <c r="D614" s="314" t="s">
        <v>2339</v>
      </c>
      <c r="E614" s="314" t="s">
        <v>117</v>
      </c>
      <c r="F614" s="314" t="s">
        <v>144</v>
      </c>
      <c r="G614" s="314" t="s">
        <v>106</v>
      </c>
      <c r="H614" s="314" t="s">
        <v>107</v>
      </c>
      <c r="I614" s="314" t="s">
        <v>108</v>
      </c>
      <c r="J614" s="314" t="s">
        <v>120</v>
      </c>
      <c r="K614" s="314">
        <v>988</v>
      </c>
      <c r="L614" s="314">
        <v>4476664</v>
      </c>
      <c r="M614" s="315">
        <v>45145.65625</v>
      </c>
      <c r="N614" s="314" t="s">
        <v>2340</v>
      </c>
      <c r="O614" s="314" t="s">
        <v>2341</v>
      </c>
      <c r="P614" s="314" t="s">
        <v>112</v>
      </c>
      <c r="Q614" s="315">
        <v>45145.660474537</v>
      </c>
      <c r="R614" s="315">
        <v>45145.6578472222</v>
      </c>
      <c r="S614" s="314" t="s">
        <v>2340</v>
      </c>
      <c r="T614" s="314" t="s">
        <v>131</v>
      </c>
      <c r="U614" s="314" t="s">
        <v>131</v>
      </c>
      <c r="V614" s="314" t="s">
        <v>114</v>
      </c>
      <c r="W614" s="314" t="s">
        <v>2342</v>
      </c>
      <c r="X614" s="314" t="str">
        <f>VLOOKUP(D614,代理总表!A:D,3,0)</f>
        <v>外部代理总线</v>
      </c>
      <c r="Y614" t="str">
        <f>VLOOKUP(D:D,代理总表!A:D,4,FALSE)</f>
        <v>外部代理总线zhaoshang</v>
      </c>
      <c r="Z614">
        <f t="shared" si="27"/>
        <v>1</v>
      </c>
      <c r="AA614">
        <f t="shared" si="28"/>
        <v>15</v>
      </c>
      <c r="AB614">
        <f t="shared" si="29"/>
        <v>1</v>
      </c>
    </row>
    <row r="615" spans="1:28">
      <c r="A615" s="314" t="s">
        <v>2343</v>
      </c>
      <c r="B615" s="314"/>
      <c r="C615" s="314">
        <v>765692400</v>
      </c>
      <c r="D615" s="314" t="s">
        <v>116</v>
      </c>
      <c r="E615" s="314" t="s">
        <v>117</v>
      </c>
      <c r="F615" s="314" t="s">
        <v>118</v>
      </c>
      <c r="G615" s="314" t="s">
        <v>108</v>
      </c>
      <c r="H615" s="314" t="s">
        <v>119</v>
      </c>
      <c r="I615" s="314" t="s">
        <v>108</v>
      </c>
      <c r="J615" s="314" t="s">
        <v>120</v>
      </c>
      <c r="K615" s="314">
        <v>0</v>
      </c>
      <c r="L615" s="314">
        <v>0</v>
      </c>
      <c r="M615" s="315">
        <v>45145.6562384259</v>
      </c>
      <c r="N615" s="314" t="s">
        <v>2344</v>
      </c>
      <c r="O615" s="314" t="s">
        <v>122</v>
      </c>
      <c r="P615" s="314" t="s">
        <v>112</v>
      </c>
      <c r="Q615" s="314" t="s">
        <v>123</v>
      </c>
      <c r="R615" s="315">
        <v>45145.7084606482</v>
      </c>
      <c r="S615" s="314" t="s">
        <v>2344</v>
      </c>
      <c r="T615" s="314" t="s">
        <v>131</v>
      </c>
      <c r="U615" s="314" t="s">
        <v>131</v>
      </c>
      <c r="V615" s="314" t="s">
        <v>114</v>
      </c>
      <c r="W615" s="314"/>
      <c r="X615" s="314" t="str">
        <f>VLOOKUP(D615,代理总表!A:D,3,0)</f>
        <v>外部代理总线</v>
      </c>
      <c r="Y615" t="str">
        <f>VLOOKUP(D:D,代理总表!A:D,4,FALSE)</f>
        <v>外部代理总线zh0808</v>
      </c>
      <c r="Z615">
        <f t="shared" si="27"/>
        <v>0</v>
      </c>
      <c r="AA615">
        <f t="shared" si="28"/>
        <v>15</v>
      </c>
      <c r="AB615">
        <f t="shared" si="29"/>
        <v>1</v>
      </c>
    </row>
    <row r="616" spans="1:28">
      <c r="A616" s="314" t="s">
        <v>2345</v>
      </c>
      <c r="B616" s="314" t="s">
        <v>2346</v>
      </c>
      <c r="C616" s="314">
        <v>706164097</v>
      </c>
      <c r="D616" s="314" t="s">
        <v>224</v>
      </c>
      <c r="E616" s="314" t="s">
        <v>117</v>
      </c>
      <c r="F616" s="314" t="s">
        <v>144</v>
      </c>
      <c r="G616" s="314" t="s">
        <v>106</v>
      </c>
      <c r="H616" s="314" t="s">
        <v>107</v>
      </c>
      <c r="I616" s="314" t="s">
        <v>108</v>
      </c>
      <c r="J616" s="314" t="s">
        <v>120</v>
      </c>
      <c r="K616" s="314">
        <v>200000</v>
      </c>
      <c r="L616" s="314">
        <v>1100000</v>
      </c>
      <c r="M616" s="315">
        <v>45145.6558333333</v>
      </c>
      <c r="N616" s="314" t="s">
        <v>2347</v>
      </c>
      <c r="O616" s="314" t="s">
        <v>226</v>
      </c>
      <c r="P616" s="314" t="s">
        <v>112</v>
      </c>
      <c r="Q616" s="315">
        <v>45145.674525463</v>
      </c>
      <c r="R616" s="315">
        <v>45145.7476736111</v>
      </c>
      <c r="S616" s="314" t="s">
        <v>2348</v>
      </c>
      <c r="T616" s="314" t="s">
        <v>124</v>
      </c>
      <c r="U616" s="314" t="s">
        <v>2127</v>
      </c>
      <c r="V616" s="314" t="s">
        <v>114</v>
      </c>
      <c r="W616" s="314"/>
      <c r="X616" s="314" t="str">
        <f>VLOOKUP(D616,代理总表!A:D,3,0)</f>
        <v>雨燕直播-越</v>
      </c>
      <c r="Y616" t="str">
        <f>VLOOKUP(D:D,代理总表!A:D,4,FALSE)</f>
        <v>雨燕直播-越ffvn66</v>
      </c>
      <c r="Z616">
        <f t="shared" si="27"/>
        <v>1</v>
      </c>
      <c r="AA616">
        <f t="shared" si="28"/>
        <v>15</v>
      </c>
      <c r="AB616">
        <f t="shared" si="29"/>
        <v>1</v>
      </c>
    </row>
    <row r="617" spans="1:28">
      <c r="A617" s="314" t="s">
        <v>2349</v>
      </c>
      <c r="B617" s="314" t="s">
        <v>2350</v>
      </c>
      <c r="C617" s="314">
        <v>906696511</v>
      </c>
      <c r="D617" s="314" t="s">
        <v>143</v>
      </c>
      <c r="E617" s="314" t="s">
        <v>117</v>
      </c>
      <c r="F617" s="314" t="s">
        <v>118</v>
      </c>
      <c r="G617" s="314" t="s">
        <v>108</v>
      </c>
      <c r="H617" s="314" t="s">
        <v>119</v>
      </c>
      <c r="I617" s="314" t="s">
        <v>108</v>
      </c>
      <c r="J617" s="314" t="s">
        <v>120</v>
      </c>
      <c r="K617" s="314">
        <v>0</v>
      </c>
      <c r="L617" s="314">
        <v>0</v>
      </c>
      <c r="M617" s="315">
        <v>45145.6543055556</v>
      </c>
      <c r="N617" s="314" t="s">
        <v>2351</v>
      </c>
      <c r="O617" s="314" t="s">
        <v>407</v>
      </c>
      <c r="P617" s="314" t="s">
        <v>112</v>
      </c>
      <c r="Q617" s="314" t="s">
        <v>123</v>
      </c>
      <c r="R617" s="315">
        <v>45145.8786574074</v>
      </c>
      <c r="S617" s="314" t="s">
        <v>2351</v>
      </c>
      <c r="T617" s="314" t="s">
        <v>1995</v>
      </c>
      <c r="U617" s="314" t="s">
        <v>1995</v>
      </c>
      <c r="V617" s="314" t="s">
        <v>114</v>
      </c>
      <c r="W617" s="314"/>
      <c r="X617" s="314" t="str">
        <f>VLOOKUP(D617,代理总表!A:D,3,0)</f>
        <v>雨燕直播-越</v>
      </c>
      <c r="Y617" t="str">
        <f>VLOOKUP(D:D,代理总表!A:D,4,FALSE)</f>
        <v>雨燕直播-越ffvn66</v>
      </c>
      <c r="Z617">
        <f t="shared" si="27"/>
        <v>0</v>
      </c>
      <c r="AA617">
        <f t="shared" si="28"/>
        <v>15</v>
      </c>
      <c r="AB617">
        <f t="shared" si="29"/>
        <v>1</v>
      </c>
    </row>
    <row r="618" spans="1:28">
      <c r="A618" s="314" t="s">
        <v>2352</v>
      </c>
      <c r="B618" s="314"/>
      <c r="C618" s="314"/>
      <c r="D618" s="314" t="s">
        <v>1741</v>
      </c>
      <c r="E618" s="314" t="s">
        <v>104</v>
      </c>
      <c r="F618" s="314" t="s">
        <v>118</v>
      </c>
      <c r="G618" s="314" t="s">
        <v>108</v>
      </c>
      <c r="H618" s="314" t="s">
        <v>119</v>
      </c>
      <c r="I618" s="314" t="s">
        <v>108</v>
      </c>
      <c r="J618" s="314" t="s">
        <v>109</v>
      </c>
      <c r="K618" s="314">
        <v>0</v>
      </c>
      <c r="L618" s="314">
        <v>0</v>
      </c>
      <c r="M618" s="315">
        <v>45145.654224537</v>
      </c>
      <c r="N618" s="314" t="s">
        <v>2353</v>
      </c>
      <c r="O618" s="314" t="s">
        <v>2354</v>
      </c>
      <c r="P618" s="314" t="s">
        <v>112</v>
      </c>
      <c r="Q618" s="314" t="s">
        <v>123</v>
      </c>
      <c r="R618" s="315">
        <v>45145.878900463</v>
      </c>
      <c r="S618" s="314" t="s">
        <v>2355</v>
      </c>
      <c r="T618" s="314" t="s">
        <v>1584</v>
      </c>
      <c r="U618" s="314" t="s">
        <v>1584</v>
      </c>
      <c r="V618" s="314" t="s">
        <v>114</v>
      </c>
      <c r="W618" s="314"/>
      <c r="X618" s="314" t="str">
        <f>VLOOKUP(D618,代理总表!A:D,3,0)</f>
        <v>飞哥雨燕直播</v>
      </c>
      <c r="Y618" t="str">
        <f>VLOOKUP(D:D,代理总表!A:D,4,FALSE)</f>
        <v>飞哥雨燕直播ffmk88</v>
      </c>
      <c r="Z618">
        <f t="shared" si="27"/>
        <v>0</v>
      </c>
      <c r="AA618">
        <f t="shared" si="28"/>
        <v>15</v>
      </c>
      <c r="AB618">
        <f t="shared" si="29"/>
        <v>1</v>
      </c>
    </row>
    <row r="619" spans="1:28">
      <c r="A619" s="314" t="s">
        <v>2356</v>
      </c>
      <c r="B619" s="314"/>
      <c r="C619" s="314"/>
      <c r="D619" s="314" t="s">
        <v>1317</v>
      </c>
      <c r="E619" s="314" t="s">
        <v>117</v>
      </c>
      <c r="F619" s="314" t="s">
        <v>118</v>
      </c>
      <c r="G619" s="314" t="s">
        <v>108</v>
      </c>
      <c r="H619" s="314" t="s">
        <v>119</v>
      </c>
      <c r="I619" s="314" t="s">
        <v>108</v>
      </c>
      <c r="J619" s="314" t="s">
        <v>120</v>
      </c>
      <c r="K619" s="314">
        <v>0</v>
      </c>
      <c r="L619" s="314">
        <v>0</v>
      </c>
      <c r="M619" s="315">
        <v>45145.6540856482</v>
      </c>
      <c r="N619" s="314" t="s">
        <v>2357</v>
      </c>
      <c r="O619" s="314" t="s">
        <v>1319</v>
      </c>
      <c r="P619" s="314" t="s">
        <v>112</v>
      </c>
      <c r="Q619" s="314" t="s">
        <v>123</v>
      </c>
      <c r="R619" s="315">
        <v>45145.6540856482</v>
      </c>
      <c r="S619" s="314" t="s">
        <v>2357</v>
      </c>
      <c r="T619" s="314" t="s">
        <v>979</v>
      </c>
      <c r="U619" s="314" t="s">
        <v>979</v>
      </c>
      <c r="V619" s="314" t="s">
        <v>114</v>
      </c>
      <c r="W619" s="314"/>
      <c r="X619" s="314" t="str">
        <f>VLOOKUP(D619,代理总表!A:D,3,0)</f>
        <v>外部代理总线</v>
      </c>
      <c r="Y619" t="str">
        <f>VLOOKUP(D:D,代理总表!A:D,4,FALSE)</f>
        <v>外部代理总线zh0808</v>
      </c>
      <c r="Z619">
        <f t="shared" si="27"/>
        <v>0</v>
      </c>
      <c r="AA619">
        <f t="shared" si="28"/>
        <v>15</v>
      </c>
      <c r="AB619">
        <f t="shared" si="29"/>
        <v>1</v>
      </c>
    </row>
    <row r="620" spans="1:28">
      <c r="A620" s="314" t="s">
        <v>2358</v>
      </c>
      <c r="B620" s="314" t="s">
        <v>2359</v>
      </c>
      <c r="C620" s="314">
        <v>961715625</v>
      </c>
      <c r="D620" s="314" t="s">
        <v>143</v>
      </c>
      <c r="E620" s="314" t="s">
        <v>117</v>
      </c>
      <c r="F620" s="314" t="s">
        <v>144</v>
      </c>
      <c r="G620" s="314" t="s">
        <v>106</v>
      </c>
      <c r="H620" s="314" t="s">
        <v>107</v>
      </c>
      <c r="I620" s="314" t="s">
        <v>108</v>
      </c>
      <c r="J620" s="314" t="s">
        <v>120</v>
      </c>
      <c r="K620" s="314">
        <v>80000</v>
      </c>
      <c r="L620" s="314">
        <v>200000</v>
      </c>
      <c r="M620" s="315">
        <v>45145.653900463</v>
      </c>
      <c r="N620" s="314" t="s">
        <v>2360</v>
      </c>
      <c r="O620" s="314" t="s">
        <v>146</v>
      </c>
      <c r="P620" s="314" t="s">
        <v>112</v>
      </c>
      <c r="Q620" s="315">
        <v>45145.6600578704</v>
      </c>
      <c r="R620" s="315">
        <v>45145.9390972222</v>
      </c>
      <c r="S620" s="314" t="s">
        <v>2361</v>
      </c>
      <c r="T620" s="314" t="s">
        <v>124</v>
      </c>
      <c r="U620" s="314" t="s">
        <v>177</v>
      </c>
      <c r="V620" s="314" t="s">
        <v>114</v>
      </c>
      <c r="W620" s="314"/>
      <c r="X620" s="314" t="str">
        <f>VLOOKUP(D620,代理总表!A:D,3,0)</f>
        <v>雨燕直播-越</v>
      </c>
      <c r="Y620" t="str">
        <f>VLOOKUP(D:D,代理总表!A:D,4,FALSE)</f>
        <v>雨燕直播-越ffvn66</v>
      </c>
      <c r="Z620">
        <f t="shared" si="27"/>
        <v>1</v>
      </c>
      <c r="AA620">
        <f t="shared" si="28"/>
        <v>15</v>
      </c>
      <c r="AB620">
        <f t="shared" si="29"/>
        <v>1</v>
      </c>
    </row>
    <row r="621" spans="1:28">
      <c r="A621" s="314" t="s">
        <v>2362</v>
      </c>
      <c r="B621" s="314"/>
      <c r="C621" s="314"/>
      <c r="D621" s="314" t="s">
        <v>197</v>
      </c>
      <c r="E621" s="314" t="s">
        <v>117</v>
      </c>
      <c r="F621" s="314" t="s">
        <v>118</v>
      </c>
      <c r="G621" s="314" t="s">
        <v>108</v>
      </c>
      <c r="H621" s="314" t="s">
        <v>119</v>
      </c>
      <c r="I621" s="314" t="s">
        <v>108</v>
      </c>
      <c r="J621" s="314" t="s">
        <v>120</v>
      </c>
      <c r="K621" s="314">
        <v>0</v>
      </c>
      <c r="L621" s="314">
        <v>0</v>
      </c>
      <c r="M621" s="315">
        <v>45145.6535648148</v>
      </c>
      <c r="N621" s="314" t="s">
        <v>2363</v>
      </c>
      <c r="O621" s="314" t="s">
        <v>875</v>
      </c>
      <c r="P621" s="314" t="s">
        <v>112</v>
      </c>
      <c r="Q621" s="314" t="s">
        <v>123</v>
      </c>
      <c r="R621" s="315">
        <v>45145.6535532407</v>
      </c>
      <c r="S621" s="314" t="s">
        <v>2363</v>
      </c>
      <c r="T621" s="314" t="s">
        <v>656</v>
      </c>
      <c r="U621" s="314" t="s">
        <v>656</v>
      </c>
      <c r="V621" s="314" t="s">
        <v>114</v>
      </c>
      <c r="W621" s="314"/>
      <c r="X621" s="314" t="str">
        <f>VLOOKUP(D621,代理总表!A:D,3,0)</f>
        <v>雨燕直播-越</v>
      </c>
      <c r="Y621" t="str">
        <f>VLOOKUP(D:D,代理总表!A:D,4,FALSE)</f>
        <v>雨燕直播-越ffvn66</v>
      </c>
      <c r="Z621">
        <f t="shared" si="27"/>
        <v>0</v>
      </c>
      <c r="AA621">
        <f t="shared" si="28"/>
        <v>15</v>
      </c>
      <c r="AB621">
        <f t="shared" si="29"/>
        <v>1</v>
      </c>
    </row>
    <row r="622" spans="1:28">
      <c r="A622" s="314" t="s">
        <v>2364</v>
      </c>
      <c r="B622" s="314" t="s">
        <v>2365</v>
      </c>
      <c r="C622" s="314">
        <v>584596472</v>
      </c>
      <c r="D622" s="314" t="s">
        <v>2366</v>
      </c>
      <c r="E622" s="314" t="s">
        <v>117</v>
      </c>
      <c r="F622" s="314" t="s">
        <v>144</v>
      </c>
      <c r="G622" s="314" t="s">
        <v>106</v>
      </c>
      <c r="H622" s="314" t="s">
        <v>107</v>
      </c>
      <c r="I622" s="314" t="s">
        <v>108</v>
      </c>
      <c r="J622" s="314" t="s">
        <v>120</v>
      </c>
      <c r="K622" s="314">
        <v>800</v>
      </c>
      <c r="L622" s="314">
        <v>2170000</v>
      </c>
      <c r="M622" s="315">
        <v>45145.6534953704</v>
      </c>
      <c r="N622" s="314" t="s">
        <v>2367</v>
      </c>
      <c r="O622" s="314" t="s">
        <v>2368</v>
      </c>
      <c r="P622" s="314" t="s">
        <v>112</v>
      </c>
      <c r="Q622" s="315">
        <v>45145.6599652778</v>
      </c>
      <c r="R622" s="315">
        <v>45145.6604513889</v>
      </c>
      <c r="S622" s="314" t="s">
        <v>2367</v>
      </c>
      <c r="T622" s="314" t="s">
        <v>131</v>
      </c>
      <c r="U622" s="314" t="s">
        <v>131</v>
      </c>
      <c r="V622" s="314" t="s">
        <v>114</v>
      </c>
      <c r="W622" s="314"/>
      <c r="X622" s="314" t="e">
        <f>VLOOKUP(D622,代理总表!A:D,3,0)</f>
        <v>#N/A</v>
      </c>
      <c r="Y622" t="e">
        <f>VLOOKUP(D:D,代理总表!A:D,4,FALSE)</f>
        <v>#N/A</v>
      </c>
      <c r="Z622">
        <f t="shared" si="27"/>
        <v>1</v>
      </c>
      <c r="AA622">
        <f t="shared" si="28"/>
        <v>15</v>
      </c>
      <c r="AB622">
        <f t="shared" si="29"/>
        <v>1</v>
      </c>
    </row>
    <row r="623" spans="1:28">
      <c r="A623" s="314" t="s">
        <v>2369</v>
      </c>
      <c r="B623" s="314"/>
      <c r="C623" s="314"/>
      <c r="D623" s="314" t="s">
        <v>1109</v>
      </c>
      <c r="E623" s="314" t="s">
        <v>104</v>
      </c>
      <c r="F623" s="314" t="s">
        <v>118</v>
      </c>
      <c r="G623" s="314" t="s">
        <v>108</v>
      </c>
      <c r="H623" s="314" t="s">
        <v>119</v>
      </c>
      <c r="I623" s="314" t="s">
        <v>108</v>
      </c>
      <c r="J623" s="314" t="s">
        <v>109</v>
      </c>
      <c r="K623" s="314">
        <v>0</v>
      </c>
      <c r="L623" s="314">
        <v>0</v>
      </c>
      <c r="M623" s="315">
        <v>45145.6525115741</v>
      </c>
      <c r="N623" s="314" t="s">
        <v>2370</v>
      </c>
      <c r="O623" s="314" t="s">
        <v>2371</v>
      </c>
      <c r="P623" s="314" t="s">
        <v>339</v>
      </c>
      <c r="Q623" s="314" t="s">
        <v>123</v>
      </c>
      <c r="R623" s="315">
        <v>45145.6572453704</v>
      </c>
      <c r="S623" s="314" t="s">
        <v>2370</v>
      </c>
      <c r="T623" s="314" t="s">
        <v>2372</v>
      </c>
      <c r="U623" s="314" t="s">
        <v>2372</v>
      </c>
      <c r="V623" s="314" t="s">
        <v>114</v>
      </c>
      <c r="W623" s="314"/>
      <c r="X623" s="314" t="str">
        <f>VLOOKUP(D623,代理总表!A:D,3,0)</f>
        <v>飞哥雨燕直播</v>
      </c>
      <c r="Y623" t="str">
        <f>VLOOKUP(D:D,代理总表!A:D,4,FALSE)</f>
        <v>飞哥雨燕直播ffmk88</v>
      </c>
      <c r="Z623">
        <f t="shared" si="27"/>
        <v>0</v>
      </c>
      <c r="AA623">
        <f t="shared" si="28"/>
        <v>15</v>
      </c>
      <c r="AB623">
        <f t="shared" si="29"/>
        <v>1</v>
      </c>
    </row>
    <row r="624" spans="1:28">
      <c r="A624" s="314" t="s">
        <v>2373</v>
      </c>
      <c r="B624" s="314" t="s">
        <v>2374</v>
      </c>
      <c r="C624" s="314">
        <v>18300195913</v>
      </c>
      <c r="D624" s="314" t="s">
        <v>249</v>
      </c>
      <c r="E624" s="314" t="s">
        <v>104</v>
      </c>
      <c r="F624" s="314" t="s">
        <v>144</v>
      </c>
      <c r="G624" s="314" t="s">
        <v>106</v>
      </c>
      <c r="H624" s="314" t="s">
        <v>107</v>
      </c>
      <c r="I624" s="314" t="s">
        <v>108</v>
      </c>
      <c r="J624" s="314" t="s">
        <v>109</v>
      </c>
      <c r="K624" s="314">
        <v>2.02</v>
      </c>
      <c r="L624" s="314">
        <v>1.64</v>
      </c>
      <c r="M624" s="315">
        <v>45145.652337963</v>
      </c>
      <c r="N624" s="314" t="s">
        <v>2375</v>
      </c>
      <c r="O624" s="314" t="s">
        <v>735</v>
      </c>
      <c r="P624" s="314" t="s">
        <v>112</v>
      </c>
      <c r="Q624" s="315">
        <v>45145.7053703704</v>
      </c>
      <c r="R624" s="315">
        <v>45146.0109027778</v>
      </c>
      <c r="S624" s="314" t="s">
        <v>2376</v>
      </c>
      <c r="T624" s="314" t="s">
        <v>2377</v>
      </c>
      <c r="U624" s="314" t="s">
        <v>256</v>
      </c>
      <c r="V624" s="314" t="s">
        <v>114</v>
      </c>
      <c r="W624" s="314"/>
      <c r="X624" s="314" t="str">
        <f>VLOOKUP(D624,代理总表!A:D,3,0)</f>
        <v>飞哥雨燕直播</v>
      </c>
      <c r="Y624" t="str">
        <f>VLOOKUP(D:D,代理总表!A:D,4,FALSE)</f>
        <v>飞哥雨燕直播ffmk88</v>
      </c>
      <c r="Z624">
        <f t="shared" si="27"/>
        <v>1</v>
      </c>
      <c r="AA624">
        <f t="shared" si="28"/>
        <v>15</v>
      </c>
      <c r="AB624">
        <f t="shared" si="29"/>
        <v>1</v>
      </c>
    </row>
    <row r="625" spans="1:28">
      <c r="A625" s="314" t="s">
        <v>2378</v>
      </c>
      <c r="B625" s="314"/>
      <c r="C625" s="314">
        <v>15736693215</v>
      </c>
      <c r="D625" s="314" t="s">
        <v>294</v>
      </c>
      <c r="E625" s="314" t="s">
        <v>104</v>
      </c>
      <c r="F625" s="314" t="s">
        <v>149</v>
      </c>
      <c r="G625" s="314" t="s">
        <v>108</v>
      </c>
      <c r="H625" s="314" t="s">
        <v>119</v>
      </c>
      <c r="I625" s="314" t="s">
        <v>108</v>
      </c>
      <c r="J625" s="314" t="s">
        <v>109</v>
      </c>
      <c r="K625" s="314">
        <v>0</v>
      </c>
      <c r="L625" s="314">
        <v>0</v>
      </c>
      <c r="M625" s="315">
        <v>45145.6512731481</v>
      </c>
      <c r="N625" s="314" t="s">
        <v>2379</v>
      </c>
      <c r="O625" s="314" t="s">
        <v>1951</v>
      </c>
      <c r="P625" s="314" t="s">
        <v>112</v>
      </c>
      <c r="Q625" s="314" t="s">
        <v>123</v>
      </c>
      <c r="R625" s="315">
        <v>45145.6780902778</v>
      </c>
      <c r="S625" s="314" t="s">
        <v>2380</v>
      </c>
      <c r="T625" s="314" t="s">
        <v>781</v>
      </c>
      <c r="U625" s="314" t="s">
        <v>2381</v>
      </c>
      <c r="V625" s="314" t="s">
        <v>114</v>
      </c>
      <c r="W625" s="314"/>
      <c r="X625" s="314" t="str">
        <f>VLOOKUP(D625,代理总表!A:D,3,0)</f>
        <v>DK</v>
      </c>
      <c r="Y625" t="str">
        <f>VLOOKUP(D:D,代理总表!A:D,4,FALSE)</f>
        <v>SEO</v>
      </c>
      <c r="Z625">
        <f t="shared" si="27"/>
        <v>0</v>
      </c>
      <c r="AA625">
        <f t="shared" si="28"/>
        <v>15</v>
      </c>
      <c r="AB625">
        <f t="shared" si="29"/>
        <v>1</v>
      </c>
    </row>
    <row r="626" spans="1:28">
      <c r="A626" s="314" t="s">
        <v>2382</v>
      </c>
      <c r="B626" s="314" t="s">
        <v>2383</v>
      </c>
      <c r="C626" s="314">
        <v>15823062426</v>
      </c>
      <c r="D626" s="314" t="s">
        <v>1336</v>
      </c>
      <c r="E626" s="314" t="s">
        <v>104</v>
      </c>
      <c r="F626" s="314" t="s">
        <v>144</v>
      </c>
      <c r="G626" s="314" t="s">
        <v>106</v>
      </c>
      <c r="H626" s="314" t="s">
        <v>107</v>
      </c>
      <c r="I626" s="314" t="s">
        <v>108</v>
      </c>
      <c r="J626" s="314" t="s">
        <v>109</v>
      </c>
      <c r="K626" s="314">
        <v>500.46</v>
      </c>
      <c r="L626" s="314">
        <v>1388.18</v>
      </c>
      <c r="M626" s="315">
        <v>45145.6512384259</v>
      </c>
      <c r="N626" s="314" t="s">
        <v>2384</v>
      </c>
      <c r="O626" s="314" t="s">
        <v>2385</v>
      </c>
      <c r="P626" s="314" t="s">
        <v>112</v>
      </c>
      <c r="Q626" s="315">
        <v>45145.6816898148</v>
      </c>
      <c r="R626" s="315">
        <v>45146.1481134259</v>
      </c>
      <c r="S626" s="314" t="s">
        <v>2384</v>
      </c>
      <c r="T626" s="314" t="s">
        <v>2386</v>
      </c>
      <c r="U626" s="314" t="s">
        <v>2386</v>
      </c>
      <c r="V626" s="314" t="s">
        <v>114</v>
      </c>
      <c r="W626" s="314"/>
      <c r="X626" s="314" t="str">
        <f>VLOOKUP(D626,代理总表!A:D,3,0)</f>
        <v>飞哥雨燕直播</v>
      </c>
      <c r="Y626" t="str">
        <f>VLOOKUP(D:D,代理总表!A:D,4,FALSE)</f>
        <v>飞哥雨燕直播ffmk88</v>
      </c>
      <c r="Z626">
        <f t="shared" si="27"/>
        <v>1</v>
      </c>
      <c r="AA626">
        <f t="shared" si="28"/>
        <v>15</v>
      </c>
      <c r="AB626">
        <f t="shared" si="29"/>
        <v>1</v>
      </c>
    </row>
    <row r="627" spans="1:28">
      <c r="A627" s="314" t="s">
        <v>2387</v>
      </c>
      <c r="B627" s="314"/>
      <c r="C627" s="314">
        <v>559062164</v>
      </c>
      <c r="D627" s="314" t="s">
        <v>172</v>
      </c>
      <c r="E627" s="314" t="s">
        <v>117</v>
      </c>
      <c r="F627" s="314" t="s">
        <v>118</v>
      </c>
      <c r="G627" s="314" t="s">
        <v>108</v>
      </c>
      <c r="H627" s="314" t="s">
        <v>119</v>
      </c>
      <c r="I627" s="314" t="s">
        <v>108</v>
      </c>
      <c r="J627" s="314" t="s">
        <v>120</v>
      </c>
      <c r="K627" s="314">
        <v>0</v>
      </c>
      <c r="L627" s="314">
        <v>0</v>
      </c>
      <c r="M627" s="315">
        <v>45145.6512037037</v>
      </c>
      <c r="N627" s="314" t="s">
        <v>2388</v>
      </c>
      <c r="O627" s="314" t="s">
        <v>174</v>
      </c>
      <c r="P627" s="314" t="s">
        <v>161</v>
      </c>
      <c r="Q627" s="314" t="s">
        <v>123</v>
      </c>
      <c r="R627" s="315">
        <v>45146.1964583333</v>
      </c>
      <c r="S627" s="314" t="s">
        <v>2389</v>
      </c>
      <c r="T627" s="314" t="s">
        <v>124</v>
      </c>
      <c r="U627" s="314" t="s">
        <v>131</v>
      </c>
      <c r="V627" s="314" t="s">
        <v>114</v>
      </c>
      <c r="W627" s="314"/>
      <c r="X627" s="314" t="str">
        <f>VLOOKUP(D627,代理总表!A:D,3,0)</f>
        <v>雨燕直播-越</v>
      </c>
      <c r="Y627" t="str">
        <f>VLOOKUP(D:D,代理总表!A:D,4,FALSE)</f>
        <v>雨燕直播-越ffvn66</v>
      </c>
      <c r="Z627">
        <f t="shared" si="27"/>
        <v>0</v>
      </c>
      <c r="AA627">
        <f t="shared" si="28"/>
        <v>15</v>
      </c>
      <c r="AB627">
        <f t="shared" si="29"/>
        <v>1</v>
      </c>
    </row>
    <row r="628" spans="1:28">
      <c r="A628" s="314" t="s">
        <v>2390</v>
      </c>
      <c r="B628" s="314" t="s">
        <v>2391</v>
      </c>
      <c r="C628" s="314">
        <v>922102866</v>
      </c>
      <c r="D628" s="314" t="s">
        <v>197</v>
      </c>
      <c r="E628" s="314" t="s">
        <v>117</v>
      </c>
      <c r="F628" s="314" t="s">
        <v>144</v>
      </c>
      <c r="G628" s="314" t="s">
        <v>106</v>
      </c>
      <c r="H628" s="314" t="s">
        <v>107</v>
      </c>
      <c r="I628" s="314" t="s">
        <v>108</v>
      </c>
      <c r="J628" s="314" t="s">
        <v>120</v>
      </c>
      <c r="K628" s="314">
        <v>120000</v>
      </c>
      <c r="L628" s="314">
        <v>1000000</v>
      </c>
      <c r="M628" s="315">
        <v>45145.650787037</v>
      </c>
      <c r="N628" s="314" t="s">
        <v>2392</v>
      </c>
      <c r="O628" s="314" t="s">
        <v>875</v>
      </c>
      <c r="P628" s="314" t="s">
        <v>112</v>
      </c>
      <c r="Q628" s="315">
        <v>45145.6538541667</v>
      </c>
      <c r="R628" s="315">
        <v>45145.9030902778</v>
      </c>
      <c r="S628" s="314" t="s">
        <v>2392</v>
      </c>
      <c r="T628" s="314" t="s">
        <v>131</v>
      </c>
      <c r="U628" s="314" t="s">
        <v>131</v>
      </c>
      <c r="V628" s="314" t="s">
        <v>114</v>
      </c>
      <c r="W628" s="314"/>
      <c r="X628" s="314" t="str">
        <f>VLOOKUP(D628,代理总表!A:D,3,0)</f>
        <v>雨燕直播-越</v>
      </c>
      <c r="Y628" t="str">
        <f>VLOOKUP(D:D,代理总表!A:D,4,FALSE)</f>
        <v>雨燕直播-越ffvn66</v>
      </c>
      <c r="Z628">
        <f t="shared" si="27"/>
        <v>1</v>
      </c>
      <c r="AA628">
        <f t="shared" si="28"/>
        <v>15</v>
      </c>
      <c r="AB628">
        <f t="shared" si="29"/>
        <v>1</v>
      </c>
    </row>
    <row r="629" spans="1:28">
      <c r="A629" s="314" t="s">
        <v>2393</v>
      </c>
      <c r="B629" s="314"/>
      <c r="C629" s="314">
        <v>364650818</v>
      </c>
      <c r="D629" s="314" t="s">
        <v>445</v>
      </c>
      <c r="E629" s="314" t="s">
        <v>117</v>
      </c>
      <c r="F629" s="314" t="s">
        <v>118</v>
      </c>
      <c r="G629" s="314" t="s">
        <v>108</v>
      </c>
      <c r="H629" s="314" t="s">
        <v>119</v>
      </c>
      <c r="I629" s="314" t="s">
        <v>108</v>
      </c>
      <c r="J629" s="314" t="s">
        <v>120</v>
      </c>
      <c r="K629" s="314">
        <v>0</v>
      </c>
      <c r="L629" s="314">
        <v>0</v>
      </c>
      <c r="M629" s="315">
        <v>45145.6501388889</v>
      </c>
      <c r="N629" s="314" t="s">
        <v>2394</v>
      </c>
      <c r="O629" s="314" t="s">
        <v>446</v>
      </c>
      <c r="P629" s="314" t="s">
        <v>112</v>
      </c>
      <c r="Q629" s="314" t="s">
        <v>123</v>
      </c>
      <c r="R629" s="315">
        <v>45145.6509027778</v>
      </c>
      <c r="S629" s="314" t="s">
        <v>2394</v>
      </c>
      <c r="T629" s="314" t="s">
        <v>177</v>
      </c>
      <c r="U629" s="314" t="s">
        <v>177</v>
      </c>
      <c r="V629" s="314" t="s">
        <v>114</v>
      </c>
      <c r="W629" s="314"/>
      <c r="X629" s="314" t="str">
        <f>VLOOKUP(D629,代理总表!A:D,3,0)</f>
        <v>SOCO越南直播</v>
      </c>
      <c r="Y629" t="str">
        <f>VLOOKUP(D:D,代理总表!A:D,4,FALSE)</f>
        <v>SOCO越南直播ffvn66</v>
      </c>
      <c r="Z629">
        <f t="shared" si="27"/>
        <v>0</v>
      </c>
      <c r="AA629">
        <f t="shared" si="28"/>
        <v>15</v>
      </c>
      <c r="AB629">
        <f t="shared" si="29"/>
        <v>1</v>
      </c>
    </row>
    <row r="630" spans="1:28">
      <c r="A630" s="314" t="s">
        <v>2395</v>
      </c>
      <c r="B630" s="314"/>
      <c r="C630" s="314"/>
      <c r="D630" s="314" t="s">
        <v>276</v>
      </c>
      <c r="E630" s="314" t="s">
        <v>104</v>
      </c>
      <c r="F630" s="314" t="s">
        <v>118</v>
      </c>
      <c r="G630" s="314" t="s">
        <v>108</v>
      </c>
      <c r="H630" s="314" t="s">
        <v>119</v>
      </c>
      <c r="I630" s="314" t="s">
        <v>108</v>
      </c>
      <c r="J630" s="314" t="s">
        <v>109</v>
      </c>
      <c r="K630" s="314">
        <v>0</v>
      </c>
      <c r="L630" s="314">
        <v>0</v>
      </c>
      <c r="M630" s="315">
        <v>45145.6497569444</v>
      </c>
      <c r="N630" s="314" t="s">
        <v>2396</v>
      </c>
      <c r="O630" s="314" t="s">
        <v>1668</v>
      </c>
      <c r="P630" s="314" t="s">
        <v>339</v>
      </c>
      <c r="Q630" s="314" t="s">
        <v>123</v>
      </c>
      <c r="R630" s="315">
        <v>45145.65</v>
      </c>
      <c r="S630" s="314" t="s">
        <v>2396</v>
      </c>
      <c r="T630" s="314" t="s">
        <v>256</v>
      </c>
      <c r="U630" s="314" t="s">
        <v>256</v>
      </c>
      <c r="V630" s="314" t="s">
        <v>114</v>
      </c>
      <c r="W630" s="314"/>
      <c r="X630" s="314" t="str">
        <f>VLOOKUP(D630,代理总表!A:D,3,0)</f>
        <v>飞哥雨燕直播</v>
      </c>
      <c r="Y630" t="str">
        <f>VLOOKUP(D:D,代理总表!A:D,4,FALSE)</f>
        <v>飞哥雨燕直播ffmk88</v>
      </c>
      <c r="Z630">
        <f t="shared" si="27"/>
        <v>0</v>
      </c>
      <c r="AA630">
        <f t="shared" si="28"/>
        <v>15</v>
      </c>
      <c r="AB630">
        <f t="shared" si="29"/>
        <v>1</v>
      </c>
    </row>
    <row r="631" spans="1:28">
      <c r="A631" s="314" t="s">
        <v>2397</v>
      </c>
      <c r="B631" s="314" t="s">
        <v>2398</v>
      </c>
      <c r="C631" s="314">
        <v>888881469</v>
      </c>
      <c r="D631" s="314" t="s">
        <v>197</v>
      </c>
      <c r="E631" s="314" t="s">
        <v>117</v>
      </c>
      <c r="F631" s="314" t="s">
        <v>118</v>
      </c>
      <c r="G631" s="314" t="s">
        <v>108</v>
      </c>
      <c r="H631" s="314" t="s">
        <v>119</v>
      </c>
      <c r="I631" s="314" t="s">
        <v>108</v>
      </c>
      <c r="J631" s="314" t="s">
        <v>120</v>
      </c>
      <c r="K631" s="314">
        <v>0</v>
      </c>
      <c r="L631" s="314">
        <v>0</v>
      </c>
      <c r="M631" s="315">
        <v>45145.6496759259</v>
      </c>
      <c r="N631" s="314" t="s">
        <v>2399</v>
      </c>
      <c r="O631" s="314" t="s">
        <v>617</v>
      </c>
      <c r="P631" s="314" t="s">
        <v>339</v>
      </c>
      <c r="Q631" s="314" t="s">
        <v>123</v>
      </c>
      <c r="R631" s="315">
        <v>45145.649849537</v>
      </c>
      <c r="S631" s="314" t="s">
        <v>2399</v>
      </c>
      <c r="T631" s="314" t="s">
        <v>140</v>
      </c>
      <c r="U631" s="314" t="s">
        <v>140</v>
      </c>
      <c r="V631" s="314" t="s">
        <v>114</v>
      </c>
      <c r="W631" s="314"/>
      <c r="X631" s="314" t="str">
        <f>VLOOKUP(D631,代理总表!A:D,3,0)</f>
        <v>雨燕直播-越</v>
      </c>
      <c r="Y631" t="str">
        <f>VLOOKUP(D:D,代理总表!A:D,4,FALSE)</f>
        <v>雨燕直播-越ffvn66</v>
      </c>
      <c r="Z631">
        <f t="shared" si="27"/>
        <v>0</v>
      </c>
      <c r="AA631">
        <f t="shared" si="28"/>
        <v>15</v>
      </c>
      <c r="AB631">
        <f t="shared" si="29"/>
        <v>1</v>
      </c>
    </row>
    <row r="632" spans="1:28">
      <c r="A632" s="314" t="s">
        <v>2400</v>
      </c>
      <c r="B632" s="314"/>
      <c r="C632" s="314">
        <v>16625163418</v>
      </c>
      <c r="D632" s="314" t="s">
        <v>587</v>
      </c>
      <c r="E632" s="314" t="s">
        <v>104</v>
      </c>
      <c r="F632" s="314" t="s">
        <v>118</v>
      </c>
      <c r="G632" s="314" t="s">
        <v>108</v>
      </c>
      <c r="H632" s="314" t="s">
        <v>119</v>
      </c>
      <c r="I632" s="314" t="s">
        <v>108</v>
      </c>
      <c r="J632" s="314" t="s">
        <v>109</v>
      </c>
      <c r="K632" s="314">
        <v>0</v>
      </c>
      <c r="L632" s="314">
        <v>0</v>
      </c>
      <c r="M632" s="315">
        <v>45145.6493287037</v>
      </c>
      <c r="N632" s="314" t="s">
        <v>2401</v>
      </c>
      <c r="O632" s="314" t="s">
        <v>1011</v>
      </c>
      <c r="P632" s="314" t="s">
        <v>112</v>
      </c>
      <c r="Q632" s="314" t="s">
        <v>123</v>
      </c>
      <c r="R632" s="315">
        <v>45145.6493171296</v>
      </c>
      <c r="S632" s="314" t="s">
        <v>2401</v>
      </c>
      <c r="T632" s="314" t="s">
        <v>256</v>
      </c>
      <c r="U632" s="314" t="s">
        <v>256</v>
      </c>
      <c r="V632" s="314" t="s">
        <v>114</v>
      </c>
      <c r="W632" s="314"/>
      <c r="X632" s="314" t="str">
        <f>VLOOKUP(D632,代理总表!A:D,3,0)</f>
        <v>飞哥雨燕直播</v>
      </c>
      <c r="Y632" t="str">
        <f>VLOOKUP(D:D,代理总表!A:D,4,FALSE)</f>
        <v>飞哥雨燕直播ffmk88</v>
      </c>
      <c r="Z632">
        <f t="shared" si="27"/>
        <v>0</v>
      </c>
      <c r="AA632">
        <f t="shared" si="28"/>
        <v>15</v>
      </c>
      <c r="AB632">
        <f t="shared" si="29"/>
        <v>1</v>
      </c>
    </row>
    <row r="633" spans="1:28">
      <c r="A633" s="314" t="s">
        <v>2402</v>
      </c>
      <c r="B633" s="314" t="s">
        <v>2403</v>
      </c>
      <c r="C633" s="314">
        <v>18671735435</v>
      </c>
      <c r="D633" s="314" t="s">
        <v>148</v>
      </c>
      <c r="E633" s="314" t="s">
        <v>104</v>
      </c>
      <c r="F633" s="314" t="s">
        <v>1214</v>
      </c>
      <c r="G633" s="314" t="s">
        <v>106</v>
      </c>
      <c r="H633" s="314" t="s">
        <v>107</v>
      </c>
      <c r="I633" s="314" t="s">
        <v>108</v>
      </c>
      <c r="J633" s="314" t="s">
        <v>109</v>
      </c>
      <c r="K633" s="314">
        <v>49.92</v>
      </c>
      <c r="L633" s="314">
        <v>11.26</v>
      </c>
      <c r="M633" s="315">
        <v>45145.6482291667</v>
      </c>
      <c r="N633" s="314" t="s">
        <v>2404</v>
      </c>
      <c r="O633" s="314" t="s">
        <v>160</v>
      </c>
      <c r="P633" s="314" t="s">
        <v>161</v>
      </c>
      <c r="Q633" s="315">
        <v>45145.7782291667</v>
      </c>
      <c r="R633" s="315">
        <v>45146.3141319444</v>
      </c>
      <c r="S633" s="314" t="s">
        <v>2404</v>
      </c>
      <c r="T633" s="314" t="s">
        <v>307</v>
      </c>
      <c r="U633" s="314" t="s">
        <v>307</v>
      </c>
      <c r="V633" s="314" t="s">
        <v>114</v>
      </c>
      <c r="W633" s="314"/>
      <c r="X633" s="314" t="str">
        <f>VLOOKUP(D633,代理总表!A:D,3,0)</f>
        <v>martin</v>
      </c>
      <c r="Y633" t="str">
        <f>VLOOKUP(D:D,代理总表!A:D,4,FALSE)</f>
        <v>SEO</v>
      </c>
      <c r="Z633">
        <f t="shared" si="27"/>
        <v>1</v>
      </c>
      <c r="AA633">
        <f t="shared" si="28"/>
        <v>15</v>
      </c>
      <c r="AB633">
        <f t="shared" si="29"/>
        <v>1</v>
      </c>
    </row>
    <row r="634" spans="1:28">
      <c r="A634" s="314" t="s">
        <v>2405</v>
      </c>
      <c r="B634" s="314" t="s">
        <v>2406</v>
      </c>
      <c r="C634" s="314">
        <v>15024636311</v>
      </c>
      <c r="D634" s="314" t="s">
        <v>148</v>
      </c>
      <c r="E634" s="314" t="s">
        <v>104</v>
      </c>
      <c r="F634" s="314" t="s">
        <v>181</v>
      </c>
      <c r="G634" s="314" t="s">
        <v>106</v>
      </c>
      <c r="H634" s="314" t="s">
        <v>107</v>
      </c>
      <c r="I634" s="314" t="s">
        <v>108</v>
      </c>
      <c r="J634" s="314" t="s">
        <v>109</v>
      </c>
      <c r="K634" s="314">
        <v>138</v>
      </c>
      <c r="L634" s="314">
        <v>610</v>
      </c>
      <c r="M634" s="315">
        <v>45145.6481944444</v>
      </c>
      <c r="N634" s="314" t="s">
        <v>2407</v>
      </c>
      <c r="O634" s="314" t="s">
        <v>160</v>
      </c>
      <c r="P634" s="314" t="s">
        <v>161</v>
      </c>
      <c r="Q634" s="315">
        <v>45145.7276851852</v>
      </c>
      <c r="R634" s="315">
        <v>45146.3441898148</v>
      </c>
      <c r="S634" s="314" t="s">
        <v>2407</v>
      </c>
      <c r="T634" s="314" t="s">
        <v>2408</v>
      </c>
      <c r="U634" s="314" t="s">
        <v>2408</v>
      </c>
      <c r="V634" s="314" t="s">
        <v>114</v>
      </c>
      <c r="W634" s="314"/>
      <c r="X634" s="314" t="str">
        <f>VLOOKUP(D634,代理总表!A:D,3,0)</f>
        <v>martin</v>
      </c>
      <c r="Y634" t="str">
        <f>VLOOKUP(D:D,代理总表!A:D,4,FALSE)</f>
        <v>SEO</v>
      </c>
      <c r="Z634">
        <f t="shared" si="27"/>
        <v>1</v>
      </c>
      <c r="AA634">
        <f t="shared" si="28"/>
        <v>15</v>
      </c>
      <c r="AB634">
        <f t="shared" si="29"/>
        <v>1</v>
      </c>
    </row>
    <row r="635" spans="1:28">
      <c r="A635" s="314" t="s">
        <v>2409</v>
      </c>
      <c r="B635" s="314"/>
      <c r="C635" s="314"/>
      <c r="D635" s="314" t="s">
        <v>1513</v>
      </c>
      <c r="E635" s="314" t="s">
        <v>104</v>
      </c>
      <c r="F635" s="314" t="s">
        <v>118</v>
      </c>
      <c r="G635" s="314" t="s">
        <v>108</v>
      </c>
      <c r="H635" s="314" t="s">
        <v>119</v>
      </c>
      <c r="I635" s="314" t="s">
        <v>108</v>
      </c>
      <c r="J635" s="314" t="s">
        <v>109</v>
      </c>
      <c r="K635" s="314">
        <v>0</v>
      </c>
      <c r="L635" s="314">
        <v>0</v>
      </c>
      <c r="M635" s="315">
        <v>45145.6476967593</v>
      </c>
      <c r="N635" s="314" t="s">
        <v>2410</v>
      </c>
      <c r="O635" s="314" t="s">
        <v>1515</v>
      </c>
      <c r="P635" s="314" t="s">
        <v>112</v>
      </c>
      <c r="Q635" s="314" t="s">
        <v>123</v>
      </c>
      <c r="R635" s="315">
        <v>45145.648587963</v>
      </c>
      <c r="S635" s="314" t="s">
        <v>2410</v>
      </c>
      <c r="T635" s="314" t="s">
        <v>2411</v>
      </c>
      <c r="U635" s="314" t="s">
        <v>2411</v>
      </c>
      <c r="V635" s="314" t="s">
        <v>114</v>
      </c>
      <c r="W635" s="314"/>
      <c r="X635" s="314" t="str">
        <f>VLOOKUP(D635,代理总表!A:D,3,0)</f>
        <v>GT-骨头</v>
      </c>
      <c r="Y635" t="str">
        <f>VLOOKUP(D:D,代理总表!A:D,4,FALSE)</f>
        <v>GT-骨头gt6677</v>
      </c>
      <c r="Z635">
        <f t="shared" si="27"/>
        <v>0</v>
      </c>
      <c r="AA635">
        <f t="shared" si="28"/>
        <v>15</v>
      </c>
      <c r="AB635">
        <f t="shared" si="29"/>
        <v>1</v>
      </c>
    </row>
    <row r="636" spans="1:28">
      <c r="A636" s="314" t="s">
        <v>2412</v>
      </c>
      <c r="B636" s="314" t="s">
        <v>2413</v>
      </c>
      <c r="C636" s="314">
        <v>779510658</v>
      </c>
      <c r="D636" s="314" t="s">
        <v>445</v>
      </c>
      <c r="E636" s="314" t="s">
        <v>117</v>
      </c>
      <c r="F636" s="314" t="s">
        <v>144</v>
      </c>
      <c r="G636" s="314" t="s">
        <v>106</v>
      </c>
      <c r="H636" s="314" t="s">
        <v>107</v>
      </c>
      <c r="I636" s="314" t="s">
        <v>108</v>
      </c>
      <c r="J636" s="314" t="s">
        <v>120</v>
      </c>
      <c r="K636" s="314">
        <v>150000</v>
      </c>
      <c r="L636" s="314">
        <v>0</v>
      </c>
      <c r="M636" s="315">
        <v>45145.6474768519</v>
      </c>
      <c r="N636" s="314" t="s">
        <v>2414</v>
      </c>
      <c r="O636" s="314" t="s">
        <v>446</v>
      </c>
      <c r="P636" s="314" t="s">
        <v>112</v>
      </c>
      <c r="Q636" s="315">
        <v>45145.6544560185</v>
      </c>
      <c r="R636" s="315">
        <v>45145.8586921296</v>
      </c>
      <c r="S636" s="314" t="s">
        <v>2415</v>
      </c>
      <c r="T636" s="314" t="s">
        <v>743</v>
      </c>
      <c r="U636" s="314" t="s">
        <v>216</v>
      </c>
      <c r="V636" s="314" t="s">
        <v>114</v>
      </c>
      <c r="W636" s="314"/>
      <c r="X636" s="314" t="str">
        <f>VLOOKUP(D636,代理总表!A:D,3,0)</f>
        <v>SOCO越南直播</v>
      </c>
      <c r="Y636" t="str">
        <f>VLOOKUP(D:D,代理总表!A:D,4,FALSE)</f>
        <v>SOCO越南直播ffvn66</v>
      </c>
      <c r="Z636">
        <f t="shared" si="27"/>
        <v>1</v>
      </c>
      <c r="AA636">
        <f t="shared" si="28"/>
        <v>15</v>
      </c>
      <c r="AB636">
        <f t="shared" si="29"/>
        <v>1</v>
      </c>
    </row>
    <row r="637" spans="1:28">
      <c r="A637" s="314" t="s">
        <v>2416</v>
      </c>
      <c r="B637" s="314"/>
      <c r="C637" s="314">
        <v>568745795</v>
      </c>
      <c r="D637" s="314" t="s">
        <v>2366</v>
      </c>
      <c r="E637" s="314" t="s">
        <v>117</v>
      </c>
      <c r="F637" s="314" t="s">
        <v>118</v>
      </c>
      <c r="G637" s="314" t="s">
        <v>108</v>
      </c>
      <c r="H637" s="314" t="s">
        <v>119</v>
      </c>
      <c r="I637" s="314" t="s">
        <v>108</v>
      </c>
      <c r="J637" s="314" t="s">
        <v>120</v>
      </c>
      <c r="K637" s="314">
        <v>0</v>
      </c>
      <c r="L637" s="314">
        <v>0</v>
      </c>
      <c r="M637" s="315">
        <v>45145.6473842593</v>
      </c>
      <c r="N637" s="314" t="s">
        <v>2417</v>
      </c>
      <c r="O637" s="314" t="s">
        <v>2368</v>
      </c>
      <c r="P637" s="314" t="s">
        <v>112</v>
      </c>
      <c r="Q637" s="314" t="s">
        <v>123</v>
      </c>
      <c r="R637" s="315">
        <v>45145.648900463</v>
      </c>
      <c r="S637" s="314" t="s">
        <v>2417</v>
      </c>
      <c r="T637" s="314" t="s">
        <v>131</v>
      </c>
      <c r="U637" s="314" t="s">
        <v>131</v>
      </c>
      <c r="V637" s="314" t="s">
        <v>114</v>
      </c>
      <c r="W637" s="314"/>
      <c r="X637" s="314" t="e">
        <f>VLOOKUP(D637,代理总表!A:D,3,0)</f>
        <v>#N/A</v>
      </c>
      <c r="Y637" t="e">
        <f>VLOOKUP(D:D,代理总表!A:D,4,FALSE)</f>
        <v>#N/A</v>
      </c>
      <c r="Z637">
        <f t="shared" si="27"/>
        <v>0</v>
      </c>
      <c r="AA637">
        <f t="shared" si="28"/>
        <v>15</v>
      </c>
      <c r="AB637">
        <f t="shared" si="29"/>
        <v>1</v>
      </c>
    </row>
    <row r="638" spans="1:28">
      <c r="A638" s="314" t="s">
        <v>2418</v>
      </c>
      <c r="B638" s="314" t="s">
        <v>2419</v>
      </c>
      <c r="C638" s="314">
        <v>368868022</v>
      </c>
      <c r="D638" s="314" t="s">
        <v>1438</v>
      </c>
      <c r="E638" s="314" t="s">
        <v>117</v>
      </c>
      <c r="F638" s="314" t="s">
        <v>118</v>
      </c>
      <c r="G638" s="314" t="s">
        <v>108</v>
      </c>
      <c r="H638" s="314" t="s">
        <v>119</v>
      </c>
      <c r="I638" s="314" t="s">
        <v>108</v>
      </c>
      <c r="J638" s="314" t="s">
        <v>120</v>
      </c>
      <c r="K638" s="314">
        <v>0</v>
      </c>
      <c r="L638" s="314">
        <v>0</v>
      </c>
      <c r="M638" s="315">
        <v>45145.6470717593</v>
      </c>
      <c r="N638" s="314" t="s">
        <v>2420</v>
      </c>
      <c r="O638" s="314" t="s">
        <v>1440</v>
      </c>
      <c r="P638" s="314" t="s">
        <v>112</v>
      </c>
      <c r="Q638" s="314" t="s">
        <v>123</v>
      </c>
      <c r="R638" s="315">
        <v>45145.6570023148</v>
      </c>
      <c r="S638" s="314" t="s">
        <v>2420</v>
      </c>
      <c r="T638" s="314" t="s">
        <v>1086</v>
      </c>
      <c r="U638" s="314" t="s">
        <v>1086</v>
      </c>
      <c r="V638" s="314" t="s">
        <v>114</v>
      </c>
      <c r="W638" s="314"/>
      <c r="X638" s="314" t="e">
        <f>VLOOKUP(D638,代理总表!A:D,3,0)</f>
        <v>#N/A</v>
      </c>
      <c r="Y638" t="e">
        <f>VLOOKUP(D:D,代理总表!A:D,4,FALSE)</f>
        <v>#N/A</v>
      </c>
      <c r="Z638">
        <f t="shared" si="27"/>
        <v>0</v>
      </c>
      <c r="AA638">
        <f t="shared" si="28"/>
        <v>15</v>
      </c>
      <c r="AB638">
        <f t="shared" si="29"/>
        <v>1</v>
      </c>
    </row>
    <row r="639" spans="1:28">
      <c r="A639" s="314" t="s">
        <v>2421</v>
      </c>
      <c r="B639" s="314" t="s">
        <v>2422</v>
      </c>
      <c r="C639" s="314">
        <v>13362615728</v>
      </c>
      <c r="D639" s="314" t="s">
        <v>450</v>
      </c>
      <c r="E639" s="314" t="s">
        <v>104</v>
      </c>
      <c r="F639" s="314" t="s">
        <v>105</v>
      </c>
      <c r="G639" s="314" t="s">
        <v>106</v>
      </c>
      <c r="H639" s="314" t="s">
        <v>856</v>
      </c>
      <c r="I639" s="314" t="s">
        <v>108</v>
      </c>
      <c r="J639" s="314" t="s">
        <v>109</v>
      </c>
      <c r="K639" s="314">
        <v>28</v>
      </c>
      <c r="L639" s="314">
        <v>500</v>
      </c>
      <c r="M639" s="315">
        <v>45145.6467592593</v>
      </c>
      <c r="N639" s="314" t="s">
        <v>2423</v>
      </c>
      <c r="O639" s="314" t="s">
        <v>451</v>
      </c>
      <c r="P639" s="314" t="s">
        <v>161</v>
      </c>
      <c r="Q639" s="315">
        <v>45145.7993865741</v>
      </c>
      <c r="R639" s="315">
        <v>45146.3614814815</v>
      </c>
      <c r="S639" s="314" t="s">
        <v>2423</v>
      </c>
      <c r="T639" s="314" t="s">
        <v>781</v>
      </c>
      <c r="U639" s="314" t="s">
        <v>781</v>
      </c>
      <c r="V639" s="314" t="s">
        <v>114</v>
      </c>
      <c r="W639" s="314"/>
      <c r="X639" s="314" t="str">
        <f>VLOOKUP(D639,代理总表!A:D,3,0)</f>
        <v>外部代理总线</v>
      </c>
      <c r="Y639" t="str">
        <f>VLOOKUP(D:D,代理总表!A:D,4,FALSE)</f>
        <v>外部代理总线zh0808</v>
      </c>
      <c r="Z639">
        <f t="shared" si="27"/>
        <v>1</v>
      </c>
      <c r="AA639">
        <f t="shared" si="28"/>
        <v>15</v>
      </c>
      <c r="AB639">
        <f t="shared" si="29"/>
        <v>1</v>
      </c>
    </row>
    <row r="640" spans="1:28">
      <c r="A640" s="314" t="s">
        <v>2424</v>
      </c>
      <c r="B640" s="314"/>
      <c r="C640" s="314">
        <v>18623008389</v>
      </c>
      <c r="D640" s="314" t="s">
        <v>594</v>
      </c>
      <c r="E640" s="314" t="s">
        <v>104</v>
      </c>
      <c r="F640" s="314" t="s">
        <v>149</v>
      </c>
      <c r="G640" s="314" t="s">
        <v>108</v>
      </c>
      <c r="H640" s="314" t="s">
        <v>119</v>
      </c>
      <c r="I640" s="314" t="s">
        <v>108</v>
      </c>
      <c r="J640" s="314" t="s">
        <v>109</v>
      </c>
      <c r="K640" s="314">
        <v>0</v>
      </c>
      <c r="L640" s="314">
        <v>0</v>
      </c>
      <c r="M640" s="315">
        <v>45145.6466435185</v>
      </c>
      <c r="N640" s="314" t="s">
        <v>2425</v>
      </c>
      <c r="O640" s="314" t="s">
        <v>988</v>
      </c>
      <c r="P640" s="314" t="s">
        <v>208</v>
      </c>
      <c r="Q640" s="314" t="s">
        <v>123</v>
      </c>
      <c r="R640" s="315">
        <v>45145.6466319444</v>
      </c>
      <c r="S640" s="314" t="s">
        <v>2425</v>
      </c>
      <c r="T640" s="314" t="s">
        <v>808</v>
      </c>
      <c r="U640" s="314" t="s">
        <v>808</v>
      </c>
      <c r="V640" s="314" t="s">
        <v>114</v>
      </c>
      <c r="W640" s="314"/>
      <c r="X640" s="314" t="str">
        <f>VLOOKUP(D640,代理总表!A:D,3,0)</f>
        <v>zed</v>
      </c>
      <c r="Y640" t="str">
        <f>VLOOKUP(D:D,代理总表!A:D,4,FALSE)</f>
        <v>SEO</v>
      </c>
      <c r="Z640">
        <f t="shared" si="27"/>
        <v>0</v>
      </c>
      <c r="AA640">
        <f t="shared" si="28"/>
        <v>15</v>
      </c>
      <c r="AB640">
        <f t="shared" si="29"/>
        <v>1</v>
      </c>
    </row>
    <row r="641" spans="1:28">
      <c r="A641" s="314" t="s">
        <v>2426</v>
      </c>
      <c r="B641" s="314" t="s">
        <v>2427</v>
      </c>
      <c r="C641" s="314">
        <v>15678820875</v>
      </c>
      <c r="D641" s="314" t="s">
        <v>148</v>
      </c>
      <c r="E641" s="314" t="s">
        <v>104</v>
      </c>
      <c r="F641" s="314" t="s">
        <v>181</v>
      </c>
      <c r="G641" s="314" t="s">
        <v>106</v>
      </c>
      <c r="H641" s="314" t="s">
        <v>107</v>
      </c>
      <c r="I641" s="314" t="s">
        <v>108</v>
      </c>
      <c r="J641" s="314" t="s">
        <v>109</v>
      </c>
      <c r="K641" s="314">
        <v>100</v>
      </c>
      <c r="L641" s="314">
        <v>100</v>
      </c>
      <c r="M641" s="315">
        <v>45145.6464814815</v>
      </c>
      <c r="N641" s="314" t="s">
        <v>2428</v>
      </c>
      <c r="O641" s="314" t="s">
        <v>585</v>
      </c>
      <c r="P641" s="314" t="s">
        <v>112</v>
      </c>
      <c r="Q641" s="315">
        <v>45145.708275463</v>
      </c>
      <c r="R641" s="315">
        <v>45146.1075578704</v>
      </c>
      <c r="S641" s="314" t="s">
        <v>2428</v>
      </c>
      <c r="T641" s="314" t="s">
        <v>1013</v>
      </c>
      <c r="U641" s="314" t="s">
        <v>1013</v>
      </c>
      <c r="V641" s="314" t="s">
        <v>114</v>
      </c>
      <c r="W641" s="314"/>
      <c r="X641" s="314" t="str">
        <f>VLOOKUP(D641,代理总表!A:D,3,0)</f>
        <v>martin</v>
      </c>
      <c r="Y641" t="str">
        <f>VLOOKUP(D:D,代理总表!A:D,4,FALSE)</f>
        <v>SEO</v>
      </c>
      <c r="Z641">
        <f t="shared" si="27"/>
        <v>1</v>
      </c>
      <c r="AA641">
        <f t="shared" si="28"/>
        <v>15</v>
      </c>
      <c r="AB641">
        <f t="shared" si="29"/>
        <v>1</v>
      </c>
    </row>
    <row r="642" spans="1:28">
      <c r="A642" s="314" t="s">
        <v>2429</v>
      </c>
      <c r="B642" s="314"/>
      <c r="C642" s="314">
        <v>15538988863</v>
      </c>
      <c r="D642" s="314" t="s">
        <v>103</v>
      </c>
      <c r="E642" s="314" t="s">
        <v>104</v>
      </c>
      <c r="F642" s="314" t="s">
        <v>118</v>
      </c>
      <c r="G642" s="314" t="s">
        <v>108</v>
      </c>
      <c r="H642" s="314" t="s">
        <v>119</v>
      </c>
      <c r="I642" s="314" t="s">
        <v>108</v>
      </c>
      <c r="J642" s="314" t="s">
        <v>109</v>
      </c>
      <c r="K642" s="314">
        <v>0</v>
      </c>
      <c r="L642" s="314">
        <v>0</v>
      </c>
      <c r="M642" s="315">
        <v>45145.6456481482</v>
      </c>
      <c r="N642" s="314" t="s">
        <v>2430</v>
      </c>
      <c r="O642" s="314" t="s">
        <v>2431</v>
      </c>
      <c r="P642" s="314" t="s">
        <v>112</v>
      </c>
      <c r="Q642" s="314" t="s">
        <v>123</v>
      </c>
      <c r="R642" s="315">
        <v>45145.9661574074</v>
      </c>
      <c r="S642" s="314" t="s">
        <v>2432</v>
      </c>
      <c r="T642" s="314" t="s">
        <v>2433</v>
      </c>
      <c r="U642" s="314" t="s">
        <v>2433</v>
      </c>
      <c r="V642" s="314" t="s">
        <v>114</v>
      </c>
      <c r="W642" s="314"/>
      <c r="X642" s="314" t="str">
        <f>VLOOKUP(D642,代理总表!A:D,3,0)</f>
        <v>官网</v>
      </c>
      <c r="Y642" t="str">
        <f>VLOOKUP(D:D,代理总表!A:D,4,FALSE)</f>
        <v>官网</v>
      </c>
      <c r="Z642">
        <f t="shared" si="27"/>
        <v>0</v>
      </c>
      <c r="AA642">
        <f t="shared" si="28"/>
        <v>15</v>
      </c>
      <c r="AB642">
        <f t="shared" si="29"/>
        <v>1</v>
      </c>
    </row>
    <row r="643" spans="1:28">
      <c r="A643" s="314" t="s">
        <v>2434</v>
      </c>
      <c r="B643" s="314"/>
      <c r="C643" s="314">
        <v>13722727276</v>
      </c>
      <c r="D643" s="314" t="s">
        <v>148</v>
      </c>
      <c r="E643" s="314" t="s">
        <v>104</v>
      </c>
      <c r="F643" s="314" t="s">
        <v>149</v>
      </c>
      <c r="G643" s="314" t="s">
        <v>108</v>
      </c>
      <c r="H643" s="314" t="s">
        <v>119</v>
      </c>
      <c r="I643" s="314" t="s">
        <v>108</v>
      </c>
      <c r="J643" s="314" t="s">
        <v>109</v>
      </c>
      <c r="K643" s="314">
        <v>0</v>
      </c>
      <c r="L643" s="314">
        <v>0</v>
      </c>
      <c r="M643" s="315">
        <v>45145.6452546296</v>
      </c>
      <c r="N643" s="314" t="s">
        <v>2435</v>
      </c>
      <c r="O643" s="314" t="s">
        <v>160</v>
      </c>
      <c r="P643" s="314" t="s">
        <v>161</v>
      </c>
      <c r="Q643" s="314" t="s">
        <v>123</v>
      </c>
      <c r="R643" s="315">
        <v>45145.7406018519</v>
      </c>
      <c r="S643" s="314" t="s">
        <v>2435</v>
      </c>
      <c r="T643" s="314" t="s">
        <v>1735</v>
      </c>
      <c r="U643" s="314" t="s">
        <v>1735</v>
      </c>
      <c r="V643" s="314" t="s">
        <v>114</v>
      </c>
      <c r="W643" s="314"/>
      <c r="X643" s="314" t="str">
        <f>VLOOKUP(D643,代理总表!A:D,3,0)</f>
        <v>martin</v>
      </c>
      <c r="Y643" t="str">
        <f>VLOOKUP(D:D,代理总表!A:D,4,FALSE)</f>
        <v>SEO</v>
      </c>
      <c r="Z643">
        <f t="shared" ref="Z643:Z706" si="30">IF(RIGHT(H643,1)&gt;"0",1,0)</f>
        <v>0</v>
      </c>
      <c r="AA643">
        <f t="shared" ref="AA643:AA706" si="31">HOUR(M643)</f>
        <v>15</v>
      </c>
      <c r="AB643">
        <f t="shared" ref="AB643:AB706" si="32">IF(AE643=AF643,1,0)</f>
        <v>1</v>
      </c>
    </row>
    <row r="644" spans="1:28">
      <c r="A644" s="314" t="s">
        <v>2436</v>
      </c>
      <c r="B644" s="314" t="s">
        <v>2437</v>
      </c>
      <c r="C644" s="314">
        <v>18626070750</v>
      </c>
      <c r="D644" s="314" t="s">
        <v>1513</v>
      </c>
      <c r="E644" s="314" t="s">
        <v>104</v>
      </c>
      <c r="F644" s="314" t="s">
        <v>105</v>
      </c>
      <c r="G644" s="314" t="s">
        <v>106</v>
      </c>
      <c r="H644" s="314" t="s">
        <v>107</v>
      </c>
      <c r="I644" s="314" t="s">
        <v>108</v>
      </c>
      <c r="J644" s="314" t="s">
        <v>109</v>
      </c>
      <c r="K644" s="314">
        <v>100.01</v>
      </c>
      <c r="L644" s="314">
        <v>100</v>
      </c>
      <c r="M644" s="315">
        <v>45145.644537037</v>
      </c>
      <c r="N644" s="314" t="s">
        <v>2438</v>
      </c>
      <c r="O644" s="314" t="s">
        <v>1515</v>
      </c>
      <c r="P644" s="314" t="s">
        <v>161</v>
      </c>
      <c r="Q644" s="315">
        <v>45145.6700925926</v>
      </c>
      <c r="R644" s="315">
        <v>45146.3644791667</v>
      </c>
      <c r="S644" s="314" t="s">
        <v>2423</v>
      </c>
      <c r="T644" s="314" t="s">
        <v>781</v>
      </c>
      <c r="U644" s="314" t="s">
        <v>781</v>
      </c>
      <c r="V644" s="314" t="s">
        <v>114</v>
      </c>
      <c r="W644" s="314"/>
      <c r="X644" s="314" t="str">
        <f>VLOOKUP(D644,代理总表!A:D,3,0)</f>
        <v>GT-骨头</v>
      </c>
      <c r="Y644" t="str">
        <f>VLOOKUP(D:D,代理总表!A:D,4,FALSE)</f>
        <v>GT-骨头gt6677</v>
      </c>
      <c r="Z644">
        <f t="shared" si="30"/>
        <v>1</v>
      </c>
      <c r="AA644">
        <f t="shared" si="31"/>
        <v>15</v>
      </c>
      <c r="AB644">
        <f t="shared" si="32"/>
        <v>1</v>
      </c>
    </row>
    <row r="645" spans="1:28">
      <c r="A645" s="314" t="s">
        <v>2439</v>
      </c>
      <c r="B645" s="314"/>
      <c r="C645" s="314"/>
      <c r="D645" s="314" t="s">
        <v>143</v>
      </c>
      <c r="E645" s="314" t="s">
        <v>117</v>
      </c>
      <c r="F645" s="314" t="s">
        <v>118</v>
      </c>
      <c r="G645" s="314" t="s">
        <v>108</v>
      </c>
      <c r="H645" s="314" t="s">
        <v>119</v>
      </c>
      <c r="I645" s="314" t="s">
        <v>108</v>
      </c>
      <c r="J645" s="314" t="s">
        <v>120</v>
      </c>
      <c r="K645" s="314">
        <v>0</v>
      </c>
      <c r="L645" s="314">
        <v>0</v>
      </c>
      <c r="M645" s="315">
        <v>45145.6436111111</v>
      </c>
      <c r="N645" s="314" t="s">
        <v>1851</v>
      </c>
      <c r="O645" s="314" t="s">
        <v>407</v>
      </c>
      <c r="P645" s="314" t="s">
        <v>112</v>
      </c>
      <c r="Q645" s="314" t="s">
        <v>123</v>
      </c>
      <c r="R645" s="315">
        <v>45145.7123842593</v>
      </c>
      <c r="S645" s="314" t="s">
        <v>1851</v>
      </c>
      <c r="T645" s="314" t="s">
        <v>548</v>
      </c>
      <c r="U645" s="314" t="s">
        <v>548</v>
      </c>
      <c r="V645" s="314" t="s">
        <v>114</v>
      </c>
      <c r="W645" s="314"/>
      <c r="X645" s="314" t="str">
        <f>VLOOKUP(D645,代理总表!A:D,3,0)</f>
        <v>雨燕直播-越</v>
      </c>
      <c r="Y645" t="str">
        <f>VLOOKUP(D:D,代理总表!A:D,4,FALSE)</f>
        <v>雨燕直播-越ffvn66</v>
      </c>
      <c r="Z645">
        <f t="shared" si="30"/>
        <v>0</v>
      </c>
      <c r="AA645">
        <f t="shared" si="31"/>
        <v>15</v>
      </c>
      <c r="AB645">
        <f t="shared" si="32"/>
        <v>1</v>
      </c>
    </row>
    <row r="646" spans="1:28">
      <c r="A646" s="314" t="s">
        <v>2440</v>
      </c>
      <c r="B646" s="314" t="s">
        <v>2441</v>
      </c>
      <c r="C646" s="314">
        <v>967961696</v>
      </c>
      <c r="D646" s="314" t="s">
        <v>2442</v>
      </c>
      <c r="E646" s="314" t="s">
        <v>117</v>
      </c>
      <c r="F646" s="314" t="s">
        <v>118</v>
      </c>
      <c r="G646" s="314" t="s">
        <v>108</v>
      </c>
      <c r="H646" s="314" t="s">
        <v>119</v>
      </c>
      <c r="I646" s="314" t="s">
        <v>108</v>
      </c>
      <c r="J646" s="314" t="s">
        <v>120</v>
      </c>
      <c r="K646" s="314">
        <v>0</v>
      </c>
      <c r="L646" s="314">
        <v>0</v>
      </c>
      <c r="M646" s="315">
        <v>45145.6430787037</v>
      </c>
      <c r="N646" s="314" t="s">
        <v>2443</v>
      </c>
      <c r="O646" s="314" t="s">
        <v>2444</v>
      </c>
      <c r="P646" s="314" t="s">
        <v>339</v>
      </c>
      <c r="Q646" s="314" t="s">
        <v>123</v>
      </c>
      <c r="R646" s="315">
        <v>45146.0215509259</v>
      </c>
      <c r="S646" s="314" t="s">
        <v>2445</v>
      </c>
      <c r="T646" s="314" t="s">
        <v>124</v>
      </c>
      <c r="U646" s="314" t="s">
        <v>2127</v>
      </c>
      <c r="V646" s="314" t="s">
        <v>114</v>
      </c>
      <c r="W646" s="314"/>
      <c r="X646" s="314" t="str">
        <f>VLOOKUP(D646,代理总表!A:D,3,0)</f>
        <v>SOCO越南直播</v>
      </c>
      <c r="Y646" t="str">
        <f>VLOOKUP(D:D,代理总表!A:D,4,FALSE)</f>
        <v>SOCO越南直播ffvn66</v>
      </c>
      <c r="Z646">
        <f t="shared" si="30"/>
        <v>0</v>
      </c>
      <c r="AA646">
        <f t="shared" si="31"/>
        <v>15</v>
      </c>
      <c r="AB646">
        <f t="shared" si="32"/>
        <v>1</v>
      </c>
    </row>
    <row r="647" spans="1:28">
      <c r="A647" s="314" t="s">
        <v>2446</v>
      </c>
      <c r="B647" s="314"/>
      <c r="C647" s="314">
        <v>13011500566</v>
      </c>
      <c r="D647" s="314" t="s">
        <v>587</v>
      </c>
      <c r="E647" s="314" t="s">
        <v>104</v>
      </c>
      <c r="F647" s="314" t="s">
        <v>118</v>
      </c>
      <c r="G647" s="314" t="s">
        <v>108</v>
      </c>
      <c r="H647" s="314" t="s">
        <v>119</v>
      </c>
      <c r="I647" s="314" t="s">
        <v>108</v>
      </c>
      <c r="J647" s="314" t="s">
        <v>109</v>
      </c>
      <c r="K647" s="314">
        <v>0</v>
      </c>
      <c r="L647" s="314">
        <v>0</v>
      </c>
      <c r="M647" s="315">
        <v>45145.6430324074</v>
      </c>
      <c r="N647" s="314" t="s">
        <v>2447</v>
      </c>
      <c r="O647" s="314" t="s">
        <v>2448</v>
      </c>
      <c r="P647" s="314" t="s">
        <v>112</v>
      </c>
      <c r="Q647" s="314" t="s">
        <v>123</v>
      </c>
      <c r="R647" s="315">
        <v>45145.6444212963</v>
      </c>
      <c r="S647" s="314" t="s">
        <v>2449</v>
      </c>
      <c r="T647" s="314" t="s">
        <v>489</v>
      </c>
      <c r="U647" s="314" t="s">
        <v>489</v>
      </c>
      <c r="V647" s="314" t="s">
        <v>114</v>
      </c>
      <c r="W647" s="314"/>
      <c r="X647" s="314" t="str">
        <f>VLOOKUP(D647,代理总表!A:D,3,0)</f>
        <v>飞哥雨燕直播</v>
      </c>
      <c r="Y647" t="str">
        <f>VLOOKUP(D:D,代理总表!A:D,4,FALSE)</f>
        <v>飞哥雨燕直播ffmk88</v>
      </c>
      <c r="Z647">
        <f t="shared" si="30"/>
        <v>0</v>
      </c>
      <c r="AA647">
        <f t="shared" si="31"/>
        <v>15</v>
      </c>
      <c r="AB647">
        <f t="shared" si="32"/>
        <v>1</v>
      </c>
    </row>
    <row r="648" spans="1:28">
      <c r="A648" s="314" t="s">
        <v>2450</v>
      </c>
      <c r="B648" s="314"/>
      <c r="C648" s="314"/>
      <c r="D648" s="314" t="s">
        <v>197</v>
      </c>
      <c r="E648" s="314" t="s">
        <v>117</v>
      </c>
      <c r="F648" s="314" t="s">
        <v>118</v>
      </c>
      <c r="G648" s="314" t="s">
        <v>108</v>
      </c>
      <c r="H648" s="314" t="s">
        <v>119</v>
      </c>
      <c r="I648" s="314" t="s">
        <v>108</v>
      </c>
      <c r="J648" s="314" t="s">
        <v>120</v>
      </c>
      <c r="K648" s="314">
        <v>0</v>
      </c>
      <c r="L648" s="314">
        <v>0</v>
      </c>
      <c r="M648" s="315">
        <v>45145.6429861111</v>
      </c>
      <c r="N648" s="314" t="s">
        <v>2451</v>
      </c>
      <c r="O648" s="314" t="s">
        <v>617</v>
      </c>
      <c r="P648" s="314" t="s">
        <v>339</v>
      </c>
      <c r="Q648" s="314" t="s">
        <v>123</v>
      </c>
      <c r="R648" s="315">
        <v>45145.6429861111</v>
      </c>
      <c r="S648" s="314" t="s">
        <v>2451</v>
      </c>
      <c r="T648" s="314" t="s">
        <v>1196</v>
      </c>
      <c r="U648" s="314" t="s">
        <v>1196</v>
      </c>
      <c r="V648" s="314" t="s">
        <v>114</v>
      </c>
      <c r="W648" s="314"/>
      <c r="X648" s="314" t="str">
        <f>VLOOKUP(D648,代理总表!A:D,3,0)</f>
        <v>雨燕直播-越</v>
      </c>
      <c r="Y648" t="str">
        <f>VLOOKUP(D:D,代理总表!A:D,4,FALSE)</f>
        <v>雨燕直播-越ffvn66</v>
      </c>
      <c r="Z648">
        <f t="shared" si="30"/>
        <v>0</v>
      </c>
      <c r="AA648">
        <f t="shared" si="31"/>
        <v>15</v>
      </c>
      <c r="AB648">
        <f t="shared" si="32"/>
        <v>1</v>
      </c>
    </row>
    <row r="649" spans="1:28">
      <c r="A649" s="314" t="s">
        <v>2452</v>
      </c>
      <c r="B649" s="314" t="s">
        <v>2453</v>
      </c>
      <c r="C649" s="314">
        <v>15850213942</v>
      </c>
      <c r="D649" s="314" t="s">
        <v>370</v>
      </c>
      <c r="E649" s="314" t="s">
        <v>104</v>
      </c>
      <c r="F649" s="314" t="s">
        <v>144</v>
      </c>
      <c r="G649" s="314" t="s">
        <v>106</v>
      </c>
      <c r="H649" s="314" t="s">
        <v>107</v>
      </c>
      <c r="I649" s="314" t="s">
        <v>108</v>
      </c>
      <c r="J649" s="314" t="s">
        <v>109</v>
      </c>
      <c r="K649" s="314">
        <v>0.1</v>
      </c>
      <c r="L649" s="314">
        <v>100</v>
      </c>
      <c r="M649" s="315">
        <v>45145.6421064815</v>
      </c>
      <c r="N649" s="314" t="s">
        <v>2454</v>
      </c>
      <c r="O649" s="314" t="s">
        <v>813</v>
      </c>
      <c r="P649" s="314" t="s">
        <v>112</v>
      </c>
      <c r="Q649" s="315">
        <v>45145.6459606482</v>
      </c>
      <c r="R649" s="315">
        <v>45145.8979861111</v>
      </c>
      <c r="S649" s="314" t="s">
        <v>2455</v>
      </c>
      <c r="T649" s="314" t="s">
        <v>2456</v>
      </c>
      <c r="U649" s="314" t="s">
        <v>482</v>
      </c>
      <c r="V649" s="314" t="s">
        <v>114</v>
      </c>
      <c r="W649" s="314"/>
      <c r="X649" s="314" t="str">
        <f>VLOOKUP(D649,代理总表!A:D,3,0)</f>
        <v>GT-骨头</v>
      </c>
      <c r="Y649" t="str">
        <f>VLOOKUP(D:D,代理总表!A:D,4,FALSE)</f>
        <v>GT-骨头gt6677</v>
      </c>
      <c r="Z649">
        <f t="shared" si="30"/>
        <v>1</v>
      </c>
      <c r="AA649">
        <f t="shared" si="31"/>
        <v>15</v>
      </c>
      <c r="AB649">
        <f t="shared" si="32"/>
        <v>1</v>
      </c>
    </row>
    <row r="650" spans="1:28">
      <c r="A650" s="314" t="s">
        <v>2457</v>
      </c>
      <c r="B650" s="314"/>
      <c r="C650" s="314">
        <v>13183784336</v>
      </c>
      <c r="D650" s="314" t="s">
        <v>103</v>
      </c>
      <c r="E650" s="314" t="s">
        <v>104</v>
      </c>
      <c r="F650" s="314" t="s">
        <v>118</v>
      </c>
      <c r="G650" s="314" t="s">
        <v>108</v>
      </c>
      <c r="H650" s="314" t="s">
        <v>119</v>
      </c>
      <c r="I650" s="314" t="s">
        <v>108</v>
      </c>
      <c r="J650" s="314" t="s">
        <v>109</v>
      </c>
      <c r="K650" s="314">
        <v>0</v>
      </c>
      <c r="L650" s="314">
        <v>0</v>
      </c>
      <c r="M650" s="315">
        <v>45145.6408564815</v>
      </c>
      <c r="N650" s="314" t="s">
        <v>2458</v>
      </c>
      <c r="O650" s="314" t="s">
        <v>350</v>
      </c>
      <c r="P650" s="314" t="s">
        <v>112</v>
      </c>
      <c r="Q650" s="314" t="s">
        <v>123</v>
      </c>
      <c r="R650" s="315">
        <v>45145.6447569444</v>
      </c>
      <c r="S650" s="314" t="s">
        <v>2458</v>
      </c>
      <c r="T650" s="314" t="s">
        <v>184</v>
      </c>
      <c r="U650" s="314" t="s">
        <v>184</v>
      </c>
      <c r="V650" s="314" t="s">
        <v>114</v>
      </c>
      <c r="W650" s="314"/>
      <c r="X650" s="314" t="str">
        <f>VLOOKUP(D650,代理总表!A:D,3,0)</f>
        <v>官网</v>
      </c>
      <c r="Y650" t="str">
        <f>VLOOKUP(D:D,代理总表!A:D,4,FALSE)</f>
        <v>官网</v>
      </c>
      <c r="Z650">
        <f t="shared" si="30"/>
        <v>0</v>
      </c>
      <c r="AA650">
        <f t="shared" si="31"/>
        <v>15</v>
      </c>
      <c r="AB650">
        <f t="shared" si="32"/>
        <v>1</v>
      </c>
    </row>
    <row r="651" spans="1:28">
      <c r="A651" s="314" t="s">
        <v>2459</v>
      </c>
      <c r="B651" s="314"/>
      <c r="C651" s="314"/>
      <c r="D651" s="314" t="s">
        <v>116</v>
      </c>
      <c r="E651" s="314" t="s">
        <v>117</v>
      </c>
      <c r="F651" s="314" t="s">
        <v>118</v>
      </c>
      <c r="G651" s="314" t="s">
        <v>108</v>
      </c>
      <c r="H651" s="314" t="s">
        <v>119</v>
      </c>
      <c r="I651" s="314" t="s">
        <v>108</v>
      </c>
      <c r="J651" s="314" t="s">
        <v>120</v>
      </c>
      <c r="K651" s="314">
        <v>0</v>
      </c>
      <c r="L651" s="314">
        <v>0</v>
      </c>
      <c r="M651" s="315">
        <v>45145.6394444444</v>
      </c>
      <c r="N651" s="314" t="s">
        <v>2344</v>
      </c>
      <c r="O651" s="314" t="s">
        <v>122</v>
      </c>
      <c r="P651" s="314" t="s">
        <v>112</v>
      </c>
      <c r="Q651" s="314" t="s">
        <v>123</v>
      </c>
      <c r="R651" s="315">
        <v>45145.7966435185</v>
      </c>
      <c r="S651" s="314" t="s">
        <v>2344</v>
      </c>
      <c r="T651" s="314" t="s">
        <v>131</v>
      </c>
      <c r="U651" s="314" t="s">
        <v>131</v>
      </c>
      <c r="V651" s="314" t="s">
        <v>114</v>
      </c>
      <c r="W651" s="314"/>
      <c r="X651" s="314" t="str">
        <f>VLOOKUP(D651,代理总表!A:D,3,0)</f>
        <v>外部代理总线</v>
      </c>
      <c r="Y651" t="str">
        <f>VLOOKUP(D:D,代理总表!A:D,4,FALSE)</f>
        <v>外部代理总线zh0808</v>
      </c>
      <c r="Z651">
        <f t="shared" si="30"/>
        <v>0</v>
      </c>
      <c r="AA651">
        <f t="shared" si="31"/>
        <v>15</v>
      </c>
      <c r="AB651">
        <f t="shared" si="32"/>
        <v>1</v>
      </c>
    </row>
    <row r="652" spans="1:28">
      <c r="A652" s="314" t="s">
        <v>2460</v>
      </c>
      <c r="B652" s="314" t="s">
        <v>2461</v>
      </c>
      <c r="C652" s="314">
        <v>977676259</v>
      </c>
      <c r="D652" s="314" t="s">
        <v>224</v>
      </c>
      <c r="E652" s="314" t="s">
        <v>117</v>
      </c>
      <c r="F652" s="314" t="s">
        <v>144</v>
      </c>
      <c r="G652" s="314" t="s">
        <v>106</v>
      </c>
      <c r="H652" s="314" t="s">
        <v>107</v>
      </c>
      <c r="I652" s="314" t="s">
        <v>108</v>
      </c>
      <c r="J652" s="314" t="s">
        <v>120</v>
      </c>
      <c r="K652" s="314">
        <v>1500000</v>
      </c>
      <c r="L652" s="314">
        <v>1000000</v>
      </c>
      <c r="M652" s="315">
        <v>45145.6392476852</v>
      </c>
      <c r="N652" s="314" t="s">
        <v>2462</v>
      </c>
      <c r="O652" s="314" t="s">
        <v>226</v>
      </c>
      <c r="P652" s="314" t="s">
        <v>112</v>
      </c>
      <c r="Q652" s="315">
        <v>45145.6444907407</v>
      </c>
      <c r="R652" s="315">
        <v>45145.8326041667</v>
      </c>
      <c r="S652" s="314" t="s">
        <v>2463</v>
      </c>
      <c r="T652" s="314" t="s">
        <v>1160</v>
      </c>
      <c r="U652" s="314" t="s">
        <v>124</v>
      </c>
      <c r="V652" s="314" t="s">
        <v>114</v>
      </c>
      <c r="W652" s="314"/>
      <c r="X652" s="314" t="str">
        <f>VLOOKUP(D652,代理总表!A:D,3,0)</f>
        <v>雨燕直播-越</v>
      </c>
      <c r="Y652" t="str">
        <f>VLOOKUP(D:D,代理总表!A:D,4,FALSE)</f>
        <v>雨燕直播-越ffvn66</v>
      </c>
      <c r="Z652">
        <f t="shared" si="30"/>
        <v>1</v>
      </c>
      <c r="AA652">
        <f t="shared" si="31"/>
        <v>15</v>
      </c>
      <c r="AB652">
        <f t="shared" si="32"/>
        <v>1</v>
      </c>
    </row>
    <row r="653" spans="1:28">
      <c r="A653" s="314" t="s">
        <v>2464</v>
      </c>
      <c r="B653" s="314" t="s">
        <v>2465</v>
      </c>
      <c r="C653" s="314">
        <v>339934368</v>
      </c>
      <c r="D653" s="314" t="s">
        <v>116</v>
      </c>
      <c r="E653" s="314" t="s">
        <v>117</v>
      </c>
      <c r="F653" s="314" t="s">
        <v>118</v>
      </c>
      <c r="G653" s="314" t="s">
        <v>108</v>
      </c>
      <c r="H653" s="314" t="s">
        <v>119</v>
      </c>
      <c r="I653" s="314" t="s">
        <v>108</v>
      </c>
      <c r="J653" s="314" t="s">
        <v>120</v>
      </c>
      <c r="K653" s="314">
        <v>0</v>
      </c>
      <c r="L653" s="314">
        <v>0</v>
      </c>
      <c r="M653" s="315">
        <v>45145.638912037</v>
      </c>
      <c r="N653" s="314" t="s">
        <v>2466</v>
      </c>
      <c r="O653" s="314" t="s">
        <v>122</v>
      </c>
      <c r="P653" s="314" t="s">
        <v>112</v>
      </c>
      <c r="Q653" s="314" t="s">
        <v>123</v>
      </c>
      <c r="R653" s="315">
        <v>45145.638912037</v>
      </c>
      <c r="S653" s="314" t="s">
        <v>2466</v>
      </c>
      <c r="T653" s="314" t="s">
        <v>131</v>
      </c>
      <c r="U653" s="314" t="s">
        <v>131</v>
      </c>
      <c r="V653" s="314" t="s">
        <v>114</v>
      </c>
      <c r="W653" s="314"/>
      <c r="X653" s="314" t="str">
        <f>VLOOKUP(D653,代理总表!A:D,3,0)</f>
        <v>外部代理总线</v>
      </c>
      <c r="Y653" t="str">
        <f>VLOOKUP(D:D,代理总表!A:D,4,FALSE)</f>
        <v>外部代理总线zh0808</v>
      </c>
      <c r="Z653">
        <f t="shared" si="30"/>
        <v>0</v>
      </c>
      <c r="AA653">
        <f t="shared" si="31"/>
        <v>15</v>
      </c>
      <c r="AB653">
        <f t="shared" si="32"/>
        <v>1</v>
      </c>
    </row>
    <row r="654" spans="1:28">
      <c r="A654" s="314" t="s">
        <v>2467</v>
      </c>
      <c r="B654" s="314"/>
      <c r="C654" s="314">
        <v>15526621120</v>
      </c>
      <c r="D654" s="314" t="s">
        <v>1283</v>
      </c>
      <c r="E654" s="314" t="s">
        <v>104</v>
      </c>
      <c r="F654" s="314" t="s">
        <v>118</v>
      </c>
      <c r="G654" s="314" t="s">
        <v>108</v>
      </c>
      <c r="H654" s="314" t="s">
        <v>119</v>
      </c>
      <c r="I654" s="314" t="s">
        <v>108</v>
      </c>
      <c r="J654" s="314" t="s">
        <v>109</v>
      </c>
      <c r="K654" s="314">
        <v>0</v>
      </c>
      <c r="L654" s="314">
        <v>0</v>
      </c>
      <c r="M654" s="315">
        <v>45145.6385532407</v>
      </c>
      <c r="N654" s="314" t="s">
        <v>2468</v>
      </c>
      <c r="O654" s="314" t="s">
        <v>2469</v>
      </c>
      <c r="P654" s="314" t="s">
        <v>112</v>
      </c>
      <c r="Q654" s="314" t="s">
        <v>123</v>
      </c>
      <c r="R654" s="315">
        <v>45145.6385532407</v>
      </c>
      <c r="S654" s="314" t="s">
        <v>2468</v>
      </c>
      <c r="T654" s="314" t="s">
        <v>2470</v>
      </c>
      <c r="U654" s="314" t="s">
        <v>2470</v>
      </c>
      <c r="V654" s="314" t="s">
        <v>114</v>
      </c>
      <c r="W654" s="314"/>
      <c r="X654" s="314" t="str">
        <f>VLOOKUP(D654,代理总表!A:D,3,0)</f>
        <v>GT-B直播</v>
      </c>
      <c r="Y654" t="str">
        <f>VLOOKUP(D:D,代理总表!A:D,4,FALSE)</f>
        <v>B直播gt6688</v>
      </c>
      <c r="Z654">
        <f t="shared" si="30"/>
        <v>0</v>
      </c>
      <c r="AA654">
        <f t="shared" si="31"/>
        <v>15</v>
      </c>
      <c r="AB654">
        <f t="shared" si="32"/>
        <v>1</v>
      </c>
    </row>
    <row r="655" spans="1:28">
      <c r="A655" s="314" t="s">
        <v>2471</v>
      </c>
      <c r="B655" s="314"/>
      <c r="C655" s="314"/>
      <c r="D655" s="314" t="s">
        <v>116</v>
      </c>
      <c r="E655" s="314" t="s">
        <v>117</v>
      </c>
      <c r="F655" s="314" t="s">
        <v>118</v>
      </c>
      <c r="G655" s="314" t="s">
        <v>108</v>
      </c>
      <c r="H655" s="314" t="s">
        <v>119</v>
      </c>
      <c r="I655" s="314" t="s">
        <v>108</v>
      </c>
      <c r="J655" s="314" t="s">
        <v>120</v>
      </c>
      <c r="K655" s="314">
        <v>0</v>
      </c>
      <c r="L655" s="314">
        <v>0</v>
      </c>
      <c r="M655" s="315">
        <v>45145.6369675926</v>
      </c>
      <c r="N655" s="314" t="s">
        <v>874</v>
      </c>
      <c r="O655" s="314" t="s">
        <v>122</v>
      </c>
      <c r="P655" s="314" t="s">
        <v>112</v>
      </c>
      <c r="Q655" s="314" t="s">
        <v>123</v>
      </c>
      <c r="R655" s="315">
        <v>45145.6377430556</v>
      </c>
      <c r="S655" s="314" t="s">
        <v>874</v>
      </c>
      <c r="T655" s="314" t="s">
        <v>849</v>
      </c>
      <c r="U655" s="314" t="s">
        <v>849</v>
      </c>
      <c r="V655" s="314" t="s">
        <v>114</v>
      </c>
      <c r="W655" s="314"/>
      <c r="X655" s="314" t="str">
        <f>VLOOKUP(D655,代理总表!A:D,3,0)</f>
        <v>外部代理总线</v>
      </c>
      <c r="Y655" t="str">
        <f>VLOOKUP(D:D,代理总表!A:D,4,FALSE)</f>
        <v>外部代理总线zh0808</v>
      </c>
      <c r="Z655">
        <f t="shared" si="30"/>
        <v>0</v>
      </c>
      <c r="AA655">
        <f t="shared" si="31"/>
        <v>15</v>
      </c>
      <c r="AB655">
        <f t="shared" si="32"/>
        <v>1</v>
      </c>
    </row>
    <row r="656" spans="1:28">
      <c r="A656" s="314" t="s">
        <v>2472</v>
      </c>
      <c r="B656" s="314"/>
      <c r="C656" s="314"/>
      <c r="D656" s="314" t="s">
        <v>805</v>
      </c>
      <c r="E656" s="314" t="s">
        <v>104</v>
      </c>
      <c r="F656" s="314" t="s">
        <v>118</v>
      </c>
      <c r="G656" s="314" t="s">
        <v>108</v>
      </c>
      <c r="H656" s="314" t="s">
        <v>119</v>
      </c>
      <c r="I656" s="314" t="s">
        <v>108</v>
      </c>
      <c r="J656" s="314" t="s">
        <v>109</v>
      </c>
      <c r="K656" s="314">
        <v>0</v>
      </c>
      <c r="L656" s="314">
        <v>0</v>
      </c>
      <c r="M656" s="315">
        <v>45145.6365393518</v>
      </c>
      <c r="N656" s="314" t="s">
        <v>2473</v>
      </c>
      <c r="O656" s="314" t="s">
        <v>2199</v>
      </c>
      <c r="P656" s="314" t="s">
        <v>161</v>
      </c>
      <c r="Q656" s="314" t="s">
        <v>123</v>
      </c>
      <c r="R656" s="315">
        <v>45145.6365277778</v>
      </c>
      <c r="S656" s="314" t="s">
        <v>2473</v>
      </c>
      <c r="T656" s="314" t="s">
        <v>2474</v>
      </c>
      <c r="U656" s="314" t="s">
        <v>2474</v>
      </c>
      <c r="V656" s="314" t="s">
        <v>114</v>
      </c>
      <c r="W656" s="314"/>
      <c r="X656" s="314" t="str">
        <f>VLOOKUP(D656,代理总表!A:D,3,0)</f>
        <v>飞哥雨燕直播</v>
      </c>
      <c r="Y656" t="str">
        <f>VLOOKUP(D:D,代理总表!A:D,4,FALSE)</f>
        <v>飞哥雨燕直播ffmk88</v>
      </c>
      <c r="Z656">
        <f t="shared" si="30"/>
        <v>0</v>
      </c>
      <c r="AA656">
        <f t="shared" si="31"/>
        <v>15</v>
      </c>
      <c r="AB656">
        <f t="shared" si="32"/>
        <v>1</v>
      </c>
    </row>
    <row r="657" spans="1:28">
      <c r="A657" s="314" t="s">
        <v>2475</v>
      </c>
      <c r="B657" s="314"/>
      <c r="C657" s="314"/>
      <c r="D657" s="314" t="s">
        <v>1741</v>
      </c>
      <c r="E657" s="314" t="s">
        <v>104</v>
      </c>
      <c r="F657" s="314" t="s">
        <v>118</v>
      </c>
      <c r="G657" s="314" t="s">
        <v>108</v>
      </c>
      <c r="H657" s="314" t="s">
        <v>119</v>
      </c>
      <c r="I657" s="314" t="s">
        <v>108</v>
      </c>
      <c r="J657" s="314" t="s">
        <v>109</v>
      </c>
      <c r="K657" s="314">
        <v>0</v>
      </c>
      <c r="L657" s="314">
        <v>0</v>
      </c>
      <c r="M657" s="315">
        <v>45145.636099537</v>
      </c>
      <c r="N657" s="314" t="s">
        <v>2476</v>
      </c>
      <c r="O657" s="314" t="s">
        <v>582</v>
      </c>
      <c r="P657" s="314" t="s">
        <v>112</v>
      </c>
      <c r="Q657" s="314" t="s">
        <v>123</v>
      </c>
      <c r="R657" s="315">
        <v>45145.636087963</v>
      </c>
      <c r="S657" s="314" t="s">
        <v>2476</v>
      </c>
      <c r="T657" s="314" t="s">
        <v>790</v>
      </c>
      <c r="U657" s="314" t="s">
        <v>790</v>
      </c>
      <c r="V657" s="314" t="s">
        <v>114</v>
      </c>
      <c r="W657" s="314"/>
      <c r="X657" s="314" t="str">
        <f>VLOOKUP(D657,代理总表!A:D,3,0)</f>
        <v>飞哥雨燕直播</v>
      </c>
      <c r="Y657" t="str">
        <f>VLOOKUP(D:D,代理总表!A:D,4,FALSE)</f>
        <v>飞哥雨燕直播ffmk88</v>
      </c>
      <c r="Z657">
        <f t="shared" si="30"/>
        <v>0</v>
      </c>
      <c r="AA657">
        <f t="shared" si="31"/>
        <v>15</v>
      </c>
      <c r="AB657">
        <f t="shared" si="32"/>
        <v>1</v>
      </c>
    </row>
    <row r="658" spans="1:28">
      <c r="A658" s="314" t="s">
        <v>2477</v>
      </c>
      <c r="B658" s="314" t="s">
        <v>2478</v>
      </c>
      <c r="C658" s="314">
        <v>19837521789</v>
      </c>
      <c r="D658" s="314" t="s">
        <v>235</v>
      </c>
      <c r="E658" s="314" t="s">
        <v>104</v>
      </c>
      <c r="F658" s="314" t="s">
        <v>181</v>
      </c>
      <c r="G658" s="314" t="s">
        <v>106</v>
      </c>
      <c r="H658" s="314" t="s">
        <v>107</v>
      </c>
      <c r="I658" s="314" t="s">
        <v>108</v>
      </c>
      <c r="J658" s="314" t="s">
        <v>109</v>
      </c>
      <c r="K658" s="314">
        <v>100</v>
      </c>
      <c r="L658" s="314">
        <v>200</v>
      </c>
      <c r="M658" s="315">
        <v>45145.6359259259</v>
      </c>
      <c r="N658" s="314" t="s">
        <v>2479</v>
      </c>
      <c r="O658" s="314" t="s">
        <v>786</v>
      </c>
      <c r="P658" s="314" t="s">
        <v>208</v>
      </c>
      <c r="Q658" s="315">
        <v>45145.6458217593</v>
      </c>
      <c r="R658" s="315">
        <v>45145.8633564815</v>
      </c>
      <c r="S658" s="314" t="s">
        <v>2480</v>
      </c>
      <c r="T658" s="314" t="s">
        <v>1813</v>
      </c>
      <c r="U658" s="314" t="s">
        <v>1813</v>
      </c>
      <c r="V658" s="314" t="s">
        <v>114</v>
      </c>
      <c r="W658" s="314" t="s">
        <v>2481</v>
      </c>
      <c r="X658" s="314" t="str">
        <f>VLOOKUP(D658,代理总表!A:D,3,0)</f>
        <v>aber</v>
      </c>
      <c r="Y658" t="str">
        <f>VLOOKUP(D:D,代理总表!A:D,4,FALSE)</f>
        <v>SEO</v>
      </c>
      <c r="Z658">
        <f t="shared" si="30"/>
        <v>1</v>
      </c>
      <c r="AA658">
        <f t="shared" si="31"/>
        <v>15</v>
      </c>
      <c r="AB658">
        <f t="shared" si="32"/>
        <v>1</v>
      </c>
    </row>
    <row r="659" spans="1:28">
      <c r="A659" s="314" t="s">
        <v>2482</v>
      </c>
      <c r="B659" s="314"/>
      <c r="C659" s="314">
        <v>912836983</v>
      </c>
      <c r="D659" s="314" t="s">
        <v>197</v>
      </c>
      <c r="E659" s="314" t="s">
        <v>117</v>
      </c>
      <c r="F659" s="314" t="s">
        <v>118</v>
      </c>
      <c r="G659" s="314" t="s">
        <v>108</v>
      </c>
      <c r="H659" s="314" t="s">
        <v>119</v>
      </c>
      <c r="I659" s="314" t="s">
        <v>108</v>
      </c>
      <c r="J659" s="314" t="s">
        <v>120</v>
      </c>
      <c r="K659" s="314">
        <v>0</v>
      </c>
      <c r="L659" s="314">
        <v>0</v>
      </c>
      <c r="M659" s="315">
        <v>45145.6358101852</v>
      </c>
      <c r="N659" s="314" t="s">
        <v>2483</v>
      </c>
      <c r="O659" s="314" t="s">
        <v>875</v>
      </c>
      <c r="P659" s="314" t="s">
        <v>112</v>
      </c>
      <c r="Q659" s="314" t="s">
        <v>123</v>
      </c>
      <c r="R659" s="315">
        <v>45145.6400925926</v>
      </c>
      <c r="S659" s="314" t="s">
        <v>2483</v>
      </c>
      <c r="T659" s="314" t="s">
        <v>131</v>
      </c>
      <c r="U659" s="314" t="s">
        <v>131</v>
      </c>
      <c r="V659" s="314" t="s">
        <v>114</v>
      </c>
      <c r="W659" s="314"/>
      <c r="X659" s="314" t="str">
        <f>VLOOKUP(D659,代理总表!A:D,3,0)</f>
        <v>雨燕直播-越</v>
      </c>
      <c r="Y659" t="str">
        <f>VLOOKUP(D:D,代理总表!A:D,4,FALSE)</f>
        <v>雨燕直播-越ffvn66</v>
      </c>
      <c r="Z659">
        <f t="shared" si="30"/>
        <v>0</v>
      </c>
      <c r="AA659">
        <f t="shared" si="31"/>
        <v>15</v>
      </c>
      <c r="AB659">
        <f t="shared" si="32"/>
        <v>1</v>
      </c>
    </row>
    <row r="660" spans="1:28">
      <c r="A660" s="314" t="s">
        <v>2484</v>
      </c>
      <c r="B660" s="314"/>
      <c r="C660" s="314">
        <v>949845056</v>
      </c>
      <c r="D660" s="314" t="s">
        <v>103</v>
      </c>
      <c r="E660" s="314" t="s">
        <v>117</v>
      </c>
      <c r="F660" s="314" t="s">
        <v>118</v>
      </c>
      <c r="G660" s="314" t="s">
        <v>108</v>
      </c>
      <c r="H660" s="314" t="s">
        <v>119</v>
      </c>
      <c r="I660" s="314" t="s">
        <v>108</v>
      </c>
      <c r="J660" s="314" t="s">
        <v>120</v>
      </c>
      <c r="K660" s="314">
        <v>0</v>
      </c>
      <c r="L660" s="314">
        <v>0</v>
      </c>
      <c r="M660" s="315">
        <v>45145.6349189815</v>
      </c>
      <c r="N660" s="314" t="s">
        <v>2485</v>
      </c>
      <c r="O660" s="314" t="s">
        <v>220</v>
      </c>
      <c r="P660" s="314" t="s">
        <v>161</v>
      </c>
      <c r="Q660" s="314" t="s">
        <v>123</v>
      </c>
      <c r="R660" s="315">
        <v>45145.6349074074</v>
      </c>
      <c r="S660" s="314" t="s">
        <v>2485</v>
      </c>
      <c r="T660" s="314" t="s">
        <v>124</v>
      </c>
      <c r="U660" s="314" t="s">
        <v>124</v>
      </c>
      <c r="V660" s="314" t="s">
        <v>114</v>
      </c>
      <c r="W660" s="314"/>
      <c r="X660" s="314" t="str">
        <f>VLOOKUP(D660,代理总表!A:D,3,0)</f>
        <v>官网</v>
      </c>
      <c r="Y660" t="str">
        <f>VLOOKUP(D:D,代理总表!A:D,4,FALSE)</f>
        <v>官网</v>
      </c>
      <c r="Z660">
        <f t="shared" si="30"/>
        <v>0</v>
      </c>
      <c r="AA660">
        <f t="shared" si="31"/>
        <v>15</v>
      </c>
      <c r="AB660">
        <f t="shared" si="32"/>
        <v>1</v>
      </c>
    </row>
    <row r="661" spans="1:28">
      <c r="A661" s="314" t="s">
        <v>2486</v>
      </c>
      <c r="B661" s="314"/>
      <c r="C661" s="314">
        <v>939540246</v>
      </c>
      <c r="D661" s="314" t="s">
        <v>116</v>
      </c>
      <c r="E661" s="314" t="s">
        <v>117</v>
      </c>
      <c r="F661" s="314" t="s">
        <v>118</v>
      </c>
      <c r="G661" s="314" t="s">
        <v>108</v>
      </c>
      <c r="H661" s="314" t="s">
        <v>119</v>
      </c>
      <c r="I661" s="314" t="s">
        <v>108</v>
      </c>
      <c r="J661" s="314" t="s">
        <v>120</v>
      </c>
      <c r="K661" s="314">
        <v>0</v>
      </c>
      <c r="L661" s="314">
        <v>0</v>
      </c>
      <c r="M661" s="315">
        <v>45145.6340740741</v>
      </c>
      <c r="N661" s="314" t="s">
        <v>2258</v>
      </c>
      <c r="O661" s="314" t="s">
        <v>122</v>
      </c>
      <c r="P661" s="314" t="s">
        <v>112</v>
      </c>
      <c r="Q661" s="314" t="s">
        <v>123</v>
      </c>
      <c r="R661" s="315">
        <v>45145.6608680556</v>
      </c>
      <c r="S661" s="314" t="s">
        <v>2258</v>
      </c>
      <c r="T661" s="314" t="s">
        <v>124</v>
      </c>
      <c r="U661" s="314" t="s">
        <v>124</v>
      </c>
      <c r="V661" s="314" t="s">
        <v>114</v>
      </c>
      <c r="W661" s="314"/>
      <c r="X661" s="314" t="str">
        <f>VLOOKUP(D661,代理总表!A:D,3,0)</f>
        <v>外部代理总线</v>
      </c>
      <c r="Y661" t="str">
        <f>VLOOKUP(D:D,代理总表!A:D,4,FALSE)</f>
        <v>外部代理总线zh0808</v>
      </c>
      <c r="Z661">
        <f t="shared" si="30"/>
        <v>0</v>
      </c>
      <c r="AA661">
        <f t="shared" si="31"/>
        <v>15</v>
      </c>
      <c r="AB661">
        <f t="shared" si="32"/>
        <v>1</v>
      </c>
    </row>
    <row r="662" spans="1:28">
      <c r="A662" s="314" t="s">
        <v>2487</v>
      </c>
      <c r="B662" s="314"/>
      <c r="C662" s="314"/>
      <c r="D662" s="314" t="s">
        <v>2488</v>
      </c>
      <c r="E662" s="314" t="s">
        <v>104</v>
      </c>
      <c r="F662" s="314" t="s">
        <v>118</v>
      </c>
      <c r="G662" s="314" t="s">
        <v>108</v>
      </c>
      <c r="H662" s="314" t="s">
        <v>119</v>
      </c>
      <c r="I662" s="314" t="s">
        <v>108</v>
      </c>
      <c r="J662" s="314" t="s">
        <v>109</v>
      </c>
      <c r="K662" s="314">
        <v>0</v>
      </c>
      <c r="L662" s="314">
        <v>0</v>
      </c>
      <c r="M662" s="315">
        <v>45145.6333217593</v>
      </c>
      <c r="N662" s="314" t="s">
        <v>2489</v>
      </c>
      <c r="O662" s="314" t="s">
        <v>2490</v>
      </c>
      <c r="P662" s="314" t="s">
        <v>112</v>
      </c>
      <c r="Q662" s="314" t="s">
        <v>123</v>
      </c>
      <c r="R662" s="315">
        <v>45145.6333217593</v>
      </c>
      <c r="S662" s="314" t="s">
        <v>2489</v>
      </c>
      <c r="T662" s="314" t="s">
        <v>2491</v>
      </c>
      <c r="U662" s="314" t="s">
        <v>2491</v>
      </c>
      <c r="V662" s="314" t="s">
        <v>114</v>
      </c>
      <c r="W662" s="314"/>
      <c r="X662" s="314" t="e">
        <f>VLOOKUP(D662,代理总表!A:D,3,0)</f>
        <v>#N/A</v>
      </c>
      <c r="Y662" t="e">
        <f>VLOOKUP(D:D,代理总表!A:D,4,FALSE)</f>
        <v>#N/A</v>
      </c>
      <c r="Z662">
        <f t="shared" si="30"/>
        <v>0</v>
      </c>
      <c r="AA662">
        <f t="shared" si="31"/>
        <v>15</v>
      </c>
      <c r="AB662">
        <f t="shared" si="32"/>
        <v>1</v>
      </c>
    </row>
    <row r="663" spans="1:28">
      <c r="A663" s="314" t="s">
        <v>2492</v>
      </c>
      <c r="B663" s="314" t="s">
        <v>2493</v>
      </c>
      <c r="C663" s="314">
        <v>896674323</v>
      </c>
      <c r="D663" s="314" t="s">
        <v>394</v>
      </c>
      <c r="E663" s="314" t="s">
        <v>117</v>
      </c>
      <c r="F663" s="314" t="s">
        <v>118</v>
      </c>
      <c r="G663" s="314" t="s">
        <v>108</v>
      </c>
      <c r="H663" s="314" t="s">
        <v>119</v>
      </c>
      <c r="I663" s="314" t="s">
        <v>108</v>
      </c>
      <c r="J663" s="314" t="s">
        <v>120</v>
      </c>
      <c r="K663" s="314">
        <v>0</v>
      </c>
      <c r="L663" s="314">
        <v>0</v>
      </c>
      <c r="M663" s="315">
        <v>45145.6325231481</v>
      </c>
      <c r="N663" s="314" t="s">
        <v>2494</v>
      </c>
      <c r="O663" s="314" t="s">
        <v>396</v>
      </c>
      <c r="P663" s="314" t="s">
        <v>112</v>
      </c>
      <c r="Q663" s="314" t="s">
        <v>123</v>
      </c>
      <c r="R663" s="315">
        <v>45145.6364351852</v>
      </c>
      <c r="S663" s="314" t="s">
        <v>2494</v>
      </c>
      <c r="T663" s="314" t="s">
        <v>177</v>
      </c>
      <c r="U663" s="314" t="s">
        <v>177</v>
      </c>
      <c r="V663" s="314" t="s">
        <v>114</v>
      </c>
      <c r="W663" s="314"/>
      <c r="X663" s="314" t="str">
        <f>VLOOKUP(D663,代理总表!A:D,3,0)</f>
        <v>外部代理总线</v>
      </c>
      <c r="Y663" t="str">
        <f>VLOOKUP(D:D,代理总表!A:D,4,FALSE)</f>
        <v>外部代理总线zh0808</v>
      </c>
      <c r="Z663">
        <f t="shared" si="30"/>
        <v>0</v>
      </c>
      <c r="AA663">
        <f t="shared" si="31"/>
        <v>15</v>
      </c>
      <c r="AB663">
        <f t="shared" si="32"/>
        <v>1</v>
      </c>
    </row>
    <row r="664" spans="1:28">
      <c r="A664" s="314" t="s">
        <v>2495</v>
      </c>
      <c r="B664" s="314"/>
      <c r="C664" s="314"/>
      <c r="D664" s="314" t="s">
        <v>103</v>
      </c>
      <c r="E664" s="314" t="s">
        <v>104</v>
      </c>
      <c r="F664" s="314" t="s">
        <v>118</v>
      </c>
      <c r="G664" s="314" t="s">
        <v>108</v>
      </c>
      <c r="H664" s="314" t="s">
        <v>119</v>
      </c>
      <c r="I664" s="314" t="s">
        <v>108</v>
      </c>
      <c r="J664" s="314" t="s">
        <v>109</v>
      </c>
      <c r="K664" s="314">
        <v>0</v>
      </c>
      <c r="L664" s="314">
        <v>0</v>
      </c>
      <c r="M664" s="315">
        <v>45145.6315972222</v>
      </c>
      <c r="N664" s="314" t="s">
        <v>2496</v>
      </c>
      <c r="O664" s="314" t="s">
        <v>851</v>
      </c>
      <c r="P664" s="314" t="s">
        <v>339</v>
      </c>
      <c r="Q664" s="314" t="s">
        <v>123</v>
      </c>
      <c r="R664" s="314"/>
      <c r="S664" s="314"/>
      <c r="T664" s="314" t="s">
        <v>124</v>
      </c>
      <c r="U664" s="314"/>
      <c r="V664" s="314" t="s">
        <v>114</v>
      </c>
      <c r="W664" s="314"/>
      <c r="X664" s="314" t="str">
        <f>VLOOKUP(D664,代理总表!A:D,3,0)</f>
        <v>官网</v>
      </c>
      <c r="Y664" t="str">
        <f>VLOOKUP(D:D,代理总表!A:D,4,FALSE)</f>
        <v>官网</v>
      </c>
      <c r="Z664">
        <f t="shared" si="30"/>
        <v>0</v>
      </c>
      <c r="AA664">
        <f t="shared" si="31"/>
        <v>15</v>
      </c>
      <c r="AB664">
        <f t="shared" si="32"/>
        <v>1</v>
      </c>
    </row>
    <row r="665" spans="1:28">
      <c r="A665" s="314" t="s">
        <v>2497</v>
      </c>
      <c r="B665" s="314"/>
      <c r="C665" s="314"/>
      <c r="D665" s="314" t="s">
        <v>197</v>
      </c>
      <c r="E665" s="314" t="s">
        <v>117</v>
      </c>
      <c r="F665" s="314" t="s">
        <v>118</v>
      </c>
      <c r="G665" s="314" t="s">
        <v>108</v>
      </c>
      <c r="H665" s="314" t="s">
        <v>119</v>
      </c>
      <c r="I665" s="314" t="s">
        <v>108</v>
      </c>
      <c r="J665" s="314" t="s">
        <v>120</v>
      </c>
      <c r="K665" s="314">
        <v>0</v>
      </c>
      <c r="L665" s="314">
        <v>0</v>
      </c>
      <c r="M665" s="315">
        <v>45145.6309722222</v>
      </c>
      <c r="N665" s="314" t="s">
        <v>2498</v>
      </c>
      <c r="O665" s="314" t="s">
        <v>875</v>
      </c>
      <c r="P665" s="314" t="s">
        <v>112</v>
      </c>
      <c r="Q665" s="314" t="s">
        <v>123</v>
      </c>
      <c r="R665" s="315">
        <v>45145.6309722222</v>
      </c>
      <c r="S665" s="314" t="s">
        <v>2498</v>
      </c>
      <c r="T665" s="314" t="s">
        <v>368</v>
      </c>
      <c r="U665" s="314" t="s">
        <v>368</v>
      </c>
      <c r="V665" s="314" t="s">
        <v>114</v>
      </c>
      <c r="W665" s="314"/>
      <c r="X665" s="314" t="str">
        <f>VLOOKUP(D665,代理总表!A:D,3,0)</f>
        <v>雨燕直播-越</v>
      </c>
      <c r="Y665" t="str">
        <f>VLOOKUP(D:D,代理总表!A:D,4,FALSE)</f>
        <v>雨燕直播-越ffvn66</v>
      </c>
      <c r="Z665">
        <f t="shared" si="30"/>
        <v>0</v>
      </c>
      <c r="AA665">
        <f t="shared" si="31"/>
        <v>15</v>
      </c>
      <c r="AB665">
        <f t="shared" si="32"/>
        <v>1</v>
      </c>
    </row>
    <row r="666" spans="1:28">
      <c r="A666" s="314" t="s">
        <v>2499</v>
      </c>
      <c r="B666" s="314" t="s">
        <v>2500</v>
      </c>
      <c r="C666" s="314">
        <v>18278768722</v>
      </c>
      <c r="D666" s="314" t="s">
        <v>240</v>
      </c>
      <c r="E666" s="314" t="s">
        <v>104</v>
      </c>
      <c r="F666" s="314" t="s">
        <v>181</v>
      </c>
      <c r="G666" s="314" t="s">
        <v>106</v>
      </c>
      <c r="H666" s="314" t="s">
        <v>856</v>
      </c>
      <c r="I666" s="314" t="s">
        <v>108</v>
      </c>
      <c r="J666" s="314" t="s">
        <v>109</v>
      </c>
      <c r="K666" s="314">
        <v>304.5</v>
      </c>
      <c r="L666" s="314">
        <v>300</v>
      </c>
      <c r="M666" s="315">
        <v>45145.6284027778</v>
      </c>
      <c r="N666" s="314" t="s">
        <v>2501</v>
      </c>
      <c r="O666" s="314" t="s">
        <v>836</v>
      </c>
      <c r="P666" s="314" t="s">
        <v>112</v>
      </c>
      <c r="Q666" s="315">
        <v>45145.6727893519</v>
      </c>
      <c r="R666" s="315">
        <v>45146.2145601852</v>
      </c>
      <c r="S666" s="314" t="s">
        <v>2502</v>
      </c>
      <c r="T666" s="314" t="s">
        <v>790</v>
      </c>
      <c r="U666" s="314" t="s">
        <v>790</v>
      </c>
      <c r="V666" s="314" t="s">
        <v>114</v>
      </c>
      <c r="W666" s="314"/>
      <c r="X666" s="314" t="str">
        <f>VLOOKUP(D666,代理总表!A:D,3,0)</f>
        <v>SEO邀请</v>
      </c>
      <c r="Y666" t="str">
        <f>VLOOKUP(D:D,代理总表!A:D,4,FALSE)</f>
        <v>SEO</v>
      </c>
      <c r="Z666">
        <f t="shared" si="30"/>
        <v>1</v>
      </c>
      <c r="AA666">
        <f t="shared" si="31"/>
        <v>15</v>
      </c>
      <c r="AB666">
        <f t="shared" si="32"/>
        <v>1</v>
      </c>
    </row>
    <row r="667" spans="1:28">
      <c r="A667" s="314" t="s">
        <v>2503</v>
      </c>
      <c r="B667" s="314"/>
      <c r="C667" s="314"/>
      <c r="D667" s="314" t="s">
        <v>103</v>
      </c>
      <c r="E667" s="314" t="s">
        <v>117</v>
      </c>
      <c r="F667" s="314" t="s">
        <v>118</v>
      </c>
      <c r="G667" s="314" t="s">
        <v>108</v>
      </c>
      <c r="H667" s="314" t="s">
        <v>119</v>
      </c>
      <c r="I667" s="314" t="s">
        <v>108</v>
      </c>
      <c r="J667" s="314" t="s">
        <v>120</v>
      </c>
      <c r="K667" s="314">
        <v>0</v>
      </c>
      <c r="L667" s="314">
        <v>0</v>
      </c>
      <c r="M667" s="315">
        <v>45145.627337963</v>
      </c>
      <c r="N667" s="314" t="s">
        <v>2504</v>
      </c>
      <c r="O667" s="314" t="s">
        <v>350</v>
      </c>
      <c r="P667" s="314" t="s">
        <v>112</v>
      </c>
      <c r="Q667" s="314" t="s">
        <v>123</v>
      </c>
      <c r="R667" s="315">
        <v>45145.6348726852</v>
      </c>
      <c r="S667" s="314" t="s">
        <v>2504</v>
      </c>
      <c r="T667" s="314" t="s">
        <v>520</v>
      </c>
      <c r="U667" s="314" t="s">
        <v>520</v>
      </c>
      <c r="V667" s="314" t="s">
        <v>114</v>
      </c>
      <c r="W667" s="314"/>
      <c r="X667" s="314" t="str">
        <f>VLOOKUP(D667,代理总表!A:D,3,0)</f>
        <v>官网</v>
      </c>
      <c r="Y667" t="str">
        <f>VLOOKUP(D:D,代理总表!A:D,4,FALSE)</f>
        <v>官网</v>
      </c>
      <c r="Z667">
        <f t="shared" si="30"/>
        <v>0</v>
      </c>
      <c r="AA667">
        <f t="shared" si="31"/>
        <v>15</v>
      </c>
      <c r="AB667">
        <f t="shared" si="32"/>
        <v>1</v>
      </c>
    </row>
    <row r="668" spans="1:28">
      <c r="A668" s="314" t="s">
        <v>2505</v>
      </c>
      <c r="B668" s="314"/>
      <c r="C668" s="314">
        <v>13119521153</v>
      </c>
      <c r="D668" s="314" t="s">
        <v>594</v>
      </c>
      <c r="E668" s="314" t="s">
        <v>104</v>
      </c>
      <c r="F668" s="314" t="s">
        <v>149</v>
      </c>
      <c r="G668" s="314" t="s">
        <v>108</v>
      </c>
      <c r="H668" s="314" t="s">
        <v>119</v>
      </c>
      <c r="I668" s="314" t="s">
        <v>108</v>
      </c>
      <c r="J668" s="314" t="s">
        <v>109</v>
      </c>
      <c r="K668" s="314">
        <v>0</v>
      </c>
      <c r="L668" s="314">
        <v>0</v>
      </c>
      <c r="M668" s="315">
        <v>45145.6273263889</v>
      </c>
      <c r="N668" s="314" t="s">
        <v>2506</v>
      </c>
      <c r="O668" s="314" t="s">
        <v>988</v>
      </c>
      <c r="P668" s="314" t="s">
        <v>161</v>
      </c>
      <c r="Q668" s="314" t="s">
        <v>123</v>
      </c>
      <c r="R668" s="315">
        <v>45145.6273148148</v>
      </c>
      <c r="S668" s="314" t="s">
        <v>2506</v>
      </c>
      <c r="T668" s="314" t="s">
        <v>477</v>
      </c>
      <c r="U668" s="314" t="s">
        <v>477</v>
      </c>
      <c r="V668" s="314" t="s">
        <v>114</v>
      </c>
      <c r="W668" s="314"/>
      <c r="X668" s="314" t="str">
        <f>VLOOKUP(D668,代理总表!A:D,3,0)</f>
        <v>zed</v>
      </c>
      <c r="Y668" t="str">
        <f>VLOOKUP(D:D,代理总表!A:D,4,FALSE)</f>
        <v>SEO</v>
      </c>
      <c r="Z668">
        <f t="shared" si="30"/>
        <v>0</v>
      </c>
      <c r="AA668">
        <f t="shared" si="31"/>
        <v>15</v>
      </c>
      <c r="AB668">
        <f t="shared" si="32"/>
        <v>1</v>
      </c>
    </row>
    <row r="669" spans="1:28">
      <c r="A669" s="314" t="s">
        <v>2507</v>
      </c>
      <c r="B669" s="314" t="s">
        <v>2508</v>
      </c>
      <c r="C669" s="314">
        <v>903751202</v>
      </c>
      <c r="D669" s="314" t="s">
        <v>143</v>
      </c>
      <c r="E669" s="314" t="s">
        <v>117</v>
      </c>
      <c r="F669" s="314" t="s">
        <v>144</v>
      </c>
      <c r="G669" s="314" t="s">
        <v>106</v>
      </c>
      <c r="H669" s="314" t="s">
        <v>107</v>
      </c>
      <c r="I669" s="314" t="s">
        <v>108</v>
      </c>
      <c r="J669" s="314" t="s">
        <v>120</v>
      </c>
      <c r="K669" s="314">
        <v>80000</v>
      </c>
      <c r="L669" s="314">
        <v>100000</v>
      </c>
      <c r="M669" s="315">
        <v>45145.6269907407</v>
      </c>
      <c r="N669" s="314" t="s">
        <v>2509</v>
      </c>
      <c r="O669" s="314" t="s">
        <v>146</v>
      </c>
      <c r="P669" s="314" t="s">
        <v>112</v>
      </c>
      <c r="Q669" s="315">
        <v>45145.6362268518</v>
      </c>
      <c r="R669" s="315">
        <v>45145.7547569444</v>
      </c>
      <c r="S669" s="314" t="s">
        <v>2509</v>
      </c>
      <c r="T669" s="314" t="s">
        <v>177</v>
      </c>
      <c r="U669" s="314" t="s">
        <v>177</v>
      </c>
      <c r="V669" s="314" t="s">
        <v>114</v>
      </c>
      <c r="W669" s="314"/>
      <c r="X669" s="314" t="str">
        <f>VLOOKUP(D669,代理总表!A:D,3,0)</f>
        <v>雨燕直播-越</v>
      </c>
      <c r="Y669" t="str">
        <f>VLOOKUP(D:D,代理总表!A:D,4,FALSE)</f>
        <v>雨燕直播-越ffvn66</v>
      </c>
      <c r="Z669">
        <f t="shared" si="30"/>
        <v>1</v>
      </c>
      <c r="AA669">
        <f t="shared" si="31"/>
        <v>15</v>
      </c>
      <c r="AB669">
        <f t="shared" si="32"/>
        <v>1</v>
      </c>
    </row>
    <row r="670" spans="1:28">
      <c r="A670" s="314" t="s">
        <v>2510</v>
      </c>
      <c r="B670" s="314" t="s">
        <v>2511</v>
      </c>
      <c r="C670" s="314">
        <v>901127333</v>
      </c>
      <c r="D670" s="314" t="s">
        <v>143</v>
      </c>
      <c r="E670" s="314" t="s">
        <v>117</v>
      </c>
      <c r="F670" s="314" t="s">
        <v>144</v>
      </c>
      <c r="G670" s="314" t="s">
        <v>106</v>
      </c>
      <c r="H670" s="314" t="s">
        <v>107</v>
      </c>
      <c r="I670" s="314" t="s">
        <v>108</v>
      </c>
      <c r="J670" s="314" t="s">
        <v>120</v>
      </c>
      <c r="K670" s="314">
        <v>120000</v>
      </c>
      <c r="L670" s="314">
        <v>1000000</v>
      </c>
      <c r="M670" s="315">
        <v>45145.6269097222</v>
      </c>
      <c r="N670" s="314" t="s">
        <v>2512</v>
      </c>
      <c r="O670" s="314" t="s">
        <v>407</v>
      </c>
      <c r="P670" s="314" t="s">
        <v>112</v>
      </c>
      <c r="Q670" s="315">
        <v>45145.6389583333</v>
      </c>
      <c r="R670" s="315">
        <v>45145.772025463</v>
      </c>
      <c r="S670" s="314" t="s">
        <v>2513</v>
      </c>
      <c r="T670" s="314" t="s">
        <v>216</v>
      </c>
      <c r="U670" s="314" t="s">
        <v>124</v>
      </c>
      <c r="V670" s="314" t="s">
        <v>114</v>
      </c>
      <c r="W670" s="314"/>
      <c r="X670" s="314" t="str">
        <f>VLOOKUP(D670,代理总表!A:D,3,0)</f>
        <v>雨燕直播-越</v>
      </c>
      <c r="Y670" t="str">
        <f>VLOOKUP(D:D,代理总表!A:D,4,FALSE)</f>
        <v>雨燕直播-越ffvn66</v>
      </c>
      <c r="Z670">
        <f t="shared" si="30"/>
        <v>1</v>
      </c>
      <c r="AA670">
        <f t="shared" si="31"/>
        <v>15</v>
      </c>
      <c r="AB670">
        <f t="shared" si="32"/>
        <v>1</v>
      </c>
    </row>
    <row r="671" spans="1:28">
      <c r="A671" s="314" t="s">
        <v>2514</v>
      </c>
      <c r="B671" s="314"/>
      <c r="C671" s="314"/>
      <c r="D671" s="314" t="s">
        <v>116</v>
      </c>
      <c r="E671" s="314" t="s">
        <v>117</v>
      </c>
      <c r="F671" s="314" t="s">
        <v>118</v>
      </c>
      <c r="G671" s="314" t="s">
        <v>108</v>
      </c>
      <c r="H671" s="314" t="s">
        <v>119</v>
      </c>
      <c r="I671" s="314" t="s">
        <v>108</v>
      </c>
      <c r="J671" s="314" t="s">
        <v>120</v>
      </c>
      <c r="K671" s="314">
        <v>0</v>
      </c>
      <c r="L671" s="314">
        <v>0</v>
      </c>
      <c r="M671" s="315">
        <v>45145.6261226852</v>
      </c>
      <c r="N671" s="314" t="s">
        <v>2515</v>
      </c>
      <c r="O671" s="314" t="s">
        <v>122</v>
      </c>
      <c r="P671" s="314" t="s">
        <v>112</v>
      </c>
      <c r="Q671" s="314" t="s">
        <v>123</v>
      </c>
      <c r="R671" s="315">
        <v>45145.6261111111</v>
      </c>
      <c r="S671" s="314" t="s">
        <v>2515</v>
      </c>
      <c r="T671" s="314" t="s">
        <v>131</v>
      </c>
      <c r="U671" s="314" t="s">
        <v>131</v>
      </c>
      <c r="V671" s="314" t="s">
        <v>114</v>
      </c>
      <c r="W671" s="314"/>
      <c r="X671" s="314" t="str">
        <f>VLOOKUP(D671,代理总表!A:D,3,0)</f>
        <v>外部代理总线</v>
      </c>
      <c r="Y671" t="str">
        <f>VLOOKUP(D:D,代理总表!A:D,4,FALSE)</f>
        <v>外部代理总线zh0808</v>
      </c>
      <c r="Z671">
        <f t="shared" si="30"/>
        <v>0</v>
      </c>
      <c r="AA671">
        <f t="shared" si="31"/>
        <v>15</v>
      </c>
      <c r="AB671">
        <f t="shared" si="32"/>
        <v>1</v>
      </c>
    </row>
    <row r="672" spans="1:28">
      <c r="A672" s="314" t="s">
        <v>2516</v>
      </c>
      <c r="B672" s="314"/>
      <c r="C672" s="314"/>
      <c r="D672" s="314" t="s">
        <v>103</v>
      </c>
      <c r="E672" s="314" t="s">
        <v>104</v>
      </c>
      <c r="F672" s="314" t="s">
        <v>118</v>
      </c>
      <c r="G672" s="314" t="s">
        <v>108</v>
      </c>
      <c r="H672" s="314" t="s">
        <v>119</v>
      </c>
      <c r="I672" s="314" t="s">
        <v>108</v>
      </c>
      <c r="J672" s="314" t="s">
        <v>109</v>
      </c>
      <c r="K672" s="314">
        <v>0</v>
      </c>
      <c r="L672" s="314">
        <v>0</v>
      </c>
      <c r="M672" s="315">
        <v>45145.6256018519</v>
      </c>
      <c r="N672" s="314" t="s">
        <v>2517</v>
      </c>
      <c r="O672" s="314" t="s">
        <v>851</v>
      </c>
      <c r="P672" s="314" t="s">
        <v>339</v>
      </c>
      <c r="Q672" s="314" t="s">
        <v>123</v>
      </c>
      <c r="R672" s="314"/>
      <c r="S672" s="314"/>
      <c r="T672" s="314" t="s">
        <v>124</v>
      </c>
      <c r="U672" s="314"/>
      <c r="V672" s="314" t="s">
        <v>114</v>
      </c>
      <c r="W672" s="314"/>
      <c r="X672" s="314" t="str">
        <f>VLOOKUP(D672,代理总表!A:D,3,0)</f>
        <v>官网</v>
      </c>
      <c r="Y672" t="str">
        <f>VLOOKUP(D:D,代理总表!A:D,4,FALSE)</f>
        <v>官网</v>
      </c>
      <c r="Z672">
        <f t="shared" si="30"/>
        <v>0</v>
      </c>
      <c r="AA672">
        <f t="shared" si="31"/>
        <v>15</v>
      </c>
      <c r="AB672">
        <f t="shared" si="32"/>
        <v>1</v>
      </c>
    </row>
    <row r="673" spans="1:28">
      <c r="A673" s="314" t="s">
        <v>2518</v>
      </c>
      <c r="B673" s="314"/>
      <c r="C673" s="314"/>
      <c r="D673" s="314" t="s">
        <v>1150</v>
      </c>
      <c r="E673" s="314" t="s">
        <v>506</v>
      </c>
      <c r="F673" s="314" t="s">
        <v>118</v>
      </c>
      <c r="G673" s="314" t="s">
        <v>108</v>
      </c>
      <c r="H673" s="314" t="s">
        <v>119</v>
      </c>
      <c r="I673" s="314" t="s">
        <v>108</v>
      </c>
      <c r="J673" s="314" t="s">
        <v>109</v>
      </c>
      <c r="K673" s="314">
        <v>0</v>
      </c>
      <c r="L673" s="314">
        <v>0</v>
      </c>
      <c r="M673" s="315">
        <v>45145.6238194444</v>
      </c>
      <c r="N673" s="314" t="s">
        <v>2163</v>
      </c>
      <c r="O673" s="314" t="s">
        <v>2519</v>
      </c>
      <c r="P673" s="314" t="s">
        <v>339</v>
      </c>
      <c r="Q673" s="314" t="s">
        <v>123</v>
      </c>
      <c r="R673" s="315">
        <v>45145.9122685185</v>
      </c>
      <c r="S673" s="314" t="s">
        <v>2163</v>
      </c>
      <c r="T673" s="314" t="s">
        <v>688</v>
      </c>
      <c r="U673" s="314" t="s">
        <v>688</v>
      </c>
      <c r="V673" s="314" t="s">
        <v>114</v>
      </c>
      <c r="W673" s="314"/>
      <c r="X673" s="314" t="e">
        <f>VLOOKUP(D673,代理总表!A:D,3,0)</f>
        <v>#N/A</v>
      </c>
      <c r="Y673" t="e">
        <f>VLOOKUP(D:D,代理总表!A:D,4,FALSE)</f>
        <v>#N/A</v>
      </c>
      <c r="Z673">
        <f t="shared" si="30"/>
        <v>0</v>
      </c>
      <c r="AA673">
        <f t="shared" si="31"/>
        <v>14</v>
      </c>
      <c r="AB673">
        <f t="shared" si="32"/>
        <v>1</v>
      </c>
    </row>
    <row r="674" spans="1:28">
      <c r="A674" s="314" t="s">
        <v>2520</v>
      </c>
      <c r="B674" s="314"/>
      <c r="C674" s="314">
        <v>18399737315</v>
      </c>
      <c r="D674" s="314" t="s">
        <v>235</v>
      </c>
      <c r="E674" s="314" t="s">
        <v>104</v>
      </c>
      <c r="F674" s="314" t="s">
        <v>149</v>
      </c>
      <c r="G674" s="314" t="s">
        <v>108</v>
      </c>
      <c r="H674" s="314" t="s">
        <v>119</v>
      </c>
      <c r="I674" s="314" t="s">
        <v>108</v>
      </c>
      <c r="J674" s="314" t="s">
        <v>109</v>
      </c>
      <c r="K674" s="314">
        <v>0</v>
      </c>
      <c r="L674" s="314">
        <v>0</v>
      </c>
      <c r="M674" s="315">
        <v>45145.6236574074</v>
      </c>
      <c r="N674" s="314" t="s">
        <v>2521</v>
      </c>
      <c r="O674" s="314" t="s">
        <v>237</v>
      </c>
      <c r="P674" s="314" t="s">
        <v>112</v>
      </c>
      <c r="Q674" s="314" t="s">
        <v>123</v>
      </c>
      <c r="R674" s="315">
        <v>45145.6266203704</v>
      </c>
      <c r="S674" s="314" t="s">
        <v>2521</v>
      </c>
      <c r="T674" s="314" t="s">
        <v>2522</v>
      </c>
      <c r="U674" s="314" t="s">
        <v>2522</v>
      </c>
      <c r="V674" s="314" t="s">
        <v>114</v>
      </c>
      <c r="W674" s="314"/>
      <c r="X674" s="314" t="str">
        <f>VLOOKUP(D674,代理总表!A:D,3,0)</f>
        <v>aber</v>
      </c>
      <c r="Y674" t="str">
        <f>VLOOKUP(D:D,代理总表!A:D,4,FALSE)</f>
        <v>SEO</v>
      </c>
      <c r="Z674">
        <f t="shared" si="30"/>
        <v>0</v>
      </c>
      <c r="AA674">
        <f t="shared" si="31"/>
        <v>14</v>
      </c>
      <c r="AB674">
        <f t="shared" si="32"/>
        <v>1</v>
      </c>
    </row>
    <row r="675" spans="1:28">
      <c r="A675" s="314" t="s">
        <v>2523</v>
      </c>
      <c r="B675" s="314" t="s">
        <v>2524</v>
      </c>
      <c r="C675" s="314">
        <v>17754672191</v>
      </c>
      <c r="D675" s="314" t="s">
        <v>450</v>
      </c>
      <c r="E675" s="314" t="s">
        <v>104</v>
      </c>
      <c r="F675" s="314" t="s">
        <v>2525</v>
      </c>
      <c r="G675" s="314" t="s">
        <v>106</v>
      </c>
      <c r="H675" s="314" t="s">
        <v>856</v>
      </c>
      <c r="I675" s="314" t="s">
        <v>108</v>
      </c>
      <c r="J675" s="314" t="s">
        <v>109</v>
      </c>
      <c r="K675" s="314">
        <v>58.45</v>
      </c>
      <c r="L675" s="314">
        <v>301</v>
      </c>
      <c r="M675" s="315">
        <v>45145.6233796296</v>
      </c>
      <c r="N675" s="314" t="s">
        <v>2526</v>
      </c>
      <c r="O675" s="314" t="s">
        <v>451</v>
      </c>
      <c r="P675" s="314" t="s">
        <v>208</v>
      </c>
      <c r="Q675" s="315">
        <v>45145.6566319444</v>
      </c>
      <c r="R675" s="315">
        <v>45146.1393402778</v>
      </c>
      <c r="S675" s="314" t="s">
        <v>2527</v>
      </c>
      <c r="T675" s="314" t="s">
        <v>2528</v>
      </c>
      <c r="U675" s="314" t="s">
        <v>515</v>
      </c>
      <c r="V675" s="314" t="s">
        <v>114</v>
      </c>
      <c r="W675" s="314"/>
      <c r="X675" s="314" t="str">
        <f>VLOOKUP(D675,代理总表!A:D,3,0)</f>
        <v>外部代理总线</v>
      </c>
      <c r="Y675" t="str">
        <f>VLOOKUP(D:D,代理总表!A:D,4,FALSE)</f>
        <v>外部代理总线zh0808</v>
      </c>
      <c r="Z675">
        <f t="shared" si="30"/>
        <v>1</v>
      </c>
      <c r="AA675">
        <f t="shared" si="31"/>
        <v>14</v>
      </c>
      <c r="AB675">
        <f t="shared" si="32"/>
        <v>1</v>
      </c>
    </row>
    <row r="676" spans="1:28">
      <c r="A676" s="314" t="s">
        <v>2529</v>
      </c>
      <c r="B676" s="314"/>
      <c r="C676" s="314">
        <v>17503410353</v>
      </c>
      <c r="D676" s="314" t="s">
        <v>294</v>
      </c>
      <c r="E676" s="314" t="s">
        <v>104</v>
      </c>
      <c r="F676" s="314" t="s">
        <v>149</v>
      </c>
      <c r="G676" s="314" t="s">
        <v>108</v>
      </c>
      <c r="H676" s="314" t="s">
        <v>119</v>
      </c>
      <c r="I676" s="314" t="s">
        <v>108</v>
      </c>
      <c r="J676" s="314" t="s">
        <v>109</v>
      </c>
      <c r="K676" s="314">
        <v>0</v>
      </c>
      <c r="L676" s="314">
        <v>0</v>
      </c>
      <c r="M676" s="315">
        <v>45145.6224537037</v>
      </c>
      <c r="N676" s="314" t="s">
        <v>2530</v>
      </c>
      <c r="O676" s="314" t="s">
        <v>1951</v>
      </c>
      <c r="P676" s="314" t="s">
        <v>112</v>
      </c>
      <c r="Q676" s="314" t="s">
        <v>123</v>
      </c>
      <c r="R676" s="315">
        <v>45145.6435300926</v>
      </c>
      <c r="S676" s="314" t="s">
        <v>2531</v>
      </c>
      <c r="T676" s="314" t="s">
        <v>2532</v>
      </c>
      <c r="U676" s="314" t="s">
        <v>2532</v>
      </c>
      <c r="V676" s="314" t="s">
        <v>114</v>
      </c>
      <c r="W676" s="314"/>
      <c r="X676" s="314" t="str">
        <f>VLOOKUP(D676,代理总表!A:D,3,0)</f>
        <v>DK</v>
      </c>
      <c r="Y676" t="str">
        <f>VLOOKUP(D:D,代理总表!A:D,4,FALSE)</f>
        <v>SEO</v>
      </c>
      <c r="Z676">
        <f t="shared" si="30"/>
        <v>0</v>
      </c>
      <c r="AA676">
        <f t="shared" si="31"/>
        <v>14</v>
      </c>
      <c r="AB676">
        <f t="shared" si="32"/>
        <v>1</v>
      </c>
    </row>
    <row r="677" spans="1:28">
      <c r="A677" s="314" t="s">
        <v>2533</v>
      </c>
      <c r="B677" s="314"/>
      <c r="C677" s="314"/>
      <c r="D677" s="314" t="s">
        <v>116</v>
      </c>
      <c r="E677" s="314" t="s">
        <v>117</v>
      </c>
      <c r="F677" s="314" t="s">
        <v>118</v>
      </c>
      <c r="G677" s="314" t="s">
        <v>108</v>
      </c>
      <c r="H677" s="314" t="s">
        <v>119</v>
      </c>
      <c r="I677" s="314" t="s">
        <v>108</v>
      </c>
      <c r="J677" s="314" t="s">
        <v>120</v>
      </c>
      <c r="K677" s="314">
        <v>0</v>
      </c>
      <c r="L677" s="314">
        <v>0</v>
      </c>
      <c r="M677" s="315">
        <v>45145.6221643519</v>
      </c>
      <c r="N677" s="314" t="s">
        <v>2534</v>
      </c>
      <c r="O677" s="314" t="s">
        <v>742</v>
      </c>
      <c r="P677" s="314" t="s">
        <v>339</v>
      </c>
      <c r="Q677" s="314" t="s">
        <v>123</v>
      </c>
      <c r="R677" s="315">
        <v>45145.8334837963</v>
      </c>
      <c r="S677" s="314" t="s">
        <v>2534</v>
      </c>
      <c r="T677" s="314" t="s">
        <v>131</v>
      </c>
      <c r="U677" s="314" t="s">
        <v>131</v>
      </c>
      <c r="V677" s="314" t="s">
        <v>114</v>
      </c>
      <c r="W677" s="314"/>
      <c r="X677" s="314" t="str">
        <f>VLOOKUP(D677,代理总表!A:D,3,0)</f>
        <v>外部代理总线</v>
      </c>
      <c r="Y677" t="str">
        <f>VLOOKUP(D:D,代理总表!A:D,4,FALSE)</f>
        <v>外部代理总线zh0808</v>
      </c>
      <c r="Z677">
        <f t="shared" si="30"/>
        <v>0</v>
      </c>
      <c r="AA677">
        <f t="shared" si="31"/>
        <v>14</v>
      </c>
      <c r="AB677">
        <f t="shared" si="32"/>
        <v>1</v>
      </c>
    </row>
    <row r="678" spans="1:28">
      <c r="A678" s="314" t="s">
        <v>2535</v>
      </c>
      <c r="B678" s="314"/>
      <c r="C678" s="314"/>
      <c r="D678" s="314" t="s">
        <v>651</v>
      </c>
      <c r="E678" s="314" t="s">
        <v>117</v>
      </c>
      <c r="F678" s="314" t="s">
        <v>118</v>
      </c>
      <c r="G678" s="314" t="s">
        <v>108</v>
      </c>
      <c r="H678" s="314" t="s">
        <v>119</v>
      </c>
      <c r="I678" s="314" t="s">
        <v>108</v>
      </c>
      <c r="J678" s="314" t="s">
        <v>120</v>
      </c>
      <c r="K678" s="314">
        <v>0</v>
      </c>
      <c r="L678" s="314">
        <v>0</v>
      </c>
      <c r="M678" s="315">
        <v>45145.6212615741</v>
      </c>
      <c r="N678" s="314" t="s">
        <v>2536</v>
      </c>
      <c r="O678" s="314" t="s">
        <v>653</v>
      </c>
      <c r="P678" s="314" t="s">
        <v>112</v>
      </c>
      <c r="Q678" s="314" t="s">
        <v>123</v>
      </c>
      <c r="R678" s="315">
        <v>45145.6212615741</v>
      </c>
      <c r="S678" s="314" t="s">
        <v>2536</v>
      </c>
      <c r="T678" s="314" t="s">
        <v>140</v>
      </c>
      <c r="U678" s="314" t="s">
        <v>140</v>
      </c>
      <c r="V678" s="314" t="s">
        <v>114</v>
      </c>
      <c r="W678" s="314"/>
      <c r="X678" s="314" t="str">
        <f>VLOOKUP(D678,代理总表!A:D,3,0)</f>
        <v>雨燕直播-越</v>
      </c>
      <c r="Y678" t="str">
        <f>VLOOKUP(D:D,代理总表!A:D,4,FALSE)</f>
        <v>雨燕直播-越ffvn66</v>
      </c>
      <c r="Z678">
        <f t="shared" si="30"/>
        <v>0</v>
      </c>
      <c r="AA678">
        <f t="shared" si="31"/>
        <v>14</v>
      </c>
      <c r="AB678">
        <f t="shared" si="32"/>
        <v>1</v>
      </c>
    </row>
    <row r="679" spans="1:28">
      <c r="A679" s="314" t="s">
        <v>2537</v>
      </c>
      <c r="B679" s="314"/>
      <c r="C679" s="314">
        <v>905671439</v>
      </c>
      <c r="D679" s="314" t="s">
        <v>651</v>
      </c>
      <c r="E679" s="314" t="s">
        <v>117</v>
      </c>
      <c r="F679" s="314" t="s">
        <v>118</v>
      </c>
      <c r="G679" s="314" t="s">
        <v>108</v>
      </c>
      <c r="H679" s="314" t="s">
        <v>119</v>
      </c>
      <c r="I679" s="314" t="s">
        <v>108</v>
      </c>
      <c r="J679" s="314" t="s">
        <v>120</v>
      </c>
      <c r="K679" s="314">
        <v>0</v>
      </c>
      <c r="L679" s="314">
        <v>0</v>
      </c>
      <c r="M679" s="315">
        <v>45145.6207986111</v>
      </c>
      <c r="N679" s="314" t="s">
        <v>2538</v>
      </c>
      <c r="O679" s="314" t="s">
        <v>653</v>
      </c>
      <c r="P679" s="314" t="s">
        <v>208</v>
      </c>
      <c r="Q679" s="314" t="s">
        <v>123</v>
      </c>
      <c r="R679" s="315">
        <v>45145.6219560185</v>
      </c>
      <c r="S679" s="314" t="s">
        <v>2538</v>
      </c>
      <c r="T679" s="314" t="s">
        <v>216</v>
      </c>
      <c r="U679" s="314" t="s">
        <v>216</v>
      </c>
      <c r="V679" s="314" t="s">
        <v>114</v>
      </c>
      <c r="W679" s="314"/>
      <c r="X679" s="314" t="str">
        <f>VLOOKUP(D679,代理总表!A:D,3,0)</f>
        <v>雨燕直播-越</v>
      </c>
      <c r="Y679" t="str">
        <f>VLOOKUP(D:D,代理总表!A:D,4,FALSE)</f>
        <v>雨燕直播-越ffvn66</v>
      </c>
      <c r="Z679">
        <f t="shared" si="30"/>
        <v>0</v>
      </c>
      <c r="AA679">
        <f t="shared" si="31"/>
        <v>14</v>
      </c>
      <c r="AB679">
        <f t="shared" si="32"/>
        <v>1</v>
      </c>
    </row>
    <row r="680" spans="1:28">
      <c r="A680" s="314" t="s">
        <v>2539</v>
      </c>
      <c r="B680" s="314"/>
      <c r="C680" s="314">
        <v>13882540336</v>
      </c>
      <c r="D680" s="314" t="s">
        <v>180</v>
      </c>
      <c r="E680" s="314" t="s">
        <v>104</v>
      </c>
      <c r="F680" s="314" t="s">
        <v>149</v>
      </c>
      <c r="G680" s="314" t="s">
        <v>108</v>
      </c>
      <c r="H680" s="314" t="s">
        <v>119</v>
      </c>
      <c r="I680" s="314" t="s">
        <v>108</v>
      </c>
      <c r="J680" s="314" t="s">
        <v>109</v>
      </c>
      <c r="K680" s="314">
        <v>0</v>
      </c>
      <c r="L680" s="314">
        <v>0</v>
      </c>
      <c r="M680" s="315">
        <v>45145.6184490741</v>
      </c>
      <c r="N680" s="314" t="s">
        <v>2540</v>
      </c>
      <c r="O680" s="314" t="s">
        <v>1199</v>
      </c>
      <c r="P680" s="314" t="s">
        <v>112</v>
      </c>
      <c r="Q680" s="314" t="s">
        <v>123</v>
      </c>
      <c r="R680" s="315">
        <v>45145.6257407407</v>
      </c>
      <c r="S680" s="314" t="s">
        <v>2540</v>
      </c>
      <c r="T680" s="314" t="s">
        <v>2541</v>
      </c>
      <c r="U680" s="314" t="s">
        <v>2541</v>
      </c>
      <c r="V680" s="314" t="s">
        <v>114</v>
      </c>
      <c r="W680" s="314"/>
      <c r="X680" s="314" t="str">
        <f>VLOOKUP(D680,代理总表!A:D,3,0)</f>
        <v>hugo</v>
      </c>
      <c r="Y680" t="str">
        <f>VLOOKUP(D:D,代理总表!A:D,4,FALSE)</f>
        <v>SEO</v>
      </c>
      <c r="Z680">
        <f t="shared" si="30"/>
        <v>0</v>
      </c>
      <c r="AA680">
        <f t="shared" si="31"/>
        <v>14</v>
      </c>
      <c r="AB680">
        <f t="shared" si="32"/>
        <v>1</v>
      </c>
    </row>
    <row r="681" spans="1:28">
      <c r="A681" s="314" t="s">
        <v>2542</v>
      </c>
      <c r="B681" s="314" t="s">
        <v>2543</v>
      </c>
      <c r="C681" s="314">
        <v>793263126</v>
      </c>
      <c r="D681" s="314" t="s">
        <v>197</v>
      </c>
      <c r="E681" s="314" t="s">
        <v>117</v>
      </c>
      <c r="F681" s="314" t="s">
        <v>144</v>
      </c>
      <c r="G681" s="314" t="s">
        <v>106</v>
      </c>
      <c r="H681" s="314" t="s">
        <v>107</v>
      </c>
      <c r="I681" s="314" t="s">
        <v>108</v>
      </c>
      <c r="J681" s="314" t="s">
        <v>120</v>
      </c>
      <c r="K681" s="314">
        <v>350000</v>
      </c>
      <c r="L681" s="314">
        <v>4000000</v>
      </c>
      <c r="M681" s="315">
        <v>45145.6183101852</v>
      </c>
      <c r="N681" s="314" t="s">
        <v>2544</v>
      </c>
      <c r="O681" s="314" t="s">
        <v>199</v>
      </c>
      <c r="P681" s="314" t="s">
        <v>112</v>
      </c>
      <c r="Q681" s="315">
        <v>45145.9526273148</v>
      </c>
      <c r="R681" s="315">
        <v>45145.9652777778</v>
      </c>
      <c r="S681" s="314" t="s">
        <v>2544</v>
      </c>
      <c r="T681" s="314" t="s">
        <v>124</v>
      </c>
      <c r="U681" s="314" t="s">
        <v>124</v>
      </c>
      <c r="V681" s="314" t="s">
        <v>114</v>
      </c>
      <c r="W681" s="314"/>
      <c r="X681" s="314" t="str">
        <f>VLOOKUP(D681,代理总表!A:D,3,0)</f>
        <v>雨燕直播-越</v>
      </c>
      <c r="Y681" t="str">
        <f>VLOOKUP(D:D,代理总表!A:D,4,FALSE)</f>
        <v>雨燕直播-越ffvn66</v>
      </c>
      <c r="Z681">
        <f t="shared" si="30"/>
        <v>1</v>
      </c>
      <c r="AA681">
        <f t="shared" si="31"/>
        <v>14</v>
      </c>
      <c r="AB681">
        <f t="shared" si="32"/>
        <v>1</v>
      </c>
    </row>
    <row r="682" spans="1:28">
      <c r="A682" s="314" t="s">
        <v>2545</v>
      </c>
      <c r="B682" s="314"/>
      <c r="C682" s="314">
        <v>15060906998</v>
      </c>
      <c r="D682" s="314" t="s">
        <v>180</v>
      </c>
      <c r="E682" s="314" t="s">
        <v>104</v>
      </c>
      <c r="F682" s="314" t="s">
        <v>149</v>
      </c>
      <c r="G682" s="314" t="s">
        <v>108</v>
      </c>
      <c r="H682" s="314" t="s">
        <v>119</v>
      </c>
      <c r="I682" s="314" t="s">
        <v>108</v>
      </c>
      <c r="J682" s="314" t="s">
        <v>109</v>
      </c>
      <c r="K682" s="314">
        <v>0</v>
      </c>
      <c r="L682" s="314">
        <v>0</v>
      </c>
      <c r="M682" s="315">
        <v>45145.6161805556</v>
      </c>
      <c r="N682" s="314" t="s">
        <v>2546</v>
      </c>
      <c r="O682" s="314" t="s">
        <v>717</v>
      </c>
      <c r="P682" s="314" t="s">
        <v>208</v>
      </c>
      <c r="Q682" s="314" t="s">
        <v>123</v>
      </c>
      <c r="R682" s="315">
        <v>45145.6162615741</v>
      </c>
      <c r="S682" s="314" t="s">
        <v>2546</v>
      </c>
      <c r="T682" s="314" t="s">
        <v>2547</v>
      </c>
      <c r="U682" s="314" t="s">
        <v>2547</v>
      </c>
      <c r="V682" s="314" t="s">
        <v>114</v>
      </c>
      <c r="W682" s="314"/>
      <c r="X682" s="314" t="str">
        <f>VLOOKUP(D682,代理总表!A:D,3,0)</f>
        <v>hugo</v>
      </c>
      <c r="Y682" t="str">
        <f>VLOOKUP(D:D,代理总表!A:D,4,FALSE)</f>
        <v>SEO</v>
      </c>
      <c r="Z682">
        <f t="shared" si="30"/>
        <v>0</v>
      </c>
      <c r="AA682">
        <f t="shared" si="31"/>
        <v>14</v>
      </c>
      <c r="AB682">
        <f t="shared" si="32"/>
        <v>1</v>
      </c>
    </row>
    <row r="683" spans="1:28">
      <c r="A683" s="314" t="s">
        <v>2548</v>
      </c>
      <c r="B683" s="314" t="s">
        <v>2549</v>
      </c>
      <c r="C683" s="314">
        <v>399861637</v>
      </c>
      <c r="D683" s="314" t="s">
        <v>116</v>
      </c>
      <c r="E683" s="314" t="s">
        <v>117</v>
      </c>
      <c r="F683" s="314" t="s">
        <v>118</v>
      </c>
      <c r="G683" s="314" t="s">
        <v>108</v>
      </c>
      <c r="H683" s="314" t="s">
        <v>119</v>
      </c>
      <c r="I683" s="314" t="s">
        <v>108</v>
      </c>
      <c r="J683" s="314" t="s">
        <v>120</v>
      </c>
      <c r="K683" s="314">
        <v>0</v>
      </c>
      <c r="L683" s="314">
        <v>0</v>
      </c>
      <c r="M683" s="315">
        <v>45145.6148958333</v>
      </c>
      <c r="N683" s="314" t="s">
        <v>2550</v>
      </c>
      <c r="O683" s="314" t="s">
        <v>122</v>
      </c>
      <c r="P683" s="314" t="s">
        <v>112</v>
      </c>
      <c r="Q683" s="314" t="s">
        <v>123</v>
      </c>
      <c r="R683" s="315">
        <v>45145.6259143519</v>
      </c>
      <c r="S683" s="314" t="s">
        <v>2550</v>
      </c>
      <c r="T683" s="314" t="s">
        <v>124</v>
      </c>
      <c r="U683" s="314" t="s">
        <v>124</v>
      </c>
      <c r="V683" s="314" t="s">
        <v>114</v>
      </c>
      <c r="W683" s="314"/>
      <c r="X683" s="314" t="str">
        <f>VLOOKUP(D683,代理总表!A:D,3,0)</f>
        <v>外部代理总线</v>
      </c>
      <c r="Y683" t="str">
        <f>VLOOKUP(D:D,代理总表!A:D,4,FALSE)</f>
        <v>外部代理总线zh0808</v>
      </c>
      <c r="Z683">
        <f t="shared" si="30"/>
        <v>0</v>
      </c>
      <c r="AA683">
        <f t="shared" si="31"/>
        <v>14</v>
      </c>
      <c r="AB683">
        <f t="shared" si="32"/>
        <v>1</v>
      </c>
    </row>
    <row r="684" spans="1:28">
      <c r="A684" s="314" t="s">
        <v>2551</v>
      </c>
      <c r="B684" s="314" t="s">
        <v>2552</v>
      </c>
      <c r="C684" s="314">
        <v>15820498609</v>
      </c>
      <c r="D684" s="314" t="s">
        <v>294</v>
      </c>
      <c r="E684" s="314" t="s">
        <v>104</v>
      </c>
      <c r="F684" s="314" t="s">
        <v>181</v>
      </c>
      <c r="G684" s="314" t="s">
        <v>106</v>
      </c>
      <c r="H684" s="314" t="s">
        <v>107</v>
      </c>
      <c r="I684" s="314" t="s">
        <v>108</v>
      </c>
      <c r="J684" s="314" t="s">
        <v>109</v>
      </c>
      <c r="K684" s="314">
        <v>200</v>
      </c>
      <c r="L684" s="314">
        <v>0</v>
      </c>
      <c r="M684" s="315">
        <v>45145.6147685185</v>
      </c>
      <c r="N684" s="314" t="s">
        <v>2553</v>
      </c>
      <c r="O684" s="314" t="s">
        <v>297</v>
      </c>
      <c r="P684" s="314" t="s">
        <v>208</v>
      </c>
      <c r="Q684" s="315">
        <v>45145.6240856481</v>
      </c>
      <c r="R684" s="315">
        <v>45145.6147569444</v>
      </c>
      <c r="S684" s="314" t="s">
        <v>2553</v>
      </c>
      <c r="T684" s="314" t="s">
        <v>262</v>
      </c>
      <c r="U684" s="314" t="s">
        <v>262</v>
      </c>
      <c r="V684" s="314" t="s">
        <v>114</v>
      </c>
      <c r="W684" s="314"/>
      <c r="X684" s="314" t="str">
        <f>VLOOKUP(D684,代理总表!A:D,3,0)</f>
        <v>DK</v>
      </c>
      <c r="Y684" t="str">
        <f>VLOOKUP(D:D,代理总表!A:D,4,FALSE)</f>
        <v>SEO</v>
      </c>
      <c r="Z684">
        <f t="shared" si="30"/>
        <v>1</v>
      </c>
      <c r="AA684">
        <f t="shared" si="31"/>
        <v>14</v>
      </c>
      <c r="AB684">
        <f t="shared" si="32"/>
        <v>1</v>
      </c>
    </row>
    <row r="685" spans="1:28">
      <c r="A685" s="314" t="s">
        <v>2554</v>
      </c>
      <c r="B685" s="314"/>
      <c r="C685" s="314">
        <v>335324063</v>
      </c>
      <c r="D685" s="314" t="s">
        <v>685</v>
      </c>
      <c r="E685" s="314" t="s">
        <v>117</v>
      </c>
      <c r="F685" s="314" t="s">
        <v>118</v>
      </c>
      <c r="G685" s="314" t="s">
        <v>108</v>
      </c>
      <c r="H685" s="314" t="s">
        <v>119</v>
      </c>
      <c r="I685" s="314" t="s">
        <v>108</v>
      </c>
      <c r="J685" s="314" t="s">
        <v>120</v>
      </c>
      <c r="K685" s="314">
        <v>0</v>
      </c>
      <c r="L685" s="314">
        <v>0</v>
      </c>
      <c r="M685" s="315">
        <v>45145.6146064815</v>
      </c>
      <c r="N685" s="314" t="s">
        <v>2555</v>
      </c>
      <c r="O685" s="314" t="s">
        <v>950</v>
      </c>
      <c r="P685" s="314" t="s">
        <v>112</v>
      </c>
      <c r="Q685" s="314" t="s">
        <v>123</v>
      </c>
      <c r="R685" s="315">
        <v>45145.6145949074</v>
      </c>
      <c r="S685" s="314" t="s">
        <v>2555</v>
      </c>
      <c r="T685" s="314" t="s">
        <v>216</v>
      </c>
      <c r="U685" s="314" t="s">
        <v>216</v>
      </c>
      <c r="V685" s="314" t="s">
        <v>114</v>
      </c>
      <c r="W685" s="314"/>
      <c r="X685" s="314" t="e">
        <f>VLOOKUP(D685,代理总表!A:D,3,0)</f>
        <v>#N/A</v>
      </c>
      <c r="Y685" t="e">
        <f>VLOOKUP(D:D,代理总表!A:D,4,FALSE)</f>
        <v>#N/A</v>
      </c>
      <c r="Z685">
        <f t="shared" si="30"/>
        <v>0</v>
      </c>
      <c r="AA685">
        <f t="shared" si="31"/>
        <v>14</v>
      </c>
      <c r="AB685">
        <f t="shared" si="32"/>
        <v>1</v>
      </c>
    </row>
    <row r="686" spans="1:28">
      <c r="A686" s="314" t="s">
        <v>2556</v>
      </c>
      <c r="B686" s="314"/>
      <c r="C686" s="314"/>
      <c r="D686" s="314" t="s">
        <v>240</v>
      </c>
      <c r="E686" s="314" t="s">
        <v>104</v>
      </c>
      <c r="F686" s="314" t="s">
        <v>149</v>
      </c>
      <c r="G686" s="314" t="s">
        <v>108</v>
      </c>
      <c r="H686" s="314" t="s">
        <v>119</v>
      </c>
      <c r="I686" s="314" t="s">
        <v>108</v>
      </c>
      <c r="J686" s="314" t="s">
        <v>109</v>
      </c>
      <c r="K686" s="314">
        <v>0</v>
      </c>
      <c r="L686" s="314">
        <v>0</v>
      </c>
      <c r="M686" s="315">
        <v>45145.613125</v>
      </c>
      <c r="N686" s="314" t="s">
        <v>2557</v>
      </c>
      <c r="O686" s="314" t="s">
        <v>242</v>
      </c>
      <c r="P686" s="314" t="s">
        <v>112</v>
      </c>
      <c r="Q686" s="314" t="s">
        <v>123</v>
      </c>
      <c r="R686" s="315">
        <v>45145.613125</v>
      </c>
      <c r="S686" s="314" t="s">
        <v>2557</v>
      </c>
      <c r="T686" s="314" t="s">
        <v>2558</v>
      </c>
      <c r="U686" s="314" t="s">
        <v>2558</v>
      </c>
      <c r="V686" s="314" t="s">
        <v>114</v>
      </c>
      <c r="W686" s="314"/>
      <c r="X686" s="314" t="str">
        <f>VLOOKUP(D686,代理总表!A:D,3,0)</f>
        <v>SEO邀请</v>
      </c>
      <c r="Y686" t="str">
        <f>VLOOKUP(D:D,代理总表!A:D,4,FALSE)</f>
        <v>SEO</v>
      </c>
      <c r="Z686">
        <f t="shared" si="30"/>
        <v>0</v>
      </c>
      <c r="AA686">
        <f t="shared" si="31"/>
        <v>14</v>
      </c>
      <c r="AB686">
        <f t="shared" si="32"/>
        <v>1</v>
      </c>
    </row>
    <row r="687" spans="1:28">
      <c r="A687" s="314" t="s">
        <v>2559</v>
      </c>
      <c r="B687" s="314"/>
      <c r="C687" s="314"/>
      <c r="D687" s="314" t="s">
        <v>1048</v>
      </c>
      <c r="E687" s="314" t="s">
        <v>104</v>
      </c>
      <c r="F687" s="314" t="s">
        <v>149</v>
      </c>
      <c r="G687" s="314" t="s">
        <v>108</v>
      </c>
      <c r="H687" s="314" t="s">
        <v>119</v>
      </c>
      <c r="I687" s="314" t="s">
        <v>108</v>
      </c>
      <c r="J687" s="314" t="s">
        <v>109</v>
      </c>
      <c r="K687" s="314">
        <v>0</v>
      </c>
      <c r="L687" s="314">
        <v>0</v>
      </c>
      <c r="M687" s="315">
        <v>45145.6129282407</v>
      </c>
      <c r="N687" s="314" t="s">
        <v>2560</v>
      </c>
      <c r="O687" s="314" t="s">
        <v>1050</v>
      </c>
      <c r="P687" s="314" t="s">
        <v>161</v>
      </c>
      <c r="Q687" s="314" t="s">
        <v>123</v>
      </c>
      <c r="R687" s="315">
        <v>45145.6129282407</v>
      </c>
      <c r="S687" s="314" t="s">
        <v>2560</v>
      </c>
      <c r="T687" s="314" t="s">
        <v>2561</v>
      </c>
      <c r="U687" s="314" t="s">
        <v>2561</v>
      </c>
      <c r="V687" s="314" t="s">
        <v>114</v>
      </c>
      <c r="W687" s="314"/>
      <c r="X687" s="314" t="str">
        <f>VLOOKUP(D687,代理总表!A:D,3,0)</f>
        <v>米乐转线</v>
      </c>
      <c r="Y687" t="str">
        <f>VLOOKUP(D:D,代理总表!A:D,4,FALSE)</f>
        <v>SEO</v>
      </c>
      <c r="Z687">
        <f t="shared" si="30"/>
        <v>0</v>
      </c>
      <c r="AA687">
        <f t="shared" si="31"/>
        <v>14</v>
      </c>
      <c r="AB687">
        <f t="shared" si="32"/>
        <v>1</v>
      </c>
    </row>
    <row r="688" spans="1:28">
      <c r="A688" s="314" t="s">
        <v>2562</v>
      </c>
      <c r="B688" s="314" t="s">
        <v>2563</v>
      </c>
      <c r="C688" s="314">
        <v>18939519555</v>
      </c>
      <c r="D688" s="314" t="s">
        <v>1406</v>
      </c>
      <c r="E688" s="314" t="s">
        <v>104</v>
      </c>
      <c r="F688" s="314" t="s">
        <v>1920</v>
      </c>
      <c r="G688" s="314" t="s">
        <v>106</v>
      </c>
      <c r="H688" s="314" t="s">
        <v>107</v>
      </c>
      <c r="I688" s="314" t="s">
        <v>108</v>
      </c>
      <c r="J688" s="314" t="s">
        <v>109</v>
      </c>
      <c r="K688" s="314">
        <v>417.28</v>
      </c>
      <c r="L688" s="314">
        <v>1193.64</v>
      </c>
      <c r="M688" s="315">
        <v>45145.6121759259</v>
      </c>
      <c r="N688" s="314" t="s">
        <v>2564</v>
      </c>
      <c r="O688" s="314" t="s">
        <v>2565</v>
      </c>
      <c r="P688" s="314" t="s">
        <v>112</v>
      </c>
      <c r="Q688" s="315">
        <v>45145.6399537037</v>
      </c>
      <c r="R688" s="315">
        <v>45146.0751388889</v>
      </c>
      <c r="S688" s="314" t="s">
        <v>2564</v>
      </c>
      <c r="T688" s="314" t="s">
        <v>2566</v>
      </c>
      <c r="U688" s="314" t="s">
        <v>2566</v>
      </c>
      <c r="V688" s="314" t="s">
        <v>114</v>
      </c>
      <c r="W688" s="314"/>
      <c r="X688" s="314" t="str">
        <f>VLOOKUP(D688,代理总表!A:D,3,0)</f>
        <v>原电销使用</v>
      </c>
      <c r="Y688" t="str">
        <f>VLOOKUP(D:D,代理总表!A:D,4,FALSE)</f>
        <v>原电销使用</v>
      </c>
      <c r="Z688">
        <f t="shared" si="30"/>
        <v>1</v>
      </c>
      <c r="AA688">
        <f t="shared" si="31"/>
        <v>14</v>
      </c>
      <c r="AB688">
        <f t="shared" si="32"/>
        <v>1</v>
      </c>
    </row>
    <row r="689" spans="1:28">
      <c r="A689" s="314" t="s">
        <v>2567</v>
      </c>
      <c r="B689" s="314" t="s">
        <v>2568</v>
      </c>
      <c r="C689" s="314">
        <v>989332801</v>
      </c>
      <c r="D689" s="314" t="s">
        <v>143</v>
      </c>
      <c r="E689" s="314" t="s">
        <v>117</v>
      </c>
      <c r="F689" s="314" t="s">
        <v>144</v>
      </c>
      <c r="G689" s="314" t="s">
        <v>106</v>
      </c>
      <c r="H689" s="314" t="s">
        <v>107</v>
      </c>
      <c r="I689" s="314" t="s">
        <v>108</v>
      </c>
      <c r="J689" s="314" t="s">
        <v>120</v>
      </c>
      <c r="K689" s="314">
        <v>1235820</v>
      </c>
      <c r="L689" s="314">
        <v>100000</v>
      </c>
      <c r="M689" s="315">
        <v>45145.6105324074</v>
      </c>
      <c r="N689" s="314" t="s">
        <v>2569</v>
      </c>
      <c r="O689" s="314" t="s">
        <v>407</v>
      </c>
      <c r="P689" s="314" t="s">
        <v>112</v>
      </c>
      <c r="Q689" s="315">
        <v>45145.6296527778</v>
      </c>
      <c r="R689" s="315">
        <v>45146.3620486111</v>
      </c>
      <c r="S689" s="314" t="s">
        <v>2570</v>
      </c>
      <c r="T689" s="314" t="s">
        <v>177</v>
      </c>
      <c r="U689" s="314" t="s">
        <v>177</v>
      </c>
      <c r="V689" s="314" t="s">
        <v>114</v>
      </c>
      <c r="W689" s="314"/>
      <c r="X689" s="314" t="str">
        <f>VLOOKUP(D689,代理总表!A:D,3,0)</f>
        <v>雨燕直播-越</v>
      </c>
      <c r="Y689" t="str">
        <f>VLOOKUP(D:D,代理总表!A:D,4,FALSE)</f>
        <v>雨燕直播-越ffvn66</v>
      </c>
      <c r="Z689">
        <f t="shared" si="30"/>
        <v>1</v>
      </c>
      <c r="AA689">
        <f t="shared" si="31"/>
        <v>14</v>
      </c>
      <c r="AB689">
        <f t="shared" si="32"/>
        <v>1</v>
      </c>
    </row>
    <row r="690" spans="1:28">
      <c r="A690" s="314" t="s">
        <v>2571</v>
      </c>
      <c r="B690" s="314"/>
      <c r="C690" s="314"/>
      <c r="D690" s="314" t="s">
        <v>240</v>
      </c>
      <c r="E690" s="314" t="s">
        <v>104</v>
      </c>
      <c r="F690" s="314" t="s">
        <v>149</v>
      </c>
      <c r="G690" s="314" t="s">
        <v>108</v>
      </c>
      <c r="H690" s="314" t="s">
        <v>119</v>
      </c>
      <c r="I690" s="314" t="s">
        <v>108</v>
      </c>
      <c r="J690" s="314" t="s">
        <v>109</v>
      </c>
      <c r="K690" s="314">
        <v>0</v>
      </c>
      <c r="L690" s="314">
        <v>0</v>
      </c>
      <c r="M690" s="315">
        <v>45145.6100578704</v>
      </c>
      <c r="N690" s="314" t="s">
        <v>2572</v>
      </c>
      <c r="O690" s="314" t="s">
        <v>2573</v>
      </c>
      <c r="P690" s="314" t="s">
        <v>112</v>
      </c>
      <c r="Q690" s="314" t="s">
        <v>123</v>
      </c>
      <c r="R690" s="315">
        <v>45145.6100578704</v>
      </c>
      <c r="S690" s="314" t="s">
        <v>2572</v>
      </c>
      <c r="T690" s="314" t="s">
        <v>477</v>
      </c>
      <c r="U690" s="314" t="s">
        <v>477</v>
      </c>
      <c r="V690" s="314" t="s">
        <v>114</v>
      </c>
      <c r="W690" s="314"/>
      <c r="X690" s="314" t="str">
        <f>VLOOKUP(D690,代理总表!A:D,3,0)</f>
        <v>SEO邀请</v>
      </c>
      <c r="Y690" t="str">
        <f>VLOOKUP(D:D,代理总表!A:D,4,FALSE)</f>
        <v>SEO</v>
      </c>
      <c r="Z690">
        <f t="shared" si="30"/>
        <v>0</v>
      </c>
      <c r="AA690">
        <f t="shared" si="31"/>
        <v>14</v>
      </c>
      <c r="AB690">
        <f t="shared" si="32"/>
        <v>1</v>
      </c>
    </row>
    <row r="691" spans="1:28">
      <c r="A691" s="314" t="s">
        <v>2574</v>
      </c>
      <c r="B691" s="314" t="s">
        <v>2575</v>
      </c>
      <c r="C691" s="314">
        <v>967550399</v>
      </c>
      <c r="D691" s="314" t="s">
        <v>197</v>
      </c>
      <c r="E691" s="314" t="s">
        <v>117</v>
      </c>
      <c r="F691" s="314" t="s">
        <v>144</v>
      </c>
      <c r="G691" s="314" t="s">
        <v>106</v>
      </c>
      <c r="H691" s="314" t="s">
        <v>107</v>
      </c>
      <c r="I691" s="314" t="s">
        <v>108</v>
      </c>
      <c r="J691" s="314" t="s">
        <v>120</v>
      </c>
      <c r="K691" s="314">
        <v>300000</v>
      </c>
      <c r="L691" s="314">
        <v>10448000</v>
      </c>
      <c r="M691" s="315">
        <v>45145.6100578704</v>
      </c>
      <c r="N691" s="314" t="s">
        <v>2576</v>
      </c>
      <c r="O691" s="314" t="s">
        <v>875</v>
      </c>
      <c r="P691" s="314" t="s">
        <v>112</v>
      </c>
      <c r="Q691" s="315">
        <v>45145.6412384259</v>
      </c>
      <c r="R691" s="315">
        <v>45146.1541319444</v>
      </c>
      <c r="S691" s="314" t="s">
        <v>2576</v>
      </c>
      <c r="T691" s="314" t="s">
        <v>2249</v>
      </c>
      <c r="U691" s="314" t="s">
        <v>2249</v>
      </c>
      <c r="V691" s="314" t="s">
        <v>114</v>
      </c>
      <c r="W691" s="314"/>
      <c r="X691" s="314" t="str">
        <f>VLOOKUP(D691,代理总表!A:D,3,0)</f>
        <v>雨燕直播-越</v>
      </c>
      <c r="Y691" t="str">
        <f>VLOOKUP(D:D,代理总表!A:D,4,FALSE)</f>
        <v>雨燕直播-越ffvn66</v>
      </c>
      <c r="Z691">
        <f t="shared" si="30"/>
        <v>1</v>
      </c>
      <c r="AA691">
        <f t="shared" si="31"/>
        <v>14</v>
      </c>
      <c r="AB691">
        <f t="shared" si="32"/>
        <v>1</v>
      </c>
    </row>
    <row r="692" spans="1:28">
      <c r="A692" s="314" t="s">
        <v>2577</v>
      </c>
      <c r="B692" s="314" t="s">
        <v>2578</v>
      </c>
      <c r="C692" s="314">
        <v>15505468039</v>
      </c>
      <c r="D692" s="314" t="s">
        <v>1283</v>
      </c>
      <c r="E692" s="314" t="s">
        <v>104</v>
      </c>
      <c r="F692" s="314" t="s">
        <v>2525</v>
      </c>
      <c r="G692" s="314" t="s">
        <v>106</v>
      </c>
      <c r="H692" s="314" t="s">
        <v>856</v>
      </c>
      <c r="I692" s="314" t="s">
        <v>108</v>
      </c>
      <c r="J692" s="314" t="s">
        <v>109</v>
      </c>
      <c r="K692" s="314">
        <v>18.7</v>
      </c>
      <c r="L692" s="314">
        <v>150</v>
      </c>
      <c r="M692" s="315">
        <v>45145.6097916667</v>
      </c>
      <c r="N692" s="314" t="s">
        <v>2526</v>
      </c>
      <c r="O692" s="314" t="s">
        <v>1285</v>
      </c>
      <c r="P692" s="314" t="s">
        <v>112</v>
      </c>
      <c r="Q692" s="315">
        <v>45145.6234606481</v>
      </c>
      <c r="R692" s="315">
        <v>45146.1654513889</v>
      </c>
      <c r="S692" s="314" t="s">
        <v>2579</v>
      </c>
      <c r="T692" s="314" t="s">
        <v>2528</v>
      </c>
      <c r="U692" s="314" t="s">
        <v>2528</v>
      </c>
      <c r="V692" s="314" t="s">
        <v>114</v>
      </c>
      <c r="W692" s="314"/>
      <c r="X692" s="314" t="str">
        <f>VLOOKUP(D692,代理总表!A:D,3,0)</f>
        <v>GT-B直播</v>
      </c>
      <c r="Y692" t="str">
        <f>VLOOKUP(D:D,代理总表!A:D,4,FALSE)</f>
        <v>B直播gt6688</v>
      </c>
      <c r="Z692">
        <f t="shared" si="30"/>
        <v>1</v>
      </c>
      <c r="AA692">
        <f t="shared" si="31"/>
        <v>14</v>
      </c>
      <c r="AB692">
        <f t="shared" si="32"/>
        <v>1</v>
      </c>
    </row>
    <row r="693" spans="1:28">
      <c r="A693" s="314" t="s">
        <v>2580</v>
      </c>
      <c r="B693" s="314" t="s">
        <v>2581</v>
      </c>
      <c r="C693" s="314">
        <v>778296236</v>
      </c>
      <c r="D693" s="314" t="s">
        <v>1395</v>
      </c>
      <c r="E693" s="314" t="s">
        <v>117</v>
      </c>
      <c r="F693" s="314" t="s">
        <v>118</v>
      </c>
      <c r="G693" s="314" t="s">
        <v>108</v>
      </c>
      <c r="H693" s="314" t="s">
        <v>119</v>
      </c>
      <c r="I693" s="314" t="s">
        <v>108</v>
      </c>
      <c r="J693" s="314" t="s">
        <v>120</v>
      </c>
      <c r="K693" s="314">
        <v>0</v>
      </c>
      <c r="L693" s="314">
        <v>0</v>
      </c>
      <c r="M693" s="315">
        <v>45145.6076967593</v>
      </c>
      <c r="N693" s="314" t="s">
        <v>2582</v>
      </c>
      <c r="O693" s="314" t="s">
        <v>1397</v>
      </c>
      <c r="P693" s="314" t="s">
        <v>112</v>
      </c>
      <c r="Q693" s="314" t="s">
        <v>123</v>
      </c>
      <c r="R693" s="315">
        <v>45145.6076967593</v>
      </c>
      <c r="S693" s="314" t="s">
        <v>2582</v>
      </c>
      <c r="T693" s="314" t="s">
        <v>368</v>
      </c>
      <c r="U693" s="314" t="s">
        <v>368</v>
      </c>
      <c r="V693" s="314" t="s">
        <v>114</v>
      </c>
      <c r="W693" s="314"/>
      <c r="X693" s="314" t="str">
        <f>VLOOKUP(D693,代理总表!A:D,3,0)</f>
        <v>外代-越</v>
      </c>
      <c r="Y693" t="str">
        <f>VLOOKUP(D:D,代理总表!A:D,4,FALSE)</f>
        <v>外代-越btydl072</v>
      </c>
      <c r="Z693">
        <f t="shared" si="30"/>
        <v>0</v>
      </c>
      <c r="AA693">
        <f t="shared" si="31"/>
        <v>14</v>
      </c>
      <c r="AB693">
        <f t="shared" si="32"/>
        <v>1</v>
      </c>
    </row>
    <row r="694" spans="1:28">
      <c r="A694" s="314" t="s">
        <v>2583</v>
      </c>
      <c r="B694" s="314"/>
      <c r="C694" s="314"/>
      <c r="D694" s="314" t="s">
        <v>932</v>
      </c>
      <c r="E694" s="314" t="s">
        <v>117</v>
      </c>
      <c r="F694" s="314" t="s">
        <v>118</v>
      </c>
      <c r="G694" s="314" t="s">
        <v>108</v>
      </c>
      <c r="H694" s="314" t="s">
        <v>119</v>
      </c>
      <c r="I694" s="314" t="s">
        <v>108</v>
      </c>
      <c r="J694" s="314" t="s">
        <v>120</v>
      </c>
      <c r="K694" s="314">
        <v>0</v>
      </c>
      <c r="L694" s="314">
        <v>0</v>
      </c>
      <c r="M694" s="315">
        <v>45145.6075115741</v>
      </c>
      <c r="N694" s="314" t="s">
        <v>2584</v>
      </c>
      <c r="O694" s="314" t="s">
        <v>934</v>
      </c>
      <c r="P694" s="314" t="s">
        <v>112</v>
      </c>
      <c r="Q694" s="314" t="s">
        <v>123</v>
      </c>
      <c r="R694" s="315">
        <v>45145.6075</v>
      </c>
      <c r="S694" s="314" t="s">
        <v>2584</v>
      </c>
      <c r="T694" s="314" t="s">
        <v>131</v>
      </c>
      <c r="U694" s="314" t="s">
        <v>131</v>
      </c>
      <c r="V694" s="314" t="s">
        <v>114</v>
      </c>
      <c r="W694" s="314"/>
      <c r="X694" s="314" t="str">
        <f>VLOOKUP(D694,代理总表!A:D,3,0)</f>
        <v>外代-越</v>
      </c>
      <c r="Y694" t="str">
        <f>VLOOKUP(D:D,代理总表!A:D,4,FALSE)</f>
        <v>外代-越btydl072</v>
      </c>
      <c r="Z694">
        <f t="shared" si="30"/>
        <v>0</v>
      </c>
      <c r="AA694">
        <f t="shared" si="31"/>
        <v>14</v>
      </c>
      <c r="AB694">
        <f t="shared" si="32"/>
        <v>1</v>
      </c>
    </row>
    <row r="695" spans="1:28">
      <c r="A695" s="314" t="s">
        <v>2585</v>
      </c>
      <c r="B695" s="314"/>
      <c r="C695" s="314">
        <v>15502066827</v>
      </c>
      <c r="D695" s="314" t="s">
        <v>148</v>
      </c>
      <c r="E695" s="314" t="s">
        <v>104</v>
      </c>
      <c r="F695" s="314" t="s">
        <v>149</v>
      </c>
      <c r="G695" s="314" t="s">
        <v>108</v>
      </c>
      <c r="H695" s="314" t="s">
        <v>119</v>
      </c>
      <c r="I695" s="314" t="s">
        <v>108</v>
      </c>
      <c r="J695" s="314" t="s">
        <v>109</v>
      </c>
      <c r="K695" s="314">
        <v>0</v>
      </c>
      <c r="L695" s="314">
        <v>0</v>
      </c>
      <c r="M695" s="315">
        <v>45145.6070833333</v>
      </c>
      <c r="N695" s="314" t="s">
        <v>2586</v>
      </c>
      <c r="O695" s="314" t="s">
        <v>585</v>
      </c>
      <c r="P695" s="314" t="s">
        <v>112</v>
      </c>
      <c r="Q695" s="314" t="s">
        <v>123</v>
      </c>
      <c r="R695" s="315">
        <v>45145.6070717593</v>
      </c>
      <c r="S695" s="314" t="s">
        <v>2586</v>
      </c>
      <c r="T695" s="314" t="s">
        <v>2587</v>
      </c>
      <c r="U695" s="314" t="s">
        <v>2587</v>
      </c>
      <c r="V695" s="314" t="s">
        <v>114</v>
      </c>
      <c r="W695" s="314"/>
      <c r="X695" s="314" t="str">
        <f>VLOOKUP(D695,代理总表!A:D,3,0)</f>
        <v>martin</v>
      </c>
      <c r="Y695" t="str">
        <f>VLOOKUP(D:D,代理总表!A:D,4,FALSE)</f>
        <v>SEO</v>
      </c>
      <c r="Z695">
        <f t="shared" si="30"/>
        <v>0</v>
      </c>
      <c r="AA695">
        <f t="shared" si="31"/>
        <v>14</v>
      </c>
      <c r="AB695">
        <f t="shared" si="32"/>
        <v>1</v>
      </c>
    </row>
    <row r="696" spans="1:28">
      <c r="A696" s="314" t="s">
        <v>2588</v>
      </c>
      <c r="B696" s="314"/>
      <c r="C696" s="314">
        <v>18238914703</v>
      </c>
      <c r="D696" s="314" t="s">
        <v>326</v>
      </c>
      <c r="E696" s="314" t="s">
        <v>104</v>
      </c>
      <c r="F696" s="314" t="s">
        <v>118</v>
      </c>
      <c r="G696" s="314" t="s">
        <v>108</v>
      </c>
      <c r="H696" s="314" t="s">
        <v>119</v>
      </c>
      <c r="I696" s="314" t="s">
        <v>108</v>
      </c>
      <c r="J696" s="314" t="s">
        <v>109</v>
      </c>
      <c r="K696" s="314">
        <v>0</v>
      </c>
      <c r="L696" s="314">
        <v>0</v>
      </c>
      <c r="M696" s="315">
        <v>45145.6042013889</v>
      </c>
      <c r="N696" s="314" t="s">
        <v>2589</v>
      </c>
      <c r="O696" s="314" t="s">
        <v>2590</v>
      </c>
      <c r="P696" s="314" t="s">
        <v>112</v>
      </c>
      <c r="Q696" s="314" t="s">
        <v>123</v>
      </c>
      <c r="R696" s="315">
        <v>45145.6089699074</v>
      </c>
      <c r="S696" s="314" t="s">
        <v>2591</v>
      </c>
      <c r="T696" s="314" t="s">
        <v>2592</v>
      </c>
      <c r="U696" s="314" t="s">
        <v>1813</v>
      </c>
      <c r="V696" s="314" t="s">
        <v>114</v>
      </c>
      <c r="W696" s="314"/>
      <c r="X696" s="314" t="str">
        <f>VLOOKUP(D696,代理总表!A:D,3,0)</f>
        <v>雨燕直播</v>
      </c>
      <c r="Y696" t="str">
        <f>VLOOKUP(D:D,代理总表!A:D,4,FALSE)</f>
        <v>雨燕直播zzzb888</v>
      </c>
      <c r="Z696">
        <f t="shared" si="30"/>
        <v>0</v>
      </c>
      <c r="AA696">
        <f t="shared" si="31"/>
        <v>14</v>
      </c>
      <c r="AB696">
        <f t="shared" si="32"/>
        <v>1</v>
      </c>
    </row>
    <row r="697" spans="1:28">
      <c r="A697" s="314" t="s">
        <v>2593</v>
      </c>
      <c r="B697" s="314" t="s">
        <v>2594</v>
      </c>
      <c r="C697" s="314">
        <v>355111869</v>
      </c>
      <c r="D697" s="314" t="s">
        <v>224</v>
      </c>
      <c r="E697" s="314" t="s">
        <v>117</v>
      </c>
      <c r="F697" s="314" t="s">
        <v>144</v>
      </c>
      <c r="G697" s="314" t="s">
        <v>106</v>
      </c>
      <c r="H697" s="314" t="s">
        <v>107</v>
      </c>
      <c r="I697" s="314" t="s">
        <v>108</v>
      </c>
      <c r="J697" s="314" t="s">
        <v>120</v>
      </c>
      <c r="K697" s="314">
        <v>100000</v>
      </c>
      <c r="L697" s="314">
        <v>100000</v>
      </c>
      <c r="M697" s="315">
        <v>45145.6017824074</v>
      </c>
      <c r="N697" s="314" t="s">
        <v>2595</v>
      </c>
      <c r="O697" s="314" t="s">
        <v>226</v>
      </c>
      <c r="P697" s="314" t="s">
        <v>112</v>
      </c>
      <c r="Q697" s="315">
        <v>45145.6097916667</v>
      </c>
      <c r="R697" s="315">
        <v>45146.0609722222</v>
      </c>
      <c r="S697" s="314" t="s">
        <v>2595</v>
      </c>
      <c r="T697" s="314" t="s">
        <v>131</v>
      </c>
      <c r="U697" s="314" t="s">
        <v>131</v>
      </c>
      <c r="V697" s="314" t="s">
        <v>114</v>
      </c>
      <c r="W697" s="314"/>
      <c r="X697" s="314" t="str">
        <f>VLOOKUP(D697,代理总表!A:D,3,0)</f>
        <v>雨燕直播-越</v>
      </c>
      <c r="Y697" t="str">
        <f>VLOOKUP(D:D,代理总表!A:D,4,FALSE)</f>
        <v>雨燕直播-越ffvn66</v>
      </c>
      <c r="Z697">
        <f t="shared" si="30"/>
        <v>1</v>
      </c>
      <c r="AA697">
        <f t="shared" si="31"/>
        <v>14</v>
      </c>
      <c r="AB697">
        <f t="shared" si="32"/>
        <v>1</v>
      </c>
    </row>
    <row r="698" spans="1:28">
      <c r="A698" s="314" t="s">
        <v>2596</v>
      </c>
      <c r="B698" s="314"/>
      <c r="C698" s="314"/>
      <c r="D698" s="314" t="s">
        <v>1294</v>
      </c>
      <c r="E698" s="314" t="s">
        <v>104</v>
      </c>
      <c r="F698" s="314" t="s">
        <v>118</v>
      </c>
      <c r="G698" s="314" t="s">
        <v>108</v>
      </c>
      <c r="H698" s="314" t="s">
        <v>119</v>
      </c>
      <c r="I698" s="314" t="s">
        <v>108</v>
      </c>
      <c r="J698" s="314" t="s">
        <v>109</v>
      </c>
      <c r="K698" s="314">
        <v>0</v>
      </c>
      <c r="L698" s="314">
        <v>0</v>
      </c>
      <c r="M698" s="315">
        <v>45145.6012847222</v>
      </c>
      <c r="N698" s="314" t="s">
        <v>2597</v>
      </c>
      <c r="O698" s="314" t="s">
        <v>1297</v>
      </c>
      <c r="P698" s="314" t="s">
        <v>339</v>
      </c>
      <c r="Q698" s="314" t="s">
        <v>123</v>
      </c>
      <c r="R698" s="315">
        <v>45145.6012731481</v>
      </c>
      <c r="S698" s="314" t="s">
        <v>2597</v>
      </c>
      <c r="T698" s="314" t="s">
        <v>2598</v>
      </c>
      <c r="U698" s="314" t="s">
        <v>2598</v>
      </c>
      <c r="V698" s="314" t="s">
        <v>114</v>
      </c>
      <c r="W698" s="314"/>
      <c r="X698" s="314" t="str">
        <f>VLOOKUP(D698,代理总表!A:D,3,0)</f>
        <v>GT-骨头</v>
      </c>
      <c r="Y698" t="str">
        <f>VLOOKUP(D:D,代理总表!A:D,4,FALSE)</f>
        <v>B直播gt6677</v>
      </c>
      <c r="Z698">
        <f t="shared" si="30"/>
        <v>0</v>
      </c>
      <c r="AA698">
        <f t="shared" si="31"/>
        <v>14</v>
      </c>
      <c r="AB698">
        <f t="shared" si="32"/>
        <v>1</v>
      </c>
    </row>
    <row r="699" spans="1:28">
      <c r="A699" s="314" t="s">
        <v>2599</v>
      </c>
      <c r="B699" s="314" t="s">
        <v>2600</v>
      </c>
      <c r="C699" s="314">
        <v>588627971</v>
      </c>
      <c r="D699" s="314" t="s">
        <v>1847</v>
      </c>
      <c r="E699" s="314" t="s">
        <v>117</v>
      </c>
      <c r="F699" s="314" t="s">
        <v>144</v>
      </c>
      <c r="G699" s="314" t="s">
        <v>106</v>
      </c>
      <c r="H699" s="314" t="s">
        <v>107</v>
      </c>
      <c r="I699" s="314" t="s">
        <v>108</v>
      </c>
      <c r="J699" s="314" t="s">
        <v>120</v>
      </c>
      <c r="K699" s="314">
        <v>470000</v>
      </c>
      <c r="L699" s="314">
        <v>2170000</v>
      </c>
      <c r="M699" s="315">
        <v>45145.60125</v>
      </c>
      <c r="N699" s="314" t="s">
        <v>2601</v>
      </c>
      <c r="O699" s="314" t="s">
        <v>1849</v>
      </c>
      <c r="P699" s="314" t="s">
        <v>112</v>
      </c>
      <c r="Q699" s="315">
        <v>45145.7199537037</v>
      </c>
      <c r="R699" s="315">
        <v>45145.7644097222</v>
      </c>
      <c r="S699" s="314" t="s">
        <v>2602</v>
      </c>
      <c r="T699" s="314" t="s">
        <v>217</v>
      </c>
      <c r="U699" s="314" t="s">
        <v>124</v>
      </c>
      <c r="V699" s="314" t="s">
        <v>114</v>
      </c>
      <c r="W699" s="314"/>
      <c r="X699" s="314" t="e">
        <f>VLOOKUP(D699,代理总表!A:D,3,0)</f>
        <v>#N/A</v>
      </c>
      <c r="Y699" t="e">
        <f>VLOOKUP(D:D,代理总表!A:D,4,FALSE)</f>
        <v>#N/A</v>
      </c>
      <c r="Z699">
        <f t="shared" si="30"/>
        <v>1</v>
      </c>
      <c r="AA699">
        <f t="shared" si="31"/>
        <v>14</v>
      </c>
      <c r="AB699">
        <f t="shared" si="32"/>
        <v>1</v>
      </c>
    </row>
    <row r="700" spans="1:28">
      <c r="A700" s="314" t="s">
        <v>2603</v>
      </c>
      <c r="B700" s="314"/>
      <c r="C700" s="314">
        <v>986579213</v>
      </c>
      <c r="D700" s="314" t="s">
        <v>505</v>
      </c>
      <c r="E700" s="314" t="s">
        <v>117</v>
      </c>
      <c r="F700" s="314" t="s">
        <v>118</v>
      </c>
      <c r="G700" s="314" t="s">
        <v>108</v>
      </c>
      <c r="H700" s="314" t="s">
        <v>119</v>
      </c>
      <c r="I700" s="314" t="s">
        <v>108</v>
      </c>
      <c r="J700" s="314" t="s">
        <v>120</v>
      </c>
      <c r="K700" s="314">
        <v>0</v>
      </c>
      <c r="L700" s="314">
        <v>0</v>
      </c>
      <c r="M700" s="315">
        <v>45145.6011226852</v>
      </c>
      <c r="N700" s="314" t="s">
        <v>2604</v>
      </c>
      <c r="O700" s="314" t="s">
        <v>519</v>
      </c>
      <c r="P700" s="314" t="s">
        <v>112</v>
      </c>
      <c r="Q700" s="314" t="s">
        <v>123</v>
      </c>
      <c r="R700" s="315">
        <v>45145.6011111111</v>
      </c>
      <c r="S700" s="314" t="s">
        <v>2604</v>
      </c>
      <c r="T700" s="314" t="s">
        <v>2605</v>
      </c>
      <c r="U700" s="314" t="s">
        <v>2605</v>
      </c>
      <c r="V700" s="314" t="s">
        <v>114</v>
      </c>
      <c r="W700" s="314"/>
      <c r="X700" s="314" t="str">
        <f>VLOOKUP(D700,代理总表!A:D,3,0)</f>
        <v>SOCO越南直播</v>
      </c>
      <c r="Y700" t="str">
        <f>VLOOKUP(D:D,代理总表!A:D,4,FALSE)</f>
        <v>SOCO越南直播ffvn66</v>
      </c>
      <c r="Z700">
        <f t="shared" si="30"/>
        <v>0</v>
      </c>
      <c r="AA700">
        <f t="shared" si="31"/>
        <v>14</v>
      </c>
      <c r="AB700">
        <f t="shared" si="32"/>
        <v>1</v>
      </c>
    </row>
    <row r="701" spans="1:28">
      <c r="A701" s="314" t="s">
        <v>2606</v>
      </c>
      <c r="B701" s="314" t="s">
        <v>2607</v>
      </c>
      <c r="C701" s="314">
        <v>774557077</v>
      </c>
      <c r="D701" s="314" t="s">
        <v>1395</v>
      </c>
      <c r="E701" s="314" t="s">
        <v>117</v>
      </c>
      <c r="F701" s="314" t="s">
        <v>118</v>
      </c>
      <c r="G701" s="314" t="s">
        <v>108</v>
      </c>
      <c r="H701" s="314" t="s">
        <v>119</v>
      </c>
      <c r="I701" s="314" t="s">
        <v>108</v>
      </c>
      <c r="J701" s="314" t="s">
        <v>120</v>
      </c>
      <c r="K701" s="314">
        <v>0</v>
      </c>
      <c r="L701" s="314">
        <v>0</v>
      </c>
      <c r="M701" s="315">
        <v>45145.6010763889</v>
      </c>
      <c r="N701" s="314" t="s">
        <v>2608</v>
      </c>
      <c r="O701" s="314" t="s">
        <v>1397</v>
      </c>
      <c r="P701" s="314" t="s">
        <v>112</v>
      </c>
      <c r="Q701" s="314" t="s">
        <v>123</v>
      </c>
      <c r="R701" s="315">
        <v>45145.6010763889</v>
      </c>
      <c r="S701" s="314" t="s">
        <v>2608</v>
      </c>
      <c r="T701" s="314" t="s">
        <v>124</v>
      </c>
      <c r="U701" s="314" t="s">
        <v>124</v>
      </c>
      <c r="V701" s="314" t="s">
        <v>114</v>
      </c>
      <c r="W701" s="314"/>
      <c r="X701" s="314" t="str">
        <f>VLOOKUP(D701,代理总表!A:D,3,0)</f>
        <v>外代-越</v>
      </c>
      <c r="Y701" t="str">
        <f>VLOOKUP(D:D,代理总表!A:D,4,FALSE)</f>
        <v>外代-越btydl072</v>
      </c>
      <c r="Z701">
        <f t="shared" si="30"/>
        <v>0</v>
      </c>
      <c r="AA701">
        <f t="shared" si="31"/>
        <v>14</v>
      </c>
      <c r="AB701">
        <f t="shared" si="32"/>
        <v>1</v>
      </c>
    </row>
    <row r="702" spans="1:28">
      <c r="A702" s="314" t="s">
        <v>2609</v>
      </c>
      <c r="B702" s="314"/>
      <c r="C702" s="314"/>
      <c r="D702" s="314" t="s">
        <v>2610</v>
      </c>
      <c r="E702" s="314" t="s">
        <v>117</v>
      </c>
      <c r="F702" s="314" t="s">
        <v>118</v>
      </c>
      <c r="G702" s="314" t="s">
        <v>108</v>
      </c>
      <c r="H702" s="314" t="s">
        <v>119</v>
      </c>
      <c r="I702" s="314" t="s">
        <v>108</v>
      </c>
      <c r="J702" s="314" t="s">
        <v>120</v>
      </c>
      <c r="K702" s="314">
        <v>0</v>
      </c>
      <c r="L702" s="314">
        <v>0</v>
      </c>
      <c r="M702" s="315">
        <v>45145.6008912037</v>
      </c>
      <c r="N702" s="314" t="s">
        <v>2611</v>
      </c>
      <c r="O702" s="314" t="s">
        <v>2612</v>
      </c>
      <c r="P702" s="314" t="s">
        <v>112</v>
      </c>
      <c r="Q702" s="314" t="s">
        <v>123</v>
      </c>
      <c r="R702" s="315">
        <v>45145.6008912037</v>
      </c>
      <c r="S702" s="314" t="s">
        <v>2611</v>
      </c>
      <c r="T702" s="314" t="s">
        <v>124</v>
      </c>
      <c r="U702" s="314" t="s">
        <v>124</v>
      </c>
      <c r="V702" s="314" t="s">
        <v>114</v>
      </c>
      <c r="W702" s="314"/>
      <c r="X702" s="314" t="str">
        <f>VLOOKUP(D702,代理总表!A:D,3,0)</f>
        <v>SOCO越南直播</v>
      </c>
      <c r="Y702" t="str">
        <f>VLOOKUP(D:D,代理总表!A:D,4,FALSE)</f>
        <v>SOCO越南直播ffvn66</v>
      </c>
      <c r="Z702">
        <f t="shared" si="30"/>
        <v>0</v>
      </c>
      <c r="AA702">
        <f t="shared" si="31"/>
        <v>14</v>
      </c>
      <c r="AB702">
        <f t="shared" si="32"/>
        <v>1</v>
      </c>
    </row>
    <row r="703" spans="1:28">
      <c r="A703" s="314" t="s">
        <v>2613</v>
      </c>
      <c r="B703" s="314" t="s">
        <v>2614</v>
      </c>
      <c r="C703" s="314">
        <v>325269123</v>
      </c>
      <c r="D703" s="314" t="s">
        <v>2615</v>
      </c>
      <c r="E703" s="314" t="s">
        <v>117</v>
      </c>
      <c r="F703" s="314" t="s">
        <v>118</v>
      </c>
      <c r="G703" s="314" t="s">
        <v>108</v>
      </c>
      <c r="H703" s="314" t="s">
        <v>119</v>
      </c>
      <c r="I703" s="314" t="s">
        <v>108</v>
      </c>
      <c r="J703" s="314" t="s">
        <v>120</v>
      </c>
      <c r="K703" s="314">
        <v>0</v>
      </c>
      <c r="L703" s="314">
        <v>0</v>
      </c>
      <c r="M703" s="315">
        <v>45145.600625</v>
      </c>
      <c r="N703" s="314" t="s">
        <v>2616</v>
      </c>
      <c r="O703" s="314" t="s">
        <v>2617</v>
      </c>
      <c r="P703" s="314" t="s">
        <v>112</v>
      </c>
      <c r="Q703" s="314" t="s">
        <v>123</v>
      </c>
      <c r="R703" s="315">
        <v>45145.600625</v>
      </c>
      <c r="S703" s="314" t="s">
        <v>2616</v>
      </c>
      <c r="T703" s="314" t="s">
        <v>2618</v>
      </c>
      <c r="U703" s="314" t="s">
        <v>2618</v>
      </c>
      <c r="V703" s="314" t="s">
        <v>114</v>
      </c>
      <c r="W703" s="314"/>
      <c r="X703" s="314" t="e">
        <f>VLOOKUP(D703,代理总表!A:D,3,0)</f>
        <v>#N/A</v>
      </c>
      <c r="Y703" t="e">
        <f>VLOOKUP(D:D,代理总表!A:D,4,FALSE)</f>
        <v>#N/A</v>
      </c>
      <c r="Z703">
        <f t="shared" si="30"/>
        <v>0</v>
      </c>
      <c r="AA703">
        <f t="shared" si="31"/>
        <v>14</v>
      </c>
      <c r="AB703">
        <f t="shared" si="32"/>
        <v>1</v>
      </c>
    </row>
    <row r="704" spans="1:28">
      <c r="A704" s="314" t="s">
        <v>2619</v>
      </c>
      <c r="B704" s="314" t="s">
        <v>2620</v>
      </c>
      <c r="C704" s="314">
        <v>367161586</v>
      </c>
      <c r="D704" s="314" t="s">
        <v>116</v>
      </c>
      <c r="E704" s="314" t="s">
        <v>117</v>
      </c>
      <c r="F704" s="314" t="s">
        <v>144</v>
      </c>
      <c r="G704" s="314" t="s">
        <v>106</v>
      </c>
      <c r="H704" s="314" t="s">
        <v>107</v>
      </c>
      <c r="I704" s="314" t="s">
        <v>108</v>
      </c>
      <c r="J704" s="314" t="s">
        <v>120</v>
      </c>
      <c r="K704" s="314">
        <v>50000</v>
      </c>
      <c r="L704" s="314">
        <v>0</v>
      </c>
      <c r="M704" s="315">
        <v>45145.5997916667</v>
      </c>
      <c r="N704" s="314" t="s">
        <v>2205</v>
      </c>
      <c r="O704" s="314" t="s">
        <v>122</v>
      </c>
      <c r="P704" s="314" t="s">
        <v>112</v>
      </c>
      <c r="Q704" s="315">
        <v>45145.6209143518</v>
      </c>
      <c r="R704" s="315">
        <v>45145.8435185185</v>
      </c>
      <c r="S704" s="314" t="s">
        <v>2205</v>
      </c>
      <c r="T704" s="314" t="s">
        <v>134</v>
      </c>
      <c r="U704" s="314" t="s">
        <v>134</v>
      </c>
      <c r="V704" s="314" t="s">
        <v>114</v>
      </c>
      <c r="W704" s="314"/>
      <c r="X704" s="314" t="str">
        <f>VLOOKUP(D704,代理总表!A:D,3,0)</f>
        <v>外部代理总线</v>
      </c>
      <c r="Y704" t="str">
        <f>VLOOKUP(D:D,代理总表!A:D,4,FALSE)</f>
        <v>外部代理总线zh0808</v>
      </c>
      <c r="Z704">
        <f t="shared" si="30"/>
        <v>1</v>
      </c>
      <c r="AA704">
        <f t="shared" si="31"/>
        <v>14</v>
      </c>
      <c r="AB704">
        <f t="shared" si="32"/>
        <v>1</v>
      </c>
    </row>
    <row r="705" spans="1:28">
      <c r="A705" s="314" t="s">
        <v>2621</v>
      </c>
      <c r="B705" s="314"/>
      <c r="C705" s="314">
        <v>18371036651</v>
      </c>
      <c r="D705" s="314" t="s">
        <v>154</v>
      </c>
      <c r="E705" s="314" t="s">
        <v>104</v>
      </c>
      <c r="F705" s="314" t="s">
        <v>149</v>
      </c>
      <c r="G705" s="314" t="s">
        <v>108</v>
      </c>
      <c r="H705" s="314" t="s">
        <v>119</v>
      </c>
      <c r="I705" s="314" t="s">
        <v>108</v>
      </c>
      <c r="J705" s="314" t="s">
        <v>109</v>
      </c>
      <c r="K705" s="314">
        <v>0</v>
      </c>
      <c r="L705" s="314">
        <v>0</v>
      </c>
      <c r="M705" s="315">
        <v>45145.5992592593</v>
      </c>
      <c r="N705" s="314" t="s">
        <v>2622</v>
      </c>
      <c r="O705" s="314" t="s">
        <v>2623</v>
      </c>
      <c r="P705" s="314" t="s">
        <v>112</v>
      </c>
      <c r="Q705" s="314" t="s">
        <v>123</v>
      </c>
      <c r="R705" s="315">
        <v>45145.5992476852</v>
      </c>
      <c r="S705" s="314" t="s">
        <v>2622</v>
      </c>
      <c r="T705" s="314" t="s">
        <v>2624</v>
      </c>
      <c r="U705" s="314" t="s">
        <v>2624</v>
      </c>
      <c r="V705" s="314" t="s">
        <v>114</v>
      </c>
      <c r="W705" s="314"/>
      <c r="X705" s="314" t="str">
        <f>VLOOKUP(D705,代理总表!A:D,3,0)</f>
        <v>max</v>
      </c>
      <c r="Y705" t="str">
        <f>VLOOKUP(D:D,代理总表!A:D,4,FALSE)</f>
        <v>SEO</v>
      </c>
      <c r="Z705">
        <f t="shared" si="30"/>
        <v>0</v>
      </c>
      <c r="AA705">
        <f t="shared" si="31"/>
        <v>14</v>
      </c>
      <c r="AB705">
        <f t="shared" si="32"/>
        <v>1</v>
      </c>
    </row>
    <row r="706" spans="1:28">
      <c r="A706" s="314" t="s">
        <v>2625</v>
      </c>
      <c r="B706" s="314"/>
      <c r="C706" s="314">
        <v>815162201</v>
      </c>
      <c r="D706" s="314" t="s">
        <v>2626</v>
      </c>
      <c r="E706" s="314" t="s">
        <v>117</v>
      </c>
      <c r="F706" s="314" t="s">
        <v>118</v>
      </c>
      <c r="G706" s="314" t="s">
        <v>108</v>
      </c>
      <c r="H706" s="314" t="s">
        <v>119</v>
      </c>
      <c r="I706" s="314" t="s">
        <v>108</v>
      </c>
      <c r="J706" s="314" t="s">
        <v>120</v>
      </c>
      <c r="K706" s="314">
        <v>0</v>
      </c>
      <c r="L706" s="314">
        <v>0</v>
      </c>
      <c r="M706" s="315">
        <v>45145.5991435185</v>
      </c>
      <c r="N706" s="314" t="s">
        <v>2627</v>
      </c>
      <c r="O706" s="314" t="s">
        <v>2628</v>
      </c>
      <c r="P706" s="314" t="s">
        <v>112</v>
      </c>
      <c r="Q706" s="314" t="s">
        <v>123</v>
      </c>
      <c r="R706" s="315">
        <v>45145.5991435185</v>
      </c>
      <c r="S706" s="314" t="s">
        <v>2627</v>
      </c>
      <c r="T706" s="314" t="s">
        <v>2629</v>
      </c>
      <c r="U706" s="314" t="s">
        <v>2629</v>
      </c>
      <c r="V706" s="314" t="s">
        <v>114</v>
      </c>
      <c r="W706" s="314"/>
      <c r="X706" s="314" t="str">
        <f>VLOOKUP(D706,代理总表!A:D,3,0)</f>
        <v>SOCO越南直播</v>
      </c>
      <c r="Y706" t="str">
        <f>VLOOKUP(D:D,代理总表!A:D,4,FALSE)</f>
        <v>SOCO越南直播ffvn66</v>
      </c>
      <c r="Z706">
        <f t="shared" si="30"/>
        <v>0</v>
      </c>
      <c r="AA706">
        <f t="shared" si="31"/>
        <v>14</v>
      </c>
      <c r="AB706">
        <f t="shared" si="32"/>
        <v>1</v>
      </c>
    </row>
    <row r="707" spans="1:28">
      <c r="A707" s="314" t="s">
        <v>2630</v>
      </c>
      <c r="B707" s="314"/>
      <c r="C707" s="314">
        <v>17816890295</v>
      </c>
      <c r="D707" s="314" t="s">
        <v>249</v>
      </c>
      <c r="E707" s="314" t="s">
        <v>104</v>
      </c>
      <c r="F707" s="314" t="s">
        <v>118</v>
      </c>
      <c r="G707" s="314" t="s">
        <v>108</v>
      </c>
      <c r="H707" s="314" t="s">
        <v>119</v>
      </c>
      <c r="I707" s="314" t="s">
        <v>108</v>
      </c>
      <c r="J707" s="314" t="s">
        <v>109</v>
      </c>
      <c r="K707" s="314">
        <v>0</v>
      </c>
      <c r="L707" s="314">
        <v>0</v>
      </c>
      <c r="M707" s="315">
        <v>45145.5990393519</v>
      </c>
      <c r="N707" s="314" t="s">
        <v>2631</v>
      </c>
      <c r="O707" s="314" t="s">
        <v>251</v>
      </c>
      <c r="P707" s="314" t="s">
        <v>112</v>
      </c>
      <c r="Q707" s="314" t="s">
        <v>123</v>
      </c>
      <c r="R707" s="315">
        <v>45145.5990393519</v>
      </c>
      <c r="S707" s="314" t="s">
        <v>2631</v>
      </c>
      <c r="T707" s="314" t="s">
        <v>808</v>
      </c>
      <c r="U707" s="314" t="s">
        <v>808</v>
      </c>
      <c r="V707" s="314" t="s">
        <v>114</v>
      </c>
      <c r="W707" s="314"/>
      <c r="X707" s="314" t="str">
        <f>VLOOKUP(D707,代理总表!A:D,3,0)</f>
        <v>飞哥雨燕直播</v>
      </c>
      <c r="Y707" t="str">
        <f>VLOOKUP(D:D,代理总表!A:D,4,FALSE)</f>
        <v>飞哥雨燕直播ffmk88</v>
      </c>
      <c r="Z707">
        <f t="shared" ref="Z707:Z770" si="33">IF(RIGHT(H707,1)&gt;"0",1,0)</f>
        <v>0</v>
      </c>
      <c r="AA707">
        <f t="shared" ref="AA707:AA770" si="34">HOUR(M707)</f>
        <v>14</v>
      </c>
      <c r="AB707">
        <f t="shared" ref="AB707:AB770" si="35">IF(AE707=AF707,1,0)</f>
        <v>1</v>
      </c>
    </row>
    <row r="708" spans="1:28">
      <c r="A708" s="314" t="s">
        <v>2632</v>
      </c>
      <c r="B708" s="314"/>
      <c r="C708" s="314">
        <v>18037876556</v>
      </c>
      <c r="D708" s="314" t="s">
        <v>294</v>
      </c>
      <c r="E708" s="314" t="s">
        <v>104</v>
      </c>
      <c r="F708" s="314" t="s">
        <v>149</v>
      </c>
      <c r="G708" s="314" t="s">
        <v>108</v>
      </c>
      <c r="H708" s="314" t="s">
        <v>119</v>
      </c>
      <c r="I708" s="314" t="s">
        <v>108</v>
      </c>
      <c r="J708" s="314" t="s">
        <v>109</v>
      </c>
      <c r="K708" s="314">
        <v>0</v>
      </c>
      <c r="L708" s="314">
        <v>0</v>
      </c>
      <c r="M708" s="315">
        <v>45145.5986689815</v>
      </c>
      <c r="N708" s="314" t="s">
        <v>2633</v>
      </c>
      <c r="O708" s="314" t="s">
        <v>1951</v>
      </c>
      <c r="P708" s="314" t="s">
        <v>112</v>
      </c>
      <c r="Q708" s="314" t="s">
        <v>123</v>
      </c>
      <c r="R708" s="315">
        <v>45145.5986574074</v>
      </c>
      <c r="S708" s="314" t="s">
        <v>2633</v>
      </c>
      <c r="T708" s="314" t="s">
        <v>2634</v>
      </c>
      <c r="U708" s="314" t="s">
        <v>2634</v>
      </c>
      <c r="V708" s="314" t="s">
        <v>114</v>
      </c>
      <c r="W708" s="314"/>
      <c r="X708" s="314" t="str">
        <f>VLOOKUP(D708,代理总表!A:D,3,0)</f>
        <v>DK</v>
      </c>
      <c r="Y708" t="str">
        <f>VLOOKUP(D:D,代理总表!A:D,4,FALSE)</f>
        <v>SEO</v>
      </c>
      <c r="Z708">
        <f t="shared" si="33"/>
        <v>0</v>
      </c>
      <c r="AA708">
        <f t="shared" si="34"/>
        <v>14</v>
      </c>
      <c r="AB708">
        <f t="shared" si="35"/>
        <v>1</v>
      </c>
    </row>
    <row r="709" spans="1:28">
      <c r="A709" s="314" t="s">
        <v>2635</v>
      </c>
      <c r="B709" s="314"/>
      <c r="C709" s="314">
        <v>13502266249</v>
      </c>
      <c r="D709" s="314" t="s">
        <v>103</v>
      </c>
      <c r="E709" s="314" t="s">
        <v>104</v>
      </c>
      <c r="F709" s="314" t="s">
        <v>118</v>
      </c>
      <c r="G709" s="314" t="s">
        <v>108</v>
      </c>
      <c r="H709" s="314" t="s">
        <v>119</v>
      </c>
      <c r="I709" s="314" t="s">
        <v>108</v>
      </c>
      <c r="J709" s="314" t="s">
        <v>109</v>
      </c>
      <c r="K709" s="314">
        <v>0</v>
      </c>
      <c r="L709" s="314">
        <v>0</v>
      </c>
      <c r="M709" s="315">
        <v>45145.5978819444</v>
      </c>
      <c r="N709" s="314" t="s">
        <v>2636</v>
      </c>
      <c r="O709" s="314" t="s">
        <v>350</v>
      </c>
      <c r="P709" s="314" t="s">
        <v>112</v>
      </c>
      <c r="Q709" s="314" t="s">
        <v>123</v>
      </c>
      <c r="R709" s="315">
        <v>45145.7456134259</v>
      </c>
      <c r="S709" s="314" t="s">
        <v>2637</v>
      </c>
      <c r="T709" s="314" t="s">
        <v>2332</v>
      </c>
      <c r="U709" s="314" t="s">
        <v>2332</v>
      </c>
      <c r="V709" s="314" t="s">
        <v>114</v>
      </c>
      <c r="W709" s="314"/>
      <c r="X709" s="314" t="str">
        <f>VLOOKUP(D709,代理总表!A:D,3,0)</f>
        <v>官网</v>
      </c>
      <c r="Y709" t="str">
        <f>VLOOKUP(D:D,代理总表!A:D,4,FALSE)</f>
        <v>官网</v>
      </c>
      <c r="Z709">
        <f t="shared" si="33"/>
        <v>0</v>
      </c>
      <c r="AA709">
        <f t="shared" si="34"/>
        <v>14</v>
      </c>
      <c r="AB709">
        <f t="shared" si="35"/>
        <v>1</v>
      </c>
    </row>
    <row r="710" spans="1:28">
      <c r="A710" s="314" t="s">
        <v>2638</v>
      </c>
      <c r="B710" s="314" t="s">
        <v>2639</v>
      </c>
      <c r="C710" s="314">
        <v>865448513</v>
      </c>
      <c r="D710" s="314" t="s">
        <v>2640</v>
      </c>
      <c r="E710" s="314" t="s">
        <v>117</v>
      </c>
      <c r="F710" s="314" t="s">
        <v>144</v>
      </c>
      <c r="G710" s="314" t="s">
        <v>106</v>
      </c>
      <c r="H710" s="314" t="s">
        <v>107</v>
      </c>
      <c r="I710" s="314" t="s">
        <v>108</v>
      </c>
      <c r="J710" s="314" t="s">
        <v>120</v>
      </c>
      <c r="K710" s="314">
        <v>128006</v>
      </c>
      <c r="L710" s="314">
        <v>7471104</v>
      </c>
      <c r="M710" s="315">
        <v>45145.5970486111</v>
      </c>
      <c r="N710" s="314" t="s">
        <v>2641</v>
      </c>
      <c r="O710" s="314" t="s">
        <v>2642</v>
      </c>
      <c r="P710" s="314" t="s">
        <v>112</v>
      </c>
      <c r="Q710" s="315">
        <v>45145.6047916667</v>
      </c>
      <c r="R710" s="315">
        <v>45145.6491087963</v>
      </c>
      <c r="S710" s="314" t="s">
        <v>2643</v>
      </c>
      <c r="T710" s="314" t="s">
        <v>128</v>
      </c>
      <c r="U710" s="314" t="s">
        <v>131</v>
      </c>
      <c r="V710" s="314" t="s">
        <v>114</v>
      </c>
      <c r="W710" s="314"/>
      <c r="X710" s="314" t="str">
        <f>VLOOKUP(D710,代理总表!A:D,3,0)</f>
        <v>外部代理总线</v>
      </c>
      <c r="Y710" t="str">
        <f>VLOOKUP(D:D,代理总表!A:D,4,FALSE)</f>
        <v>外部代理总线zhaoshang</v>
      </c>
      <c r="Z710">
        <f t="shared" si="33"/>
        <v>1</v>
      </c>
      <c r="AA710">
        <f t="shared" si="34"/>
        <v>14</v>
      </c>
      <c r="AB710">
        <f t="shared" si="35"/>
        <v>1</v>
      </c>
    </row>
    <row r="711" spans="1:28">
      <c r="A711" s="314" t="s">
        <v>2644</v>
      </c>
      <c r="B711" s="314" t="s">
        <v>2645</v>
      </c>
      <c r="C711" s="314">
        <v>354649809</v>
      </c>
      <c r="D711" s="314" t="s">
        <v>816</v>
      </c>
      <c r="E711" s="314" t="s">
        <v>117</v>
      </c>
      <c r="F711" s="314" t="s">
        <v>118</v>
      </c>
      <c r="G711" s="314" t="s">
        <v>108</v>
      </c>
      <c r="H711" s="314" t="s">
        <v>119</v>
      </c>
      <c r="I711" s="314" t="s">
        <v>108</v>
      </c>
      <c r="J711" s="314" t="s">
        <v>120</v>
      </c>
      <c r="K711" s="314">
        <v>0</v>
      </c>
      <c r="L711" s="314">
        <v>0</v>
      </c>
      <c r="M711" s="315">
        <v>45145.5950925926</v>
      </c>
      <c r="N711" s="314" t="s">
        <v>2646</v>
      </c>
      <c r="O711" s="314" t="s">
        <v>818</v>
      </c>
      <c r="P711" s="314" t="s">
        <v>112</v>
      </c>
      <c r="Q711" s="314" t="s">
        <v>123</v>
      </c>
      <c r="R711" s="315">
        <v>45145.5950925926</v>
      </c>
      <c r="S711" s="314" t="s">
        <v>2646</v>
      </c>
      <c r="T711" s="314" t="s">
        <v>177</v>
      </c>
      <c r="U711" s="314" t="s">
        <v>177</v>
      </c>
      <c r="V711" s="314" t="s">
        <v>114</v>
      </c>
      <c r="W711" s="314"/>
      <c r="X711" s="314" t="e">
        <f>VLOOKUP(D711,代理总表!A:D,3,0)</f>
        <v>#N/A</v>
      </c>
      <c r="Y711" t="e">
        <f>VLOOKUP(D:D,代理总表!A:D,4,FALSE)</f>
        <v>#N/A</v>
      </c>
      <c r="Z711">
        <f t="shared" si="33"/>
        <v>0</v>
      </c>
      <c r="AA711">
        <f t="shared" si="34"/>
        <v>14</v>
      </c>
      <c r="AB711">
        <f t="shared" si="35"/>
        <v>1</v>
      </c>
    </row>
    <row r="712" spans="1:28">
      <c r="A712" s="314" t="s">
        <v>2647</v>
      </c>
      <c r="B712" s="314"/>
      <c r="C712" s="314">
        <v>339420049</v>
      </c>
      <c r="D712" s="314" t="s">
        <v>445</v>
      </c>
      <c r="E712" s="314" t="s">
        <v>117</v>
      </c>
      <c r="F712" s="314" t="s">
        <v>118</v>
      </c>
      <c r="G712" s="314" t="s">
        <v>108</v>
      </c>
      <c r="H712" s="314" t="s">
        <v>119</v>
      </c>
      <c r="I712" s="314" t="s">
        <v>108</v>
      </c>
      <c r="J712" s="314" t="s">
        <v>120</v>
      </c>
      <c r="K712" s="314">
        <v>0</v>
      </c>
      <c r="L712" s="314">
        <v>0</v>
      </c>
      <c r="M712" s="315">
        <v>45145.594537037</v>
      </c>
      <c r="N712" s="314" t="s">
        <v>2648</v>
      </c>
      <c r="O712" s="314" t="s">
        <v>446</v>
      </c>
      <c r="P712" s="314" t="s">
        <v>112</v>
      </c>
      <c r="Q712" s="314" t="s">
        <v>123</v>
      </c>
      <c r="R712" s="315">
        <v>45145.594537037</v>
      </c>
      <c r="S712" s="314" t="s">
        <v>2648</v>
      </c>
      <c r="T712" s="314" t="s">
        <v>2649</v>
      </c>
      <c r="U712" s="314" t="s">
        <v>2649</v>
      </c>
      <c r="V712" s="314" t="s">
        <v>114</v>
      </c>
      <c r="W712" s="314"/>
      <c r="X712" s="314" t="str">
        <f>VLOOKUP(D712,代理总表!A:D,3,0)</f>
        <v>SOCO越南直播</v>
      </c>
      <c r="Y712" t="str">
        <f>VLOOKUP(D:D,代理总表!A:D,4,FALSE)</f>
        <v>SOCO越南直播ffvn66</v>
      </c>
      <c r="Z712">
        <f t="shared" si="33"/>
        <v>0</v>
      </c>
      <c r="AA712">
        <f t="shared" si="34"/>
        <v>14</v>
      </c>
      <c r="AB712">
        <f t="shared" si="35"/>
        <v>1</v>
      </c>
    </row>
    <row r="713" spans="1:28">
      <c r="A713" s="314" t="s">
        <v>2650</v>
      </c>
      <c r="B713" s="314"/>
      <c r="C713" s="314"/>
      <c r="D713" s="314" t="s">
        <v>1294</v>
      </c>
      <c r="E713" s="314" t="s">
        <v>2651</v>
      </c>
      <c r="F713" s="314" t="s">
        <v>118</v>
      </c>
      <c r="G713" s="314" t="s">
        <v>108</v>
      </c>
      <c r="H713" s="314" t="s">
        <v>119</v>
      </c>
      <c r="I713" s="314" t="s">
        <v>108</v>
      </c>
      <c r="J713" s="314" t="s">
        <v>109</v>
      </c>
      <c r="K713" s="314">
        <v>0</v>
      </c>
      <c r="L713" s="314">
        <v>0</v>
      </c>
      <c r="M713" s="315">
        <v>45145.5927314815</v>
      </c>
      <c r="N713" s="314" t="s">
        <v>2652</v>
      </c>
      <c r="O713" s="314" t="s">
        <v>2653</v>
      </c>
      <c r="P713" s="314" t="s">
        <v>112</v>
      </c>
      <c r="Q713" s="314" t="s">
        <v>123</v>
      </c>
      <c r="R713" s="315">
        <v>45145.5927199074</v>
      </c>
      <c r="S713" s="314" t="s">
        <v>2652</v>
      </c>
      <c r="T713" s="314" t="s">
        <v>2654</v>
      </c>
      <c r="U713" s="314" t="s">
        <v>2654</v>
      </c>
      <c r="V713" s="314" t="s">
        <v>114</v>
      </c>
      <c r="W713" s="314"/>
      <c r="X713" s="314" t="str">
        <f>VLOOKUP(D713,代理总表!A:D,3,0)</f>
        <v>GT-骨头</v>
      </c>
      <c r="Y713" t="str">
        <f>VLOOKUP(D:D,代理总表!A:D,4,FALSE)</f>
        <v>B直播gt6677</v>
      </c>
      <c r="Z713">
        <f t="shared" si="33"/>
        <v>0</v>
      </c>
      <c r="AA713">
        <f t="shared" si="34"/>
        <v>14</v>
      </c>
      <c r="AB713">
        <f t="shared" si="35"/>
        <v>1</v>
      </c>
    </row>
    <row r="714" spans="1:28">
      <c r="A714" s="314" t="s">
        <v>2655</v>
      </c>
      <c r="B714" s="314" t="s">
        <v>2656</v>
      </c>
      <c r="C714" s="314">
        <v>365738434</v>
      </c>
      <c r="D714" s="314" t="s">
        <v>2657</v>
      </c>
      <c r="E714" s="314" t="s">
        <v>117</v>
      </c>
      <c r="F714" s="314" t="s">
        <v>118</v>
      </c>
      <c r="G714" s="314" t="s">
        <v>108</v>
      </c>
      <c r="H714" s="314" t="s">
        <v>119</v>
      </c>
      <c r="I714" s="314" t="s">
        <v>108</v>
      </c>
      <c r="J714" s="314" t="s">
        <v>120</v>
      </c>
      <c r="K714" s="314">
        <v>0</v>
      </c>
      <c r="L714" s="314">
        <v>0</v>
      </c>
      <c r="M714" s="315">
        <v>45145.5918865741</v>
      </c>
      <c r="N714" s="314" t="s">
        <v>2658</v>
      </c>
      <c r="O714" s="314" t="s">
        <v>2659</v>
      </c>
      <c r="P714" s="314" t="s">
        <v>112</v>
      </c>
      <c r="Q714" s="314" t="s">
        <v>123</v>
      </c>
      <c r="R714" s="315">
        <v>45145.5959375</v>
      </c>
      <c r="S714" s="314" t="s">
        <v>2658</v>
      </c>
      <c r="T714" s="314" t="s">
        <v>131</v>
      </c>
      <c r="U714" s="314" t="s">
        <v>131</v>
      </c>
      <c r="V714" s="314" t="s">
        <v>114</v>
      </c>
      <c r="W714" s="314"/>
      <c r="X714" s="314" t="str">
        <f>VLOOKUP(D714,代理总表!A:D,3,0)</f>
        <v>SOCO越南直播</v>
      </c>
      <c r="Y714" t="str">
        <f>VLOOKUP(D:D,代理总表!A:D,4,FALSE)</f>
        <v>SOCO越南直播ffvn66</v>
      </c>
      <c r="Z714">
        <f t="shared" si="33"/>
        <v>0</v>
      </c>
      <c r="AA714">
        <f t="shared" si="34"/>
        <v>14</v>
      </c>
      <c r="AB714">
        <f t="shared" si="35"/>
        <v>1</v>
      </c>
    </row>
    <row r="715" spans="1:28">
      <c r="A715" s="314" t="s">
        <v>2660</v>
      </c>
      <c r="B715" s="314"/>
      <c r="C715" s="314">
        <v>17378147953</v>
      </c>
      <c r="D715" s="314" t="s">
        <v>259</v>
      </c>
      <c r="E715" s="314" t="s">
        <v>104</v>
      </c>
      <c r="F715" s="314" t="s">
        <v>149</v>
      </c>
      <c r="G715" s="314" t="s">
        <v>108</v>
      </c>
      <c r="H715" s="314" t="s">
        <v>119</v>
      </c>
      <c r="I715" s="314" t="s">
        <v>108</v>
      </c>
      <c r="J715" s="314" t="s">
        <v>109</v>
      </c>
      <c r="K715" s="314">
        <v>0</v>
      </c>
      <c r="L715" s="314">
        <v>0</v>
      </c>
      <c r="M715" s="315">
        <v>45145.5914814815</v>
      </c>
      <c r="N715" s="314" t="s">
        <v>2661</v>
      </c>
      <c r="O715" s="314" t="s">
        <v>471</v>
      </c>
      <c r="P715" s="314" t="s">
        <v>161</v>
      </c>
      <c r="Q715" s="314" t="s">
        <v>123</v>
      </c>
      <c r="R715" s="315">
        <v>45145.5914699074</v>
      </c>
      <c r="S715" s="314" t="s">
        <v>2661</v>
      </c>
      <c r="T715" s="314" t="s">
        <v>1558</v>
      </c>
      <c r="U715" s="314" t="s">
        <v>1558</v>
      </c>
      <c r="V715" s="314" t="s">
        <v>114</v>
      </c>
      <c r="W715" s="314"/>
      <c r="X715" s="314" t="str">
        <f>VLOOKUP(D715,代理总表!A:D,3,0)</f>
        <v>tony</v>
      </c>
      <c r="Y715" t="str">
        <f>VLOOKUP(D:D,代理总表!A:D,4,FALSE)</f>
        <v>SEO</v>
      </c>
      <c r="Z715">
        <f t="shared" si="33"/>
        <v>0</v>
      </c>
      <c r="AA715">
        <f t="shared" si="34"/>
        <v>14</v>
      </c>
      <c r="AB715">
        <f t="shared" si="35"/>
        <v>1</v>
      </c>
    </row>
    <row r="716" spans="1:28">
      <c r="A716" s="314" t="s">
        <v>2662</v>
      </c>
      <c r="B716" s="314" t="s">
        <v>2663</v>
      </c>
      <c r="C716" s="314">
        <v>15311941555</v>
      </c>
      <c r="D716" s="314" t="s">
        <v>249</v>
      </c>
      <c r="E716" s="314" t="s">
        <v>104</v>
      </c>
      <c r="F716" s="314" t="s">
        <v>118</v>
      </c>
      <c r="G716" s="314" t="s">
        <v>108</v>
      </c>
      <c r="H716" s="314" t="s">
        <v>119</v>
      </c>
      <c r="I716" s="314" t="s">
        <v>108</v>
      </c>
      <c r="J716" s="314" t="s">
        <v>109</v>
      </c>
      <c r="K716" s="314">
        <v>0</v>
      </c>
      <c r="L716" s="314">
        <v>0</v>
      </c>
      <c r="M716" s="315">
        <v>45145.5896759259</v>
      </c>
      <c r="N716" s="314" t="s">
        <v>2664</v>
      </c>
      <c r="O716" s="314" t="s">
        <v>251</v>
      </c>
      <c r="P716" s="314" t="s">
        <v>161</v>
      </c>
      <c r="Q716" s="314" t="s">
        <v>123</v>
      </c>
      <c r="R716" s="315">
        <v>45145.5901157407</v>
      </c>
      <c r="S716" s="314" t="s">
        <v>2664</v>
      </c>
      <c r="T716" s="314" t="s">
        <v>2665</v>
      </c>
      <c r="U716" s="314" t="s">
        <v>2665</v>
      </c>
      <c r="V716" s="314" t="s">
        <v>114</v>
      </c>
      <c r="W716" s="314"/>
      <c r="X716" s="314" t="str">
        <f>VLOOKUP(D716,代理总表!A:D,3,0)</f>
        <v>飞哥雨燕直播</v>
      </c>
      <c r="Y716" t="str">
        <f>VLOOKUP(D:D,代理总表!A:D,4,FALSE)</f>
        <v>飞哥雨燕直播ffmk88</v>
      </c>
      <c r="Z716">
        <f t="shared" si="33"/>
        <v>0</v>
      </c>
      <c r="AA716">
        <f t="shared" si="34"/>
        <v>14</v>
      </c>
      <c r="AB716">
        <f t="shared" si="35"/>
        <v>1</v>
      </c>
    </row>
    <row r="717" spans="1:28">
      <c r="A717" s="314" t="s">
        <v>2666</v>
      </c>
      <c r="B717" s="314" t="s">
        <v>1645</v>
      </c>
      <c r="C717" s="314">
        <v>905971059</v>
      </c>
      <c r="D717" s="314" t="s">
        <v>394</v>
      </c>
      <c r="E717" s="314" t="s">
        <v>117</v>
      </c>
      <c r="F717" s="314" t="s">
        <v>118</v>
      </c>
      <c r="G717" s="314" t="s">
        <v>108</v>
      </c>
      <c r="H717" s="314" t="s">
        <v>119</v>
      </c>
      <c r="I717" s="314" t="s">
        <v>108</v>
      </c>
      <c r="J717" s="314" t="s">
        <v>120</v>
      </c>
      <c r="K717" s="314">
        <v>0</v>
      </c>
      <c r="L717" s="314">
        <v>0</v>
      </c>
      <c r="M717" s="315">
        <v>45145.5888657407</v>
      </c>
      <c r="N717" s="314" t="s">
        <v>2667</v>
      </c>
      <c r="O717" s="314" t="s">
        <v>396</v>
      </c>
      <c r="P717" s="314" t="s">
        <v>112</v>
      </c>
      <c r="Q717" s="314" t="s">
        <v>123</v>
      </c>
      <c r="R717" s="315">
        <v>45145.9922337963</v>
      </c>
      <c r="S717" s="314" t="s">
        <v>2668</v>
      </c>
      <c r="T717" s="314" t="s">
        <v>216</v>
      </c>
      <c r="U717" s="314" t="s">
        <v>177</v>
      </c>
      <c r="V717" s="314" t="s">
        <v>114</v>
      </c>
      <c r="W717" s="314"/>
      <c r="X717" s="314" t="str">
        <f>VLOOKUP(D717,代理总表!A:D,3,0)</f>
        <v>外部代理总线</v>
      </c>
      <c r="Y717" t="str">
        <f>VLOOKUP(D:D,代理总表!A:D,4,FALSE)</f>
        <v>外部代理总线zh0808</v>
      </c>
      <c r="Z717">
        <f t="shared" si="33"/>
        <v>0</v>
      </c>
      <c r="AA717">
        <f t="shared" si="34"/>
        <v>14</v>
      </c>
      <c r="AB717">
        <f t="shared" si="35"/>
        <v>1</v>
      </c>
    </row>
    <row r="718" spans="1:28">
      <c r="A718" s="314" t="s">
        <v>2669</v>
      </c>
      <c r="B718" s="314"/>
      <c r="C718" s="314"/>
      <c r="D718" s="314" t="s">
        <v>224</v>
      </c>
      <c r="E718" s="314" t="s">
        <v>117</v>
      </c>
      <c r="F718" s="314" t="s">
        <v>118</v>
      </c>
      <c r="G718" s="314" t="s">
        <v>108</v>
      </c>
      <c r="H718" s="314" t="s">
        <v>119</v>
      </c>
      <c r="I718" s="314" t="s">
        <v>108</v>
      </c>
      <c r="J718" s="314" t="s">
        <v>120</v>
      </c>
      <c r="K718" s="314">
        <v>0</v>
      </c>
      <c r="L718" s="314">
        <v>0</v>
      </c>
      <c r="M718" s="315">
        <v>45145.5871180556</v>
      </c>
      <c r="N718" s="314" t="s">
        <v>337</v>
      </c>
      <c r="O718" s="314" t="s">
        <v>1817</v>
      </c>
      <c r="P718" s="314" t="s">
        <v>339</v>
      </c>
      <c r="Q718" s="314" t="s">
        <v>123</v>
      </c>
      <c r="R718" s="315">
        <v>45145.5871180556</v>
      </c>
      <c r="S718" s="314" t="s">
        <v>337</v>
      </c>
      <c r="T718" s="314" t="s">
        <v>340</v>
      </c>
      <c r="U718" s="314" t="s">
        <v>340</v>
      </c>
      <c r="V718" s="314" t="s">
        <v>114</v>
      </c>
      <c r="W718" s="314"/>
      <c r="X718" s="314" t="str">
        <f>VLOOKUP(D718,代理总表!A:D,3,0)</f>
        <v>雨燕直播-越</v>
      </c>
      <c r="Y718" t="str">
        <f>VLOOKUP(D:D,代理总表!A:D,4,FALSE)</f>
        <v>雨燕直播-越ffvn66</v>
      </c>
      <c r="Z718">
        <f t="shared" si="33"/>
        <v>0</v>
      </c>
      <c r="AA718">
        <f t="shared" si="34"/>
        <v>14</v>
      </c>
      <c r="AB718">
        <f t="shared" si="35"/>
        <v>1</v>
      </c>
    </row>
    <row r="719" spans="1:28">
      <c r="A719" s="314" t="s">
        <v>2670</v>
      </c>
      <c r="B719" s="314" t="s">
        <v>2671</v>
      </c>
      <c r="C719" s="314">
        <v>18937460567</v>
      </c>
      <c r="D719" s="314" t="s">
        <v>276</v>
      </c>
      <c r="E719" s="314" t="s">
        <v>104</v>
      </c>
      <c r="F719" s="314" t="s">
        <v>144</v>
      </c>
      <c r="G719" s="314" t="s">
        <v>106</v>
      </c>
      <c r="H719" s="314" t="s">
        <v>107</v>
      </c>
      <c r="I719" s="314" t="s">
        <v>108</v>
      </c>
      <c r="J719" s="314" t="s">
        <v>109</v>
      </c>
      <c r="K719" s="314">
        <v>100</v>
      </c>
      <c r="L719" s="314">
        <v>300</v>
      </c>
      <c r="M719" s="315">
        <v>45145.5849537037</v>
      </c>
      <c r="N719" s="314" t="s">
        <v>2672</v>
      </c>
      <c r="O719" s="314" t="s">
        <v>1002</v>
      </c>
      <c r="P719" s="314" t="s">
        <v>161</v>
      </c>
      <c r="Q719" s="315">
        <v>45145.6781712963</v>
      </c>
      <c r="R719" s="315">
        <v>45145.7265972222</v>
      </c>
      <c r="S719" s="314" t="s">
        <v>2673</v>
      </c>
      <c r="T719" s="314" t="s">
        <v>2592</v>
      </c>
      <c r="U719" s="314" t="s">
        <v>2592</v>
      </c>
      <c r="V719" s="314" t="s">
        <v>114</v>
      </c>
      <c r="W719" s="314"/>
      <c r="X719" s="314" t="str">
        <f>VLOOKUP(D719,代理总表!A:D,3,0)</f>
        <v>飞哥雨燕直播</v>
      </c>
      <c r="Y719" t="str">
        <f>VLOOKUP(D:D,代理总表!A:D,4,FALSE)</f>
        <v>飞哥雨燕直播ffmk88</v>
      </c>
      <c r="Z719">
        <f t="shared" si="33"/>
        <v>1</v>
      </c>
      <c r="AA719">
        <f t="shared" si="34"/>
        <v>14</v>
      </c>
      <c r="AB719">
        <f t="shared" si="35"/>
        <v>1</v>
      </c>
    </row>
    <row r="720" spans="1:28">
      <c r="A720" s="314" t="s">
        <v>2674</v>
      </c>
      <c r="B720" s="314"/>
      <c r="C720" s="314">
        <v>935284268</v>
      </c>
      <c r="D720" s="314" t="s">
        <v>197</v>
      </c>
      <c r="E720" s="314" t="s">
        <v>117</v>
      </c>
      <c r="F720" s="314" t="s">
        <v>118</v>
      </c>
      <c r="G720" s="314" t="s">
        <v>108</v>
      </c>
      <c r="H720" s="314" t="s">
        <v>119</v>
      </c>
      <c r="I720" s="314" t="s">
        <v>108</v>
      </c>
      <c r="J720" s="314" t="s">
        <v>120</v>
      </c>
      <c r="K720" s="314">
        <v>0</v>
      </c>
      <c r="L720" s="314">
        <v>0</v>
      </c>
      <c r="M720" s="315">
        <v>45145.5846180556</v>
      </c>
      <c r="N720" s="314" t="s">
        <v>2675</v>
      </c>
      <c r="O720" s="314" t="s">
        <v>875</v>
      </c>
      <c r="P720" s="314" t="s">
        <v>208</v>
      </c>
      <c r="Q720" s="314" t="s">
        <v>123</v>
      </c>
      <c r="R720" s="315">
        <v>45145.8056134259</v>
      </c>
      <c r="S720" s="314" t="s">
        <v>2675</v>
      </c>
      <c r="T720" s="314" t="s">
        <v>189</v>
      </c>
      <c r="U720" s="314" t="s">
        <v>189</v>
      </c>
      <c r="V720" s="314" t="s">
        <v>114</v>
      </c>
      <c r="W720" s="314"/>
      <c r="X720" s="314" t="str">
        <f>VLOOKUP(D720,代理总表!A:D,3,0)</f>
        <v>雨燕直播-越</v>
      </c>
      <c r="Y720" t="str">
        <f>VLOOKUP(D:D,代理总表!A:D,4,FALSE)</f>
        <v>雨燕直播-越ffvn66</v>
      </c>
      <c r="Z720">
        <f t="shared" si="33"/>
        <v>0</v>
      </c>
      <c r="AA720">
        <f t="shared" si="34"/>
        <v>14</v>
      </c>
      <c r="AB720">
        <f t="shared" si="35"/>
        <v>1</v>
      </c>
    </row>
    <row r="721" spans="1:28">
      <c r="A721" s="314" t="s">
        <v>2676</v>
      </c>
      <c r="B721" s="314" t="s">
        <v>2677</v>
      </c>
      <c r="C721" s="314">
        <v>17364262809</v>
      </c>
      <c r="D721" s="314" t="s">
        <v>148</v>
      </c>
      <c r="E721" s="314" t="s">
        <v>104</v>
      </c>
      <c r="F721" s="314" t="s">
        <v>149</v>
      </c>
      <c r="G721" s="314" t="s">
        <v>108</v>
      </c>
      <c r="H721" s="314" t="s">
        <v>119</v>
      </c>
      <c r="I721" s="314" t="s">
        <v>108</v>
      </c>
      <c r="J721" s="314" t="s">
        <v>109</v>
      </c>
      <c r="K721" s="314">
        <v>0</v>
      </c>
      <c r="L721" s="314">
        <v>0</v>
      </c>
      <c r="M721" s="315">
        <v>45145.5836805556</v>
      </c>
      <c r="N721" s="314" t="s">
        <v>2678</v>
      </c>
      <c r="O721" s="314" t="s">
        <v>344</v>
      </c>
      <c r="P721" s="314" t="s">
        <v>161</v>
      </c>
      <c r="Q721" s="314" t="s">
        <v>123</v>
      </c>
      <c r="R721" s="315">
        <v>45145.5836689815</v>
      </c>
      <c r="S721" s="314" t="s">
        <v>2678</v>
      </c>
      <c r="T721" s="314" t="s">
        <v>307</v>
      </c>
      <c r="U721" s="314" t="s">
        <v>307</v>
      </c>
      <c r="V721" s="314" t="s">
        <v>114</v>
      </c>
      <c r="W721" s="314"/>
      <c r="X721" s="314" t="str">
        <f>VLOOKUP(D721,代理总表!A:D,3,0)</f>
        <v>martin</v>
      </c>
      <c r="Y721" t="str">
        <f>VLOOKUP(D:D,代理总表!A:D,4,FALSE)</f>
        <v>SEO</v>
      </c>
      <c r="Z721">
        <f t="shared" si="33"/>
        <v>0</v>
      </c>
      <c r="AA721">
        <f t="shared" si="34"/>
        <v>14</v>
      </c>
      <c r="AB721">
        <f t="shared" si="35"/>
        <v>1</v>
      </c>
    </row>
    <row r="722" spans="1:28">
      <c r="A722" s="314" t="s">
        <v>2679</v>
      </c>
      <c r="B722" s="314"/>
      <c r="C722" s="314"/>
      <c r="D722" s="314" t="s">
        <v>116</v>
      </c>
      <c r="E722" s="314" t="s">
        <v>117</v>
      </c>
      <c r="F722" s="314" t="s">
        <v>118</v>
      </c>
      <c r="G722" s="314" t="s">
        <v>108</v>
      </c>
      <c r="H722" s="314" t="s">
        <v>119</v>
      </c>
      <c r="I722" s="314" t="s">
        <v>108</v>
      </c>
      <c r="J722" s="314" t="s">
        <v>120</v>
      </c>
      <c r="K722" s="314">
        <v>0</v>
      </c>
      <c r="L722" s="314">
        <v>0</v>
      </c>
      <c r="M722" s="315">
        <v>45145.583587963</v>
      </c>
      <c r="N722" s="314" t="s">
        <v>2680</v>
      </c>
      <c r="O722" s="314" t="s">
        <v>127</v>
      </c>
      <c r="P722" s="314" t="s">
        <v>112</v>
      </c>
      <c r="Q722" s="314" t="s">
        <v>123</v>
      </c>
      <c r="R722" s="315">
        <v>45145.5835763889</v>
      </c>
      <c r="S722" s="314" t="s">
        <v>2680</v>
      </c>
      <c r="T722" s="314" t="s">
        <v>124</v>
      </c>
      <c r="U722" s="314" t="s">
        <v>124</v>
      </c>
      <c r="V722" s="314" t="s">
        <v>114</v>
      </c>
      <c r="W722" s="314"/>
      <c r="X722" s="314" t="str">
        <f>VLOOKUP(D722,代理总表!A:D,3,0)</f>
        <v>外部代理总线</v>
      </c>
      <c r="Y722" t="str">
        <f>VLOOKUP(D:D,代理总表!A:D,4,FALSE)</f>
        <v>外部代理总线zh0808</v>
      </c>
      <c r="Z722">
        <f t="shared" si="33"/>
        <v>0</v>
      </c>
      <c r="AA722">
        <f t="shared" si="34"/>
        <v>14</v>
      </c>
      <c r="AB722">
        <f t="shared" si="35"/>
        <v>1</v>
      </c>
    </row>
    <row r="723" spans="1:28">
      <c r="A723" s="314" t="s">
        <v>2681</v>
      </c>
      <c r="B723" s="314"/>
      <c r="C723" s="314"/>
      <c r="D723" s="314" t="s">
        <v>116</v>
      </c>
      <c r="E723" s="314" t="s">
        <v>117</v>
      </c>
      <c r="F723" s="314" t="s">
        <v>118</v>
      </c>
      <c r="G723" s="314" t="s">
        <v>108</v>
      </c>
      <c r="H723" s="314" t="s">
        <v>119</v>
      </c>
      <c r="I723" s="314" t="s">
        <v>108</v>
      </c>
      <c r="J723" s="314" t="s">
        <v>120</v>
      </c>
      <c r="K723" s="314">
        <v>0</v>
      </c>
      <c r="L723" s="314">
        <v>0</v>
      </c>
      <c r="M723" s="315">
        <v>45145.5835648148</v>
      </c>
      <c r="N723" s="314" t="s">
        <v>2682</v>
      </c>
      <c r="O723" s="314" t="s">
        <v>122</v>
      </c>
      <c r="P723" s="314" t="s">
        <v>112</v>
      </c>
      <c r="Q723" s="314" t="s">
        <v>123</v>
      </c>
      <c r="R723" s="315">
        <v>45145.5835648148</v>
      </c>
      <c r="S723" s="314" t="s">
        <v>2682</v>
      </c>
      <c r="T723" s="314" t="s">
        <v>134</v>
      </c>
      <c r="U723" s="314" t="s">
        <v>134</v>
      </c>
      <c r="V723" s="314" t="s">
        <v>114</v>
      </c>
      <c r="W723" s="314"/>
      <c r="X723" s="314" t="str">
        <f>VLOOKUP(D723,代理总表!A:D,3,0)</f>
        <v>外部代理总线</v>
      </c>
      <c r="Y723" t="str">
        <f>VLOOKUP(D:D,代理总表!A:D,4,FALSE)</f>
        <v>外部代理总线zh0808</v>
      </c>
      <c r="Z723">
        <f t="shared" si="33"/>
        <v>0</v>
      </c>
      <c r="AA723">
        <f t="shared" si="34"/>
        <v>14</v>
      </c>
      <c r="AB723">
        <f t="shared" si="35"/>
        <v>1</v>
      </c>
    </row>
    <row r="724" spans="1:28">
      <c r="A724" s="314" t="s">
        <v>2683</v>
      </c>
      <c r="B724" s="314" t="s">
        <v>2684</v>
      </c>
      <c r="C724" s="314">
        <v>528248940</v>
      </c>
      <c r="D724" s="314" t="s">
        <v>333</v>
      </c>
      <c r="E724" s="314" t="s">
        <v>117</v>
      </c>
      <c r="F724" s="314" t="s">
        <v>144</v>
      </c>
      <c r="G724" s="314" t="s">
        <v>106</v>
      </c>
      <c r="H724" s="314" t="s">
        <v>107</v>
      </c>
      <c r="I724" s="314" t="s">
        <v>108</v>
      </c>
      <c r="J724" s="314" t="s">
        <v>120</v>
      </c>
      <c r="K724" s="314">
        <v>0</v>
      </c>
      <c r="L724" s="314">
        <v>650000</v>
      </c>
      <c r="M724" s="315">
        <v>45145.5831365741</v>
      </c>
      <c r="N724" s="314" t="s">
        <v>2685</v>
      </c>
      <c r="O724" s="314" t="s">
        <v>335</v>
      </c>
      <c r="P724" s="314" t="s">
        <v>112</v>
      </c>
      <c r="Q724" s="315">
        <v>45145.5903819444</v>
      </c>
      <c r="R724" s="315">
        <v>45145.7522569444</v>
      </c>
      <c r="S724" s="314" t="s">
        <v>2685</v>
      </c>
      <c r="T724" s="314" t="s">
        <v>177</v>
      </c>
      <c r="U724" s="314" t="s">
        <v>177</v>
      </c>
      <c r="V724" s="314" t="s">
        <v>114</v>
      </c>
      <c r="W724" s="314"/>
      <c r="X724" s="314" t="e">
        <f>VLOOKUP(D724,代理总表!A:D,3,0)</f>
        <v>#N/A</v>
      </c>
      <c r="Y724" t="e">
        <f>VLOOKUP(D:D,代理总表!A:D,4,FALSE)</f>
        <v>#N/A</v>
      </c>
      <c r="Z724">
        <f t="shared" si="33"/>
        <v>1</v>
      </c>
      <c r="AA724">
        <f t="shared" si="34"/>
        <v>13</v>
      </c>
      <c r="AB724">
        <f t="shared" si="35"/>
        <v>1</v>
      </c>
    </row>
    <row r="725" spans="1:28">
      <c r="A725" s="314" t="s">
        <v>2686</v>
      </c>
      <c r="B725" s="314" t="s">
        <v>2687</v>
      </c>
      <c r="C725" s="314">
        <v>13141589657</v>
      </c>
      <c r="D725" s="314" t="s">
        <v>148</v>
      </c>
      <c r="E725" s="314" t="s">
        <v>104</v>
      </c>
      <c r="F725" s="314" t="s">
        <v>181</v>
      </c>
      <c r="G725" s="314" t="s">
        <v>106</v>
      </c>
      <c r="H725" s="314" t="s">
        <v>107</v>
      </c>
      <c r="I725" s="314" t="s">
        <v>108</v>
      </c>
      <c r="J725" s="314" t="s">
        <v>109</v>
      </c>
      <c r="K725" s="314">
        <v>52.5</v>
      </c>
      <c r="L725" s="314">
        <v>1000</v>
      </c>
      <c r="M725" s="315">
        <v>45145.5816782407</v>
      </c>
      <c r="N725" s="314" t="s">
        <v>2688</v>
      </c>
      <c r="O725" s="314" t="s">
        <v>160</v>
      </c>
      <c r="P725" s="314" t="s">
        <v>208</v>
      </c>
      <c r="Q725" s="315">
        <v>45145.6619560185</v>
      </c>
      <c r="R725" s="315">
        <v>45146.0416087963</v>
      </c>
      <c r="S725" s="314" t="s">
        <v>2689</v>
      </c>
      <c r="T725" s="314" t="s">
        <v>299</v>
      </c>
      <c r="U725" s="314" t="s">
        <v>2690</v>
      </c>
      <c r="V725" s="314" t="s">
        <v>114</v>
      </c>
      <c r="W725" s="314"/>
      <c r="X725" s="314" t="str">
        <f>VLOOKUP(D725,代理总表!A:D,3,0)</f>
        <v>martin</v>
      </c>
      <c r="Y725" t="str">
        <f>VLOOKUP(D:D,代理总表!A:D,4,FALSE)</f>
        <v>SEO</v>
      </c>
      <c r="Z725">
        <f t="shared" si="33"/>
        <v>1</v>
      </c>
      <c r="AA725">
        <f t="shared" si="34"/>
        <v>13</v>
      </c>
      <c r="AB725">
        <f t="shared" si="35"/>
        <v>1</v>
      </c>
    </row>
    <row r="726" spans="1:28">
      <c r="A726" s="314" t="s">
        <v>2691</v>
      </c>
      <c r="B726" s="314"/>
      <c r="C726" s="314"/>
      <c r="D726" s="314" t="s">
        <v>103</v>
      </c>
      <c r="E726" s="314" t="s">
        <v>104</v>
      </c>
      <c r="F726" s="314" t="s">
        <v>118</v>
      </c>
      <c r="G726" s="314" t="s">
        <v>108</v>
      </c>
      <c r="H726" s="314" t="s">
        <v>119</v>
      </c>
      <c r="I726" s="314" t="s">
        <v>108</v>
      </c>
      <c r="J726" s="314" t="s">
        <v>109</v>
      </c>
      <c r="K726" s="314">
        <v>0</v>
      </c>
      <c r="L726" s="314">
        <v>0</v>
      </c>
      <c r="M726" s="315">
        <v>45145.5816550926</v>
      </c>
      <c r="N726" s="314" t="s">
        <v>2692</v>
      </c>
      <c r="O726" s="314" t="s">
        <v>851</v>
      </c>
      <c r="P726" s="314" t="s">
        <v>339</v>
      </c>
      <c r="Q726" s="314" t="s">
        <v>123</v>
      </c>
      <c r="R726" s="314"/>
      <c r="S726" s="314"/>
      <c r="T726" s="314" t="s">
        <v>2027</v>
      </c>
      <c r="U726" s="314"/>
      <c r="V726" s="314" t="s">
        <v>114</v>
      </c>
      <c r="W726" s="314"/>
      <c r="X726" s="314" t="str">
        <f>VLOOKUP(D726,代理总表!A:D,3,0)</f>
        <v>官网</v>
      </c>
      <c r="Y726" t="str">
        <f>VLOOKUP(D:D,代理总表!A:D,4,FALSE)</f>
        <v>官网</v>
      </c>
      <c r="Z726">
        <f t="shared" si="33"/>
        <v>0</v>
      </c>
      <c r="AA726">
        <f t="shared" si="34"/>
        <v>13</v>
      </c>
      <c r="AB726">
        <f t="shared" si="35"/>
        <v>1</v>
      </c>
    </row>
    <row r="727" spans="1:28">
      <c r="A727" s="314" t="s">
        <v>2693</v>
      </c>
      <c r="B727" s="314"/>
      <c r="C727" s="314"/>
      <c r="D727" s="314" t="s">
        <v>2694</v>
      </c>
      <c r="E727" s="314" t="s">
        <v>104</v>
      </c>
      <c r="F727" s="314" t="s">
        <v>118</v>
      </c>
      <c r="G727" s="314" t="s">
        <v>108</v>
      </c>
      <c r="H727" s="314" t="s">
        <v>119</v>
      </c>
      <c r="I727" s="314" t="s">
        <v>108</v>
      </c>
      <c r="J727" s="314" t="s">
        <v>109</v>
      </c>
      <c r="K727" s="314">
        <v>0</v>
      </c>
      <c r="L727" s="314">
        <v>0</v>
      </c>
      <c r="M727" s="315">
        <v>45145.5811689815</v>
      </c>
      <c r="N727" s="314" t="s">
        <v>2695</v>
      </c>
      <c r="O727" s="314" t="s">
        <v>2696</v>
      </c>
      <c r="P727" s="314" t="s">
        <v>339</v>
      </c>
      <c r="Q727" s="314" t="s">
        <v>123</v>
      </c>
      <c r="R727" s="315">
        <v>45145.5811574074</v>
      </c>
      <c r="S727" s="314" t="s">
        <v>2695</v>
      </c>
      <c r="T727" s="314" t="s">
        <v>2697</v>
      </c>
      <c r="U727" s="314" t="s">
        <v>2697</v>
      </c>
      <c r="V727" s="314" t="s">
        <v>114</v>
      </c>
      <c r="W727" s="314"/>
      <c r="X727" s="314" t="str">
        <f>VLOOKUP(D727,代理总表!A:D,3,0)</f>
        <v>GT-骨头</v>
      </c>
      <c r="Y727" t="str">
        <f>VLOOKUP(D:D,代理总表!A:D,4,FALSE)</f>
        <v>GT-骨头gt6677</v>
      </c>
      <c r="Z727">
        <f t="shared" si="33"/>
        <v>0</v>
      </c>
      <c r="AA727">
        <f t="shared" si="34"/>
        <v>13</v>
      </c>
      <c r="AB727">
        <f t="shared" si="35"/>
        <v>1</v>
      </c>
    </row>
    <row r="728" spans="1:28">
      <c r="A728" s="314" t="s">
        <v>2698</v>
      </c>
      <c r="B728" s="314"/>
      <c r="C728" s="314">
        <v>17686373971</v>
      </c>
      <c r="D728" s="314" t="s">
        <v>103</v>
      </c>
      <c r="E728" s="314" t="s">
        <v>104</v>
      </c>
      <c r="F728" s="314" t="s">
        <v>118</v>
      </c>
      <c r="G728" s="314" t="s">
        <v>108</v>
      </c>
      <c r="H728" s="314" t="s">
        <v>119</v>
      </c>
      <c r="I728" s="314" t="s">
        <v>108</v>
      </c>
      <c r="J728" s="314" t="s">
        <v>109</v>
      </c>
      <c r="K728" s="314">
        <v>0</v>
      </c>
      <c r="L728" s="314">
        <v>0</v>
      </c>
      <c r="M728" s="315">
        <v>45145.5808796296</v>
      </c>
      <c r="N728" s="314" t="s">
        <v>2699</v>
      </c>
      <c r="O728" s="314" t="s">
        <v>350</v>
      </c>
      <c r="P728" s="314" t="s">
        <v>112</v>
      </c>
      <c r="Q728" s="314" t="s">
        <v>123</v>
      </c>
      <c r="R728" s="315">
        <v>45145.8648032407</v>
      </c>
      <c r="S728" s="314" t="s">
        <v>2699</v>
      </c>
      <c r="T728" s="314" t="s">
        <v>2700</v>
      </c>
      <c r="U728" s="314" t="s">
        <v>2700</v>
      </c>
      <c r="V728" s="314" t="s">
        <v>114</v>
      </c>
      <c r="W728" s="314"/>
      <c r="X728" s="314" t="str">
        <f>VLOOKUP(D728,代理总表!A:D,3,0)</f>
        <v>官网</v>
      </c>
      <c r="Y728" t="str">
        <f>VLOOKUP(D:D,代理总表!A:D,4,FALSE)</f>
        <v>官网</v>
      </c>
      <c r="Z728">
        <f t="shared" si="33"/>
        <v>0</v>
      </c>
      <c r="AA728">
        <f t="shared" si="34"/>
        <v>13</v>
      </c>
      <c r="AB728">
        <f t="shared" si="35"/>
        <v>1</v>
      </c>
    </row>
    <row r="729" spans="1:28">
      <c r="A729" s="314" t="s">
        <v>2701</v>
      </c>
      <c r="B729" s="314" t="s">
        <v>2702</v>
      </c>
      <c r="C729" s="314">
        <v>795283139</v>
      </c>
      <c r="D729" s="314" t="s">
        <v>522</v>
      </c>
      <c r="E729" s="314" t="s">
        <v>117</v>
      </c>
      <c r="F729" s="314" t="s">
        <v>144</v>
      </c>
      <c r="G729" s="314" t="s">
        <v>106</v>
      </c>
      <c r="H729" s="314" t="s">
        <v>107</v>
      </c>
      <c r="I729" s="314" t="s">
        <v>108</v>
      </c>
      <c r="J729" s="314" t="s">
        <v>120</v>
      </c>
      <c r="K729" s="314">
        <v>50000</v>
      </c>
      <c r="L729" s="314">
        <v>50000</v>
      </c>
      <c r="M729" s="315">
        <v>45145.5805092593</v>
      </c>
      <c r="N729" s="314" t="s">
        <v>2703</v>
      </c>
      <c r="O729" s="314" t="s">
        <v>524</v>
      </c>
      <c r="P729" s="314" t="s">
        <v>112</v>
      </c>
      <c r="Q729" s="315">
        <v>45145.6153356481</v>
      </c>
      <c r="R729" s="315">
        <v>45146.1111458333</v>
      </c>
      <c r="S729" s="314" t="s">
        <v>2704</v>
      </c>
      <c r="T729" s="314" t="s">
        <v>177</v>
      </c>
      <c r="U729" s="314" t="s">
        <v>124</v>
      </c>
      <c r="V729" s="314" t="s">
        <v>114</v>
      </c>
      <c r="W729" s="314"/>
      <c r="X729" s="314" t="str">
        <f>VLOOKUP(D729,代理总表!A:D,3,0)</f>
        <v>SOCO越南直播</v>
      </c>
      <c r="Y729" t="str">
        <f>VLOOKUP(D:D,代理总表!A:D,4,FALSE)</f>
        <v>SOCO越南直播ffvn66</v>
      </c>
      <c r="Z729">
        <f t="shared" si="33"/>
        <v>1</v>
      </c>
      <c r="AA729">
        <f t="shared" si="34"/>
        <v>13</v>
      </c>
      <c r="AB729">
        <f t="shared" si="35"/>
        <v>1</v>
      </c>
    </row>
    <row r="730" spans="1:28">
      <c r="A730" s="314" t="s">
        <v>2705</v>
      </c>
      <c r="B730" s="314"/>
      <c r="C730" s="314">
        <v>15683277516</v>
      </c>
      <c r="D730" s="314" t="s">
        <v>1602</v>
      </c>
      <c r="E730" s="314" t="s">
        <v>104</v>
      </c>
      <c r="F730" s="314" t="s">
        <v>118</v>
      </c>
      <c r="G730" s="314" t="s">
        <v>108</v>
      </c>
      <c r="H730" s="314" t="s">
        <v>119</v>
      </c>
      <c r="I730" s="314" t="s">
        <v>108</v>
      </c>
      <c r="J730" s="314" t="s">
        <v>109</v>
      </c>
      <c r="K730" s="314">
        <v>0</v>
      </c>
      <c r="L730" s="314">
        <v>0</v>
      </c>
      <c r="M730" s="315">
        <v>45145.5804513889</v>
      </c>
      <c r="N730" s="314" t="s">
        <v>2706</v>
      </c>
      <c r="O730" s="314" t="s">
        <v>1604</v>
      </c>
      <c r="P730" s="314" t="s">
        <v>112</v>
      </c>
      <c r="Q730" s="314" t="s">
        <v>123</v>
      </c>
      <c r="R730" s="315">
        <v>45145.7769675926</v>
      </c>
      <c r="S730" s="314" t="s">
        <v>2706</v>
      </c>
      <c r="T730" s="314" t="s">
        <v>467</v>
      </c>
      <c r="U730" s="314" t="s">
        <v>467</v>
      </c>
      <c r="V730" s="314" t="s">
        <v>114</v>
      </c>
      <c r="W730" s="314"/>
      <c r="X730" s="314" t="str">
        <f>VLOOKUP(D730,代理总表!A:D,3,0)</f>
        <v>GT-B直播</v>
      </c>
      <c r="Y730" t="str">
        <f>VLOOKUP(D:D,代理总表!A:D,4,FALSE)</f>
        <v>B直播gt6688</v>
      </c>
      <c r="Z730">
        <f t="shared" si="33"/>
        <v>0</v>
      </c>
      <c r="AA730">
        <f t="shared" si="34"/>
        <v>13</v>
      </c>
      <c r="AB730">
        <f t="shared" si="35"/>
        <v>1</v>
      </c>
    </row>
    <row r="731" spans="1:28">
      <c r="A731" s="314" t="s">
        <v>2707</v>
      </c>
      <c r="B731" s="314"/>
      <c r="C731" s="314"/>
      <c r="D731" s="314" t="s">
        <v>2708</v>
      </c>
      <c r="E731" s="314" t="s">
        <v>117</v>
      </c>
      <c r="F731" s="314" t="s">
        <v>118</v>
      </c>
      <c r="G731" s="314" t="s">
        <v>108</v>
      </c>
      <c r="H731" s="314" t="s">
        <v>119</v>
      </c>
      <c r="I731" s="314" t="s">
        <v>108</v>
      </c>
      <c r="J731" s="314" t="s">
        <v>120</v>
      </c>
      <c r="K731" s="314">
        <v>0</v>
      </c>
      <c r="L731" s="314">
        <v>0</v>
      </c>
      <c r="M731" s="315">
        <v>45145.5800347222</v>
      </c>
      <c r="N731" s="314" t="s">
        <v>2709</v>
      </c>
      <c r="O731" s="314" t="s">
        <v>2710</v>
      </c>
      <c r="P731" s="314" t="s">
        <v>112</v>
      </c>
      <c r="Q731" s="314" t="s">
        <v>123</v>
      </c>
      <c r="R731" s="315">
        <v>45145.5870949074</v>
      </c>
      <c r="S731" s="314" t="s">
        <v>2709</v>
      </c>
      <c r="T731" s="314" t="s">
        <v>131</v>
      </c>
      <c r="U731" s="314" t="s">
        <v>131</v>
      </c>
      <c r="V731" s="314" t="s">
        <v>114</v>
      </c>
      <c r="W731" s="314"/>
      <c r="X731" s="314" t="e">
        <f>VLOOKUP(D731,代理总表!A:D,3,0)</f>
        <v>#N/A</v>
      </c>
      <c r="Y731" t="e">
        <f>VLOOKUP(D:D,代理总表!A:D,4,FALSE)</f>
        <v>#N/A</v>
      </c>
      <c r="Z731">
        <f t="shared" si="33"/>
        <v>0</v>
      </c>
      <c r="AA731">
        <f t="shared" si="34"/>
        <v>13</v>
      </c>
      <c r="AB731">
        <f t="shared" si="35"/>
        <v>1</v>
      </c>
    </row>
    <row r="732" spans="1:28">
      <c r="A732" s="314" t="s">
        <v>2711</v>
      </c>
      <c r="B732" s="314"/>
      <c r="C732" s="314"/>
      <c r="D732" s="314" t="s">
        <v>2712</v>
      </c>
      <c r="E732" s="314" t="s">
        <v>104</v>
      </c>
      <c r="F732" s="314" t="s">
        <v>118</v>
      </c>
      <c r="G732" s="314" t="s">
        <v>108</v>
      </c>
      <c r="H732" s="314" t="s">
        <v>119</v>
      </c>
      <c r="I732" s="314" t="s">
        <v>108</v>
      </c>
      <c r="J732" s="314" t="s">
        <v>109</v>
      </c>
      <c r="K732" s="314">
        <v>0</v>
      </c>
      <c r="L732" s="314">
        <v>0</v>
      </c>
      <c r="M732" s="315">
        <v>45145.5798842593</v>
      </c>
      <c r="N732" s="314" t="s">
        <v>2713</v>
      </c>
      <c r="O732" s="314" t="s">
        <v>2714</v>
      </c>
      <c r="P732" s="314" t="s">
        <v>112</v>
      </c>
      <c r="Q732" s="314" t="s">
        <v>123</v>
      </c>
      <c r="R732" s="315">
        <v>45145.7701273148</v>
      </c>
      <c r="S732" s="314" t="s">
        <v>2715</v>
      </c>
      <c r="T732" s="314" t="s">
        <v>2716</v>
      </c>
      <c r="U732" s="314" t="s">
        <v>2716</v>
      </c>
      <c r="V732" s="314" t="s">
        <v>114</v>
      </c>
      <c r="W732" s="314"/>
      <c r="X732" s="314" t="str">
        <f>VLOOKUP(D732,代理总表!A:D,3,0)</f>
        <v>178直播</v>
      </c>
      <c r="Y732" t="str">
        <f>VLOOKUP(D:D,代理总表!A:D,4,FALSE)</f>
        <v>178直播rg1888</v>
      </c>
      <c r="Z732">
        <f t="shared" si="33"/>
        <v>0</v>
      </c>
      <c r="AA732">
        <f t="shared" si="34"/>
        <v>13</v>
      </c>
      <c r="AB732">
        <f t="shared" si="35"/>
        <v>1</v>
      </c>
    </row>
    <row r="733" spans="1:28">
      <c r="A733" s="314" t="s">
        <v>2717</v>
      </c>
      <c r="B733" s="314"/>
      <c r="C733" s="314">
        <v>898907372</v>
      </c>
      <c r="D733" s="314" t="s">
        <v>2610</v>
      </c>
      <c r="E733" s="314" t="s">
        <v>117</v>
      </c>
      <c r="F733" s="314" t="s">
        <v>118</v>
      </c>
      <c r="G733" s="314" t="s">
        <v>108</v>
      </c>
      <c r="H733" s="314" t="s">
        <v>119</v>
      </c>
      <c r="I733" s="314" t="s">
        <v>108</v>
      </c>
      <c r="J733" s="314" t="s">
        <v>120</v>
      </c>
      <c r="K733" s="314">
        <v>0</v>
      </c>
      <c r="L733" s="314">
        <v>0</v>
      </c>
      <c r="M733" s="315">
        <v>45145.5779976852</v>
      </c>
      <c r="N733" s="314" t="s">
        <v>2718</v>
      </c>
      <c r="O733" s="314" t="s">
        <v>2612</v>
      </c>
      <c r="P733" s="314" t="s">
        <v>112</v>
      </c>
      <c r="Q733" s="314" t="s">
        <v>123</v>
      </c>
      <c r="R733" s="315">
        <v>45145.5779861111</v>
      </c>
      <c r="S733" s="314" t="s">
        <v>2718</v>
      </c>
      <c r="T733" s="314" t="s">
        <v>131</v>
      </c>
      <c r="U733" s="314" t="s">
        <v>131</v>
      </c>
      <c r="V733" s="314" t="s">
        <v>114</v>
      </c>
      <c r="W733" s="314"/>
      <c r="X733" s="314" t="str">
        <f>VLOOKUP(D733,代理总表!A:D,3,0)</f>
        <v>SOCO越南直播</v>
      </c>
      <c r="Y733" t="str">
        <f>VLOOKUP(D:D,代理总表!A:D,4,FALSE)</f>
        <v>SOCO越南直播ffvn66</v>
      </c>
      <c r="Z733">
        <f t="shared" si="33"/>
        <v>0</v>
      </c>
      <c r="AA733">
        <f t="shared" si="34"/>
        <v>13</v>
      </c>
      <c r="AB733">
        <f t="shared" si="35"/>
        <v>1</v>
      </c>
    </row>
    <row r="734" spans="1:28">
      <c r="A734" s="314" t="s">
        <v>2719</v>
      </c>
      <c r="B734" s="314" t="s">
        <v>2720</v>
      </c>
      <c r="C734" s="314">
        <v>18651728217</v>
      </c>
      <c r="D734" s="314" t="s">
        <v>240</v>
      </c>
      <c r="E734" s="314" t="s">
        <v>104</v>
      </c>
      <c r="F734" s="314" t="s">
        <v>149</v>
      </c>
      <c r="G734" s="314" t="s">
        <v>108</v>
      </c>
      <c r="H734" s="314" t="s">
        <v>119</v>
      </c>
      <c r="I734" s="314" t="s">
        <v>108</v>
      </c>
      <c r="J734" s="314" t="s">
        <v>109</v>
      </c>
      <c r="K734" s="314">
        <v>0</v>
      </c>
      <c r="L734" s="314">
        <v>0</v>
      </c>
      <c r="M734" s="315">
        <v>45145.5777314815</v>
      </c>
      <c r="N734" s="314" t="s">
        <v>2721</v>
      </c>
      <c r="O734" s="314" t="s">
        <v>344</v>
      </c>
      <c r="P734" s="314" t="s">
        <v>112</v>
      </c>
      <c r="Q734" s="314" t="s">
        <v>123</v>
      </c>
      <c r="R734" s="315">
        <v>45146.3210185185</v>
      </c>
      <c r="S734" s="314" t="s">
        <v>2721</v>
      </c>
      <c r="T734" s="314" t="s">
        <v>2722</v>
      </c>
      <c r="U734" s="314" t="s">
        <v>2722</v>
      </c>
      <c r="V734" s="314" t="s">
        <v>114</v>
      </c>
      <c r="W734" s="314"/>
      <c r="X734" s="314" t="str">
        <f>VLOOKUP(D734,代理总表!A:D,3,0)</f>
        <v>SEO邀请</v>
      </c>
      <c r="Y734" t="str">
        <f>VLOOKUP(D:D,代理总表!A:D,4,FALSE)</f>
        <v>SEO</v>
      </c>
      <c r="Z734">
        <f t="shared" si="33"/>
        <v>0</v>
      </c>
      <c r="AA734">
        <f t="shared" si="34"/>
        <v>13</v>
      </c>
      <c r="AB734">
        <f t="shared" si="35"/>
        <v>1</v>
      </c>
    </row>
    <row r="735" spans="1:28">
      <c r="A735" s="314" t="s">
        <v>2723</v>
      </c>
      <c r="B735" s="314" t="s">
        <v>2724</v>
      </c>
      <c r="C735" s="314">
        <v>17374279275</v>
      </c>
      <c r="D735" s="314" t="s">
        <v>479</v>
      </c>
      <c r="E735" s="314" t="s">
        <v>104</v>
      </c>
      <c r="F735" s="314" t="s">
        <v>105</v>
      </c>
      <c r="G735" s="314" t="s">
        <v>106</v>
      </c>
      <c r="H735" s="314" t="s">
        <v>856</v>
      </c>
      <c r="I735" s="314" t="s">
        <v>108</v>
      </c>
      <c r="J735" s="314" t="s">
        <v>109</v>
      </c>
      <c r="K735" s="314">
        <v>3000.16</v>
      </c>
      <c r="L735" s="314">
        <v>11.28</v>
      </c>
      <c r="M735" s="315">
        <v>45145.576875</v>
      </c>
      <c r="N735" s="314" t="s">
        <v>2725</v>
      </c>
      <c r="O735" s="314" t="s">
        <v>2726</v>
      </c>
      <c r="P735" s="314" t="s">
        <v>161</v>
      </c>
      <c r="Q735" s="315">
        <v>45145.5822222222</v>
      </c>
      <c r="R735" s="315">
        <v>45146.0971527778</v>
      </c>
      <c r="S735" s="314" t="s">
        <v>2727</v>
      </c>
      <c r="T735" s="314" t="s">
        <v>808</v>
      </c>
      <c r="U735" s="314" t="s">
        <v>808</v>
      </c>
      <c r="V735" s="314" t="s">
        <v>114</v>
      </c>
      <c r="W735" s="314"/>
      <c r="X735" s="314" t="str">
        <f>VLOOKUP(D735,代理总表!A:D,3,0)</f>
        <v>GT-骨头</v>
      </c>
      <c r="Y735" t="str">
        <f>VLOOKUP(D:D,代理总表!A:D,4,FALSE)</f>
        <v>B直播gt6677</v>
      </c>
      <c r="Z735">
        <f t="shared" si="33"/>
        <v>1</v>
      </c>
      <c r="AA735">
        <f t="shared" si="34"/>
        <v>13</v>
      </c>
      <c r="AB735">
        <f t="shared" si="35"/>
        <v>1</v>
      </c>
    </row>
    <row r="736" spans="1:28">
      <c r="A736" s="314" t="s">
        <v>2728</v>
      </c>
      <c r="B736" s="314"/>
      <c r="C736" s="314"/>
      <c r="D736" s="314" t="s">
        <v>240</v>
      </c>
      <c r="E736" s="314" t="s">
        <v>104</v>
      </c>
      <c r="F736" s="314" t="s">
        <v>149</v>
      </c>
      <c r="G736" s="314" t="s">
        <v>108</v>
      </c>
      <c r="H736" s="314" t="s">
        <v>119</v>
      </c>
      <c r="I736" s="314" t="s">
        <v>108</v>
      </c>
      <c r="J736" s="314" t="s">
        <v>109</v>
      </c>
      <c r="K736" s="314">
        <v>0</v>
      </c>
      <c r="L736" s="314">
        <v>0</v>
      </c>
      <c r="M736" s="315">
        <v>45145.5765972222</v>
      </c>
      <c r="N736" s="314" t="s">
        <v>2678</v>
      </c>
      <c r="O736" s="314" t="s">
        <v>344</v>
      </c>
      <c r="P736" s="314" t="s">
        <v>112</v>
      </c>
      <c r="Q736" s="314" t="s">
        <v>123</v>
      </c>
      <c r="R736" s="315">
        <v>45145.5795601852</v>
      </c>
      <c r="S736" s="314" t="s">
        <v>2678</v>
      </c>
      <c r="T736" s="314" t="s">
        <v>307</v>
      </c>
      <c r="U736" s="314" t="s">
        <v>307</v>
      </c>
      <c r="V736" s="314" t="s">
        <v>114</v>
      </c>
      <c r="W736" s="314"/>
      <c r="X736" s="314" t="str">
        <f>VLOOKUP(D736,代理总表!A:D,3,0)</f>
        <v>SEO邀请</v>
      </c>
      <c r="Y736" t="str">
        <f>VLOOKUP(D:D,代理总表!A:D,4,FALSE)</f>
        <v>SEO</v>
      </c>
      <c r="Z736">
        <f t="shared" si="33"/>
        <v>0</v>
      </c>
      <c r="AA736">
        <f t="shared" si="34"/>
        <v>13</v>
      </c>
      <c r="AB736">
        <f t="shared" si="35"/>
        <v>1</v>
      </c>
    </row>
    <row r="737" spans="1:28">
      <c r="A737" s="314" t="s">
        <v>2729</v>
      </c>
      <c r="B737" s="314" t="s">
        <v>2730</v>
      </c>
      <c r="C737" s="314">
        <v>13901451014</v>
      </c>
      <c r="D737" s="314" t="s">
        <v>103</v>
      </c>
      <c r="E737" s="314" t="s">
        <v>104</v>
      </c>
      <c r="F737" s="314" t="s">
        <v>118</v>
      </c>
      <c r="G737" s="314" t="s">
        <v>108</v>
      </c>
      <c r="H737" s="314" t="s">
        <v>119</v>
      </c>
      <c r="I737" s="314" t="s">
        <v>108</v>
      </c>
      <c r="J737" s="314" t="s">
        <v>109</v>
      </c>
      <c r="K737" s="314">
        <v>0</v>
      </c>
      <c r="L737" s="314">
        <v>0</v>
      </c>
      <c r="M737" s="315">
        <v>45145.5759027778</v>
      </c>
      <c r="N737" s="314" t="s">
        <v>2731</v>
      </c>
      <c r="O737" s="314" t="s">
        <v>350</v>
      </c>
      <c r="P737" s="314" t="s">
        <v>208</v>
      </c>
      <c r="Q737" s="314" t="s">
        <v>123</v>
      </c>
      <c r="R737" s="315">
        <v>45145.5884027778</v>
      </c>
      <c r="S737" s="314" t="s">
        <v>2732</v>
      </c>
      <c r="T737" s="314" t="s">
        <v>2733</v>
      </c>
      <c r="U737" s="314" t="s">
        <v>515</v>
      </c>
      <c r="V737" s="314" t="s">
        <v>114</v>
      </c>
      <c r="W737" s="314"/>
      <c r="X737" s="314" t="str">
        <f>VLOOKUP(D737,代理总表!A:D,3,0)</f>
        <v>官网</v>
      </c>
      <c r="Y737" t="str">
        <f>VLOOKUP(D:D,代理总表!A:D,4,FALSE)</f>
        <v>官网</v>
      </c>
      <c r="Z737">
        <f t="shared" si="33"/>
        <v>0</v>
      </c>
      <c r="AA737">
        <f t="shared" si="34"/>
        <v>13</v>
      </c>
      <c r="AB737">
        <f t="shared" si="35"/>
        <v>1</v>
      </c>
    </row>
    <row r="738" spans="1:28">
      <c r="A738" s="314" t="s">
        <v>2734</v>
      </c>
      <c r="B738" s="314"/>
      <c r="C738" s="314">
        <v>905456109</v>
      </c>
      <c r="D738" s="314" t="s">
        <v>143</v>
      </c>
      <c r="E738" s="314" t="s">
        <v>117</v>
      </c>
      <c r="F738" s="314" t="s">
        <v>118</v>
      </c>
      <c r="G738" s="314" t="s">
        <v>108</v>
      </c>
      <c r="H738" s="314" t="s">
        <v>119</v>
      </c>
      <c r="I738" s="314" t="s">
        <v>108</v>
      </c>
      <c r="J738" s="314" t="s">
        <v>120</v>
      </c>
      <c r="K738" s="314">
        <v>0</v>
      </c>
      <c r="L738" s="314">
        <v>0</v>
      </c>
      <c r="M738" s="315">
        <v>45145.5742708333</v>
      </c>
      <c r="N738" s="314" t="s">
        <v>2735</v>
      </c>
      <c r="O738" s="314" t="s">
        <v>407</v>
      </c>
      <c r="P738" s="314" t="s">
        <v>112</v>
      </c>
      <c r="Q738" s="314" t="s">
        <v>123</v>
      </c>
      <c r="R738" s="315">
        <v>45145.6476273148</v>
      </c>
      <c r="S738" s="314" t="s">
        <v>2736</v>
      </c>
      <c r="T738" s="314" t="s">
        <v>849</v>
      </c>
      <c r="U738" s="314" t="s">
        <v>131</v>
      </c>
      <c r="V738" s="314" t="s">
        <v>114</v>
      </c>
      <c r="W738" s="314"/>
      <c r="X738" s="314" t="str">
        <f>VLOOKUP(D738,代理总表!A:D,3,0)</f>
        <v>雨燕直播-越</v>
      </c>
      <c r="Y738" t="str">
        <f>VLOOKUP(D:D,代理总表!A:D,4,FALSE)</f>
        <v>雨燕直播-越ffvn66</v>
      </c>
      <c r="Z738">
        <f t="shared" si="33"/>
        <v>0</v>
      </c>
      <c r="AA738">
        <f t="shared" si="34"/>
        <v>13</v>
      </c>
      <c r="AB738">
        <f t="shared" si="35"/>
        <v>1</v>
      </c>
    </row>
    <row r="739" spans="1:28">
      <c r="A739" s="314" t="s">
        <v>2737</v>
      </c>
      <c r="B739" s="314" t="s">
        <v>2738</v>
      </c>
      <c r="C739" s="314">
        <v>18176482327</v>
      </c>
      <c r="D739" s="314" t="s">
        <v>148</v>
      </c>
      <c r="E739" s="314" t="s">
        <v>104</v>
      </c>
      <c r="F739" s="314" t="s">
        <v>149</v>
      </c>
      <c r="G739" s="314" t="s">
        <v>108</v>
      </c>
      <c r="H739" s="314" t="s">
        <v>119</v>
      </c>
      <c r="I739" s="314" t="s">
        <v>108</v>
      </c>
      <c r="J739" s="314" t="s">
        <v>109</v>
      </c>
      <c r="K739" s="314">
        <v>0</v>
      </c>
      <c r="L739" s="314">
        <v>0</v>
      </c>
      <c r="M739" s="315">
        <v>45145.5717708333</v>
      </c>
      <c r="N739" s="314" t="s">
        <v>2739</v>
      </c>
      <c r="O739" s="314" t="s">
        <v>160</v>
      </c>
      <c r="P739" s="314" t="s">
        <v>208</v>
      </c>
      <c r="Q739" s="314" t="s">
        <v>123</v>
      </c>
      <c r="R739" s="315">
        <v>45145.5717708333</v>
      </c>
      <c r="S739" s="314" t="s">
        <v>2739</v>
      </c>
      <c r="T739" s="314" t="s">
        <v>2740</v>
      </c>
      <c r="U739" s="314" t="s">
        <v>2740</v>
      </c>
      <c r="V739" s="314" t="s">
        <v>114</v>
      </c>
      <c r="W739" s="314"/>
      <c r="X739" s="314" t="str">
        <f>VLOOKUP(D739,代理总表!A:D,3,0)</f>
        <v>martin</v>
      </c>
      <c r="Y739" t="str">
        <f>VLOOKUP(D:D,代理总表!A:D,4,FALSE)</f>
        <v>SEO</v>
      </c>
      <c r="Z739">
        <f t="shared" si="33"/>
        <v>0</v>
      </c>
      <c r="AA739">
        <f t="shared" si="34"/>
        <v>13</v>
      </c>
      <c r="AB739">
        <f t="shared" si="35"/>
        <v>1</v>
      </c>
    </row>
    <row r="740" spans="1:28">
      <c r="A740" s="314" t="s">
        <v>2741</v>
      </c>
      <c r="B740" s="314" t="s">
        <v>2742</v>
      </c>
      <c r="C740" s="314">
        <v>941026655</v>
      </c>
      <c r="D740" s="314" t="s">
        <v>550</v>
      </c>
      <c r="E740" s="314" t="s">
        <v>117</v>
      </c>
      <c r="F740" s="314" t="s">
        <v>144</v>
      </c>
      <c r="G740" s="314" t="s">
        <v>106</v>
      </c>
      <c r="H740" s="314" t="s">
        <v>107</v>
      </c>
      <c r="I740" s="314" t="s">
        <v>108</v>
      </c>
      <c r="J740" s="314" t="s">
        <v>120</v>
      </c>
      <c r="K740" s="314">
        <v>364190</v>
      </c>
      <c r="L740" s="314">
        <v>1600000</v>
      </c>
      <c r="M740" s="315">
        <v>45145.5710069444</v>
      </c>
      <c r="N740" s="314" t="s">
        <v>2743</v>
      </c>
      <c r="O740" s="314" t="s">
        <v>603</v>
      </c>
      <c r="P740" s="314" t="s">
        <v>112</v>
      </c>
      <c r="Q740" s="315">
        <v>45145.5772106481</v>
      </c>
      <c r="R740" s="315">
        <v>45145.7362615741</v>
      </c>
      <c r="S740" s="314" t="s">
        <v>2743</v>
      </c>
      <c r="T740" s="314" t="s">
        <v>2031</v>
      </c>
      <c r="U740" s="314" t="s">
        <v>2031</v>
      </c>
      <c r="V740" s="314" t="s">
        <v>114</v>
      </c>
      <c r="W740" s="314"/>
      <c r="X740" s="314" t="str">
        <f>VLOOKUP(D740,代理总表!A:D,3,0)</f>
        <v>SOCO越南直播</v>
      </c>
      <c r="Y740" t="str">
        <f>VLOOKUP(D:D,代理总表!A:D,4,FALSE)</f>
        <v>SOCO越南直播ffvn66</v>
      </c>
      <c r="Z740">
        <f t="shared" si="33"/>
        <v>1</v>
      </c>
      <c r="AA740">
        <f t="shared" si="34"/>
        <v>13</v>
      </c>
      <c r="AB740">
        <f t="shared" si="35"/>
        <v>1</v>
      </c>
    </row>
    <row r="741" spans="1:28">
      <c r="A741" s="314" t="s">
        <v>2744</v>
      </c>
      <c r="B741" s="314"/>
      <c r="C741" s="314"/>
      <c r="D741" s="314" t="s">
        <v>240</v>
      </c>
      <c r="E741" s="314" t="s">
        <v>104</v>
      </c>
      <c r="F741" s="314" t="s">
        <v>149</v>
      </c>
      <c r="G741" s="314" t="s">
        <v>108</v>
      </c>
      <c r="H741" s="314" t="s">
        <v>119</v>
      </c>
      <c r="I741" s="314" t="s">
        <v>108</v>
      </c>
      <c r="J741" s="314" t="s">
        <v>109</v>
      </c>
      <c r="K741" s="314">
        <v>0</v>
      </c>
      <c r="L741" s="314">
        <v>0</v>
      </c>
      <c r="M741" s="315">
        <v>45145.5693402778</v>
      </c>
      <c r="N741" s="314" t="s">
        <v>2745</v>
      </c>
      <c r="O741" s="314" t="s">
        <v>242</v>
      </c>
      <c r="P741" s="314" t="s">
        <v>112</v>
      </c>
      <c r="Q741" s="314" t="s">
        <v>123</v>
      </c>
      <c r="R741" s="315">
        <v>45145.5693402778</v>
      </c>
      <c r="S741" s="314" t="s">
        <v>2745</v>
      </c>
      <c r="T741" s="314" t="s">
        <v>1968</v>
      </c>
      <c r="U741" s="314" t="s">
        <v>1968</v>
      </c>
      <c r="V741" s="314" t="s">
        <v>114</v>
      </c>
      <c r="W741" s="314"/>
      <c r="X741" s="314" t="str">
        <f>VLOOKUP(D741,代理总表!A:D,3,0)</f>
        <v>SEO邀请</v>
      </c>
      <c r="Y741" t="str">
        <f>VLOOKUP(D:D,代理总表!A:D,4,FALSE)</f>
        <v>SEO</v>
      </c>
      <c r="Z741">
        <f t="shared" si="33"/>
        <v>0</v>
      </c>
      <c r="AA741">
        <f t="shared" si="34"/>
        <v>13</v>
      </c>
      <c r="AB741">
        <f t="shared" si="35"/>
        <v>1</v>
      </c>
    </row>
    <row r="742" spans="1:28">
      <c r="A742" s="314" t="s">
        <v>2746</v>
      </c>
      <c r="B742" s="314"/>
      <c r="C742" s="314"/>
      <c r="D742" s="314" t="s">
        <v>370</v>
      </c>
      <c r="E742" s="314" t="s">
        <v>104</v>
      </c>
      <c r="F742" s="314" t="s">
        <v>118</v>
      </c>
      <c r="G742" s="314" t="s">
        <v>108</v>
      </c>
      <c r="H742" s="314" t="s">
        <v>119</v>
      </c>
      <c r="I742" s="314" t="s">
        <v>108</v>
      </c>
      <c r="J742" s="314" t="s">
        <v>109</v>
      </c>
      <c r="K742" s="314">
        <v>0</v>
      </c>
      <c r="L742" s="314">
        <v>0</v>
      </c>
      <c r="M742" s="315">
        <v>45145.5691087963</v>
      </c>
      <c r="N742" s="314" t="s">
        <v>2747</v>
      </c>
      <c r="O742" s="314" t="s">
        <v>813</v>
      </c>
      <c r="P742" s="314" t="s">
        <v>112</v>
      </c>
      <c r="Q742" s="314" t="s">
        <v>123</v>
      </c>
      <c r="R742" s="315">
        <v>45145.5731597222</v>
      </c>
      <c r="S742" s="314" t="s">
        <v>2747</v>
      </c>
      <c r="T742" s="314" t="s">
        <v>1013</v>
      </c>
      <c r="U742" s="314" t="s">
        <v>1013</v>
      </c>
      <c r="V742" s="314" t="s">
        <v>114</v>
      </c>
      <c r="W742" s="314"/>
      <c r="X742" s="314" t="str">
        <f>VLOOKUP(D742,代理总表!A:D,3,0)</f>
        <v>GT-骨头</v>
      </c>
      <c r="Y742" t="str">
        <f>VLOOKUP(D:D,代理总表!A:D,4,FALSE)</f>
        <v>GT-骨头gt6677</v>
      </c>
      <c r="Z742">
        <f t="shared" si="33"/>
        <v>0</v>
      </c>
      <c r="AA742">
        <f t="shared" si="34"/>
        <v>13</v>
      </c>
      <c r="AB742">
        <f t="shared" si="35"/>
        <v>1</v>
      </c>
    </row>
    <row r="743" spans="1:28">
      <c r="A743" s="314" t="s">
        <v>2748</v>
      </c>
      <c r="B743" s="314"/>
      <c r="C743" s="314"/>
      <c r="D743" s="314" t="s">
        <v>450</v>
      </c>
      <c r="E743" s="314" t="s">
        <v>104</v>
      </c>
      <c r="F743" s="314" t="s">
        <v>118</v>
      </c>
      <c r="G743" s="314" t="s">
        <v>108</v>
      </c>
      <c r="H743" s="314" t="s">
        <v>119</v>
      </c>
      <c r="I743" s="314" t="s">
        <v>108</v>
      </c>
      <c r="J743" s="314" t="s">
        <v>109</v>
      </c>
      <c r="K743" s="314">
        <v>0</v>
      </c>
      <c r="L743" s="314">
        <v>0</v>
      </c>
      <c r="M743" s="315">
        <v>45145.5690740741</v>
      </c>
      <c r="N743" s="314" t="s">
        <v>2749</v>
      </c>
      <c r="O743" s="314" t="s">
        <v>451</v>
      </c>
      <c r="P743" s="314" t="s">
        <v>161</v>
      </c>
      <c r="Q743" s="314" t="s">
        <v>123</v>
      </c>
      <c r="R743" s="315">
        <v>45145.6154166667</v>
      </c>
      <c r="S743" s="314" t="s">
        <v>2750</v>
      </c>
      <c r="T743" s="314" t="s">
        <v>1813</v>
      </c>
      <c r="U743" s="314" t="s">
        <v>2751</v>
      </c>
      <c r="V743" s="314" t="s">
        <v>452</v>
      </c>
      <c r="W743" s="314"/>
      <c r="X743" s="314" t="str">
        <f>VLOOKUP(D743,代理总表!A:D,3,0)</f>
        <v>外部代理总线</v>
      </c>
      <c r="Y743" t="str">
        <f>VLOOKUP(D:D,代理总表!A:D,4,FALSE)</f>
        <v>外部代理总线zh0808</v>
      </c>
      <c r="Z743">
        <f t="shared" si="33"/>
        <v>0</v>
      </c>
      <c r="AA743">
        <f t="shared" si="34"/>
        <v>13</v>
      </c>
      <c r="AB743">
        <f t="shared" si="35"/>
        <v>1</v>
      </c>
    </row>
    <row r="744" spans="1:28">
      <c r="A744" s="314" t="s">
        <v>2752</v>
      </c>
      <c r="B744" s="314"/>
      <c r="C744" s="314"/>
      <c r="D744" s="314" t="s">
        <v>550</v>
      </c>
      <c r="E744" s="314" t="s">
        <v>117</v>
      </c>
      <c r="F744" s="314" t="s">
        <v>118</v>
      </c>
      <c r="G744" s="314" t="s">
        <v>108</v>
      </c>
      <c r="H744" s="314" t="s">
        <v>119</v>
      </c>
      <c r="I744" s="314" t="s">
        <v>108</v>
      </c>
      <c r="J744" s="314" t="s">
        <v>120</v>
      </c>
      <c r="K744" s="314">
        <v>0</v>
      </c>
      <c r="L744" s="314">
        <v>0</v>
      </c>
      <c r="M744" s="315">
        <v>45145.5686805556</v>
      </c>
      <c r="N744" s="314" t="s">
        <v>2753</v>
      </c>
      <c r="O744" s="314" t="s">
        <v>1134</v>
      </c>
      <c r="P744" s="314" t="s">
        <v>112</v>
      </c>
      <c r="Q744" s="314" t="s">
        <v>123</v>
      </c>
      <c r="R744" s="315">
        <v>45145.5686689815</v>
      </c>
      <c r="S744" s="314" t="s">
        <v>2753</v>
      </c>
      <c r="T744" s="314" t="s">
        <v>1334</v>
      </c>
      <c r="U744" s="314" t="s">
        <v>1334</v>
      </c>
      <c r="V744" s="314" t="s">
        <v>114</v>
      </c>
      <c r="W744" s="314"/>
      <c r="X744" s="314" t="str">
        <f>VLOOKUP(D744,代理总表!A:D,3,0)</f>
        <v>SOCO越南直播</v>
      </c>
      <c r="Y744" t="str">
        <f>VLOOKUP(D:D,代理总表!A:D,4,FALSE)</f>
        <v>SOCO越南直播ffvn66</v>
      </c>
      <c r="Z744">
        <f t="shared" si="33"/>
        <v>0</v>
      </c>
      <c r="AA744">
        <f t="shared" si="34"/>
        <v>13</v>
      </c>
      <c r="AB744">
        <f t="shared" si="35"/>
        <v>1</v>
      </c>
    </row>
    <row r="745" spans="1:28">
      <c r="A745" s="314" t="s">
        <v>2754</v>
      </c>
      <c r="B745" s="314" t="s">
        <v>2755</v>
      </c>
      <c r="C745" s="314">
        <v>18210612028</v>
      </c>
      <c r="D745" s="314" t="s">
        <v>1406</v>
      </c>
      <c r="E745" s="314" t="s">
        <v>104</v>
      </c>
      <c r="F745" s="314" t="s">
        <v>181</v>
      </c>
      <c r="G745" s="314" t="s">
        <v>106</v>
      </c>
      <c r="H745" s="314" t="s">
        <v>107</v>
      </c>
      <c r="I745" s="314" t="s">
        <v>108</v>
      </c>
      <c r="J745" s="314" t="s">
        <v>109</v>
      </c>
      <c r="K745" s="314">
        <v>200</v>
      </c>
      <c r="L745" s="314">
        <v>0</v>
      </c>
      <c r="M745" s="315">
        <v>45145.5668287037</v>
      </c>
      <c r="N745" s="314" t="s">
        <v>2756</v>
      </c>
      <c r="O745" s="314" t="s">
        <v>2565</v>
      </c>
      <c r="P745" s="314" t="s">
        <v>112</v>
      </c>
      <c r="Q745" s="315">
        <v>45145.574837963</v>
      </c>
      <c r="R745" s="315">
        <v>45145.8049189815</v>
      </c>
      <c r="S745" s="314" t="s">
        <v>2756</v>
      </c>
      <c r="T745" s="314" t="s">
        <v>599</v>
      </c>
      <c r="U745" s="314" t="s">
        <v>599</v>
      </c>
      <c r="V745" s="314" t="s">
        <v>114</v>
      </c>
      <c r="W745" s="314"/>
      <c r="X745" s="314" t="str">
        <f>VLOOKUP(D745,代理总表!A:D,3,0)</f>
        <v>原电销使用</v>
      </c>
      <c r="Y745" t="str">
        <f>VLOOKUP(D:D,代理总表!A:D,4,FALSE)</f>
        <v>原电销使用</v>
      </c>
      <c r="Z745">
        <f t="shared" si="33"/>
        <v>1</v>
      </c>
      <c r="AA745">
        <f t="shared" si="34"/>
        <v>13</v>
      </c>
      <c r="AB745">
        <f t="shared" si="35"/>
        <v>1</v>
      </c>
    </row>
    <row r="746" spans="1:28">
      <c r="A746" s="314" t="s">
        <v>2757</v>
      </c>
      <c r="B746" s="314" t="s">
        <v>2758</v>
      </c>
      <c r="C746" s="314">
        <v>986134098</v>
      </c>
      <c r="D746" s="314" t="s">
        <v>505</v>
      </c>
      <c r="E746" s="314" t="s">
        <v>117</v>
      </c>
      <c r="F746" s="314" t="s">
        <v>144</v>
      </c>
      <c r="G746" s="314" t="s">
        <v>106</v>
      </c>
      <c r="H746" s="314" t="s">
        <v>107</v>
      </c>
      <c r="I746" s="314" t="s">
        <v>108</v>
      </c>
      <c r="J746" s="314" t="s">
        <v>120</v>
      </c>
      <c r="K746" s="314">
        <v>240000</v>
      </c>
      <c r="L746" s="314">
        <v>200000</v>
      </c>
      <c r="M746" s="315">
        <v>45145.5665393519</v>
      </c>
      <c r="N746" s="314" t="s">
        <v>2759</v>
      </c>
      <c r="O746" s="314" t="s">
        <v>2760</v>
      </c>
      <c r="P746" s="314" t="s">
        <v>112</v>
      </c>
      <c r="Q746" s="315">
        <v>45145.9103125</v>
      </c>
      <c r="R746" s="315">
        <v>45146.3400925926</v>
      </c>
      <c r="S746" s="314" t="s">
        <v>2761</v>
      </c>
      <c r="T746" s="314" t="s">
        <v>131</v>
      </c>
      <c r="U746" s="314" t="s">
        <v>177</v>
      </c>
      <c r="V746" s="314" t="s">
        <v>114</v>
      </c>
      <c r="W746" s="314"/>
      <c r="X746" s="314" t="str">
        <f>VLOOKUP(D746,代理总表!A:D,3,0)</f>
        <v>SOCO越南直播</v>
      </c>
      <c r="Y746" t="str">
        <f>VLOOKUP(D:D,代理总表!A:D,4,FALSE)</f>
        <v>SOCO越南直播ffvn66</v>
      </c>
      <c r="Z746">
        <f t="shared" si="33"/>
        <v>1</v>
      </c>
      <c r="AA746">
        <f t="shared" si="34"/>
        <v>13</v>
      </c>
      <c r="AB746">
        <f t="shared" si="35"/>
        <v>1</v>
      </c>
    </row>
    <row r="747" spans="1:28">
      <c r="A747" s="314" t="s">
        <v>2762</v>
      </c>
      <c r="B747" s="314"/>
      <c r="C747" s="314">
        <v>935677379</v>
      </c>
      <c r="D747" s="314" t="s">
        <v>550</v>
      </c>
      <c r="E747" s="314" t="s">
        <v>117</v>
      </c>
      <c r="F747" s="314" t="s">
        <v>118</v>
      </c>
      <c r="G747" s="314" t="s">
        <v>108</v>
      </c>
      <c r="H747" s="314" t="s">
        <v>119</v>
      </c>
      <c r="I747" s="314" t="s">
        <v>108</v>
      </c>
      <c r="J747" s="314" t="s">
        <v>120</v>
      </c>
      <c r="K747" s="314">
        <v>0</v>
      </c>
      <c r="L747" s="314">
        <v>0</v>
      </c>
      <c r="M747" s="315">
        <v>45145.5656712963</v>
      </c>
      <c r="N747" s="314" t="s">
        <v>2763</v>
      </c>
      <c r="O747" s="314" t="s">
        <v>603</v>
      </c>
      <c r="P747" s="314" t="s">
        <v>112</v>
      </c>
      <c r="Q747" s="314" t="s">
        <v>123</v>
      </c>
      <c r="R747" s="315">
        <v>45145.7238310185</v>
      </c>
      <c r="S747" s="314" t="s">
        <v>2764</v>
      </c>
      <c r="T747" s="314" t="s">
        <v>656</v>
      </c>
      <c r="U747" s="314" t="s">
        <v>656</v>
      </c>
      <c r="V747" s="314" t="s">
        <v>114</v>
      </c>
      <c r="W747" s="314"/>
      <c r="X747" s="314" t="str">
        <f>VLOOKUP(D747,代理总表!A:D,3,0)</f>
        <v>SOCO越南直播</v>
      </c>
      <c r="Y747" t="str">
        <f>VLOOKUP(D:D,代理总表!A:D,4,FALSE)</f>
        <v>SOCO越南直播ffvn66</v>
      </c>
      <c r="Z747">
        <f t="shared" si="33"/>
        <v>0</v>
      </c>
      <c r="AA747">
        <f t="shared" si="34"/>
        <v>13</v>
      </c>
      <c r="AB747">
        <f t="shared" si="35"/>
        <v>1</v>
      </c>
    </row>
    <row r="748" spans="1:28">
      <c r="A748" s="314" t="s">
        <v>2765</v>
      </c>
      <c r="B748" s="314"/>
      <c r="C748" s="314"/>
      <c r="D748" s="314" t="s">
        <v>564</v>
      </c>
      <c r="E748" s="314" t="s">
        <v>117</v>
      </c>
      <c r="F748" s="314" t="s">
        <v>118</v>
      </c>
      <c r="G748" s="314" t="s">
        <v>108</v>
      </c>
      <c r="H748" s="314" t="s">
        <v>119</v>
      </c>
      <c r="I748" s="314" t="s">
        <v>108</v>
      </c>
      <c r="J748" s="314" t="s">
        <v>120</v>
      </c>
      <c r="K748" s="314">
        <v>0</v>
      </c>
      <c r="L748" s="314">
        <v>0</v>
      </c>
      <c r="M748" s="315">
        <v>45145.5655439815</v>
      </c>
      <c r="N748" s="314" t="s">
        <v>2766</v>
      </c>
      <c r="O748" s="314" t="s">
        <v>566</v>
      </c>
      <c r="P748" s="314" t="s">
        <v>112</v>
      </c>
      <c r="Q748" s="314" t="s">
        <v>123</v>
      </c>
      <c r="R748" s="315">
        <v>45145.7951851852</v>
      </c>
      <c r="S748" s="314" t="s">
        <v>2767</v>
      </c>
      <c r="T748" s="314" t="s">
        <v>1995</v>
      </c>
      <c r="U748" s="314" t="s">
        <v>131</v>
      </c>
      <c r="V748" s="314" t="s">
        <v>114</v>
      </c>
      <c r="W748" s="314"/>
      <c r="X748" s="314" t="e">
        <f>VLOOKUP(D748,代理总表!A:D,3,0)</f>
        <v>#N/A</v>
      </c>
      <c r="Y748" t="e">
        <f>VLOOKUP(D:D,代理总表!A:D,4,FALSE)</f>
        <v>#N/A</v>
      </c>
      <c r="Z748">
        <f t="shared" si="33"/>
        <v>0</v>
      </c>
      <c r="AA748">
        <f t="shared" si="34"/>
        <v>13</v>
      </c>
      <c r="AB748">
        <f t="shared" si="35"/>
        <v>1</v>
      </c>
    </row>
    <row r="749" spans="1:28">
      <c r="A749" s="314" t="s">
        <v>2768</v>
      </c>
      <c r="B749" s="314" t="s">
        <v>2769</v>
      </c>
      <c r="C749" s="314">
        <v>18974563497</v>
      </c>
      <c r="D749" s="314" t="s">
        <v>370</v>
      </c>
      <c r="E749" s="314" t="s">
        <v>104</v>
      </c>
      <c r="F749" s="314" t="s">
        <v>118</v>
      </c>
      <c r="G749" s="314" t="s">
        <v>108</v>
      </c>
      <c r="H749" s="314" t="s">
        <v>119</v>
      </c>
      <c r="I749" s="314" t="s">
        <v>108</v>
      </c>
      <c r="J749" s="314" t="s">
        <v>109</v>
      </c>
      <c r="K749" s="314">
        <v>0</v>
      </c>
      <c r="L749" s="314">
        <v>0</v>
      </c>
      <c r="M749" s="315">
        <v>45145.5649305556</v>
      </c>
      <c r="N749" s="314" t="s">
        <v>2770</v>
      </c>
      <c r="O749" s="314" t="s">
        <v>813</v>
      </c>
      <c r="P749" s="314" t="s">
        <v>112</v>
      </c>
      <c r="Q749" s="314" t="s">
        <v>123</v>
      </c>
      <c r="R749" s="315">
        <v>45145.5690162037</v>
      </c>
      <c r="S749" s="314" t="s">
        <v>2771</v>
      </c>
      <c r="T749" s="314" t="s">
        <v>152</v>
      </c>
      <c r="U749" s="314" t="s">
        <v>2772</v>
      </c>
      <c r="V749" s="314" t="s">
        <v>114</v>
      </c>
      <c r="W749" s="314"/>
      <c r="X749" s="314" t="str">
        <f>VLOOKUP(D749,代理总表!A:D,3,0)</f>
        <v>GT-骨头</v>
      </c>
      <c r="Y749" t="str">
        <f>VLOOKUP(D:D,代理总表!A:D,4,FALSE)</f>
        <v>GT-骨头gt6677</v>
      </c>
      <c r="Z749">
        <f t="shared" si="33"/>
        <v>0</v>
      </c>
      <c r="AA749">
        <f t="shared" si="34"/>
        <v>13</v>
      </c>
      <c r="AB749">
        <f t="shared" si="35"/>
        <v>1</v>
      </c>
    </row>
    <row r="750" spans="1:28">
      <c r="A750" s="314" t="s">
        <v>2773</v>
      </c>
      <c r="B750" s="314"/>
      <c r="C750" s="314"/>
      <c r="D750" s="314" t="s">
        <v>240</v>
      </c>
      <c r="E750" s="314" t="s">
        <v>104</v>
      </c>
      <c r="F750" s="314" t="s">
        <v>149</v>
      </c>
      <c r="G750" s="314" t="s">
        <v>108</v>
      </c>
      <c r="H750" s="314" t="s">
        <v>119</v>
      </c>
      <c r="I750" s="314" t="s">
        <v>108</v>
      </c>
      <c r="J750" s="314" t="s">
        <v>109</v>
      </c>
      <c r="K750" s="314">
        <v>0</v>
      </c>
      <c r="L750" s="314">
        <v>0</v>
      </c>
      <c r="M750" s="315">
        <v>45145.5646643518</v>
      </c>
      <c r="N750" s="314" t="s">
        <v>2774</v>
      </c>
      <c r="O750" s="314" t="s">
        <v>2775</v>
      </c>
      <c r="P750" s="314" t="s">
        <v>112</v>
      </c>
      <c r="Q750" s="314" t="s">
        <v>123</v>
      </c>
      <c r="R750" s="315">
        <v>45145.5646643518</v>
      </c>
      <c r="S750" s="314" t="s">
        <v>2774</v>
      </c>
      <c r="T750" s="314" t="s">
        <v>2776</v>
      </c>
      <c r="U750" s="314" t="s">
        <v>2776</v>
      </c>
      <c r="V750" s="314" t="s">
        <v>114</v>
      </c>
      <c r="W750" s="314"/>
      <c r="X750" s="314" t="str">
        <f>VLOOKUP(D750,代理总表!A:D,3,0)</f>
        <v>SEO邀请</v>
      </c>
      <c r="Y750" t="str">
        <f>VLOOKUP(D:D,代理总表!A:D,4,FALSE)</f>
        <v>SEO</v>
      </c>
      <c r="Z750">
        <f t="shared" si="33"/>
        <v>0</v>
      </c>
      <c r="AA750">
        <f t="shared" si="34"/>
        <v>13</v>
      </c>
      <c r="AB750">
        <f t="shared" si="35"/>
        <v>1</v>
      </c>
    </row>
    <row r="751" spans="1:28">
      <c r="A751" s="314" t="s">
        <v>2777</v>
      </c>
      <c r="B751" s="314" t="s">
        <v>2778</v>
      </c>
      <c r="C751" s="314">
        <v>13999932185</v>
      </c>
      <c r="D751" s="314" t="s">
        <v>259</v>
      </c>
      <c r="E751" s="314" t="s">
        <v>104</v>
      </c>
      <c r="F751" s="314" t="s">
        <v>149</v>
      </c>
      <c r="G751" s="314" t="s">
        <v>108</v>
      </c>
      <c r="H751" s="314" t="s">
        <v>119</v>
      </c>
      <c r="I751" s="314" t="s">
        <v>108</v>
      </c>
      <c r="J751" s="314" t="s">
        <v>109</v>
      </c>
      <c r="K751" s="314">
        <v>0</v>
      </c>
      <c r="L751" s="314">
        <v>0</v>
      </c>
      <c r="M751" s="315">
        <v>45145.5628587963</v>
      </c>
      <c r="N751" s="314" t="s">
        <v>2779</v>
      </c>
      <c r="O751" s="314" t="s">
        <v>471</v>
      </c>
      <c r="P751" s="314" t="s">
        <v>161</v>
      </c>
      <c r="Q751" s="314" t="s">
        <v>123</v>
      </c>
      <c r="R751" s="315">
        <v>45145.8952662037</v>
      </c>
      <c r="S751" s="314" t="s">
        <v>2780</v>
      </c>
      <c r="T751" s="314" t="s">
        <v>1968</v>
      </c>
      <c r="U751" s="314" t="s">
        <v>2781</v>
      </c>
      <c r="V751" s="314" t="s">
        <v>114</v>
      </c>
      <c r="W751" s="314"/>
      <c r="X751" s="314" t="str">
        <f>VLOOKUP(D751,代理总表!A:D,3,0)</f>
        <v>tony</v>
      </c>
      <c r="Y751" t="str">
        <f>VLOOKUP(D:D,代理总表!A:D,4,FALSE)</f>
        <v>SEO</v>
      </c>
      <c r="Z751">
        <f t="shared" si="33"/>
        <v>0</v>
      </c>
      <c r="AA751">
        <f t="shared" si="34"/>
        <v>13</v>
      </c>
      <c r="AB751">
        <f t="shared" si="35"/>
        <v>1</v>
      </c>
    </row>
    <row r="752" spans="1:28">
      <c r="A752" s="314" t="s">
        <v>2782</v>
      </c>
      <c r="B752" s="314" t="s">
        <v>2783</v>
      </c>
      <c r="C752" s="314">
        <v>981925256</v>
      </c>
      <c r="D752" s="314" t="s">
        <v>116</v>
      </c>
      <c r="E752" s="314" t="s">
        <v>117</v>
      </c>
      <c r="F752" s="314" t="s">
        <v>118</v>
      </c>
      <c r="G752" s="314" t="s">
        <v>108</v>
      </c>
      <c r="H752" s="314" t="s">
        <v>119</v>
      </c>
      <c r="I752" s="314" t="s">
        <v>108</v>
      </c>
      <c r="J752" s="314" t="s">
        <v>120</v>
      </c>
      <c r="K752" s="314">
        <v>0</v>
      </c>
      <c r="L752" s="314">
        <v>0</v>
      </c>
      <c r="M752" s="315">
        <v>45145.5626273148</v>
      </c>
      <c r="N752" s="314" t="s">
        <v>2784</v>
      </c>
      <c r="O752" s="314" t="s">
        <v>127</v>
      </c>
      <c r="P752" s="314" t="s">
        <v>112</v>
      </c>
      <c r="Q752" s="314" t="s">
        <v>123</v>
      </c>
      <c r="R752" s="315">
        <v>45145.5626273148</v>
      </c>
      <c r="S752" s="314" t="s">
        <v>2784</v>
      </c>
      <c r="T752" s="314" t="s">
        <v>177</v>
      </c>
      <c r="U752" s="314" t="s">
        <v>177</v>
      </c>
      <c r="V752" s="314" t="s">
        <v>114</v>
      </c>
      <c r="W752" s="314"/>
      <c r="X752" s="314" t="str">
        <f>VLOOKUP(D752,代理总表!A:D,3,0)</f>
        <v>外部代理总线</v>
      </c>
      <c r="Y752" t="str">
        <f>VLOOKUP(D:D,代理总表!A:D,4,FALSE)</f>
        <v>外部代理总线zh0808</v>
      </c>
      <c r="Z752">
        <f t="shared" si="33"/>
        <v>0</v>
      </c>
      <c r="AA752">
        <f t="shared" si="34"/>
        <v>13</v>
      </c>
      <c r="AB752">
        <f t="shared" si="35"/>
        <v>1</v>
      </c>
    </row>
    <row r="753" spans="1:28">
      <c r="A753" s="314" t="s">
        <v>2785</v>
      </c>
      <c r="B753" s="314"/>
      <c r="C753" s="314"/>
      <c r="D753" s="314" t="s">
        <v>240</v>
      </c>
      <c r="E753" s="314" t="s">
        <v>104</v>
      </c>
      <c r="F753" s="314" t="s">
        <v>149</v>
      </c>
      <c r="G753" s="314" t="s">
        <v>108</v>
      </c>
      <c r="H753" s="314" t="s">
        <v>119</v>
      </c>
      <c r="I753" s="314" t="s">
        <v>108</v>
      </c>
      <c r="J753" s="314" t="s">
        <v>109</v>
      </c>
      <c r="K753" s="314">
        <v>0</v>
      </c>
      <c r="L753" s="314">
        <v>0</v>
      </c>
      <c r="M753" s="315">
        <v>45145.5624189815</v>
      </c>
      <c r="N753" s="314" t="s">
        <v>2774</v>
      </c>
      <c r="O753" s="314" t="s">
        <v>2775</v>
      </c>
      <c r="P753" s="314" t="s">
        <v>112</v>
      </c>
      <c r="Q753" s="314" t="s">
        <v>123</v>
      </c>
      <c r="R753" s="315">
        <v>45145.5643981481</v>
      </c>
      <c r="S753" s="314" t="s">
        <v>2774</v>
      </c>
      <c r="T753" s="314" t="s">
        <v>2776</v>
      </c>
      <c r="U753" s="314" t="s">
        <v>2776</v>
      </c>
      <c r="V753" s="314" t="s">
        <v>114</v>
      </c>
      <c r="W753" s="314"/>
      <c r="X753" s="314" t="str">
        <f>VLOOKUP(D753,代理总表!A:D,3,0)</f>
        <v>SEO邀请</v>
      </c>
      <c r="Y753" t="str">
        <f>VLOOKUP(D:D,代理总表!A:D,4,FALSE)</f>
        <v>SEO</v>
      </c>
      <c r="Z753">
        <f t="shared" si="33"/>
        <v>0</v>
      </c>
      <c r="AA753">
        <f t="shared" si="34"/>
        <v>13</v>
      </c>
      <c r="AB753">
        <f t="shared" si="35"/>
        <v>1</v>
      </c>
    </row>
    <row r="754" spans="1:28">
      <c r="A754" s="314" t="s">
        <v>2786</v>
      </c>
      <c r="B754" s="314"/>
      <c r="C754" s="314"/>
      <c r="D754" s="314" t="s">
        <v>103</v>
      </c>
      <c r="E754" s="314" t="s">
        <v>2787</v>
      </c>
      <c r="F754" s="314" t="s">
        <v>118</v>
      </c>
      <c r="G754" s="314" t="s">
        <v>108</v>
      </c>
      <c r="H754" s="314" t="s">
        <v>119</v>
      </c>
      <c r="I754" s="314" t="s">
        <v>108</v>
      </c>
      <c r="J754" s="314" t="s">
        <v>109</v>
      </c>
      <c r="K754" s="314">
        <v>0</v>
      </c>
      <c r="L754" s="314">
        <v>0</v>
      </c>
      <c r="M754" s="315">
        <v>45145.5603935185</v>
      </c>
      <c r="N754" s="314" t="s">
        <v>2788</v>
      </c>
      <c r="O754" s="314" t="s">
        <v>350</v>
      </c>
      <c r="P754" s="314" t="s">
        <v>208</v>
      </c>
      <c r="Q754" s="314" t="s">
        <v>123</v>
      </c>
      <c r="R754" s="315">
        <v>45146.1204050926</v>
      </c>
      <c r="S754" s="314" t="s">
        <v>2788</v>
      </c>
      <c r="T754" s="314" t="s">
        <v>2789</v>
      </c>
      <c r="U754" s="314" t="s">
        <v>2789</v>
      </c>
      <c r="V754" s="314" t="s">
        <v>114</v>
      </c>
      <c r="W754" s="314"/>
      <c r="X754" s="314" t="str">
        <f>VLOOKUP(D754,代理总表!A:D,3,0)</f>
        <v>官网</v>
      </c>
      <c r="Y754" t="str">
        <f>VLOOKUP(D:D,代理总表!A:D,4,FALSE)</f>
        <v>官网</v>
      </c>
      <c r="Z754">
        <f t="shared" si="33"/>
        <v>0</v>
      </c>
      <c r="AA754">
        <f t="shared" si="34"/>
        <v>13</v>
      </c>
      <c r="AB754">
        <f t="shared" si="35"/>
        <v>1</v>
      </c>
    </row>
    <row r="755" spans="1:28">
      <c r="A755" s="314" t="s">
        <v>2790</v>
      </c>
      <c r="B755" s="314" t="s">
        <v>2791</v>
      </c>
      <c r="C755" s="314">
        <v>913005967</v>
      </c>
      <c r="D755" s="314" t="s">
        <v>143</v>
      </c>
      <c r="E755" s="314" t="s">
        <v>117</v>
      </c>
      <c r="F755" s="314" t="s">
        <v>144</v>
      </c>
      <c r="G755" s="314" t="s">
        <v>106</v>
      </c>
      <c r="H755" s="314" t="s">
        <v>856</v>
      </c>
      <c r="I755" s="314" t="s">
        <v>108</v>
      </c>
      <c r="J755" s="314" t="s">
        <v>120</v>
      </c>
      <c r="K755" s="314">
        <v>300000</v>
      </c>
      <c r="L755" s="314">
        <v>10000000</v>
      </c>
      <c r="M755" s="315">
        <v>45145.5589583333</v>
      </c>
      <c r="N755" s="314" t="s">
        <v>2792</v>
      </c>
      <c r="O755" s="314" t="s">
        <v>407</v>
      </c>
      <c r="P755" s="314" t="s">
        <v>112</v>
      </c>
      <c r="Q755" s="315">
        <v>45145.6286805556</v>
      </c>
      <c r="R755" s="315">
        <v>45146.3652777778</v>
      </c>
      <c r="S755" s="314" t="s">
        <v>2792</v>
      </c>
      <c r="T755" s="314" t="s">
        <v>975</v>
      </c>
      <c r="U755" s="314" t="s">
        <v>975</v>
      </c>
      <c r="V755" s="314" t="s">
        <v>114</v>
      </c>
      <c r="W755" s="314"/>
      <c r="X755" s="314" t="str">
        <f>VLOOKUP(D755,代理总表!A:D,3,0)</f>
        <v>雨燕直播-越</v>
      </c>
      <c r="Y755" t="str">
        <f>VLOOKUP(D:D,代理总表!A:D,4,FALSE)</f>
        <v>雨燕直播-越ffvn66</v>
      </c>
      <c r="Z755">
        <f t="shared" si="33"/>
        <v>1</v>
      </c>
      <c r="AA755">
        <f t="shared" si="34"/>
        <v>13</v>
      </c>
      <c r="AB755">
        <f t="shared" si="35"/>
        <v>1</v>
      </c>
    </row>
    <row r="756" spans="1:28">
      <c r="A756" s="314" t="s">
        <v>2793</v>
      </c>
      <c r="B756" s="314"/>
      <c r="C756" s="314"/>
      <c r="D756" s="314" t="s">
        <v>526</v>
      </c>
      <c r="E756" s="314" t="s">
        <v>117</v>
      </c>
      <c r="F756" s="314" t="s">
        <v>118</v>
      </c>
      <c r="G756" s="314" t="s">
        <v>108</v>
      </c>
      <c r="H756" s="314" t="s">
        <v>119</v>
      </c>
      <c r="I756" s="314" t="s">
        <v>108</v>
      </c>
      <c r="J756" s="314" t="s">
        <v>120</v>
      </c>
      <c r="K756" s="314">
        <v>0</v>
      </c>
      <c r="L756" s="314">
        <v>0</v>
      </c>
      <c r="M756" s="315">
        <v>45145.5586921296</v>
      </c>
      <c r="N756" s="314" t="s">
        <v>2794</v>
      </c>
      <c r="O756" s="314" t="s">
        <v>528</v>
      </c>
      <c r="P756" s="314" t="s">
        <v>112</v>
      </c>
      <c r="Q756" s="314" t="s">
        <v>123</v>
      </c>
      <c r="R756" s="315">
        <v>45145.5586805556</v>
      </c>
      <c r="S756" s="314" t="s">
        <v>2794</v>
      </c>
      <c r="T756" s="314" t="s">
        <v>216</v>
      </c>
      <c r="U756" s="314" t="s">
        <v>216</v>
      </c>
      <c r="V756" s="314" t="s">
        <v>114</v>
      </c>
      <c r="W756" s="314"/>
      <c r="X756" s="314" t="str">
        <f>VLOOKUP(D756,代理总表!A:D,3,0)</f>
        <v>SOCO越南直播</v>
      </c>
      <c r="Y756" t="str">
        <f>VLOOKUP(D:D,代理总表!A:D,4,FALSE)</f>
        <v>SOCO越南直播ffvn66</v>
      </c>
      <c r="Z756">
        <f t="shared" si="33"/>
        <v>0</v>
      </c>
      <c r="AA756">
        <f t="shared" si="34"/>
        <v>13</v>
      </c>
      <c r="AB756">
        <f t="shared" si="35"/>
        <v>1</v>
      </c>
    </row>
    <row r="757" spans="1:28">
      <c r="A757" s="314" t="s">
        <v>2795</v>
      </c>
      <c r="B757" s="314"/>
      <c r="C757" s="314">
        <v>17601040805</v>
      </c>
      <c r="D757" s="314" t="s">
        <v>235</v>
      </c>
      <c r="E757" s="314" t="s">
        <v>104</v>
      </c>
      <c r="F757" s="314" t="s">
        <v>149</v>
      </c>
      <c r="G757" s="314" t="s">
        <v>108</v>
      </c>
      <c r="H757" s="314" t="s">
        <v>119</v>
      </c>
      <c r="I757" s="314" t="s">
        <v>108</v>
      </c>
      <c r="J757" s="314" t="s">
        <v>109</v>
      </c>
      <c r="K757" s="314">
        <v>0</v>
      </c>
      <c r="L757" s="314">
        <v>0</v>
      </c>
      <c r="M757" s="315">
        <v>45145.5565393519</v>
      </c>
      <c r="N757" s="314" t="s">
        <v>2796</v>
      </c>
      <c r="O757" s="314" t="s">
        <v>628</v>
      </c>
      <c r="P757" s="314" t="s">
        <v>112</v>
      </c>
      <c r="Q757" s="314" t="s">
        <v>123</v>
      </c>
      <c r="R757" s="315">
        <v>45145.5565277778</v>
      </c>
      <c r="S757" s="314" t="s">
        <v>2796</v>
      </c>
      <c r="T757" s="314" t="s">
        <v>2797</v>
      </c>
      <c r="U757" s="314" t="s">
        <v>2797</v>
      </c>
      <c r="V757" s="314" t="s">
        <v>114</v>
      </c>
      <c r="W757" s="314"/>
      <c r="X757" s="314" t="str">
        <f>VLOOKUP(D757,代理总表!A:D,3,0)</f>
        <v>aber</v>
      </c>
      <c r="Y757" t="str">
        <f>VLOOKUP(D:D,代理总表!A:D,4,FALSE)</f>
        <v>SEO</v>
      </c>
      <c r="Z757">
        <f t="shared" si="33"/>
        <v>0</v>
      </c>
      <c r="AA757">
        <f t="shared" si="34"/>
        <v>13</v>
      </c>
      <c r="AB757">
        <f t="shared" si="35"/>
        <v>1</v>
      </c>
    </row>
    <row r="758" spans="1:28">
      <c r="A758" s="314" t="s">
        <v>2798</v>
      </c>
      <c r="B758" s="314"/>
      <c r="C758" s="314">
        <v>17717770003</v>
      </c>
      <c r="D758" s="314" t="s">
        <v>485</v>
      </c>
      <c r="E758" s="314" t="s">
        <v>104</v>
      </c>
      <c r="F758" s="314" t="s">
        <v>149</v>
      </c>
      <c r="G758" s="314" t="s">
        <v>108</v>
      </c>
      <c r="H758" s="314" t="s">
        <v>119</v>
      </c>
      <c r="I758" s="314" t="s">
        <v>108</v>
      </c>
      <c r="J758" s="314" t="s">
        <v>109</v>
      </c>
      <c r="K758" s="314">
        <v>0</v>
      </c>
      <c r="L758" s="314">
        <v>0</v>
      </c>
      <c r="M758" s="315">
        <v>45145.5559953704</v>
      </c>
      <c r="N758" s="314" t="s">
        <v>2799</v>
      </c>
      <c r="O758" s="314" t="s">
        <v>488</v>
      </c>
      <c r="P758" s="314" t="s">
        <v>112</v>
      </c>
      <c r="Q758" s="314" t="s">
        <v>123</v>
      </c>
      <c r="R758" s="315">
        <v>45145.5559953704</v>
      </c>
      <c r="S758" s="314" t="s">
        <v>2799</v>
      </c>
      <c r="T758" s="314" t="s">
        <v>2800</v>
      </c>
      <c r="U758" s="314" t="s">
        <v>2800</v>
      </c>
      <c r="V758" s="314" t="s">
        <v>114</v>
      </c>
      <c r="W758" s="314"/>
      <c r="X758" s="314" t="str">
        <f>VLOOKUP(D758,代理总表!A:D,3,0)</f>
        <v>paddy</v>
      </c>
      <c r="Y758" t="str">
        <f>VLOOKUP(D:D,代理总表!A:D,4,FALSE)</f>
        <v>SEO</v>
      </c>
      <c r="Z758">
        <f t="shared" si="33"/>
        <v>0</v>
      </c>
      <c r="AA758">
        <f t="shared" si="34"/>
        <v>13</v>
      </c>
      <c r="AB758">
        <f t="shared" si="35"/>
        <v>1</v>
      </c>
    </row>
    <row r="759" spans="1:28">
      <c r="A759" s="314" t="s">
        <v>2801</v>
      </c>
      <c r="B759" s="314" t="s">
        <v>2802</v>
      </c>
      <c r="C759" s="314">
        <v>13795553467</v>
      </c>
      <c r="D759" s="314" t="s">
        <v>235</v>
      </c>
      <c r="E759" s="314" t="s">
        <v>104</v>
      </c>
      <c r="F759" s="314" t="s">
        <v>181</v>
      </c>
      <c r="G759" s="314" t="s">
        <v>106</v>
      </c>
      <c r="H759" s="314" t="s">
        <v>107</v>
      </c>
      <c r="I759" s="314" t="s">
        <v>108</v>
      </c>
      <c r="J759" s="314" t="s">
        <v>109</v>
      </c>
      <c r="K759" s="314">
        <v>1000</v>
      </c>
      <c r="L759" s="314">
        <v>300</v>
      </c>
      <c r="M759" s="315">
        <v>45145.5557638889</v>
      </c>
      <c r="N759" s="314" t="s">
        <v>2803</v>
      </c>
      <c r="O759" s="314" t="s">
        <v>786</v>
      </c>
      <c r="P759" s="314" t="s">
        <v>161</v>
      </c>
      <c r="Q759" s="315">
        <v>45145.5601736111</v>
      </c>
      <c r="R759" s="315">
        <v>45146.2217592593</v>
      </c>
      <c r="S759" s="314" t="s">
        <v>2804</v>
      </c>
      <c r="T759" s="314" t="s">
        <v>599</v>
      </c>
      <c r="U759" s="314" t="s">
        <v>599</v>
      </c>
      <c r="V759" s="314" t="s">
        <v>114</v>
      </c>
      <c r="W759" s="314"/>
      <c r="X759" s="314" t="str">
        <f>VLOOKUP(D759,代理总表!A:D,3,0)</f>
        <v>aber</v>
      </c>
      <c r="Y759" t="str">
        <f>VLOOKUP(D:D,代理总表!A:D,4,FALSE)</f>
        <v>SEO</v>
      </c>
      <c r="Z759">
        <f t="shared" si="33"/>
        <v>1</v>
      </c>
      <c r="AA759">
        <f t="shared" si="34"/>
        <v>13</v>
      </c>
      <c r="AB759">
        <f t="shared" si="35"/>
        <v>1</v>
      </c>
    </row>
    <row r="760" spans="1:28">
      <c r="A760" s="314" t="s">
        <v>2805</v>
      </c>
      <c r="B760" s="314" t="s">
        <v>2806</v>
      </c>
      <c r="C760" s="314">
        <v>17602697992</v>
      </c>
      <c r="D760" s="314" t="s">
        <v>259</v>
      </c>
      <c r="E760" s="314" t="s">
        <v>104</v>
      </c>
      <c r="F760" s="314" t="s">
        <v>181</v>
      </c>
      <c r="G760" s="314" t="s">
        <v>106</v>
      </c>
      <c r="H760" s="314" t="s">
        <v>856</v>
      </c>
      <c r="I760" s="314" t="s">
        <v>108</v>
      </c>
      <c r="J760" s="314" t="s">
        <v>109</v>
      </c>
      <c r="K760" s="314">
        <v>1100.15</v>
      </c>
      <c r="L760" s="314">
        <v>3308</v>
      </c>
      <c r="M760" s="315">
        <v>45145.5550231481</v>
      </c>
      <c r="N760" s="314" t="s">
        <v>2807</v>
      </c>
      <c r="O760" s="314" t="s">
        <v>471</v>
      </c>
      <c r="P760" s="314" t="s">
        <v>161</v>
      </c>
      <c r="Q760" s="315">
        <v>45145.5640625</v>
      </c>
      <c r="R760" s="315">
        <v>45146.3511342593</v>
      </c>
      <c r="S760" s="314" t="s">
        <v>2807</v>
      </c>
      <c r="T760" s="314" t="s">
        <v>859</v>
      </c>
      <c r="U760" s="314" t="s">
        <v>859</v>
      </c>
      <c r="V760" s="314" t="s">
        <v>114</v>
      </c>
      <c r="W760" s="314"/>
      <c r="X760" s="314" t="str">
        <f>VLOOKUP(D760,代理总表!A:D,3,0)</f>
        <v>tony</v>
      </c>
      <c r="Y760" t="str">
        <f>VLOOKUP(D:D,代理总表!A:D,4,FALSE)</f>
        <v>SEO</v>
      </c>
      <c r="Z760">
        <f t="shared" si="33"/>
        <v>1</v>
      </c>
      <c r="AA760">
        <f t="shared" si="34"/>
        <v>13</v>
      </c>
      <c r="AB760">
        <f t="shared" si="35"/>
        <v>1</v>
      </c>
    </row>
    <row r="761" spans="1:28">
      <c r="A761" s="314" t="s">
        <v>2808</v>
      </c>
      <c r="B761" s="314"/>
      <c r="C761" s="314">
        <v>19864792449</v>
      </c>
      <c r="D761" s="314" t="s">
        <v>294</v>
      </c>
      <c r="E761" s="314" t="s">
        <v>104</v>
      </c>
      <c r="F761" s="314" t="s">
        <v>149</v>
      </c>
      <c r="G761" s="314" t="s">
        <v>108</v>
      </c>
      <c r="H761" s="314" t="s">
        <v>119</v>
      </c>
      <c r="I761" s="314" t="s">
        <v>108</v>
      </c>
      <c r="J761" s="314" t="s">
        <v>109</v>
      </c>
      <c r="K761" s="314">
        <v>0</v>
      </c>
      <c r="L761" s="314">
        <v>0</v>
      </c>
      <c r="M761" s="315">
        <v>45145.5540277778</v>
      </c>
      <c r="N761" s="314" t="s">
        <v>2809</v>
      </c>
      <c r="O761" s="314" t="s">
        <v>1951</v>
      </c>
      <c r="P761" s="314" t="s">
        <v>112</v>
      </c>
      <c r="Q761" s="314" t="s">
        <v>123</v>
      </c>
      <c r="R761" s="315">
        <v>45145.5540162037</v>
      </c>
      <c r="S761" s="314" t="s">
        <v>2809</v>
      </c>
      <c r="T761" s="314" t="s">
        <v>2810</v>
      </c>
      <c r="U761" s="314" t="s">
        <v>2810</v>
      </c>
      <c r="V761" s="314" t="s">
        <v>114</v>
      </c>
      <c r="W761" s="314"/>
      <c r="X761" s="314" t="str">
        <f>VLOOKUP(D761,代理总表!A:D,3,0)</f>
        <v>DK</v>
      </c>
      <c r="Y761" t="str">
        <f>VLOOKUP(D:D,代理总表!A:D,4,FALSE)</f>
        <v>SEO</v>
      </c>
      <c r="Z761">
        <f t="shared" si="33"/>
        <v>0</v>
      </c>
      <c r="AA761">
        <f t="shared" si="34"/>
        <v>13</v>
      </c>
      <c r="AB761">
        <f t="shared" si="35"/>
        <v>1</v>
      </c>
    </row>
    <row r="762" spans="1:28">
      <c r="A762" s="314" t="s">
        <v>2811</v>
      </c>
      <c r="B762" s="314" t="s">
        <v>2812</v>
      </c>
      <c r="C762" s="314">
        <v>17775868633</v>
      </c>
      <c r="D762" s="314" t="s">
        <v>285</v>
      </c>
      <c r="E762" s="314" t="s">
        <v>104</v>
      </c>
      <c r="F762" s="314" t="s">
        <v>105</v>
      </c>
      <c r="G762" s="314" t="s">
        <v>106</v>
      </c>
      <c r="H762" s="314" t="s">
        <v>107</v>
      </c>
      <c r="I762" s="314" t="s">
        <v>108</v>
      </c>
      <c r="J762" s="314" t="s">
        <v>109</v>
      </c>
      <c r="K762" s="314">
        <v>1000</v>
      </c>
      <c r="L762" s="314">
        <v>500</v>
      </c>
      <c r="M762" s="315">
        <v>45145.5536689815</v>
      </c>
      <c r="N762" s="314" t="s">
        <v>2813</v>
      </c>
      <c r="O762" s="314" t="s">
        <v>287</v>
      </c>
      <c r="P762" s="314" t="s">
        <v>208</v>
      </c>
      <c r="Q762" s="315">
        <v>45145.5619791667</v>
      </c>
      <c r="R762" s="315">
        <v>45146.1767013889</v>
      </c>
      <c r="S762" s="314" t="s">
        <v>2814</v>
      </c>
      <c r="T762" s="314" t="s">
        <v>2815</v>
      </c>
      <c r="U762" s="314" t="s">
        <v>2815</v>
      </c>
      <c r="V762" s="314" t="s">
        <v>114</v>
      </c>
      <c r="W762" s="314"/>
      <c r="X762" s="314" t="str">
        <f>VLOOKUP(D762,代理总表!A:D,3,0)</f>
        <v>雨燕直播</v>
      </c>
      <c r="Y762" t="str">
        <f>VLOOKUP(D:D,代理总表!A:D,4,FALSE)</f>
        <v>雨燕直播zzzb888</v>
      </c>
      <c r="Z762">
        <f t="shared" si="33"/>
        <v>1</v>
      </c>
      <c r="AA762">
        <f t="shared" si="34"/>
        <v>13</v>
      </c>
      <c r="AB762">
        <f t="shared" si="35"/>
        <v>1</v>
      </c>
    </row>
    <row r="763" spans="1:28">
      <c r="A763" s="314" t="s">
        <v>2816</v>
      </c>
      <c r="B763" s="314" t="s">
        <v>2817</v>
      </c>
      <c r="C763" s="314">
        <v>935649393</v>
      </c>
      <c r="D763" s="314" t="s">
        <v>172</v>
      </c>
      <c r="E763" s="314" t="s">
        <v>117</v>
      </c>
      <c r="F763" s="314" t="s">
        <v>144</v>
      </c>
      <c r="G763" s="314" t="s">
        <v>106</v>
      </c>
      <c r="H763" s="314" t="s">
        <v>107</v>
      </c>
      <c r="I763" s="314" t="s">
        <v>108</v>
      </c>
      <c r="J763" s="314" t="s">
        <v>120</v>
      </c>
      <c r="K763" s="314">
        <v>28000</v>
      </c>
      <c r="L763" s="314">
        <v>2120000</v>
      </c>
      <c r="M763" s="315">
        <v>45145.5533217593</v>
      </c>
      <c r="N763" s="314" t="s">
        <v>2818</v>
      </c>
      <c r="O763" s="314" t="s">
        <v>174</v>
      </c>
      <c r="P763" s="314" t="s">
        <v>112</v>
      </c>
      <c r="Q763" s="315">
        <v>45145.5781134259</v>
      </c>
      <c r="R763" s="315">
        <v>45145.9930439815</v>
      </c>
      <c r="S763" s="314" t="s">
        <v>2818</v>
      </c>
      <c r="T763" s="314" t="s">
        <v>233</v>
      </c>
      <c r="U763" s="314" t="s">
        <v>233</v>
      </c>
      <c r="V763" s="314" t="s">
        <v>114</v>
      </c>
      <c r="W763" s="314"/>
      <c r="X763" s="314" t="str">
        <f>VLOOKUP(D763,代理总表!A:D,3,0)</f>
        <v>雨燕直播-越</v>
      </c>
      <c r="Y763" t="str">
        <f>VLOOKUP(D:D,代理总表!A:D,4,FALSE)</f>
        <v>雨燕直播-越ffvn66</v>
      </c>
      <c r="Z763">
        <f t="shared" si="33"/>
        <v>1</v>
      </c>
      <c r="AA763">
        <f t="shared" si="34"/>
        <v>13</v>
      </c>
      <c r="AB763">
        <f t="shared" si="35"/>
        <v>1</v>
      </c>
    </row>
    <row r="764" spans="1:28">
      <c r="A764" s="314" t="s">
        <v>2819</v>
      </c>
      <c r="B764" s="314" t="s">
        <v>2820</v>
      </c>
      <c r="C764" s="314">
        <v>13920588602</v>
      </c>
      <c r="D764" s="314" t="s">
        <v>235</v>
      </c>
      <c r="E764" s="314" t="s">
        <v>104</v>
      </c>
      <c r="F764" s="314" t="s">
        <v>149</v>
      </c>
      <c r="G764" s="314" t="s">
        <v>108</v>
      </c>
      <c r="H764" s="314" t="s">
        <v>119</v>
      </c>
      <c r="I764" s="314" t="s">
        <v>108</v>
      </c>
      <c r="J764" s="314" t="s">
        <v>109</v>
      </c>
      <c r="K764" s="314">
        <v>0</v>
      </c>
      <c r="L764" s="314">
        <v>0</v>
      </c>
      <c r="M764" s="315">
        <v>45145.5528587963</v>
      </c>
      <c r="N764" s="314" t="s">
        <v>2821</v>
      </c>
      <c r="O764" s="314" t="s">
        <v>786</v>
      </c>
      <c r="P764" s="314" t="s">
        <v>161</v>
      </c>
      <c r="Q764" s="314" t="s">
        <v>123</v>
      </c>
      <c r="R764" s="315">
        <v>45146.3369791667</v>
      </c>
      <c r="S764" s="314" t="s">
        <v>2822</v>
      </c>
      <c r="T764" s="314" t="s">
        <v>2823</v>
      </c>
      <c r="U764" s="314" t="s">
        <v>859</v>
      </c>
      <c r="V764" s="314" t="s">
        <v>114</v>
      </c>
      <c r="W764" s="314"/>
      <c r="X764" s="314" t="str">
        <f>VLOOKUP(D764,代理总表!A:D,3,0)</f>
        <v>aber</v>
      </c>
      <c r="Y764" t="str">
        <f>VLOOKUP(D:D,代理总表!A:D,4,FALSE)</f>
        <v>SEO</v>
      </c>
      <c r="Z764">
        <f t="shared" si="33"/>
        <v>0</v>
      </c>
      <c r="AA764">
        <f t="shared" si="34"/>
        <v>13</v>
      </c>
      <c r="AB764">
        <f t="shared" si="35"/>
        <v>1</v>
      </c>
    </row>
    <row r="765" spans="1:28">
      <c r="A765" s="314" t="s">
        <v>2824</v>
      </c>
      <c r="B765" s="314" t="s">
        <v>2825</v>
      </c>
      <c r="C765" s="314">
        <v>15280880002</v>
      </c>
      <c r="D765" s="314" t="s">
        <v>2826</v>
      </c>
      <c r="E765" s="314" t="s">
        <v>104</v>
      </c>
      <c r="F765" s="314" t="s">
        <v>144</v>
      </c>
      <c r="G765" s="314" t="s">
        <v>106</v>
      </c>
      <c r="H765" s="314" t="s">
        <v>107</v>
      </c>
      <c r="I765" s="314" t="s">
        <v>108</v>
      </c>
      <c r="J765" s="314" t="s">
        <v>109</v>
      </c>
      <c r="K765" s="314">
        <v>100</v>
      </c>
      <c r="L765" s="314">
        <v>0</v>
      </c>
      <c r="M765" s="315">
        <v>45145.5526273148</v>
      </c>
      <c r="N765" s="314" t="s">
        <v>2827</v>
      </c>
      <c r="O765" s="314" t="s">
        <v>2828</v>
      </c>
      <c r="P765" s="314" t="s">
        <v>208</v>
      </c>
      <c r="Q765" s="315">
        <v>45145.5640046296</v>
      </c>
      <c r="R765" s="315">
        <v>45145.5728472222</v>
      </c>
      <c r="S765" s="314" t="s">
        <v>2829</v>
      </c>
      <c r="T765" s="314" t="s">
        <v>821</v>
      </c>
      <c r="U765" s="314" t="s">
        <v>1172</v>
      </c>
      <c r="V765" s="314" t="s">
        <v>114</v>
      </c>
      <c r="W765" s="314" t="s">
        <v>2830</v>
      </c>
      <c r="X765" s="314" t="str">
        <f>VLOOKUP(D765,代理总表!A:D,3,0)</f>
        <v>外部代理总线</v>
      </c>
      <c r="Y765" t="str">
        <f>VLOOKUP(D:D,代理总表!A:D,4,FALSE)</f>
        <v>外部代理总线zhaoshang</v>
      </c>
      <c r="Z765">
        <f t="shared" si="33"/>
        <v>1</v>
      </c>
      <c r="AA765">
        <f t="shared" si="34"/>
        <v>13</v>
      </c>
      <c r="AB765">
        <f t="shared" si="35"/>
        <v>1</v>
      </c>
    </row>
    <row r="766" spans="1:28">
      <c r="A766" s="314" t="s">
        <v>2831</v>
      </c>
      <c r="B766" s="314" t="s">
        <v>2832</v>
      </c>
      <c r="C766" s="314">
        <v>13730845036</v>
      </c>
      <c r="D766" s="314" t="s">
        <v>249</v>
      </c>
      <c r="E766" s="314" t="s">
        <v>104</v>
      </c>
      <c r="F766" s="314" t="s">
        <v>105</v>
      </c>
      <c r="G766" s="314" t="s">
        <v>106</v>
      </c>
      <c r="H766" s="314" t="s">
        <v>107</v>
      </c>
      <c r="I766" s="314" t="s">
        <v>108</v>
      </c>
      <c r="J766" s="314" t="s">
        <v>109</v>
      </c>
      <c r="K766" s="314">
        <v>200.1</v>
      </c>
      <c r="L766" s="314">
        <v>100</v>
      </c>
      <c r="M766" s="315">
        <v>45145.5510532407</v>
      </c>
      <c r="N766" s="314" t="s">
        <v>2833</v>
      </c>
      <c r="O766" s="314" t="s">
        <v>251</v>
      </c>
      <c r="P766" s="314" t="s">
        <v>112</v>
      </c>
      <c r="Q766" s="315">
        <v>45145.5665277778</v>
      </c>
      <c r="R766" s="315">
        <v>45146.1523958333</v>
      </c>
      <c r="S766" s="314" t="s">
        <v>2834</v>
      </c>
      <c r="T766" s="314" t="s">
        <v>2835</v>
      </c>
      <c r="U766" s="314" t="s">
        <v>457</v>
      </c>
      <c r="V766" s="314" t="s">
        <v>114</v>
      </c>
      <c r="W766" s="314"/>
      <c r="X766" s="314" t="str">
        <f>VLOOKUP(D766,代理总表!A:D,3,0)</f>
        <v>飞哥雨燕直播</v>
      </c>
      <c r="Y766" t="str">
        <f>VLOOKUP(D:D,代理总表!A:D,4,FALSE)</f>
        <v>飞哥雨燕直播ffmk88</v>
      </c>
      <c r="Z766">
        <f t="shared" si="33"/>
        <v>1</v>
      </c>
      <c r="AA766">
        <f t="shared" si="34"/>
        <v>13</v>
      </c>
      <c r="AB766">
        <f t="shared" si="35"/>
        <v>1</v>
      </c>
    </row>
    <row r="767" spans="1:28">
      <c r="A767" s="314" t="s">
        <v>2836</v>
      </c>
      <c r="B767" s="314"/>
      <c r="C767" s="314">
        <v>587718470</v>
      </c>
      <c r="D767" s="314" t="s">
        <v>2615</v>
      </c>
      <c r="E767" s="314" t="s">
        <v>117</v>
      </c>
      <c r="F767" s="314" t="s">
        <v>118</v>
      </c>
      <c r="G767" s="314" t="s">
        <v>108</v>
      </c>
      <c r="H767" s="314" t="s">
        <v>119</v>
      </c>
      <c r="I767" s="314" t="s">
        <v>108</v>
      </c>
      <c r="J767" s="314" t="s">
        <v>120</v>
      </c>
      <c r="K767" s="314">
        <v>0</v>
      </c>
      <c r="L767" s="314">
        <v>0</v>
      </c>
      <c r="M767" s="315">
        <v>45145.5491666667</v>
      </c>
      <c r="N767" s="314" t="s">
        <v>2837</v>
      </c>
      <c r="O767" s="314" t="s">
        <v>2617</v>
      </c>
      <c r="P767" s="314" t="s">
        <v>161</v>
      </c>
      <c r="Q767" s="314" t="s">
        <v>123</v>
      </c>
      <c r="R767" s="315">
        <v>45145.5491666667</v>
      </c>
      <c r="S767" s="314" t="s">
        <v>2837</v>
      </c>
      <c r="T767" s="314" t="s">
        <v>1196</v>
      </c>
      <c r="U767" s="314" t="s">
        <v>1196</v>
      </c>
      <c r="V767" s="314" t="s">
        <v>114</v>
      </c>
      <c r="W767" s="314"/>
      <c r="X767" s="314" t="e">
        <f>VLOOKUP(D767,代理总表!A:D,3,0)</f>
        <v>#N/A</v>
      </c>
      <c r="Y767" t="e">
        <f>VLOOKUP(D:D,代理总表!A:D,4,FALSE)</f>
        <v>#N/A</v>
      </c>
      <c r="Z767">
        <f t="shared" si="33"/>
        <v>0</v>
      </c>
      <c r="AA767">
        <f t="shared" si="34"/>
        <v>13</v>
      </c>
      <c r="AB767">
        <f t="shared" si="35"/>
        <v>1</v>
      </c>
    </row>
    <row r="768" spans="1:28">
      <c r="A768" s="314" t="s">
        <v>2838</v>
      </c>
      <c r="B768" s="314" t="s">
        <v>2839</v>
      </c>
      <c r="C768" s="314">
        <v>13481567098</v>
      </c>
      <c r="D768" s="314" t="s">
        <v>103</v>
      </c>
      <c r="E768" s="314" t="s">
        <v>104</v>
      </c>
      <c r="F768" s="314" t="s">
        <v>118</v>
      </c>
      <c r="G768" s="314" t="s">
        <v>108</v>
      </c>
      <c r="H768" s="314" t="s">
        <v>119</v>
      </c>
      <c r="I768" s="314" t="s">
        <v>108</v>
      </c>
      <c r="J768" s="314" t="s">
        <v>109</v>
      </c>
      <c r="K768" s="314">
        <v>0</v>
      </c>
      <c r="L768" s="314">
        <v>0</v>
      </c>
      <c r="M768" s="315">
        <v>45145.5488310185</v>
      </c>
      <c r="N768" s="314" t="s">
        <v>2840</v>
      </c>
      <c r="O768" s="314" t="s">
        <v>350</v>
      </c>
      <c r="P768" s="314" t="s">
        <v>112</v>
      </c>
      <c r="Q768" s="314" t="s">
        <v>123</v>
      </c>
      <c r="R768" s="315">
        <v>45146.0193865741</v>
      </c>
      <c r="S768" s="314" t="s">
        <v>2841</v>
      </c>
      <c r="T768" s="314" t="s">
        <v>2842</v>
      </c>
      <c r="U768" s="314" t="s">
        <v>2842</v>
      </c>
      <c r="V768" s="314" t="s">
        <v>114</v>
      </c>
      <c r="W768" s="314"/>
      <c r="X768" s="314" t="str">
        <f>VLOOKUP(D768,代理总表!A:D,3,0)</f>
        <v>官网</v>
      </c>
      <c r="Y768" t="str">
        <f>VLOOKUP(D:D,代理总表!A:D,4,FALSE)</f>
        <v>官网</v>
      </c>
      <c r="Z768">
        <f t="shared" si="33"/>
        <v>0</v>
      </c>
      <c r="AA768">
        <f t="shared" si="34"/>
        <v>13</v>
      </c>
      <c r="AB768">
        <f t="shared" si="35"/>
        <v>1</v>
      </c>
    </row>
    <row r="769" spans="1:28">
      <c r="A769" s="314" t="s">
        <v>2843</v>
      </c>
      <c r="B769" s="314"/>
      <c r="C769" s="314"/>
      <c r="D769" s="314" t="s">
        <v>116</v>
      </c>
      <c r="E769" s="314" t="s">
        <v>104</v>
      </c>
      <c r="F769" s="314" t="s">
        <v>118</v>
      </c>
      <c r="G769" s="314" t="s">
        <v>108</v>
      </c>
      <c r="H769" s="314" t="s">
        <v>119</v>
      </c>
      <c r="I769" s="314" t="s">
        <v>108</v>
      </c>
      <c r="J769" s="314" t="s">
        <v>109</v>
      </c>
      <c r="K769" s="314">
        <v>0</v>
      </c>
      <c r="L769" s="314">
        <v>0</v>
      </c>
      <c r="M769" s="315">
        <v>45145.5480092593</v>
      </c>
      <c r="N769" s="314" t="s">
        <v>2844</v>
      </c>
      <c r="O769" s="314" t="s">
        <v>122</v>
      </c>
      <c r="P769" s="314" t="s">
        <v>112</v>
      </c>
      <c r="Q769" s="314" t="s">
        <v>123</v>
      </c>
      <c r="R769" s="315">
        <v>45145.9646990741</v>
      </c>
      <c r="S769" s="314" t="s">
        <v>2845</v>
      </c>
      <c r="T769" s="314" t="s">
        <v>775</v>
      </c>
      <c r="U769" s="314" t="s">
        <v>124</v>
      </c>
      <c r="V769" s="314" t="s">
        <v>114</v>
      </c>
      <c r="W769" s="314"/>
      <c r="X769" s="314" t="str">
        <f>VLOOKUP(D769,代理总表!A:D,3,0)</f>
        <v>外部代理总线</v>
      </c>
      <c r="Y769" t="str">
        <f>VLOOKUP(D:D,代理总表!A:D,4,FALSE)</f>
        <v>外部代理总线zh0808</v>
      </c>
      <c r="Z769">
        <f t="shared" si="33"/>
        <v>0</v>
      </c>
      <c r="AA769">
        <f t="shared" si="34"/>
        <v>13</v>
      </c>
      <c r="AB769">
        <f t="shared" si="35"/>
        <v>1</v>
      </c>
    </row>
    <row r="770" spans="1:28">
      <c r="A770" s="314" t="s">
        <v>2846</v>
      </c>
      <c r="B770" s="314"/>
      <c r="C770" s="314"/>
      <c r="D770" s="314" t="s">
        <v>240</v>
      </c>
      <c r="E770" s="314" t="s">
        <v>104</v>
      </c>
      <c r="F770" s="314" t="s">
        <v>149</v>
      </c>
      <c r="G770" s="314" t="s">
        <v>108</v>
      </c>
      <c r="H770" s="314" t="s">
        <v>119</v>
      </c>
      <c r="I770" s="314" t="s">
        <v>108</v>
      </c>
      <c r="J770" s="314" t="s">
        <v>109</v>
      </c>
      <c r="K770" s="314">
        <v>0</v>
      </c>
      <c r="L770" s="314">
        <v>0</v>
      </c>
      <c r="M770" s="315">
        <v>45145.5479513889</v>
      </c>
      <c r="N770" s="314" t="s">
        <v>2847</v>
      </c>
      <c r="O770" s="314" t="s">
        <v>2848</v>
      </c>
      <c r="P770" s="314" t="s">
        <v>112</v>
      </c>
      <c r="Q770" s="314" t="s">
        <v>123</v>
      </c>
      <c r="R770" s="315">
        <v>45145.5479398148</v>
      </c>
      <c r="S770" s="314" t="s">
        <v>2847</v>
      </c>
      <c r="T770" s="314" t="s">
        <v>2849</v>
      </c>
      <c r="U770" s="314" t="s">
        <v>2849</v>
      </c>
      <c r="V770" s="314" t="s">
        <v>114</v>
      </c>
      <c r="W770" s="314"/>
      <c r="X770" s="314" t="str">
        <f>VLOOKUP(D770,代理总表!A:D,3,0)</f>
        <v>SEO邀请</v>
      </c>
      <c r="Y770" t="str">
        <f>VLOOKUP(D:D,代理总表!A:D,4,FALSE)</f>
        <v>SEO</v>
      </c>
      <c r="Z770">
        <f t="shared" si="33"/>
        <v>0</v>
      </c>
      <c r="AA770">
        <f t="shared" si="34"/>
        <v>13</v>
      </c>
      <c r="AB770">
        <f t="shared" si="35"/>
        <v>1</v>
      </c>
    </row>
    <row r="771" spans="1:28">
      <c r="A771" s="314" t="s">
        <v>2850</v>
      </c>
      <c r="B771" s="314" t="s">
        <v>2851</v>
      </c>
      <c r="C771" s="314">
        <v>397951500</v>
      </c>
      <c r="D771" s="314" t="s">
        <v>137</v>
      </c>
      <c r="E771" s="314" t="s">
        <v>117</v>
      </c>
      <c r="F771" s="314" t="s">
        <v>144</v>
      </c>
      <c r="G771" s="314" t="s">
        <v>106</v>
      </c>
      <c r="H771" s="314" t="s">
        <v>107</v>
      </c>
      <c r="I771" s="314" t="s">
        <v>108</v>
      </c>
      <c r="J771" s="314" t="s">
        <v>120</v>
      </c>
      <c r="K771" s="314">
        <v>200000</v>
      </c>
      <c r="L771" s="314">
        <v>0</v>
      </c>
      <c r="M771" s="315">
        <v>45145.5477314815</v>
      </c>
      <c r="N771" s="314" t="s">
        <v>2852</v>
      </c>
      <c r="O771" s="314" t="s">
        <v>139</v>
      </c>
      <c r="P771" s="314" t="s">
        <v>112</v>
      </c>
      <c r="Q771" s="315">
        <v>45145.5523032407</v>
      </c>
      <c r="R771" s="315">
        <v>45145.6469675926</v>
      </c>
      <c r="S771" s="314" t="s">
        <v>2852</v>
      </c>
      <c r="T771" s="314" t="s">
        <v>134</v>
      </c>
      <c r="U771" s="314" t="s">
        <v>134</v>
      </c>
      <c r="V771" s="314" t="s">
        <v>114</v>
      </c>
      <c r="W771" s="314"/>
      <c r="X771" s="314" t="str">
        <f>VLOOKUP(D771,代理总表!A:D,3,0)</f>
        <v>雨燕直播-越</v>
      </c>
      <c r="Y771" t="str">
        <f>VLOOKUP(D:D,代理总表!A:D,4,FALSE)</f>
        <v>雨燕直播-越ffvn66</v>
      </c>
      <c r="Z771">
        <f t="shared" ref="Z771:Z834" si="36">IF(RIGHT(H771,1)&gt;"0",1,0)</f>
        <v>1</v>
      </c>
      <c r="AA771">
        <f t="shared" ref="AA771:AA834" si="37">HOUR(M771)</f>
        <v>13</v>
      </c>
      <c r="AB771">
        <f t="shared" ref="AB771:AB834" si="38">IF(AE771=AF771,1,0)</f>
        <v>1</v>
      </c>
    </row>
    <row r="772" spans="1:28">
      <c r="A772" s="314" t="s">
        <v>2853</v>
      </c>
      <c r="B772" s="314"/>
      <c r="C772" s="314"/>
      <c r="D772" s="314" t="s">
        <v>137</v>
      </c>
      <c r="E772" s="314" t="s">
        <v>117</v>
      </c>
      <c r="F772" s="314" t="s">
        <v>118</v>
      </c>
      <c r="G772" s="314" t="s">
        <v>108</v>
      </c>
      <c r="H772" s="314" t="s">
        <v>119</v>
      </c>
      <c r="I772" s="314" t="s">
        <v>108</v>
      </c>
      <c r="J772" s="314" t="s">
        <v>120</v>
      </c>
      <c r="K772" s="314">
        <v>0</v>
      </c>
      <c r="L772" s="314">
        <v>0</v>
      </c>
      <c r="M772" s="315">
        <v>45145.5474537037</v>
      </c>
      <c r="N772" s="314" t="s">
        <v>2854</v>
      </c>
      <c r="O772" s="314" t="s">
        <v>139</v>
      </c>
      <c r="P772" s="314" t="s">
        <v>112</v>
      </c>
      <c r="Q772" s="314" t="s">
        <v>123</v>
      </c>
      <c r="R772" s="315">
        <v>45145.5474537037</v>
      </c>
      <c r="S772" s="314" t="s">
        <v>2854</v>
      </c>
      <c r="T772" s="314" t="s">
        <v>177</v>
      </c>
      <c r="U772" s="314" t="s">
        <v>177</v>
      </c>
      <c r="V772" s="314" t="s">
        <v>114</v>
      </c>
      <c r="W772" s="314"/>
      <c r="X772" s="314" t="str">
        <f>VLOOKUP(D772,代理总表!A:D,3,0)</f>
        <v>雨燕直播-越</v>
      </c>
      <c r="Y772" t="str">
        <f>VLOOKUP(D:D,代理总表!A:D,4,FALSE)</f>
        <v>雨燕直播-越ffvn66</v>
      </c>
      <c r="Z772">
        <f t="shared" si="36"/>
        <v>0</v>
      </c>
      <c r="AA772">
        <f t="shared" si="37"/>
        <v>13</v>
      </c>
      <c r="AB772">
        <f t="shared" si="38"/>
        <v>1</v>
      </c>
    </row>
    <row r="773" spans="1:28">
      <c r="A773" s="314" t="s">
        <v>2855</v>
      </c>
      <c r="B773" s="314" t="s">
        <v>2856</v>
      </c>
      <c r="C773" s="314">
        <v>968149589</v>
      </c>
      <c r="D773" s="314" t="s">
        <v>143</v>
      </c>
      <c r="E773" s="314" t="s">
        <v>117</v>
      </c>
      <c r="F773" s="314" t="s">
        <v>144</v>
      </c>
      <c r="G773" s="314" t="s">
        <v>106</v>
      </c>
      <c r="H773" s="314" t="s">
        <v>107</v>
      </c>
      <c r="I773" s="314" t="s">
        <v>108</v>
      </c>
      <c r="J773" s="314" t="s">
        <v>120</v>
      </c>
      <c r="K773" s="314">
        <v>80000</v>
      </c>
      <c r="L773" s="314">
        <v>200000</v>
      </c>
      <c r="M773" s="315">
        <v>45145.5473842593</v>
      </c>
      <c r="N773" s="314" t="s">
        <v>2857</v>
      </c>
      <c r="O773" s="314" t="s">
        <v>407</v>
      </c>
      <c r="P773" s="314" t="s">
        <v>161</v>
      </c>
      <c r="Q773" s="315">
        <v>45145.6299537037</v>
      </c>
      <c r="R773" s="315">
        <v>45146.3577430556</v>
      </c>
      <c r="S773" s="314" t="s">
        <v>2858</v>
      </c>
      <c r="T773" s="314" t="s">
        <v>124</v>
      </c>
      <c r="U773" s="314" t="s">
        <v>124</v>
      </c>
      <c r="V773" s="314" t="s">
        <v>114</v>
      </c>
      <c r="W773" s="314"/>
      <c r="X773" s="314" t="str">
        <f>VLOOKUP(D773,代理总表!A:D,3,0)</f>
        <v>雨燕直播-越</v>
      </c>
      <c r="Y773" t="str">
        <f>VLOOKUP(D:D,代理总表!A:D,4,FALSE)</f>
        <v>雨燕直播-越ffvn66</v>
      </c>
      <c r="Z773">
        <f t="shared" si="36"/>
        <v>1</v>
      </c>
      <c r="AA773">
        <f t="shared" si="37"/>
        <v>13</v>
      </c>
      <c r="AB773">
        <f t="shared" si="38"/>
        <v>1</v>
      </c>
    </row>
    <row r="774" spans="1:28">
      <c r="A774" s="314" t="s">
        <v>2859</v>
      </c>
      <c r="B774" s="314"/>
      <c r="C774" s="314"/>
      <c r="D774" s="314" t="s">
        <v>116</v>
      </c>
      <c r="E774" s="314" t="s">
        <v>117</v>
      </c>
      <c r="F774" s="314" t="s">
        <v>118</v>
      </c>
      <c r="G774" s="314" t="s">
        <v>108</v>
      </c>
      <c r="H774" s="314" t="s">
        <v>119</v>
      </c>
      <c r="I774" s="314" t="s">
        <v>108</v>
      </c>
      <c r="J774" s="314" t="s">
        <v>120</v>
      </c>
      <c r="K774" s="314">
        <v>0</v>
      </c>
      <c r="L774" s="314">
        <v>0</v>
      </c>
      <c r="M774" s="315">
        <v>45145.5468402778</v>
      </c>
      <c r="N774" s="314" t="s">
        <v>2860</v>
      </c>
      <c r="O774" s="314" t="s">
        <v>127</v>
      </c>
      <c r="P774" s="314" t="s">
        <v>112</v>
      </c>
      <c r="Q774" s="314" t="s">
        <v>123</v>
      </c>
      <c r="R774" s="315">
        <v>45145.5468287037</v>
      </c>
      <c r="S774" s="314" t="s">
        <v>2860</v>
      </c>
      <c r="T774" s="314" t="s">
        <v>216</v>
      </c>
      <c r="U774" s="314" t="s">
        <v>216</v>
      </c>
      <c r="V774" s="314" t="s">
        <v>114</v>
      </c>
      <c r="W774" s="314"/>
      <c r="X774" s="314" t="str">
        <f>VLOOKUP(D774,代理总表!A:D,3,0)</f>
        <v>外部代理总线</v>
      </c>
      <c r="Y774" t="str">
        <f>VLOOKUP(D:D,代理总表!A:D,4,FALSE)</f>
        <v>外部代理总线zh0808</v>
      </c>
      <c r="Z774">
        <f t="shared" si="36"/>
        <v>0</v>
      </c>
      <c r="AA774">
        <f t="shared" si="37"/>
        <v>13</v>
      </c>
      <c r="AB774">
        <f t="shared" si="38"/>
        <v>1</v>
      </c>
    </row>
    <row r="775" spans="1:28">
      <c r="A775" s="314" t="s">
        <v>2861</v>
      </c>
      <c r="B775" s="314"/>
      <c r="C775" s="314">
        <v>15057405461</v>
      </c>
      <c r="D775" s="314" t="s">
        <v>180</v>
      </c>
      <c r="E775" s="314" t="s">
        <v>104</v>
      </c>
      <c r="F775" s="314" t="s">
        <v>149</v>
      </c>
      <c r="G775" s="314" t="s">
        <v>108</v>
      </c>
      <c r="H775" s="314" t="s">
        <v>119</v>
      </c>
      <c r="I775" s="314" t="s">
        <v>108</v>
      </c>
      <c r="J775" s="314" t="s">
        <v>109</v>
      </c>
      <c r="K775" s="314">
        <v>0</v>
      </c>
      <c r="L775" s="314">
        <v>0</v>
      </c>
      <c r="M775" s="315">
        <v>45145.5464814815</v>
      </c>
      <c r="N775" s="314" t="s">
        <v>2862</v>
      </c>
      <c r="O775" s="314" t="s">
        <v>717</v>
      </c>
      <c r="P775" s="314" t="s">
        <v>161</v>
      </c>
      <c r="Q775" s="314" t="s">
        <v>123</v>
      </c>
      <c r="R775" s="315">
        <v>45145.5464699074</v>
      </c>
      <c r="S775" s="314" t="s">
        <v>2862</v>
      </c>
      <c r="T775" s="314" t="s">
        <v>808</v>
      </c>
      <c r="U775" s="314" t="s">
        <v>808</v>
      </c>
      <c r="V775" s="314" t="s">
        <v>114</v>
      </c>
      <c r="W775" s="314"/>
      <c r="X775" s="314" t="str">
        <f>VLOOKUP(D775,代理总表!A:D,3,0)</f>
        <v>hugo</v>
      </c>
      <c r="Y775" t="str">
        <f>VLOOKUP(D:D,代理总表!A:D,4,FALSE)</f>
        <v>SEO</v>
      </c>
      <c r="Z775">
        <f t="shared" si="36"/>
        <v>0</v>
      </c>
      <c r="AA775">
        <f t="shared" si="37"/>
        <v>13</v>
      </c>
      <c r="AB775">
        <f t="shared" si="38"/>
        <v>1</v>
      </c>
    </row>
    <row r="776" spans="1:28">
      <c r="A776" s="314" t="s">
        <v>2863</v>
      </c>
      <c r="B776" s="314"/>
      <c r="C776" s="314">
        <v>588266668</v>
      </c>
      <c r="D776" s="314" t="s">
        <v>1021</v>
      </c>
      <c r="E776" s="314" t="s">
        <v>117</v>
      </c>
      <c r="F776" s="314" t="s">
        <v>118</v>
      </c>
      <c r="G776" s="314" t="s">
        <v>108</v>
      </c>
      <c r="H776" s="314" t="s">
        <v>119</v>
      </c>
      <c r="I776" s="314" t="s">
        <v>108</v>
      </c>
      <c r="J776" s="314" t="s">
        <v>120</v>
      </c>
      <c r="K776" s="314">
        <v>0</v>
      </c>
      <c r="L776" s="314">
        <v>0</v>
      </c>
      <c r="M776" s="315">
        <v>45145.545787037</v>
      </c>
      <c r="N776" s="314" t="s">
        <v>2864</v>
      </c>
      <c r="O776" s="314" t="s">
        <v>2865</v>
      </c>
      <c r="P776" s="314" t="s">
        <v>112</v>
      </c>
      <c r="Q776" s="314" t="s">
        <v>123</v>
      </c>
      <c r="R776" s="315">
        <v>45145.545787037</v>
      </c>
      <c r="S776" s="314" t="s">
        <v>2864</v>
      </c>
      <c r="T776" s="314" t="s">
        <v>975</v>
      </c>
      <c r="U776" s="314" t="s">
        <v>975</v>
      </c>
      <c r="V776" s="314" t="s">
        <v>114</v>
      </c>
      <c r="W776" s="314"/>
      <c r="X776" s="314" t="str">
        <f>VLOOKUP(D776,代理总表!A:D,3,0)</f>
        <v>SOCO越南直播</v>
      </c>
      <c r="Y776" t="str">
        <f>VLOOKUP(D:D,代理总表!A:D,4,FALSE)</f>
        <v>SOCO越南直播ffvn66</v>
      </c>
      <c r="Z776">
        <f t="shared" si="36"/>
        <v>0</v>
      </c>
      <c r="AA776">
        <f t="shared" si="37"/>
        <v>13</v>
      </c>
      <c r="AB776">
        <f t="shared" si="38"/>
        <v>1</v>
      </c>
    </row>
    <row r="777" spans="1:28">
      <c r="A777" s="314" t="s">
        <v>2866</v>
      </c>
      <c r="B777" s="314" t="s">
        <v>2867</v>
      </c>
      <c r="C777" s="314">
        <v>798763151</v>
      </c>
      <c r="D777" s="314" t="s">
        <v>143</v>
      </c>
      <c r="E777" s="314" t="s">
        <v>117</v>
      </c>
      <c r="F777" s="314" t="s">
        <v>144</v>
      </c>
      <c r="G777" s="314" t="s">
        <v>106</v>
      </c>
      <c r="H777" s="314" t="s">
        <v>107</v>
      </c>
      <c r="I777" s="314" t="s">
        <v>108</v>
      </c>
      <c r="J777" s="314" t="s">
        <v>120</v>
      </c>
      <c r="K777" s="314">
        <v>85000</v>
      </c>
      <c r="L777" s="314">
        <v>100000</v>
      </c>
      <c r="M777" s="315">
        <v>45145.543599537</v>
      </c>
      <c r="N777" s="314" t="s">
        <v>2868</v>
      </c>
      <c r="O777" s="314" t="s">
        <v>146</v>
      </c>
      <c r="P777" s="314" t="s">
        <v>112</v>
      </c>
      <c r="Q777" s="315">
        <v>45145.5536689815</v>
      </c>
      <c r="R777" s="315">
        <v>45145.5812384259</v>
      </c>
      <c r="S777" s="314" t="s">
        <v>2868</v>
      </c>
      <c r="T777" s="314" t="s">
        <v>131</v>
      </c>
      <c r="U777" s="314" t="s">
        <v>131</v>
      </c>
      <c r="V777" s="314" t="s">
        <v>114</v>
      </c>
      <c r="W777" s="314"/>
      <c r="X777" s="314" t="str">
        <f>VLOOKUP(D777,代理总表!A:D,3,0)</f>
        <v>雨燕直播-越</v>
      </c>
      <c r="Y777" t="str">
        <f>VLOOKUP(D:D,代理总表!A:D,4,FALSE)</f>
        <v>雨燕直播-越ffvn66</v>
      </c>
      <c r="Z777">
        <f t="shared" si="36"/>
        <v>1</v>
      </c>
      <c r="AA777">
        <f t="shared" si="37"/>
        <v>13</v>
      </c>
      <c r="AB777">
        <f t="shared" si="38"/>
        <v>1</v>
      </c>
    </row>
    <row r="778" spans="1:28">
      <c r="A778" s="314" t="s">
        <v>2869</v>
      </c>
      <c r="B778" s="314"/>
      <c r="C778" s="314"/>
      <c r="D778" s="314" t="s">
        <v>249</v>
      </c>
      <c r="E778" s="314" t="s">
        <v>104</v>
      </c>
      <c r="F778" s="314" t="s">
        <v>118</v>
      </c>
      <c r="G778" s="314" t="s">
        <v>108</v>
      </c>
      <c r="H778" s="314" t="s">
        <v>119</v>
      </c>
      <c r="I778" s="314" t="s">
        <v>108</v>
      </c>
      <c r="J778" s="314" t="s">
        <v>109</v>
      </c>
      <c r="K778" s="314">
        <v>0</v>
      </c>
      <c r="L778" s="314">
        <v>0</v>
      </c>
      <c r="M778" s="315">
        <v>45145.5431597222</v>
      </c>
      <c r="N778" s="314" t="s">
        <v>2870</v>
      </c>
      <c r="O778" s="314" t="s">
        <v>251</v>
      </c>
      <c r="P778" s="314" t="s">
        <v>112</v>
      </c>
      <c r="Q778" s="314" t="s">
        <v>123</v>
      </c>
      <c r="R778" s="315">
        <v>45146.1184259259</v>
      </c>
      <c r="S778" s="314" t="s">
        <v>2870</v>
      </c>
      <c r="T778" s="314" t="s">
        <v>256</v>
      </c>
      <c r="U778" s="314" t="s">
        <v>256</v>
      </c>
      <c r="V778" s="314" t="s">
        <v>114</v>
      </c>
      <c r="W778" s="314"/>
      <c r="X778" s="314" t="str">
        <f>VLOOKUP(D778,代理总表!A:D,3,0)</f>
        <v>飞哥雨燕直播</v>
      </c>
      <c r="Y778" t="str">
        <f>VLOOKUP(D:D,代理总表!A:D,4,FALSE)</f>
        <v>飞哥雨燕直播ffmk88</v>
      </c>
      <c r="Z778">
        <f t="shared" si="36"/>
        <v>0</v>
      </c>
      <c r="AA778">
        <f t="shared" si="37"/>
        <v>13</v>
      </c>
      <c r="AB778">
        <f t="shared" si="38"/>
        <v>1</v>
      </c>
    </row>
    <row r="779" spans="1:28">
      <c r="A779" s="314" t="s">
        <v>2871</v>
      </c>
      <c r="B779" s="314"/>
      <c r="C779" s="314">
        <v>18701841281</v>
      </c>
      <c r="D779" s="314" t="s">
        <v>294</v>
      </c>
      <c r="E779" s="314" t="s">
        <v>104</v>
      </c>
      <c r="F779" s="314" t="s">
        <v>149</v>
      </c>
      <c r="G779" s="314" t="s">
        <v>108</v>
      </c>
      <c r="H779" s="314" t="s">
        <v>119</v>
      </c>
      <c r="I779" s="314" t="s">
        <v>108</v>
      </c>
      <c r="J779" s="314" t="s">
        <v>109</v>
      </c>
      <c r="K779" s="314">
        <v>0</v>
      </c>
      <c r="L779" s="314">
        <v>0</v>
      </c>
      <c r="M779" s="315">
        <v>45145.5419444444</v>
      </c>
      <c r="N779" s="314" t="s">
        <v>2872</v>
      </c>
      <c r="O779" s="314" t="s">
        <v>1951</v>
      </c>
      <c r="P779" s="314" t="s">
        <v>112</v>
      </c>
      <c r="Q779" s="314" t="s">
        <v>123</v>
      </c>
      <c r="R779" s="315">
        <v>45145.5502893518</v>
      </c>
      <c r="S779" s="314" t="s">
        <v>2872</v>
      </c>
      <c r="T779" s="314" t="s">
        <v>347</v>
      </c>
      <c r="U779" s="314" t="s">
        <v>347</v>
      </c>
      <c r="V779" s="314" t="s">
        <v>114</v>
      </c>
      <c r="W779" s="314"/>
      <c r="X779" s="314" t="str">
        <f>VLOOKUP(D779,代理总表!A:D,3,0)</f>
        <v>DK</v>
      </c>
      <c r="Y779" t="str">
        <f>VLOOKUP(D:D,代理总表!A:D,4,FALSE)</f>
        <v>SEO</v>
      </c>
      <c r="Z779">
        <f t="shared" si="36"/>
        <v>0</v>
      </c>
      <c r="AA779">
        <f t="shared" si="37"/>
        <v>13</v>
      </c>
      <c r="AB779">
        <f t="shared" si="38"/>
        <v>1</v>
      </c>
    </row>
    <row r="780" spans="1:28">
      <c r="A780" s="314" t="s">
        <v>2873</v>
      </c>
      <c r="B780" s="314"/>
      <c r="C780" s="314"/>
      <c r="D780" s="314" t="s">
        <v>1265</v>
      </c>
      <c r="E780" s="314" t="s">
        <v>117</v>
      </c>
      <c r="F780" s="314" t="s">
        <v>118</v>
      </c>
      <c r="G780" s="314" t="s">
        <v>108</v>
      </c>
      <c r="H780" s="314" t="s">
        <v>119</v>
      </c>
      <c r="I780" s="314" t="s">
        <v>108</v>
      </c>
      <c r="J780" s="314" t="s">
        <v>120</v>
      </c>
      <c r="K780" s="314">
        <v>0</v>
      </c>
      <c r="L780" s="314">
        <v>0</v>
      </c>
      <c r="M780" s="315">
        <v>45145.5413657407</v>
      </c>
      <c r="N780" s="314" t="s">
        <v>2874</v>
      </c>
      <c r="O780" s="314" t="s">
        <v>1267</v>
      </c>
      <c r="P780" s="314" t="s">
        <v>112</v>
      </c>
      <c r="Q780" s="314" t="s">
        <v>123</v>
      </c>
      <c r="R780" s="315">
        <v>45145.5413541667</v>
      </c>
      <c r="S780" s="314" t="s">
        <v>2874</v>
      </c>
      <c r="T780" s="314" t="s">
        <v>2185</v>
      </c>
      <c r="U780" s="314" t="s">
        <v>2185</v>
      </c>
      <c r="V780" s="314" t="s">
        <v>114</v>
      </c>
      <c r="W780" s="314"/>
      <c r="X780" s="314" t="e">
        <f>VLOOKUP(D780,代理总表!A:D,3,0)</f>
        <v>#N/A</v>
      </c>
      <c r="Y780" t="e">
        <f>VLOOKUP(D:D,代理总表!A:D,4,FALSE)</f>
        <v>#N/A</v>
      </c>
      <c r="Z780">
        <f t="shared" si="36"/>
        <v>0</v>
      </c>
      <c r="AA780">
        <f t="shared" si="37"/>
        <v>12</v>
      </c>
      <c r="AB780">
        <f t="shared" si="38"/>
        <v>1</v>
      </c>
    </row>
    <row r="781" spans="1:28">
      <c r="A781" s="314" t="s">
        <v>2875</v>
      </c>
      <c r="B781" s="314" t="s">
        <v>2876</v>
      </c>
      <c r="C781" s="314">
        <v>8073958978</v>
      </c>
      <c r="D781" s="314" t="s">
        <v>143</v>
      </c>
      <c r="E781" s="314" t="s">
        <v>117</v>
      </c>
      <c r="F781" s="314" t="s">
        <v>144</v>
      </c>
      <c r="G781" s="314" t="s">
        <v>106</v>
      </c>
      <c r="H781" s="314" t="s">
        <v>107</v>
      </c>
      <c r="I781" s="314" t="s">
        <v>108</v>
      </c>
      <c r="J781" s="314" t="s">
        <v>120</v>
      </c>
      <c r="K781" s="314">
        <v>100000</v>
      </c>
      <c r="L781" s="314">
        <v>500000</v>
      </c>
      <c r="M781" s="315">
        <v>45145.5413541667</v>
      </c>
      <c r="N781" s="314" t="s">
        <v>2877</v>
      </c>
      <c r="O781" s="314" t="s">
        <v>146</v>
      </c>
      <c r="P781" s="314" t="s">
        <v>112</v>
      </c>
      <c r="Q781" s="315">
        <v>45145.5488078704</v>
      </c>
      <c r="R781" s="315">
        <v>45146.2236111111</v>
      </c>
      <c r="S781" s="314" t="s">
        <v>2877</v>
      </c>
      <c r="T781" s="314" t="s">
        <v>2878</v>
      </c>
      <c r="U781" s="314" t="s">
        <v>2878</v>
      </c>
      <c r="V781" s="314" t="s">
        <v>114</v>
      </c>
      <c r="W781" s="314"/>
      <c r="X781" s="314" t="str">
        <f>VLOOKUP(D781,代理总表!A:D,3,0)</f>
        <v>雨燕直播-越</v>
      </c>
      <c r="Y781" t="str">
        <f>VLOOKUP(D:D,代理总表!A:D,4,FALSE)</f>
        <v>雨燕直播-越ffvn66</v>
      </c>
      <c r="Z781">
        <f t="shared" si="36"/>
        <v>1</v>
      </c>
      <c r="AA781">
        <f t="shared" si="37"/>
        <v>12</v>
      </c>
      <c r="AB781">
        <f t="shared" si="38"/>
        <v>1</v>
      </c>
    </row>
    <row r="782" spans="1:28">
      <c r="A782" s="314" t="s">
        <v>2879</v>
      </c>
      <c r="B782" s="314"/>
      <c r="C782" s="314">
        <v>18842093411</v>
      </c>
      <c r="D782" s="314" t="s">
        <v>2880</v>
      </c>
      <c r="E782" s="314" t="s">
        <v>104</v>
      </c>
      <c r="F782" s="314" t="s">
        <v>118</v>
      </c>
      <c r="G782" s="314" t="s">
        <v>108</v>
      </c>
      <c r="H782" s="314" t="s">
        <v>119</v>
      </c>
      <c r="I782" s="314" t="s">
        <v>108</v>
      </c>
      <c r="J782" s="314" t="s">
        <v>109</v>
      </c>
      <c r="K782" s="314">
        <v>0</v>
      </c>
      <c r="L782" s="314">
        <v>0</v>
      </c>
      <c r="M782" s="315">
        <v>45145.5412847222</v>
      </c>
      <c r="N782" s="314" t="s">
        <v>2881</v>
      </c>
      <c r="O782" s="314" t="s">
        <v>1527</v>
      </c>
      <c r="P782" s="314" t="s">
        <v>208</v>
      </c>
      <c r="Q782" s="314" t="s">
        <v>123</v>
      </c>
      <c r="R782" s="315">
        <v>45145.7742361111</v>
      </c>
      <c r="S782" s="314" t="s">
        <v>2882</v>
      </c>
      <c r="T782" s="314" t="s">
        <v>2883</v>
      </c>
      <c r="U782" s="314" t="s">
        <v>2884</v>
      </c>
      <c r="V782" s="314" t="s">
        <v>114</v>
      </c>
      <c r="W782" s="314"/>
      <c r="X782" s="314" t="str">
        <f>VLOOKUP(D782,代理总表!A:D,3,0)</f>
        <v>GT-B直播</v>
      </c>
      <c r="Y782" t="str">
        <f>VLOOKUP(D:D,代理总表!A:D,4,FALSE)</f>
        <v>B直播gt6688</v>
      </c>
      <c r="Z782">
        <f t="shared" si="36"/>
        <v>0</v>
      </c>
      <c r="AA782">
        <f t="shared" si="37"/>
        <v>12</v>
      </c>
      <c r="AB782">
        <f t="shared" si="38"/>
        <v>1</v>
      </c>
    </row>
    <row r="783" spans="1:28">
      <c r="A783" s="314" t="s">
        <v>2885</v>
      </c>
      <c r="B783" s="314" t="s">
        <v>2886</v>
      </c>
      <c r="C783" s="314">
        <v>774771908</v>
      </c>
      <c r="D783" s="314" t="s">
        <v>137</v>
      </c>
      <c r="E783" s="314" t="s">
        <v>117</v>
      </c>
      <c r="F783" s="314" t="s">
        <v>144</v>
      </c>
      <c r="G783" s="314" t="s">
        <v>106</v>
      </c>
      <c r="H783" s="314" t="s">
        <v>107</v>
      </c>
      <c r="I783" s="314" t="s">
        <v>108</v>
      </c>
      <c r="J783" s="314" t="s">
        <v>120</v>
      </c>
      <c r="K783" s="314">
        <v>2000000</v>
      </c>
      <c r="L783" s="314">
        <v>0</v>
      </c>
      <c r="M783" s="315">
        <v>45145.5406018519</v>
      </c>
      <c r="N783" s="314" t="s">
        <v>2887</v>
      </c>
      <c r="O783" s="314" t="s">
        <v>139</v>
      </c>
      <c r="P783" s="314" t="s">
        <v>112</v>
      </c>
      <c r="Q783" s="315">
        <v>45145.5709837963</v>
      </c>
      <c r="R783" s="315">
        <v>45145.9978009259</v>
      </c>
      <c r="S783" s="314" t="s">
        <v>2888</v>
      </c>
      <c r="T783" s="314" t="s">
        <v>131</v>
      </c>
      <c r="U783" s="314" t="s">
        <v>131</v>
      </c>
      <c r="V783" s="314" t="s">
        <v>114</v>
      </c>
      <c r="W783" s="314"/>
      <c r="X783" s="314" t="str">
        <f>VLOOKUP(D783,代理总表!A:D,3,0)</f>
        <v>雨燕直播-越</v>
      </c>
      <c r="Y783" t="str">
        <f>VLOOKUP(D:D,代理总表!A:D,4,FALSE)</f>
        <v>雨燕直播-越ffvn66</v>
      </c>
      <c r="Z783">
        <f t="shared" si="36"/>
        <v>1</v>
      </c>
      <c r="AA783">
        <f t="shared" si="37"/>
        <v>12</v>
      </c>
      <c r="AB783">
        <f t="shared" si="38"/>
        <v>1</v>
      </c>
    </row>
    <row r="784" spans="1:28">
      <c r="A784" s="314" t="s">
        <v>2889</v>
      </c>
      <c r="B784" s="314"/>
      <c r="C784" s="314"/>
      <c r="D784" s="314" t="s">
        <v>103</v>
      </c>
      <c r="E784" s="314" t="s">
        <v>104</v>
      </c>
      <c r="F784" s="314" t="s">
        <v>118</v>
      </c>
      <c r="G784" s="314" t="s">
        <v>108</v>
      </c>
      <c r="H784" s="314" t="s">
        <v>119</v>
      </c>
      <c r="I784" s="314" t="s">
        <v>108</v>
      </c>
      <c r="J784" s="314" t="s">
        <v>109</v>
      </c>
      <c r="K784" s="314">
        <v>0</v>
      </c>
      <c r="L784" s="314">
        <v>0</v>
      </c>
      <c r="M784" s="315">
        <v>45145.5400810185</v>
      </c>
      <c r="N784" s="314" t="s">
        <v>2890</v>
      </c>
      <c r="O784" s="314" t="s">
        <v>2891</v>
      </c>
      <c r="P784" s="314" t="s">
        <v>112</v>
      </c>
      <c r="Q784" s="314" t="s">
        <v>123</v>
      </c>
      <c r="R784" s="314"/>
      <c r="S784" s="314"/>
      <c r="T784" s="314" t="s">
        <v>2892</v>
      </c>
      <c r="U784" s="314"/>
      <c r="V784" s="314" t="s">
        <v>114</v>
      </c>
      <c r="W784" s="314"/>
      <c r="X784" s="314" t="str">
        <f>VLOOKUP(D784,代理总表!A:D,3,0)</f>
        <v>官网</v>
      </c>
      <c r="Y784" t="str">
        <f>VLOOKUP(D:D,代理总表!A:D,4,FALSE)</f>
        <v>官网</v>
      </c>
      <c r="Z784">
        <f t="shared" si="36"/>
        <v>0</v>
      </c>
      <c r="AA784">
        <f t="shared" si="37"/>
        <v>12</v>
      </c>
      <c r="AB784">
        <f t="shared" si="38"/>
        <v>1</v>
      </c>
    </row>
    <row r="785" spans="1:28">
      <c r="A785" s="314" t="s">
        <v>2893</v>
      </c>
      <c r="B785" s="314" t="s">
        <v>2894</v>
      </c>
      <c r="C785" s="314">
        <v>13614444826</v>
      </c>
      <c r="D785" s="314" t="s">
        <v>594</v>
      </c>
      <c r="E785" s="314" t="s">
        <v>104</v>
      </c>
      <c r="F785" s="314" t="s">
        <v>181</v>
      </c>
      <c r="G785" s="314" t="s">
        <v>106</v>
      </c>
      <c r="H785" s="314" t="s">
        <v>107</v>
      </c>
      <c r="I785" s="314" t="s">
        <v>108</v>
      </c>
      <c r="J785" s="314" t="s">
        <v>109</v>
      </c>
      <c r="K785" s="314">
        <v>200</v>
      </c>
      <c r="L785" s="314">
        <v>0</v>
      </c>
      <c r="M785" s="315">
        <v>45145.5392824074</v>
      </c>
      <c r="N785" s="314" t="s">
        <v>2895</v>
      </c>
      <c r="O785" s="314" t="s">
        <v>988</v>
      </c>
      <c r="P785" s="314" t="s">
        <v>161</v>
      </c>
      <c r="Q785" s="315">
        <v>45145.551724537</v>
      </c>
      <c r="R785" s="315">
        <v>45145.5392824074</v>
      </c>
      <c r="S785" s="314" t="s">
        <v>2895</v>
      </c>
      <c r="T785" s="314" t="s">
        <v>2896</v>
      </c>
      <c r="U785" s="314" t="s">
        <v>2896</v>
      </c>
      <c r="V785" s="314" t="s">
        <v>114</v>
      </c>
      <c r="W785" s="314"/>
      <c r="X785" s="314" t="str">
        <f>VLOOKUP(D785,代理总表!A:D,3,0)</f>
        <v>zed</v>
      </c>
      <c r="Y785" t="str">
        <f>VLOOKUP(D:D,代理总表!A:D,4,FALSE)</f>
        <v>SEO</v>
      </c>
      <c r="Z785">
        <f t="shared" si="36"/>
        <v>1</v>
      </c>
      <c r="AA785">
        <f t="shared" si="37"/>
        <v>12</v>
      </c>
      <c r="AB785">
        <f t="shared" si="38"/>
        <v>1</v>
      </c>
    </row>
    <row r="786" spans="1:28">
      <c r="A786" s="314" t="s">
        <v>2897</v>
      </c>
      <c r="B786" s="314"/>
      <c r="C786" s="314"/>
      <c r="D786" s="314" t="s">
        <v>103</v>
      </c>
      <c r="E786" s="314" t="s">
        <v>104</v>
      </c>
      <c r="F786" s="314" t="s">
        <v>118</v>
      </c>
      <c r="G786" s="314" t="s">
        <v>108</v>
      </c>
      <c r="H786" s="314" t="s">
        <v>119</v>
      </c>
      <c r="I786" s="314" t="s">
        <v>108</v>
      </c>
      <c r="J786" s="314" t="s">
        <v>109</v>
      </c>
      <c r="K786" s="314">
        <v>0</v>
      </c>
      <c r="L786" s="314">
        <v>0</v>
      </c>
      <c r="M786" s="315">
        <v>45145.5375115741</v>
      </c>
      <c r="N786" s="314" t="s">
        <v>2898</v>
      </c>
      <c r="O786" s="314" t="s">
        <v>851</v>
      </c>
      <c r="P786" s="314" t="s">
        <v>339</v>
      </c>
      <c r="Q786" s="314" t="s">
        <v>123</v>
      </c>
      <c r="R786" s="314"/>
      <c r="S786" s="314"/>
      <c r="T786" s="314" t="s">
        <v>2899</v>
      </c>
      <c r="U786" s="314"/>
      <c r="V786" s="314" t="s">
        <v>114</v>
      </c>
      <c r="W786" s="314"/>
      <c r="X786" s="314" t="str">
        <f>VLOOKUP(D786,代理总表!A:D,3,0)</f>
        <v>官网</v>
      </c>
      <c r="Y786" t="str">
        <f>VLOOKUP(D:D,代理总表!A:D,4,FALSE)</f>
        <v>官网</v>
      </c>
      <c r="Z786">
        <f t="shared" si="36"/>
        <v>0</v>
      </c>
      <c r="AA786">
        <f t="shared" si="37"/>
        <v>12</v>
      </c>
      <c r="AB786">
        <f t="shared" si="38"/>
        <v>1</v>
      </c>
    </row>
    <row r="787" spans="1:28">
      <c r="A787" s="314" t="s">
        <v>2900</v>
      </c>
      <c r="B787" s="314"/>
      <c r="C787" s="314"/>
      <c r="D787" s="314" t="s">
        <v>103</v>
      </c>
      <c r="E787" s="314" t="s">
        <v>104</v>
      </c>
      <c r="F787" s="314" t="s">
        <v>118</v>
      </c>
      <c r="G787" s="314" t="s">
        <v>108</v>
      </c>
      <c r="H787" s="314" t="s">
        <v>119</v>
      </c>
      <c r="I787" s="314" t="s">
        <v>108</v>
      </c>
      <c r="J787" s="314" t="s">
        <v>109</v>
      </c>
      <c r="K787" s="314">
        <v>0</v>
      </c>
      <c r="L787" s="314">
        <v>0</v>
      </c>
      <c r="M787" s="315">
        <v>45145.5366435185</v>
      </c>
      <c r="N787" s="314" t="s">
        <v>2901</v>
      </c>
      <c r="O787" s="314" t="s">
        <v>2902</v>
      </c>
      <c r="P787" s="314" t="s">
        <v>112</v>
      </c>
      <c r="Q787" s="314" t="s">
        <v>123</v>
      </c>
      <c r="R787" s="315">
        <v>45145.5442361111</v>
      </c>
      <c r="S787" s="314" t="s">
        <v>2901</v>
      </c>
      <c r="T787" s="314" t="s">
        <v>2903</v>
      </c>
      <c r="U787" s="314" t="s">
        <v>2903</v>
      </c>
      <c r="V787" s="314" t="s">
        <v>114</v>
      </c>
      <c r="W787" s="314"/>
      <c r="X787" s="314" t="str">
        <f>VLOOKUP(D787,代理总表!A:D,3,0)</f>
        <v>官网</v>
      </c>
      <c r="Y787" t="str">
        <f>VLOOKUP(D:D,代理总表!A:D,4,FALSE)</f>
        <v>官网</v>
      </c>
      <c r="Z787">
        <f t="shared" si="36"/>
        <v>0</v>
      </c>
      <c r="AA787">
        <f t="shared" si="37"/>
        <v>12</v>
      </c>
      <c r="AB787">
        <f t="shared" si="38"/>
        <v>1</v>
      </c>
    </row>
    <row r="788" spans="1:28">
      <c r="A788" s="314" t="s">
        <v>2904</v>
      </c>
      <c r="B788" s="314"/>
      <c r="C788" s="314">
        <v>19977991541</v>
      </c>
      <c r="D788" s="314" t="s">
        <v>180</v>
      </c>
      <c r="E788" s="314" t="s">
        <v>104</v>
      </c>
      <c r="F788" s="314" t="s">
        <v>149</v>
      </c>
      <c r="G788" s="314" t="s">
        <v>108</v>
      </c>
      <c r="H788" s="314" t="s">
        <v>119</v>
      </c>
      <c r="I788" s="314" t="s">
        <v>108</v>
      </c>
      <c r="J788" s="314" t="s">
        <v>109</v>
      </c>
      <c r="K788" s="314">
        <v>0</v>
      </c>
      <c r="L788" s="314">
        <v>0</v>
      </c>
      <c r="M788" s="315">
        <v>45145.5362731482</v>
      </c>
      <c r="N788" s="314" t="s">
        <v>2905</v>
      </c>
      <c r="O788" s="314" t="s">
        <v>717</v>
      </c>
      <c r="P788" s="314" t="s">
        <v>208</v>
      </c>
      <c r="Q788" s="314" t="s">
        <v>123</v>
      </c>
      <c r="R788" s="315">
        <v>45145.6275347222</v>
      </c>
      <c r="S788" s="314" t="s">
        <v>2906</v>
      </c>
      <c r="T788" s="314" t="s">
        <v>2907</v>
      </c>
      <c r="U788" s="314" t="s">
        <v>2908</v>
      </c>
      <c r="V788" s="314" t="s">
        <v>114</v>
      </c>
      <c r="W788" s="314"/>
      <c r="X788" s="314" t="str">
        <f>VLOOKUP(D788,代理总表!A:D,3,0)</f>
        <v>hugo</v>
      </c>
      <c r="Y788" t="str">
        <f>VLOOKUP(D:D,代理总表!A:D,4,FALSE)</f>
        <v>SEO</v>
      </c>
      <c r="Z788">
        <f t="shared" si="36"/>
        <v>0</v>
      </c>
      <c r="AA788">
        <f t="shared" si="37"/>
        <v>12</v>
      </c>
      <c r="AB788">
        <f t="shared" si="38"/>
        <v>1</v>
      </c>
    </row>
    <row r="789" spans="1:28">
      <c r="A789" s="314" t="s">
        <v>2909</v>
      </c>
      <c r="B789" s="314" t="s">
        <v>2910</v>
      </c>
      <c r="C789" s="314">
        <v>926984662</v>
      </c>
      <c r="D789" s="314" t="s">
        <v>2615</v>
      </c>
      <c r="E789" s="314" t="s">
        <v>117</v>
      </c>
      <c r="F789" s="314" t="s">
        <v>144</v>
      </c>
      <c r="G789" s="314" t="s">
        <v>106</v>
      </c>
      <c r="H789" s="314" t="s">
        <v>856</v>
      </c>
      <c r="I789" s="314" t="s">
        <v>108</v>
      </c>
      <c r="J789" s="314" t="s">
        <v>120</v>
      </c>
      <c r="K789" s="314">
        <v>35000</v>
      </c>
      <c r="L789" s="314">
        <v>19100000</v>
      </c>
      <c r="M789" s="315">
        <v>45145.5350694444</v>
      </c>
      <c r="N789" s="314" t="s">
        <v>2911</v>
      </c>
      <c r="O789" s="314" t="s">
        <v>2912</v>
      </c>
      <c r="P789" s="314" t="s">
        <v>339</v>
      </c>
      <c r="Q789" s="315">
        <v>45145.5409490741</v>
      </c>
      <c r="R789" s="315">
        <v>45145.6790393519</v>
      </c>
      <c r="S789" s="314" t="s">
        <v>2913</v>
      </c>
      <c r="T789" s="314" t="s">
        <v>1334</v>
      </c>
      <c r="U789" s="314" t="s">
        <v>131</v>
      </c>
      <c r="V789" s="314" t="s">
        <v>114</v>
      </c>
      <c r="W789" s="314" t="s">
        <v>2914</v>
      </c>
      <c r="X789" s="314" t="e">
        <f>VLOOKUP(D789,代理总表!A:D,3,0)</f>
        <v>#N/A</v>
      </c>
      <c r="Y789" t="e">
        <f>VLOOKUP(D:D,代理总表!A:D,4,FALSE)</f>
        <v>#N/A</v>
      </c>
      <c r="Z789">
        <f t="shared" si="36"/>
        <v>1</v>
      </c>
      <c r="AA789">
        <f t="shared" si="37"/>
        <v>12</v>
      </c>
      <c r="AB789">
        <f t="shared" si="38"/>
        <v>1</v>
      </c>
    </row>
    <row r="790" spans="1:28">
      <c r="A790" s="314" t="s">
        <v>2915</v>
      </c>
      <c r="B790" s="314"/>
      <c r="C790" s="314"/>
      <c r="D790" s="314" t="s">
        <v>103</v>
      </c>
      <c r="E790" s="314" t="s">
        <v>104</v>
      </c>
      <c r="F790" s="314" t="s">
        <v>118</v>
      </c>
      <c r="G790" s="314" t="s">
        <v>108</v>
      </c>
      <c r="H790" s="314" t="s">
        <v>119</v>
      </c>
      <c r="I790" s="314" t="s">
        <v>108</v>
      </c>
      <c r="J790" s="314" t="s">
        <v>109</v>
      </c>
      <c r="K790" s="314">
        <v>0</v>
      </c>
      <c r="L790" s="314">
        <v>0</v>
      </c>
      <c r="M790" s="315">
        <v>45145.5336458333</v>
      </c>
      <c r="N790" s="314" t="s">
        <v>2916</v>
      </c>
      <c r="O790" s="314" t="s">
        <v>2917</v>
      </c>
      <c r="P790" s="314" t="s">
        <v>208</v>
      </c>
      <c r="Q790" s="314" t="s">
        <v>123</v>
      </c>
      <c r="R790" s="315">
        <v>45145.5338310185</v>
      </c>
      <c r="S790" s="314" t="s">
        <v>2916</v>
      </c>
      <c r="T790" s="314" t="s">
        <v>946</v>
      </c>
      <c r="U790" s="314" t="s">
        <v>946</v>
      </c>
      <c r="V790" s="314" t="s">
        <v>114</v>
      </c>
      <c r="W790" s="314"/>
      <c r="X790" s="314" t="str">
        <f>VLOOKUP(D790,代理总表!A:D,3,0)</f>
        <v>官网</v>
      </c>
      <c r="Y790" t="str">
        <f>VLOOKUP(D:D,代理总表!A:D,4,FALSE)</f>
        <v>官网</v>
      </c>
      <c r="Z790">
        <f t="shared" si="36"/>
        <v>0</v>
      </c>
      <c r="AA790">
        <f t="shared" si="37"/>
        <v>12</v>
      </c>
      <c r="AB790">
        <f t="shared" si="38"/>
        <v>1</v>
      </c>
    </row>
    <row r="791" spans="1:28">
      <c r="A791" s="314" t="s">
        <v>2918</v>
      </c>
      <c r="B791" s="314"/>
      <c r="C791" s="314"/>
      <c r="D791" s="314" t="s">
        <v>1109</v>
      </c>
      <c r="E791" s="314" t="s">
        <v>104</v>
      </c>
      <c r="F791" s="314" t="s">
        <v>118</v>
      </c>
      <c r="G791" s="314" t="s">
        <v>108</v>
      </c>
      <c r="H791" s="314" t="s">
        <v>119</v>
      </c>
      <c r="I791" s="314" t="s">
        <v>108</v>
      </c>
      <c r="J791" s="314" t="s">
        <v>109</v>
      </c>
      <c r="K791" s="314">
        <v>0</v>
      </c>
      <c r="L791" s="314">
        <v>0</v>
      </c>
      <c r="M791" s="315">
        <v>45145.5333912037</v>
      </c>
      <c r="N791" s="314" t="s">
        <v>2919</v>
      </c>
      <c r="O791" s="314" t="s">
        <v>1141</v>
      </c>
      <c r="P791" s="314" t="s">
        <v>112</v>
      </c>
      <c r="Q791" s="314" t="s">
        <v>123</v>
      </c>
      <c r="R791" s="315">
        <v>45145.5333796296</v>
      </c>
      <c r="S791" s="314" t="s">
        <v>2919</v>
      </c>
      <c r="T791" s="314" t="s">
        <v>1968</v>
      </c>
      <c r="U791" s="314" t="s">
        <v>1968</v>
      </c>
      <c r="V791" s="314" t="s">
        <v>114</v>
      </c>
      <c r="W791" s="314"/>
      <c r="X791" s="314" t="str">
        <f>VLOOKUP(D791,代理总表!A:D,3,0)</f>
        <v>飞哥雨燕直播</v>
      </c>
      <c r="Y791" t="str">
        <f>VLOOKUP(D:D,代理总表!A:D,4,FALSE)</f>
        <v>飞哥雨燕直播ffmk88</v>
      </c>
      <c r="Z791">
        <f t="shared" si="36"/>
        <v>0</v>
      </c>
      <c r="AA791">
        <f t="shared" si="37"/>
        <v>12</v>
      </c>
      <c r="AB791">
        <f t="shared" si="38"/>
        <v>1</v>
      </c>
    </row>
    <row r="792" spans="1:28">
      <c r="A792" s="314" t="s">
        <v>2920</v>
      </c>
      <c r="B792" s="314" t="s">
        <v>2921</v>
      </c>
      <c r="C792" s="314">
        <v>979245523</v>
      </c>
      <c r="D792" s="314" t="s">
        <v>172</v>
      </c>
      <c r="E792" s="314" t="s">
        <v>117</v>
      </c>
      <c r="F792" s="314" t="s">
        <v>118</v>
      </c>
      <c r="G792" s="314" t="s">
        <v>108</v>
      </c>
      <c r="H792" s="314" t="s">
        <v>119</v>
      </c>
      <c r="I792" s="314" t="s">
        <v>108</v>
      </c>
      <c r="J792" s="314" t="s">
        <v>120</v>
      </c>
      <c r="K792" s="314">
        <v>0</v>
      </c>
      <c r="L792" s="314">
        <v>0</v>
      </c>
      <c r="M792" s="315">
        <v>45145.5325578704</v>
      </c>
      <c r="N792" s="314" t="s">
        <v>2922</v>
      </c>
      <c r="O792" s="314" t="s">
        <v>174</v>
      </c>
      <c r="P792" s="314" t="s">
        <v>112</v>
      </c>
      <c r="Q792" s="314" t="s">
        <v>123</v>
      </c>
      <c r="R792" s="315">
        <v>45145.8899537037</v>
      </c>
      <c r="S792" s="314" t="s">
        <v>2923</v>
      </c>
      <c r="T792" s="314" t="s">
        <v>177</v>
      </c>
      <c r="U792" s="314" t="s">
        <v>177</v>
      </c>
      <c r="V792" s="314" t="s">
        <v>114</v>
      </c>
      <c r="W792" s="314"/>
      <c r="X792" s="314" t="str">
        <f>VLOOKUP(D792,代理总表!A:D,3,0)</f>
        <v>雨燕直播-越</v>
      </c>
      <c r="Y792" t="str">
        <f>VLOOKUP(D:D,代理总表!A:D,4,FALSE)</f>
        <v>雨燕直播-越ffvn66</v>
      </c>
      <c r="Z792">
        <f t="shared" si="36"/>
        <v>0</v>
      </c>
      <c r="AA792">
        <f t="shared" si="37"/>
        <v>12</v>
      </c>
      <c r="AB792">
        <f t="shared" si="38"/>
        <v>1</v>
      </c>
    </row>
    <row r="793" spans="1:28">
      <c r="A793" s="314" t="s">
        <v>2924</v>
      </c>
      <c r="B793" s="314"/>
      <c r="C793" s="314"/>
      <c r="D793" s="314" t="s">
        <v>103</v>
      </c>
      <c r="E793" s="314" t="s">
        <v>104</v>
      </c>
      <c r="F793" s="314" t="s">
        <v>118</v>
      </c>
      <c r="G793" s="314" t="s">
        <v>108</v>
      </c>
      <c r="H793" s="314" t="s">
        <v>119</v>
      </c>
      <c r="I793" s="314" t="s">
        <v>108</v>
      </c>
      <c r="J793" s="314" t="s">
        <v>109</v>
      </c>
      <c r="K793" s="314">
        <v>0</v>
      </c>
      <c r="L793" s="314">
        <v>0</v>
      </c>
      <c r="M793" s="315">
        <v>45145.5325231481</v>
      </c>
      <c r="N793" s="314" t="s">
        <v>2925</v>
      </c>
      <c r="O793" s="314" t="s">
        <v>851</v>
      </c>
      <c r="P793" s="314" t="s">
        <v>339</v>
      </c>
      <c r="Q793" s="314" t="s">
        <v>123</v>
      </c>
      <c r="R793" s="314"/>
      <c r="S793" s="314"/>
      <c r="T793" s="314" t="s">
        <v>2027</v>
      </c>
      <c r="U793" s="314"/>
      <c r="V793" s="314" t="s">
        <v>114</v>
      </c>
      <c r="W793" s="314"/>
      <c r="X793" s="314" t="str">
        <f>VLOOKUP(D793,代理总表!A:D,3,0)</f>
        <v>官网</v>
      </c>
      <c r="Y793" t="str">
        <f>VLOOKUP(D:D,代理总表!A:D,4,FALSE)</f>
        <v>官网</v>
      </c>
      <c r="Z793">
        <f t="shared" si="36"/>
        <v>0</v>
      </c>
      <c r="AA793">
        <f t="shared" si="37"/>
        <v>12</v>
      </c>
      <c r="AB793">
        <f t="shared" si="38"/>
        <v>1</v>
      </c>
    </row>
    <row r="794" spans="1:28">
      <c r="A794" s="314" t="s">
        <v>2926</v>
      </c>
      <c r="B794" s="314"/>
      <c r="C794" s="314"/>
      <c r="D794" s="314" t="s">
        <v>103</v>
      </c>
      <c r="E794" s="314" t="s">
        <v>104</v>
      </c>
      <c r="F794" s="314" t="s">
        <v>118</v>
      </c>
      <c r="G794" s="314" t="s">
        <v>108</v>
      </c>
      <c r="H794" s="314" t="s">
        <v>119</v>
      </c>
      <c r="I794" s="314" t="s">
        <v>108</v>
      </c>
      <c r="J794" s="314" t="s">
        <v>109</v>
      </c>
      <c r="K794" s="314">
        <v>0</v>
      </c>
      <c r="L794" s="314">
        <v>0</v>
      </c>
      <c r="M794" s="315">
        <v>45145.5321296296</v>
      </c>
      <c r="N794" s="314" t="s">
        <v>2925</v>
      </c>
      <c r="O794" s="314" t="s">
        <v>2927</v>
      </c>
      <c r="P794" s="314" t="s">
        <v>339</v>
      </c>
      <c r="Q794" s="314" t="s">
        <v>123</v>
      </c>
      <c r="R794" s="314"/>
      <c r="S794" s="314"/>
      <c r="T794" s="314" t="s">
        <v>2027</v>
      </c>
      <c r="U794" s="314"/>
      <c r="V794" s="314" t="s">
        <v>114</v>
      </c>
      <c r="W794" s="314"/>
      <c r="X794" s="314" t="str">
        <f>VLOOKUP(D794,代理总表!A:D,3,0)</f>
        <v>官网</v>
      </c>
      <c r="Y794" t="str">
        <f>VLOOKUP(D:D,代理总表!A:D,4,FALSE)</f>
        <v>官网</v>
      </c>
      <c r="Z794">
        <f t="shared" si="36"/>
        <v>0</v>
      </c>
      <c r="AA794">
        <f t="shared" si="37"/>
        <v>12</v>
      </c>
      <c r="AB794">
        <f t="shared" si="38"/>
        <v>1</v>
      </c>
    </row>
    <row r="795" spans="1:28">
      <c r="A795" s="314" t="s">
        <v>2928</v>
      </c>
      <c r="B795" s="314"/>
      <c r="C795" s="314"/>
      <c r="D795" s="314" t="s">
        <v>103</v>
      </c>
      <c r="E795" s="314" t="s">
        <v>104</v>
      </c>
      <c r="F795" s="314" t="s">
        <v>118</v>
      </c>
      <c r="G795" s="314" t="s">
        <v>108</v>
      </c>
      <c r="H795" s="314" t="s">
        <v>119</v>
      </c>
      <c r="I795" s="314" t="s">
        <v>108</v>
      </c>
      <c r="J795" s="314" t="s">
        <v>109</v>
      </c>
      <c r="K795" s="314">
        <v>0</v>
      </c>
      <c r="L795" s="314">
        <v>0</v>
      </c>
      <c r="M795" s="315">
        <v>45145.5316203704</v>
      </c>
      <c r="N795" s="314" t="s">
        <v>2925</v>
      </c>
      <c r="O795" s="314" t="s">
        <v>2927</v>
      </c>
      <c r="P795" s="314" t="s">
        <v>339</v>
      </c>
      <c r="Q795" s="314" t="s">
        <v>123</v>
      </c>
      <c r="R795" s="314"/>
      <c r="S795" s="314"/>
      <c r="T795" s="314" t="s">
        <v>2027</v>
      </c>
      <c r="U795" s="314"/>
      <c r="V795" s="314" t="s">
        <v>114</v>
      </c>
      <c r="W795" s="314"/>
      <c r="X795" s="314" t="str">
        <f>VLOOKUP(D795,代理总表!A:D,3,0)</f>
        <v>官网</v>
      </c>
      <c r="Y795" t="str">
        <f>VLOOKUP(D:D,代理总表!A:D,4,FALSE)</f>
        <v>官网</v>
      </c>
      <c r="Z795">
        <f t="shared" si="36"/>
        <v>0</v>
      </c>
      <c r="AA795">
        <f t="shared" si="37"/>
        <v>12</v>
      </c>
      <c r="AB795">
        <f t="shared" si="38"/>
        <v>1</v>
      </c>
    </row>
    <row r="796" spans="1:28">
      <c r="A796" s="314" t="s">
        <v>2929</v>
      </c>
      <c r="B796" s="314" t="s">
        <v>2930</v>
      </c>
      <c r="C796" s="314">
        <v>384724299</v>
      </c>
      <c r="D796" s="314" t="s">
        <v>167</v>
      </c>
      <c r="E796" s="314" t="s">
        <v>117</v>
      </c>
      <c r="F796" s="314" t="s">
        <v>118</v>
      </c>
      <c r="G796" s="314" t="s">
        <v>108</v>
      </c>
      <c r="H796" s="314" t="s">
        <v>119</v>
      </c>
      <c r="I796" s="314" t="s">
        <v>108</v>
      </c>
      <c r="J796" s="314" t="s">
        <v>120</v>
      </c>
      <c r="K796" s="314">
        <v>0</v>
      </c>
      <c r="L796" s="314">
        <v>0</v>
      </c>
      <c r="M796" s="315">
        <v>45145.5315625</v>
      </c>
      <c r="N796" s="314" t="s">
        <v>2931</v>
      </c>
      <c r="O796" s="314" t="s">
        <v>169</v>
      </c>
      <c r="P796" s="314" t="s">
        <v>112</v>
      </c>
      <c r="Q796" s="314" t="s">
        <v>123</v>
      </c>
      <c r="R796" s="315">
        <v>45145.7275231481</v>
      </c>
      <c r="S796" s="314" t="s">
        <v>2932</v>
      </c>
      <c r="T796" s="314" t="s">
        <v>177</v>
      </c>
      <c r="U796" s="314" t="s">
        <v>177</v>
      </c>
      <c r="V796" s="314" t="s">
        <v>114</v>
      </c>
      <c r="W796" s="314"/>
      <c r="X796" s="314" t="e">
        <f>VLOOKUP(D796,代理总表!A:D,3,0)</f>
        <v>#N/A</v>
      </c>
      <c r="Y796" t="e">
        <f>VLOOKUP(D:D,代理总表!A:D,4,FALSE)</f>
        <v>#N/A</v>
      </c>
      <c r="Z796">
        <f t="shared" si="36"/>
        <v>0</v>
      </c>
      <c r="AA796">
        <f t="shared" si="37"/>
        <v>12</v>
      </c>
      <c r="AB796">
        <f t="shared" si="38"/>
        <v>1</v>
      </c>
    </row>
    <row r="797" spans="1:28">
      <c r="A797" s="314" t="s">
        <v>2933</v>
      </c>
      <c r="B797" s="314"/>
      <c r="C797" s="314"/>
      <c r="D797" s="314" t="s">
        <v>103</v>
      </c>
      <c r="E797" s="314" t="s">
        <v>104</v>
      </c>
      <c r="F797" s="314" t="s">
        <v>118</v>
      </c>
      <c r="G797" s="314" t="s">
        <v>108</v>
      </c>
      <c r="H797" s="314" t="s">
        <v>119</v>
      </c>
      <c r="I797" s="314" t="s">
        <v>108</v>
      </c>
      <c r="J797" s="314" t="s">
        <v>109</v>
      </c>
      <c r="K797" s="314">
        <v>0</v>
      </c>
      <c r="L797" s="314">
        <v>0</v>
      </c>
      <c r="M797" s="315">
        <v>45145.5313657407</v>
      </c>
      <c r="N797" s="314" t="s">
        <v>2925</v>
      </c>
      <c r="O797" s="314" t="s">
        <v>851</v>
      </c>
      <c r="P797" s="314" t="s">
        <v>339</v>
      </c>
      <c r="Q797" s="314" t="s">
        <v>123</v>
      </c>
      <c r="R797" s="314"/>
      <c r="S797" s="314"/>
      <c r="T797" s="314" t="s">
        <v>2027</v>
      </c>
      <c r="U797" s="314"/>
      <c r="V797" s="314" t="s">
        <v>114</v>
      </c>
      <c r="W797" s="314"/>
      <c r="X797" s="314" t="str">
        <f>VLOOKUP(D797,代理总表!A:D,3,0)</f>
        <v>官网</v>
      </c>
      <c r="Y797" t="str">
        <f>VLOOKUP(D:D,代理总表!A:D,4,FALSE)</f>
        <v>官网</v>
      </c>
      <c r="Z797">
        <f t="shared" si="36"/>
        <v>0</v>
      </c>
      <c r="AA797">
        <f t="shared" si="37"/>
        <v>12</v>
      </c>
      <c r="AB797">
        <f t="shared" si="38"/>
        <v>1</v>
      </c>
    </row>
    <row r="798" spans="1:28">
      <c r="A798" s="314" t="s">
        <v>2934</v>
      </c>
      <c r="B798" s="314"/>
      <c r="C798" s="314"/>
      <c r="D798" s="314" t="s">
        <v>2935</v>
      </c>
      <c r="E798" s="314" t="s">
        <v>117</v>
      </c>
      <c r="F798" s="314" t="s">
        <v>118</v>
      </c>
      <c r="G798" s="314" t="s">
        <v>108</v>
      </c>
      <c r="H798" s="314" t="s">
        <v>119</v>
      </c>
      <c r="I798" s="314" t="s">
        <v>108</v>
      </c>
      <c r="J798" s="314" t="s">
        <v>120</v>
      </c>
      <c r="K798" s="314">
        <v>0</v>
      </c>
      <c r="L798" s="314">
        <v>0</v>
      </c>
      <c r="M798" s="315">
        <v>45145.5304861111</v>
      </c>
      <c r="N798" s="314" t="s">
        <v>2936</v>
      </c>
      <c r="O798" s="314" t="s">
        <v>2937</v>
      </c>
      <c r="P798" s="314" t="s">
        <v>112</v>
      </c>
      <c r="Q798" s="314" t="s">
        <v>123</v>
      </c>
      <c r="R798" s="315">
        <v>45146.0932986111</v>
      </c>
      <c r="S798" s="314" t="s">
        <v>2938</v>
      </c>
      <c r="T798" s="314" t="s">
        <v>124</v>
      </c>
      <c r="U798" s="314" t="s">
        <v>124</v>
      </c>
      <c r="V798" s="314" t="s">
        <v>114</v>
      </c>
      <c r="W798" s="314"/>
      <c r="X798" s="314" t="str">
        <f>VLOOKUP(D798,代理总表!A:D,3,0)</f>
        <v>SOCO越南直播</v>
      </c>
      <c r="Y798" t="str">
        <f>VLOOKUP(D:D,代理总表!A:D,4,FALSE)</f>
        <v>SOCO越南直播ffvn66</v>
      </c>
      <c r="Z798">
        <f t="shared" si="36"/>
        <v>0</v>
      </c>
      <c r="AA798">
        <f t="shared" si="37"/>
        <v>12</v>
      </c>
      <c r="AB798">
        <f t="shared" si="38"/>
        <v>1</v>
      </c>
    </row>
    <row r="799" spans="1:28">
      <c r="A799" s="314" t="s">
        <v>2939</v>
      </c>
      <c r="B799" s="314" t="s">
        <v>2940</v>
      </c>
      <c r="C799" s="314">
        <v>934180449</v>
      </c>
      <c r="D799" s="314" t="s">
        <v>116</v>
      </c>
      <c r="E799" s="314" t="s">
        <v>117</v>
      </c>
      <c r="F799" s="314" t="s">
        <v>118</v>
      </c>
      <c r="G799" s="314" t="s">
        <v>108</v>
      </c>
      <c r="H799" s="314" t="s">
        <v>119</v>
      </c>
      <c r="I799" s="314" t="s">
        <v>108</v>
      </c>
      <c r="J799" s="314" t="s">
        <v>120</v>
      </c>
      <c r="K799" s="314">
        <v>0</v>
      </c>
      <c r="L799" s="314">
        <v>0</v>
      </c>
      <c r="M799" s="315">
        <v>45145.5299768519</v>
      </c>
      <c r="N799" s="314" t="s">
        <v>2941</v>
      </c>
      <c r="O799" s="314" t="s">
        <v>122</v>
      </c>
      <c r="P799" s="314" t="s">
        <v>112</v>
      </c>
      <c r="Q799" s="314" t="s">
        <v>123</v>
      </c>
      <c r="R799" s="315">
        <v>45145.7453472222</v>
      </c>
      <c r="S799" s="314" t="s">
        <v>2941</v>
      </c>
      <c r="T799" s="314" t="s">
        <v>131</v>
      </c>
      <c r="U799" s="314" t="s">
        <v>131</v>
      </c>
      <c r="V799" s="314" t="s">
        <v>114</v>
      </c>
      <c r="W799" s="314"/>
      <c r="X799" s="314" t="str">
        <f>VLOOKUP(D799,代理总表!A:D,3,0)</f>
        <v>外部代理总线</v>
      </c>
      <c r="Y799" t="str">
        <f>VLOOKUP(D:D,代理总表!A:D,4,FALSE)</f>
        <v>外部代理总线zh0808</v>
      </c>
      <c r="Z799">
        <f t="shared" si="36"/>
        <v>0</v>
      </c>
      <c r="AA799">
        <f t="shared" si="37"/>
        <v>12</v>
      </c>
      <c r="AB799">
        <f t="shared" si="38"/>
        <v>1</v>
      </c>
    </row>
    <row r="800" spans="1:28">
      <c r="A800" s="314" t="s">
        <v>2942</v>
      </c>
      <c r="B800" s="314" t="s">
        <v>2943</v>
      </c>
      <c r="C800" s="314">
        <v>13295366844</v>
      </c>
      <c r="D800" s="314" t="s">
        <v>2944</v>
      </c>
      <c r="E800" s="314" t="s">
        <v>104</v>
      </c>
      <c r="F800" s="314" t="s">
        <v>144</v>
      </c>
      <c r="G800" s="314" t="s">
        <v>106</v>
      </c>
      <c r="H800" s="314" t="s">
        <v>107</v>
      </c>
      <c r="I800" s="314" t="s">
        <v>108</v>
      </c>
      <c r="J800" s="314" t="s">
        <v>109</v>
      </c>
      <c r="K800" s="314">
        <v>0</v>
      </c>
      <c r="L800" s="314">
        <v>100</v>
      </c>
      <c r="M800" s="315">
        <v>45145.5286805556</v>
      </c>
      <c r="N800" s="314" t="s">
        <v>2945</v>
      </c>
      <c r="O800" s="314" t="s">
        <v>2946</v>
      </c>
      <c r="P800" s="314" t="s">
        <v>339</v>
      </c>
      <c r="Q800" s="315">
        <v>45145.5319791667</v>
      </c>
      <c r="R800" s="315">
        <v>45145.551724537</v>
      </c>
      <c r="S800" s="314" t="s">
        <v>2945</v>
      </c>
      <c r="T800" s="314" t="s">
        <v>2947</v>
      </c>
      <c r="U800" s="314" t="s">
        <v>2947</v>
      </c>
      <c r="V800" s="314" t="s">
        <v>114</v>
      </c>
      <c r="W800" s="314"/>
      <c r="X800" s="314" t="str">
        <f>VLOOKUP(D800,代理总表!A:D,3,0)</f>
        <v>外部代理总线</v>
      </c>
      <c r="Y800" t="str">
        <f>VLOOKUP(D:D,代理总表!A:D,4,FALSE)</f>
        <v>外部代理总线btydl0056</v>
      </c>
      <c r="Z800">
        <f t="shared" si="36"/>
        <v>1</v>
      </c>
      <c r="AA800">
        <f t="shared" si="37"/>
        <v>12</v>
      </c>
      <c r="AB800">
        <f t="shared" si="38"/>
        <v>1</v>
      </c>
    </row>
    <row r="801" spans="1:28">
      <c r="A801" s="314" t="s">
        <v>2948</v>
      </c>
      <c r="B801" s="314" t="s">
        <v>2949</v>
      </c>
      <c r="C801" s="314">
        <v>17352176147</v>
      </c>
      <c r="D801" s="314" t="s">
        <v>103</v>
      </c>
      <c r="E801" s="314" t="s">
        <v>104</v>
      </c>
      <c r="F801" s="314" t="s">
        <v>118</v>
      </c>
      <c r="G801" s="314" t="s">
        <v>108</v>
      </c>
      <c r="H801" s="314" t="s">
        <v>119</v>
      </c>
      <c r="I801" s="314" t="s">
        <v>108</v>
      </c>
      <c r="J801" s="314" t="s">
        <v>109</v>
      </c>
      <c r="K801" s="314">
        <v>0</v>
      </c>
      <c r="L801" s="314">
        <v>0</v>
      </c>
      <c r="M801" s="315">
        <v>45145.5281712963</v>
      </c>
      <c r="N801" s="314" t="s">
        <v>2950</v>
      </c>
      <c r="O801" s="314" t="s">
        <v>350</v>
      </c>
      <c r="P801" s="314" t="s">
        <v>112</v>
      </c>
      <c r="Q801" s="314" t="s">
        <v>123</v>
      </c>
      <c r="R801" s="315">
        <v>45145.592962963</v>
      </c>
      <c r="S801" s="314" t="s">
        <v>2950</v>
      </c>
      <c r="T801" s="314" t="s">
        <v>1180</v>
      </c>
      <c r="U801" s="314" t="s">
        <v>1180</v>
      </c>
      <c r="V801" s="314" t="s">
        <v>114</v>
      </c>
      <c r="W801" s="314"/>
      <c r="X801" s="314" t="str">
        <f>VLOOKUP(D801,代理总表!A:D,3,0)</f>
        <v>官网</v>
      </c>
      <c r="Y801" t="str">
        <f>VLOOKUP(D:D,代理总表!A:D,4,FALSE)</f>
        <v>官网</v>
      </c>
      <c r="Z801">
        <f t="shared" si="36"/>
        <v>0</v>
      </c>
      <c r="AA801">
        <f t="shared" si="37"/>
        <v>12</v>
      </c>
      <c r="AB801">
        <f t="shared" si="38"/>
        <v>1</v>
      </c>
    </row>
    <row r="802" spans="1:28">
      <c r="A802" s="314" t="s">
        <v>2951</v>
      </c>
      <c r="B802" s="314" t="s">
        <v>2952</v>
      </c>
      <c r="C802" s="314">
        <v>15681115920</v>
      </c>
      <c r="D802" s="314" t="s">
        <v>249</v>
      </c>
      <c r="E802" s="314" t="s">
        <v>104</v>
      </c>
      <c r="F802" s="314" t="s">
        <v>144</v>
      </c>
      <c r="G802" s="314" t="s">
        <v>106</v>
      </c>
      <c r="H802" s="314" t="s">
        <v>107</v>
      </c>
      <c r="I802" s="314" t="s">
        <v>108</v>
      </c>
      <c r="J802" s="314" t="s">
        <v>109</v>
      </c>
      <c r="K802" s="314">
        <v>300</v>
      </c>
      <c r="L802" s="314">
        <v>0</v>
      </c>
      <c r="M802" s="315">
        <v>45145.5278356482</v>
      </c>
      <c r="N802" s="314" t="s">
        <v>2953</v>
      </c>
      <c r="O802" s="314" t="s">
        <v>251</v>
      </c>
      <c r="P802" s="314" t="s">
        <v>112</v>
      </c>
      <c r="Q802" s="315">
        <v>45145.5336458333</v>
      </c>
      <c r="R802" s="315">
        <v>45145.6334143519</v>
      </c>
      <c r="S802" s="314" t="s">
        <v>2954</v>
      </c>
      <c r="T802" s="314" t="s">
        <v>457</v>
      </c>
      <c r="U802" s="314" t="s">
        <v>457</v>
      </c>
      <c r="V802" s="314" t="s">
        <v>114</v>
      </c>
      <c r="W802" s="314"/>
      <c r="X802" s="314" t="str">
        <f>VLOOKUP(D802,代理总表!A:D,3,0)</f>
        <v>飞哥雨燕直播</v>
      </c>
      <c r="Y802" t="str">
        <f>VLOOKUP(D:D,代理总表!A:D,4,FALSE)</f>
        <v>飞哥雨燕直播ffmk88</v>
      </c>
      <c r="Z802">
        <f t="shared" si="36"/>
        <v>1</v>
      </c>
      <c r="AA802">
        <f t="shared" si="37"/>
        <v>12</v>
      </c>
      <c r="AB802">
        <f t="shared" si="38"/>
        <v>1</v>
      </c>
    </row>
    <row r="803" spans="1:28">
      <c r="A803" s="314" t="s">
        <v>2955</v>
      </c>
      <c r="B803" s="314"/>
      <c r="C803" s="314">
        <v>15820974414</v>
      </c>
      <c r="D803" s="314" t="s">
        <v>103</v>
      </c>
      <c r="E803" s="314" t="s">
        <v>104</v>
      </c>
      <c r="F803" s="314" t="s">
        <v>144</v>
      </c>
      <c r="G803" s="314" t="s">
        <v>106</v>
      </c>
      <c r="H803" s="314" t="s">
        <v>107</v>
      </c>
      <c r="I803" s="314" t="s">
        <v>108</v>
      </c>
      <c r="J803" s="314" t="s">
        <v>109</v>
      </c>
      <c r="K803" s="314">
        <v>101</v>
      </c>
      <c r="L803" s="314">
        <v>100</v>
      </c>
      <c r="M803" s="315">
        <v>45145.5275462963</v>
      </c>
      <c r="N803" s="314" t="s">
        <v>2956</v>
      </c>
      <c r="O803" s="314" t="s">
        <v>2957</v>
      </c>
      <c r="P803" s="314" t="s">
        <v>339</v>
      </c>
      <c r="Q803" s="315">
        <v>45145.5350115741</v>
      </c>
      <c r="R803" s="315">
        <v>45146.0553125</v>
      </c>
      <c r="S803" s="314" t="s">
        <v>2958</v>
      </c>
      <c r="T803" s="314" t="s">
        <v>2959</v>
      </c>
      <c r="U803" s="314" t="s">
        <v>477</v>
      </c>
      <c r="V803" s="314" t="s">
        <v>114</v>
      </c>
      <c r="W803" s="314"/>
      <c r="X803" s="314" t="str">
        <f>VLOOKUP(D803,代理总表!A:D,3,0)</f>
        <v>官网</v>
      </c>
      <c r="Y803" t="str">
        <f>VLOOKUP(D:D,代理总表!A:D,4,FALSE)</f>
        <v>官网</v>
      </c>
      <c r="Z803">
        <f t="shared" si="36"/>
        <v>1</v>
      </c>
      <c r="AA803">
        <f t="shared" si="37"/>
        <v>12</v>
      </c>
      <c r="AB803">
        <f t="shared" si="38"/>
        <v>1</v>
      </c>
    </row>
    <row r="804" spans="1:28">
      <c r="A804" s="314" t="s">
        <v>2960</v>
      </c>
      <c r="B804" s="314"/>
      <c r="C804" s="314">
        <v>786777828</v>
      </c>
      <c r="D804" s="314" t="s">
        <v>137</v>
      </c>
      <c r="E804" s="314" t="s">
        <v>117</v>
      </c>
      <c r="F804" s="314" t="s">
        <v>118</v>
      </c>
      <c r="G804" s="314" t="s">
        <v>108</v>
      </c>
      <c r="H804" s="314" t="s">
        <v>119</v>
      </c>
      <c r="I804" s="314" t="s">
        <v>108</v>
      </c>
      <c r="J804" s="314" t="s">
        <v>120</v>
      </c>
      <c r="K804" s="314">
        <v>0</v>
      </c>
      <c r="L804" s="314">
        <v>0</v>
      </c>
      <c r="M804" s="315">
        <v>45145.5269444444</v>
      </c>
      <c r="N804" s="314" t="s">
        <v>2961</v>
      </c>
      <c r="O804" s="314" t="s">
        <v>139</v>
      </c>
      <c r="P804" s="314" t="s">
        <v>161</v>
      </c>
      <c r="Q804" s="314" t="s">
        <v>123</v>
      </c>
      <c r="R804" s="315">
        <v>45145.5340740741</v>
      </c>
      <c r="S804" s="314" t="s">
        <v>2962</v>
      </c>
      <c r="T804" s="314" t="s">
        <v>177</v>
      </c>
      <c r="U804" s="314" t="s">
        <v>131</v>
      </c>
      <c r="V804" s="314" t="s">
        <v>114</v>
      </c>
      <c r="W804" s="314"/>
      <c r="X804" s="314" t="str">
        <f>VLOOKUP(D804,代理总表!A:D,3,0)</f>
        <v>雨燕直播-越</v>
      </c>
      <c r="Y804" t="str">
        <f>VLOOKUP(D:D,代理总表!A:D,4,FALSE)</f>
        <v>雨燕直播-越ffvn66</v>
      </c>
      <c r="Z804">
        <f t="shared" si="36"/>
        <v>0</v>
      </c>
      <c r="AA804">
        <f t="shared" si="37"/>
        <v>12</v>
      </c>
      <c r="AB804">
        <f t="shared" si="38"/>
        <v>1</v>
      </c>
    </row>
    <row r="805" spans="1:28">
      <c r="A805" s="314" t="s">
        <v>2963</v>
      </c>
      <c r="B805" s="314"/>
      <c r="C805" s="314">
        <v>396928825</v>
      </c>
      <c r="D805" s="314" t="s">
        <v>2000</v>
      </c>
      <c r="E805" s="314" t="s">
        <v>117</v>
      </c>
      <c r="F805" s="314" t="s">
        <v>118</v>
      </c>
      <c r="G805" s="314" t="s">
        <v>108</v>
      </c>
      <c r="H805" s="314" t="s">
        <v>119</v>
      </c>
      <c r="I805" s="314" t="s">
        <v>108</v>
      </c>
      <c r="J805" s="314" t="s">
        <v>120</v>
      </c>
      <c r="K805" s="314">
        <v>0</v>
      </c>
      <c r="L805" s="314">
        <v>0</v>
      </c>
      <c r="M805" s="315">
        <v>45145.52625</v>
      </c>
      <c r="N805" s="314" t="s">
        <v>2964</v>
      </c>
      <c r="O805" s="314" t="s">
        <v>2002</v>
      </c>
      <c r="P805" s="314" t="s">
        <v>112</v>
      </c>
      <c r="Q805" s="314" t="s">
        <v>123</v>
      </c>
      <c r="R805" s="315">
        <v>45145.5262384259</v>
      </c>
      <c r="S805" s="314" t="s">
        <v>2964</v>
      </c>
      <c r="T805" s="314" t="s">
        <v>128</v>
      </c>
      <c r="U805" s="314" t="s">
        <v>128</v>
      </c>
      <c r="V805" s="314" t="s">
        <v>114</v>
      </c>
      <c r="W805" s="314"/>
      <c r="X805" s="314" t="str">
        <f>VLOOKUP(D805,代理总表!A:D,3,0)</f>
        <v>SOCO越南直播</v>
      </c>
      <c r="Y805" t="str">
        <f>VLOOKUP(D:D,代理总表!A:D,4,FALSE)</f>
        <v>SOCO越南直播ffvn66</v>
      </c>
      <c r="Z805">
        <f t="shared" si="36"/>
        <v>0</v>
      </c>
      <c r="AA805">
        <f t="shared" si="37"/>
        <v>12</v>
      </c>
      <c r="AB805">
        <f t="shared" si="38"/>
        <v>1</v>
      </c>
    </row>
    <row r="806" spans="1:28">
      <c r="A806" s="314" t="s">
        <v>2965</v>
      </c>
      <c r="B806" s="314" t="s">
        <v>2966</v>
      </c>
      <c r="C806" s="314">
        <v>908348070</v>
      </c>
      <c r="D806" s="314" t="s">
        <v>526</v>
      </c>
      <c r="E806" s="314" t="s">
        <v>117</v>
      </c>
      <c r="F806" s="314" t="s">
        <v>105</v>
      </c>
      <c r="G806" s="314" t="s">
        <v>106</v>
      </c>
      <c r="H806" s="314" t="s">
        <v>107</v>
      </c>
      <c r="I806" s="314" t="s">
        <v>108</v>
      </c>
      <c r="J806" s="314" t="s">
        <v>120</v>
      </c>
      <c r="K806" s="314">
        <v>1000000</v>
      </c>
      <c r="L806" s="314">
        <v>400000</v>
      </c>
      <c r="M806" s="315">
        <v>45145.5253935185</v>
      </c>
      <c r="N806" s="314" t="s">
        <v>2967</v>
      </c>
      <c r="O806" s="314" t="s">
        <v>528</v>
      </c>
      <c r="P806" s="314" t="s">
        <v>112</v>
      </c>
      <c r="Q806" s="315">
        <v>45145.529849537</v>
      </c>
      <c r="R806" s="315">
        <v>45145.8239930556</v>
      </c>
      <c r="S806" s="314" t="s">
        <v>2968</v>
      </c>
      <c r="T806" s="314" t="s">
        <v>177</v>
      </c>
      <c r="U806" s="314" t="s">
        <v>131</v>
      </c>
      <c r="V806" s="314" t="s">
        <v>114</v>
      </c>
      <c r="W806" s="314"/>
      <c r="X806" s="314" t="str">
        <f>VLOOKUP(D806,代理总表!A:D,3,0)</f>
        <v>SOCO越南直播</v>
      </c>
      <c r="Y806" t="str">
        <f>VLOOKUP(D:D,代理总表!A:D,4,FALSE)</f>
        <v>SOCO越南直播ffvn66</v>
      </c>
      <c r="Z806">
        <f t="shared" si="36"/>
        <v>1</v>
      </c>
      <c r="AA806">
        <f t="shared" si="37"/>
        <v>12</v>
      </c>
      <c r="AB806">
        <f t="shared" si="38"/>
        <v>1</v>
      </c>
    </row>
    <row r="807" spans="1:28">
      <c r="A807" s="314" t="s">
        <v>2969</v>
      </c>
      <c r="B807" s="314"/>
      <c r="C807" s="314">
        <v>13347808713</v>
      </c>
      <c r="D807" s="314" t="s">
        <v>205</v>
      </c>
      <c r="E807" s="314" t="s">
        <v>104</v>
      </c>
      <c r="F807" s="314" t="s">
        <v>149</v>
      </c>
      <c r="G807" s="314" t="s">
        <v>108</v>
      </c>
      <c r="H807" s="314" t="s">
        <v>119</v>
      </c>
      <c r="I807" s="314" t="s">
        <v>108</v>
      </c>
      <c r="J807" s="314" t="s">
        <v>109</v>
      </c>
      <c r="K807" s="314">
        <v>0</v>
      </c>
      <c r="L807" s="314">
        <v>0</v>
      </c>
      <c r="M807" s="315">
        <v>45145.5245138889</v>
      </c>
      <c r="N807" s="314" t="s">
        <v>2970</v>
      </c>
      <c r="O807" s="314" t="s">
        <v>910</v>
      </c>
      <c r="P807" s="314" t="s">
        <v>112</v>
      </c>
      <c r="Q807" s="314" t="s">
        <v>123</v>
      </c>
      <c r="R807" s="315">
        <v>45145.5245023148</v>
      </c>
      <c r="S807" s="314" t="s">
        <v>2970</v>
      </c>
      <c r="T807" s="314" t="s">
        <v>299</v>
      </c>
      <c r="U807" s="314" t="s">
        <v>299</v>
      </c>
      <c r="V807" s="314" t="s">
        <v>114</v>
      </c>
      <c r="W807" s="314"/>
      <c r="X807" s="314" t="str">
        <f>VLOOKUP(D807,代理总表!A:D,3,0)</f>
        <v>ben</v>
      </c>
      <c r="Y807" t="str">
        <f>VLOOKUP(D:D,代理总表!A:D,4,FALSE)</f>
        <v>SEO</v>
      </c>
      <c r="Z807">
        <f t="shared" si="36"/>
        <v>0</v>
      </c>
      <c r="AA807">
        <f t="shared" si="37"/>
        <v>12</v>
      </c>
      <c r="AB807">
        <f t="shared" si="38"/>
        <v>1</v>
      </c>
    </row>
    <row r="808" spans="1:28">
      <c r="A808" s="314" t="s">
        <v>2971</v>
      </c>
      <c r="B808" s="314"/>
      <c r="C808" s="314"/>
      <c r="D808" s="314" t="s">
        <v>285</v>
      </c>
      <c r="E808" s="314" t="s">
        <v>104</v>
      </c>
      <c r="F808" s="314" t="s">
        <v>118</v>
      </c>
      <c r="G808" s="314" t="s">
        <v>108</v>
      </c>
      <c r="H808" s="314" t="s">
        <v>119</v>
      </c>
      <c r="I808" s="314" t="s">
        <v>108</v>
      </c>
      <c r="J808" s="314" t="s">
        <v>109</v>
      </c>
      <c r="K808" s="314">
        <v>0</v>
      </c>
      <c r="L808" s="314">
        <v>0</v>
      </c>
      <c r="M808" s="315">
        <v>45145.5239814815</v>
      </c>
      <c r="N808" s="314" t="s">
        <v>2972</v>
      </c>
      <c r="O808" s="314" t="s">
        <v>287</v>
      </c>
      <c r="P808" s="314" t="s">
        <v>208</v>
      </c>
      <c r="Q808" s="314" t="s">
        <v>123</v>
      </c>
      <c r="R808" s="315">
        <v>45145.5239814815</v>
      </c>
      <c r="S808" s="314" t="s">
        <v>2972</v>
      </c>
      <c r="T808" s="314" t="s">
        <v>2973</v>
      </c>
      <c r="U808" s="314" t="s">
        <v>2973</v>
      </c>
      <c r="V808" s="314" t="s">
        <v>114</v>
      </c>
      <c r="W808" s="314"/>
      <c r="X808" s="314" t="str">
        <f>VLOOKUP(D808,代理总表!A:D,3,0)</f>
        <v>雨燕直播</v>
      </c>
      <c r="Y808" t="str">
        <f>VLOOKUP(D:D,代理总表!A:D,4,FALSE)</f>
        <v>雨燕直播zzzb888</v>
      </c>
      <c r="Z808">
        <f t="shared" si="36"/>
        <v>0</v>
      </c>
      <c r="AA808">
        <f t="shared" si="37"/>
        <v>12</v>
      </c>
      <c r="AB808">
        <f t="shared" si="38"/>
        <v>1</v>
      </c>
    </row>
    <row r="809" spans="1:28">
      <c r="A809" s="314" t="s">
        <v>2974</v>
      </c>
      <c r="B809" s="314" t="s">
        <v>2975</v>
      </c>
      <c r="C809" s="314">
        <v>917244777</v>
      </c>
      <c r="D809" s="314" t="s">
        <v>197</v>
      </c>
      <c r="E809" s="314" t="s">
        <v>117</v>
      </c>
      <c r="F809" s="314" t="s">
        <v>118</v>
      </c>
      <c r="G809" s="314" t="s">
        <v>108</v>
      </c>
      <c r="H809" s="314" t="s">
        <v>119</v>
      </c>
      <c r="I809" s="314" t="s">
        <v>108</v>
      </c>
      <c r="J809" s="314" t="s">
        <v>120</v>
      </c>
      <c r="K809" s="314">
        <v>0</v>
      </c>
      <c r="L809" s="314">
        <v>0</v>
      </c>
      <c r="M809" s="315">
        <v>45145.5232638889</v>
      </c>
      <c r="N809" s="314" t="s">
        <v>2976</v>
      </c>
      <c r="O809" s="314" t="s">
        <v>875</v>
      </c>
      <c r="P809" s="314" t="s">
        <v>112</v>
      </c>
      <c r="Q809" s="314" t="s">
        <v>123</v>
      </c>
      <c r="R809" s="315">
        <v>45145.645775463</v>
      </c>
      <c r="S809" s="314" t="s">
        <v>2977</v>
      </c>
      <c r="T809" s="314" t="s">
        <v>2031</v>
      </c>
      <c r="U809" s="314" t="s">
        <v>177</v>
      </c>
      <c r="V809" s="314" t="s">
        <v>114</v>
      </c>
      <c r="W809" s="314" t="s">
        <v>2978</v>
      </c>
      <c r="X809" s="314" t="str">
        <f>VLOOKUP(D809,代理总表!A:D,3,0)</f>
        <v>雨燕直播-越</v>
      </c>
      <c r="Y809" t="str">
        <f>VLOOKUP(D:D,代理总表!A:D,4,FALSE)</f>
        <v>雨燕直播-越ffvn66</v>
      </c>
      <c r="Z809">
        <f t="shared" si="36"/>
        <v>0</v>
      </c>
      <c r="AA809">
        <f t="shared" si="37"/>
        <v>12</v>
      </c>
      <c r="AB809">
        <f t="shared" si="38"/>
        <v>1</v>
      </c>
    </row>
    <row r="810" spans="1:28">
      <c r="A810" s="314" t="s">
        <v>2979</v>
      </c>
      <c r="B810" s="314" t="s">
        <v>2980</v>
      </c>
      <c r="C810" s="314">
        <v>708070779</v>
      </c>
      <c r="D810" s="314" t="s">
        <v>526</v>
      </c>
      <c r="E810" s="314" t="s">
        <v>117</v>
      </c>
      <c r="F810" s="314" t="s">
        <v>144</v>
      </c>
      <c r="G810" s="314" t="s">
        <v>106</v>
      </c>
      <c r="H810" s="314" t="s">
        <v>107</v>
      </c>
      <c r="I810" s="314" t="s">
        <v>108</v>
      </c>
      <c r="J810" s="314" t="s">
        <v>120</v>
      </c>
      <c r="K810" s="314">
        <v>2000000</v>
      </c>
      <c r="L810" s="314">
        <v>0</v>
      </c>
      <c r="M810" s="315">
        <v>45145.5221643519</v>
      </c>
      <c r="N810" s="314" t="s">
        <v>2981</v>
      </c>
      <c r="O810" s="314" t="s">
        <v>528</v>
      </c>
      <c r="P810" s="314" t="s">
        <v>112</v>
      </c>
      <c r="Q810" s="315">
        <v>45145.5252314815</v>
      </c>
      <c r="R810" s="315">
        <v>45145.562662037</v>
      </c>
      <c r="S810" s="314" t="s">
        <v>2982</v>
      </c>
      <c r="T810" s="314" t="s">
        <v>1995</v>
      </c>
      <c r="U810" s="314" t="s">
        <v>177</v>
      </c>
      <c r="V810" s="314" t="s">
        <v>114</v>
      </c>
      <c r="W810" s="314"/>
      <c r="X810" s="314" t="str">
        <f>VLOOKUP(D810,代理总表!A:D,3,0)</f>
        <v>SOCO越南直播</v>
      </c>
      <c r="Y810" t="str">
        <f>VLOOKUP(D:D,代理总表!A:D,4,FALSE)</f>
        <v>SOCO越南直播ffvn66</v>
      </c>
      <c r="Z810">
        <f t="shared" si="36"/>
        <v>1</v>
      </c>
      <c r="AA810">
        <f t="shared" si="37"/>
        <v>12</v>
      </c>
      <c r="AB810">
        <f t="shared" si="38"/>
        <v>1</v>
      </c>
    </row>
    <row r="811" spans="1:28">
      <c r="A811" s="314" t="s">
        <v>2983</v>
      </c>
      <c r="B811" s="314"/>
      <c r="C811" s="314"/>
      <c r="D811" s="314" t="s">
        <v>240</v>
      </c>
      <c r="E811" s="314" t="s">
        <v>104</v>
      </c>
      <c r="F811" s="314" t="s">
        <v>149</v>
      </c>
      <c r="G811" s="314" t="s">
        <v>108</v>
      </c>
      <c r="H811" s="314" t="s">
        <v>119</v>
      </c>
      <c r="I811" s="314" t="s">
        <v>108</v>
      </c>
      <c r="J811" s="314" t="s">
        <v>109</v>
      </c>
      <c r="K811" s="314">
        <v>0</v>
      </c>
      <c r="L811" s="314">
        <v>0</v>
      </c>
      <c r="M811" s="315">
        <v>45145.5210416667</v>
      </c>
      <c r="N811" s="314" t="s">
        <v>2984</v>
      </c>
      <c r="O811" s="314" t="s">
        <v>242</v>
      </c>
      <c r="P811" s="314" t="s">
        <v>112</v>
      </c>
      <c r="Q811" s="314" t="s">
        <v>123</v>
      </c>
      <c r="R811" s="315">
        <v>45145.5210300926</v>
      </c>
      <c r="S811" s="314" t="s">
        <v>2984</v>
      </c>
      <c r="T811" s="314" t="s">
        <v>2985</v>
      </c>
      <c r="U811" s="314" t="s">
        <v>2985</v>
      </c>
      <c r="V811" s="314" t="s">
        <v>114</v>
      </c>
      <c r="W811" s="314"/>
      <c r="X811" s="314" t="str">
        <f>VLOOKUP(D811,代理总表!A:D,3,0)</f>
        <v>SEO邀请</v>
      </c>
      <c r="Y811" t="str">
        <f>VLOOKUP(D:D,代理总表!A:D,4,FALSE)</f>
        <v>SEO</v>
      </c>
      <c r="Z811">
        <f t="shared" si="36"/>
        <v>0</v>
      </c>
      <c r="AA811">
        <f t="shared" si="37"/>
        <v>12</v>
      </c>
      <c r="AB811">
        <f t="shared" si="38"/>
        <v>1</v>
      </c>
    </row>
    <row r="812" spans="1:28">
      <c r="A812" s="314" t="s">
        <v>2986</v>
      </c>
      <c r="B812" s="314"/>
      <c r="C812" s="314">
        <v>18055208833</v>
      </c>
      <c r="D812" s="314" t="s">
        <v>148</v>
      </c>
      <c r="E812" s="314" t="s">
        <v>104</v>
      </c>
      <c r="F812" s="314" t="s">
        <v>149</v>
      </c>
      <c r="G812" s="314" t="s">
        <v>108</v>
      </c>
      <c r="H812" s="314" t="s">
        <v>119</v>
      </c>
      <c r="I812" s="314" t="s">
        <v>108</v>
      </c>
      <c r="J812" s="314" t="s">
        <v>109</v>
      </c>
      <c r="K812" s="314">
        <v>0</v>
      </c>
      <c r="L812" s="314">
        <v>0</v>
      </c>
      <c r="M812" s="315">
        <v>45145.5207523148</v>
      </c>
      <c r="N812" s="314" t="s">
        <v>2987</v>
      </c>
      <c r="O812" s="314" t="s">
        <v>160</v>
      </c>
      <c r="P812" s="314" t="s">
        <v>208</v>
      </c>
      <c r="Q812" s="314" t="s">
        <v>123</v>
      </c>
      <c r="R812" s="315">
        <v>45145.5207407407</v>
      </c>
      <c r="S812" s="314" t="s">
        <v>2987</v>
      </c>
      <c r="T812" s="314" t="s">
        <v>378</v>
      </c>
      <c r="U812" s="314" t="s">
        <v>378</v>
      </c>
      <c r="V812" s="314" t="s">
        <v>114</v>
      </c>
      <c r="W812" s="314"/>
      <c r="X812" s="314" t="str">
        <f>VLOOKUP(D812,代理总表!A:D,3,0)</f>
        <v>martin</v>
      </c>
      <c r="Y812" t="str">
        <f>VLOOKUP(D:D,代理总表!A:D,4,FALSE)</f>
        <v>SEO</v>
      </c>
      <c r="Z812">
        <f t="shared" si="36"/>
        <v>0</v>
      </c>
      <c r="AA812">
        <f t="shared" si="37"/>
        <v>12</v>
      </c>
      <c r="AB812">
        <f t="shared" si="38"/>
        <v>1</v>
      </c>
    </row>
    <row r="813" spans="1:28">
      <c r="A813" s="314" t="s">
        <v>2988</v>
      </c>
      <c r="B813" s="314"/>
      <c r="C813" s="314"/>
      <c r="D813" s="314" t="s">
        <v>505</v>
      </c>
      <c r="E813" s="314" t="s">
        <v>117</v>
      </c>
      <c r="F813" s="314" t="s">
        <v>118</v>
      </c>
      <c r="G813" s="314" t="s">
        <v>108</v>
      </c>
      <c r="H813" s="314" t="s">
        <v>119</v>
      </c>
      <c r="I813" s="314" t="s">
        <v>108</v>
      </c>
      <c r="J813" s="314" t="s">
        <v>120</v>
      </c>
      <c r="K813" s="314">
        <v>0</v>
      </c>
      <c r="L813" s="314">
        <v>0</v>
      </c>
      <c r="M813" s="315">
        <v>45145.5206365741</v>
      </c>
      <c r="N813" s="314" t="s">
        <v>2989</v>
      </c>
      <c r="O813" s="314" t="s">
        <v>2760</v>
      </c>
      <c r="P813" s="314" t="s">
        <v>112</v>
      </c>
      <c r="Q813" s="314" t="s">
        <v>123</v>
      </c>
      <c r="R813" s="315">
        <v>45145.5206365741</v>
      </c>
      <c r="S813" s="314" t="s">
        <v>2989</v>
      </c>
      <c r="T813" s="314" t="s">
        <v>2990</v>
      </c>
      <c r="U813" s="314" t="s">
        <v>2990</v>
      </c>
      <c r="V813" s="314" t="s">
        <v>114</v>
      </c>
      <c r="W813" s="314"/>
      <c r="X813" s="314" t="str">
        <f>VLOOKUP(D813,代理总表!A:D,3,0)</f>
        <v>SOCO越南直播</v>
      </c>
      <c r="Y813" t="str">
        <f>VLOOKUP(D:D,代理总表!A:D,4,FALSE)</f>
        <v>SOCO越南直播ffvn66</v>
      </c>
      <c r="Z813">
        <f t="shared" si="36"/>
        <v>0</v>
      </c>
      <c r="AA813">
        <f t="shared" si="37"/>
        <v>12</v>
      </c>
      <c r="AB813">
        <f t="shared" si="38"/>
        <v>1</v>
      </c>
    </row>
    <row r="814" spans="1:28">
      <c r="A814" s="314" t="s">
        <v>2991</v>
      </c>
      <c r="B814" s="314"/>
      <c r="C814" s="314"/>
      <c r="D814" s="314" t="s">
        <v>116</v>
      </c>
      <c r="E814" s="314" t="s">
        <v>117</v>
      </c>
      <c r="F814" s="314" t="s">
        <v>118</v>
      </c>
      <c r="G814" s="314" t="s">
        <v>108</v>
      </c>
      <c r="H814" s="314" t="s">
        <v>119</v>
      </c>
      <c r="I814" s="314" t="s">
        <v>108</v>
      </c>
      <c r="J814" s="314" t="s">
        <v>120</v>
      </c>
      <c r="K814" s="314">
        <v>0</v>
      </c>
      <c r="L814" s="314">
        <v>0</v>
      </c>
      <c r="M814" s="315">
        <v>45145.5196527778</v>
      </c>
      <c r="N814" s="314" t="s">
        <v>2992</v>
      </c>
      <c r="O814" s="314" t="s">
        <v>122</v>
      </c>
      <c r="P814" s="314" t="s">
        <v>112</v>
      </c>
      <c r="Q814" s="314" t="s">
        <v>123</v>
      </c>
      <c r="R814" s="315">
        <v>45145.5196527778</v>
      </c>
      <c r="S814" s="314" t="s">
        <v>2992</v>
      </c>
      <c r="T814" s="314" t="s">
        <v>1072</v>
      </c>
      <c r="U814" s="314" t="s">
        <v>1072</v>
      </c>
      <c r="V814" s="314" t="s">
        <v>114</v>
      </c>
      <c r="W814" s="314"/>
      <c r="X814" s="314" t="str">
        <f>VLOOKUP(D814,代理总表!A:D,3,0)</f>
        <v>外部代理总线</v>
      </c>
      <c r="Y814" t="str">
        <f>VLOOKUP(D:D,代理总表!A:D,4,FALSE)</f>
        <v>外部代理总线zh0808</v>
      </c>
      <c r="Z814">
        <f t="shared" si="36"/>
        <v>0</v>
      </c>
      <c r="AA814">
        <f t="shared" si="37"/>
        <v>12</v>
      </c>
      <c r="AB814">
        <f t="shared" si="38"/>
        <v>1</v>
      </c>
    </row>
    <row r="815" spans="1:28">
      <c r="A815" s="314" t="s">
        <v>2993</v>
      </c>
      <c r="B815" s="314"/>
      <c r="C815" s="314"/>
      <c r="D815" s="314" t="s">
        <v>197</v>
      </c>
      <c r="E815" s="314" t="s">
        <v>117</v>
      </c>
      <c r="F815" s="314" t="s">
        <v>118</v>
      </c>
      <c r="G815" s="314" t="s">
        <v>108</v>
      </c>
      <c r="H815" s="314" t="s">
        <v>119</v>
      </c>
      <c r="I815" s="314" t="s">
        <v>108</v>
      </c>
      <c r="J815" s="314" t="s">
        <v>120</v>
      </c>
      <c r="K815" s="314">
        <v>0</v>
      </c>
      <c r="L815" s="314">
        <v>0</v>
      </c>
      <c r="M815" s="315">
        <v>45145.5150925926</v>
      </c>
      <c r="N815" s="314" t="s">
        <v>2994</v>
      </c>
      <c r="O815" s="314" t="s">
        <v>617</v>
      </c>
      <c r="P815" s="314" t="s">
        <v>339</v>
      </c>
      <c r="Q815" s="314" t="s">
        <v>123</v>
      </c>
      <c r="R815" s="315">
        <v>45145.525787037</v>
      </c>
      <c r="S815" s="314" t="s">
        <v>2994</v>
      </c>
      <c r="T815" s="314" t="s">
        <v>131</v>
      </c>
      <c r="U815" s="314" t="s">
        <v>131</v>
      </c>
      <c r="V815" s="314" t="s">
        <v>114</v>
      </c>
      <c r="W815" s="314"/>
      <c r="X815" s="314" t="str">
        <f>VLOOKUP(D815,代理总表!A:D,3,0)</f>
        <v>雨燕直播-越</v>
      </c>
      <c r="Y815" t="str">
        <f>VLOOKUP(D:D,代理总表!A:D,4,FALSE)</f>
        <v>雨燕直播-越ffvn66</v>
      </c>
      <c r="Z815">
        <f t="shared" si="36"/>
        <v>0</v>
      </c>
      <c r="AA815">
        <f t="shared" si="37"/>
        <v>12</v>
      </c>
      <c r="AB815">
        <f t="shared" si="38"/>
        <v>1</v>
      </c>
    </row>
    <row r="816" spans="1:28">
      <c r="A816" s="314" t="s">
        <v>2995</v>
      </c>
      <c r="B816" s="314"/>
      <c r="C816" s="314"/>
      <c r="D816" s="314" t="s">
        <v>240</v>
      </c>
      <c r="E816" s="314" t="s">
        <v>104</v>
      </c>
      <c r="F816" s="314" t="s">
        <v>149</v>
      </c>
      <c r="G816" s="314" t="s">
        <v>108</v>
      </c>
      <c r="H816" s="314" t="s">
        <v>119</v>
      </c>
      <c r="I816" s="314" t="s">
        <v>108</v>
      </c>
      <c r="J816" s="314" t="s">
        <v>109</v>
      </c>
      <c r="K816" s="314">
        <v>0</v>
      </c>
      <c r="L816" s="314">
        <v>0</v>
      </c>
      <c r="M816" s="315">
        <v>45145.5140277778</v>
      </c>
      <c r="N816" s="314" t="s">
        <v>2996</v>
      </c>
      <c r="O816" s="314" t="s">
        <v>2997</v>
      </c>
      <c r="P816" s="314" t="s">
        <v>112</v>
      </c>
      <c r="Q816" s="314" t="s">
        <v>123</v>
      </c>
      <c r="R816" s="315">
        <v>45145.5140162037</v>
      </c>
      <c r="S816" s="314" t="s">
        <v>2996</v>
      </c>
      <c r="T816" s="314" t="s">
        <v>1172</v>
      </c>
      <c r="U816" s="314" t="s">
        <v>1172</v>
      </c>
      <c r="V816" s="314" t="s">
        <v>114</v>
      </c>
      <c r="W816" s="314"/>
      <c r="X816" s="314" t="str">
        <f>VLOOKUP(D816,代理总表!A:D,3,0)</f>
        <v>SEO邀请</v>
      </c>
      <c r="Y816" t="str">
        <f>VLOOKUP(D:D,代理总表!A:D,4,FALSE)</f>
        <v>SEO</v>
      </c>
      <c r="Z816">
        <f t="shared" si="36"/>
        <v>0</v>
      </c>
      <c r="AA816">
        <f t="shared" si="37"/>
        <v>12</v>
      </c>
      <c r="AB816">
        <f t="shared" si="38"/>
        <v>1</v>
      </c>
    </row>
    <row r="817" spans="1:28">
      <c r="A817" s="314" t="s">
        <v>2998</v>
      </c>
      <c r="B817" s="314"/>
      <c r="C817" s="314">
        <v>798753608</v>
      </c>
      <c r="D817" s="314" t="s">
        <v>522</v>
      </c>
      <c r="E817" s="314" t="s">
        <v>117</v>
      </c>
      <c r="F817" s="314" t="s">
        <v>118</v>
      </c>
      <c r="G817" s="314" t="s">
        <v>108</v>
      </c>
      <c r="H817" s="314" t="s">
        <v>119</v>
      </c>
      <c r="I817" s="314" t="s">
        <v>108</v>
      </c>
      <c r="J817" s="314" t="s">
        <v>120</v>
      </c>
      <c r="K817" s="314">
        <v>0</v>
      </c>
      <c r="L817" s="314">
        <v>0</v>
      </c>
      <c r="M817" s="315">
        <v>45145.5115509259</v>
      </c>
      <c r="N817" s="314" t="s">
        <v>2999</v>
      </c>
      <c r="O817" s="314" t="s">
        <v>524</v>
      </c>
      <c r="P817" s="314" t="s">
        <v>112</v>
      </c>
      <c r="Q817" s="314" t="s">
        <v>123</v>
      </c>
      <c r="R817" s="315">
        <v>45145.5115393518</v>
      </c>
      <c r="S817" s="314" t="s">
        <v>2999</v>
      </c>
      <c r="T817" s="314" t="s">
        <v>177</v>
      </c>
      <c r="U817" s="314" t="s">
        <v>177</v>
      </c>
      <c r="V817" s="314" t="s">
        <v>114</v>
      </c>
      <c r="W817" s="314"/>
      <c r="X817" s="314" t="str">
        <f>VLOOKUP(D817,代理总表!A:D,3,0)</f>
        <v>SOCO越南直播</v>
      </c>
      <c r="Y817" t="str">
        <f>VLOOKUP(D:D,代理总表!A:D,4,FALSE)</f>
        <v>SOCO越南直播ffvn66</v>
      </c>
      <c r="Z817">
        <f t="shared" si="36"/>
        <v>0</v>
      </c>
      <c r="AA817">
        <f t="shared" si="37"/>
        <v>12</v>
      </c>
      <c r="AB817">
        <f t="shared" si="38"/>
        <v>1</v>
      </c>
    </row>
    <row r="818" spans="1:28">
      <c r="A818" s="314" t="s">
        <v>3000</v>
      </c>
      <c r="B818" s="314" t="s">
        <v>3001</v>
      </c>
      <c r="C818" s="314">
        <v>367259041</v>
      </c>
      <c r="D818" s="314" t="s">
        <v>445</v>
      </c>
      <c r="E818" s="314" t="s">
        <v>117</v>
      </c>
      <c r="F818" s="314" t="s">
        <v>118</v>
      </c>
      <c r="G818" s="314" t="s">
        <v>108</v>
      </c>
      <c r="H818" s="314" t="s">
        <v>119</v>
      </c>
      <c r="I818" s="314" t="s">
        <v>108</v>
      </c>
      <c r="J818" s="314" t="s">
        <v>120</v>
      </c>
      <c r="K818" s="314">
        <v>0</v>
      </c>
      <c r="L818" s="314">
        <v>0</v>
      </c>
      <c r="M818" s="315">
        <v>45145.5109375</v>
      </c>
      <c r="N818" s="314" t="s">
        <v>3002</v>
      </c>
      <c r="O818" s="314" t="s">
        <v>446</v>
      </c>
      <c r="P818" s="314" t="s">
        <v>112</v>
      </c>
      <c r="Q818" s="314" t="s">
        <v>123</v>
      </c>
      <c r="R818" s="315">
        <v>45145.5109259259</v>
      </c>
      <c r="S818" s="314" t="s">
        <v>3002</v>
      </c>
      <c r="T818" s="314" t="s">
        <v>177</v>
      </c>
      <c r="U818" s="314" t="s">
        <v>177</v>
      </c>
      <c r="V818" s="314" t="s">
        <v>114</v>
      </c>
      <c r="W818" s="314"/>
      <c r="X818" s="314" t="str">
        <f>VLOOKUP(D818,代理总表!A:D,3,0)</f>
        <v>SOCO越南直播</v>
      </c>
      <c r="Y818" t="str">
        <f>VLOOKUP(D:D,代理总表!A:D,4,FALSE)</f>
        <v>SOCO越南直播ffvn66</v>
      </c>
      <c r="Z818">
        <f t="shared" si="36"/>
        <v>0</v>
      </c>
      <c r="AA818">
        <f t="shared" si="37"/>
        <v>12</v>
      </c>
      <c r="AB818">
        <f t="shared" si="38"/>
        <v>1</v>
      </c>
    </row>
    <row r="819" spans="1:28">
      <c r="A819" s="314" t="s">
        <v>3003</v>
      </c>
      <c r="B819" s="314"/>
      <c r="C819" s="314">
        <v>986079594</v>
      </c>
      <c r="D819" s="314" t="s">
        <v>224</v>
      </c>
      <c r="E819" s="314" t="s">
        <v>117</v>
      </c>
      <c r="F819" s="314" t="s">
        <v>118</v>
      </c>
      <c r="G819" s="314" t="s">
        <v>108</v>
      </c>
      <c r="H819" s="314" t="s">
        <v>119</v>
      </c>
      <c r="I819" s="314" t="s">
        <v>108</v>
      </c>
      <c r="J819" s="314" t="s">
        <v>120</v>
      </c>
      <c r="K819" s="314">
        <v>0</v>
      </c>
      <c r="L819" s="314">
        <v>0</v>
      </c>
      <c r="M819" s="315">
        <v>45145.5105439815</v>
      </c>
      <c r="N819" s="314" t="s">
        <v>3004</v>
      </c>
      <c r="O819" s="314" t="s">
        <v>226</v>
      </c>
      <c r="P819" s="314" t="s">
        <v>112</v>
      </c>
      <c r="Q819" s="314" t="s">
        <v>123</v>
      </c>
      <c r="R819" s="315">
        <v>45145.8111689815</v>
      </c>
      <c r="S819" s="314" t="s">
        <v>3005</v>
      </c>
      <c r="T819" s="314" t="s">
        <v>124</v>
      </c>
      <c r="U819" s="314" t="s">
        <v>177</v>
      </c>
      <c r="V819" s="314" t="s">
        <v>114</v>
      </c>
      <c r="W819" s="314"/>
      <c r="X819" s="314" t="str">
        <f>VLOOKUP(D819,代理总表!A:D,3,0)</f>
        <v>雨燕直播-越</v>
      </c>
      <c r="Y819" t="str">
        <f>VLOOKUP(D:D,代理总表!A:D,4,FALSE)</f>
        <v>雨燕直播-越ffvn66</v>
      </c>
      <c r="Z819">
        <f t="shared" si="36"/>
        <v>0</v>
      </c>
      <c r="AA819">
        <f t="shared" si="37"/>
        <v>12</v>
      </c>
      <c r="AB819">
        <f t="shared" si="38"/>
        <v>1</v>
      </c>
    </row>
    <row r="820" spans="1:28">
      <c r="A820" s="314" t="s">
        <v>3006</v>
      </c>
      <c r="B820" s="314"/>
      <c r="C820" s="314"/>
      <c r="D820" s="314" t="s">
        <v>526</v>
      </c>
      <c r="E820" s="314" t="s">
        <v>117</v>
      </c>
      <c r="F820" s="314" t="s">
        <v>118</v>
      </c>
      <c r="G820" s="314" t="s">
        <v>108</v>
      </c>
      <c r="H820" s="314" t="s">
        <v>119</v>
      </c>
      <c r="I820" s="314" t="s">
        <v>108</v>
      </c>
      <c r="J820" s="314" t="s">
        <v>120</v>
      </c>
      <c r="K820" s="314">
        <v>0</v>
      </c>
      <c r="L820" s="314">
        <v>0</v>
      </c>
      <c r="M820" s="315">
        <v>45145.5102893518</v>
      </c>
      <c r="N820" s="314" t="s">
        <v>3007</v>
      </c>
      <c r="O820" s="314" t="s">
        <v>528</v>
      </c>
      <c r="P820" s="314" t="s">
        <v>112</v>
      </c>
      <c r="Q820" s="314" t="s">
        <v>123</v>
      </c>
      <c r="R820" s="315">
        <v>45145.5111689815</v>
      </c>
      <c r="S820" s="314" t="s">
        <v>3007</v>
      </c>
      <c r="T820" s="314" t="s">
        <v>131</v>
      </c>
      <c r="U820" s="314" t="s">
        <v>131</v>
      </c>
      <c r="V820" s="314" t="s">
        <v>114</v>
      </c>
      <c r="W820" s="314"/>
      <c r="X820" s="314" t="str">
        <f>VLOOKUP(D820,代理总表!A:D,3,0)</f>
        <v>SOCO越南直播</v>
      </c>
      <c r="Y820" t="str">
        <f>VLOOKUP(D:D,代理总表!A:D,4,FALSE)</f>
        <v>SOCO越南直播ffvn66</v>
      </c>
      <c r="Z820">
        <f t="shared" si="36"/>
        <v>0</v>
      </c>
      <c r="AA820">
        <f t="shared" si="37"/>
        <v>12</v>
      </c>
      <c r="AB820">
        <f t="shared" si="38"/>
        <v>1</v>
      </c>
    </row>
    <row r="821" spans="1:28">
      <c r="A821" s="314" t="s">
        <v>3008</v>
      </c>
      <c r="B821" s="314"/>
      <c r="C821" s="314">
        <v>769263688</v>
      </c>
      <c r="D821" s="314" t="s">
        <v>651</v>
      </c>
      <c r="E821" s="314" t="s">
        <v>117</v>
      </c>
      <c r="F821" s="314" t="s">
        <v>118</v>
      </c>
      <c r="G821" s="314" t="s">
        <v>108</v>
      </c>
      <c r="H821" s="314" t="s">
        <v>119</v>
      </c>
      <c r="I821" s="314" t="s">
        <v>108</v>
      </c>
      <c r="J821" s="314" t="s">
        <v>120</v>
      </c>
      <c r="K821" s="314">
        <v>0</v>
      </c>
      <c r="L821" s="314">
        <v>0</v>
      </c>
      <c r="M821" s="315">
        <v>45145.5097569444</v>
      </c>
      <c r="N821" s="314" t="s">
        <v>3009</v>
      </c>
      <c r="O821" s="314" t="s">
        <v>653</v>
      </c>
      <c r="P821" s="314" t="s">
        <v>112</v>
      </c>
      <c r="Q821" s="314" t="s">
        <v>123</v>
      </c>
      <c r="R821" s="315">
        <v>45145.5253125</v>
      </c>
      <c r="S821" s="314" t="s">
        <v>3009</v>
      </c>
      <c r="T821" s="314" t="s">
        <v>124</v>
      </c>
      <c r="U821" s="314" t="s">
        <v>124</v>
      </c>
      <c r="V821" s="314" t="s">
        <v>114</v>
      </c>
      <c r="W821" s="314"/>
      <c r="X821" s="314" t="str">
        <f>VLOOKUP(D821,代理总表!A:D,3,0)</f>
        <v>雨燕直播-越</v>
      </c>
      <c r="Y821" t="str">
        <f>VLOOKUP(D:D,代理总表!A:D,4,FALSE)</f>
        <v>雨燕直播-越ffvn66</v>
      </c>
      <c r="Z821">
        <f t="shared" si="36"/>
        <v>0</v>
      </c>
      <c r="AA821">
        <f t="shared" si="37"/>
        <v>12</v>
      </c>
      <c r="AB821">
        <f t="shared" si="38"/>
        <v>1</v>
      </c>
    </row>
    <row r="822" spans="1:28">
      <c r="A822" s="314" t="s">
        <v>3010</v>
      </c>
      <c r="B822" s="314"/>
      <c r="C822" s="314"/>
      <c r="D822" s="314" t="s">
        <v>197</v>
      </c>
      <c r="E822" s="314" t="s">
        <v>117</v>
      </c>
      <c r="F822" s="314" t="s">
        <v>118</v>
      </c>
      <c r="G822" s="314" t="s">
        <v>108</v>
      </c>
      <c r="H822" s="314" t="s">
        <v>119</v>
      </c>
      <c r="I822" s="314" t="s">
        <v>108</v>
      </c>
      <c r="J822" s="314" t="s">
        <v>120</v>
      </c>
      <c r="K822" s="314">
        <v>0</v>
      </c>
      <c r="L822" s="314">
        <v>0</v>
      </c>
      <c r="M822" s="315">
        <v>45145.5093055556</v>
      </c>
      <c r="N822" s="314" t="s">
        <v>3011</v>
      </c>
      <c r="O822" s="314" t="s">
        <v>875</v>
      </c>
      <c r="P822" s="314" t="s">
        <v>112</v>
      </c>
      <c r="Q822" s="314" t="s">
        <v>123</v>
      </c>
      <c r="R822" s="315">
        <v>45145.5099884259</v>
      </c>
      <c r="S822" s="314" t="s">
        <v>3011</v>
      </c>
      <c r="T822" s="314" t="s">
        <v>177</v>
      </c>
      <c r="U822" s="314" t="s">
        <v>177</v>
      </c>
      <c r="V822" s="314" t="s">
        <v>114</v>
      </c>
      <c r="W822" s="314"/>
      <c r="X822" s="314" t="str">
        <f>VLOOKUP(D822,代理总表!A:D,3,0)</f>
        <v>雨燕直播-越</v>
      </c>
      <c r="Y822" t="str">
        <f>VLOOKUP(D:D,代理总表!A:D,4,FALSE)</f>
        <v>雨燕直播-越ffvn66</v>
      </c>
      <c r="Z822">
        <f t="shared" si="36"/>
        <v>0</v>
      </c>
      <c r="AA822">
        <f t="shared" si="37"/>
        <v>12</v>
      </c>
      <c r="AB822">
        <f t="shared" si="38"/>
        <v>1</v>
      </c>
    </row>
    <row r="823" spans="1:28">
      <c r="A823" s="314" t="s">
        <v>3012</v>
      </c>
      <c r="B823" s="314" t="s">
        <v>3013</v>
      </c>
      <c r="C823" s="314">
        <v>987984683</v>
      </c>
      <c r="D823" s="314" t="s">
        <v>172</v>
      </c>
      <c r="E823" s="314" t="s">
        <v>117</v>
      </c>
      <c r="F823" s="314" t="s">
        <v>144</v>
      </c>
      <c r="G823" s="314" t="s">
        <v>106</v>
      </c>
      <c r="H823" s="314" t="s">
        <v>107</v>
      </c>
      <c r="I823" s="314" t="s">
        <v>108</v>
      </c>
      <c r="J823" s="314" t="s">
        <v>120</v>
      </c>
      <c r="K823" s="314">
        <v>2120000</v>
      </c>
      <c r="L823" s="314">
        <v>2000000</v>
      </c>
      <c r="M823" s="315">
        <v>45145.5084143519</v>
      </c>
      <c r="N823" s="314" t="s">
        <v>3014</v>
      </c>
      <c r="O823" s="314" t="s">
        <v>881</v>
      </c>
      <c r="P823" s="314" t="s">
        <v>112</v>
      </c>
      <c r="Q823" s="315">
        <v>45145.5283796296</v>
      </c>
      <c r="R823" s="315">
        <v>45145.8672453704</v>
      </c>
      <c r="S823" s="314" t="s">
        <v>3014</v>
      </c>
      <c r="T823" s="314" t="s">
        <v>1033</v>
      </c>
      <c r="U823" s="314" t="s">
        <v>1033</v>
      </c>
      <c r="V823" s="314" t="s">
        <v>114</v>
      </c>
      <c r="W823" s="314"/>
      <c r="X823" s="314" t="str">
        <f>VLOOKUP(D823,代理总表!A:D,3,0)</f>
        <v>雨燕直播-越</v>
      </c>
      <c r="Y823" t="str">
        <f>VLOOKUP(D:D,代理总表!A:D,4,FALSE)</f>
        <v>雨燕直播-越ffvn66</v>
      </c>
      <c r="Z823">
        <f t="shared" si="36"/>
        <v>1</v>
      </c>
      <c r="AA823">
        <f t="shared" si="37"/>
        <v>12</v>
      </c>
      <c r="AB823">
        <f t="shared" si="38"/>
        <v>1</v>
      </c>
    </row>
    <row r="824" spans="1:28">
      <c r="A824" s="314" t="s">
        <v>3015</v>
      </c>
      <c r="B824" s="314" t="s">
        <v>3016</v>
      </c>
      <c r="C824" s="314">
        <v>396141900</v>
      </c>
      <c r="D824" s="314" t="s">
        <v>143</v>
      </c>
      <c r="E824" s="314" t="s">
        <v>117</v>
      </c>
      <c r="F824" s="314" t="s">
        <v>105</v>
      </c>
      <c r="G824" s="314" t="s">
        <v>106</v>
      </c>
      <c r="H824" s="314" t="s">
        <v>107</v>
      </c>
      <c r="I824" s="314" t="s">
        <v>108</v>
      </c>
      <c r="J824" s="314" t="s">
        <v>120</v>
      </c>
      <c r="K824" s="314">
        <v>696000</v>
      </c>
      <c r="L824" s="314">
        <v>744000</v>
      </c>
      <c r="M824" s="315">
        <v>45145.5074768519</v>
      </c>
      <c r="N824" s="314" t="s">
        <v>3017</v>
      </c>
      <c r="O824" s="314" t="s">
        <v>407</v>
      </c>
      <c r="P824" s="314" t="s">
        <v>112</v>
      </c>
      <c r="Q824" s="315">
        <v>45145.6363657407</v>
      </c>
      <c r="R824" s="315">
        <v>45146.2466782407</v>
      </c>
      <c r="S824" s="314" t="s">
        <v>3018</v>
      </c>
      <c r="T824" s="314" t="s">
        <v>216</v>
      </c>
      <c r="U824" s="314" t="s">
        <v>177</v>
      </c>
      <c r="V824" s="314" t="s">
        <v>114</v>
      </c>
      <c r="W824" s="314"/>
      <c r="X824" s="314" t="str">
        <f>VLOOKUP(D824,代理总表!A:D,3,0)</f>
        <v>雨燕直播-越</v>
      </c>
      <c r="Y824" t="str">
        <f>VLOOKUP(D:D,代理总表!A:D,4,FALSE)</f>
        <v>雨燕直播-越ffvn66</v>
      </c>
      <c r="Z824">
        <f t="shared" si="36"/>
        <v>1</v>
      </c>
      <c r="AA824">
        <f t="shared" si="37"/>
        <v>12</v>
      </c>
      <c r="AB824">
        <f t="shared" si="38"/>
        <v>1</v>
      </c>
    </row>
    <row r="825" spans="1:28">
      <c r="A825" s="314" t="s">
        <v>3019</v>
      </c>
      <c r="B825" s="314" t="s">
        <v>3020</v>
      </c>
      <c r="C825" s="314">
        <v>912143456</v>
      </c>
      <c r="D825" s="314" t="s">
        <v>137</v>
      </c>
      <c r="E825" s="314" t="s">
        <v>117</v>
      </c>
      <c r="F825" s="314" t="s">
        <v>118</v>
      </c>
      <c r="G825" s="314" t="s">
        <v>108</v>
      </c>
      <c r="H825" s="314" t="s">
        <v>119</v>
      </c>
      <c r="I825" s="314" t="s">
        <v>108</v>
      </c>
      <c r="J825" s="314" t="s">
        <v>120</v>
      </c>
      <c r="K825" s="314">
        <v>0</v>
      </c>
      <c r="L825" s="314">
        <v>0</v>
      </c>
      <c r="M825" s="315">
        <v>45145.5056712963</v>
      </c>
      <c r="N825" s="314" t="s">
        <v>3021</v>
      </c>
      <c r="O825" s="314" t="s">
        <v>139</v>
      </c>
      <c r="P825" s="314" t="s">
        <v>112</v>
      </c>
      <c r="Q825" s="314" t="s">
        <v>123</v>
      </c>
      <c r="R825" s="315">
        <v>45145.5839930556</v>
      </c>
      <c r="S825" s="314" t="s">
        <v>3021</v>
      </c>
      <c r="T825" s="314" t="s">
        <v>124</v>
      </c>
      <c r="U825" s="314" t="s">
        <v>124</v>
      </c>
      <c r="V825" s="314" t="s">
        <v>114</v>
      </c>
      <c r="W825" s="314"/>
      <c r="X825" s="314" t="str">
        <f>VLOOKUP(D825,代理总表!A:D,3,0)</f>
        <v>雨燕直播-越</v>
      </c>
      <c r="Y825" t="str">
        <f>VLOOKUP(D:D,代理总表!A:D,4,FALSE)</f>
        <v>雨燕直播-越ffvn66</v>
      </c>
      <c r="Z825">
        <f t="shared" si="36"/>
        <v>0</v>
      </c>
      <c r="AA825">
        <f t="shared" si="37"/>
        <v>12</v>
      </c>
      <c r="AB825">
        <f t="shared" si="38"/>
        <v>1</v>
      </c>
    </row>
    <row r="826" spans="1:28">
      <c r="A826" s="314" t="s">
        <v>3022</v>
      </c>
      <c r="B826" s="314" t="s">
        <v>3023</v>
      </c>
      <c r="C826" s="314">
        <v>968390261</v>
      </c>
      <c r="D826" s="314" t="s">
        <v>197</v>
      </c>
      <c r="E826" s="314" t="s">
        <v>117</v>
      </c>
      <c r="F826" s="314" t="s">
        <v>105</v>
      </c>
      <c r="G826" s="314" t="s">
        <v>106</v>
      </c>
      <c r="H826" s="314" t="s">
        <v>107</v>
      </c>
      <c r="I826" s="314" t="s">
        <v>108</v>
      </c>
      <c r="J826" s="314" t="s">
        <v>120</v>
      </c>
      <c r="K826" s="314">
        <v>400000</v>
      </c>
      <c r="L826" s="314">
        <v>800000</v>
      </c>
      <c r="M826" s="315">
        <v>45145.5056712963</v>
      </c>
      <c r="N826" s="314" t="s">
        <v>3024</v>
      </c>
      <c r="O826" s="314" t="s">
        <v>3025</v>
      </c>
      <c r="P826" s="314" t="s">
        <v>112</v>
      </c>
      <c r="Q826" s="315">
        <v>45145.9427199074</v>
      </c>
      <c r="R826" s="315">
        <v>45146.1729398148</v>
      </c>
      <c r="S826" s="314" t="s">
        <v>3024</v>
      </c>
      <c r="T826" s="314" t="s">
        <v>216</v>
      </c>
      <c r="U826" s="314" t="s">
        <v>216</v>
      </c>
      <c r="V826" s="314" t="s">
        <v>114</v>
      </c>
      <c r="W826" s="314" t="s">
        <v>2978</v>
      </c>
      <c r="X826" s="314" t="str">
        <f>VLOOKUP(D826,代理总表!A:D,3,0)</f>
        <v>雨燕直播-越</v>
      </c>
      <c r="Y826" t="str">
        <f>VLOOKUP(D:D,代理总表!A:D,4,FALSE)</f>
        <v>雨燕直播-越ffvn66</v>
      </c>
      <c r="Z826">
        <f t="shared" si="36"/>
        <v>1</v>
      </c>
      <c r="AA826">
        <f t="shared" si="37"/>
        <v>12</v>
      </c>
      <c r="AB826">
        <f t="shared" si="38"/>
        <v>1</v>
      </c>
    </row>
    <row r="827" spans="1:28">
      <c r="A827" s="314" t="s">
        <v>3026</v>
      </c>
      <c r="B827" s="314" t="s">
        <v>3027</v>
      </c>
      <c r="C827" s="314">
        <v>934428056</v>
      </c>
      <c r="D827" s="314" t="s">
        <v>103</v>
      </c>
      <c r="E827" s="314" t="s">
        <v>117</v>
      </c>
      <c r="F827" s="314" t="s">
        <v>144</v>
      </c>
      <c r="G827" s="314" t="s">
        <v>106</v>
      </c>
      <c r="H827" s="314" t="s">
        <v>107</v>
      </c>
      <c r="I827" s="314" t="s">
        <v>108</v>
      </c>
      <c r="J827" s="314" t="s">
        <v>120</v>
      </c>
      <c r="K827" s="314">
        <v>150000</v>
      </c>
      <c r="L827" s="314">
        <v>0</v>
      </c>
      <c r="M827" s="315">
        <v>45145.5056134259</v>
      </c>
      <c r="N827" s="314" t="s">
        <v>3028</v>
      </c>
      <c r="O827" s="314" t="s">
        <v>582</v>
      </c>
      <c r="P827" s="314" t="s">
        <v>208</v>
      </c>
      <c r="Q827" s="315">
        <v>45145.623125</v>
      </c>
      <c r="R827" s="315">
        <v>45145.9953009259</v>
      </c>
      <c r="S827" s="314" t="s">
        <v>3029</v>
      </c>
      <c r="T827" s="314" t="s">
        <v>124</v>
      </c>
      <c r="U827" s="314" t="s">
        <v>124</v>
      </c>
      <c r="V827" s="314" t="s">
        <v>114</v>
      </c>
      <c r="W827" s="314"/>
      <c r="X827" s="314" t="str">
        <f>VLOOKUP(D827,代理总表!A:D,3,0)</f>
        <v>官网</v>
      </c>
      <c r="Y827" t="str">
        <f>VLOOKUP(D:D,代理总表!A:D,4,FALSE)</f>
        <v>官网</v>
      </c>
      <c r="Z827">
        <f t="shared" si="36"/>
        <v>1</v>
      </c>
      <c r="AA827">
        <f t="shared" si="37"/>
        <v>12</v>
      </c>
      <c r="AB827">
        <f t="shared" si="38"/>
        <v>1</v>
      </c>
    </row>
    <row r="828" spans="1:28">
      <c r="A828" s="314" t="s">
        <v>3030</v>
      </c>
      <c r="B828" s="314"/>
      <c r="C828" s="314">
        <v>15110433725</v>
      </c>
      <c r="D828" s="314" t="s">
        <v>103</v>
      </c>
      <c r="E828" s="314" t="s">
        <v>104</v>
      </c>
      <c r="F828" s="314" t="s">
        <v>118</v>
      </c>
      <c r="G828" s="314" t="s">
        <v>108</v>
      </c>
      <c r="H828" s="314" t="s">
        <v>119</v>
      </c>
      <c r="I828" s="314" t="s">
        <v>108</v>
      </c>
      <c r="J828" s="314" t="s">
        <v>109</v>
      </c>
      <c r="K828" s="314">
        <v>0</v>
      </c>
      <c r="L828" s="314">
        <v>0</v>
      </c>
      <c r="M828" s="315">
        <v>45145.5054398148</v>
      </c>
      <c r="N828" s="314" t="s">
        <v>3031</v>
      </c>
      <c r="O828" s="314" t="s">
        <v>3032</v>
      </c>
      <c r="P828" s="314" t="s">
        <v>339</v>
      </c>
      <c r="Q828" s="314" t="s">
        <v>123</v>
      </c>
      <c r="R828" s="315">
        <v>45145.5078472222</v>
      </c>
      <c r="S828" s="314" t="s">
        <v>3031</v>
      </c>
      <c r="T828" s="314" t="s">
        <v>3033</v>
      </c>
      <c r="U828" s="314" t="s">
        <v>3033</v>
      </c>
      <c r="V828" s="314" t="s">
        <v>114</v>
      </c>
      <c r="W828" s="314"/>
      <c r="X828" s="314" t="str">
        <f>VLOOKUP(D828,代理总表!A:D,3,0)</f>
        <v>官网</v>
      </c>
      <c r="Y828" t="str">
        <f>VLOOKUP(D:D,代理总表!A:D,4,FALSE)</f>
        <v>官网</v>
      </c>
      <c r="Z828">
        <f t="shared" si="36"/>
        <v>0</v>
      </c>
      <c r="AA828">
        <f t="shared" si="37"/>
        <v>12</v>
      </c>
      <c r="AB828">
        <f t="shared" si="38"/>
        <v>1</v>
      </c>
    </row>
    <row r="829" spans="1:28">
      <c r="A829" s="314" t="s">
        <v>3034</v>
      </c>
      <c r="B829" s="314"/>
      <c r="C829" s="314"/>
      <c r="D829" s="314" t="s">
        <v>522</v>
      </c>
      <c r="E829" s="314" t="s">
        <v>117</v>
      </c>
      <c r="F829" s="314" t="s">
        <v>118</v>
      </c>
      <c r="G829" s="314" t="s">
        <v>108</v>
      </c>
      <c r="H829" s="314" t="s">
        <v>119</v>
      </c>
      <c r="I829" s="314" t="s">
        <v>108</v>
      </c>
      <c r="J829" s="314" t="s">
        <v>120</v>
      </c>
      <c r="K829" s="314">
        <v>0</v>
      </c>
      <c r="L829" s="314">
        <v>0</v>
      </c>
      <c r="M829" s="315">
        <v>45145.5053935185</v>
      </c>
      <c r="N829" s="314" t="s">
        <v>3035</v>
      </c>
      <c r="O829" s="314" t="s">
        <v>524</v>
      </c>
      <c r="P829" s="314" t="s">
        <v>112</v>
      </c>
      <c r="Q829" s="314" t="s">
        <v>123</v>
      </c>
      <c r="R829" s="315">
        <v>45145.6560763889</v>
      </c>
      <c r="S829" s="314" t="s">
        <v>3035</v>
      </c>
      <c r="T829" s="314" t="s">
        <v>131</v>
      </c>
      <c r="U829" s="314" t="s">
        <v>131</v>
      </c>
      <c r="V829" s="314" t="s">
        <v>114</v>
      </c>
      <c r="W829" s="314"/>
      <c r="X829" s="314" t="str">
        <f>VLOOKUP(D829,代理总表!A:D,3,0)</f>
        <v>SOCO越南直播</v>
      </c>
      <c r="Y829" t="str">
        <f>VLOOKUP(D:D,代理总表!A:D,4,FALSE)</f>
        <v>SOCO越南直播ffvn66</v>
      </c>
      <c r="Z829">
        <f t="shared" si="36"/>
        <v>0</v>
      </c>
      <c r="AA829">
        <f t="shared" si="37"/>
        <v>12</v>
      </c>
      <c r="AB829">
        <f t="shared" si="38"/>
        <v>1</v>
      </c>
    </row>
    <row r="830" spans="1:28">
      <c r="A830" s="314" t="s">
        <v>3036</v>
      </c>
      <c r="B830" s="314" t="s">
        <v>3037</v>
      </c>
      <c r="C830" s="314">
        <v>773434244</v>
      </c>
      <c r="D830" s="314" t="s">
        <v>172</v>
      </c>
      <c r="E830" s="314" t="s">
        <v>117</v>
      </c>
      <c r="F830" s="314" t="s">
        <v>118</v>
      </c>
      <c r="G830" s="314" t="s">
        <v>108</v>
      </c>
      <c r="H830" s="314" t="s">
        <v>119</v>
      </c>
      <c r="I830" s="314" t="s">
        <v>108</v>
      </c>
      <c r="J830" s="314" t="s">
        <v>120</v>
      </c>
      <c r="K830" s="314">
        <v>0</v>
      </c>
      <c r="L830" s="314">
        <v>0</v>
      </c>
      <c r="M830" s="315">
        <v>45145.5041435185</v>
      </c>
      <c r="N830" s="314" t="s">
        <v>3038</v>
      </c>
      <c r="O830" s="314" t="s">
        <v>174</v>
      </c>
      <c r="P830" s="314" t="s">
        <v>112</v>
      </c>
      <c r="Q830" s="314" t="s">
        <v>123</v>
      </c>
      <c r="R830" s="315">
        <v>45145.5041319444</v>
      </c>
      <c r="S830" s="314" t="s">
        <v>3038</v>
      </c>
      <c r="T830" s="314" t="s">
        <v>849</v>
      </c>
      <c r="U830" s="314" t="s">
        <v>849</v>
      </c>
      <c r="V830" s="314" t="s">
        <v>114</v>
      </c>
      <c r="W830" s="314"/>
      <c r="X830" s="314" t="str">
        <f>VLOOKUP(D830,代理总表!A:D,3,0)</f>
        <v>雨燕直播-越</v>
      </c>
      <c r="Y830" t="str">
        <f>VLOOKUP(D:D,代理总表!A:D,4,FALSE)</f>
        <v>雨燕直播-越ffvn66</v>
      </c>
      <c r="Z830">
        <f t="shared" si="36"/>
        <v>0</v>
      </c>
      <c r="AA830">
        <f t="shared" si="37"/>
        <v>12</v>
      </c>
      <c r="AB830">
        <f t="shared" si="38"/>
        <v>1</v>
      </c>
    </row>
    <row r="831" spans="1:28">
      <c r="A831" s="314" t="s">
        <v>3039</v>
      </c>
      <c r="B831" s="314" t="s">
        <v>3040</v>
      </c>
      <c r="C831" s="314">
        <v>933692691</v>
      </c>
      <c r="D831" s="314" t="s">
        <v>137</v>
      </c>
      <c r="E831" s="314" t="s">
        <v>117</v>
      </c>
      <c r="F831" s="314" t="s">
        <v>144</v>
      </c>
      <c r="G831" s="314" t="s">
        <v>106</v>
      </c>
      <c r="H831" s="314" t="s">
        <v>107</v>
      </c>
      <c r="I831" s="314" t="s">
        <v>108</v>
      </c>
      <c r="J831" s="314" t="s">
        <v>120</v>
      </c>
      <c r="K831" s="314">
        <v>100000</v>
      </c>
      <c r="L831" s="314">
        <v>500000</v>
      </c>
      <c r="M831" s="315">
        <v>45145.5016435185</v>
      </c>
      <c r="N831" s="314" t="s">
        <v>3041</v>
      </c>
      <c r="O831" s="314" t="s">
        <v>3042</v>
      </c>
      <c r="P831" s="314" t="s">
        <v>112</v>
      </c>
      <c r="Q831" s="315">
        <v>45145.5061805556</v>
      </c>
      <c r="R831" s="315">
        <v>45146.3075925926</v>
      </c>
      <c r="S831" s="314" t="s">
        <v>3043</v>
      </c>
      <c r="T831" s="314" t="s">
        <v>907</v>
      </c>
      <c r="U831" s="314" t="s">
        <v>177</v>
      </c>
      <c r="V831" s="314" t="s">
        <v>114</v>
      </c>
      <c r="W831" s="314"/>
      <c r="X831" s="314" t="str">
        <f>VLOOKUP(D831,代理总表!A:D,3,0)</f>
        <v>雨燕直播-越</v>
      </c>
      <c r="Y831" t="str">
        <f>VLOOKUP(D:D,代理总表!A:D,4,FALSE)</f>
        <v>雨燕直播-越ffvn66</v>
      </c>
      <c r="Z831">
        <f t="shared" si="36"/>
        <v>1</v>
      </c>
      <c r="AA831">
        <f t="shared" si="37"/>
        <v>12</v>
      </c>
      <c r="AB831">
        <f t="shared" si="38"/>
        <v>1</v>
      </c>
    </row>
    <row r="832" spans="1:28">
      <c r="A832" s="314" t="s">
        <v>3044</v>
      </c>
      <c r="B832" s="314" t="s">
        <v>3045</v>
      </c>
      <c r="C832" s="314">
        <v>13934867553</v>
      </c>
      <c r="D832" s="314" t="s">
        <v>1963</v>
      </c>
      <c r="E832" s="314" t="s">
        <v>104</v>
      </c>
      <c r="F832" s="314" t="s">
        <v>1920</v>
      </c>
      <c r="G832" s="314" t="s">
        <v>106</v>
      </c>
      <c r="H832" s="314" t="s">
        <v>856</v>
      </c>
      <c r="I832" s="314" t="s">
        <v>108</v>
      </c>
      <c r="J832" s="314" t="s">
        <v>109</v>
      </c>
      <c r="K832" s="314">
        <v>5738</v>
      </c>
      <c r="L832" s="314">
        <v>5738</v>
      </c>
      <c r="M832" s="315">
        <v>45145.5015972222</v>
      </c>
      <c r="N832" s="314" t="s">
        <v>3046</v>
      </c>
      <c r="O832" s="314" t="s">
        <v>3047</v>
      </c>
      <c r="P832" s="314" t="s">
        <v>112</v>
      </c>
      <c r="Q832" s="315">
        <v>45145.5102893518</v>
      </c>
      <c r="R832" s="315">
        <v>45145.5843865741</v>
      </c>
      <c r="S832" s="314" t="s">
        <v>3046</v>
      </c>
      <c r="T832" s="314" t="s">
        <v>3048</v>
      </c>
      <c r="U832" s="314" t="s">
        <v>3048</v>
      </c>
      <c r="V832" s="314" t="s">
        <v>114</v>
      </c>
      <c r="W832" s="314"/>
      <c r="X832" s="314" t="str">
        <f>VLOOKUP(D832,代理总表!A:D,3,0)</f>
        <v>GT-骨头</v>
      </c>
      <c r="Y832" t="str">
        <f>VLOOKUP(D:D,代理总表!A:D,4,FALSE)</f>
        <v>B直播gt6677</v>
      </c>
      <c r="Z832">
        <f t="shared" si="36"/>
        <v>1</v>
      </c>
      <c r="AA832">
        <f t="shared" si="37"/>
        <v>12</v>
      </c>
      <c r="AB832">
        <f t="shared" si="38"/>
        <v>1</v>
      </c>
    </row>
    <row r="833" spans="1:28">
      <c r="A833" s="314" t="s">
        <v>3049</v>
      </c>
      <c r="B833" s="314" t="s">
        <v>3050</v>
      </c>
      <c r="C833" s="314">
        <v>588677638</v>
      </c>
      <c r="D833" s="314" t="s">
        <v>536</v>
      </c>
      <c r="E833" s="314" t="s">
        <v>117</v>
      </c>
      <c r="F833" s="314" t="s">
        <v>144</v>
      </c>
      <c r="G833" s="314" t="s">
        <v>106</v>
      </c>
      <c r="H833" s="314" t="s">
        <v>107</v>
      </c>
      <c r="I833" s="314" t="s">
        <v>108</v>
      </c>
      <c r="J833" s="314" t="s">
        <v>120</v>
      </c>
      <c r="K833" s="314">
        <v>470000</v>
      </c>
      <c r="L833" s="314">
        <v>2170000</v>
      </c>
      <c r="M833" s="315">
        <v>45145.5012384259</v>
      </c>
      <c r="N833" s="314" t="s">
        <v>3051</v>
      </c>
      <c r="O833" s="314" t="s">
        <v>538</v>
      </c>
      <c r="P833" s="314" t="s">
        <v>112</v>
      </c>
      <c r="Q833" s="315">
        <v>45145.5050810185</v>
      </c>
      <c r="R833" s="315">
        <v>45145.506087963</v>
      </c>
      <c r="S833" s="314" t="s">
        <v>3051</v>
      </c>
      <c r="T833" s="314" t="s">
        <v>176</v>
      </c>
      <c r="U833" s="314" t="s">
        <v>176</v>
      </c>
      <c r="V833" s="314" t="s">
        <v>114</v>
      </c>
      <c r="W833" s="314"/>
      <c r="X833" s="314" t="e">
        <f>VLOOKUP(D833,代理总表!A:D,3,0)</f>
        <v>#N/A</v>
      </c>
      <c r="Y833" t="e">
        <f>VLOOKUP(D:D,代理总表!A:D,4,FALSE)</f>
        <v>#N/A</v>
      </c>
      <c r="Z833">
        <f t="shared" si="36"/>
        <v>1</v>
      </c>
      <c r="AA833">
        <f t="shared" si="37"/>
        <v>12</v>
      </c>
      <c r="AB833">
        <f t="shared" si="38"/>
        <v>1</v>
      </c>
    </row>
    <row r="834" spans="1:28">
      <c r="A834" s="314" t="s">
        <v>3052</v>
      </c>
      <c r="B834" s="314"/>
      <c r="C834" s="314"/>
      <c r="D834" s="314" t="s">
        <v>2208</v>
      </c>
      <c r="E834" s="314" t="s">
        <v>104</v>
      </c>
      <c r="F834" s="314" t="s">
        <v>118</v>
      </c>
      <c r="G834" s="314" t="s">
        <v>108</v>
      </c>
      <c r="H834" s="314" t="s">
        <v>119</v>
      </c>
      <c r="I834" s="314" t="s">
        <v>108</v>
      </c>
      <c r="J834" s="314" t="s">
        <v>109</v>
      </c>
      <c r="K834" s="314">
        <v>0</v>
      </c>
      <c r="L834" s="314">
        <v>0</v>
      </c>
      <c r="M834" s="315">
        <v>45145.500474537</v>
      </c>
      <c r="N834" s="314" t="s">
        <v>3053</v>
      </c>
      <c r="O834" s="314" t="s">
        <v>3054</v>
      </c>
      <c r="P834" s="314" t="s">
        <v>112</v>
      </c>
      <c r="Q834" s="314" t="s">
        <v>123</v>
      </c>
      <c r="R834" s="315">
        <v>45145.5036111111</v>
      </c>
      <c r="S834" s="314" t="s">
        <v>3055</v>
      </c>
      <c r="T834" s="314" t="s">
        <v>3056</v>
      </c>
      <c r="U834" s="314" t="s">
        <v>3056</v>
      </c>
      <c r="V834" s="314" t="s">
        <v>114</v>
      </c>
      <c r="W834" s="314"/>
      <c r="X834" s="314" t="str">
        <f>VLOOKUP(D834,代理总表!A:D,3,0)</f>
        <v>飞哥雨燕直播</v>
      </c>
      <c r="Y834" t="str">
        <f>VLOOKUP(D:D,代理总表!A:D,4,FALSE)</f>
        <v>飞哥雨燕直播ffmk88</v>
      </c>
      <c r="Z834">
        <f t="shared" si="36"/>
        <v>0</v>
      </c>
      <c r="AA834">
        <f t="shared" si="37"/>
        <v>12</v>
      </c>
      <c r="AB834">
        <f t="shared" si="38"/>
        <v>1</v>
      </c>
    </row>
    <row r="835" spans="1:28">
      <c r="A835" s="314" t="s">
        <v>3057</v>
      </c>
      <c r="B835" s="314"/>
      <c r="C835" s="314"/>
      <c r="D835" s="314" t="s">
        <v>137</v>
      </c>
      <c r="E835" s="314" t="s">
        <v>117</v>
      </c>
      <c r="F835" s="314" t="s">
        <v>118</v>
      </c>
      <c r="G835" s="314" t="s">
        <v>108</v>
      </c>
      <c r="H835" s="314" t="s">
        <v>119</v>
      </c>
      <c r="I835" s="314" t="s">
        <v>108</v>
      </c>
      <c r="J835" s="314" t="s">
        <v>120</v>
      </c>
      <c r="K835" s="314">
        <v>0</v>
      </c>
      <c r="L835" s="314">
        <v>0</v>
      </c>
      <c r="M835" s="315">
        <v>45145.4995949074</v>
      </c>
      <c r="N835" s="314" t="s">
        <v>3058</v>
      </c>
      <c r="O835" s="314" t="s">
        <v>139</v>
      </c>
      <c r="P835" s="314" t="s">
        <v>112</v>
      </c>
      <c r="Q835" s="314" t="s">
        <v>123</v>
      </c>
      <c r="R835" s="315">
        <v>45145.5041898148</v>
      </c>
      <c r="S835" s="314" t="s">
        <v>3058</v>
      </c>
      <c r="T835" s="314" t="s">
        <v>131</v>
      </c>
      <c r="U835" s="314" t="s">
        <v>131</v>
      </c>
      <c r="V835" s="314" t="s">
        <v>114</v>
      </c>
      <c r="W835" s="314"/>
      <c r="X835" s="314" t="str">
        <f>VLOOKUP(D835,代理总表!A:D,3,0)</f>
        <v>雨燕直播-越</v>
      </c>
      <c r="Y835" t="str">
        <f>VLOOKUP(D:D,代理总表!A:D,4,FALSE)</f>
        <v>雨燕直播-越ffvn66</v>
      </c>
      <c r="Z835">
        <f t="shared" ref="Z835:Z898" si="39">IF(RIGHT(H835,1)&gt;"0",1,0)</f>
        <v>0</v>
      </c>
      <c r="AA835">
        <f t="shared" ref="AA835:AA898" si="40">HOUR(M835)</f>
        <v>11</v>
      </c>
      <c r="AB835">
        <f t="shared" ref="AB835:AB898" si="41">IF(AE835=AF835,1,0)</f>
        <v>1</v>
      </c>
    </row>
    <row r="836" spans="1:28">
      <c r="A836" s="314" t="s">
        <v>3059</v>
      </c>
      <c r="B836" s="314" t="s">
        <v>3060</v>
      </c>
      <c r="C836" s="314">
        <v>15586630502</v>
      </c>
      <c r="D836" s="314" t="s">
        <v>235</v>
      </c>
      <c r="E836" s="314" t="s">
        <v>104</v>
      </c>
      <c r="F836" s="314" t="s">
        <v>181</v>
      </c>
      <c r="G836" s="314" t="s">
        <v>106</v>
      </c>
      <c r="H836" s="314" t="s">
        <v>107</v>
      </c>
      <c r="I836" s="314" t="s">
        <v>108</v>
      </c>
      <c r="J836" s="314" t="s">
        <v>109</v>
      </c>
      <c r="K836" s="314">
        <v>100</v>
      </c>
      <c r="L836" s="314">
        <v>100</v>
      </c>
      <c r="M836" s="315">
        <v>45145.4980555556</v>
      </c>
      <c r="N836" s="314" t="s">
        <v>3061</v>
      </c>
      <c r="O836" s="314" t="s">
        <v>786</v>
      </c>
      <c r="P836" s="314" t="s">
        <v>161</v>
      </c>
      <c r="Q836" s="315">
        <v>45145.5247800926</v>
      </c>
      <c r="R836" s="315">
        <v>45145.640474537</v>
      </c>
      <c r="S836" s="314" t="s">
        <v>3061</v>
      </c>
      <c r="T836" s="314" t="s">
        <v>3062</v>
      </c>
      <c r="U836" s="314" t="s">
        <v>3062</v>
      </c>
      <c r="V836" s="314" t="s">
        <v>114</v>
      </c>
      <c r="W836" s="314"/>
      <c r="X836" s="314" t="str">
        <f>VLOOKUP(D836,代理总表!A:D,3,0)</f>
        <v>aber</v>
      </c>
      <c r="Y836" t="str">
        <f>VLOOKUP(D:D,代理总表!A:D,4,FALSE)</f>
        <v>SEO</v>
      </c>
      <c r="Z836">
        <f t="shared" si="39"/>
        <v>1</v>
      </c>
      <c r="AA836">
        <f t="shared" si="40"/>
        <v>11</v>
      </c>
      <c r="AB836">
        <f t="shared" si="41"/>
        <v>1</v>
      </c>
    </row>
    <row r="837" spans="1:28">
      <c r="A837" s="314" t="s">
        <v>3063</v>
      </c>
      <c r="B837" s="314"/>
      <c r="C837" s="314">
        <v>19903610997</v>
      </c>
      <c r="D837" s="314" t="s">
        <v>587</v>
      </c>
      <c r="E837" s="314" t="s">
        <v>104</v>
      </c>
      <c r="F837" s="314" t="s">
        <v>118</v>
      </c>
      <c r="G837" s="314" t="s">
        <v>108</v>
      </c>
      <c r="H837" s="314" t="s">
        <v>119</v>
      </c>
      <c r="I837" s="314" t="s">
        <v>108</v>
      </c>
      <c r="J837" s="314" t="s">
        <v>109</v>
      </c>
      <c r="K837" s="314">
        <v>0</v>
      </c>
      <c r="L837" s="314">
        <v>0</v>
      </c>
      <c r="M837" s="315">
        <v>45145.4975347222</v>
      </c>
      <c r="N837" s="314" t="s">
        <v>3064</v>
      </c>
      <c r="O837" s="314" t="s">
        <v>3065</v>
      </c>
      <c r="P837" s="314" t="s">
        <v>339</v>
      </c>
      <c r="Q837" s="314" t="s">
        <v>123</v>
      </c>
      <c r="R837" s="315">
        <v>45145.5997916667</v>
      </c>
      <c r="S837" s="314" t="s">
        <v>3064</v>
      </c>
      <c r="T837" s="314" t="s">
        <v>3066</v>
      </c>
      <c r="U837" s="314" t="s">
        <v>3066</v>
      </c>
      <c r="V837" s="314" t="s">
        <v>114</v>
      </c>
      <c r="W837" s="314"/>
      <c r="X837" s="314" t="str">
        <f>VLOOKUP(D837,代理总表!A:D,3,0)</f>
        <v>飞哥雨燕直播</v>
      </c>
      <c r="Y837" t="str">
        <f>VLOOKUP(D:D,代理总表!A:D,4,FALSE)</f>
        <v>飞哥雨燕直播ffmk88</v>
      </c>
      <c r="Z837">
        <f t="shared" si="39"/>
        <v>0</v>
      </c>
      <c r="AA837">
        <f t="shared" si="40"/>
        <v>11</v>
      </c>
      <c r="AB837">
        <f t="shared" si="41"/>
        <v>1</v>
      </c>
    </row>
    <row r="838" spans="1:28">
      <c r="A838" s="314" t="s">
        <v>3067</v>
      </c>
      <c r="B838" s="314"/>
      <c r="C838" s="314">
        <v>588639223</v>
      </c>
      <c r="D838" s="314" t="s">
        <v>536</v>
      </c>
      <c r="E838" s="314" t="s">
        <v>104</v>
      </c>
      <c r="F838" s="314" t="s">
        <v>118</v>
      </c>
      <c r="G838" s="314" t="s">
        <v>108</v>
      </c>
      <c r="H838" s="314" t="s">
        <v>119</v>
      </c>
      <c r="I838" s="314" t="s">
        <v>108</v>
      </c>
      <c r="J838" s="314" t="s">
        <v>109</v>
      </c>
      <c r="K838" s="314">
        <v>0</v>
      </c>
      <c r="L838" s="314">
        <v>0</v>
      </c>
      <c r="M838" s="315">
        <v>45145.4963310185</v>
      </c>
      <c r="N838" s="314" t="s">
        <v>3068</v>
      </c>
      <c r="O838" s="314" t="s">
        <v>538</v>
      </c>
      <c r="P838" s="314" t="s">
        <v>112</v>
      </c>
      <c r="Q838" s="314" t="s">
        <v>123</v>
      </c>
      <c r="R838" s="315">
        <v>45145.4963194444</v>
      </c>
      <c r="S838" s="314" t="s">
        <v>3068</v>
      </c>
      <c r="T838" s="314" t="s">
        <v>667</v>
      </c>
      <c r="U838" s="314" t="s">
        <v>667</v>
      </c>
      <c r="V838" s="314" t="s">
        <v>114</v>
      </c>
      <c r="W838" s="314"/>
      <c r="X838" s="314" t="e">
        <f>VLOOKUP(D838,代理总表!A:D,3,0)</f>
        <v>#N/A</v>
      </c>
      <c r="Y838" t="e">
        <f>VLOOKUP(D:D,代理总表!A:D,4,FALSE)</f>
        <v>#N/A</v>
      </c>
      <c r="Z838">
        <f t="shared" si="39"/>
        <v>0</v>
      </c>
      <c r="AA838">
        <f t="shared" si="40"/>
        <v>11</v>
      </c>
      <c r="AB838">
        <f t="shared" si="41"/>
        <v>1</v>
      </c>
    </row>
    <row r="839" spans="1:28">
      <c r="A839" s="314" t="s">
        <v>3069</v>
      </c>
      <c r="B839" s="314" t="s">
        <v>3070</v>
      </c>
      <c r="C839" s="314">
        <v>13140126557</v>
      </c>
      <c r="D839" s="314" t="s">
        <v>235</v>
      </c>
      <c r="E839" s="314" t="s">
        <v>104</v>
      </c>
      <c r="F839" s="314" t="s">
        <v>181</v>
      </c>
      <c r="G839" s="314" t="s">
        <v>106</v>
      </c>
      <c r="H839" s="314" t="s">
        <v>107</v>
      </c>
      <c r="I839" s="314" t="s">
        <v>108</v>
      </c>
      <c r="J839" s="314" t="s">
        <v>109</v>
      </c>
      <c r="K839" s="314">
        <v>1</v>
      </c>
      <c r="L839" s="314">
        <v>200</v>
      </c>
      <c r="M839" s="315">
        <v>45145.4951157407</v>
      </c>
      <c r="N839" s="314" t="s">
        <v>3071</v>
      </c>
      <c r="O839" s="314" t="s">
        <v>786</v>
      </c>
      <c r="P839" s="314" t="s">
        <v>161</v>
      </c>
      <c r="Q839" s="315">
        <v>45145.5055324074</v>
      </c>
      <c r="R839" s="315">
        <v>45145.499212963</v>
      </c>
      <c r="S839" s="314" t="s">
        <v>3071</v>
      </c>
      <c r="T839" s="314" t="s">
        <v>3072</v>
      </c>
      <c r="U839" s="314" t="s">
        <v>3072</v>
      </c>
      <c r="V839" s="314" t="s">
        <v>114</v>
      </c>
      <c r="W839" s="314"/>
      <c r="X839" s="314" t="str">
        <f>VLOOKUP(D839,代理总表!A:D,3,0)</f>
        <v>aber</v>
      </c>
      <c r="Y839" t="str">
        <f>VLOOKUP(D:D,代理总表!A:D,4,FALSE)</f>
        <v>SEO</v>
      </c>
      <c r="Z839">
        <f t="shared" si="39"/>
        <v>1</v>
      </c>
      <c r="AA839">
        <f t="shared" si="40"/>
        <v>11</v>
      </c>
      <c r="AB839">
        <f t="shared" si="41"/>
        <v>1</v>
      </c>
    </row>
    <row r="840" spans="1:28">
      <c r="A840" s="314" t="s">
        <v>3073</v>
      </c>
      <c r="B840" s="314" t="s">
        <v>3074</v>
      </c>
      <c r="C840" s="314">
        <v>922260233</v>
      </c>
      <c r="D840" s="314" t="s">
        <v>1017</v>
      </c>
      <c r="E840" s="314" t="s">
        <v>117</v>
      </c>
      <c r="F840" s="314" t="s">
        <v>144</v>
      </c>
      <c r="G840" s="314" t="s">
        <v>106</v>
      </c>
      <c r="H840" s="314" t="s">
        <v>107</v>
      </c>
      <c r="I840" s="314" t="s">
        <v>108</v>
      </c>
      <c r="J840" s="314" t="s">
        <v>120</v>
      </c>
      <c r="K840" s="314">
        <v>0</v>
      </c>
      <c r="L840" s="314">
        <v>470000</v>
      </c>
      <c r="M840" s="315">
        <v>45145.494837963</v>
      </c>
      <c r="N840" s="314" t="s">
        <v>3075</v>
      </c>
      <c r="O840" s="314" t="s">
        <v>1019</v>
      </c>
      <c r="P840" s="314" t="s">
        <v>112</v>
      </c>
      <c r="Q840" s="315">
        <v>45145.4980439815</v>
      </c>
      <c r="R840" s="315">
        <v>45145.5013194444</v>
      </c>
      <c r="S840" s="314" t="s">
        <v>3075</v>
      </c>
      <c r="T840" s="314" t="s">
        <v>904</v>
      </c>
      <c r="U840" s="314" t="s">
        <v>904</v>
      </c>
      <c r="V840" s="314" t="s">
        <v>114</v>
      </c>
      <c r="W840" s="314"/>
      <c r="X840" s="314" t="e">
        <f>VLOOKUP(D840,代理总表!A:D,3,0)</f>
        <v>#N/A</v>
      </c>
      <c r="Y840" t="e">
        <f>VLOOKUP(D:D,代理总表!A:D,4,FALSE)</f>
        <v>#N/A</v>
      </c>
      <c r="Z840">
        <f t="shared" si="39"/>
        <v>1</v>
      </c>
      <c r="AA840">
        <f t="shared" si="40"/>
        <v>11</v>
      </c>
      <c r="AB840">
        <f t="shared" si="41"/>
        <v>1</v>
      </c>
    </row>
    <row r="841" spans="1:28">
      <c r="A841" s="314" t="s">
        <v>3076</v>
      </c>
      <c r="B841" s="314" t="s">
        <v>3077</v>
      </c>
      <c r="C841" s="314">
        <v>926831990</v>
      </c>
      <c r="D841" s="314" t="s">
        <v>2657</v>
      </c>
      <c r="E841" s="314" t="s">
        <v>117</v>
      </c>
      <c r="F841" s="314" t="s">
        <v>118</v>
      </c>
      <c r="G841" s="314" t="s">
        <v>108</v>
      </c>
      <c r="H841" s="314" t="s">
        <v>119</v>
      </c>
      <c r="I841" s="314" t="s">
        <v>108</v>
      </c>
      <c r="J841" s="314" t="s">
        <v>120</v>
      </c>
      <c r="K841" s="314">
        <v>0</v>
      </c>
      <c r="L841" s="314">
        <v>0</v>
      </c>
      <c r="M841" s="315">
        <v>45145.4946180556</v>
      </c>
      <c r="N841" s="314" t="s">
        <v>3078</v>
      </c>
      <c r="O841" s="314" t="s">
        <v>2659</v>
      </c>
      <c r="P841" s="314" t="s">
        <v>112</v>
      </c>
      <c r="Q841" s="314" t="s">
        <v>123</v>
      </c>
      <c r="R841" s="315">
        <v>45145.6371875</v>
      </c>
      <c r="S841" s="314" t="s">
        <v>3078</v>
      </c>
      <c r="T841" s="314" t="s">
        <v>177</v>
      </c>
      <c r="U841" s="314" t="s">
        <v>177</v>
      </c>
      <c r="V841" s="314" t="s">
        <v>114</v>
      </c>
      <c r="W841" s="314"/>
      <c r="X841" s="314" t="str">
        <f>VLOOKUP(D841,代理总表!A:D,3,0)</f>
        <v>SOCO越南直播</v>
      </c>
      <c r="Y841" t="str">
        <f>VLOOKUP(D:D,代理总表!A:D,4,FALSE)</f>
        <v>SOCO越南直播ffvn66</v>
      </c>
      <c r="Z841">
        <f t="shared" si="39"/>
        <v>0</v>
      </c>
      <c r="AA841">
        <f t="shared" si="40"/>
        <v>11</v>
      </c>
      <c r="AB841">
        <f t="shared" si="41"/>
        <v>1</v>
      </c>
    </row>
    <row r="842" spans="1:28">
      <c r="A842" s="314" t="s">
        <v>3079</v>
      </c>
      <c r="B842" s="314" t="s">
        <v>3080</v>
      </c>
      <c r="C842" s="314">
        <v>17503775657</v>
      </c>
      <c r="D842" s="314" t="s">
        <v>235</v>
      </c>
      <c r="E842" s="314" t="s">
        <v>104</v>
      </c>
      <c r="F842" s="314" t="s">
        <v>149</v>
      </c>
      <c r="G842" s="314" t="s">
        <v>108</v>
      </c>
      <c r="H842" s="314" t="s">
        <v>119</v>
      </c>
      <c r="I842" s="314" t="s">
        <v>108</v>
      </c>
      <c r="J842" s="314" t="s">
        <v>109</v>
      </c>
      <c r="K842" s="314">
        <v>0</v>
      </c>
      <c r="L842" s="314">
        <v>0</v>
      </c>
      <c r="M842" s="315">
        <v>45145.494525463</v>
      </c>
      <c r="N842" s="314" t="s">
        <v>3081</v>
      </c>
      <c r="O842" s="314" t="s">
        <v>237</v>
      </c>
      <c r="P842" s="314" t="s">
        <v>112</v>
      </c>
      <c r="Q842" s="314" t="s">
        <v>123</v>
      </c>
      <c r="R842" s="315">
        <v>45145.5522685185</v>
      </c>
      <c r="S842" s="314" t="s">
        <v>3081</v>
      </c>
      <c r="T842" s="314" t="s">
        <v>2561</v>
      </c>
      <c r="U842" s="314" t="s">
        <v>2561</v>
      </c>
      <c r="V842" s="314" t="s">
        <v>114</v>
      </c>
      <c r="W842" s="314"/>
      <c r="X842" s="314" t="str">
        <f>VLOOKUP(D842,代理总表!A:D,3,0)</f>
        <v>aber</v>
      </c>
      <c r="Y842" t="str">
        <f>VLOOKUP(D:D,代理总表!A:D,4,FALSE)</f>
        <v>SEO</v>
      </c>
      <c r="Z842">
        <f t="shared" si="39"/>
        <v>0</v>
      </c>
      <c r="AA842">
        <f t="shared" si="40"/>
        <v>11</v>
      </c>
      <c r="AB842">
        <f t="shared" si="41"/>
        <v>1</v>
      </c>
    </row>
    <row r="843" spans="1:28">
      <c r="A843" s="314" t="s">
        <v>3082</v>
      </c>
      <c r="B843" s="314"/>
      <c r="C843" s="314">
        <v>356677754</v>
      </c>
      <c r="D843" s="314" t="s">
        <v>550</v>
      </c>
      <c r="E843" s="314" t="s">
        <v>117</v>
      </c>
      <c r="F843" s="314" t="s">
        <v>118</v>
      </c>
      <c r="G843" s="314" t="s">
        <v>108</v>
      </c>
      <c r="H843" s="314" t="s">
        <v>119</v>
      </c>
      <c r="I843" s="314" t="s">
        <v>108</v>
      </c>
      <c r="J843" s="314" t="s">
        <v>120</v>
      </c>
      <c r="K843" s="314">
        <v>0</v>
      </c>
      <c r="L843" s="314">
        <v>0</v>
      </c>
      <c r="M843" s="315">
        <v>45145.4939351852</v>
      </c>
      <c r="N843" s="314" t="s">
        <v>3083</v>
      </c>
      <c r="O843" s="314" t="s">
        <v>603</v>
      </c>
      <c r="P843" s="314" t="s">
        <v>112</v>
      </c>
      <c r="Q843" s="314" t="s">
        <v>123</v>
      </c>
      <c r="R843" s="315">
        <v>45145.4947916667</v>
      </c>
      <c r="S843" s="314" t="s">
        <v>3083</v>
      </c>
      <c r="T843" s="314" t="s">
        <v>124</v>
      </c>
      <c r="U843" s="314" t="s">
        <v>124</v>
      </c>
      <c r="V843" s="314" t="s">
        <v>114</v>
      </c>
      <c r="W843" s="314"/>
      <c r="X843" s="314" t="str">
        <f>VLOOKUP(D843,代理总表!A:D,3,0)</f>
        <v>SOCO越南直播</v>
      </c>
      <c r="Y843" t="str">
        <f>VLOOKUP(D:D,代理总表!A:D,4,FALSE)</f>
        <v>SOCO越南直播ffvn66</v>
      </c>
      <c r="Z843">
        <f t="shared" si="39"/>
        <v>0</v>
      </c>
      <c r="AA843">
        <f t="shared" si="40"/>
        <v>11</v>
      </c>
      <c r="AB843">
        <f t="shared" si="41"/>
        <v>1</v>
      </c>
    </row>
    <row r="844" spans="1:28">
      <c r="A844" s="314" t="s">
        <v>3084</v>
      </c>
      <c r="B844" s="314" t="s">
        <v>3085</v>
      </c>
      <c r="C844" s="314">
        <v>922747891</v>
      </c>
      <c r="D844" s="314" t="s">
        <v>505</v>
      </c>
      <c r="E844" s="314" t="s">
        <v>117</v>
      </c>
      <c r="F844" s="314" t="s">
        <v>144</v>
      </c>
      <c r="G844" s="314" t="s">
        <v>106</v>
      </c>
      <c r="H844" s="314" t="s">
        <v>856</v>
      </c>
      <c r="I844" s="314" t="s">
        <v>108</v>
      </c>
      <c r="J844" s="314" t="s">
        <v>120</v>
      </c>
      <c r="K844" s="314">
        <v>801500</v>
      </c>
      <c r="L844" s="314">
        <v>11865000</v>
      </c>
      <c r="M844" s="315">
        <v>45145.4933217593</v>
      </c>
      <c r="N844" s="314" t="s">
        <v>3086</v>
      </c>
      <c r="O844" s="314" t="s">
        <v>3087</v>
      </c>
      <c r="P844" s="314" t="s">
        <v>112</v>
      </c>
      <c r="Q844" s="315">
        <v>45145.5056365741</v>
      </c>
      <c r="R844" s="315">
        <v>45146.2981134259</v>
      </c>
      <c r="S844" s="314" t="s">
        <v>3088</v>
      </c>
      <c r="T844" s="314" t="s">
        <v>131</v>
      </c>
      <c r="U844" s="314" t="s">
        <v>124</v>
      </c>
      <c r="V844" s="314" t="s">
        <v>114</v>
      </c>
      <c r="W844" s="314"/>
      <c r="X844" s="314" t="str">
        <f>VLOOKUP(D844,代理总表!A:D,3,0)</f>
        <v>SOCO越南直播</v>
      </c>
      <c r="Y844" t="str">
        <f>VLOOKUP(D:D,代理总表!A:D,4,FALSE)</f>
        <v>SOCO越南直播ffvn66</v>
      </c>
      <c r="Z844">
        <f t="shared" si="39"/>
        <v>1</v>
      </c>
      <c r="AA844">
        <f t="shared" si="40"/>
        <v>11</v>
      </c>
      <c r="AB844">
        <f t="shared" si="41"/>
        <v>1</v>
      </c>
    </row>
    <row r="845" spans="1:28">
      <c r="A845" s="314" t="s">
        <v>3089</v>
      </c>
      <c r="B845" s="314"/>
      <c r="C845" s="314">
        <v>945287588</v>
      </c>
      <c r="D845" s="314" t="s">
        <v>137</v>
      </c>
      <c r="E845" s="314" t="s">
        <v>117</v>
      </c>
      <c r="F845" s="314" t="s">
        <v>118</v>
      </c>
      <c r="G845" s="314" t="s">
        <v>108</v>
      </c>
      <c r="H845" s="314" t="s">
        <v>119</v>
      </c>
      <c r="I845" s="314" t="s">
        <v>108</v>
      </c>
      <c r="J845" s="314" t="s">
        <v>120</v>
      </c>
      <c r="K845" s="314">
        <v>0</v>
      </c>
      <c r="L845" s="314">
        <v>0</v>
      </c>
      <c r="M845" s="315">
        <v>45145.4930439815</v>
      </c>
      <c r="N845" s="314" t="s">
        <v>3090</v>
      </c>
      <c r="O845" s="314" t="s">
        <v>710</v>
      </c>
      <c r="P845" s="314" t="s">
        <v>339</v>
      </c>
      <c r="Q845" s="314" t="s">
        <v>123</v>
      </c>
      <c r="R845" s="315">
        <v>45145.6517824074</v>
      </c>
      <c r="S845" s="314" t="s">
        <v>3090</v>
      </c>
      <c r="T845" s="314" t="s">
        <v>124</v>
      </c>
      <c r="U845" s="314" t="s">
        <v>124</v>
      </c>
      <c r="V845" s="314" t="s">
        <v>114</v>
      </c>
      <c r="W845" s="314"/>
      <c r="X845" s="314" t="str">
        <f>VLOOKUP(D845,代理总表!A:D,3,0)</f>
        <v>雨燕直播-越</v>
      </c>
      <c r="Y845" t="str">
        <f>VLOOKUP(D:D,代理总表!A:D,4,FALSE)</f>
        <v>雨燕直播-越ffvn66</v>
      </c>
      <c r="Z845">
        <f t="shared" si="39"/>
        <v>0</v>
      </c>
      <c r="AA845">
        <f t="shared" si="40"/>
        <v>11</v>
      </c>
      <c r="AB845">
        <f t="shared" si="41"/>
        <v>1</v>
      </c>
    </row>
    <row r="846" spans="1:28">
      <c r="A846" s="314" t="s">
        <v>3091</v>
      </c>
      <c r="B846" s="314"/>
      <c r="C846" s="314">
        <v>15304883419</v>
      </c>
      <c r="D846" s="314" t="s">
        <v>1513</v>
      </c>
      <c r="E846" s="314" t="s">
        <v>2651</v>
      </c>
      <c r="F846" s="314" t="s">
        <v>118</v>
      </c>
      <c r="G846" s="314" t="s">
        <v>108</v>
      </c>
      <c r="H846" s="314" t="s">
        <v>119</v>
      </c>
      <c r="I846" s="314" t="s">
        <v>108</v>
      </c>
      <c r="J846" s="314" t="s">
        <v>109</v>
      </c>
      <c r="K846" s="314">
        <v>0</v>
      </c>
      <c r="L846" s="314">
        <v>0</v>
      </c>
      <c r="M846" s="315">
        <v>45145.4906597222</v>
      </c>
      <c r="N846" s="314" t="s">
        <v>3092</v>
      </c>
      <c r="O846" s="314" t="s">
        <v>1515</v>
      </c>
      <c r="P846" s="314" t="s">
        <v>208</v>
      </c>
      <c r="Q846" s="314" t="s">
        <v>123</v>
      </c>
      <c r="R846" s="315">
        <v>45145.4987615741</v>
      </c>
      <c r="S846" s="314" t="s">
        <v>3092</v>
      </c>
      <c r="T846" s="314" t="s">
        <v>3093</v>
      </c>
      <c r="U846" s="314" t="s">
        <v>3093</v>
      </c>
      <c r="V846" s="314" t="s">
        <v>114</v>
      </c>
      <c r="W846" s="314"/>
      <c r="X846" s="314" t="str">
        <f>VLOOKUP(D846,代理总表!A:D,3,0)</f>
        <v>GT-骨头</v>
      </c>
      <c r="Y846" t="str">
        <f>VLOOKUP(D:D,代理总表!A:D,4,FALSE)</f>
        <v>GT-骨头gt6677</v>
      </c>
      <c r="Z846">
        <f t="shared" si="39"/>
        <v>0</v>
      </c>
      <c r="AA846">
        <f t="shared" si="40"/>
        <v>11</v>
      </c>
      <c r="AB846">
        <f t="shared" si="41"/>
        <v>1</v>
      </c>
    </row>
    <row r="847" spans="1:28">
      <c r="A847" s="314" t="s">
        <v>3094</v>
      </c>
      <c r="B847" s="314" t="s">
        <v>3095</v>
      </c>
      <c r="C847" s="314">
        <v>938911409</v>
      </c>
      <c r="D847" s="314" t="s">
        <v>143</v>
      </c>
      <c r="E847" s="314" t="s">
        <v>117</v>
      </c>
      <c r="F847" s="314" t="s">
        <v>144</v>
      </c>
      <c r="G847" s="314" t="s">
        <v>106</v>
      </c>
      <c r="H847" s="314" t="s">
        <v>107</v>
      </c>
      <c r="I847" s="314" t="s">
        <v>108</v>
      </c>
      <c r="J847" s="314" t="s">
        <v>120</v>
      </c>
      <c r="K847" s="314">
        <v>1140000</v>
      </c>
      <c r="L847" s="314">
        <v>2000000</v>
      </c>
      <c r="M847" s="315">
        <v>45145.4897222222</v>
      </c>
      <c r="N847" s="314" t="s">
        <v>3096</v>
      </c>
      <c r="O847" s="314" t="s">
        <v>407</v>
      </c>
      <c r="P847" s="314" t="s">
        <v>112</v>
      </c>
      <c r="Q847" s="315">
        <v>45145.5049884259</v>
      </c>
      <c r="R847" s="315">
        <v>45146.3038773148</v>
      </c>
      <c r="S847" s="314" t="s">
        <v>3096</v>
      </c>
      <c r="T847" s="314" t="s">
        <v>655</v>
      </c>
      <c r="U847" s="314" t="s">
        <v>655</v>
      </c>
      <c r="V847" s="314" t="s">
        <v>114</v>
      </c>
      <c r="W847" s="314"/>
      <c r="X847" s="314" t="str">
        <f>VLOOKUP(D847,代理总表!A:D,3,0)</f>
        <v>雨燕直播-越</v>
      </c>
      <c r="Y847" t="str">
        <f>VLOOKUP(D:D,代理总表!A:D,4,FALSE)</f>
        <v>雨燕直播-越ffvn66</v>
      </c>
      <c r="Z847">
        <f t="shared" si="39"/>
        <v>1</v>
      </c>
      <c r="AA847">
        <f t="shared" si="40"/>
        <v>11</v>
      </c>
      <c r="AB847">
        <f t="shared" si="41"/>
        <v>1</v>
      </c>
    </row>
    <row r="848" spans="1:28">
      <c r="A848" s="314" t="s">
        <v>3097</v>
      </c>
      <c r="B848" s="314" t="s">
        <v>3098</v>
      </c>
      <c r="C848" s="314">
        <v>981784920</v>
      </c>
      <c r="D848" s="314" t="s">
        <v>137</v>
      </c>
      <c r="E848" s="314" t="s">
        <v>117</v>
      </c>
      <c r="F848" s="314" t="s">
        <v>144</v>
      </c>
      <c r="G848" s="314" t="s">
        <v>106</v>
      </c>
      <c r="H848" s="314" t="s">
        <v>107</v>
      </c>
      <c r="I848" s="314" t="s">
        <v>108</v>
      </c>
      <c r="J848" s="314" t="s">
        <v>120</v>
      </c>
      <c r="K848" s="314">
        <v>50000</v>
      </c>
      <c r="L848" s="314">
        <v>0</v>
      </c>
      <c r="M848" s="315">
        <v>45145.4891782407</v>
      </c>
      <c r="N848" s="314" t="s">
        <v>3099</v>
      </c>
      <c r="O848" s="314" t="s">
        <v>710</v>
      </c>
      <c r="P848" s="314" t="s">
        <v>339</v>
      </c>
      <c r="Q848" s="315">
        <v>45145.5069675926</v>
      </c>
      <c r="R848" s="315">
        <v>45145.7272800926</v>
      </c>
      <c r="S848" s="314" t="s">
        <v>3099</v>
      </c>
      <c r="T848" s="314" t="s">
        <v>134</v>
      </c>
      <c r="U848" s="314" t="s">
        <v>134</v>
      </c>
      <c r="V848" s="314" t="s">
        <v>114</v>
      </c>
      <c r="W848" s="314"/>
      <c r="X848" s="314" t="str">
        <f>VLOOKUP(D848,代理总表!A:D,3,0)</f>
        <v>雨燕直播-越</v>
      </c>
      <c r="Y848" t="str">
        <f>VLOOKUP(D:D,代理总表!A:D,4,FALSE)</f>
        <v>雨燕直播-越ffvn66</v>
      </c>
      <c r="Z848">
        <f t="shared" si="39"/>
        <v>1</v>
      </c>
      <c r="AA848">
        <f t="shared" si="40"/>
        <v>11</v>
      </c>
      <c r="AB848">
        <f t="shared" si="41"/>
        <v>1</v>
      </c>
    </row>
    <row r="849" spans="1:28">
      <c r="A849" s="314" t="s">
        <v>3100</v>
      </c>
      <c r="B849" s="314" t="s">
        <v>3101</v>
      </c>
      <c r="C849" s="314">
        <v>932009154</v>
      </c>
      <c r="D849" s="314" t="s">
        <v>116</v>
      </c>
      <c r="E849" s="314" t="s">
        <v>117</v>
      </c>
      <c r="F849" s="314" t="s">
        <v>144</v>
      </c>
      <c r="G849" s="314" t="s">
        <v>106</v>
      </c>
      <c r="H849" s="314" t="s">
        <v>107</v>
      </c>
      <c r="I849" s="314" t="s">
        <v>108</v>
      </c>
      <c r="J849" s="314" t="s">
        <v>120</v>
      </c>
      <c r="K849" s="314">
        <v>100000</v>
      </c>
      <c r="L849" s="314">
        <v>0</v>
      </c>
      <c r="M849" s="315">
        <v>45145.4887962963</v>
      </c>
      <c r="N849" s="314" t="s">
        <v>3102</v>
      </c>
      <c r="O849" s="314" t="s">
        <v>122</v>
      </c>
      <c r="P849" s="314" t="s">
        <v>112</v>
      </c>
      <c r="Q849" s="315">
        <v>45145.4990509259</v>
      </c>
      <c r="R849" s="315">
        <v>45145.5320486111</v>
      </c>
      <c r="S849" s="314" t="s">
        <v>3103</v>
      </c>
      <c r="T849" s="314" t="s">
        <v>177</v>
      </c>
      <c r="U849" s="314" t="s">
        <v>177</v>
      </c>
      <c r="V849" s="314" t="s">
        <v>114</v>
      </c>
      <c r="W849" s="314"/>
      <c r="X849" s="314" t="str">
        <f>VLOOKUP(D849,代理总表!A:D,3,0)</f>
        <v>外部代理总线</v>
      </c>
      <c r="Y849" t="str">
        <f>VLOOKUP(D:D,代理总表!A:D,4,FALSE)</f>
        <v>外部代理总线zh0808</v>
      </c>
      <c r="Z849">
        <f t="shared" si="39"/>
        <v>1</v>
      </c>
      <c r="AA849">
        <f t="shared" si="40"/>
        <v>11</v>
      </c>
      <c r="AB849">
        <f t="shared" si="41"/>
        <v>1</v>
      </c>
    </row>
    <row r="850" spans="1:28">
      <c r="A850" s="314" t="s">
        <v>3104</v>
      </c>
      <c r="B850" s="314"/>
      <c r="C850" s="314">
        <v>19875168163</v>
      </c>
      <c r="D850" s="314" t="s">
        <v>148</v>
      </c>
      <c r="E850" s="314" t="s">
        <v>104</v>
      </c>
      <c r="F850" s="314" t="s">
        <v>149</v>
      </c>
      <c r="G850" s="314" t="s">
        <v>108</v>
      </c>
      <c r="H850" s="314" t="s">
        <v>119</v>
      </c>
      <c r="I850" s="314" t="s">
        <v>108</v>
      </c>
      <c r="J850" s="314" t="s">
        <v>109</v>
      </c>
      <c r="K850" s="314">
        <v>0</v>
      </c>
      <c r="L850" s="314">
        <v>0</v>
      </c>
      <c r="M850" s="315">
        <v>45145.4884375</v>
      </c>
      <c r="N850" s="314" t="s">
        <v>3105</v>
      </c>
      <c r="O850" s="314" t="s">
        <v>585</v>
      </c>
      <c r="P850" s="314" t="s">
        <v>112</v>
      </c>
      <c r="Q850" s="314" t="s">
        <v>123</v>
      </c>
      <c r="R850" s="315">
        <v>45145.4929166667</v>
      </c>
      <c r="S850" s="314" t="s">
        <v>3105</v>
      </c>
      <c r="T850" s="314" t="s">
        <v>482</v>
      </c>
      <c r="U850" s="314" t="s">
        <v>482</v>
      </c>
      <c r="V850" s="314" t="s">
        <v>114</v>
      </c>
      <c r="W850" s="314"/>
      <c r="X850" s="314" t="str">
        <f>VLOOKUP(D850,代理总表!A:D,3,0)</f>
        <v>martin</v>
      </c>
      <c r="Y850" t="str">
        <f>VLOOKUP(D:D,代理总表!A:D,4,FALSE)</f>
        <v>SEO</v>
      </c>
      <c r="Z850">
        <f t="shared" si="39"/>
        <v>0</v>
      </c>
      <c r="AA850">
        <f t="shared" si="40"/>
        <v>11</v>
      </c>
      <c r="AB850">
        <f t="shared" si="41"/>
        <v>1</v>
      </c>
    </row>
    <row r="851" spans="1:28">
      <c r="A851" s="314" t="s">
        <v>3106</v>
      </c>
      <c r="B851" s="314" t="s">
        <v>3107</v>
      </c>
      <c r="C851" s="314">
        <v>915242726</v>
      </c>
      <c r="D851" s="314" t="s">
        <v>137</v>
      </c>
      <c r="E851" s="314" t="s">
        <v>117</v>
      </c>
      <c r="F851" s="314" t="s">
        <v>144</v>
      </c>
      <c r="G851" s="314" t="s">
        <v>106</v>
      </c>
      <c r="H851" s="314" t="s">
        <v>107</v>
      </c>
      <c r="I851" s="314" t="s">
        <v>108</v>
      </c>
      <c r="J851" s="314" t="s">
        <v>120</v>
      </c>
      <c r="K851" s="314">
        <v>1000000</v>
      </c>
      <c r="L851" s="314">
        <v>0</v>
      </c>
      <c r="M851" s="315">
        <v>45145.4883796296</v>
      </c>
      <c r="N851" s="314" t="s">
        <v>3108</v>
      </c>
      <c r="O851" s="314" t="s">
        <v>139</v>
      </c>
      <c r="P851" s="314" t="s">
        <v>112</v>
      </c>
      <c r="Q851" s="315">
        <v>45145.5300462963</v>
      </c>
      <c r="R851" s="315">
        <v>45145.831087963</v>
      </c>
      <c r="S851" s="314" t="s">
        <v>3109</v>
      </c>
      <c r="T851" s="314" t="s">
        <v>131</v>
      </c>
      <c r="U851" s="314" t="s">
        <v>131</v>
      </c>
      <c r="V851" s="314" t="s">
        <v>114</v>
      </c>
      <c r="W851" s="314"/>
      <c r="X851" s="314" t="str">
        <f>VLOOKUP(D851,代理总表!A:D,3,0)</f>
        <v>雨燕直播-越</v>
      </c>
      <c r="Y851" t="str">
        <f>VLOOKUP(D:D,代理总表!A:D,4,FALSE)</f>
        <v>雨燕直播-越ffvn66</v>
      </c>
      <c r="Z851">
        <f t="shared" si="39"/>
        <v>1</v>
      </c>
      <c r="AA851">
        <f t="shared" si="40"/>
        <v>11</v>
      </c>
      <c r="AB851">
        <f t="shared" si="41"/>
        <v>1</v>
      </c>
    </row>
    <row r="852" spans="1:28">
      <c r="A852" s="314" t="s">
        <v>3110</v>
      </c>
      <c r="B852" s="314"/>
      <c r="C852" s="314"/>
      <c r="D852" s="314" t="s">
        <v>558</v>
      </c>
      <c r="E852" s="314" t="s">
        <v>104</v>
      </c>
      <c r="F852" s="314" t="s">
        <v>118</v>
      </c>
      <c r="G852" s="314" t="s">
        <v>108</v>
      </c>
      <c r="H852" s="314" t="s">
        <v>119</v>
      </c>
      <c r="I852" s="314" t="s">
        <v>108</v>
      </c>
      <c r="J852" s="314" t="s">
        <v>109</v>
      </c>
      <c r="K852" s="314">
        <v>0</v>
      </c>
      <c r="L852" s="314">
        <v>0</v>
      </c>
      <c r="M852" s="315">
        <v>45145.4871990741</v>
      </c>
      <c r="N852" s="314" t="s">
        <v>3111</v>
      </c>
      <c r="O852" s="314" t="s">
        <v>560</v>
      </c>
      <c r="P852" s="314" t="s">
        <v>112</v>
      </c>
      <c r="Q852" s="314" t="s">
        <v>123</v>
      </c>
      <c r="R852" s="315">
        <v>45145.4871990741</v>
      </c>
      <c r="S852" s="314" t="s">
        <v>3111</v>
      </c>
      <c r="T852" s="314" t="s">
        <v>3112</v>
      </c>
      <c r="U852" s="314" t="s">
        <v>3112</v>
      </c>
      <c r="V852" s="314" t="s">
        <v>114</v>
      </c>
      <c r="W852" s="314"/>
      <c r="X852" s="314" t="str">
        <f>VLOOKUP(D852,代理总表!A:D,3,0)</f>
        <v>雨燕直播</v>
      </c>
      <c r="Y852" t="str">
        <f>VLOOKUP(D:D,代理总表!A:D,4,FALSE)</f>
        <v>雨燕直播zzzb888</v>
      </c>
      <c r="Z852">
        <f t="shared" si="39"/>
        <v>0</v>
      </c>
      <c r="AA852">
        <f t="shared" si="40"/>
        <v>11</v>
      </c>
      <c r="AB852">
        <f t="shared" si="41"/>
        <v>1</v>
      </c>
    </row>
    <row r="853" spans="1:28">
      <c r="A853" s="314" t="s">
        <v>3113</v>
      </c>
      <c r="B853" s="314"/>
      <c r="C853" s="314"/>
      <c r="D853" s="314" t="s">
        <v>116</v>
      </c>
      <c r="E853" s="314" t="s">
        <v>117</v>
      </c>
      <c r="F853" s="314" t="s">
        <v>118</v>
      </c>
      <c r="G853" s="314" t="s">
        <v>108</v>
      </c>
      <c r="H853" s="314" t="s">
        <v>119</v>
      </c>
      <c r="I853" s="314" t="s">
        <v>108</v>
      </c>
      <c r="J853" s="314" t="s">
        <v>120</v>
      </c>
      <c r="K853" s="314">
        <v>0</v>
      </c>
      <c r="L853" s="314">
        <v>0</v>
      </c>
      <c r="M853" s="315">
        <v>45145.4860069444</v>
      </c>
      <c r="N853" s="314" t="s">
        <v>3114</v>
      </c>
      <c r="O853" s="314" t="s">
        <v>127</v>
      </c>
      <c r="P853" s="314" t="s">
        <v>112</v>
      </c>
      <c r="Q853" s="314" t="s">
        <v>123</v>
      </c>
      <c r="R853" s="315">
        <v>45145.7861921296</v>
      </c>
      <c r="S853" s="314" t="s">
        <v>3115</v>
      </c>
      <c r="T853" s="314" t="s">
        <v>131</v>
      </c>
      <c r="U853" s="314" t="s">
        <v>907</v>
      </c>
      <c r="V853" s="314" t="s">
        <v>114</v>
      </c>
      <c r="W853" s="314"/>
      <c r="X853" s="314" t="str">
        <f>VLOOKUP(D853,代理总表!A:D,3,0)</f>
        <v>外部代理总线</v>
      </c>
      <c r="Y853" t="str">
        <f>VLOOKUP(D:D,代理总表!A:D,4,FALSE)</f>
        <v>外部代理总线zh0808</v>
      </c>
      <c r="Z853">
        <f t="shared" si="39"/>
        <v>0</v>
      </c>
      <c r="AA853">
        <f t="shared" si="40"/>
        <v>11</v>
      </c>
      <c r="AB853">
        <f t="shared" si="41"/>
        <v>1</v>
      </c>
    </row>
    <row r="854" spans="1:28">
      <c r="A854" s="314" t="s">
        <v>3116</v>
      </c>
      <c r="B854" s="314" t="s">
        <v>3117</v>
      </c>
      <c r="C854" s="314">
        <v>18680703521</v>
      </c>
      <c r="D854" s="314" t="s">
        <v>103</v>
      </c>
      <c r="E854" s="314" t="s">
        <v>104</v>
      </c>
      <c r="F854" s="314" t="s">
        <v>3118</v>
      </c>
      <c r="G854" s="314" t="s">
        <v>106</v>
      </c>
      <c r="H854" s="314" t="s">
        <v>119</v>
      </c>
      <c r="I854" s="314" t="s">
        <v>108</v>
      </c>
      <c r="J854" s="314" t="s">
        <v>109</v>
      </c>
      <c r="K854" s="314">
        <v>0</v>
      </c>
      <c r="L854" s="314">
        <v>0</v>
      </c>
      <c r="M854" s="315">
        <v>45145.4844444444</v>
      </c>
      <c r="N854" s="314" t="s">
        <v>3119</v>
      </c>
      <c r="O854" s="314" t="s">
        <v>1104</v>
      </c>
      <c r="P854" s="314" t="s">
        <v>339</v>
      </c>
      <c r="Q854" s="314" t="s">
        <v>123</v>
      </c>
      <c r="R854" s="315">
        <v>45145.5013078704</v>
      </c>
      <c r="S854" s="314" t="s">
        <v>3119</v>
      </c>
      <c r="T854" s="314" t="s">
        <v>2908</v>
      </c>
      <c r="U854" s="314" t="s">
        <v>2908</v>
      </c>
      <c r="V854" s="314" t="s">
        <v>114</v>
      </c>
      <c r="W854" s="314"/>
      <c r="X854" s="314" t="str">
        <f>VLOOKUP(D854,代理总表!A:D,3,0)</f>
        <v>官网</v>
      </c>
      <c r="Y854" t="str">
        <f>VLOOKUP(D:D,代理总表!A:D,4,FALSE)</f>
        <v>官网</v>
      </c>
      <c r="Z854">
        <f t="shared" si="39"/>
        <v>0</v>
      </c>
      <c r="AA854">
        <f t="shared" si="40"/>
        <v>11</v>
      </c>
      <c r="AB854">
        <f t="shared" si="41"/>
        <v>1</v>
      </c>
    </row>
    <row r="855" spans="1:28">
      <c r="A855" s="314" t="s">
        <v>3120</v>
      </c>
      <c r="B855" s="314" t="s">
        <v>3121</v>
      </c>
      <c r="C855" s="314">
        <v>18486134034</v>
      </c>
      <c r="D855" s="314" t="s">
        <v>103</v>
      </c>
      <c r="E855" s="314" t="s">
        <v>104</v>
      </c>
      <c r="F855" s="314" t="s">
        <v>3118</v>
      </c>
      <c r="G855" s="314" t="s">
        <v>106</v>
      </c>
      <c r="H855" s="314" t="s">
        <v>119</v>
      </c>
      <c r="I855" s="314" t="s">
        <v>108</v>
      </c>
      <c r="J855" s="314" t="s">
        <v>109</v>
      </c>
      <c r="K855" s="314">
        <v>0</v>
      </c>
      <c r="L855" s="314">
        <v>0</v>
      </c>
      <c r="M855" s="315">
        <v>45145.4842592593</v>
      </c>
      <c r="N855" s="314" t="s">
        <v>3119</v>
      </c>
      <c r="O855" s="314" t="s">
        <v>1104</v>
      </c>
      <c r="P855" s="314" t="s">
        <v>339</v>
      </c>
      <c r="Q855" s="314" t="s">
        <v>123</v>
      </c>
      <c r="R855" s="315">
        <v>45145.4843171296</v>
      </c>
      <c r="S855" s="314" t="s">
        <v>3119</v>
      </c>
      <c r="T855" s="314" t="s">
        <v>2908</v>
      </c>
      <c r="U855" s="314" t="s">
        <v>2908</v>
      </c>
      <c r="V855" s="314" t="s">
        <v>114</v>
      </c>
      <c r="W855" s="314"/>
      <c r="X855" s="314" t="str">
        <f>VLOOKUP(D855,代理总表!A:D,3,0)</f>
        <v>官网</v>
      </c>
      <c r="Y855" t="str">
        <f>VLOOKUP(D:D,代理总表!A:D,4,FALSE)</f>
        <v>官网</v>
      </c>
      <c r="Z855">
        <f t="shared" si="39"/>
        <v>0</v>
      </c>
      <c r="AA855">
        <f t="shared" si="40"/>
        <v>11</v>
      </c>
      <c r="AB855">
        <f t="shared" si="41"/>
        <v>1</v>
      </c>
    </row>
    <row r="856" spans="1:28">
      <c r="A856" s="314" t="s">
        <v>3122</v>
      </c>
      <c r="B856" s="314" t="s">
        <v>3123</v>
      </c>
      <c r="C856" s="314">
        <v>384826531</v>
      </c>
      <c r="D856" s="314" t="s">
        <v>2615</v>
      </c>
      <c r="E856" s="314" t="s">
        <v>117</v>
      </c>
      <c r="F856" s="314" t="s">
        <v>118</v>
      </c>
      <c r="G856" s="314" t="s">
        <v>108</v>
      </c>
      <c r="H856" s="314" t="s">
        <v>119</v>
      </c>
      <c r="I856" s="314" t="s">
        <v>108</v>
      </c>
      <c r="J856" s="314" t="s">
        <v>120</v>
      </c>
      <c r="K856" s="314">
        <v>0</v>
      </c>
      <c r="L856" s="314">
        <v>0</v>
      </c>
      <c r="M856" s="315">
        <v>45145.4839467593</v>
      </c>
      <c r="N856" s="314" t="s">
        <v>3124</v>
      </c>
      <c r="O856" s="314" t="s">
        <v>2617</v>
      </c>
      <c r="P856" s="314" t="s">
        <v>112</v>
      </c>
      <c r="Q856" s="314" t="s">
        <v>123</v>
      </c>
      <c r="R856" s="315">
        <v>45145.4851851852</v>
      </c>
      <c r="S856" s="314" t="s">
        <v>3124</v>
      </c>
      <c r="T856" s="314" t="s">
        <v>3125</v>
      </c>
      <c r="U856" s="314" t="s">
        <v>3125</v>
      </c>
      <c r="V856" s="314" t="s">
        <v>114</v>
      </c>
      <c r="W856" s="314"/>
      <c r="X856" s="314" t="e">
        <f>VLOOKUP(D856,代理总表!A:D,3,0)</f>
        <v>#N/A</v>
      </c>
      <c r="Y856" t="e">
        <f>VLOOKUP(D:D,代理总表!A:D,4,FALSE)</f>
        <v>#N/A</v>
      </c>
      <c r="Z856">
        <f t="shared" si="39"/>
        <v>0</v>
      </c>
      <c r="AA856">
        <f t="shared" si="40"/>
        <v>11</v>
      </c>
      <c r="AB856">
        <f t="shared" si="41"/>
        <v>1</v>
      </c>
    </row>
    <row r="857" spans="1:28">
      <c r="A857" s="314" t="s">
        <v>3126</v>
      </c>
      <c r="B857" s="314" t="s">
        <v>3127</v>
      </c>
      <c r="C857" s="314">
        <v>383393715</v>
      </c>
      <c r="D857" s="314" t="s">
        <v>2615</v>
      </c>
      <c r="E857" s="314" t="s">
        <v>117</v>
      </c>
      <c r="F857" s="314" t="s">
        <v>118</v>
      </c>
      <c r="G857" s="314" t="s">
        <v>108</v>
      </c>
      <c r="H857" s="314" t="s">
        <v>119</v>
      </c>
      <c r="I857" s="314" t="s">
        <v>108</v>
      </c>
      <c r="J857" s="314" t="s">
        <v>120</v>
      </c>
      <c r="K857" s="314">
        <v>0</v>
      </c>
      <c r="L857" s="314">
        <v>0</v>
      </c>
      <c r="M857" s="315">
        <v>45145.4837962963</v>
      </c>
      <c r="N857" s="314" t="s">
        <v>3128</v>
      </c>
      <c r="O857" s="314" t="s">
        <v>2617</v>
      </c>
      <c r="P857" s="314" t="s">
        <v>112</v>
      </c>
      <c r="Q857" s="314" t="s">
        <v>123</v>
      </c>
      <c r="R857" s="315">
        <v>45145.4850925926</v>
      </c>
      <c r="S857" s="314" t="s">
        <v>3128</v>
      </c>
      <c r="T857" s="314" t="s">
        <v>177</v>
      </c>
      <c r="U857" s="314" t="s">
        <v>177</v>
      </c>
      <c r="V857" s="314" t="s">
        <v>114</v>
      </c>
      <c r="W857" s="314"/>
      <c r="X857" s="314" t="e">
        <f>VLOOKUP(D857,代理总表!A:D,3,0)</f>
        <v>#N/A</v>
      </c>
      <c r="Y857" t="e">
        <f>VLOOKUP(D:D,代理总表!A:D,4,FALSE)</f>
        <v>#N/A</v>
      </c>
      <c r="Z857">
        <f t="shared" si="39"/>
        <v>0</v>
      </c>
      <c r="AA857">
        <f t="shared" si="40"/>
        <v>11</v>
      </c>
      <c r="AB857">
        <f t="shared" si="41"/>
        <v>1</v>
      </c>
    </row>
    <row r="858" spans="1:28">
      <c r="A858" s="314" t="s">
        <v>3129</v>
      </c>
      <c r="B858" s="314"/>
      <c r="C858" s="314"/>
      <c r="D858" s="314" t="s">
        <v>197</v>
      </c>
      <c r="E858" s="314" t="s">
        <v>117</v>
      </c>
      <c r="F858" s="314" t="s">
        <v>118</v>
      </c>
      <c r="G858" s="314" t="s">
        <v>108</v>
      </c>
      <c r="H858" s="314" t="s">
        <v>119</v>
      </c>
      <c r="I858" s="314" t="s">
        <v>108</v>
      </c>
      <c r="J858" s="314" t="s">
        <v>120</v>
      </c>
      <c r="K858" s="314">
        <v>0</v>
      </c>
      <c r="L858" s="314">
        <v>0</v>
      </c>
      <c r="M858" s="315">
        <v>45145.4819675926</v>
      </c>
      <c r="N858" s="314" t="s">
        <v>3130</v>
      </c>
      <c r="O858" s="314" t="s">
        <v>617</v>
      </c>
      <c r="P858" s="314" t="s">
        <v>339</v>
      </c>
      <c r="Q858" s="314" t="s">
        <v>123</v>
      </c>
      <c r="R858" s="315">
        <v>45145.5530787037</v>
      </c>
      <c r="S858" s="314" t="s">
        <v>3130</v>
      </c>
      <c r="T858" s="314" t="s">
        <v>124</v>
      </c>
      <c r="U858" s="314" t="s">
        <v>124</v>
      </c>
      <c r="V858" s="314" t="s">
        <v>114</v>
      </c>
      <c r="W858" s="314"/>
      <c r="X858" s="314" t="str">
        <f>VLOOKUP(D858,代理总表!A:D,3,0)</f>
        <v>雨燕直播-越</v>
      </c>
      <c r="Y858" t="str">
        <f>VLOOKUP(D:D,代理总表!A:D,4,FALSE)</f>
        <v>雨燕直播-越ffvn66</v>
      </c>
      <c r="Z858">
        <f t="shared" si="39"/>
        <v>0</v>
      </c>
      <c r="AA858">
        <f t="shared" si="40"/>
        <v>11</v>
      </c>
      <c r="AB858">
        <f t="shared" si="41"/>
        <v>1</v>
      </c>
    </row>
    <row r="859" spans="1:28">
      <c r="A859" s="314" t="s">
        <v>3131</v>
      </c>
      <c r="B859" s="314" t="s">
        <v>3132</v>
      </c>
      <c r="C859" s="314">
        <v>13612384747</v>
      </c>
      <c r="D859" s="314" t="s">
        <v>148</v>
      </c>
      <c r="E859" s="314" t="s">
        <v>104</v>
      </c>
      <c r="F859" s="314" t="s">
        <v>149</v>
      </c>
      <c r="G859" s="314" t="s">
        <v>108</v>
      </c>
      <c r="H859" s="314" t="s">
        <v>119</v>
      </c>
      <c r="I859" s="314" t="s">
        <v>108</v>
      </c>
      <c r="J859" s="314" t="s">
        <v>109</v>
      </c>
      <c r="K859" s="314">
        <v>0</v>
      </c>
      <c r="L859" s="314">
        <v>0</v>
      </c>
      <c r="M859" s="315">
        <v>45145.4818171296</v>
      </c>
      <c r="N859" s="314" t="s">
        <v>3133</v>
      </c>
      <c r="O859" s="314" t="s">
        <v>585</v>
      </c>
      <c r="P859" s="314" t="s">
        <v>112</v>
      </c>
      <c r="Q859" s="314" t="s">
        <v>123</v>
      </c>
      <c r="R859" s="315">
        <v>45145.4821527778</v>
      </c>
      <c r="S859" s="314" t="s">
        <v>3133</v>
      </c>
      <c r="T859" s="314" t="s">
        <v>3134</v>
      </c>
      <c r="U859" s="314" t="s">
        <v>3134</v>
      </c>
      <c r="V859" s="314" t="s">
        <v>114</v>
      </c>
      <c r="W859" s="314"/>
      <c r="X859" s="314" t="str">
        <f>VLOOKUP(D859,代理总表!A:D,3,0)</f>
        <v>martin</v>
      </c>
      <c r="Y859" t="str">
        <f>VLOOKUP(D:D,代理总表!A:D,4,FALSE)</f>
        <v>SEO</v>
      </c>
      <c r="Z859">
        <f t="shared" si="39"/>
        <v>0</v>
      </c>
      <c r="AA859">
        <f t="shared" si="40"/>
        <v>11</v>
      </c>
      <c r="AB859">
        <f t="shared" si="41"/>
        <v>1</v>
      </c>
    </row>
    <row r="860" spans="1:28">
      <c r="A860" s="314" t="s">
        <v>3135</v>
      </c>
      <c r="B860" s="314"/>
      <c r="C860" s="314"/>
      <c r="D860" s="314" t="s">
        <v>103</v>
      </c>
      <c r="E860" s="314" t="s">
        <v>104</v>
      </c>
      <c r="F860" s="314" t="s">
        <v>118</v>
      </c>
      <c r="G860" s="314" t="s">
        <v>108</v>
      </c>
      <c r="H860" s="314" t="s">
        <v>119</v>
      </c>
      <c r="I860" s="314" t="s">
        <v>108</v>
      </c>
      <c r="J860" s="314" t="s">
        <v>109</v>
      </c>
      <c r="K860" s="314">
        <v>0</v>
      </c>
      <c r="L860" s="314">
        <v>0</v>
      </c>
      <c r="M860" s="315">
        <v>45145.4809143519</v>
      </c>
      <c r="N860" s="314" t="s">
        <v>3136</v>
      </c>
      <c r="O860" s="314" t="s">
        <v>1838</v>
      </c>
      <c r="P860" s="314" t="s">
        <v>112</v>
      </c>
      <c r="Q860" s="314" t="s">
        <v>123</v>
      </c>
      <c r="R860" s="314"/>
      <c r="S860" s="314"/>
      <c r="T860" s="314" t="s">
        <v>131</v>
      </c>
      <c r="U860" s="314"/>
      <c r="V860" s="314" t="s">
        <v>114</v>
      </c>
      <c r="W860" s="314"/>
      <c r="X860" s="314" t="str">
        <f>VLOOKUP(D860,代理总表!A:D,3,0)</f>
        <v>官网</v>
      </c>
      <c r="Y860" t="str">
        <f>VLOOKUP(D:D,代理总表!A:D,4,FALSE)</f>
        <v>官网</v>
      </c>
      <c r="Z860">
        <f t="shared" si="39"/>
        <v>0</v>
      </c>
      <c r="AA860">
        <f t="shared" si="40"/>
        <v>11</v>
      </c>
      <c r="AB860">
        <f t="shared" si="41"/>
        <v>1</v>
      </c>
    </row>
    <row r="861" spans="1:28">
      <c r="A861" s="314" t="s">
        <v>3137</v>
      </c>
      <c r="B861" s="314"/>
      <c r="C861" s="314">
        <v>15736933072</v>
      </c>
      <c r="D861" s="314" t="s">
        <v>148</v>
      </c>
      <c r="E861" s="314" t="s">
        <v>104</v>
      </c>
      <c r="F861" s="314" t="s">
        <v>149</v>
      </c>
      <c r="G861" s="314" t="s">
        <v>108</v>
      </c>
      <c r="H861" s="314" t="s">
        <v>119</v>
      </c>
      <c r="I861" s="314" t="s">
        <v>108</v>
      </c>
      <c r="J861" s="314" t="s">
        <v>109</v>
      </c>
      <c r="K861" s="314">
        <v>0</v>
      </c>
      <c r="L861" s="314">
        <v>0</v>
      </c>
      <c r="M861" s="315">
        <v>45145.4806134259</v>
      </c>
      <c r="N861" s="314" t="s">
        <v>3138</v>
      </c>
      <c r="O861" s="314" t="s">
        <v>585</v>
      </c>
      <c r="P861" s="314" t="s">
        <v>112</v>
      </c>
      <c r="Q861" s="314" t="s">
        <v>123</v>
      </c>
      <c r="R861" s="315">
        <v>45145.4892361111</v>
      </c>
      <c r="S861" s="314" t="s">
        <v>3138</v>
      </c>
      <c r="T861" s="314" t="s">
        <v>3139</v>
      </c>
      <c r="U861" s="314" t="s">
        <v>3139</v>
      </c>
      <c r="V861" s="314" t="s">
        <v>114</v>
      </c>
      <c r="W861" s="314"/>
      <c r="X861" s="314" t="str">
        <f>VLOOKUP(D861,代理总表!A:D,3,0)</f>
        <v>martin</v>
      </c>
      <c r="Y861" t="str">
        <f>VLOOKUP(D:D,代理总表!A:D,4,FALSE)</f>
        <v>SEO</v>
      </c>
      <c r="Z861">
        <f t="shared" si="39"/>
        <v>0</v>
      </c>
      <c r="AA861">
        <f t="shared" si="40"/>
        <v>11</v>
      </c>
      <c r="AB861">
        <f t="shared" si="41"/>
        <v>1</v>
      </c>
    </row>
    <row r="862" spans="1:28">
      <c r="A862" s="314" t="s">
        <v>3140</v>
      </c>
      <c r="B862" s="314"/>
      <c r="C862" s="314">
        <v>934773097</v>
      </c>
      <c r="D862" s="314" t="s">
        <v>2615</v>
      </c>
      <c r="E862" s="314" t="s">
        <v>117</v>
      </c>
      <c r="F862" s="314" t="s">
        <v>118</v>
      </c>
      <c r="G862" s="314" t="s">
        <v>108</v>
      </c>
      <c r="H862" s="314" t="s">
        <v>119</v>
      </c>
      <c r="I862" s="314" t="s">
        <v>108</v>
      </c>
      <c r="J862" s="314" t="s">
        <v>120</v>
      </c>
      <c r="K862" s="314">
        <v>0</v>
      </c>
      <c r="L862" s="314">
        <v>0</v>
      </c>
      <c r="M862" s="315">
        <v>45145.4796990741</v>
      </c>
      <c r="N862" s="314" t="s">
        <v>3141</v>
      </c>
      <c r="O862" s="314" t="s">
        <v>2617</v>
      </c>
      <c r="P862" s="314" t="s">
        <v>112</v>
      </c>
      <c r="Q862" s="314" t="s">
        <v>123</v>
      </c>
      <c r="R862" s="315">
        <v>45145.4823726852</v>
      </c>
      <c r="S862" s="314" t="s">
        <v>3141</v>
      </c>
      <c r="T862" s="314" t="s">
        <v>1498</v>
      </c>
      <c r="U862" s="314" t="s">
        <v>1498</v>
      </c>
      <c r="V862" s="314" t="s">
        <v>114</v>
      </c>
      <c r="W862" s="314"/>
      <c r="X862" s="314" t="e">
        <f>VLOOKUP(D862,代理总表!A:D,3,0)</f>
        <v>#N/A</v>
      </c>
      <c r="Y862" t="e">
        <f>VLOOKUP(D:D,代理总表!A:D,4,FALSE)</f>
        <v>#N/A</v>
      </c>
      <c r="Z862">
        <f t="shared" si="39"/>
        <v>0</v>
      </c>
      <c r="AA862">
        <f t="shared" si="40"/>
        <v>11</v>
      </c>
      <c r="AB862">
        <f t="shared" si="41"/>
        <v>1</v>
      </c>
    </row>
    <row r="863" spans="1:28">
      <c r="A863" s="314" t="s">
        <v>3142</v>
      </c>
      <c r="B863" s="314"/>
      <c r="C863" s="314">
        <v>15111267688</v>
      </c>
      <c r="D863" s="314" t="s">
        <v>148</v>
      </c>
      <c r="E863" s="314" t="s">
        <v>104</v>
      </c>
      <c r="F863" s="314" t="s">
        <v>149</v>
      </c>
      <c r="G863" s="314" t="s">
        <v>108</v>
      </c>
      <c r="H863" s="314" t="s">
        <v>119</v>
      </c>
      <c r="I863" s="314" t="s">
        <v>108</v>
      </c>
      <c r="J863" s="314" t="s">
        <v>109</v>
      </c>
      <c r="K863" s="314">
        <v>0</v>
      </c>
      <c r="L863" s="314">
        <v>0</v>
      </c>
      <c r="M863" s="315">
        <v>45145.4792939815</v>
      </c>
      <c r="N863" s="314" t="s">
        <v>3143</v>
      </c>
      <c r="O863" s="314" t="s">
        <v>160</v>
      </c>
      <c r="P863" s="314" t="s">
        <v>161</v>
      </c>
      <c r="Q863" s="314" t="s">
        <v>123</v>
      </c>
      <c r="R863" s="315">
        <v>45145.488912037</v>
      </c>
      <c r="S863" s="314" t="s">
        <v>3143</v>
      </c>
      <c r="T863" s="314" t="s">
        <v>939</v>
      </c>
      <c r="U863" s="314" t="s">
        <v>939</v>
      </c>
      <c r="V863" s="314" t="s">
        <v>114</v>
      </c>
      <c r="W863" s="314"/>
      <c r="X863" s="314" t="str">
        <f>VLOOKUP(D863,代理总表!A:D,3,0)</f>
        <v>martin</v>
      </c>
      <c r="Y863" t="str">
        <f>VLOOKUP(D:D,代理总表!A:D,4,FALSE)</f>
        <v>SEO</v>
      </c>
      <c r="Z863">
        <f t="shared" si="39"/>
        <v>0</v>
      </c>
      <c r="AA863">
        <f t="shared" si="40"/>
        <v>11</v>
      </c>
      <c r="AB863">
        <f t="shared" si="41"/>
        <v>1</v>
      </c>
    </row>
    <row r="864" spans="1:28">
      <c r="A864" s="314" t="s">
        <v>3144</v>
      </c>
      <c r="B864" s="314" t="s">
        <v>3145</v>
      </c>
      <c r="C864" s="314">
        <v>876322178</v>
      </c>
      <c r="D864" s="314" t="s">
        <v>1265</v>
      </c>
      <c r="E864" s="314" t="s">
        <v>117</v>
      </c>
      <c r="F864" s="314" t="s">
        <v>118</v>
      </c>
      <c r="G864" s="314" t="s">
        <v>108</v>
      </c>
      <c r="H864" s="314" t="s">
        <v>119</v>
      </c>
      <c r="I864" s="314" t="s">
        <v>108</v>
      </c>
      <c r="J864" s="314" t="s">
        <v>120</v>
      </c>
      <c r="K864" s="314">
        <v>0</v>
      </c>
      <c r="L864" s="314">
        <v>0</v>
      </c>
      <c r="M864" s="315">
        <v>45145.4788888889</v>
      </c>
      <c r="N864" s="314" t="s">
        <v>3146</v>
      </c>
      <c r="O864" s="314" t="s">
        <v>1267</v>
      </c>
      <c r="P864" s="314" t="s">
        <v>112</v>
      </c>
      <c r="Q864" s="314" t="s">
        <v>123</v>
      </c>
      <c r="R864" s="315">
        <v>45145.4788773148</v>
      </c>
      <c r="S864" s="314" t="s">
        <v>3146</v>
      </c>
      <c r="T864" s="314" t="s">
        <v>124</v>
      </c>
      <c r="U864" s="314" t="s">
        <v>124</v>
      </c>
      <c r="V864" s="314" t="s">
        <v>114</v>
      </c>
      <c r="W864" s="314"/>
      <c r="X864" s="314" t="e">
        <f>VLOOKUP(D864,代理总表!A:D,3,0)</f>
        <v>#N/A</v>
      </c>
      <c r="Y864" t="e">
        <f>VLOOKUP(D:D,代理总表!A:D,4,FALSE)</f>
        <v>#N/A</v>
      </c>
      <c r="Z864">
        <f t="shared" si="39"/>
        <v>0</v>
      </c>
      <c r="AA864">
        <f t="shared" si="40"/>
        <v>11</v>
      </c>
      <c r="AB864">
        <f t="shared" si="41"/>
        <v>1</v>
      </c>
    </row>
    <row r="865" spans="1:28">
      <c r="A865" s="314" t="s">
        <v>3147</v>
      </c>
      <c r="B865" s="314" t="s">
        <v>3148</v>
      </c>
      <c r="C865" s="314">
        <v>383254867</v>
      </c>
      <c r="D865" s="314" t="s">
        <v>651</v>
      </c>
      <c r="E865" s="314" t="s">
        <v>117</v>
      </c>
      <c r="F865" s="314" t="s">
        <v>144</v>
      </c>
      <c r="G865" s="314" t="s">
        <v>106</v>
      </c>
      <c r="H865" s="314" t="s">
        <v>856</v>
      </c>
      <c r="I865" s="314" t="s">
        <v>108</v>
      </c>
      <c r="J865" s="314" t="s">
        <v>120</v>
      </c>
      <c r="K865" s="314">
        <v>2000040</v>
      </c>
      <c r="L865" s="314">
        <v>5300000</v>
      </c>
      <c r="M865" s="315">
        <v>45145.4784143519</v>
      </c>
      <c r="N865" s="314" t="s">
        <v>3149</v>
      </c>
      <c r="O865" s="314" t="s">
        <v>653</v>
      </c>
      <c r="P865" s="314" t="s">
        <v>112</v>
      </c>
      <c r="Q865" s="315">
        <v>45145.4963888889</v>
      </c>
      <c r="R865" s="315">
        <v>45146.3559490741</v>
      </c>
      <c r="S865" s="314" t="s">
        <v>3149</v>
      </c>
      <c r="T865" s="314" t="s">
        <v>217</v>
      </c>
      <c r="U865" s="314" t="s">
        <v>217</v>
      </c>
      <c r="V865" s="314" t="s">
        <v>114</v>
      </c>
      <c r="W865" s="314"/>
      <c r="X865" s="314" t="str">
        <f>VLOOKUP(D865,代理总表!A:D,3,0)</f>
        <v>雨燕直播-越</v>
      </c>
      <c r="Y865" t="str">
        <f>VLOOKUP(D:D,代理总表!A:D,4,FALSE)</f>
        <v>雨燕直播-越ffvn66</v>
      </c>
      <c r="Z865">
        <f t="shared" si="39"/>
        <v>1</v>
      </c>
      <c r="AA865">
        <f t="shared" si="40"/>
        <v>11</v>
      </c>
      <c r="AB865">
        <f t="shared" si="41"/>
        <v>1</v>
      </c>
    </row>
    <row r="866" spans="1:28">
      <c r="A866" s="314" t="s">
        <v>3150</v>
      </c>
      <c r="B866" s="314"/>
      <c r="C866" s="314"/>
      <c r="D866" s="314" t="s">
        <v>3151</v>
      </c>
      <c r="E866" s="314" t="s">
        <v>117</v>
      </c>
      <c r="F866" s="314" t="s">
        <v>118</v>
      </c>
      <c r="G866" s="314" t="s">
        <v>108</v>
      </c>
      <c r="H866" s="314" t="s">
        <v>119</v>
      </c>
      <c r="I866" s="314" t="s">
        <v>108</v>
      </c>
      <c r="J866" s="314" t="s">
        <v>120</v>
      </c>
      <c r="K866" s="314">
        <v>0</v>
      </c>
      <c r="L866" s="314">
        <v>0</v>
      </c>
      <c r="M866" s="315">
        <v>45145.4781134259</v>
      </c>
      <c r="N866" s="314" t="s">
        <v>3152</v>
      </c>
      <c r="O866" s="314" t="s">
        <v>3153</v>
      </c>
      <c r="P866" s="314" t="s">
        <v>112</v>
      </c>
      <c r="Q866" s="314" t="s">
        <v>123</v>
      </c>
      <c r="R866" s="315">
        <v>45145.4781134259</v>
      </c>
      <c r="S866" s="314" t="s">
        <v>3152</v>
      </c>
      <c r="T866" s="314" t="s">
        <v>124</v>
      </c>
      <c r="U866" s="314" t="s">
        <v>124</v>
      </c>
      <c r="V866" s="314" t="s">
        <v>114</v>
      </c>
      <c r="W866" s="314"/>
      <c r="X866" s="314" t="str">
        <f>VLOOKUP(D866,代理总表!A:D,3,0)</f>
        <v>SOCO越南直播</v>
      </c>
      <c r="Y866" t="str">
        <f>VLOOKUP(D:D,代理总表!A:D,4,FALSE)</f>
        <v>SOCO越南直播ffvn66</v>
      </c>
      <c r="Z866">
        <f t="shared" si="39"/>
        <v>0</v>
      </c>
      <c r="AA866">
        <f t="shared" si="40"/>
        <v>11</v>
      </c>
      <c r="AB866">
        <f t="shared" si="41"/>
        <v>1</v>
      </c>
    </row>
    <row r="867" spans="1:28">
      <c r="A867" s="314" t="s">
        <v>3154</v>
      </c>
      <c r="B867" s="314" t="s">
        <v>3155</v>
      </c>
      <c r="C867" s="314">
        <v>374763015</v>
      </c>
      <c r="D867" s="314" t="s">
        <v>143</v>
      </c>
      <c r="E867" s="314" t="s">
        <v>117</v>
      </c>
      <c r="F867" s="314" t="s">
        <v>144</v>
      </c>
      <c r="G867" s="314" t="s">
        <v>106</v>
      </c>
      <c r="H867" s="314" t="s">
        <v>107</v>
      </c>
      <c r="I867" s="314" t="s">
        <v>108</v>
      </c>
      <c r="J867" s="314" t="s">
        <v>120</v>
      </c>
      <c r="K867" s="314">
        <v>120000</v>
      </c>
      <c r="L867" s="314">
        <v>1000000</v>
      </c>
      <c r="M867" s="315">
        <v>45145.4776388889</v>
      </c>
      <c r="N867" s="314" t="s">
        <v>3156</v>
      </c>
      <c r="O867" s="314" t="s">
        <v>407</v>
      </c>
      <c r="P867" s="314" t="s">
        <v>112</v>
      </c>
      <c r="Q867" s="315">
        <v>45145.4892476852</v>
      </c>
      <c r="R867" s="315">
        <v>45146.3426967593</v>
      </c>
      <c r="S867" s="314" t="s">
        <v>3157</v>
      </c>
      <c r="T867" s="314" t="s">
        <v>216</v>
      </c>
      <c r="U867" s="314" t="s">
        <v>216</v>
      </c>
      <c r="V867" s="314" t="s">
        <v>114</v>
      </c>
      <c r="W867" s="314"/>
      <c r="X867" s="314" t="str">
        <f>VLOOKUP(D867,代理总表!A:D,3,0)</f>
        <v>雨燕直播-越</v>
      </c>
      <c r="Y867" t="str">
        <f>VLOOKUP(D:D,代理总表!A:D,4,FALSE)</f>
        <v>雨燕直播-越ffvn66</v>
      </c>
      <c r="Z867">
        <f t="shared" si="39"/>
        <v>1</v>
      </c>
      <c r="AA867">
        <f t="shared" si="40"/>
        <v>11</v>
      </c>
      <c r="AB867">
        <f t="shared" si="41"/>
        <v>1</v>
      </c>
    </row>
    <row r="868" spans="1:28">
      <c r="A868" s="314" t="s">
        <v>3158</v>
      </c>
      <c r="B868" s="314" t="s">
        <v>3159</v>
      </c>
      <c r="C868" s="314">
        <v>18552777723</v>
      </c>
      <c r="D868" s="314" t="s">
        <v>103</v>
      </c>
      <c r="E868" s="314" t="s">
        <v>104</v>
      </c>
      <c r="F868" s="314" t="s">
        <v>118</v>
      </c>
      <c r="G868" s="314" t="s">
        <v>108</v>
      </c>
      <c r="H868" s="314" t="s">
        <v>119</v>
      </c>
      <c r="I868" s="314" t="s">
        <v>108</v>
      </c>
      <c r="J868" s="314" t="s">
        <v>109</v>
      </c>
      <c r="K868" s="314">
        <v>0</v>
      </c>
      <c r="L868" s="314">
        <v>0</v>
      </c>
      <c r="M868" s="315">
        <v>45145.4771064815</v>
      </c>
      <c r="N868" s="314" t="s">
        <v>3160</v>
      </c>
      <c r="O868" s="314" t="s">
        <v>350</v>
      </c>
      <c r="P868" s="314" t="s">
        <v>112</v>
      </c>
      <c r="Q868" s="314" t="s">
        <v>123</v>
      </c>
      <c r="R868" s="315">
        <v>45145.4820023148</v>
      </c>
      <c r="S868" s="314" t="s">
        <v>3160</v>
      </c>
      <c r="T868" s="314" t="s">
        <v>2456</v>
      </c>
      <c r="U868" s="314" t="s">
        <v>2456</v>
      </c>
      <c r="V868" s="314" t="s">
        <v>114</v>
      </c>
      <c r="W868" s="314"/>
      <c r="X868" s="314" t="str">
        <f>VLOOKUP(D868,代理总表!A:D,3,0)</f>
        <v>官网</v>
      </c>
      <c r="Y868" t="str">
        <f>VLOOKUP(D:D,代理总表!A:D,4,FALSE)</f>
        <v>官网</v>
      </c>
      <c r="Z868">
        <f t="shared" si="39"/>
        <v>0</v>
      </c>
      <c r="AA868">
        <f t="shared" si="40"/>
        <v>11</v>
      </c>
      <c r="AB868">
        <f t="shared" si="41"/>
        <v>1</v>
      </c>
    </row>
    <row r="869" spans="1:28">
      <c r="A869" s="314" t="s">
        <v>3161</v>
      </c>
      <c r="B869" s="314" t="s">
        <v>3162</v>
      </c>
      <c r="C869" s="314">
        <v>934412826</v>
      </c>
      <c r="D869" s="314" t="s">
        <v>197</v>
      </c>
      <c r="E869" s="314" t="s">
        <v>117</v>
      </c>
      <c r="F869" s="314" t="s">
        <v>118</v>
      </c>
      <c r="G869" s="314" t="s">
        <v>108</v>
      </c>
      <c r="H869" s="314" t="s">
        <v>119</v>
      </c>
      <c r="I869" s="314" t="s">
        <v>108</v>
      </c>
      <c r="J869" s="314" t="s">
        <v>120</v>
      </c>
      <c r="K869" s="314">
        <v>0</v>
      </c>
      <c r="L869" s="314">
        <v>0</v>
      </c>
      <c r="M869" s="315">
        <v>45145.4770949074</v>
      </c>
      <c r="N869" s="314" t="s">
        <v>3163</v>
      </c>
      <c r="O869" s="314" t="s">
        <v>199</v>
      </c>
      <c r="P869" s="314" t="s">
        <v>112</v>
      </c>
      <c r="Q869" s="314" t="s">
        <v>123</v>
      </c>
      <c r="R869" s="315">
        <v>45145.5960648148</v>
      </c>
      <c r="S869" s="314" t="s">
        <v>3163</v>
      </c>
      <c r="T869" s="314" t="s">
        <v>131</v>
      </c>
      <c r="U869" s="314" t="s">
        <v>131</v>
      </c>
      <c r="V869" s="314" t="s">
        <v>114</v>
      </c>
      <c r="W869" s="314"/>
      <c r="X869" s="314" t="str">
        <f>VLOOKUP(D869,代理总表!A:D,3,0)</f>
        <v>雨燕直播-越</v>
      </c>
      <c r="Y869" t="str">
        <f>VLOOKUP(D:D,代理总表!A:D,4,FALSE)</f>
        <v>雨燕直播-越ffvn66</v>
      </c>
      <c r="Z869">
        <f t="shared" si="39"/>
        <v>0</v>
      </c>
      <c r="AA869">
        <f t="shared" si="40"/>
        <v>11</v>
      </c>
      <c r="AB869">
        <f t="shared" si="41"/>
        <v>1</v>
      </c>
    </row>
    <row r="870" spans="1:28">
      <c r="A870" s="314" t="s">
        <v>3164</v>
      </c>
      <c r="B870" s="314"/>
      <c r="C870" s="314">
        <v>373313270</v>
      </c>
      <c r="D870" s="314" t="s">
        <v>197</v>
      </c>
      <c r="E870" s="314" t="s">
        <v>117</v>
      </c>
      <c r="F870" s="314" t="s">
        <v>118</v>
      </c>
      <c r="G870" s="314" t="s">
        <v>108</v>
      </c>
      <c r="H870" s="314" t="s">
        <v>119</v>
      </c>
      <c r="I870" s="314" t="s">
        <v>108</v>
      </c>
      <c r="J870" s="314" t="s">
        <v>120</v>
      </c>
      <c r="K870" s="314">
        <v>0</v>
      </c>
      <c r="L870" s="314">
        <v>0</v>
      </c>
      <c r="M870" s="315">
        <v>45145.4767476852</v>
      </c>
      <c r="N870" s="314" t="s">
        <v>3165</v>
      </c>
      <c r="O870" s="314" t="s">
        <v>875</v>
      </c>
      <c r="P870" s="314" t="s">
        <v>112</v>
      </c>
      <c r="Q870" s="314" t="s">
        <v>123</v>
      </c>
      <c r="R870" s="315">
        <v>45145.4909837963</v>
      </c>
      <c r="S870" s="314" t="s">
        <v>3165</v>
      </c>
      <c r="T870" s="314" t="s">
        <v>177</v>
      </c>
      <c r="U870" s="314" t="s">
        <v>177</v>
      </c>
      <c r="V870" s="314" t="s">
        <v>114</v>
      </c>
      <c r="W870" s="314"/>
      <c r="X870" s="314" t="str">
        <f>VLOOKUP(D870,代理总表!A:D,3,0)</f>
        <v>雨燕直播-越</v>
      </c>
      <c r="Y870" t="str">
        <f>VLOOKUP(D:D,代理总表!A:D,4,FALSE)</f>
        <v>雨燕直播-越ffvn66</v>
      </c>
      <c r="Z870">
        <f t="shared" si="39"/>
        <v>0</v>
      </c>
      <c r="AA870">
        <f t="shared" si="40"/>
        <v>11</v>
      </c>
      <c r="AB870">
        <f t="shared" si="41"/>
        <v>1</v>
      </c>
    </row>
    <row r="871" spans="1:28">
      <c r="A871" s="314" t="s">
        <v>3166</v>
      </c>
      <c r="B871" s="314"/>
      <c r="C871" s="314"/>
      <c r="D871" s="314" t="s">
        <v>172</v>
      </c>
      <c r="E871" s="314" t="s">
        <v>117</v>
      </c>
      <c r="F871" s="314" t="s">
        <v>118</v>
      </c>
      <c r="G871" s="314" t="s">
        <v>108</v>
      </c>
      <c r="H871" s="314" t="s">
        <v>119</v>
      </c>
      <c r="I871" s="314" t="s">
        <v>108</v>
      </c>
      <c r="J871" s="314" t="s">
        <v>120</v>
      </c>
      <c r="K871" s="314">
        <v>0</v>
      </c>
      <c r="L871" s="314">
        <v>0</v>
      </c>
      <c r="M871" s="315">
        <v>45145.4754976852</v>
      </c>
      <c r="N871" s="314" t="s">
        <v>3167</v>
      </c>
      <c r="O871" s="314" t="s">
        <v>881</v>
      </c>
      <c r="P871" s="314" t="s">
        <v>112</v>
      </c>
      <c r="Q871" s="314" t="s">
        <v>123</v>
      </c>
      <c r="R871" s="315">
        <v>45145.5048958333</v>
      </c>
      <c r="S871" s="314" t="s">
        <v>3167</v>
      </c>
      <c r="T871" s="314" t="s">
        <v>1196</v>
      </c>
      <c r="U871" s="314" t="s">
        <v>1196</v>
      </c>
      <c r="V871" s="314" t="s">
        <v>114</v>
      </c>
      <c r="W871" s="314"/>
      <c r="X871" s="314" t="str">
        <f>VLOOKUP(D871,代理总表!A:D,3,0)</f>
        <v>雨燕直播-越</v>
      </c>
      <c r="Y871" t="str">
        <f>VLOOKUP(D:D,代理总表!A:D,4,FALSE)</f>
        <v>雨燕直播-越ffvn66</v>
      </c>
      <c r="Z871">
        <f t="shared" si="39"/>
        <v>0</v>
      </c>
      <c r="AA871">
        <f t="shared" si="40"/>
        <v>11</v>
      </c>
      <c r="AB871">
        <f t="shared" si="41"/>
        <v>1</v>
      </c>
    </row>
    <row r="872" spans="1:28">
      <c r="A872" s="314" t="s">
        <v>3168</v>
      </c>
      <c r="B872" s="314"/>
      <c r="C872" s="314">
        <v>13002227775</v>
      </c>
      <c r="D872" s="314" t="s">
        <v>1109</v>
      </c>
      <c r="E872" s="314" t="s">
        <v>104</v>
      </c>
      <c r="F872" s="314" t="s">
        <v>118</v>
      </c>
      <c r="G872" s="314" t="s">
        <v>108</v>
      </c>
      <c r="H872" s="314" t="s">
        <v>119</v>
      </c>
      <c r="I872" s="314" t="s">
        <v>108</v>
      </c>
      <c r="J872" s="314" t="s">
        <v>109</v>
      </c>
      <c r="K872" s="314">
        <v>0</v>
      </c>
      <c r="L872" s="314">
        <v>0</v>
      </c>
      <c r="M872" s="315">
        <v>45145.4734953704</v>
      </c>
      <c r="N872" s="314" t="s">
        <v>3169</v>
      </c>
      <c r="O872" s="314" t="s">
        <v>2371</v>
      </c>
      <c r="P872" s="314" t="s">
        <v>339</v>
      </c>
      <c r="Q872" s="314" t="s">
        <v>123</v>
      </c>
      <c r="R872" s="315">
        <v>45145.4817824074</v>
      </c>
      <c r="S872" s="314" t="s">
        <v>3169</v>
      </c>
      <c r="T872" s="314" t="s">
        <v>3170</v>
      </c>
      <c r="U872" s="314" t="s">
        <v>3170</v>
      </c>
      <c r="V872" s="314" t="s">
        <v>114</v>
      </c>
      <c r="W872" s="314"/>
      <c r="X872" s="314" t="str">
        <f>VLOOKUP(D872,代理总表!A:D,3,0)</f>
        <v>飞哥雨燕直播</v>
      </c>
      <c r="Y872" t="str">
        <f>VLOOKUP(D:D,代理总表!A:D,4,FALSE)</f>
        <v>飞哥雨燕直播ffmk88</v>
      </c>
      <c r="Z872">
        <f t="shared" si="39"/>
        <v>0</v>
      </c>
      <c r="AA872">
        <f t="shared" si="40"/>
        <v>11</v>
      </c>
      <c r="AB872">
        <f t="shared" si="41"/>
        <v>1</v>
      </c>
    </row>
    <row r="873" spans="1:28">
      <c r="A873" s="314" t="s">
        <v>3171</v>
      </c>
      <c r="B873" s="314" t="s">
        <v>3172</v>
      </c>
      <c r="C873" s="314">
        <v>834475678</v>
      </c>
      <c r="D873" s="314" t="s">
        <v>143</v>
      </c>
      <c r="E873" s="314" t="s">
        <v>117</v>
      </c>
      <c r="F873" s="314" t="s">
        <v>144</v>
      </c>
      <c r="G873" s="314" t="s">
        <v>106</v>
      </c>
      <c r="H873" s="314" t="s">
        <v>107</v>
      </c>
      <c r="I873" s="314" t="s">
        <v>108</v>
      </c>
      <c r="J873" s="314" t="s">
        <v>120</v>
      </c>
      <c r="K873" s="314">
        <v>120000</v>
      </c>
      <c r="L873" s="314">
        <v>1000000</v>
      </c>
      <c r="M873" s="315">
        <v>45145.4733912037</v>
      </c>
      <c r="N873" s="314" t="s">
        <v>3173</v>
      </c>
      <c r="O873" s="314" t="s">
        <v>407</v>
      </c>
      <c r="P873" s="314" t="s">
        <v>112</v>
      </c>
      <c r="Q873" s="315">
        <v>45145.4956018518</v>
      </c>
      <c r="R873" s="315">
        <v>45146.2671990741</v>
      </c>
      <c r="S873" s="314" t="s">
        <v>3174</v>
      </c>
      <c r="T873" s="314" t="s">
        <v>131</v>
      </c>
      <c r="U873" s="314" t="s">
        <v>217</v>
      </c>
      <c r="V873" s="314" t="s">
        <v>114</v>
      </c>
      <c r="W873" s="314"/>
      <c r="X873" s="314" t="str">
        <f>VLOOKUP(D873,代理总表!A:D,3,0)</f>
        <v>雨燕直播-越</v>
      </c>
      <c r="Y873" t="str">
        <f>VLOOKUP(D:D,代理总表!A:D,4,FALSE)</f>
        <v>雨燕直播-越ffvn66</v>
      </c>
      <c r="Z873">
        <f t="shared" si="39"/>
        <v>1</v>
      </c>
      <c r="AA873">
        <f t="shared" si="40"/>
        <v>11</v>
      </c>
      <c r="AB873">
        <f t="shared" si="41"/>
        <v>1</v>
      </c>
    </row>
    <row r="874" spans="1:28">
      <c r="A874" s="314" t="s">
        <v>3175</v>
      </c>
      <c r="B874" s="314"/>
      <c r="C874" s="314"/>
      <c r="D874" s="314" t="s">
        <v>143</v>
      </c>
      <c r="E874" s="314" t="s">
        <v>117</v>
      </c>
      <c r="F874" s="314" t="s">
        <v>118</v>
      </c>
      <c r="G874" s="314" t="s">
        <v>108</v>
      </c>
      <c r="H874" s="314" t="s">
        <v>119</v>
      </c>
      <c r="I874" s="314" t="s">
        <v>108</v>
      </c>
      <c r="J874" s="314" t="s">
        <v>120</v>
      </c>
      <c r="K874" s="314">
        <v>0</v>
      </c>
      <c r="L874" s="314">
        <v>0</v>
      </c>
      <c r="M874" s="315">
        <v>45145.472962963</v>
      </c>
      <c r="N874" s="314" t="s">
        <v>3176</v>
      </c>
      <c r="O874" s="314" t="s">
        <v>146</v>
      </c>
      <c r="P874" s="314" t="s">
        <v>112</v>
      </c>
      <c r="Q874" s="314" t="s">
        <v>123</v>
      </c>
      <c r="R874" s="315">
        <v>45145.6972916667</v>
      </c>
      <c r="S874" s="314" t="s">
        <v>3177</v>
      </c>
      <c r="T874" s="314" t="s">
        <v>2249</v>
      </c>
      <c r="U874" s="314" t="s">
        <v>124</v>
      </c>
      <c r="V874" s="314" t="s">
        <v>114</v>
      </c>
      <c r="W874" s="314"/>
      <c r="X874" s="314" t="str">
        <f>VLOOKUP(D874,代理总表!A:D,3,0)</f>
        <v>雨燕直播-越</v>
      </c>
      <c r="Y874" t="str">
        <f>VLOOKUP(D:D,代理总表!A:D,4,FALSE)</f>
        <v>雨燕直播-越ffvn66</v>
      </c>
      <c r="Z874">
        <f t="shared" si="39"/>
        <v>0</v>
      </c>
      <c r="AA874">
        <f t="shared" si="40"/>
        <v>11</v>
      </c>
      <c r="AB874">
        <f t="shared" si="41"/>
        <v>1</v>
      </c>
    </row>
    <row r="875" spans="1:28">
      <c r="A875" s="314" t="s">
        <v>3178</v>
      </c>
      <c r="B875" s="314"/>
      <c r="C875" s="314"/>
      <c r="D875" s="314" t="s">
        <v>103</v>
      </c>
      <c r="E875" s="314" t="s">
        <v>506</v>
      </c>
      <c r="F875" s="314" t="s">
        <v>118</v>
      </c>
      <c r="G875" s="314" t="s">
        <v>108</v>
      </c>
      <c r="H875" s="314" t="s">
        <v>119</v>
      </c>
      <c r="I875" s="314" t="s">
        <v>108</v>
      </c>
      <c r="J875" s="314" t="s">
        <v>109</v>
      </c>
      <c r="K875" s="314">
        <v>0</v>
      </c>
      <c r="L875" s="314">
        <v>0</v>
      </c>
      <c r="M875" s="315">
        <v>45145.4724884259</v>
      </c>
      <c r="N875" s="314" t="s">
        <v>3179</v>
      </c>
      <c r="O875" s="314" t="s">
        <v>350</v>
      </c>
      <c r="P875" s="314" t="s">
        <v>112</v>
      </c>
      <c r="Q875" s="314" t="s">
        <v>123</v>
      </c>
      <c r="R875" s="315">
        <v>45145.6936111111</v>
      </c>
      <c r="S875" s="314" t="s">
        <v>3179</v>
      </c>
      <c r="T875" s="314" t="s">
        <v>340</v>
      </c>
      <c r="U875" s="314" t="s">
        <v>340</v>
      </c>
      <c r="V875" s="314" t="s">
        <v>114</v>
      </c>
      <c r="W875" s="314"/>
      <c r="X875" s="314" t="str">
        <f>VLOOKUP(D875,代理总表!A:D,3,0)</f>
        <v>官网</v>
      </c>
      <c r="Y875" t="str">
        <f>VLOOKUP(D:D,代理总表!A:D,4,FALSE)</f>
        <v>官网</v>
      </c>
      <c r="Z875">
        <f t="shared" si="39"/>
        <v>0</v>
      </c>
      <c r="AA875">
        <f t="shared" si="40"/>
        <v>11</v>
      </c>
      <c r="AB875">
        <f t="shared" si="41"/>
        <v>1</v>
      </c>
    </row>
    <row r="876" spans="1:28">
      <c r="A876" s="314" t="s">
        <v>3180</v>
      </c>
      <c r="B876" s="314"/>
      <c r="C876" s="314">
        <v>13046521520</v>
      </c>
      <c r="D876" s="314" t="s">
        <v>259</v>
      </c>
      <c r="E876" s="314" t="s">
        <v>104</v>
      </c>
      <c r="F876" s="314" t="s">
        <v>149</v>
      </c>
      <c r="G876" s="314" t="s">
        <v>108</v>
      </c>
      <c r="H876" s="314" t="s">
        <v>119</v>
      </c>
      <c r="I876" s="314" t="s">
        <v>108</v>
      </c>
      <c r="J876" s="314" t="s">
        <v>109</v>
      </c>
      <c r="K876" s="314">
        <v>0</v>
      </c>
      <c r="L876" s="314">
        <v>0</v>
      </c>
      <c r="M876" s="315">
        <v>45145.4716550926</v>
      </c>
      <c r="N876" s="314" t="s">
        <v>3181</v>
      </c>
      <c r="O876" s="314" t="s">
        <v>471</v>
      </c>
      <c r="P876" s="314" t="s">
        <v>208</v>
      </c>
      <c r="Q876" s="314" t="s">
        <v>123</v>
      </c>
      <c r="R876" s="315">
        <v>45145.4716550926</v>
      </c>
      <c r="S876" s="314" t="s">
        <v>3181</v>
      </c>
      <c r="T876" s="314" t="s">
        <v>2010</v>
      </c>
      <c r="U876" s="314" t="s">
        <v>2010</v>
      </c>
      <c r="V876" s="314" t="s">
        <v>114</v>
      </c>
      <c r="W876" s="314"/>
      <c r="X876" s="314" t="str">
        <f>VLOOKUP(D876,代理总表!A:D,3,0)</f>
        <v>tony</v>
      </c>
      <c r="Y876" t="str">
        <f>VLOOKUP(D:D,代理总表!A:D,4,FALSE)</f>
        <v>SEO</v>
      </c>
      <c r="Z876">
        <f t="shared" si="39"/>
        <v>0</v>
      </c>
      <c r="AA876">
        <f t="shared" si="40"/>
        <v>11</v>
      </c>
      <c r="AB876">
        <f t="shared" si="41"/>
        <v>1</v>
      </c>
    </row>
    <row r="877" spans="1:28">
      <c r="A877" s="314" t="s">
        <v>3182</v>
      </c>
      <c r="B877" s="314" t="s">
        <v>3183</v>
      </c>
      <c r="C877" s="314">
        <v>947529116</v>
      </c>
      <c r="D877" s="314" t="s">
        <v>137</v>
      </c>
      <c r="E877" s="314" t="s">
        <v>117</v>
      </c>
      <c r="F877" s="314" t="s">
        <v>144</v>
      </c>
      <c r="G877" s="314" t="s">
        <v>106</v>
      </c>
      <c r="H877" s="314" t="s">
        <v>107</v>
      </c>
      <c r="I877" s="314" t="s">
        <v>108</v>
      </c>
      <c r="J877" s="314" t="s">
        <v>120</v>
      </c>
      <c r="K877" s="314">
        <v>300000</v>
      </c>
      <c r="L877" s="314">
        <v>0</v>
      </c>
      <c r="M877" s="315">
        <v>45145.4714930556</v>
      </c>
      <c r="N877" s="314" t="s">
        <v>3184</v>
      </c>
      <c r="O877" s="314" t="s">
        <v>710</v>
      </c>
      <c r="P877" s="314" t="s">
        <v>339</v>
      </c>
      <c r="Q877" s="315">
        <v>45145.475625</v>
      </c>
      <c r="R877" s="315">
        <v>45146.0217824074</v>
      </c>
      <c r="S877" s="314" t="s">
        <v>3184</v>
      </c>
      <c r="T877" s="314" t="s">
        <v>1995</v>
      </c>
      <c r="U877" s="314" t="s">
        <v>1995</v>
      </c>
      <c r="V877" s="314" t="s">
        <v>114</v>
      </c>
      <c r="W877" s="314"/>
      <c r="X877" s="314" t="str">
        <f>VLOOKUP(D877,代理总表!A:D,3,0)</f>
        <v>雨燕直播-越</v>
      </c>
      <c r="Y877" t="str">
        <f>VLOOKUP(D:D,代理总表!A:D,4,FALSE)</f>
        <v>雨燕直播-越ffvn66</v>
      </c>
      <c r="Z877">
        <f t="shared" si="39"/>
        <v>1</v>
      </c>
      <c r="AA877">
        <f t="shared" si="40"/>
        <v>11</v>
      </c>
      <c r="AB877">
        <f t="shared" si="41"/>
        <v>1</v>
      </c>
    </row>
    <row r="878" spans="1:28">
      <c r="A878" s="314" t="s">
        <v>3185</v>
      </c>
      <c r="B878" s="314"/>
      <c r="C878" s="314"/>
      <c r="D878" s="314" t="s">
        <v>103</v>
      </c>
      <c r="E878" s="314" t="s">
        <v>104</v>
      </c>
      <c r="F878" s="314" t="s">
        <v>118</v>
      </c>
      <c r="G878" s="314" t="s">
        <v>108</v>
      </c>
      <c r="H878" s="314" t="s">
        <v>119</v>
      </c>
      <c r="I878" s="314" t="s">
        <v>108</v>
      </c>
      <c r="J878" s="314" t="s">
        <v>109</v>
      </c>
      <c r="K878" s="314">
        <v>0</v>
      </c>
      <c r="L878" s="314">
        <v>0</v>
      </c>
      <c r="M878" s="315">
        <v>45145.4714583333</v>
      </c>
      <c r="N878" s="314" t="s">
        <v>3186</v>
      </c>
      <c r="O878" s="314" t="s">
        <v>3187</v>
      </c>
      <c r="P878" s="314" t="s">
        <v>161</v>
      </c>
      <c r="Q878" s="314" t="s">
        <v>123</v>
      </c>
      <c r="R878" s="315">
        <v>45146.0137615741</v>
      </c>
      <c r="S878" s="314" t="s">
        <v>3188</v>
      </c>
      <c r="T878" s="314" t="s">
        <v>3189</v>
      </c>
      <c r="U878" s="314" t="s">
        <v>3189</v>
      </c>
      <c r="V878" s="314" t="s">
        <v>114</v>
      </c>
      <c r="W878" s="314"/>
      <c r="X878" s="314" t="str">
        <f>VLOOKUP(D878,代理总表!A:D,3,0)</f>
        <v>官网</v>
      </c>
      <c r="Y878" t="str">
        <f>VLOOKUP(D:D,代理总表!A:D,4,FALSE)</f>
        <v>官网</v>
      </c>
      <c r="Z878">
        <f t="shared" si="39"/>
        <v>0</v>
      </c>
      <c r="AA878">
        <f t="shared" si="40"/>
        <v>11</v>
      </c>
      <c r="AB878">
        <f t="shared" si="41"/>
        <v>1</v>
      </c>
    </row>
    <row r="879" spans="1:28">
      <c r="A879" s="314" t="s">
        <v>3190</v>
      </c>
      <c r="B879" s="314" t="s">
        <v>3191</v>
      </c>
      <c r="C879" s="314">
        <v>978584554</v>
      </c>
      <c r="D879" s="314" t="s">
        <v>143</v>
      </c>
      <c r="E879" s="314" t="s">
        <v>117</v>
      </c>
      <c r="F879" s="314" t="s">
        <v>144</v>
      </c>
      <c r="G879" s="314" t="s">
        <v>106</v>
      </c>
      <c r="H879" s="314" t="s">
        <v>107</v>
      </c>
      <c r="I879" s="314" t="s">
        <v>108</v>
      </c>
      <c r="J879" s="314" t="s">
        <v>120</v>
      </c>
      <c r="K879" s="314">
        <v>600000</v>
      </c>
      <c r="L879" s="314">
        <v>500000</v>
      </c>
      <c r="M879" s="315">
        <v>45145.4711689815</v>
      </c>
      <c r="N879" s="314" t="s">
        <v>3192</v>
      </c>
      <c r="O879" s="314" t="s">
        <v>407</v>
      </c>
      <c r="P879" s="314" t="s">
        <v>112</v>
      </c>
      <c r="Q879" s="315">
        <v>45145.4771759259</v>
      </c>
      <c r="R879" s="315">
        <v>45145.4850925926</v>
      </c>
      <c r="S879" s="314" t="s">
        <v>3192</v>
      </c>
      <c r="T879" s="314" t="s">
        <v>131</v>
      </c>
      <c r="U879" s="314" t="s">
        <v>131</v>
      </c>
      <c r="V879" s="314" t="s">
        <v>114</v>
      </c>
      <c r="W879" s="314"/>
      <c r="X879" s="314" t="str">
        <f>VLOOKUP(D879,代理总表!A:D,3,0)</f>
        <v>雨燕直播-越</v>
      </c>
      <c r="Y879" t="str">
        <f>VLOOKUP(D:D,代理总表!A:D,4,FALSE)</f>
        <v>雨燕直播-越ffvn66</v>
      </c>
      <c r="Z879">
        <f t="shared" si="39"/>
        <v>1</v>
      </c>
      <c r="AA879">
        <f t="shared" si="40"/>
        <v>11</v>
      </c>
      <c r="AB879">
        <f t="shared" si="41"/>
        <v>1</v>
      </c>
    </row>
    <row r="880" spans="1:28">
      <c r="A880" s="314" t="s">
        <v>3193</v>
      </c>
      <c r="B880" s="314"/>
      <c r="C880" s="314"/>
      <c r="D880" s="314" t="s">
        <v>2615</v>
      </c>
      <c r="E880" s="314" t="s">
        <v>117</v>
      </c>
      <c r="F880" s="314" t="s">
        <v>118</v>
      </c>
      <c r="G880" s="314" t="s">
        <v>108</v>
      </c>
      <c r="H880" s="314" t="s">
        <v>119</v>
      </c>
      <c r="I880" s="314" t="s">
        <v>108</v>
      </c>
      <c r="J880" s="314" t="s">
        <v>120</v>
      </c>
      <c r="K880" s="314">
        <v>0</v>
      </c>
      <c r="L880" s="314">
        <v>0</v>
      </c>
      <c r="M880" s="315">
        <v>45145.4696064815</v>
      </c>
      <c r="N880" s="314" t="s">
        <v>3194</v>
      </c>
      <c r="O880" s="314" t="s">
        <v>2617</v>
      </c>
      <c r="P880" s="314" t="s">
        <v>112</v>
      </c>
      <c r="Q880" s="314" t="s">
        <v>123</v>
      </c>
      <c r="R880" s="315">
        <v>45145.598587963</v>
      </c>
      <c r="S880" s="314" t="s">
        <v>3194</v>
      </c>
      <c r="T880" s="314" t="s">
        <v>1591</v>
      </c>
      <c r="U880" s="314" t="s">
        <v>1591</v>
      </c>
      <c r="V880" s="314" t="s">
        <v>114</v>
      </c>
      <c r="W880" s="314"/>
      <c r="X880" s="314" t="e">
        <f>VLOOKUP(D880,代理总表!A:D,3,0)</f>
        <v>#N/A</v>
      </c>
      <c r="Y880" t="e">
        <f>VLOOKUP(D:D,代理总表!A:D,4,FALSE)</f>
        <v>#N/A</v>
      </c>
      <c r="Z880">
        <f t="shared" si="39"/>
        <v>0</v>
      </c>
      <c r="AA880">
        <f t="shared" si="40"/>
        <v>11</v>
      </c>
      <c r="AB880">
        <f t="shared" si="41"/>
        <v>1</v>
      </c>
    </row>
    <row r="881" spans="1:28">
      <c r="A881" s="314" t="s">
        <v>3195</v>
      </c>
      <c r="B881" s="314"/>
      <c r="C881" s="314">
        <v>17857500713</v>
      </c>
      <c r="D881" s="314" t="s">
        <v>370</v>
      </c>
      <c r="E881" s="314" t="s">
        <v>104</v>
      </c>
      <c r="F881" s="314" t="s">
        <v>118</v>
      </c>
      <c r="G881" s="314" t="s">
        <v>108</v>
      </c>
      <c r="H881" s="314" t="s">
        <v>119</v>
      </c>
      <c r="I881" s="314" t="s">
        <v>108</v>
      </c>
      <c r="J881" s="314" t="s">
        <v>109</v>
      </c>
      <c r="K881" s="314">
        <v>0</v>
      </c>
      <c r="L881" s="314">
        <v>0</v>
      </c>
      <c r="M881" s="315">
        <v>45145.4691898148</v>
      </c>
      <c r="N881" s="314" t="s">
        <v>3196</v>
      </c>
      <c r="O881" s="314" t="s">
        <v>813</v>
      </c>
      <c r="P881" s="314" t="s">
        <v>112</v>
      </c>
      <c r="Q881" s="314" t="s">
        <v>123</v>
      </c>
      <c r="R881" s="315">
        <v>45145.521724537</v>
      </c>
      <c r="S881" s="314" t="s">
        <v>3196</v>
      </c>
      <c r="T881" s="314" t="s">
        <v>467</v>
      </c>
      <c r="U881" s="314" t="s">
        <v>467</v>
      </c>
      <c r="V881" s="314" t="s">
        <v>114</v>
      </c>
      <c r="W881" s="314"/>
      <c r="X881" s="314" t="str">
        <f>VLOOKUP(D881,代理总表!A:D,3,0)</f>
        <v>GT-骨头</v>
      </c>
      <c r="Y881" t="str">
        <f>VLOOKUP(D:D,代理总表!A:D,4,FALSE)</f>
        <v>GT-骨头gt6677</v>
      </c>
      <c r="Z881">
        <f t="shared" si="39"/>
        <v>0</v>
      </c>
      <c r="AA881">
        <f t="shared" si="40"/>
        <v>11</v>
      </c>
      <c r="AB881">
        <f t="shared" si="41"/>
        <v>1</v>
      </c>
    </row>
    <row r="882" spans="1:28">
      <c r="A882" s="314" t="s">
        <v>3197</v>
      </c>
      <c r="B882" s="314" t="s">
        <v>3198</v>
      </c>
      <c r="C882" s="314">
        <v>18172255115</v>
      </c>
      <c r="D882" s="314" t="s">
        <v>1336</v>
      </c>
      <c r="E882" s="314" t="s">
        <v>104</v>
      </c>
      <c r="F882" s="314" t="s">
        <v>144</v>
      </c>
      <c r="G882" s="314" t="s">
        <v>106</v>
      </c>
      <c r="H882" s="314" t="s">
        <v>107</v>
      </c>
      <c r="I882" s="314" t="s">
        <v>108</v>
      </c>
      <c r="J882" s="314" t="s">
        <v>109</v>
      </c>
      <c r="K882" s="314">
        <v>100</v>
      </c>
      <c r="L882" s="314">
        <v>300</v>
      </c>
      <c r="M882" s="315">
        <v>45145.4690046296</v>
      </c>
      <c r="N882" s="314" t="s">
        <v>3199</v>
      </c>
      <c r="O882" s="314" t="s">
        <v>1535</v>
      </c>
      <c r="P882" s="314" t="s">
        <v>112</v>
      </c>
      <c r="Q882" s="315">
        <v>45145.4892708333</v>
      </c>
      <c r="R882" s="315">
        <v>45146.3362847222</v>
      </c>
      <c r="S882" s="314" t="s">
        <v>3200</v>
      </c>
      <c r="T882" s="314" t="s">
        <v>3201</v>
      </c>
      <c r="U882" s="314" t="s">
        <v>3202</v>
      </c>
      <c r="V882" s="314" t="s">
        <v>114</v>
      </c>
      <c r="W882" s="314"/>
      <c r="X882" s="314" t="str">
        <f>VLOOKUP(D882,代理总表!A:D,3,0)</f>
        <v>飞哥雨燕直播</v>
      </c>
      <c r="Y882" t="str">
        <f>VLOOKUP(D:D,代理总表!A:D,4,FALSE)</f>
        <v>飞哥雨燕直播ffmk88</v>
      </c>
      <c r="Z882">
        <f t="shared" si="39"/>
        <v>1</v>
      </c>
      <c r="AA882">
        <f t="shared" si="40"/>
        <v>11</v>
      </c>
      <c r="AB882">
        <f t="shared" si="41"/>
        <v>1</v>
      </c>
    </row>
    <row r="883" spans="1:28">
      <c r="A883" s="314" t="s">
        <v>3203</v>
      </c>
      <c r="B883" s="314"/>
      <c r="C883" s="314">
        <v>18715484185</v>
      </c>
      <c r="D883" s="314" t="s">
        <v>148</v>
      </c>
      <c r="E883" s="314" t="s">
        <v>104</v>
      </c>
      <c r="F883" s="314" t="s">
        <v>149</v>
      </c>
      <c r="G883" s="314" t="s">
        <v>108</v>
      </c>
      <c r="H883" s="314" t="s">
        <v>119</v>
      </c>
      <c r="I883" s="314" t="s">
        <v>108</v>
      </c>
      <c r="J883" s="314" t="s">
        <v>109</v>
      </c>
      <c r="K883" s="314">
        <v>0</v>
      </c>
      <c r="L883" s="314">
        <v>0</v>
      </c>
      <c r="M883" s="315">
        <v>45145.4685532407</v>
      </c>
      <c r="N883" s="314" t="s">
        <v>3204</v>
      </c>
      <c r="O883" s="314" t="s">
        <v>585</v>
      </c>
      <c r="P883" s="314" t="s">
        <v>112</v>
      </c>
      <c r="Q883" s="314" t="s">
        <v>123</v>
      </c>
      <c r="R883" s="315">
        <v>45145.4685416667</v>
      </c>
      <c r="S883" s="314" t="s">
        <v>3204</v>
      </c>
      <c r="T883" s="314" t="s">
        <v>736</v>
      </c>
      <c r="U883" s="314" t="s">
        <v>736</v>
      </c>
      <c r="V883" s="314" t="s">
        <v>114</v>
      </c>
      <c r="W883" s="314"/>
      <c r="X883" s="314" t="str">
        <f>VLOOKUP(D883,代理总表!A:D,3,0)</f>
        <v>martin</v>
      </c>
      <c r="Y883" t="str">
        <f>VLOOKUP(D:D,代理总表!A:D,4,FALSE)</f>
        <v>SEO</v>
      </c>
      <c r="Z883">
        <f t="shared" si="39"/>
        <v>0</v>
      </c>
      <c r="AA883">
        <f t="shared" si="40"/>
        <v>11</v>
      </c>
      <c r="AB883">
        <f t="shared" si="41"/>
        <v>1</v>
      </c>
    </row>
    <row r="884" spans="1:28">
      <c r="A884" s="314" t="s">
        <v>3205</v>
      </c>
      <c r="B884" s="314"/>
      <c r="C884" s="314">
        <v>15383339703</v>
      </c>
      <c r="D884" s="314" t="s">
        <v>3206</v>
      </c>
      <c r="E884" s="314" t="s">
        <v>104</v>
      </c>
      <c r="F884" s="314" t="s">
        <v>118</v>
      </c>
      <c r="G884" s="314" t="s">
        <v>108</v>
      </c>
      <c r="H884" s="314" t="s">
        <v>119</v>
      </c>
      <c r="I884" s="314" t="s">
        <v>108</v>
      </c>
      <c r="J884" s="314" t="s">
        <v>109</v>
      </c>
      <c r="K884" s="314">
        <v>0</v>
      </c>
      <c r="L884" s="314">
        <v>0</v>
      </c>
      <c r="M884" s="315">
        <v>45145.4683680556</v>
      </c>
      <c r="N884" s="314" t="s">
        <v>3207</v>
      </c>
      <c r="O884" s="314" t="s">
        <v>3208</v>
      </c>
      <c r="P884" s="314" t="s">
        <v>208</v>
      </c>
      <c r="Q884" s="314" t="s">
        <v>123</v>
      </c>
      <c r="R884" s="315">
        <v>45146.0840393519</v>
      </c>
      <c r="S884" s="314" t="s">
        <v>3209</v>
      </c>
      <c r="T884" s="314" t="s">
        <v>1735</v>
      </c>
      <c r="U884" s="314" t="s">
        <v>3210</v>
      </c>
      <c r="V884" s="314" t="s">
        <v>114</v>
      </c>
      <c r="W884" s="314"/>
      <c r="X884" s="314" t="str">
        <f>VLOOKUP(D884,代理总表!A:D,3,0)</f>
        <v>外部代理总线</v>
      </c>
      <c r="Y884" t="str">
        <f>VLOOKUP(D:D,代理总表!A:D,4,FALSE)</f>
        <v>外部代理总线zh0808</v>
      </c>
      <c r="Z884">
        <f t="shared" si="39"/>
        <v>0</v>
      </c>
      <c r="AA884">
        <f t="shared" si="40"/>
        <v>11</v>
      </c>
      <c r="AB884">
        <f t="shared" si="41"/>
        <v>1</v>
      </c>
    </row>
    <row r="885" spans="1:28">
      <c r="A885" s="314" t="s">
        <v>3211</v>
      </c>
      <c r="B885" s="314"/>
      <c r="C885" s="314"/>
      <c r="D885" s="314" t="s">
        <v>3206</v>
      </c>
      <c r="E885" s="314" t="s">
        <v>104</v>
      </c>
      <c r="F885" s="314" t="s">
        <v>118</v>
      </c>
      <c r="G885" s="314" t="s">
        <v>108</v>
      </c>
      <c r="H885" s="314" t="s">
        <v>119</v>
      </c>
      <c r="I885" s="314" t="s">
        <v>108</v>
      </c>
      <c r="J885" s="314" t="s">
        <v>109</v>
      </c>
      <c r="K885" s="314">
        <v>0</v>
      </c>
      <c r="L885" s="314">
        <v>0</v>
      </c>
      <c r="M885" s="315">
        <v>45145.4672222222</v>
      </c>
      <c r="N885" s="314" t="s">
        <v>3212</v>
      </c>
      <c r="O885" s="314" t="s">
        <v>3208</v>
      </c>
      <c r="P885" s="314" t="s">
        <v>161</v>
      </c>
      <c r="Q885" s="314" t="s">
        <v>123</v>
      </c>
      <c r="R885" s="315">
        <v>45145.4672106481</v>
      </c>
      <c r="S885" s="314" t="s">
        <v>3212</v>
      </c>
      <c r="T885" s="314" t="s">
        <v>3213</v>
      </c>
      <c r="U885" s="314" t="s">
        <v>3213</v>
      </c>
      <c r="V885" s="314" t="s">
        <v>114</v>
      </c>
      <c r="W885" s="314"/>
      <c r="X885" s="314" t="str">
        <f>VLOOKUP(D885,代理总表!A:D,3,0)</f>
        <v>外部代理总线</v>
      </c>
      <c r="Y885" t="str">
        <f>VLOOKUP(D:D,代理总表!A:D,4,FALSE)</f>
        <v>外部代理总线zh0808</v>
      </c>
      <c r="Z885">
        <f t="shared" si="39"/>
        <v>0</v>
      </c>
      <c r="AA885">
        <f t="shared" si="40"/>
        <v>11</v>
      </c>
      <c r="AB885">
        <f t="shared" si="41"/>
        <v>1</v>
      </c>
    </row>
    <row r="886" spans="1:28">
      <c r="A886" s="314" t="s">
        <v>3214</v>
      </c>
      <c r="B886" s="314"/>
      <c r="C886" s="314"/>
      <c r="D886" s="314" t="s">
        <v>754</v>
      </c>
      <c r="E886" s="314" t="s">
        <v>104</v>
      </c>
      <c r="F886" s="314" t="s">
        <v>149</v>
      </c>
      <c r="G886" s="314" t="s">
        <v>108</v>
      </c>
      <c r="H886" s="314" t="s">
        <v>119</v>
      </c>
      <c r="I886" s="314" t="s">
        <v>108</v>
      </c>
      <c r="J886" s="314" t="s">
        <v>109</v>
      </c>
      <c r="K886" s="314">
        <v>0</v>
      </c>
      <c r="L886" s="314">
        <v>0</v>
      </c>
      <c r="M886" s="315">
        <v>45145.467037037</v>
      </c>
      <c r="N886" s="314" t="s">
        <v>3215</v>
      </c>
      <c r="O886" s="314" t="s">
        <v>1519</v>
      </c>
      <c r="P886" s="314" t="s">
        <v>112</v>
      </c>
      <c r="Q886" s="314" t="s">
        <v>123</v>
      </c>
      <c r="R886" s="315">
        <v>45145.467025463</v>
      </c>
      <c r="S886" s="314" t="s">
        <v>3215</v>
      </c>
      <c r="T886" s="314" t="s">
        <v>1013</v>
      </c>
      <c r="U886" s="314" t="s">
        <v>1013</v>
      </c>
      <c r="V886" s="314" t="s">
        <v>114</v>
      </c>
      <c r="W886" s="314"/>
      <c r="X886" s="314" t="str">
        <f>VLOOKUP(D886,代理总表!A:D,3,0)</f>
        <v>SEO掉线用户转线</v>
      </c>
      <c r="Y886" t="str">
        <f>VLOOKUP(D:D,代理总表!A:D,4,FALSE)</f>
        <v>SEO</v>
      </c>
      <c r="Z886">
        <f t="shared" si="39"/>
        <v>0</v>
      </c>
      <c r="AA886">
        <f t="shared" si="40"/>
        <v>11</v>
      </c>
      <c r="AB886">
        <f t="shared" si="41"/>
        <v>1</v>
      </c>
    </row>
    <row r="887" spans="1:28">
      <c r="A887" s="314" t="s">
        <v>3216</v>
      </c>
      <c r="B887" s="314" t="s">
        <v>3217</v>
      </c>
      <c r="C887" s="314">
        <v>9276012607</v>
      </c>
      <c r="D887" s="314" t="s">
        <v>103</v>
      </c>
      <c r="E887" s="314" t="s">
        <v>117</v>
      </c>
      <c r="F887" s="314" t="s">
        <v>118</v>
      </c>
      <c r="G887" s="314" t="s">
        <v>108</v>
      </c>
      <c r="H887" s="314" t="s">
        <v>119</v>
      </c>
      <c r="I887" s="314" t="s">
        <v>108</v>
      </c>
      <c r="J887" s="314" t="s">
        <v>120</v>
      </c>
      <c r="K887" s="314">
        <v>0</v>
      </c>
      <c r="L887" s="314">
        <v>0</v>
      </c>
      <c r="M887" s="315">
        <v>45145.4668981481</v>
      </c>
      <c r="N887" s="314" t="s">
        <v>3179</v>
      </c>
      <c r="O887" s="314" t="s">
        <v>3218</v>
      </c>
      <c r="P887" s="314" t="s">
        <v>339</v>
      </c>
      <c r="Q887" s="314" t="s">
        <v>123</v>
      </c>
      <c r="R887" s="315">
        <v>45145.775474537</v>
      </c>
      <c r="S887" s="314" t="s">
        <v>3179</v>
      </c>
      <c r="T887" s="314" t="s">
        <v>340</v>
      </c>
      <c r="U887" s="314" t="s">
        <v>340</v>
      </c>
      <c r="V887" s="314" t="s">
        <v>114</v>
      </c>
      <c r="W887" s="314"/>
      <c r="X887" s="314" t="str">
        <f>VLOOKUP(D887,代理总表!A:D,3,0)</f>
        <v>官网</v>
      </c>
      <c r="Y887" t="str">
        <f>VLOOKUP(D:D,代理总表!A:D,4,FALSE)</f>
        <v>官网</v>
      </c>
      <c r="Z887">
        <f t="shared" si="39"/>
        <v>0</v>
      </c>
      <c r="AA887">
        <f t="shared" si="40"/>
        <v>11</v>
      </c>
      <c r="AB887">
        <f t="shared" si="41"/>
        <v>1</v>
      </c>
    </row>
    <row r="888" spans="1:28">
      <c r="A888" s="314" t="s">
        <v>3219</v>
      </c>
      <c r="B888" s="314"/>
      <c r="C888" s="314"/>
      <c r="D888" s="314" t="s">
        <v>3206</v>
      </c>
      <c r="E888" s="314" t="s">
        <v>104</v>
      </c>
      <c r="F888" s="314" t="s">
        <v>118</v>
      </c>
      <c r="G888" s="314" t="s">
        <v>108</v>
      </c>
      <c r="H888" s="314" t="s">
        <v>119</v>
      </c>
      <c r="I888" s="314" t="s">
        <v>108</v>
      </c>
      <c r="J888" s="314" t="s">
        <v>109</v>
      </c>
      <c r="K888" s="314">
        <v>0</v>
      </c>
      <c r="L888" s="314">
        <v>0</v>
      </c>
      <c r="M888" s="315">
        <v>45145.4665162037</v>
      </c>
      <c r="N888" s="314" t="s">
        <v>3220</v>
      </c>
      <c r="O888" s="314" t="s">
        <v>3208</v>
      </c>
      <c r="P888" s="314" t="s">
        <v>112</v>
      </c>
      <c r="Q888" s="314" t="s">
        <v>123</v>
      </c>
      <c r="R888" s="315">
        <v>45145.4684143519</v>
      </c>
      <c r="S888" s="314" t="s">
        <v>3221</v>
      </c>
      <c r="T888" s="314" t="s">
        <v>3213</v>
      </c>
      <c r="U888" s="314" t="s">
        <v>3213</v>
      </c>
      <c r="V888" s="314" t="s">
        <v>114</v>
      </c>
      <c r="W888" s="314"/>
      <c r="X888" s="314" t="str">
        <f>VLOOKUP(D888,代理总表!A:D,3,0)</f>
        <v>外部代理总线</v>
      </c>
      <c r="Y888" t="str">
        <f>VLOOKUP(D:D,代理总表!A:D,4,FALSE)</f>
        <v>外部代理总线zh0808</v>
      </c>
      <c r="Z888">
        <f t="shared" si="39"/>
        <v>0</v>
      </c>
      <c r="AA888">
        <f t="shared" si="40"/>
        <v>11</v>
      </c>
      <c r="AB888">
        <f t="shared" si="41"/>
        <v>1</v>
      </c>
    </row>
    <row r="889" spans="1:28">
      <c r="A889" s="314" t="s">
        <v>3222</v>
      </c>
      <c r="B889" s="314"/>
      <c r="C889" s="314">
        <v>862745205</v>
      </c>
      <c r="D889" s="314" t="s">
        <v>116</v>
      </c>
      <c r="E889" s="314" t="s">
        <v>117</v>
      </c>
      <c r="F889" s="314" t="s">
        <v>118</v>
      </c>
      <c r="G889" s="314" t="s">
        <v>108</v>
      </c>
      <c r="H889" s="314" t="s">
        <v>119</v>
      </c>
      <c r="I889" s="314" t="s">
        <v>108</v>
      </c>
      <c r="J889" s="314" t="s">
        <v>120</v>
      </c>
      <c r="K889" s="314">
        <v>0</v>
      </c>
      <c r="L889" s="314">
        <v>0</v>
      </c>
      <c r="M889" s="315">
        <v>45145.4661689815</v>
      </c>
      <c r="N889" s="314" t="s">
        <v>3223</v>
      </c>
      <c r="O889" s="314" t="s">
        <v>742</v>
      </c>
      <c r="P889" s="314" t="s">
        <v>339</v>
      </c>
      <c r="Q889" s="314" t="s">
        <v>123</v>
      </c>
      <c r="R889" s="315">
        <v>45145.4667361111</v>
      </c>
      <c r="S889" s="314" t="s">
        <v>3223</v>
      </c>
      <c r="T889" s="314" t="s">
        <v>1493</v>
      </c>
      <c r="U889" s="314" t="s">
        <v>1493</v>
      </c>
      <c r="V889" s="314" t="s">
        <v>114</v>
      </c>
      <c r="W889" s="314"/>
      <c r="X889" s="314" t="str">
        <f>VLOOKUP(D889,代理总表!A:D,3,0)</f>
        <v>外部代理总线</v>
      </c>
      <c r="Y889" t="str">
        <f>VLOOKUP(D:D,代理总表!A:D,4,FALSE)</f>
        <v>外部代理总线zh0808</v>
      </c>
      <c r="Z889">
        <f t="shared" si="39"/>
        <v>0</v>
      </c>
      <c r="AA889">
        <f t="shared" si="40"/>
        <v>11</v>
      </c>
      <c r="AB889">
        <f t="shared" si="41"/>
        <v>1</v>
      </c>
    </row>
    <row r="890" spans="1:28">
      <c r="A890" s="314" t="s">
        <v>3224</v>
      </c>
      <c r="B890" s="314"/>
      <c r="C890" s="314"/>
      <c r="D890" s="314" t="s">
        <v>103</v>
      </c>
      <c r="E890" s="314" t="s">
        <v>104</v>
      </c>
      <c r="F890" s="314" t="s">
        <v>118</v>
      </c>
      <c r="G890" s="314" t="s">
        <v>108</v>
      </c>
      <c r="H890" s="314" t="s">
        <v>119</v>
      </c>
      <c r="I890" s="314" t="s">
        <v>108</v>
      </c>
      <c r="J890" s="314" t="s">
        <v>109</v>
      </c>
      <c r="K890" s="314">
        <v>0</v>
      </c>
      <c r="L890" s="314">
        <v>0</v>
      </c>
      <c r="M890" s="315">
        <v>45145.4656597222</v>
      </c>
      <c r="N890" s="314" t="s">
        <v>3225</v>
      </c>
      <c r="O890" s="314" t="s">
        <v>3226</v>
      </c>
      <c r="P890" s="314" t="s">
        <v>339</v>
      </c>
      <c r="Q890" s="314" t="s">
        <v>123</v>
      </c>
      <c r="R890" s="315">
        <v>45145.467025463</v>
      </c>
      <c r="S890" s="314" t="s">
        <v>3225</v>
      </c>
      <c r="T890" s="314" t="s">
        <v>829</v>
      </c>
      <c r="U890" s="314" t="s">
        <v>829</v>
      </c>
      <c r="V890" s="314" t="s">
        <v>114</v>
      </c>
      <c r="W890" s="314"/>
      <c r="X890" s="314" t="str">
        <f>VLOOKUP(D890,代理总表!A:D,3,0)</f>
        <v>官网</v>
      </c>
      <c r="Y890" t="str">
        <f>VLOOKUP(D:D,代理总表!A:D,4,FALSE)</f>
        <v>官网</v>
      </c>
      <c r="Z890">
        <f t="shared" si="39"/>
        <v>0</v>
      </c>
      <c r="AA890">
        <f t="shared" si="40"/>
        <v>11</v>
      </c>
      <c r="AB890">
        <f t="shared" si="41"/>
        <v>1</v>
      </c>
    </row>
    <row r="891" spans="1:28">
      <c r="A891" s="314" t="s">
        <v>3227</v>
      </c>
      <c r="B891" s="314" t="s">
        <v>3228</v>
      </c>
      <c r="C891" s="314">
        <v>18261083315</v>
      </c>
      <c r="D891" s="314" t="s">
        <v>249</v>
      </c>
      <c r="E891" s="314" t="s">
        <v>104</v>
      </c>
      <c r="F891" s="314" t="s">
        <v>144</v>
      </c>
      <c r="G891" s="314" t="s">
        <v>106</v>
      </c>
      <c r="H891" s="314" t="s">
        <v>107</v>
      </c>
      <c r="I891" s="314" t="s">
        <v>108</v>
      </c>
      <c r="J891" s="314" t="s">
        <v>109</v>
      </c>
      <c r="K891" s="314">
        <v>300</v>
      </c>
      <c r="L891" s="314">
        <v>400</v>
      </c>
      <c r="M891" s="315">
        <v>45145.4652314815</v>
      </c>
      <c r="N891" s="314" t="s">
        <v>3229</v>
      </c>
      <c r="O891" s="314" t="s">
        <v>582</v>
      </c>
      <c r="P891" s="314" t="s">
        <v>161</v>
      </c>
      <c r="Q891" s="315">
        <v>45145.4967939815</v>
      </c>
      <c r="R891" s="315">
        <v>45146.2301736111</v>
      </c>
      <c r="S891" s="314" t="s">
        <v>3230</v>
      </c>
      <c r="T891" s="314" t="s">
        <v>299</v>
      </c>
      <c r="U891" s="314" t="s">
        <v>299</v>
      </c>
      <c r="V891" s="314" t="s">
        <v>114</v>
      </c>
      <c r="W891" s="314"/>
      <c r="X891" s="314" t="str">
        <f>VLOOKUP(D891,代理总表!A:D,3,0)</f>
        <v>飞哥雨燕直播</v>
      </c>
      <c r="Y891" t="str">
        <f>VLOOKUP(D:D,代理总表!A:D,4,FALSE)</f>
        <v>飞哥雨燕直播ffmk88</v>
      </c>
      <c r="Z891">
        <f t="shared" si="39"/>
        <v>1</v>
      </c>
      <c r="AA891">
        <f t="shared" si="40"/>
        <v>11</v>
      </c>
      <c r="AB891">
        <f t="shared" si="41"/>
        <v>1</v>
      </c>
    </row>
    <row r="892" spans="1:28">
      <c r="A892" s="314" t="s">
        <v>3231</v>
      </c>
      <c r="B892" s="314"/>
      <c r="C892" s="314"/>
      <c r="D892" s="314" t="s">
        <v>3232</v>
      </c>
      <c r="E892" s="314" t="s">
        <v>104</v>
      </c>
      <c r="F892" s="314" t="s">
        <v>118</v>
      </c>
      <c r="G892" s="314" t="s">
        <v>108</v>
      </c>
      <c r="H892" s="314" t="s">
        <v>119</v>
      </c>
      <c r="I892" s="314" t="s">
        <v>108</v>
      </c>
      <c r="J892" s="314" t="s">
        <v>109</v>
      </c>
      <c r="K892" s="314">
        <v>0</v>
      </c>
      <c r="L892" s="314">
        <v>0</v>
      </c>
      <c r="M892" s="315">
        <v>45145.4643634259</v>
      </c>
      <c r="N892" s="314" t="s">
        <v>3233</v>
      </c>
      <c r="O892" s="314" t="s">
        <v>3234</v>
      </c>
      <c r="P892" s="314" t="s">
        <v>112</v>
      </c>
      <c r="Q892" s="314" t="s">
        <v>123</v>
      </c>
      <c r="R892" s="315">
        <v>45145.4643634259</v>
      </c>
      <c r="S892" s="314" t="s">
        <v>3233</v>
      </c>
      <c r="T892" s="314" t="s">
        <v>3235</v>
      </c>
      <c r="U892" s="314" t="s">
        <v>3235</v>
      </c>
      <c r="V892" s="314" t="s">
        <v>114</v>
      </c>
      <c r="W892" s="314"/>
      <c r="X892" s="314" t="str">
        <f>VLOOKUP(D892,代理总表!A:D,3,0)</f>
        <v>小Peter</v>
      </c>
      <c r="Y892" t="str">
        <f>VLOOKUP(D:D,代理总表!A:D,4,FALSE)</f>
        <v>小Peterbtydl0020</v>
      </c>
      <c r="Z892">
        <f t="shared" si="39"/>
        <v>0</v>
      </c>
      <c r="AA892">
        <f t="shared" si="40"/>
        <v>11</v>
      </c>
      <c r="AB892">
        <f t="shared" si="41"/>
        <v>1</v>
      </c>
    </row>
    <row r="893" spans="1:28">
      <c r="A893" s="314" t="s">
        <v>3236</v>
      </c>
      <c r="B893" s="314"/>
      <c r="C893" s="314">
        <v>772143080</v>
      </c>
      <c r="D893" s="314" t="s">
        <v>172</v>
      </c>
      <c r="E893" s="314" t="s">
        <v>117</v>
      </c>
      <c r="F893" s="314" t="s">
        <v>118</v>
      </c>
      <c r="G893" s="314" t="s">
        <v>108</v>
      </c>
      <c r="H893" s="314" t="s">
        <v>119</v>
      </c>
      <c r="I893" s="314" t="s">
        <v>108</v>
      </c>
      <c r="J893" s="314" t="s">
        <v>120</v>
      </c>
      <c r="K893" s="314">
        <v>0</v>
      </c>
      <c r="L893" s="314">
        <v>0</v>
      </c>
      <c r="M893" s="315">
        <v>45145.4641203704</v>
      </c>
      <c r="N893" s="314" t="s">
        <v>3237</v>
      </c>
      <c r="O893" s="314" t="s">
        <v>881</v>
      </c>
      <c r="P893" s="314" t="s">
        <v>112</v>
      </c>
      <c r="Q893" s="314" t="s">
        <v>123</v>
      </c>
      <c r="R893" s="315">
        <v>45146.3360185185</v>
      </c>
      <c r="S893" s="314" t="s">
        <v>3238</v>
      </c>
      <c r="T893" s="314" t="s">
        <v>2185</v>
      </c>
      <c r="U893" s="314" t="s">
        <v>177</v>
      </c>
      <c r="V893" s="314" t="s">
        <v>114</v>
      </c>
      <c r="W893" s="314"/>
      <c r="X893" s="314" t="str">
        <f>VLOOKUP(D893,代理总表!A:D,3,0)</f>
        <v>雨燕直播-越</v>
      </c>
      <c r="Y893" t="str">
        <f>VLOOKUP(D:D,代理总表!A:D,4,FALSE)</f>
        <v>雨燕直播-越ffvn66</v>
      </c>
      <c r="Z893">
        <f t="shared" si="39"/>
        <v>0</v>
      </c>
      <c r="AA893">
        <f t="shared" si="40"/>
        <v>11</v>
      </c>
      <c r="AB893">
        <f t="shared" si="41"/>
        <v>1</v>
      </c>
    </row>
    <row r="894" spans="1:28">
      <c r="A894" s="314" t="s">
        <v>3239</v>
      </c>
      <c r="B894" s="314" t="s">
        <v>3240</v>
      </c>
      <c r="C894" s="314">
        <v>333368584</v>
      </c>
      <c r="D894" s="314" t="s">
        <v>197</v>
      </c>
      <c r="E894" s="314" t="s">
        <v>117</v>
      </c>
      <c r="F894" s="314" t="s">
        <v>105</v>
      </c>
      <c r="G894" s="314" t="s">
        <v>106</v>
      </c>
      <c r="H894" s="314" t="s">
        <v>107</v>
      </c>
      <c r="I894" s="314" t="s">
        <v>108</v>
      </c>
      <c r="J894" s="314" t="s">
        <v>120</v>
      </c>
      <c r="K894" s="314">
        <v>80000</v>
      </c>
      <c r="L894" s="314">
        <v>100000</v>
      </c>
      <c r="M894" s="315">
        <v>45145.4635532407</v>
      </c>
      <c r="N894" s="314" t="s">
        <v>3241</v>
      </c>
      <c r="O894" s="314" t="s">
        <v>875</v>
      </c>
      <c r="P894" s="314" t="s">
        <v>161</v>
      </c>
      <c r="Q894" s="315">
        <v>45145.4705324074</v>
      </c>
      <c r="R894" s="315">
        <v>45146.3300694444</v>
      </c>
      <c r="S894" s="314" t="s">
        <v>3242</v>
      </c>
      <c r="T894" s="314" t="s">
        <v>216</v>
      </c>
      <c r="U894" s="314" t="s">
        <v>1153</v>
      </c>
      <c r="V894" s="314" t="s">
        <v>114</v>
      </c>
      <c r="W894" s="314"/>
      <c r="X894" s="314" t="str">
        <f>VLOOKUP(D894,代理总表!A:D,3,0)</f>
        <v>雨燕直播-越</v>
      </c>
      <c r="Y894" t="str">
        <f>VLOOKUP(D:D,代理总表!A:D,4,FALSE)</f>
        <v>雨燕直播-越ffvn66</v>
      </c>
      <c r="Z894">
        <f t="shared" si="39"/>
        <v>1</v>
      </c>
      <c r="AA894">
        <f t="shared" si="40"/>
        <v>11</v>
      </c>
      <c r="AB894">
        <f t="shared" si="41"/>
        <v>1</v>
      </c>
    </row>
    <row r="895" spans="1:28">
      <c r="A895" s="314" t="s">
        <v>3243</v>
      </c>
      <c r="B895" s="314" t="s">
        <v>3244</v>
      </c>
      <c r="C895" s="314">
        <v>888004866</v>
      </c>
      <c r="D895" s="314" t="s">
        <v>172</v>
      </c>
      <c r="E895" s="314" t="s">
        <v>117</v>
      </c>
      <c r="F895" s="314" t="s">
        <v>118</v>
      </c>
      <c r="G895" s="314" t="s">
        <v>108</v>
      </c>
      <c r="H895" s="314" t="s">
        <v>119</v>
      </c>
      <c r="I895" s="314" t="s">
        <v>108</v>
      </c>
      <c r="J895" s="314" t="s">
        <v>120</v>
      </c>
      <c r="K895" s="314">
        <v>0</v>
      </c>
      <c r="L895" s="314">
        <v>0</v>
      </c>
      <c r="M895" s="315">
        <v>45145.4622916667</v>
      </c>
      <c r="N895" s="314" t="s">
        <v>3245</v>
      </c>
      <c r="O895" s="314" t="s">
        <v>881</v>
      </c>
      <c r="P895" s="314" t="s">
        <v>112</v>
      </c>
      <c r="Q895" s="314" t="s">
        <v>123</v>
      </c>
      <c r="R895" s="315">
        <v>45145.8126851852</v>
      </c>
      <c r="S895" s="314" t="s">
        <v>3246</v>
      </c>
      <c r="T895" s="314" t="s">
        <v>3247</v>
      </c>
      <c r="U895" s="314" t="s">
        <v>503</v>
      </c>
      <c r="V895" s="314" t="s">
        <v>114</v>
      </c>
      <c r="W895" s="314"/>
      <c r="X895" s="314" t="str">
        <f>VLOOKUP(D895,代理总表!A:D,3,0)</f>
        <v>雨燕直播-越</v>
      </c>
      <c r="Y895" t="str">
        <f>VLOOKUP(D:D,代理总表!A:D,4,FALSE)</f>
        <v>雨燕直播-越ffvn66</v>
      </c>
      <c r="Z895">
        <f t="shared" si="39"/>
        <v>0</v>
      </c>
      <c r="AA895">
        <f t="shared" si="40"/>
        <v>11</v>
      </c>
      <c r="AB895">
        <f t="shared" si="41"/>
        <v>1</v>
      </c>
    </row>
    <row r="896" spans="1:28">
      <c r="A896" s="314" t="s">
        <v>3248</v>
      </c>
      <c r="B896" s="314" t="s">
        <v>3249</v>
      </c>
      <c r="C896" s="314">
        <v>399884219</v>
      </c>
      <c r="D896" s="314" t="s">
        <v>2339</v>
      </c>
      <c r="E896" s="314" t="s">
        <v>117</v>
      </c>
      <c r="F896" s="314" t="s">
        <v>144</v>
      </c>
      <c r="G896" s="314" t="s">
        <v>106</v>
      </c>
      <c r="H896" s="314" t="s">
        <v>107</v>
      </c>
      <c r="I896" s="314" t="s">
        <v>108</v>
      </c>
      <c r="J896" s="314" t="s">
        <v>120</v>
      </c>
      <c r="K896" s="314">
        <v>100000</v>
      </c>
      <c r="L896" s="314">
        <v>0</v>
      </c>
      <c r="M896" s="315">
        <v>45145.4616435185</v>
      </c>
      <c r="N896" s="314" t="s">
        <v>3250</v>
      </c>
      <c r="O896" s="314" t="s">
        <v>2341</v>
      </c>
      <c r="P896" s="314" t="s">
        <v>112</v>
      </c>
      <c r="Q896" s="315">
        <v>45145.4798726852</v>
      </c>
      <c r="R896" s="315">
        <v>45145.8830671296</v>
      </c>
      <c r="S896" s="314" t="s">
        <v>3251</v>
      </c>
      <c r="T896" s="314" t="s">
        <v>124</v>
      </c>
      <c r="U896" s="314" t="s">
        <v>216</v>
      </c>
      <c r="V896" s="314" t="s">
        <v>114</v>
      </c>
      <c r="W896" s="314" t="s">
        <v>2978</v>
      </c>
      <c r="X896" s="314" t="str">
        <f>VLOOKUP(D896,代理总表!A:D,3,0)</f>
        <v>外部代理总线</v>
      </c>
      <c r="Y896" t="str">
        <f>VLOOKUP(D:D,代理总表!A:D,4,FALSE)</f>
        <v>外部代理总线zhaoshang</v>
      </c>
      <c r="Z896">
        <f t="shared" si="39"/>
        <v>1</v>
      </c>
      <c r="AA896">
        <f t="shared" si="40"/>
        <v>11</v>
      </c>
      <c r="AB896">
        <f t="shared" si="41"/>
        <v>1</v>
      </c>
    </row>
    <row r="897" spans="1:28">
      <c r="A897" s="314" t="s">
        <v>3252</v>
      </c>
      <c r="B897" s="314"/>
      <c r="C897" s="314">
        <v>18650367071</v>
      </c>
      <c r="D897" s="314" t="s">
        <v>103</v>
      </c>
      <c r="E897" s="314" t="s">
        <v>104</v>
      </c>
      <c r="F897" s="314" t="s">
        <v>118</v>
      </c>
      <c r="G897" s="314" t="s">
        <v>108</v>
      </c>
      <c r="H897" s="314" t="s">
        <v>119</v>
      </c>
      <c r="I897" s="314" t="s">
        <v>108</v>
      </c>
      <c r="J897" s="314" t="s">
        <v>109</v>
      </c>
      <c r="K897" s="314">
        <v>0</v>
      </c>
      <c r="L897" s="314">
        <v>0</v>
      </c>
      <c r="M897" s="315">
        <v>45145.4614467593</v>
      </c>
      <c r="N897" s="314" t="s">
        <v>3253</v>
      </c>
      <c r="O897" s="314" t="s">
        <v>266</v>
      </c>
      <c r="P897" s="314" t="s">
        <v>112</v>
      </c>
      <c r="Q897" s="314" t="s">
        <v>123</v>
      </c>
      <c r="R897" s="315">
        <v>45145.4614467593</v>
      </c>
      <c r="S897" s="314" t="s">
        <v>3253</v>
      </c>
      <c r="T897" s="314" t="s">
        <v>808</v>
      </c>
      <c r="U897" s="314" t="s">
        <v>808</v>
      </c>
      <c r="V897" s="314" t="s">
        <v>114</v>
      </c>
      <c r="W897" s="314"/>
      <c r="X897" s="314" t="str">
        <f>VLOOKUP(D897,代理总表!A:D,3,0)</f>
        <v>官网</v>
      </c>
      <c r="Y897" t="str">
        <f>VLOOKUP(D:D,代理总表!A:D,4,FALSE)</f>
        <v>官网</v>
      </c>
      <c r="Z897">
        <f t="shared" si="39"/>
        <v>0</v>
      </c>
      <c r="AA897">
        <f t="shared" si="40"/>
        <v>11</v>
      </c>
      <c r="AB897">
        <f t="shared" si="41"/>
        <v>1</v>
      </c>
    </row>
    <row r="898" spans="1:28">
      <c r="A898" s="314" t="s">
        <v>3254</v>
      </c>
      <c r="B898" s="314" t="s">
        <v>3255</v>
      </c>
      <c r="C898" s="314">
        <v>853345984</v>
      </c>
      <c r="D898" s="314" t="s">
        <v>522</v>
      </c>
      <c r="E898" s="314" t="s">
        <v>117</v>
      </c>
      <c r="F898" s="314" t="s">
        <v>105</v>
      </c>
      <c r="G898" s="314" t="s">
        <v>106</v>
      </c>
      <c r="H898" s="314" t="s">
        <v>856</v>
      </c>
      <c r="I898" s="314" t="s">
        <v>108</v>
      </c>
      <c r="J898" s="314" t="s">
        <v>120</v>
      </c>
      <c r="K898" s="314">
        <v>2000000</v>
      </c>
      <c r="L898" s="314">
        <v>4000000</v>
      </c>
      <c r="M898" s="315">
        <v>45145.4608564815</v>
      </c>
      <c r="N898" s="314" t="s">
        <v>3256</v>
      </c>
      <c r="O898" s="314" t="s">
        <v>524</v>
      </c>
      <c r="P898" s="314" t="s">
        <v>208</v>
      </c>
      <c r="Q898" s="315">
        <v>45145.4688657407</v>
      </c>
      <c r="R898" s="315">
        <v>45145.9820601852</v>
      </c>
      <c r="S898" s="314" t="s">
        <v>3257</v>
      </c>
      <c r="T898" s="314" t="s">
        <v>124</v>
      </c>
      <c r="U898" s="314" t="s">
        <v>124</v>
      </c>
      <c r="V898" s="314" t="s">
        <v>114</v>
      </c>
      <c r="W898" s="314"/>
      <c r="X898" s="314" t="str">
        <f>VLOOKUP(D898,代理总表!A:D,3,0)</f>
        <v>SOCO越南直播</v>
      </c>
      <c r="Y898" t="str">
        <f>VLOOKUP(D:D,代理总表!A:D,4,FALSE)</f>
        <v>SOCO越南直播ffvn66</v>
      </c>
      <c r="Z898">
        <f t="shared" si="39"/>
        <v>1</v>
      </c>
      <c r="AA898">
        <f t="shared" si="40"/>
        <v>11</v>
      </c>
      <c r="AB898">
        <f t="shared" si="41"/>
        <v>1</v>
      </c>
    </row>
    <row r="899" spans="1:28">
      <c r="A899" s="314" t="s">
        <v>3258</v>
      </c>
      <c r="B899" s="314"/>
      <c r="C899" s="314"/>
      <c r="D899" s="314" t="s">
        <v>103</v>
      </c>
      <c r="E899" s="314" t="s">
        <v>104</v>
      </c>
      <c r="F899" s="314" t="s">
        <v>118</v>
      </c>
      <c r="G899" s="314" t="s">
        <v>108</v>
      </c>
      <c r="H899" s="314" t="s">
        <v>119</v>
      </c>
      <c r="I899" s="314" t="s">
        <v>108</v>
      </c>
      <c r="J899" s="314" t="s">
        <v>109</v>
      </c>
      <c r="K899" s="314">
        <v>0</v>
      </c>
      <c r="L899" s="314">
        <v>0</v>
      </c>
      <c r="M899" s="315">
        <v>45145.4601041667</v>
      </c>
      <c r="N899" s="314" t="s">
        <v>3259</v>
      </c>
      <c r="O899" s="314" t="s">
        <v>266</v>
      </c>
      <c r="P899" s="314" t="s">
        <v>112</v>
      </c>
      <c r="Q899" s="314" t="s">
        <v>123</v>
      </c>
      <c r="R899" s="315">
        <v>45145.4661458333</v>
      </c>
      <c r="S899" s="314" t="s">
        <v>3259</v>
      </c>
      <c r="T899" s="314" t="s">
        <v>3260</v>
      </c>
      <c r="U899" s="314" t="s">
        <v>3260</v>
      </c>
      <c r="V899" s="314" t="s">
        <v>114</v>
      </c>
      <c r="W899" s="314"/>
      <c r="X899" s="314" t="str">
        <f>VLOOKUP(D899,代理总表!A:D,3,0)</f>
        <v>官网</v>
      </c>
      <c r="Y899" t="str">
        <f>VLOOKUP(D:D,代理总表!A:D,4,FALSE)</f>
        <v>官网</v>
      </c>
      <c r="Z899">
        <f t="shared" ref="Z899:Z962" si="42">IF(RIGHT(H899,1)&gt;"0",1,0)</f>
        <v>0</v>
      </c>
      <c r="AA899">
        <f t="shared" ref="AA899:AA962" si="43">HOUR(M899)</f>
        <v>11</v>
      </c>
      <c r="AB899">
        <f t="shared" ref="AB899:AB962" si="44">IF(AE899=AF899,1,0)</f>
        <v>1</v>
      </c>
    </row>
    <row r="900" spans="1:28">
      <c r="A900" s="314" t="s">
        <v>3261</v>
      </c>
      <c r="B900" s="314"/>
      <c r="C900" s="314"/>
      <c r="D900" s="314" t="s">
        <v>285</v>
      </c>
      <c r="E900" s="314" t="s">
        <v>104</v>
      </c>
      <c r="F900" s="314" t="s">
        <v>118</v>
      </c>
      <c r="G900" s="314" t="s">
        <v>108</v>
      </c>
      <c r="H900" s="314" t="s">
        <v>119</v>
      </c>
      <c r="I900" s="314" t="s">
        <v>108</v>
      </c>
      <c r="J900" s="314" t="s">
        <v>109</v>
      </c>
      <c r="K900" s="314">
        <v>0</v>
      </c>
      <c r="L900" s="314">
        <v>0</v>
      </c>
      <c r="M900" s="315">
        <v>45145.4599884259</v>
      </c>
      <c r="N900" s="314" t="s">
        <v>3262</v>
      </c>
      <c r="O900" s="314" t="s">
        <v>3263</v>
      </c>
      <c r="P900" s="314" t="s">
        <v>339</v>
      </c>
      <c r="Q900" s="314" t="s">
        <v>123</v>
      </c>
      <c r="R900" s="315">
        <v>45145.4731597222</v>
      </c>
      <c r="S900" s="314" t="s">
        <v>3262</v>
      </c>
      <c r="T900" s="314" t="s">
        <v>3264</v>
      </c>
      <c r="U900" s="314" t="s">
        <v>3264</v>
      </c>
      <c r="V900" s="314" t="s">
        <v>114</v>
      </c>
      <c r="W900" s="314"/>
      <c r="X900" s="314" t="str">
        <f>VLOOKUP(D900,代理总表!A:D,3,0)</f>
        <v>雨燕直播</v>
      </c>
      <c r="Y900" t="str">
        <f>VLOOKUP(D:D,代理总表!A:D,4,FALSE)</f>
        <v>雨燕直播zzzb888</v>
      </c>
      <c r="Z900">
        <f t="shared" si="42"/>
        <v>0</v>
      </c>
      <c r="AA900">
        <f t="shared" si="43"/>
        <v>11</v>
      </c>
      <c r="AB900">
        <f t="shared" si="44"/>
        <v>1</v>
      </c>
    </row>
    <row r="901" spans="1:28">
      <c r="A901" s="314" t="s">
        <v>3265</v>
      </c>
      <c r="B901" s="314"/>
      <c r="C901" s="314">
        <v>17688914246</v>
      </c>
      <c r="D901" s="314" t="s">
        <v>294</v>
      </c>
      <c r="E901" s="314" t="s">
        <v>104</v>
      </c>
      <c r="F901" s="314" t="s">
        <v>149</v>
      </c>
      <c r="G901" s="314" t="s">
        <v>108</v>
      </c>
      <c r="H901" s="314" t="s">
        <v>119</v>
      </c>
      <c r="I901" s="314" t="s">
        <v>108</v>
      </c>
      <c r="J901" s="314" t="s">
        <v>109</v>
      </c>
      <c r="K901" s="314">
        <v>0</v>
      </c>
      <c r="L901" s="314">
        <v>0</v>
      </c>
      <c r="M901" s="315">
        <v>45145.459525463</v>
      </c>
      <c r="N901" s="314" t="s">
        <v>3266</v>
      </c>
      <c r="O901" s="314" t="s">
        <v>1951</v>
      </c>
      <c r="P901" s="314" t="s">
        <v>112</v>
      </c>
      <c r="Q901" s="314" t="s">
        <v>123</v>
      </c>
      <c r="R901" s="315">
        <v>45145.459525463</v>
      </c>
      <c r="S901" s="314" t="s">
        <v>3266</v>
      </c>
      <c r="T901" s="314" t="s">
        <v>3267</v>
      </c>
      <c r="U901" s="314" t="s">
        <v>3267</v>
      </c>
      <c r="V901" s="314" t="s">
        <v>114</v>
      </c>
      <c r="W901" s="314"/>
      <c r="X901" s="314" t="str">
        <f>VLOOKUP(D901,代理总表!A:D,3,0)</f>
        <v>DK</v>
      </c>
      <c r="Y901" t="str">
        <f>VLOOKUP(D:D,代理总表!A:D,4,FALSE)</f>
        <v>SEO</v>
      </c>
      <c r="Z901">
        <f t="shared" si="42"/>
        <v>0</v>
      </c>
      <c r="AA901">
        <f t="shared" si="43"/>
        <v>11</v>
      </c>
      <c r="AB901">
        <f t="shared" si="44"/>
        <v>1</v>
      </c>
    </row>
    <row r="902" spans="1:28">
      <c r="A902" s="314" t="s">
        <v>3268</v>
      </c>
      <c r="B902" s="314" t="s">
        <v>3269</v>
      </c>
      <c r="C902" s="314">
        <v>19129261423</v>
      </c>
      <c r="D902" s="314" t="s">
        <v>760</v>
      </c>
      <c r="E902" s="314" t="s">
        <v>104</v>
      </c>
      <c r="F902" s="314" t="s">
        <v>144</v>
      </c>
      <c r="G902" s="314" t="s">
        <v>106</v>
      </c>
      <c r="H902" s="314" t="s">
        <v>107</v>
      </c>
      <c r="I902" s="314" t="s">
        <v>108</v>
      </c>
      <c r="J902" s="314" t="s">
        <v>109</v>
      </c>
      <c r="K902" s="314">
        <v>35.14</v>
      </c>
      <c r="L902" s="314">
        <v>500</v>
      </c>
      <c r="M902" s="315">
        <v>45145.4566782407</v>
      </c>
      <c r="N902" s="314" t="s">
        <v>3270</v>
      </c>
      <c r="O902" s="314" t="s">
        <v>1444</v>
      </c>
      <c r="P902" s="314" t="s">
        <v>112</v>
      </c>
      <c r="Q902" s="315">
        <v>45145.4983217593</v>
      </c>
      <c r="R902" s="315">
        <v>45145.8842476852</v>
      </c>
      <c r="S902" s="314" t="s">
        <v>3270</v>
      </c>
      <c r="T902" s="314" t="s">
        <v>3271</v>
      </c>
      <c r="U902" s="314" t="s">
        <v>3271</v>
      </c>
      <c r="V902" s="314" t="s">
        <v>114</v>
      </c>
      <c r="W902" s="314"/>
      <c r="X902" s="314" t="str">
        <f>VLOOKUP(D902,代理总表!A:D,3,0)</f>
        <v>GT-骨头</v>
      </c>
      <c r="Y902" t="str">
        <f>VLOOKUP(D:D,代理总表!A:D,4,FALSE)</f>
        <v>B直播gt6677</v>
      </c>
      <c r="Z902">
        <f t="shared" si="42"/>
        <v>1</v>
      </c>
      <c r="AA902">
        <f t="shared" si="43"/>
        <v>10</v>
      </c>
      <c r="AB902">
        <f t="shared" si="44"/>
        <v>1</v>
      </c>
    </row>
    <row r="903" spans="1:28">
      <c r="A903" s="314" t="s">
        <v>3272</v>
      </c>
      <c r="B903" s="314" t="s">
        <v>3273</v>
      </c>
      <c r="C903" s="314">
        <v>977740260</v>
      </c>
      <c r="D903" s="314" t="s">
        <v>116</v>
      </c>
      <c r="E903" s="314" t="s">
        <v>117</v>
      </c>
      <c r="F903" s="314" t="s">
        <v>118</v>
      </c>
      <c r="G903" s="314" t="s">
        <v>108</v>
      </c>
      <c r="H903" s="314" t="s">
        <v>119</v>
      </c>
      <c r="I903" s="314" t="s">
        <v>108</v>
      </c>
      <c r="J903" s="314" t="s">
        <v>120</v>
      </c>
      <c r="K903" s="314">
        <v>0</v>
      </c>
      <c r="L903" s="314">
        <v>0</v>
      </c>
      <c r="M903" s="315">
        <v>45145.4556018518</v>
      </c>
      <c r="N903" s="314" t="s">
        <v>3274</v>
      </c>
      <c r="O903" s="314" t="s">
        <v>127</v>
      </c>
      <c r="P903" s="314" t="s">
        <v>112</v>
      </c>
      <c r="Q903" s="314" t="s">
        <v>123</v>
      </c>
      <c r="R903" s="315">
        <v>45145.4574652778</v>
      </c>
      <c r="S903" s="314" t="s">
        <v>3274</v>
      </c>
      <c r="T903" s="314" t="s">
        <v>128</v>
      </c>
      <c r="U903" s="314" t="s">
        <v>128</v>
      </c>
      <c r="V903" s="314" t="s">
        <v>114</v>
      </c>
      <c r="W903" s="314"/>
      <c r="X903" s="314" t="str">
        <f>VLOOKUP(D903,代理总表!A:D,3,0)</f>
        <v>外部代理总线</v>
      </c>
      <c r="Y903" t="str">
        <f>VLOOKUP(D:D,代理总表!A:D,4,FALSE)</f>
        <v>外部代理总线zh0808</v>
      </c>
      <c r="Z903">
        <f t="shared" si="42"/>
        <v>0</v>
      </c>
      <c r="AA903">
        <f t="shared" si="43"/>
        <v>10</v>
      </c>
      <c r="AB903">
        <f t="shared" si="44"/>
        <v>1</v>
      </c>
    </row>
    <row r="904" spans="1:28">
      <c r="A904" s="314" t="s">
        <v>3275</v>
      </c>
      <c r="B904" s="314"/>
      <c r="C904" s="314"/>
      <c r="D904" s="314" t="s">
        <v>1109</v>
      </c>
      <c r="E904" s="314" t="s">
        <v>104</v>
      </c>
      <c r="F904" s="314" t="s">
        <v>118</v>
      </c>
      <c r="G904" s="314" t="s">
        <v>108</v>
      </c>
      <c r="H904" s="314" t="s">
        <v>119</v>
      </c>
      <c r="I904" s="314" t="s">
        <v>108</v>
      </c>
      <c r="J904" s="314" t="s">
        <v>109</v>
      </c>
      <c r="K904" s="314">
        <v>0</v>
      </c>
      <c r="L904" s="314">
        <v>0</v>
      </c>
      <c r="M904" s="315">
        <v>45145.455150463</v>
      </c>
      <c r="N904" s="314" t="s">
        <v>3276</v>
      </c>
      <c r="O904" s="314" t="s">
        <v>2143</v>
      </c>
      <c r="P904" s="314" t="s">
        <v>112</v>
      </c>
      <c r="Q904" s="314" t="s">
        <v>123</v>
      </c>
      <c r="R904" s="315">
        <v>45145.4556828704</v>
      </c>
      <c r="S904" s="314" t="s">
        <v>3276</v>
      </c>
      <c r="T904" s="314" t="s">
        <v>1549</v>
      </c>
      <c r="U904" s="314" t="s">
        <v>1549</v>
      </c>
      <c r="V904" s="314" t="s">
        <v>114</v>
      </c>
      <c r="W904" s="314"/>
      <c r="X904" s="314" t="str">
        <f>VLOOKUP(D904,代理总表!A:D,3,0)</f>
        <v>飞哥雨燕直播</v>
      </c>
      <c r="Y904" t="str">
        <f>VLOOKUP(D:D,代理总表!A:D,4,FALSE)</f>
        <v>飞哥雨燕直播ffmk88</v>
      </c>
      <c r="Z904">
        <f t="shared" si="42"/>
        <v>0</v>
      </c>
      <c r="AA904">
        <f t="shared" si="43"/>
        <v>10</v>
      </c>
      <c r="AB904">
        <f t="shared" si="44"/>
        <v>1</v>
      </c>
    </row>
    <row r="905" spans="1:28">
      <c r="A905" s="314" t="s">
        <v>3277</v>
      </c>
      <c r="B905" s="314" t="s">
        <v>3278</v>
      </c>
      <c r="C905" s="314">
        <v>857076555</v>
      </c>
      <c r="D905" s="314" t="s">
        <v>172</v>
      </c>
      <c r="E905" s="314" t="s">
        <v>117</v>
      </c>
      <c r="F905" s="314" t="s">
        <v>144</v>
      </c>
      <c r="G905" s="314" t="s">
        <v>106</v>
      </c>
      <c r="H905" s="314" t="s">
        <v>107</v>
      </c>
      <c r="I905" s="314" t="s">
        <v>108</v>
      </c>
      <c r="J905" s="314" t="s">
        <v>120</v>
      </c>
      <c r="K905" s="314">
        <v>500000</v>
      </c>
      <c r="L905" s="314">
        <v>0</v>
      </c>
      <c r="M905" s="315">
        <v>45145.4546527778</v>
      </c>
      <c r="N905" s="314" t="s">
        <v>3279</v>
      </c>
      <c r="O905" s="314" t="s">
        <v>174</v>
      </c>
      <c r="P905" s="314" t="s">
        <v>112</v>
      </c>
      <c r="Q905" s="315">
        <v>45145.647974537</v>
      </c>
      <c r="R905" s="315">
        <v>45145.6195601852</v>
      </c>
      <c r="S905" s="314" t="s">
        <v>3279</v>
      </c>
      <c r="T905" s="314" t="s">
        <v>775</v>
      </c>
      <c r="U905" s="314" t="s">
        <v>775</v>
      </c>
      <c r="V905" s="314" t="s">
        <v>114</v>
      </c>
      <c r="W905" s="314"/>
      <c r="X905" s="314" t="str">
        <f>VLOOKUP(D905,代理总表!A:D,3,0)</f>
        <v>雨燕直播-越</v>
      </c>
      <c r="Y905" t="str">
        <f>VLOOKUP(D:D,代理总表!A:D,4,FALSE)</f>
        <v>雨燕直播-越ffvn66</v>
      </c>
      <c r="Z905">
        <f t="shared" si="42"/>
        <v>1</v>
      </c>
      <c r="AA905">
        <f t="shared" si="43"/>
        <v>10</v>
      </c>
      <c r="AB905">
        <f t="shared" si="44"/>
        <v>1</v>
      </c>
    </row>
    <row r="906" spans="1:28">
      <c r="A906" s="314" t="s">
        <v>3280</v>
      </c>
      <c r="B906" s="314" t="s">
        <v>3281</v>
      </c>
      <c r="C906" s="314">
        <v>13735469966</v>
      </c>
      <c r="D906" s="314" t="s">
        <v>285</v>
      </c>
      <c r="E906" s="314" t="s">
        <v>104</v>
      </c>
      <c r="F906" s="314" t="s">
        <v>118</v>
      </c>
      <c r="G906" s="314" t="s">
        <v>108</v>
      </c>
      <c r="H906" s="314" t="s">
        <v>119</v>
      </c>
      <c r="I906" s="314" t="s">
        <v>108</v>
      </c>
      <c r="J906" s="314" t="s">
        <v>109</v>
      </c>
      <c r="K906" s="314">
        <v>0</v>
      </c>
      <c r="L906" s="314">
        <v>0</v>
      </c>
      <c r="M906" s="315">
        <v>45145.4540625</v>
      </c>
      <c r="N906" s="314" t="s">
        <v>3282</v>
      </c>
      <c r="O906" s="314" t="s">
        <v>287</v>
      </c>
      <c r="P906" s="314" t="s">
        <v>208</v>
      </c>
      <c r="Q906" s="314" t="s">
        <v>123</v>
      </c>
      <c r="R906" s="315">
        <v>45145.8461226852</v>
      </c>
      <c r="S906" s="314" t="s">
        <v>3283</v>
      </c>
      <c r="T906" s="314" t="s">
        <v>467</v>
      </c>
      <c r="U906" s="314" t="s">
        <v>3284</v>
      </c>
      <c r="V906" s="314" t="s">
        <v>114</v>
      </c>
      <c r="W906" s="314" t="s">
        <v>2978</v>
      </c>
      <c r="X906" s="314" t="str">
        <f>VLOOKUP(D906,代理总表!A:D,3,0)</f>
        <v>雨燕直播</v>
      </c>
      <c r="Y906" t="str">
        <f>VLOOKUP(D:D,代理总表!A:D,4,FALSE)</f>
        <v>雨燕直播zzzb888</v>
      </c>
      <c r="Z906">
        <f t="shared" si="42"/>
        <v>0</v>
      </c>
      <c r="AA906">
        <f t="shared" si="43"/>
        <v>10</v>
      </c>
      <c r="AB906">
        <f t="shared" si="44"/>
        <v>1</v>
      </c>
    </row>
    <row r="907" spans="1:28">
      <c r="A907" s="314" t="s">
        <v>3285</v>
      </c>
      <c r="B907" s="314" t="s">
        <v>3286</v>
      </c>
      <c r="C907" s="314">
        <v>15811547261</v>
      </c>
      <c r="D907" s="314" t="s">
        <v>1513</v>
      </c>
      <c r="E907" s="314" t="s">
        <v>104</v>
      </c>
      <c r="F907" s="314" t="s">
        <v>144</v>
      </c>
      <c r="G907" s="314" t="s">
        <v>106</v>
      </c>
      <c r="H907" s="314" t="s">
        <v>107</v>
      </c>
      <c r="I907" s="314" t="s">
        <v>108</v>
      </c>
      <c r="J907" s="314" t="s">
        <v>109</v>
      </c>
      <c r="K907" s="314">
        <v>200</v>
      </c>
      <c r="L907" s="314">
        <v>450</v>
      </c>
      <c r="M907" s="315">
        <v>45145.453287037</v>
      </c>
      <c r="N907" s="314" t="s">
        <v>3287</v>
      </c>
      <c r="O907" s="314" t="s">
        <v>1699</v>
      </c>
      <c r="P907" s="314" t="s">
        <v>339</v>
      </c>
      <c r="Q907" s="315">
        <v>45145.6346412037</v>
      </c>
      <c r="R907" s="315">
        <v>45145.9787268518</v>
      </c>
      <c r="S907" s="314" t="s">
        <v>3288</v>
      </c>
      <c r="T907" s="314" t="s">
        <v>3289</v>
      </c>
      <c r="U907" s="314" t="s">
        <v>3289</v>
      </c>
      <c r="V907" s="314" t="s">
        <v>114</v>
      </c>
      <c r="W907" s="314"/>
      <c r="X907" s="314" t="str">
        <f>VLOOKUP(D907,代理总表!A:D,3,0)</f>
        <v>GT-骨头</v>
      </c>
      <c r="Y907" t="str">
        <f>VLOOKUP(D:D,代理总表!A:D,4,FALSE)</f>
        <v>GT-骨头gt6677</v>
      </c>
      <c r="Z907">
        <f t="shared" si="42"/>
        <v>1</v>
      </c>
      <c r="AA907">
        <f t="shared" si="43"/>
        <v>10</v>
      </c>
      <c r="AB907">
        <f t="shared" si="44"/>
        <v>1</v>
      </c>
    </row>
    <row r="908" spans="1:28">
      <c r="A908" s="314" t="s">
        <v>3290</v>
      </c>
      <c r="B908" s="314" t="s">
        <v>3291</v>
      </c>
      <c r="C908" s="314">
        <v>327466599</v>
      </c>
      <c r="D908" s="314" t="s">
        <v>143</v>
      </c>
      <c r="E908" s="314" t="s">
        <v>117</v>
      </c>
      <c r="F908" s="314" t="s">
        <v>105</v>
      </c>
      <c r="G908" s="314" t="s">
        <v>106</v>
      </c>
      <c r="H908" s="314" t="s">
        <v>107</v>
      </c>
      <c r="I908" s="314" t="s">
        <v>108</v>
      </c>
      <c r="J908" s="314" t="s">
        <v>120</v>
      </c>
      <c r="K908" s="314">
        <v>100000</v>
      </c>
      <c r="L908" s="314">
        <v>1080000</v>
      </c>
      <c r="M908" s="315">
        <v>45145.4521180556</v>
      </c>
      <c r="N908" s="314" t="s">
        <v>2313</v>
      </c>
      <c r="O908" s="314" t="s">
        <v>407</v>
      </c>
      <c r="P908" s="314" t="s">
        <v>112</v>
      </c>
      <c r="Q908" s="315">
        <v>45145.4833796296</v>
      </c>
      <c r="R908" s="315">
        <v>45146.3612384259</v>
      </c>
      <c r="S908" s="314" t="s">
        <v>2313</v>
      </c>
      <c r="T908" s="314" t="s">
        <v>233</v>
      </c>
      <c r="U908" s="314" t="s">
        <v>233</v>
      </c>
      <c r="V908" s="314" t="s">
        <v>114</v>
      </c>
      <c r="W908" s="314"/>
      <c r="X908" s="314" t="str">
        <f>VLOOKUP(D908,代理总表!A:D,3,0)</f>
        <v>雨燕直播-越</v>
      </c>
      <c r="Y908" t="str">
        <f>VLOOKUP(D:D,代理总表!A:D,4,FALSE)</f>
        <v>雨燕直播-越ffvn66</v>
      </c>
      <c r="Z908">
        <f t="shared" si="42"/>
        <v>1</v>
      </c>
      <c r="AA908">
        <f t="shared" si="43"/>
        <v>10</v>
      </c>
      <c r="AB908">
        <f t="shared" si="44"/>
        <v>1</v>
      </c>
    </row>
    <row r="909" spans="1:28">
      <c r="A909" s="314" t="s">
        <v>3292</v>
      </c>
      <c r="B909" s="314"/>
      <c r="C909" s="314"/>
      <c r="D909" s="314" t="s">
        <v>197</v>
      </c>
      <c r="E909" s="314" t="s">
        <v>117</v>
      </c>
      <c r="F909" s="314" t="s">
        <v>118</v>
      </c>
      <c r="G909" s="314" t="s">
        <v>108</v>
      </c>
      <c r="H909" s="314" t="s">
        <v>119</v>
      </c>
      <c r="I909" s="314" t="s">
        <v>108</v>
      </c>
      <c r="J909" s="314" t="s">
        <v>120</v>
      </c>
      <c r="K909" s="314">
        <v>0</v>
      </c>
      <c r="L909" s="314">
        <v>0</v>
      </c>
      <c r="M909" s="315">
        <v>45145.4512268519</v>
      </c>
      <c r="N909" s="314" t="s">
        <v>3293</v>
      </c>
      <c r="O909" s="314" t="s">
        <v>617</v>
      </c>
      <c r="P909" s="314" t="s">
        <v>339</v>
      </c>
      <c r="Q909" s="314" t="s">
        <v>123</v>
      </c>
      <c r="R909" s="315">
        <v>45145.4512152778</v>
      </c>
      <c r="S909" s="314" t="s">
        <v>3293</v>
      </c>
      <c r="T909" s="314" t="s">
        <v>907</v>
      </c>
      <c r="U909" s="314" t="s">
        <v>907</v>
      </c>
      <c r="V909" s="314" t="s">
        <v>114</v>
      </c>
      <c r="W909" s="314"/>
      <c r="X909" s="314" t="str">
        <f>VLOOKUP(D909,代理总表!A:D,3,0)</f>
        <v>雨燕直播-越</v>
      </c>
      <c r="Y909" t="str">
        <f>VLOOKUP(D:D,代理总表!A:D,4,FALSE)</f>
        <v>雨燕直播-越ffvn66</v>
      </c>
      <c r="Z909">
        <f t="shared" si="42"/>
        <v>0</v>
      </c>
      <c r="AA909">
        <f t="shared" si="43"/>
        <v>10</v>
      </c>
      <c r="AB909">
        <f t="shared" si="44"/>
        <v>1</v>
      </c>
    </row>
    <row r="910" spans="1:28">
      <c r="A910" s="314" t="s">
        <v>3294</v>
      </c>
      <c r="B910" s="314"/>
      <c r="C910" s="314">
        <v>985659156</v>
      </c>
      <c r="D910" s="314" t="s">
        <v>143</v>
      </c>
      <c r="E910" s="314" t="s">
        <v>117</v>
      </c>
      <c r="F910" s="314" t="s">
        <v>118</v>
      </c>
      <c r="G910" s="314" t="s">
        <v>108</v>
      </c>
      <c r="H910" s="314" t="s">
        <v>119</v>
      </c>
      <c r="I910" s="314" t="s">
        <v>108</v>
      </c>
      <c r="J910" s="314" t="s">
        <v>120</v>
      </c>
      <c r="K910" s="314">
        <v>0</v>
      </c>
      <c r="L910" s="314">
        <v>0</v>
      </c>
      <c r="M910" s="315">
        <v>45145.4495833333</v>
      </c>
      <c r="N910" s="314" t="s">
        <v>3295</v>
      </c>
      <c r="O910" s="314" t="s">
        <v>407</v>
      </c>
      <c r="P910" s="314" t="s">
        <v>112</v>
      </c>
      <c r="Q910" s="314" t="s">
        <v>123</v>
      </c>
      <c r="R910" s="315">
        <v>45145.9256481481</v>
      </c>
      <c r="S910" s="314" t="s">
        <v>3295</v>
      </c>
      <c r="T910" s="314" t="s">
        <v>776</v>
      </c>
      <c r="U910" s="314" t="s">
        <v>776</v>
      </c>
      <c r="V910" s="314" t="s">
        <v>114</v>
      </c>
      <c r="W910" s="314"/>
      <c r="X910" s="314" t="str">
        <f>VLOOKUP(D910,代理总表!A:D,3,0)</f>
        <v>雨燕直播-越</v>
      </c>
      <c r="Y910" t="str">
        <f>VLOOKUP(D:D,代理总表!A:D,4,FALSE)</f>
        <v>雨燕直播-越ffvn66</v>
      </c>
      <c r="Z910">
        <f t="shared" si="42"/>
        <v>0</v>
      </c>
      <c r="AA910">
        <f t="shared" si="43"/>
        <v>10</v>
      </c>
      <c r="AB910">
        <f t="shared" si="44"/>
        <v>1</v>
      </c>
    </row>
    <row r="911" spans="1:28">
      <c r="A911" s="314" t="s">
        <v>3296</v>
      </c>
      <c r="B911" s="314"/>
      <c r="C911" s="314"/>
      <c r="D911" s="314" t="s">
        <v>754</v>
      </c>
      <c r="E911" s="314" t="s">
        <v>104</v>
      </c>
      <c r="F911" s="314" t="s">
        <v>149</v>
      </c>
      <c r="G911" s="314" t="s">
        <v>108</v>
      </c>
      <c r="H911" s="314" t="s">
        <v>119</v>
      </c>
      <c r="I911" s="314" t="s">
        <v>108</v>
      </c>
      <c r="J911" s="314" t="s">
        <v>109</v>
      </c>
      <c r="K911" s="314">
        <v>0</v>
      </c>
      <c r="L911" s="314">
        <v>0</v>
      </c>
      <c r="M911" s="315">
        <v>45145.4485648148</v>
      </c>
      <c r="N911" s="314" t="s">
        <v>3297</v>
      </c>
      <c r="O911" s="314" t="s">
        <v>3298</v>
      </c>
      <c r="P911" s="314" t="s">
        <v>112</v>
      </c>
      <c r="Q911" s="314" t="s">
        <v>123</v>
      </c>
      <c r="R911" s="315">
        <v>45145.4485648148</v>
      </c>
      <c r="S911" s="314" t="s">
        <v>3297</v>
      </c>
      <c r="T911" s="314" t="s">
        <v>152</v>
      </c>
      <c r="U911" s="314" t="s">
        <v>152</v>
      </c>
      <c r="V911" s="314" t="s">
        <v>114</v>
      </c>
      <c r="W911" s="314"/>
      <c r="X911" s="314" t="str">
        <f>VLOOKUP(D911,代理总表!A:D,3,0)</f>
        <v>SEO掉线用户转线</v>
      </c>
      <c r="Y911" t="str">
        <f>VLOOKUP(D:D,代理总表!A:D,4,FALSE)</f>
        <v>SEO</v>
      </c>
      <c r="Z911">
        <f t="shared" si="42"/>
        <v>0</v>
      </c>
      <c r="AA911">
        <f t="shared" si="43"/>
        <v>10</v>
      </c>
      <c r="AB911">
        <f t="shared" si="44"/>
        <v>1</v>
      </c>
    </row>
    <row r="912" spans="1:28">
      <c r="A912" s="314" t="s">
        <v>3299</v>
      </c>
      <c r="B912" s="314" t="s">
        <v>3300</v>
      </c>
      <c r="C912" s="314">
        <v>972866406</v>
      </c>
      <c r="D912" s="314" t="s">
        <v>143</v>
      </c>
      <c r="E912" s="314" t="s">
        <v>117</v>
      </c>
      <c r="F912" s="314" t="s">
        <v>118</v>
      </c>
      <c r="G912" s="314" t="s">
        <v>108</v>
      </c>
      <c r="H912" s="314" t="s">
        <v>119</v>
      </c>
      <c r="I912" s="314" t="s">
        <v>108</v>
      </c>
      <c r="J912" s="314" t="s">
        <v>120</v>
      </c>
      <c r="K912" s="314">
        <v>0</v>
      </c>
      <c r="L912" s="314">
        <v>0</v>
      </c>
      <c r="M912" s="315">
        <v>45145.447962963</v>
      </c>
      <c r="N912" s="314" t="s">
        <v>3301</v>
      </c>
      <c r="O912" s="314" t="s">
        <v>502</v>
      </c>
      <c r="P912" s="314" t="s">
        <v>339</v>
      </c>
      <c r="Q912" s="314" t="s">
        <v>123</v>
      </c>
      <c r="R912" s="315">
        <v>45145.4483564815</v>
      </c>
      <c r="S912" s="314" t="s">
        <v>3301</v>
      </c>
      <c r="T912" s="314" t="s">
        <v>124</v>
      </c>
      <c r="U912" s="314" t="s">
        <v>124</v>
      </c>
      <c r="V912" s="314" t="s">
        <v>114</v>
      </c>
      <c r="W912" s="314"/>
      <c r="X912" s="314" t="str">
        <f>VLOOKUP(D912,代理总表!A:D,3,0)</f>
        <v>雨燕直播-越</v>
      </c>
      <c r="Y912" t="str">
        <f>VLOOKUP(D:D,代理总表!A:D,4,FALSE)</f>
        <v>雨燕直播-越ffvn66</v>
      </c>
      <c r="Z912">
        <f t="shared" si="42"/>
        <v>0</v>
      </c>
      <c r="AA912">
        <f t="shared" si="43"/>
        <v>10</v>
      </c>
      <c r="AB912">
        <f t="shared" si="44"/>
        <v>1</v>
      </c>
    </row>
    <row r="913" spans="1:28">
      <c r="A913" s="314" t="s">
        <v>3302</v>
      </c>
      <c r="B913" s="314"/>
      <c r="C913" s="314">
        <v>18155078058</v>
      </c>
      <c r="D913" s="314" t="s">
        <v>2880</v>
      </c>
      <c r="E913" s="314" t="s">
        <v>104</v>
      </c>
      <c r="F913" s="314" t="s">
        <v>118</v>
      </c>
      <c r="G913" s="314" t="s">
        <v>108</v>
      </c>
      <c r="H913" s="314" t="s">
        <v>119</v>
      </c>
      <c r="I913" s="314" t="s">
        <v>108</v>
      </c>
      <c r="J913" s="314" t="s">
        <v>109</v>
      </c>
      <c r="K913" s="314">
        <v>0</v>
      </c>
      <c r="L913" s="314">
        <v>0</v>
      </c>
      <c r="M913" s="315">
        <v>45145.4467824074</v>
      </c>
      <c r="N913" s="314" t="s">
        <v>3303</v>
      </c>
      <c r="O913" s="314" t="s">
        <v>1527</v>
      </c>
      <c r="P913" s="314" t="s">
        <v>112</v>
      </c>
      <c r="Q913" s="314" t="s">
        <v>123</v>
      </c>
      <c r="R913" s="315">
        <v>45145.4467708333</v>
      </c>
      <c r="S913" s="314" t="s">
        <v>3303</v>
      </c>
      <c r="T913" s="314" t="s">
        <v>3304</v>
      </c>
      <c r="U913" s="314" t="s">
        <v>3304</v>
      </c>
      <c r="V913" s="314" t="s">
        <v>114</v>
      </c>
      <c r="W913" s="314"/>
      <c r="X913" s="314" t="str">
        <f>VLOOKUP(D913,代理总表!A:D,3,0)</f>
        <v>GT-B直播</v>
      </c>
      <c r="Y913" t="str">
        <f>VLOOKUP(D:D,代理总表!A:D,4,FALSE)</f>
        <v>B直播gt6688</v>
      </c>
      <c r="Z913">
        <f t="shared" si="42"/>
        <v>0</v>
      </c>
      <c r="AA913">
        <f t="shared" si="43"/>
        <v>10</v>
      </c>
      <c r="AB913">
        <f t="shared" si="44"/>
        <v>1</v>
      </c>
    </row>
    <row r="914" spans="1:28">
      <c r="A914" s="314" t="s">
        <v>3305</v>
      </c>
      <c r="B914" s="314" t="s">
        <v>3306</v>
      </c>
      <c r="C914" s="314">
        <v>936277454</v>
      </c>
      <c r="D914" s="314" t="s">
        <v>3307</v>
      </c>
      <c r="E914" s="314" t="s">
        <v>117</v>
      </c>
      <c r="F914" s="314" t="s">
        <v>149</v>
      </c>
      <c r="G914" s="314" t="s">
        <v>108</v>
      </c>
      <c r="H914" s="314" t="s">
        <v>119</v>
      </c>
      <c r="I914" s="314" t="s">
        <v>108</v>
      </c>
      <c r="J914" s="314" t="s">
        <v>120</v>
      </c>
      <c r="K914" s="314">
        <v>0</v>
      </c>
      <c r="L914" s="314">
        <v>0</v>
      </c>
      <c r="M914" s="315">
        <v>45145.4467476852</v>
      </c>
      <c r="N914" s="314" t="s">
        <v>3308</v>
      </c>
      <c r="O914" s="314" t="s">
        <v>3309</v>
      </c>
      <c r="P914" s="314" t="s">
        <v>112</v>
      </c>
      <c r="Q914" s="314" t="s">
        <v>123</v>
      </c>
      <c r="R914" s="315">
        <v>45145.4467361111</v>
      </c>
      <c r="S914" s="314" t="s">
        <v>3308</v>
      </c>
      <c r="T914" s="314" t="s">
        <v>131</v>
      </c>
      <c r="U914" s="314" t="s">
        <v>131</v>
      </c>
      <c r="V914" s="314" t="s">
        <v>114</v>
      </c>
      <c r="W914" s="314"/>
      <c r="X914" s="314" t="str">
        <f>VLOOKUP(D914,代理总表!A:D,3,0)</f>
        <v>Cyrus</v>
      </c>
      <c r="Y914" t="str">
        <f>VLOOKUP(D:D,代理总表!A:D,4,FALSE)</f>
        <v>SEO</v>
      </c>
      <c r="Z914">
        <f t="shared" si="42"/>
        <v>0</v>
      </c>
      <c r="AA914">
        <f t="shared" si="43"/>
        <v>10</v>
      </c>
      <c r="AB914">
        <f t="shared" si="44"/>
        <v>1</v>
      </c>
    </row>
    <row r="915" spans="1:28">
      <c r="A915" s="314" t="s">
        <v>3310</v>
      </c>
      <c r="B915" s="314" t="s">
        <v>3311</v>
      </c>
      <c r="C915" s="314">
        <v>15074497916</v>
      </c>
      <c r="D915" s="314" t="s">
        <v>594</v>
      </c>
      <c r="E915" s="314" t="s">
        <v>104</v>
      </c>
      <c r="F915" s="314" t="s">
        <v>149</v>
      </c>
      <c r="G915" s="314" t="s">
        <v>108</v>
      </c>
      <c r="H915" s="314" t="s">
        <v>119</v>
      </c>
      <c r="I915" s="314" t="s">
        <v>108</v>
      </c>
      <c r="J915" s="314" t="s">
        <v>109</v>
      </c>
      <c r="K915" s="314">
        <v>0</v>
      </c>
      <c r="L915" s="314">
        <v>0</v>
      </c>
      <c r="M915" s="315">
        <v>45145.4463425926</v>
      </c>
      <c r="N915" s="314" t="s">
        <v>3312</v>
      </c>
      <c r="O915" s="314" t="s">
        <v>596</v>
      </c>
      <c r="P915" s="314" t="s">
        <v>112</v>
      </c>
      <c r="Q915" s="314" t="s">
        <v>123</v>
      </c>
      <c r="R915" s="315">
        <v>45145.4539236111</v>
      </c>
      <c r="S915" s="314" t="s">
        <v>3312</v>
      </c>
      <c r="T915" s="314" t="s">
        <v>939</v>
      </c>
      <c r="U915" s="314" t="s">
        <v>939</v>
      </c>
      <c r="V915" s="314" t="s">
        <v>114</v>
      </c>
      <c r="W915" s="314"/>
      <c r="X915" s="314" t="str">
        <f>VLOOKUP(D915,代理总表!A:D,3,0)</f>
        <v>zed</v>
      </c>
      <c r="Y915" t="str">
        <f>VLOOKUP(D:D,代理总表!A:D,4,FALSE)</f>
        <v>SEO</v>
      </c>
      <c r="Z915">
        <f t="shared" si="42"/>
        <v>0</v>
      </c>
      <c r="AA915">
        <f t="shared" si="43"/>
        <v>10</v>
      </c>
      <c r="AB915">
        <f t="shared" si="44"/>
        <v>1</v>
      </c>
    </row>
    <row r="916" spans="1:28">
      <c r="A916" s="314" t="s">
        <v>3313</v>
      </c>
      <c r="B916" s="314" t="s">
        <v>3314</v>
      </c>
      <c r="C916" s="314">
        <v>976509979</v>
      </c>
      <c r="D916" s="314" t="s">
        <v>137</v>
      </c>
      <c r="E916" s="314" t="s">
        <v>117</v>
      </c>
      <c r="F916" s="314" t="s">
        <v>144</v>
      </c>
      <c r="G916" s="314" t="s">
        <v>106</v>
      </c>
      <c r="H916" s="314" t="s">
        <v>107</v>
      </c>
      <c r="I916" s="314" t="s">
        <v>108</v>
      </c>
      <c r="J916" s="314" t="s">
        <v>120</v>
      </c>
      <c r="K916" s="314">
        <v>120000</v>
      </c>
      <c r="L916" s="314">
        <v>1000000</v>
      </c>
      <c r="M916" s="315">
        <v>45145.4457986111</v>
      </c>
      <c r="N916" s="314" t="s">
        <v>3315</v>
      </c>
      <c r="O916" s="314" t="s">
        <v>139</v>
      </c>
      <c r="P916" s="314" t="s">
        <v>112</v>
      </c>
      <c r="Q916" s="315">
        <v>45145.453900463</v>
      </c>
      <c r="R916" s="315">
        <v>45145.9855902778</v>
      </c>
      <c r="S916" s="314" t="s">
        <v>3315</v>
      </c>
      <c r="T916" s="314" t="s">
        <v>134</v>
      </c>
      <c r="U916" s="314" t="s">
        <v>134</v>
      </c>
      <c r="V916" s="314" t="s">
        <v>114</v>
      </c>
      <c r="W916" s="314"/>
      <c r="X916" s="314" t="str">
        <f>VLOOKUP(D916,代理总表!A:D,3,0)</f>
        <v>雨燕直播-越</v>
      </c>
      <c r="Y916" t="str">
        <f>VLOOKUP(D:D,代理总表!A:D,4,FALSE)</f>
        <v>雨燕直播-越ffvn66</v>
      </c>
      <c r="Z916">
        <f t="shared" si="42"/>
        <v>1</v>
      </c>
      <c r="AA916">
        <f t="shared" si="43"/>
        <v>10</v>
      </c>
      <c r="AB916">
        <f t="shared" si="44"/>
        <v>1</v>
      </c>
    </row>
    <row r="917" spans="1:28">
      <c r="A917" s="314" t="s">
        <v>3316</v>
      </c>
      <c r="B917" s="314" t="s">
        <v>3317</v>
      </c>
      <c r="C917" s="314">
        <v>9297037270</v>
      </c>
      <c r="D917" s="314" t="s">
        <v>103</v>
      </c>
      <c r="E917" s="314" t="s">
        <v>117</v>
      </c>
      <c r="F917" s="314" t="s">
        <v>118</v>
      </c>
      <c r="G917" s="314" t="s">
        <v>108</v>
      </c>
      <c r="H917" s="314" t="s">
        <v>119</v>
      </c>
      <c r="I917" s="314" t="s">
        <v>108</v>
      </c>
      <c r="J917" s="314" t="s">
        <v>120</v>
      </c>
      <c r="K917" s="314">
        <v>0</v>
      </c>
      <c r="L917" s="314">
        <v>0</v>
      </c>
      <c r="M917" s="315">
        <v>45145.4457523148</v>
      </c>
      <c r="N917" s="314" t="s">
        <v>3179</v>
      </c>
      <c r="O917" s="314" t="s">
        <v>3218</v>
      </c>
      <c r="P917" s="314" t="s">
        <v>339</v>
      </c>
      <c r="Q917" s="314" t="s">
        <v>123</v>
      </c>
      <c r="R917" s="315">
        <v>45145.7332638889</v>
      </c>
      <c r="S917" s="314" t="s">
        <v>3179</v>
      </c>
      <c r="T917" s="314" t="s">
        <v>340</v>
      </c>
      <c r="U917" s="314" t="s">
        <v>340</v>
      </c>
      <c r="V917" s="314" t="s">
        <v>114</v>
      </c>
      <c r="W917" s="314"/>
      <c r="X917" s="314" t="str">
        <f>VLOOKUP(D917,代理总表!A:D,3,0)</f>
        <v>官网</v>
      </c>
      <c r="Y917" t="str">
        <f>VLOOKUP(D:D,代理总表!A:D,4,FALSE)</f>
        <v>官网</v>
      </c>
      <c r="Z917">
        <f t="shared" si="42"/>
        <v>0</v>
      </c>
      <c r="AA917">
        <f t="shared" si="43"/>
        <v>10</v>
      </c>
      <c r="AB917">
        <f t="shared" si="44"/>
        <v>1</v>
      </c>
    </row>
    <row r="918" spans="1:28">
      <c r="A918" s="314" t="s">
        <v>3318</v>
      </c>
      <c r="B918" s="314"/>
      <c r="C918" s="314">
        <v>356170656</v>
      </c>
      <c r="D918" s="314" t="s">
        <v>116</v>
      </c>
      <c r="E918" s="314" t="s">
        <v>117</v>
      </c>
      <c r="F918" s="314" t="s">
        <v>118</v>
      </c>
      <c r="G918" s="314" t="s">
        <v>108</v>
      </c>
      <c r="H918" s="314" t="s">
        <v>119</v>
      </c>
      <c r="I918" s="314" t="s">
        <v>108</v>
      </c>
      <c r="J918" s="314" t="s">
        <v>120</v>
      </c>
      <c r="K918" s="314">
        <v>0</v>
      </c>
      <c r="L918" s="314">
        <v>0</v>
      </c>
      <c r="M918" s="315">
        <v>45145.4456597222</v>
      </c>
      <c r="N918" s="314" t="s">
        <v>3319</v>
      </c>
      <c r="O918" s="314" t="s">
        <v>122</v>
      </c>
      <c r="P918" s="314" t="s">
        <v>112</v>
      </c>
      <c r="Q918" s="314" t="s">
        <v>123</v>
      </c>
      <c r="R918" s="315">
        <v>45145.4456481481</v>
      </c>
      <c r="S918" s="314" t="s">
        <v>3319</v>
      </c>
      <c r="T918" s="314" t="s">
        <v>1334</v>
      </c>
      <c r="U918" s="314" t="s">
        <v>1334</v>
      </c>
      <c r="V918" s="314" t="s">
        <v>114</v>
      </c>
      <c r="W918" s="314"/>
      <c r="X918" s="314" t="str">
        <f>VLOOKUP(D918,代理总表!A:D,3,0)</f>
        <v>外部代理总线</v>
      </c>
      <c r="Y918" t="str">
        <f>VLOOKUP(D:D,代理总表!A:D,4,FALSE)</f>
        <v>外部代理总线zh0808</v>
      </c>
      <c r="Z918">
        <f t="shared" si="42"/>
        <v>0</v>
      </c>
      <c r="AA918">
        <f t="shared" si="43"/>
        <v>10</v>
      </c>
      <c r="AB918">
        <f t="shared" si="44"/>
        <v>1</v>
      </c>
    </row>
    <row r="919" spans="1:28">
      <c r="A919" s="314" t="s">
        <v>3320</v>
      </c>
      <c r="B919" s="314"/>
      <c r="C919" s="314">
        <v>13162330657</v>
      </c>
      <c r="D919" s="314" t="s">
        <v>259</v>
      </c>
      <c r="E919" s="314" t="s">
        <v>104</v>
      </c>
      <c r="F919" s="314" t="s">
        <v>149</v>
      </c>
      <c r="G919" s="314" t="s">
        <v>108</v>
      </c>
      <c r="H919" s="314" t="s">
        <v>119</v>
      </c>
      <c r="I919" s="314" t="s">
        <v>108</v>
      </c>
      <c r="J919" s="314" t="s">
        <v>109</v>
      </c>
      <c r="K919" s="314">
        <v>0</v>
      </c>
      <c r="L919" s="314">
        <v>0</v>
      </c>
      <c r="M919" s="315">
        <v>45145.4448611111</v>
      </c>
      <c r="N919" s="314" t="s">
        <v>3321</v>
      </c>
      <c r="O919" s="314" t="s">
        <v>471</v>
      </c>
      <c r="P919" s="314" t="s">
        <v>208</v>
      </c>
      <c r="Q919" s="314" t="s">
        <v>123</v>
      </c>
      <c r="R919" s="315">
        <v>45145.444849537</v>
      </c>
      <c r="S919" s="314" t="s">
        <v>3321</v>
      </c>
      <c r="T919" s="314" t="s">
        <v>3322</v>
      </c>
      <c r="U919" s="314" t="s">
        <v>3322</v>
      </c>
      <c r="V919" s="314" t="s">
        <v>114</v>
      </c>
      <c r="W919" s="314"/>
      <c r="X919" s="314" t="str">
        <f>VLOOKUP(D919,代理总表!A:D,3,0)</f>
        <v>tony</v>
      </c>
      <c r="Y919" t="str">
        <f>VLOOKUP(D:D,代理总表!A:D,4,FALSE)</f>
        <v>SEO</v>
      </c>
      <c r="Z919">
        <f t="shared" si="42"/>
        <v>0</v>
      </c>
      <c r="AA919">
        <f t="shared" si="43"/>
        <v>10</v>
      </c>
      <c r="AB919">
        <f t="shared" si="44"/>
        <v>1</v>
      </c>
    </row>
    <row r="920" spans="1:28">
      <c r="A920" s="314" t="s">
        <v>3323</v>
      </c>
      <c r="B920" s="314" t="s">
        <v>3324</v>
      </c>
      <c r="C920" s="314">
        <v>905243521</v>
      </c>
      <c r="D920" s="314" t="s">
        <v>526</v>
      </c>
      <c r="E920" s="314" t="s">
        <v>117</v>
      </c>
      <c r="F920" s="314" t="s">
        <v>118</v>
      </c>
      <c r="G920" s="314" t="s">
        <v>106</v>
      </c>
      <c r="H920" s="314" t="s">
        <v>107</v>
      </c>
      <c r="I920" s="314" t="s">
        <v>108</v>
      </c>
      <c r="J920" s="314" t="s">
        <v>120</v>
      </c>
      <c r="K920" s="314">
        <v>400000</v>
      </c>
      <c r="L920" s="314">
        <v>100000</v>
      </c>
      <c r="M920" s="315">
        <v>45145.4443171296</v>
      </c>
      <c r="N920" s="314" t="s">
        <v>3325</v>
      </c>
      <c r="O920" s="314" t="s">
        <v>528</v>
      </c>
      <c r="P920" s="314" t="s">
        <v>112</v>
      </c>
      <c r="Q920" s="315">
        <v>45145.6373958333</v>
      </c>
      <c r="R920" s="315">
        <v>45145.7558449074</v>
      </c>
      <c r="S920" s="314" t="s">
        <v>3325</v>
      </c>
      <c r="T920" s="314" t="s">
        <v>743</v>
      </c>
      <c r="U920" s="314" t="s">
        <v>743</v>
      </c>
      <c r="V920" s="314" t="s">
        <v>114</v>
      </c>
      <c r="W920" s="314"/>
      <c r="X920" s="314" t="str">
        <f>VLOOKUP(D920,代理总表!A:D,3,0)</f>
        <v>SOCO越南直播</v>
      </c>
      <c r="Y920" t="str">
        <f>VLOOKUP(D:D,代理总表!A:D,4,FALSE)</f>
        <v>SOCO越南直播ffvn66</v>
      </c>
      <c r="Z920">
        <f t="shared" si="42"/>
        <v>1</v>
      </c>
      <c r="AA920">
        <f t="shared" si="43"/>
        <v>10</v>
      </c>
      <c r="AB920">
        <f t="shared" si="44"/>
        <v>1</v>
      </c>
    </row>
    <row r="921" spans="1:28">
      <c r="A921" s="314" t="s">
        <v>3326</v>
      </c>
      <c r="B921" s="314" t="s">
        <v>3327</v>
      </c>
      <c r="C921" s="314">
        <v>867239733</v>
      </c>
      <c r="D921" s="314" t="s">
        <v>143</v>
      </c>
      <c r="E921" s="314" t="s">
        <v>117</v>
      </c>
      <c r="F921" s="314" t="s">
        <v>144</v>
      </c>
      <c r="G921" s="314" t="s">
        <v>106</v>
      </c>
      <c r="H921" s="314" t="s">
        <v>107</v>
      </c>
      <c r="I921" s="314" t="s">
        <v>108</v>
      </c>
      <c r="J921" s="314" t="s">
        <v>120</v>
      </c>
      <c r="K921" s="314">
        <v>100000</v>
      </c>
      <c r="L921" s="314">
        <v>500000</v>
      </c>
      <c r="M921" s="315">
        <v>45145.4435185185</v>
      </c>
      <c r="N921" s="314" t="s">
        <v>3328</v>
      </c>
      <c r="O921" s="314" t="s">
        <v>407</v>
      </c>
      <c r="P921" s="314" t="s">
        <v>112</v>
      </c>
      <c r="Q921" s="315">
        <v>45145.4556018518</v>
      </c>
      <c r="R921" s="315">
        <v>45145.8813773148</v>
      </c>
      <c r="S921" s="314" t="s">
        <v>3328</v>
      </c>
      <c r="T921" s="314" t="s">
        <v>216</v>
      </c>
      <c r="U921" s="314" t="s">
        <v>216</v>
      </c>
      <c r="V921" s="314" t="s">
        <v>114</v>
      </c>
      <c r="W921" s="314"/>
      <c r="X921" s="314" t="str">
        <f>VLOOKUP(D921,代理总表!A:D,3,0)</f>
        <v>雨燕直播-越</v>
      </c>
      <c r="Y921" t="str">
        <f>VLOOKUP(D:D,代理总表!A:D,4,FALSE)</f>
        <v>雨燕直播-越ffvn66</v>
      </c>
      <c r="Z921">
        <f t="shared" si="42"/>
        <v>1</v>
      </c>
      <c r="AA921">
        <f t="shared" si="43"/>
        <v>10</v>
      </c>
      <c r="AB921">
        <f t="shared" si="44"/>
        <v>1</v>
      </c>
    </row>
    <row r="922" spans="1:28">
      <c r="A922" s="314" t="s">
        <v>3329</v>
      </c>
      <c r="B922" s="314" t="s">
        <v>3330</v>
      </c>
      <c r="C922" s="314">
        <v>942977780</v>
      </c>
      <c r="D922" s="314" t="s">
        <v>143</v>
      </c>
      <c r="E922" s="314" t="s">
        <v>117</v>
      </c>
      <c r="F922" s="314" t="s">
        <v>144</v>
      </c>
      <c r="G922" s="314" t="s">
        <v>106</v>
      </c>
      <c r="H922" s="314" t="s">
        <v>107</v>
      </c>
      <c r="I922" s="314" t="s">
        <v>108</v>
      </c>
      <c r="J922" s="314" t="s">
        <v>120</v>
      </c>
      <c r="K922" s="314">
        <v>300000</v>
      </c>
      <c r="L922" s="314">
        <v>0</v>
      </c>
      <c r="M922" s="315">
        <v>45145.4432291667</v>
      </c>
      <c r="N922" s="314" t="s">
        <v>3331</v>
      </c>
      <c r="O922" s="314" t="s">
        <v>502</v>
      </c>
      <c r="P922" s="314" t="s">
        <v>339</v>
      </c>
      <c r="Q922" s="315">
        <v>45145.4737268519</v>
      </c>
      <c r="R922" s="315">
        <v>45145.9952314815</v>
      </c>
      <c r="S922" s="314" t="s">
        <v>3332</v>
      </c>
      <c r="T922" s="314" t="s">
        <v>131</v>
      </c>
      <c r="U922" s="314" t="s">
        <v>131</v>
      </c>
      <c r="V922" s="314" t="s">
        <v>114</v>
      </c>
      <c r="W922" s="314"/>
      <c r="X922" s="314" t="str">
        <f>VLOOKUP(D922,代理总表!A:D,3,0)</f>
        <v>雨燕直播-越</v>
      </c>
      <c r="Y922" t="str">
        <f>VLOOKUP(D:D,代理总表!A:D,4,FALSE)</f>
        <v>雨燕直播-越ffvn66</v>
      </c>
      <c r="Z922">
        <f t="shared" si="42"/>
        <v>1</v>
      </c>
      <c r="AA922">
        <f t="shared" si="43"/>
        <v>10</v>
      </c>
      <c r="AB922">
        <f t="shared" si="44"/>
        <v>1</v>
      </c>
    </row>
    <row r="923" spans="1:28">
      <c r="A923" s="314" t="s">
        <v>3333</v>
      </c>
      <c r="B923" s="314"/>
      <c r="C923" s="314"/>
      <c r="D923" s="314" t="s">
        <v>240</v>
      </c>
      <c r="E923" s="314" t="s">
        <v>104</v>
      </c>
      <c r="F923" s="314" t="s">
        <v>149</v>
      </c>
      <c r="G923" s="314" t="s">
        <v>108</v>
      </c>
      <c r="H923" s="314" t="s">
        <v>119</v>
      </c>
      <c r="I923" s="314" t="s">
        <v>108</v>
      </c>
      <c r="J923" s="314" t="s">
        <v>109</v>
      </c>
      <c r="K923" s="314">
        <v>0</v>
      </c>
      <c r="L923" s="314">
        <v>0</v>
      </c>
      <c r="M923" s="315">
        <v>45145.4412731481</v>
      </c>
      <c r="N923" s="314" t="s">
        <v>3334</v>
      </c>
      <c r="O923" s="314" t="s">
        <v>344</v>
      </c>
      <c r="P923" s="314" t="s">
        <v>112</v>
      </c>
      <c r="Q923" s="314" t="s">
        <v>123</v>
      </c>
      <c r="R923" s="315">
        <v>45145.4456712963</v>
      </c>
      <c r="S923" s="314" t="s">
        <v>3334</v>
      </c>
      <c r="T923" s="314" t="s">
        <v>495</v>
      </c>
      <c r="U923" s="314" t="s">
        <v>495</v>
      </c>
      <c r="V923" s="314" t="s">
        <v>114</v>
      </c>
      <c r="W923" s="314"/>
      <c r="X923" s="314" t="str">
        <f>VLOOKUP(D923,代理总表!A:D,3,0)</f>
        <v>SEO邀请</v>
      </c>
      <c r="Y923" t="str">
        <f>VLOOKUP(D:D,代理总表!A:D,4,FALSE)</f>
        <v>SEO</v>
      </c>
      <c r="Z923">
        <f t="shared" si="42"/>
        <v>0</v>
      </c>
      <c r="AA923">
        <f t="shared" si="43"/>
        <v>10</v>
      </c>
      <c r="AB923">
        <f t="shared" si="44"/>
        <v>1</v>
      </c>
    </row>
    <row r="924" spans="1:28">
      <c r="A924" s="314" t="s">
        <v>3335</v>
      </c>
      <c r="B924" s="314" t="s">
        <v>3336</v>
      </c>
      <c r="C924" s="314">
        <v>18178810162</v>
      </c>
      <c r="D924" s="314" t="s">
        <v>3337</v>
      </c>
      <c r="E924" s="314" t="s">
        <v>104</v>
      </c>
      <c r="F924" s="314" t="s">
        <v>118</v>
      </c>
      <c r="G924" s="314" t="s">
        <v>108</v>
      </c>
      <c r="H924" s="314" t="s">
        <v>119</v>
      </c>
      <c r="I924" s="314" t="s">
        <v>108</v>
      </c>
      <c r="J924" s="314" t="s">
        <v>109</v>
      </c>
      <c r="K924" s="314">
        <v>0</v>
      </c>
      <c r="L924" s="314">
        <v>0</v>
      </c>
      <c r="M924" s="315">
        <v>45145.4406944444</v>
      </c>
      <c r="N924" s="314" t="s">
        <v>3338</v>
      </c>
      <c r="O924" s="314" t="s">
        <v>3339</v>
      </c>
      <c r="P924" s="314" t="s">
        <v>339</v>
      </c>
      <c r="Q924" s="314" t="s">
        <v>123</v>
      </c>
      <c r="R924" s="315">
        <v>45145.6282986111</v>
      </c>
      <c r="S924" s="314" t="s">
        <v>3338</v>
      </c>
      <c r="T924" s="314" t="s">
        <v>3340</v>
      </c>
      <c r="U924" s="314" t="s">
        <v>3340</v>
      </c>
      <c r="V924" s="314" t="s">
        <v>114</v>
      </c>
      <c r="W924" s="314"/>
      <c r="X924" s="314" t="e">
        <f>VLOOKUP(D924,代理总表!A:D,3,0)</f>
        <v>#N/A</v>
      </c>
      <c r="Y924" t="e">
        <f>VLOOKUP(D:D,代理总表!A:D,4,FALSE)</f>
        <v>#N/A</v>
      </c>
      <c r="Z924">
        <f t="shared" si="42"/>
        <v>0</v>
      </c>
      <c r="AA924">
        <f t="shared" si="43"/>
        <v>10</v>
      </c>
      <c r="AB924">
        <f t="shared" si="44"/>
        <v>1</v>
      </c>
    </row>
    <row r="925" spans="1:28">
      <c r="A925" s="314" t="s">
        <v>3341</v>
      </c>
      <c r="B925" s="314" t="s">
        <v>3342</v>
      </c>
      <c r="C925" s="314">
        <v>18392553413</v>
      </c>
      <c r="D925" s="314" t="s">
        <v>148</v>
      </c>
      <c r="E925" s="314" t="s">
        <v>104</v>
      </c>
      <c r="F925" s="314" t="s">
        <v>181</v>
      </c>
      <c r="G925" s="314" t="s">
        <v>106</v>
      </c>
      <c r="H925" s="314" t="s">
        <v>107</v>
      </c>
      <c r="I925" s="314" t="s">
        <v>108</v>
      </c>
      <c r="J925" s="314" t="s">
        <v>109</v>
      </c>
      <c r="K925" s="314">
        <v>0.04</v>
      </c>
      <c r="L925" s="314">
        <v>100</v>
      </c>
      <c r="M925" s="315">
        <v>45145.4406134259</v>
      </c>
      <c r="N925" s="314" t="s">
        <v>3343</v>
      </c>
      <c r="O925" s="314" t="s">
        <v>160</v>
      </c>
      <c r="P925" s="314" t="s">
        <v>208</v>
      </c>
      <c r="Q925" s="315">
        <v>45145.4774421296</v>
      </c>
      <c r="R925" s="315">
        <v>45145.5054282407</v>
      </c>
      <c r="S925" s="314" t="s">
        <v>3344</v>
      </c>
      <c r="T925" s="314" t="s">
        <v>472</v>
      </c>
      <c r="U925" s="314" t="s">
        <v>1522</v>
      </c>
      <c r="V925" s="314" t="s">
        <v>114</v>
      </c>
      <c r="W925" s="314"/>
      <c r="X925" s="314" t="str">
        <f>VLOOKUP(D925,代理总表!A:D,3,0)</f>
        <v>martin</v>
      </c>
      <c r="Y925" t="str">
        <f>VLOOKUP(D:D,代理总表!A:D,4,FALSE)</f>
        <v>SEO</v>
      </c>
      <c r="Z925">
        <f t="shared" si="42"/>
        <v>1</v>
      </c>
      <c r="AA925">
        <f t="shared" si="43"/>
        <v>10</v>
      </c>
      <c r="AB925">
        <f t="shared" si="44"/>
        <v>1</v>
      </c>
    </row>
    <row r="926" spans="1:28">
      <c r="A926" s="314" t="s">
        <v>3345</v>
      </c>
      <c r="B926" s="314" t="s">
        <v>3346</v>
      </c>
      <c r="C926" s="314">
        <v>934840244</v>
      </c>
      <c r="D926" s="314" t="s">
        <v>197</v>
      </c>
      <c r="E926" s="314" t="s">
        <v>117</v>
      </c>
      <c r="F926" s="314" t="s">
        <v>105</v>
      </c>
      <c r="G926" s="314" t="s">
        <v>106</v>
      </c>
      <c r="H926" s="314" t="s">
        <v>107</v>
      </c>
      <c r="I926" s="314" t="s">
        <v>108</v>
      </c>
      <c r="J926" s="314" t="s">
        <v>120</v>
      </c>
      <c r="K926" s="314">
        <v>200000</v>
      </c>
      <c r="L926" s="314">
        <v>680000</v>
      </c>
      <c r="M926" s="315">
        <v>45145.4405092593</v>
      </c>
      <c r="N926" s="314" t="s">
        <v>3347</v>
      </c>
      <c r="O926" s="314" t="s">
        <v>875</v>
      </c>
      <c r="P926" s="314" t="s">
        <v>112</v>
      </c>
      <c r="Q926" s="315">
        <v>45145.4559375</v>
      </c>
      <c r="R926" s="315">
        <v>45146.3489699074</v>
      </c>
      <c r="S926" s="314" t="s">
        <v>3348</v>
      </c>
      <c r="T926" s="314" t="s">
        <v>131</v>
      </c>
      <c r="U926" s="314" t="s">
        <v>131</v>
      </c>
      <c r="V926" s="314" t="s">
        <v>114</v>
      </c>
      <c r="W926" s="314"/>
      <c r="X926" s="314" t="str">
        <f>VLOOKUP(D926,代理总表!A:D,3,0)</f>
        <v>雨燕直播-越</v>
      </c>
      <c r="Y926" t="str">
        <f>VLOOKUP(D:D,代理总表!A:D,4,FALSE)</f>
        <v>雨燕直播-越ffvn66</v>
      </c>
      <c r="Z926">
        <f t="shared" si="42"/>
        <v>1</v>
      </c>
      <c r="AA926">
        <f t="shared" si="43"/>
        <v>10</v>
      </c>
      <c r="AB926">
        <f t="shared" si="44"/>
        <v>1</v>
      </c>
    </row>
    <row r="927" spans="1:28">
      <c r="A927" s="314" t="s">
        <v>3349</v>
      </c>
      <c r="B927" s="314"/>
      <c r="C927" s="314"/>
      <c r="D927" s="314" t="s">
        <v>143</v>
      </c>
      <c r="E927" s="314" t="s">
        <v>117</v>
      </c>
      <c r="F927" s="314" t="s">
        <v>118</v>
      </c>
      <c r="G927" s="314" t="s">
        <v>108</v>
      </c>
      <c r="H927" s="314" t="s">
        <v>119</v>
      </c>
      <c r="I927" s="314" t="s">
        <v>108</v>
      </c>
      <c r="J927" s="314" t="s">
        <v>120</v>
      </c>
      <c r="K927" s="314">
        <v>0</v>
      </c>
      <c r="L927" s="314">
        <v>0</v>
      </c>
      <c r="M927" s="315">
        <v>45145.4400810185</v>
      </c>
      <c r="N927" s="314" t="s">
        <v>3350</v>
      </c>
      <c r="O927" s="314" t="s">
        <v>407</v>
      </c>
      <c r="P927" s="314" t="s">
        <v>112</v>
      </c>
      <c r="Q927" s="314" t="s">
        <v>123</v>
      </c>
      <c r="R927" s="315">
        <v>45145.4426157407</v>
      </c>
      <c r="S927" s="314" t="s">
        <v>3350</v>
      </c>
      <c r="T927" s="314" t="s">
        <v>124</v>
      </c>
      <c r="U927" s="314" t="s">
        <v>124</v>
      </c>
      <c r="V927" s="314" t="s">
        <v>114</v>
      </c>
      <c r="W927" s="314"/>
      <c r="X927" s="314" t="str">
        <f>VLOOKUP(D927,代理总表!A:D,3,0)</f>
        <v>雨燕直播-越</v>
      </c>
      <c r="Y927" t="str">
        <f>VLOOKUP(D:D,代理总表!A:D,4,FALSE)</f>
        <v>雨燕直播-越ffvn66</v>
      </c>
      <c r="Z927">
        <f t="shared" si="42"/>
        <v>0</v>
      </c>
      <c r="AA927">
        <f t="shared" si="43"/>
        <v>10</v>
      </c>
      <c r="AB927">
        <f t="shared" si="44"/>
        <v>1</v>
      </c>
    </row>
    <row r="928" spans="1:28">
      <c r="A928" s="314" t="s">
        <v>3351</v>
      </c>
      <c r="B928" s="314" t="s">
        <v>3352</v>
      </c>
      <c r="C928" s="314">
        <v>18815630087</v>
      </c>
      <c r="D928" s="314" t="s">
        <v>103</v>
      </c>
      <c r="E928" s="314" t="s">
        <v>104</v>
      </c>
      <c r="F928" s="314" t="s">
        <v>105</v>
      </c>
      <c r="G928" s="314" t="s">
        <v>106</v>
      </c>
      <c r="H928" s="314" t="s">
        <v>107</v>
      </c>
      <c r="I928" s="314" t="s">
        <v>108</v>
      </c>
      <c r="J928" s="314" t="s">
        <v>109</v>
      </c>
      <c r="K928" s="314">
        <v>3.37</v>
      </c>
      <c r="L928" s="314">
        <v>2.12</v>
      </c>
      <c r="M928" s="315">
        <v>45145.4400694444</v>
      </c>
      <c r="N928" s="314" t="s">
        <v>3353</v>
      </c>
      <c r="O928" s="314" t="s">
        <v>350</v>
      </c>
      <c r="P928" s="314" t="s">
        <v>112</v>
      </c>
      <c r="Q928" s="315">
        <v>45145.4618981481</v>
      </c>
      <c r="R928" s="315">
        <v>45146.3600231481</v>
      </c>
      <c r="S928" s="314" t="s">
        <v>3354</v>
      </c>
      <c r="T928" s="314" t="s">
        <v>736</v>
      </c>
      <c r="U928" s="314" t="s">
        <v>3355</v>
      </c>
      <c r="V928" s="314" t="s">
        <v>114</v>
      </c>
      <c r="W928" s="314" t="s">
        <v>3356</v>
      </c>
      <c r="X928" s="314" t="str">
        <f>VLOOKUP(D928,代理总表!A:D,3,0)</f>
        <v>官网</v>
      </c>
      <c r="Y928" t="str">
        <f>VLOOKUP(D:D,代理总表!A:D,4,FALSE)</f>
        <v>官网</v>
      </c>
      <c r="Z928">
        <f t="shared" si="42"/>
        <v>1</v>
      </c>
      <c r="AA928">
        <f t="shared" si="43"/>
        <v>10</v>
      </c>
      <c r="AB928">
        <f t="shared" si="44"/>
        <v>1</v>
      </c>
    </row>
    <row r="929" spans="1:28">
      <c r="A929" s="314" t="s">
        <v>3357</v>
      </c>
      <c r="B929" s="314" t="s">
        <v>3358</v>
      </c>
      <c r="C929" s="314">
        <v>766262680</v>
      </c>
      <c r="D929" s="314" t="s">
        <v>103</v>
      </c>
      <c r="E929" s="314" t="s">
        <v>117</v>
      </c>
      <c r="F929" s="314" t="s">
        <v>144</v>
      </c>
      <c r="G929" s="314" t="s">
        <v>106</v>
      </c>
      <c r="H929" s="314" t="s">
        <v>107</v>
      </c>
      <c r="I929" s="314" t="s">
        <v>108</v>
      </c>
      <c r="J929" s="314" t="s">
        <v>120</v>
      </c>
      <c r="K929" s="314">
        <v>0</v>
      </c>
      <c r="L929" s="314">
        <v>8000000</v>
      </c>
      <c r="M929" s="315">
        <v>45145.4384375</v>
      </c>
      <c r="N929" s="314" t="s">
        <v>3359</v>
      </c>
      <c r="O929" s="314" t="s">
        <v>3360</v>
      </c>
      <c r="P929" s="314" t="s">
        <v>208</v>
      </c>
      <c r="Q929" s="315">
        <v>45145.4571180556</v>
      </c>
      <c r="R929" s="315">
        <v>45145.4384375</v>
      </c>
      <c r="S929" s="314" t="s">
        <v>3359</v>
      </c>
      <c r="T929" s="314" t="s">
        <v>124</v>
      </c>
      <c r="U929" s="314" t="s">
        <v>124</v>
      </c>
      <c r="V929" s="314" t="s">
        <v>114</v>
      </c>
      <c r="W929" s="314" t="s">
        <v>3361</v>
      </c>
      <c r="X929" s="314" t="str">
        <f>VLOOKUP(D929,代理总表!A:D,3,0)</f>
        <v>官网</v>
      </c>
      <c r="Y929" t="str">
        <f>VLOOKUP(D:D,代理总表!A:D,4,FALSE)</f>
        <v>官网</v>
      </c>
      <c r="Z929">
        <f t="shared" si="42"/>
        <v>1</v>
      </c>
      <c r="AA929">
        <f t="shared" si="43"/>
        <v>10</v>
      </c>
      <c r="AB929">
        <f t="shared" si="44"/>
        <v>1</v>
      </c>
    </row>
    <row r="930" spans="1:28">
      <c r="A930" s="314" t="s">
        <v>3362</v>
      </c>
      <c r="B930" s="314" t="s">
        <v>3363</v>
      </c>
      <c r="C930" s="314">
        <v>981117737</v>
      </c>
      <c r="D930" s="314" t="s">
        <v>197</v>
      </c>
      <c r="E930" s="314" t="s">
        <v>117</v>
      </c>
      <c r="F930" s="314" t="s">
        <v>118</v>
      </c>
      <c r="G930" s="314" t="s">
        <v>108</v>
      </c>
      <c r="H930" s="314" t="s">
        <v>119</v>
      </c>
      <c r="I930" s="314" t="s">
        <v>108</v>
      </c>
      <c r="J930" s="314" t="s">
        <v>120</v>
      </c>
      <c r="K930" s="314">
        <v>0</v>
      </c>
      <c r="L930" s="314">
        <v>0</v>
      </c>
      <c r="M930" s="315">
        <v>45145.4366898148</v>
      </c>
      <c r="N930" s="314" t="s">
        <v>3364</v>
      </c>
      <c r="O930" s="314" t="s">
        <v>875</v>
      </c>
      <c r="P930" s="314" t="s">
        <v>112</v>
      </c>
      <c r="Q930" s="314" t="s">
        <v>123</v>
      </c>
      <c r="R930" s="315">
        <v>45145.7461458333</v>
      </c>
      <c r="S930" s="314" t="s">
        <v>3365</v>
      </c>
      <c r="T930" s="314" t="s">
        <v>177</v>
      </c>
      <c r="U930" s="314" t="s">
        <v>124</v>
      </c>
      <c r="V930" s="314" t="s">
        <v>114</v>
      </c>
      <c r="W930" s="314"/>
      <c r="X930" s="314" t="str">
        <f>VLOOKUP(D930,代理总表!A:D,3,0)</f>
        <v>雨燕直播-越</v>
      </c>
      <c r="Y930" t="str">
        <f>VLOOKUP(D:D,代理总表!A:D,4,FALSE)</f>
        <v>雨燕直播-越ffvn66</v>
      </c>
      <c r="Z930">
        <f t="shared" si="42"/>
        <v>0</v>
      </c>
      <c r="AA930">
        <f t="shared" si="43"/>
        <v>10</v>
      </c>
      <c r="AB930">
        <f t="shared" si="44"/>
        <v>1</v>
      </c>
    </row>
    <row r="931" spans="1:28">
      <c r="A931" s="314" t="s">
        <v>3366</v>
      </c>
      <c r="B931" s="314" t="s">
        <v>3367</v>
      </c>
      <c r="C931" s="314">
        <v>559582483</v>
      </c>
      <c r="D931" s="314" t="s">
        <v>197</v>
      </c>
      <c r="E931" s="314" t="s">
        <v>117</v>
      </c>
      <c r="F931" s="314" t="s">
        <v>144</v>
      </c>
      <c r="G931" s="314" t="s">
        <v>106</v>
      </c>
      <c r="H931" s="314" t="s">
        <v>107</v>
      </c>
      <c r="I931" s="314" t="s">
        <v>108</v>
      </c>
      <c r="J931" s="314" t="s">
        <v>120</v>
      </c>
      <c r="K931" s="314">
        <v>120000</v>
      </c>
      <c r="L931" s="314">
        <v>1000000</v>
      </c>
      <c r="M931" s="315">
        <v>45145.4360763889</v>
      </c>
      <c r="N931" s="314" t="s">
        <v>3368</v>
      </c>
      <c r="O931" s="314" t="s">
        <v>875</v>
      </c>
      <c r="P931" s="314" t="s">
        <v>112</v>
      </c>
      <c r="Q931" s="315">
        <v>45145.4428935185</v>
      </c>
      <c r="R931" s="315">
        <v>45146.3608796296</v>
      </c>
      <c r="S931" s="314" t="s">
        <v>3369</v>
      </c>
      <c r="T931" s="314" t="s">
        <v>3370</v>
      </c>
      <c r="U931" s="314" t="s">
        <v>124</v>
      </c>
      <c r="V931" s="314" t="s">
        <v>114</v>
      </c>
      <c r="W931" s="314"/>
      <c r="X931" s="314" t="str">
        <f>VLOOKUP(D931,代理总表!A:D,3,0)</f>
        <v>雨燕直播-越</v>
      </c>
      <c r="Y931" t="str">
        <f>VLOOKUP(D:D,代理总表!A:D,4,FALSE)</f>
        <v>雨燕直播-越ffvn66</v>
      </c>
      <c r="Z931">
        <f t="shared" si="42"/>
        <v>1</v>
      </c>
      <c r="AA931">
        <f t="shared" si="43"/>
        <v>10</v>
      </c>
      <c r="AB931">
        <f t="shared" si="44"/>
        <v>1</v>
      </c>
    </row>
    <row r="932" spans="1:28">
      <c r="A932" s="314" t="s">
        <v>3371</v>
      </c>
      <c r="B932" s="314"/>
      <c r="C932" s="314">
        <v>13516650115</v>
      </c>
      <c r="D932" s="314" t="s">
        <v>154</v>
      </c>
      <c r="E932" s="314" t="s">
        <v>104</v>
      </c>
      <c r="F932" s="314" t="s">
        <v>149</v>
      </c>
      <c r="G932" s="314" t="s">
        <v>108</v>
      </c>
      <c r="H932" s="314" t="s">
        <v>119</v>
      </c>
      <c r="I932" s="314" t="s">
        <v>108</v>
      </c>
      <c r="J932" s="314" t="s">
        <v>109</v>
      </c>
      <c r="K932" s="314">
        <v>0</v>
      </c>
      <c r="L932" s="314">
        <v>0</v>
      </c>
      <c r="M932" s="315">
        <v>45145.435787037</v>
      </c>
      <c r="N932" s="314" t="s">
        <v>3372</v>
      </c>
      <c r="O932" s="314" t="s">
        <v>323</v>
      </c>
      <c r="P932" s="314" t="s">
        <v>161</v>
      </c>
      <c r="Q932" s="314" t="s">
        <v>123</v>
      </c>
      <c r="R932" s="315">
        <v>45145.435775463</v>
      </c>
      <c r="S932" s="314" t="s">
        <v>3372</v>
      </c>
      <c r="T932" s="314" t="s">
        <v>3373</v>
      </c>
      <c r="U932" s="314" t="s">
        <v>3373</v>
      </c>
      <c r="V932" s="314" t="s">
        <v>114</v>
      </c>
      <c r="W932" s="314"/>
      <c r="X932" s="314" t="str">
        <f>VLOOKUP(D932,代理总表!A:D,3,0)</f>
        <v>max</v>
      </c>
      <c r="Y932" t="str">
        <f>VLOOKUP(D:D,代理总表!A:D,4,FALSE)</f>
        <v>SEO</v>
      </c>
      <c r="Z932">
        <f t="shared" si="42"/>
        <v>0</v>
      </c>
      <c r="AA932">
        <f t="shared" si="43"/>
        <v>10</v>
      </c>
      <c r="AB932">
        <f t="shared" si="44"/>
        <v>1</v>
      </c>
    </row>
    <row r="933" spans="1:28">
      <c r="A933" s="314" t="s">
        <v>3374</v>
      </c>
      <c r="B933" s="314" t="s">
        <v>3375</v>
      </c>
      <c r="C933" s="314">
        <v>939055122</v>
      </c>
      <c r="D933" s="314" t="s">
        <v>522</v>
      </c>
      <c r="E933" s="314" t="s">
        <v>117</v>
      </c>
      <c r="F933" s="314" t="s">
        <v>105</v>
      </c>
      <c r="G933" s="314" t="s">
        <v>106</v>
      </c>
      <c r="H933" s="314" t="s">
        <v>856</v>
      </c>
      <c r="I933" s="314" t="s">
        <v>108</v>
      </c>
      <c r="J933" s="314" t="s">
        <v>120</v>
      </c>
      <c r="K933" s="314">
        <v>1088000</v>
      </c>
      <c r="L933" s="314">
        <v>2000000</v>
      </c>
      <c r="M933" s="315">
        <v>45145.4342708333</v>
      </c>
      <c r="N933" s="314" t="s">
        <v>3376</v>
      </c>
      <c r="O933" s="314" t="s">
        <v>524</v>
      </c>
      <c r="P933" s="314" t="s">
        <v>112</v>
      </c>
      <c r="Q933" s="315">
        <v>45145.4379976852</v>
      </c>
      <c r="R933" s="315">
        <v>45146.299224537</v>
      </c>
      <c r="S933" s="314" t="s">
        <v>3376</v>
      </c>
      <c r="T933" s="314" t="s">
        <v>228</v>
      </c>
      <c r="U933" s="314" t="s">
        <v>228</v>
      </c>
      <c r="V933" s="314" t="s">
        <v>114</v>
      </c>
      <c r="W933" s="314"/>
      <c r="X933" s="314" t="str">
        <f>VLOOKUP(D933,代理总表!A:D,3,0)</f>
        <v>SOCO越南直播</v>
      </c>
      <c r="Y933" t="str">
        <f>VLOOKUP(D:D,代理总表!A:D,4,FALSE)</f>
        <v>SOCO越南直播ffvn66</v>
      </c>
      <c r="Z933">
        <f t="shared" si="42"/>
        <v>1</v>
      </c>
      <c r="AA933">
        <f t="shared" si="43"/>
        <v>10</v>
      </c>
      <c r="AB933">
        <f t="shared" si="44"/>
        <v>1</v>
      </c>
    </row>
    <row r="934" spans="1:28">
      <c r="A934" s="314" t="s">
        <v>3377</v>
      </c>
      <c r="B934" s="314"/>
      <c r="C934" s="314">
        <v>584637687</v>
      </c>
      <c r="D934" s="314" t="s">
        <v>116</v>
      </c>
      <c r="E934" s="314" t="s">
        <v>117</v>
      </c>
      <c r="F934" s="314" t="s">
        <v>118</v>
      </c>
      <c r="G934" s="314" t="s">
        <v>108</v>
      </c>
      <c r="H934" s="314" t="s">
        <v>119</v>
      </c>
      <c r="I934" s="314" t="s">
        <v>108</v>
      </c>
      <c r="J934" s="314" t="s">
        <v>120</v>
      </c>
      <c r="K934" s="314">
        <v>0</v>
      </c>
      <c r="L934" s="314">
        <v>0</v>
      </c>
      <c r="M934" s="315">
        <v>45145.4340046296</v>
      </c>
      <c r="N934" s="314" t="s">
        <v>3378</v>
      </c>
      <c r="O934" s="314" t="s">
        <v>127</v>
      </c>
      <c r="P934" s="314" t="s">
        <v>112</v>
      </c>
      <c r="Q934" s="314" t="s">
        <v>123</v>
      </c>
      <c r="R934" s="315">
        <v>45145.4340046296</v>
      </c>
      <c r="S934" s="314" t="s">
        <v>3378</v>
      </c>
      <c r="T934" s="314" t="s">
        <v>1790</v>
      </c>
      <c r="U934" s="314" t="s">
        <v>1790</v>
      </c>
      <c r="V934" s="314" t="s">
        <v>114</v>
      </c>
      <c r="W934" s="314"/>
      <c r="X934" s="314" t="str">
        <f>VLOOKUP(D934,代理总表!A:D,3,0)</f>
        <v>外部代理总线</v>
      </c>
      <c r="Y934" t="str">
        <f>VLOOKUP(D:D,代理总表!A:D,4,FALSE)</f>
        <v>外部代理总线zh0808</v>
      </c>
      <c r="Z934">
        <f t="shared" si="42"/>
        <v>0</v>
      </c>
      <c r="AA934">
        <f t="shared" si="43"/>
        <v>10</v>
      </c>
      <c r="AB934">
        <f t="shared" si="44"/>
        <v>1</v>
      </c>
    </row>
    <row r="935" spans="1:28">
      <c r="A935" s="314" t="s">
        <v>3379</v>
      </c>
      <c r="B935" s="314"/>
      <c r="C935" s="314">
        <v>17372268877</v>
      </c>
      <c r="D935" s="314" t="s">
        <v>1294</v>
      </c>
      <c r="E935" s="314" t="s">
        <v>104</v>
      </c>
      <c r="F935" s="314" t="s">
        <v>118</v>
      </c>
      <c r="G935" s="314" t="s">
        <v>108</v>
      </c>
      <c r="H935" s="314" t="s">
        <v>119</v>
      </c>
      <c r="I935" s="314" t="s">
        <v>108</v>
      </c>
      <c r="J935" s="314" t="s">
        <v>109</v>
      </c>
      <c r="K935" s="314">
        <v>0</v>
      </c>
      <c r="L935" s="314">
        <v>0</v>
      </c>
      <c r="M935" s="315">
        <v>45145.433287037</v>
      </c>
      <c r="N935" s="314" t="s">
        <v>3380</v>
      </c>
      <c r="O935" s="314" t="s">
        <v>2653</v>
      </c>
      <c r="P935" s="314" t="s">
        <v>161</v>
      </c>
      <c r="Q935" s="314" t="s">
        <v>123</v>
      </c>
      <c r="R935" s="315">
        <v>45145.5384490741</v>
      </c>
      <c r="S935" s="314" t="s">
        <v>3381</v>
      </c>
      <c r="T935" s="314" t="s">
        <v>256</v>
      </c>
      <c r="U935" s="314" t="s">
        <v>256</v>
      </c>
      <c r="V935" s="314" t="s">
        <v>114</v>
      </c>
      <c r="W935" s="314"/>
      <c r="X935" s="314" t="str">
        <f>VLOOKUP(D935,代理总表!A:D,3,0)</f>
        <v>GT-骨头</v>
      </c>
      <c r="Y935" t="str">
        <f>VLOOKUP(D:D,代理总表!A:D,4,FALSE)</f>
        <v>B直播gt6677</v>
      </c>
      <c r="Z935">
        <f t="shared" si="42"/>
        <v>0</v>
      </c>
      <c r="AA935">
        <f t="shared" si="43"/>
        <v>10</v>
      </c>
      <c r="AB935">
        <f t="shared" si="44"/>
        <v>1</v>
      </c>
    </row>
    <row r="936" spans="1:28">
      <c r="A936" s="314" t="s">
        <v>3382</v>
      </c>
      <c r="B936" s="314"/>
      <c r="C936" s="314"/>
      <c r="D936" s="314" t="s">
        <v>172</v>
      </c>
      <c r="E936" s="314" t="s">
        <v>117</v>
      </c>
      <c r="F936" s="314" t="s">
        <v>118</v>
      </c>
      <c r="G936" s="314" t="s">
        <v>108</v>
      </c>
      <c r="H936" s="314" t="s">
        <v>119</v>
      </c>
      <c r="I936" s="314" t="s">
        <v>108</v>
      </c>
      <c r="J936" s="314" t="s">
        <v>120</v>
      </c>
      <c r="K936" s="314">
        <v>0</v>
      </c>
      <c r="L936" s="314">
        <v>0</v>
      </c>
      <c r="M936" s="315">
        <v>45145.4325810185</v>
      </c>
      <c r="N936" s="314" t="s">
        <v>3383</v>
      </c>
      <c r="O936" s="314" t="s">
        <v>338</v>
      </c>
      <c r="P936" s="314" t="s">
        <v>339</v>
      </c>
      <c r="Q936" s="314" t="s">
        <v>123</v>
      </c>
      <c r="R936" s="315">
        <v>45145.4330787037</v>
      </c>
      <c r="S936" s="314" t="s">
        <v>3383</v>
      </c>
      <c r="T936" s="314" t="s">
        <v>131</v>
      </c>
      <c r="U936" s="314" t="s">
        <v>131</v>
      </c>
      <c r="V936" s="314" t="s">
        <v>114</v>
      </c>
      <c r="W936" s="314"/>
      <c r="X936" s="314" t="str">
        <f>VLOOKUP(D936,代理总表!A:D,3,0)</f>
        <v>雨燕直播-越</v>
      </c>
      <c r="Y936" t="str">
        <f>VLOOKUP(D:D,代理总表!A:D,4,FALSE)</f>
        <v>雨燕直播-越ffvn66</v>
      </c>
      <c r="Z936">
        <f t="shared" si="42"/>
        <v>0</v>
      </c>
      <c r="AA936">
        <f t="shared" si="43"/>
        <v>10</v>
      </c>
      <c r="AB936">
        <f t="shared" si="44"/>
        <v>1</v>
      </c>
    </row>
    <row r="937" spans="1:28">
      <c r="A937" s="314" t="s">
        <v>3384</v>
      </c>
      <c r="B937" s="314" t="s">
        <v>3385</v>
      </c>
      <c r="C937" s="314">
        <v>907312662</v>
      </c>
      <c r="D937" s="314" t="s">
        <v>137</v>
      </c>
      <c r="E937" s="314" t="s">
        <v>117</v>
      </c>
      <c r="F937" s="314" t="s">
        <v>144</v>
      </c>
      <c r="G937" s="314" t="s">
        <v>106</v>
      </c>
      <c r="H937" s="314" t="s">
        <v>107</v>
      </c>
      <c r="I937" s="314" t="s">
        <v>108</v>
      </c>
      <c r="J937" s="314" t="s">
        <v>120</v>
      </c>
      <c r="K937" s="314">
        <v>100000</v>
      </c>
      <c r="L937" s="314">
        <v>700000</v>
      </c>
      <c r="M937" s="315">
        <v>45145.4318055556</v>
      </c>
      <c r="N937" s="314" t="s">
        <v>3386</v>
      </c>
      <c r="O937" s="314" t="s">
        <v>710</v>
      </c>
      <c r="P937" s="314" t="s">
        <v>339</v>
      </c>
      <c r="Q937" s="315">
        <v>45145.4416782407</v>
      </c>
      <c r="R937" s="315">
        <v>45145.7281481481</v>
      </c>
      <c r="S937" s="314" t="s">
        <v>3386</v>
      </c>
      <c r="T937" s="314" t="s">
        <v>648</v>
      </c>
      <c r="U937" s="314" t="s">
        <v>648</v>
      </c>
      <c r="V937" s="314" t="s">
        <v>114</v>
      </c>
      <c r="W937" s="314"/>
      <c r="X937" s="314" t="str">
        <f>VLOOKUP(D937,代理总表!A:D,3,0)</f>
        <v>雨燕直播-越</v>
      </c>
      <c r="Y937" t="str">
        <f>VLOOKUP(D:D,代理总表!A:D,4,FALSE)</f>
        <v>雨燕直播-越ffvn66</v>
      </c>
      <c r="Z937">
        <f t="shared" si="42"/>
        <v>1</v>
      </c>
      <c r="AA937">
        <f t="shared" si="43"/>
        <v>10</v>
      </c>
      <c r="AB937">
        <f t="shared" si="44"/>
        <v>1</v>
      </c>
    </row>
    <row r="938" spans="1:28">
      <c r="A938" s="314" t="s">
        <v>3387</v>
      </c>
      <c r="B938" s="314"/>
      <c r="C938" s="314">
        <v>13817153463</v>
      </c>
      <c r="D938" s="314" t="s">
        <v>2880</v>
      </c>
      <c r="E938" s="314" t="s">
        <v>104</v>
      </c>
      <c r="F938" s="314" t="s">
        <v>118</v>
      </c>
      <c r="G938" s="314" t="s">
        <v>108</v>
      </c>
      <c r="H938" s="314" t="s">
        <v>119</v>
      </c>
      <c r="I938" s="314" t="s">
        <v>108</v>
      </c>
      <c r="J938" s="314" t="s">
        <v>109</v>
      </c>
      <c r="K938" s="314">
        <v>0</v>
      </c>
      <c r="L938" s="314">
        <v>0</v>
      </c>
      <c r="M938" s="315">
        <v>45145.4312615741</v>
      </c>
      <c r="N938" s="314" t="s">
        <v>3388</v>
      </c>
      <c r="O938" s="314" t="s">
        <v>1527</v>
      </c>
      <c r="P938" s="314" t="s">
        <v>112</v>
      </c>
      <c r="Q938" s="314" t="s">
        <v>123</v>
      </c>
      <c r="R938" s="315">
        <v>45145.4312615741</v>
      </c>
      <c r="S938" s="314" t="s">
        <v>3388</v>
      </c>
      <c r="T938" s="314" t="s">
        <v>347</v>
      </c>
      <c r="U938" s="314" t="s">
        <v>347</v>
      </c>
      <c r="V938" s="314" t="s">
        <v>114</v>
      </c>
      <c r="W938" s="314"/>
      <c r="X938" s="314" t="str">
        <f>VLOOKUP(D938,代理总表!A:D,3,0)</f>
        <v>GT-B直播</v>
      </c>
      <c r="Y938" t="str">
        <f>VLOOKUP(D:D,代理总表!A:D,4,FALSE)</f>
        <v>B直播gt6688</v>
      </c>
      <c r="Z938">
        <f t="shared" si="42"/>
        <v>0</v>
      </c>
      <c r="AA938">
        <f t="shared" si="43"/>
        <v>10</v>
      </c>
      <c r="AB938">
        <f t="shared" si="44"/>
        <v>1</v>
      </c>
    </row>
    <row r="939" spans="1:28">
      <c r="A939" s="314" t="s">
        <v>3389</v>
      </c>
      <c r="B939" s="314" t="s">
        <v>3390</v>
      </c>
      <c r="C939" s="314">
        <v>13268884443</v>
      </c>
      <c r="D939" s="314" t="s">
        <v>235</v>
      </c>
      <c r="E939" s="314" t="s">
        <v>104</v>
      </c>
      <c r="F939" s="314" t="s">
        <v>181</v>
      </c>
      <c r="G939" s="314" t="s">
        <v>106</v>
      </c>
      <c r="H939" s="314" t="s">
        <v>107</v>
      </c>
      <c r="I939" s="314" t="s">
        <v>108</v>
      </c>
      <c r="J939" s="314" t="s">
        <v>109</v>
      </c>
      <c r="K939" s="314">
        <v>108</v>
      </c>
      <c r="L939" s="314">
        <v>501</v>
      </c>
      <c r="M939" s="315">
        <v>45145.4298148148</v>
      </c>
      <c r="N939" s="314" t="s">
        <v>3391</v>
      </c>
      <c r="O939" s="314" t="s">
        <v>786</v>
      </c>
      <c r="P939" s="314" t="s">
        <v>208</v>
      </c>
      <c r="Q939" s="315">
        <v>45145.4477199074</v>
      </c>
      <c r="R939" s="315">
        <v>45145.7512152778</v>
      </c>
      <c r="S939" s="314" t="s">
        <v>3391</v>
      </c>
      <c r="T939" s="314" t="s">
        <v>3392</v>
      </c>
      <c r="U939" s="314" t="s">
        <v>3392</v>
      </c>
      <c r="V939" s="314" t="s">
        <v>114</v>
      </c>
      <c r="W939" s="314"/>
      <c r="X939" s="314" t="str">
        <f>VLOOKUP(D939,代理总表!A:D,3,0)</f>
        <v>aber</v>
      </c>
      <c r="Y939" t="str">
        <f>VLOOKUP(D:D,代理总表!A:D,4,FALSE)</f>
        <v>SEO</v>
      </c>
      <c r="Z939">
        <f t="shared" si="42"/>
        <v>1</v>
      </c>
      <c r="AA939">
        <f t="shared" si="43"/>
        <v>10</v>
      </c>
      <c r="AB939">
        <f t="shared" si="44"/>
        <v>1</v>
      </c>
    </row>
    <row r="940" spans="1:28">
      <c r="A940" s="314" t="s">
        <v>3393</v>
      </c>
      <c r="B940" s="314" t="s">
        <v>3394</v>
      </c>
      <c r="C940" s="314">
        <v>13566121779</v>
      </c>
      <c r="D940" s="314" t="s">
        <v>285</v>
      </c>
      <c r="E940" s="314" t="s">
        <v>104</v>
      </c>
      <c r="F940" s="314" t="s">
        <v>118</v>
      </c>
      <c r="G940" s="314" t="s">
        <v>108</v>
      </c>
      <c r="H940" s="314" t="s">
        <v>119</v>
      </c>
      <c r="I940" s="314" t="s">
        <v>108</v>
      </c>
      <c r="J940" s="314" t="s">
        <v>109</v>
      </c>
      <c r="K940" s="314">
        <v>0</v>
      </c>
      <c r="L940" s="314">
        <v>0</v>
      </c>
      <c r="M940" s="315">
        <v>45145.4296759259</v>
      </c>
      <c r="N940" s="314" t="s">
        <v>3395</v>
      </c>
      <c r="O940" s="314" t="s">
        <v>3263</v>
      </c>
      <c r="P940" s="314" t="s">
        <v>339</v>
      </c>
      <c r="Q940" s="314" t="s">
        <v>123</v>
      </c>
      <c r="R940" s="315">
        <v>45145.5675694444</v>
      </c>
      <c r="S940" s="314" t="s">
        <v>3396</v>
      </c>
      <c r="T940" s="314" t="s">
        <v>3397</v>
      </c>
      <c r="U940" s="314" t="s">
        <v>3398</v>
      </c>
      <c r="V940" s="314" t="s">
        <v>114</v>
      </c>
      <c r="W940" s="314"/>
      <c r="X940" s="314" t="str">
        <f>VLOOKUP(D940,代理总表!A:D,3,0)</f>
        <v>雨燕直播</v>
      </c>
      <c r="Y940" t="str">
        <f>VLOOKUP(D:D,代理总表!A:D,4,FALSE)</f>
        <v>雨燕直播zzzb888</v>
      </c>
      <c r="Z940">
        <f t="shared" si="42"/>
        <v>0</v>
      </c>
      <c r="AA940">
        <f t="shared" si="43"/>
        <v>10</v>
      </c>
      <c r="AB940">
        <f t="shared" si="44"/>
        <v>1</v>
      </c>
    </row>
    <row r="941" spans="1:28">
      <c r="A941" s="314" t="s">
        <v>3399</v>
      </c>
      <c r="B941" s="314"/>
      <c r="C941" s="314">
        <v>13487619227</v>
      </c>
      <c r="D941" s="314" t="s">
        <v>148</v>
      </c>
      <c r="E941" s="314" t="s">
        <v>104</v>
      </c>
      <c r="F941" s="314" t="s">
        <v>149</v>
      </c>
      <c r="G941" s="314" t="s">
        <v>108</v>
      </c>
      <c r="H941" s="314" t="s">
        <v>119</v>
      </c>
      <c r="I941" s="314" t="s">
        <v>108</v>
      </c>
      <c r="J941" s="314" t="s">
        <v>109</v>
      </c>
      <c r="K941" s="314">
        <v>0</v>
      </c>
      <c r="L941" s="314">
        <v>0</v>
      </c>
      <c r="M941" s="315">
        <v>45145.428912037</v>
      </c>
      <c r="N941" s="314" t="s">
        <v>3400</v>
      </c>
      <c r="O941" s="314" t="s">
        <v>585</v>
      </c>
      <c r="P941" s="314" t="s">
        <v>112</v>
      </c>
      <c r="Q941" s="314" t="s">
        <v>123</v>
      </c>
      <c r="R941" s="315">
        <v>45145.428900463</v>
      </c>
      <c r="S941" s="314" t="s">
        <v>3400</v>
      </c>
      <c r="T941" s="314" t="s">
        <v>2048</v>
      </c>
      <c r="U941" s="314" t="s">
        <v>2048</v>
      </c>
      <c r="V941" s="314" t="s">
        <v>114</v>
      </c>
      <c r="W941" s="314"/>
      <c r="X941" s="314" t="str">
        <f>VLOOKUP(D941,代理总表!A:D,3,0)</f>
        <v>martin</v>
      </c>
      <c r="Y941" t="str">
        <f>VLOOKUP(D:D,代理总表!A:D,4,FALSE)</f>
        <v>SEO</v>
      </c>
      <c r="Z941">
        <f t="shared" si="42"/>
        <v>0</v>
      </c>
      <c r="AA941">
        <f t="shared" si="43"/>
        <v>10</v>
      </c>
      <c r="AB941">
        <f t="shared" si="44"/>
        <v>1</v>
      </c>
    </row>
    <row r="942" spans="1:28">
      <c r="A942" s="314" t="s">
        <v>3401</v>
      </c>
      <c r="B942" s="314" t="s">
        <v>3402</v>
      </c>
      <c r="C942" s="314">
        <v>15610330029</v>
      </c>
      <c r="D942" s="314" t="s">
        <v>594</v>
      </c>
      <c r="E942" s="314" t="s">
        <v>104</v>
      </c>
      <c r="F942" s="314" t="s">
        <v>181</v>
      </c>
      <c r="G942" s="314" t="s">
        <v>106</v>
      </c>
      <c r="H942" s="314" t="s">
        <v>107</v>
      </c>
      <c r="I942" s="314" t="s">
        <v>108</v>
      </c>
      <c r="J942" s="314" t="s">
        <v>109</v>
      </c>
      <c r="K942" s="314">
        <v>1000</v>
      </c>
      <c r="L942" s="314">
        <v>2000</v>
      </c>
      <c r="M942" s="315">
        <v>45145.4281597222</v>
      </c>
      <c r="N942" s="314" t="s">
        <v>3403</v>
      </c>
      <c r="O942" s="314" t="s">
        <v>988</v>
      </c>
      <c r="P942" s="314" t="s">
        <v>161</v>
      </c>
      <c r="Q942" s="315">
        <v>45145.4341666667</v>
      </c>
      <c r="R942" s="315">
        <v>45145.7121064815</v>
      </c>
      <c r="S942" s="314" t="s">
        <v>3404</v>
      </c>
      <c r="T942" s="314" t="s">
        <v>515</v>
      </c>
      <c r="U942" s="314" t="s">
        <v>3405</v>
      </c>
      <c r="V942" s="314" t="s">
        <v>114</v>
      </c>
      <c r="W942" s="314"/>
      <c r="X942" s="314" t="str">
        <f>VLOOKUP(D942,代理总表!A:D,3,0)</f>
        <v>zed</v>
      </c>
      <c r="Y942" t="str">
        <f>VLOOKUP(D:D,代理总表!A:D,4,FALSE)</f>
        <v>SEO</v>
      </c>
      <c r="Z942">
        <f t="shared" si="42"/>
        <v>1</v>
      </c>
      <c r="AA942">
        <f t="shared" si="43"/>
        <v>10</v>
      </c>
      <c r="AB942">
        <f t="shared" si="44"/>
        <v>1</v>
      </c>
    </row>
    <row r="943" spans="1:28">
      <c r="A943" s="314" t="s">
        <v>3406</v>
      </c>
      <c r="B943" s="314"/>
      <c r="C943" s="314"/>
      <c r="D943" s="314" t="s">
        <v>526</v>
      </c>
      <c r="E943" s="314" t="s">
        <v>117</v>
      </c>
      <c r="F943" s="314" t="s">
        <v>118</v>
      </c>
      <c r="G943" s="314" t="s">
        <v>108</v>
      </c>
      <c r="H943" s="314" t="s">
        <v>119</v>
      </c>
      <c r="I943" s="314" t="s">
        <v>108</v>
      </c>
      <c r="J943" s="314" t="s">
        <v>120</v>
      </c>
      <c r="K943" s="314">
        <v>0</v>
      </c>
      <c r="L943" s="314">
        <v>0</v>
      </c>
      <c r="M943" s="315">
        <v>45145.426400463</v>
      </c>
      <c r="N943" s="314" t="s">
        <v>3364</v>
      </c>
      <c r="O943" s="314" t="s">
        <v>528</v>
      </c>
      <c r="P943" s="314" t="s">
        <v>112</v>
      </c>
      <c r="Q943" s="314" t="s">
        <v>123</v>
      </c>
      <c r="R943" s="315">
        <v>45145.4281134259</v>
      </c>
      <c r="S943" s="314" t="s">
        <v>3364</v>
      </c>
      <c r="T943" s="314" t="s">
        <v>177</v>
      </c>
      <c r="U943" s="314" t="s">
        <v>177</v>
      </c>
      <c r="V943" s="314" t="s">
        <v>114</v>
      </c>
      <c r="W943" s="314"/>
      <c r="X943" s="314" t="str">
        <f>VLOOKUP(D943,代理总表!A:D,3,0)</f>
        <v>SOCO越南直播</v>
      </c>
      <c r="Y943" t="str">
        <f>VLOOKUP(D:D,代理总表!A:D,4,FALSE)</f>
        <v>SOCO越南直播ffvn66</v>
      </c>
      <c r="Z943">
        <f t="shared" si="42"/>
        <v>0</v>
      </c>
      <c r="AA943">
        <f t="shared" si="43"/>
        <v>10</v>
      </c>
      <c r="AB943">
        <f t="shared" si="44"/>
        <v>1</v>
      </c>
    </row>
    <row r="944" spans="1:28">
      <c r="A944" s="314" t="s">
        <v>3407</v>
      </c>
      <c r="B944" s="314"/>
      <c r="C944" s="314"/>
      <c r="D944" s="314" t="s">
        <v>240</v>
      </c>
      <c r="E944" s="314" t="s">
        <v>104</v>
      </c>
      <c r="F944" s="314" t="s">
        <v>149</v>
      </c>
      <c r="G944" s="314" t="s">
        <v>108</v>
      </c>
      <c r="H944" s="314" t="s">
        <v>119</v>
      </c>
      <c r="I944" s="314" t="s">
        <v>108</v>
      </c>
      <c r="J944" s="314" t="s">
        <v>109</v>
      </c>
      <c r="K944" s="314">
        <v>0</v>
      </c>
      <c r="L944" s="314">
        <v>0</v>
      </c>
      <c r="M944" s="315">
        <v>45145.4261574074</v>
      </c>
      <c r="N944" s="314" t="s">
        <v>2557</v>
      </c>
      <c r="O944" s="314" t="s">
        <v>242</v>
      </c>
      <c r="P944" s="314" t="s">
        <v>112</v>
      </c>
      <c r="Q944" s="314" t="s">
        <v>123</v>
      </c>
      <c r="R944" s="315">
        <v>45145.6126388889</v>
      </c>
      <c r="S944" s="314" t="s">
        <v>2557</v>
      </c>
      <c r="T944" s="314" t="s">
        <v>2558</v>
      </c>
      <c r="U944" s="314" t="s">
        <v>2558</v>
      </c>
      <c r="V944" s="314" t="s">
        <v>114</v>
      </c>
      <c r="W944" s="314"/>
      <c r="X944" s="314" t="str">
        <f>VLOOKUP(D944,代理总表!A:D,3,0)</f>
        <v>SEO邀请</v>
      </c>
      <c r="Y944" t="str">
        <f>VLOOKUP(D:D,代理总表!A:D,4,FALSE)</f>
        <v>SEO</v>
      </c>
      <c r="Z944">
        <f t="shared" si="42"/>
        <v>0</v>
      </c>
      <c r="AA944">
        <f t="shared" si="43"/>
        <v>10</v>
      </c>
      <c r="AB944">
        <f t="shared" si="44"/>
        <v>1</v>
      </c>
    </row>
    <row r="945" spans="1:28">
      <c r="A945" s="314" t="s">
        <v>3408</v>
      </c>
      <c r="B945" s="314" t="s">
        <v>3409</v>
      </c>
      <c r="C945" s="314">
        <v>569609704</v>
      </c>
      <c r="D945" s="314" t="s">
        <v>197</v>
      </c>
      <c r="E945" s="314" t="s">
        <v>117</v>
      </c>
      <c r="F945" s="314" t="s">
        <v>144</v>
      </c>
      <c r="G945" s="314" t="s">
        <v>106</v>
      </c>
      <c r="H945" s="314" t="s">
        <v>107</v>
      </c>
      <c r="I945" s="314" t="s">
        <v>108</v>
      </c>
      <c r="J945" s="314" t="s">
        <v>120</v>
      </c>
      <c r="K945" s="314">
        <v>800000</v>
      </c>
      <c r="L945" s="314">
        <v>8000000</v>
      </c>
      <c r="M945" s="315">
        <v>45145.4260300926</v>
      </c>
      <c r="N945" s="314" t="s">
        <v>3410</v>
      </c>
      <c r="O945" s="314" t="s">
        <v>875</v>
      </c>
      <c r="P945" s="314" t="s">
        <v>112</v>
      </c>
      <c r="Q945" s="315">
        <v>45146.3132638889</v>
      </c>
      <c r="R945" s="315">
        <v>45146.3053587963</v>
      </c>
      <c r="S945" s="314" t="s">
        <v>3411</v>
      </c>
      <c r="T945" s="314" t="s">
        <v>216</v>
      </c>
      <c r="U945" s="314" t="s">
        <v>548</v>
      </c>
      <c r="V945" s="314" t="s">
        <v>114</v>
      </c>
      <c r="W945" s="314"/>
      <c r="X945" s="314" t="str">
        <f>VLOOKUP(D945,代理总表!A:D,3,0)</f>
        <v>雨燕直播-越</v>
      </c>
      <c r="Y945" t="str">
        <f>VLOOKUP(D:D,代理总表!A:D,4,FALSE)</f>
        <v>雨燕直播-越ffvn66</v>
      </c>
      <c r="Z945">
        <f t="shared" si="42"/>
        <v>1</v>
      </c>
      <c r="AA945">
        <f t="shared" si="43"/>
        <v>10</v>
      </c>
      <c r="AB945">
        <f t="shared" si="44"/>
        <v>1</v>
      </c>
    </row>
    <row r="946" spans="1:28">
      <c r="A946" s="314" t="s">
        <v>3412</v>
      </c>
      <c r="B946" s="314"/>
      <c r="C946" s="314"/>
      <c r="D946" s="314" t="s">
        <v>116</v>
      </c>
      <c r="E946" s="314" t="s">
        <v>117</v>
      </c>
      <c r="F946" s="314" t="s">
        <v>118</v>
      </c>
      <c r="G946" s="314" t="s">
        <v>108</v>
      </c>
      <c r="H946" s="314" t="s">
        <v>119</v>
      </c>
      <c r="I946" s="314" t="s">
        <v>108</v>
      </c>
      <c r="J946" s="314" t="s">
        <v>120</v>
      </c>
      <c r="K946" s="314">
        <v>0</v>
      </c>
      <c r="L946" s="314">
        <v>0</v>
      </c>
      <c r="M946" s="315">
        <v>45145.4257986111</v>
      </c>
      <c r="N946" s="314" t="s">
        <v>3413</v>
      </c>
      <c r="O946" s="314" t="s">
        <v>122</v>
      </c>
      <c r="P946" s="314" t="s">
        <v>112</v>
      </c>
      <c r="Q946" s="314" t="s">
        <v>123</v>
      </c>
      <c r="R946" s="315">
        <v>45145.425787037</v>
      </c>
      <c r="S946" s="314" t="s">
        <v>3413</v>
      </c>
      <c r="T946" s="314" t="s">
        <v>124</v>
      </c>
      <c r="U946" s="314" t="s">
        <v>124</v>
      </c>
      <c r="V946" s="314" t="s">
        <v>114</v>
      </c>
      <c r="W946" s="314"/>
      <c r="X946" s="314" t="str">
        <f>VLOOKUP(D946,代理总表!A:D,3,0)</f>
        <v>外部代理总线</v>
      </c>
      <c r="Y946" t="str">
        <f>VLOOKUP(D:D,代理总表!A:D,4,FALSE)</f>
        <v>外部代理总线zh0808</v>
      </c>
      <c r="Z946">
        <f t="shared" si="42"/>
        <v>0</v>
      </c>
      <c r="AA946">
        <f t="shared" si="43"/>
        <v>10</v>
      </c>
      <c r="AB946">
        <f t="shared" si="44"/>
        <v>1</v>
      </c>
    </row>
    <row r="947" spans="1:28">
      <c r="A947" s="314" t="s">
        <v>3414</v>
      </c>
      <c r="B947" s="314"/>
      <c r="C947" s="314"/>
      <c r="D947" s="314" t="s">
        <v>137</v>
      </c>
      <c r="E947" s="314" t="s">
        <v>117</v>
      </c>
      <c r="F947" s="314" t="s">
        <v>118</v>
      </c>
      <c r="G947" s="314" t="s">
        <v>108</v>
      </c>
      <c r="H947" s="314" t="s">
        <v>119</v>
      </c>
      <c r="I947" s="314" t="s">
        <v>108</v>
      </c>
      <c r="J947" s="314" t="s">
        <v>120</v>
      </c>
      <c r="K947" s="314">
        <v>0</v>
      </c>
      <c r="L947" s="314">
        <v>0</v>
      </c>
      <c r="M947" s="315">
        <v>45145.4244675926</v>
      </c>
      <c r="N947" s="314" t="s">
        <v>3415</v>
      </c>
      <c r="O947" s="314" t="s">
        <v>139</v>
      </c>
      <c r="P947" s="314" t="s">
        <v>112</v>
      </c>
      <c r="Q947" s="314" t="s">
        <v>123</v>
      </c>
      <c r="R947" s="315">
        <v>45145.4297453704</v>
      </c>
      <c r="S947" s="314" t="s">
        <v>3415</v>
      </c>
      <c r="T947" s="314" t="s">
        <v>177</v>
      </c>
      <c r="U947" s="314" t="s">
        <v>177</v>
      </c>
      <c r="V947" s="314" t="s">
        <v>114</v>
      </c>
      <c r="W947" s="314"/>
      <c r="X947" s="314" t="str">
        <f>VLOOKUP(D947,代理总表!A:D,3,0)</f>
        <v>雨燕直播-越</v>
      </c>
      <c r="Y947" t="str">
        <f>VLOOKUP(D:D,代理总表!A:D,4,FALSE)</f>
        <v>雨燕直播-越ffvn66</v>
      </c>
      <c r="Z947">
        <f t="shared" si="42"/>
        <v>0</v>
      </c>
      <c r="AA947">
        <f t="shared" si="43"/>
        <v>10</v>
      </c>
      <c r="AB947">
        <f t="shared" si="44"/>
        <v>1</v>
      </c>
    </row>
    <row r="948" spans="1:28">
      <c r="A948" s="314" t="s">
        <v>3416</v>
      </c>
      <c r="B948" s="314" t="s">
        <v>3417</v>
      </c>
      <c r="C948" s="314">
        <v>858038123</v>
      </c>
      <c r="D948" s="314" t="s">
        <v>172</v>
      </c>
      <c r="E948" s="314" t="s">
        <v>117</v>
      </c>
      <c r="F948" s="314" t="s">
        <v>118</v>
      </c>
      <c r="G948" s="314" t="s">
        <v>108</v>
      </c>
      <c r="H948" s="314" t="s">
        <v>119</v>
      </c>
      <c r="I948" s="314" t="s">
        <v>108</v>
      </c>
      <c r="J948" s="314" t="s">
        <v>120</v>
      </c>
      <c r="K948" s="314">
        <v>0</v>
      </c>
      <c r="L948" s="314">
        <v>0</v>
      </c>
      <c r="M948" s="315">
        <v>45145.4243287037</v>
      </c>
      <c r="N948" s="314" t="s">
        <v>3418</v>
      </c>
      <c r="O948" s="314" t="s">
        <v>881</v>
      </c>
      <c r="P948" s="314" t="s">
        <v>112</v>
      </c>
      <c r="Q948" s="314" t="s">
        <v>123</v>
      </c>
      <c r="R948" s="315">
        <v>45145.6886458333</v>
      </c>
      <c r="S948" s="314" t="s">
        <v>3418</v>
      </c>
      <c r="T948" s="314" t="s">
        <v>124</v>
      </c>
      <c r="U948" s="314" t="s">
        <v>124</v>
      </c>
      <c r="V948" s="314" t="s">
        <v>114</v>
      </c>
      <c r="W948" s="314"/>
      <c r="X948" s="314" t="str">
        <f>VLOOKUP(D948,代理总表!A:D,3,0)</f>
        <v>雨燕直播-越</v>
      </c>
      <c r="Y948" t="str">
        <f>VLOOKUP(D:D,代理总表!A:D,4,FALSE)</f>
        <v>雨燕直播-越ffvn66</v>
      </c>
      <c r="Z948">
        <f t="shared" si="42"/>
        <v>0</v>
      </c>
      <c r="AA948">
        <f t="shared" si="43"/>
        <v>10</v>
      </c>
      <c r="AB948">
        <f t="shared" si="44"/>
        <v>1</v>
      </c>
    </row>
    <row r="949" spans="1:28">
      <c r="A949" s="314" t="s">
        <v>3419</v>
      </c>
      <c r="B949" s="314"/>
      <c r="C949" s="314">
        <v>15573999735</v>
      </c>
      <c r="D949" s="314" t="s">
        <v>103</v>
      </c>
      <c r="E949" s="314" t="s">
        <v>104</v>
      </c>
      <c r="F949" s="314" t="s">
        <v>118</v>
      </c>
      <c r="G949" s="314" t="s">
        <v>108</v>
      </c>
      <c r="H949" s="314" t="s">
        <v>119</v>
      </c>
      <c r="I949" s="314" t="s">
        <v>108</v>
      </c>
      <c r="J949" s="314" t="s">
        <v>109</v>
      </c>
      <c r="K949" s="314">
        <v>0</v>
      </c>
      <c r="L949" s="314">
        <v>0</v>
      </c>
      <c r="M949" s="315">
        <v>45145.4241898148</v>
      </c>
      <c r="N949" s="314" t="s">
        <v>3420</v>
      </c>
      <c r="O949" s="314" t="s">
        <v>582</v>
      </c>
      <c r="P949" s="314" t="s">
        <v>208</v>
      </c>
      <c r="Q949" s="314" t="s">
        <v>123</v>
      </c>
      <c r="R949" s="315">
        <v>45145.4901041667</v>
      </c>
      <c r="S949" s="314" t="s">
        <v>3420</v>
      </c>
      <c r="T949" s="314" t="s">
        <v>2048</v>
      </c>
      <c r="U949" s="314" t="s">
        <v>2048</v>
      </c>
      <c r="V949" s="314" t="s">
        <v>114</v>
      </c>
      <c r="W949" s="314"/>
      <c r="X949" s="314" t="str">
        <f>VLOOKUP(D949,代理总表!A:D,3,0)</f>
        <v>官网</v>
      </c>
      <c r="Y949" t="str">
        <f>VLOOKUP(D:D,代理总表!A:D,4,FALSE)</f>
        <v>官网</v>
      </c>
      <c r="Z949">
        <f t="shared" si="42"/>
        <v>0</v>
      </c>
      <c r="AA949">
        <f t="shared" si="43"/>
        <v>10</v>
      </c>
      <c r="AB949">
        <f t="shared" si="44"/>
        <v>1</v>
      </c>
    </row>
    <row r="950" spans="1:28">
      <c r="A950" s="314" t="s">
        <v>3421</v>
      </c>
      <c r="B950" s="314" t="s">
        <v>3422</v>
      </c>
      <c r="C950" s="314">
        <v>348487235</v>
      </c>
      <c r="D950" s="314" t="s">
        <v>2640</v>
      </c>
      <c r="E950" s="314" t="s">
        <v>117</v>
      </c>
      <c r="F950" s="314" t="s">
        <v>144</v>
      </c>
      <c r="G950" s="314" t="s">
        <v>106</v>
      </c>
      <c r="H950" s="314" t="s">
        <v>856</v>
      </c>
      <c r="I950" s="314" t="s">
        <v>108</v>
      </c>
      <c r="J950" s="314" t="s">
        <v>120</v>
      </c>
      <c r="K950" s="314">
        <v>188000</v>
      </c>
      <c r="L950" s="314">
        <v>12197768</v>
      </c>
      <c r="M950" s="315">
        <v>45145.4235069444</v>
      </c>
      <c r="N950" s="314" t="s">
        <v>3423</v>
      </c>
      <c r="O950" s="314" t="s">
        <v>2642</v>
      </c>
      <c r="P950" s="314" t="s">
        <v>112</v>
      </c>
      <c r="Q950" s="315">
        <v>45145.429212963</v>
      </c>
      <c r="R950" s="315">
        <v>45145.5866782407</v>
      </c>
      <c r="S950" s="314" t="s">
        <v>3424</v>
      </c>
      <c r="T950" s="314" t="s">
        <v>124</v>
      </c>
      <c r="U950" s="314" t="s">
        <v>124</v>
      </c>
      <c r="V950" s="314" t="s">
        <v>114</v>
      </c>
      <c r="W950" s="314" t="s">
        <v>2481</v>
      </c>
      <c r="X950" s="314" t="str">
        <f>VLOOKUP(D950,代理总表!A:D,3,0)</f>
        <v>外部代理总线</v>
      </c>
      <c r="Y950" t="str">
        <f>VLOOKUP(D:D,代理总表!A:D,4,FALSE)</f>
        <v>外部代理总线zhaoshang</v>
      </c>
      <c r="Z950">
        <f t="shared" si="42"/>
        <v>1</v>
      </c>
      <c r="AA950">
        <f t="shared" si="43"/>
        <v>10</v>
      </c>
      <c r="AB950">
        <f t="shared" si="44"/>
        <v>1</v>
      </c>
    </row>
    <row r="951" spans="1:28">
      <c r="A951" s="314" t="s">
        <v>3425</v>
      </c>
      <c r="B951" s="314" t="s">
        <v>3426</v>
      </c>
      <c r="C951" s="314">
        <v>769542652</v>
      </c>
      <c r="D951" s="314" t="s">
        <v>143</v>
      </c>
      <c r="E951" s="314" t="s">
        <v>117</v>
      </c>
      <c r="F951" s="314" t="s">
        <v>118</v>
      </c>
      <c r="G951" s="314" t="s">
        <v>108</v>
      </c>
      <c r="H951" s="314" t="s">
        <v>119</v>
      </c>
      <c r="I951" s="314" t="s">
        <v>108</v>
      </c>
      <c r="J951" s="314" t="s">
        <v>120</v>
      </c>
      <c r="K951" s="314">
        <v>0</v>
      </c>
      <c r="L951" s="314">
        <v>0</v>
      </c>
      <c r="M951" s="315">
        <v>45145.4233101852</v>
      </c>
      <c r="N951" s="314" t="s">
        <v>3427</v>
      </c>
      <c r="O951" s="314" t="s">
        <v>407</v>
      </c>
      <c r="P951" s="314" t="s">
        <v>112</v>
      </c>
      <c r="Q951" s="314" t="s">
        <v>123</v>
      </c>
      <c r="R951" s="315">
        <v>45145.8847569444</v>
      </c>
      <c r="S951" s="314" t="s">
        <v>3428</v>
      </c>
      <c r="T951" s="314" t="s">
        <v>2649</v>
      </c>
      <c r="U951" s="314" t="s">
        <v>124</v>
      </c>
      <c r="V951" s="314" t="s">
        <v>114</v>
      </c>
      <c r="W951" s="314"/>
      <c r="X951" s="314" t="str">
        <f>VLOOKUP(D951,代理总表!A:D,3,0)</f>
        <v>雨燕直播-越</v>
      </c>
      <c r="Y951" t="str">
        <f>VLOOKUP(D:D,代理总表!A:D,4,FALSE)</f>
        <v>雨燕直播-越ffvn66</v>
      </c>
      <c r="Z951">
        <f t="shared" si="42"/>
        <v>0</v>
      </c>
      <c r="AA951">
        <f t="shared" si="43"/>
        <v>10</v>
      </c>
      <c r="AB951">
        <f t="shared" si="44"/>
        <v>1</v>
      </c>
    </row>
    <row r="952" spans="1:28">
      <c r="A952" s="314" t="s">
        <v>3429</v>
      </c>
      <c r="B952" s="314"/>
      <c r="C952" s="314">
        <v>18446035257</v>
      </c>
      <c r="D952" s="314" t="s">
        <v>235</v>
      </c>
      <c r="E952" s="314" t="s">
        <v>104</v>
      </c>
      <c r="F952" s="314" t="s">
        <v>149</v>
      </c>
      <c r="G952" s="314" t="s">
        <v>108</v>
      </c>
      <c r="H952" s="314" t="s">
        <v>119</v>
      </c>
      <c r="I952" s="314" t="s">
        <v>108</v>
      </c>
      <c r="J952" s="314" t="s">
        <v>109</v>
      </c>
      <c r="K952" s="314">
        <v>0</v>
      </c>
      <c r="L952" s="314">
        <v>0</v>
      </c>
      <c r="M952" s="315">
        <v>45145.4217939815</v>
      </c>
      <c r="N952" s="314" t="s">
        <v>3430</v>
      </c>
      <c r="O952" s="314" t="s">
        <v>237</v>
      </c>
      <c r="P952" s="314" t="s">
        <v>112</v>
      </c>
      <c r="Q952" s="314" t="s">
        <v>123</v>
      </c>
      <c r="R952" s="315">
        <v>45145.4217824074</v>
      </c>
      <c r="S952" s="314" t="s">
        <v>3430</v>
      </c>
      <c r="T952" s="314" t="s">
        <v>3431</v>
      </c>
      <c r="U952" s="314" t="s">
        <v>3431</v>
      </c>
      <c r="V952" s="314" t="s">
        <v>114</v>
      </c>
      <c r="W952" s="314"/>
      <c r="X952" s="314" t="str">
        <f>VLOOKUP(D952,代理总表!A:D,3,0)</f>
        <v>aber</v>
      </c>
      <c r="Y952" t="str">
        <f>VLOOKUP(D:D,代理总表!A:D,4,FALSE)</f>
        <v>SEO</v>
      </c>
      <c r="Z952">
        <f t="shared" si="42"/>
        <v>0</v>
      </c>
      <c r="AA952">
        <f t="shared" si="43"/>
        <v>10</v>
      </c>
      <c r="AB952">
        <f t="shared" si="44"/>
        <v>1</v>
      </c>
    </row>
    <row r="953" spans="1:28">
      <c r="A953" s="314" t="s">
        <v>3432</v>
      </c>
      <c r="B953" s="314" t="s">
        <v>3433</v>
      </c>
      <c r="C953" s="314">
        <v>981147094</v>
      </c>
      <c r="D953" s="314" t="s">
        <v>2339</v>
      </c>
      <c r="E953" s="314" t="s">
        <v>117</v>
      </c>
      <c r="F953" s="314" t="s">
        <v>144</v>
      </c>
      <c r="G953" s="314" t="s">
        <v>106</v>
      </c>
      <c r="H953" s="314" t="s">
        <v>107</v>
      </c>
      <c r="I953" s="314" t="s">
        <v>108</v>
      </c>
      <c r="J953" s="314" t="s">
        <v>120</v>
      </c>
      <c r="K953" s="314">
        <v>128426</v>
      </c>
      <c r="L953" s="314">
        <v>7071104</v>
      </c>
      <c r="M953" s="315">
        <v>45145.4217013889</v>
      </c>
      <c r="N953" s="314" t="s">
        <v>3434</v>
      </c>
      <c r="O953" s="314" t="s">
        <v>2341</v>
      </c>
      <c r="P953" s="314" t="s">
        <v>112</v>
      </c>
      <c r="Q953" s="315">
        <v>45145.4321759259</v>
      </c>
      <c r="R953" s="315">
        <v>45145.6155324074</v>
      </c>
      <c r="S953" s="314" t="s">
        <v>3435</v>
      </c>
      <c r="T953" s="314" t="s">
        <v>128</v>
      </c>
      <c r="U953" s="314" t="s">
        <v>131</v>
      </c>
      <c r="V953" s="314" t="s">
        <v>114</v>
      </c>
      <c r="W953" s="314"/>
      <c r="X953" s="314" t="str">
        <f>VLOOKUP(D953,代理总表!A:D,3,0)</f>
        <v>外部代理总线</v>
      </c>
      <c r="Y953" t="str">
        <f>VLOOKUP(D:D,代理总表!A:D,4,FALSE)</f>
        <v>外部代理总线zhaoshang</v>
      </c>
      <c r="Z953">
        <f t="shared" si="42"/>
        <v>1</v>
      </c>
      <c r="AA953">
        <f t="shared" si="43"/>
        <v>10</v>
      </c>
      <c r="AB953">
        <f t="shared" si="44"/>
        <v>1</v>
      </c>
    </row>
    <row r="954" spans="1:28">
      <c r="A954" s="314" t="s">
        <v>3436</v>
      </c>
      <c r="B954" s="314"/>
      <c r="C954" s="314"/>
      <c r="D954" s="314" t="s">
        <v>103</v>
      </c>
      <c r="E954" s="314" t="s">
        <v>104</v>
      </c>
      <c r="F954" s="314" t="s">
        <v>118</v>
      </c>
      <c r="G954" s="314" t="s">
        <v>108</v>
      </c>
      <c r="H954" s="314" t="s">
        <v>119</v>
      </c>
      <c r="I954" s="314" t="s">
        <v>108</v>
      </c>
      <c r="J954" s="314" t="s">
        <v>109</v>
      </c>
      <c r="K954" s="314">
        <v>0</v>
      </c>
      <c r="L954" s="314">
        <v>0</v>
      </c>
      <c r="M954" s="315">
        <v>45145.4213541667</v>
      </c>
      <c r="N954" s="314" t="s">
        <v>3437</v>
      </c>
      <c r="O954" s="314" t="s">
        <v>851</v>
      </c>
      <c r="P954" s="314" t="s">
        <v>339</v>
      </c>
      <c r="Q954" s="314" t="s">
        <v>123</v>
      </c>
      <c r="R954" s="314"/>
      <c r="S954" s="314"/>
      <c r="T954" s="314" t="s">
        <v>340</v>
      </c>
      <c r="U954" s="314"/>
      <c r="V954" s="314" t="s">
        <v>114</v>
      </c>
      <c r="W954" s="314"/>
      <c r="X954" s="314" t="str">
        <f>VLOOKUP(D954,代理总表!A:D,3,0)</f>
        <v>官网</v>
      </c>
      <c r="Y954" t="str">
        <f>VLOOKUP(D:D,代理总表!A:D,4,FALSE)</f>
        <v>官网</v>
      </c>
      <c r="Z954">
        <f t="shared" si="42"/>
        <v>0</v>
      </c>
      <c r="AA954">
        <f t="shared" si="43"/>
        <v>10</v>
      </c>
      <c r="AB954">
        <f t="shared" si="44"/>
        <v>1</v>
      </c>
    </row>
    <row r="955" spans="1:28">
      <c r="A955" s="314" t="s">
        <v>3438</v>
      </c>
      <c r="B955" s="314" t="s">
        <v>3439</v>
      </c>
      <c r="C955" s="314">
        <v>15225769885</v>
      </c>
      <c r="D955" s="314" t="s">
        <v>259</v>
      </c>
      <c r="E955" s="314" t="s">
        <v>104</v>
      </c>
      <c r="F955" s="314" t="s">
        <v>181</v>
      </c>
      <c r="G955" s="314" t="s">
        <v>106</v>
      </c>
      <c r="H955" s="314" t="s">
        <v>107</v>
      </c>
      <c r="I955" s="314" t="s">
        <v>108</v>
      </c>
      <c r="J955" s="314" t="s">
        <v>109</v>
      </c>
      <c r="K955" s="314">
        <v>100</v>
      </c>
      <c r="L955" s="314">
        <v>0</v>
      </c>
      <c r="M955" s="315">
        <v>45145.4208333333</v>
      </c>
      <c r="N955" s="314" t="s">
        <v>3440</v>
      </c>
      <c r="O955" s="314" t="s">
        <v>3441</v>
      </c>
      <c r="P955" s="314" t="s">
        <v>112</v>
      </c>
      <c r="Q955" s="315">
        <v>45145.4301967593</v>
      </c>
      <c r="R955" s="315">
        <v>45145.4478935185</v>
      </c>
      <c r="S955" s="314" t="s">
        <v>3440</v>
      </c>
      <c r="T955" s="314" t="s">
        <v>3442</v>
      </c>
      <c r="U955" s="314" t="s">
        <v>3442</v>
      </c>
      <c r="V955" s="314" t="s">
        <v>114</v>
      </c>
      <c r="W955" s="314"/>
      <c r="X955" s="314" t="str">
        <f>VLOOKUP(D955,代理总表!A:D,3,0)</f>
        <v>tony</v>
      </c>
      <c r="Y955" t="str">
        <f>VLOOKUP(D:D,代理总表!A:D,4,FALSE)</f>
        <v>SEO</v>
      </c>
      <c r="Z955">
        <f t="shared" si="42"/>
        <v>1</v>
      </c>
      <c r="AA955">
        <f t="shared" si="43"/>
        <v>10</v>
      </c>
      <c r="AB955">
        <f t="shared" si="44"/>
        <v>1</v>
      </c>
    </row>
    <row r="956" spans="1:28">
      <c r="A956" s="314" t="s">
        <v>3443</v>
      </c>
      <c r="B956" s="314" t="s">
        <v>3444</v>
      </c>
      <c r="C956" s="314">
        <v>903864740</v>
      </c>
      <c r="D956" s="314" t="s">
        <v>197</v>
      </c>
      <c r="E956" s="314" t="s">
        <v>117</v>
      </c>
      <c r="F956" s="314" t="s">
        <v>118</v>
      </c>
      <c r="G956" s="314" t="s">
        <v>108</v>
      </c>
      <c r="H956" s="314" t="s">
        <v>119</v>
      </c>
      <c r="I956" s="314" t="s">
        <v>108</v>
      </c>
      <c r="J956" s="314" t="s">
        <v>120</v>
      </c>
      <c r="K956" s="314">
        <v>0</v>
      </c>
      <c r="L956" s="314">
        <v>0</v>
      </c>
      <c r="M956" s="315">
        <v>45145.4196412037</v>
      </c>
      <c r="N956" s="314" t="s">
        <v>3445</v>
      </c>
      <c r="O956" s="314" t="s">
        <v>199</v>
      </c>
      <c r="P956" s="314" t="s">
        <v>112</v>
      </c>
      <c r="Q956" s="314" t="s">
        <v>123</v>
      </c>
      <c r="R956" s="315">
        <v>45145.8798958333</v>
      </c>
      <c r="S956" s="314" t="s">
        <v>3446</v>
      </c>
      <c r="T956" s="314" t="s">
        <v>131</v>
      </c>
      <c r="U956" s="314" t="s">
        <v>131</v>
      </c>
      <c r="V956" s="314" t="s">
        <v>114</v>
      </c>
      <c r="W956" s="314"/>
      <c r="X956" s="314" t="str">
        <f>VLOOKUP(D956,代理总表!A:D,3,0)</f>
        <v>雨燕直播-越</v>
      </c>
      <c r="Y956" t="str">
        <f>VLOOKUP(D:D,代理总表!A:D,4,FALSE)</f>
        <v>雨燕直播-越ffvn66</v>
      </c>
      <c r="Z956">
        <f t="shared" si="42"/>
        <v>0</v>
      </c>
      <c r="AA956">
        <f t="shared" si="43"/>
        <v>10</v>
      </c>
      <c r="AB956">
        <f t="shared" si="44"/>
        <v>1</v>
      </c>
    </row>
    <row r="957" spans="1:28">
      <c r="A957" s="314" t="s">
        <v>3447</v>
      </c>
      <c r="B957" s="314"/>
      <c r="C957" s="314"/>
      <c r="D957" s="314" t="s">
        <v>137</v>
      </c>
      <c r="E957" s="314" t="s">
        <v>117</v>
      </c>
      <c r="F957" s="314" t="s">
        <v>118</v>
      </c>
      <c r="G957" s="314" t="s">
        <v>108</v>
      </c>
      <c r="H957" s="314" t="s">
        <v>119</v>
      </c>
      <c r="I957" s="314" t="s">
        <v>108</v>
      </c>
      <c r="J957" s="314" t="s">
        <v>120</v>
      </c>
      <c r="K957" s="314">
        <v>0</v>
      </c>
      <c r="L957" s="314">
        <v>0</v>
      </c>
      <c r="M957" s="315">
        <v>45145.4188425926</v>
      </c>
      <c r="N957" s="314" t="s">
        <v>3448</v>
      </c>
      <c r="O957" s="314" t="s">
        <v>139</v>
      </c>
      <c r="P957" s="314" t="s">
        <v>112</v>
      </c>
      <c r="Q957" s="314" t="s">
        <v>123</v>
      </c>
      <c r="R957" s="315">
        <v>45145.5276388889</v>
      </c>
      <c r="S957" s="314" t="s">
        <v>3449</v>
      </c>
      <c r="T957" s="314" t="s">
        <v>216</v>
      </c>
      <c r="U957" s="314" t="s">
        <v>907</v>
      </c>
      <c r="V957" s="314" t="s">
        <v>114</v>
      </c>
      <c r="W957" s="314"/>
      <c r="X957" s="314" t="str">
        <f>VLOOKUP(D957,代理总表!A:D,3,0)</f>
        <v>雨燕直播-越</v>
      </c>
      <c r="Y957" t="str">
        <f>VLOOKUP(D:D,代理总表!A:D,4,FALSE)</f>
        <v>雨燕直播-越ffvn66</v>
      </c>
      <c r="Z957">
        <f t="shared" si="42"/>
        <v>0</v>
      </c>
      <c r="AA957">
        <f t="shared" si="43"/>
        <v>10</v>
      </c>
      <c r="AB957">
        <f t="shared" si="44"/>
        <v>1</v>
      </c>
    </row>
    <row r="958" spans="1:28">
      <c r="A958" s="314" t="s">
        <v>3450</v>
      </c>
      <c r="B958" s="314"/>
      <c r="C958" s="314"/>
      <c r="D958" s="314" t="s">
        <v>116</v>
      </c>
      <c r="E958" s="314" t="s">
        <v>117</v>
      </c>
      <c r="F958" s="314" t="s">
        <v>118</v>
      </c>
      <c r="G958" s="314" t="s">
        <v>108</v>
      </c>
      <c r="H958" s="314" t="s">
        <v>119</v>
      </c>
      <c r="I958" s="314" t="s">
        <v>108</v>
      </c>
      <c r="J958" s="314" t="s">
        <v>120</v>
      </c>
      <c r="K958" s="314">
        <v>0</v>
      </c>
      <c r="L958" s="314">
        <v>0</v>
      </c>
      <c r="M958" s="315">
        <v>45145.4156828704</v>
      </c>
      <c r="N958" s="314" t="s">
        <v>2735</v>
      </c>
      <c r="O958" s="314" t="s">
        <v>2062</v>
      </c>
      <c r="P958" s="314" t="s">
        <v>112</v>
      </c>
      <c r="Q958" s="314" t="s">
        <v>123</v>
      </c>
      <c r="R958" s="315">
        <v>45145.4156828704</v>
      </c>
      <c r="S958" s="314" t="s">
        <v>2735</v>
      </c>
      <c r="T958" s="314" t="s">
        <v>849</v>
      </c>
      <c r="U958" s="314" t="s">
        <v>849</v>
      </c>
      <c r="V958" s="314" t="s">
        <v>114</v>
      </c>
      <c r="W958" s="314"/>
      <c r="X958" s="314" t="str">
        <f>VLOOKUP(D958,代理总表!A:D,3,0)</f>
        <v>外部代理总线</v>
      </c>
      <c r="Y958" t="str">
        <f>VLOOKUP(D:D,代理总表!A:D,4,FALSE)</f>
        <v>外部代理总线zh0808</v>
      </c>
      <c r="Z958">
        <f t="shared" si="42"/>
        <v>0</v>
      </c>
      <c r="AA958">
        <f t="shared" si="43"/>
        <v>9</v>
      </c>
      <c r="AB958">
        <f t="shared" si="44"/>
        <v>1</v>
      </c>
    </row>
    <row r="959" spans="1:28">
      <c r="A959" s="314" t="s">
        <v>3451</v>
      </c>
      <c r="B959" s="314" t="s">
        <v>3452</v>
      </c>
      <c r="C959" s="314">
        <v>18806399001</v>
      </c>
      <c r="D959" s="314" t="s">
        <v>587</v>
      </c>
      <c r="E959" s="314" t="s">
        <v>104</v>
      </c>
      <c r="F959" s="314" t="s">
        <v>105</v>
      </c>
      <c r="G959" s="314" t="s">
        <v>106</v>
      </c>
      <c r="H959" s="314" t="s">
        <v>856</v>
      </c>
      <c r="I959" s="314" t="s">
        <v>108</v>
      </c>
      <c r="J959" s="314" t="s">
        <v>109</v>
      </c>
      <c r="K959" s="314">
        <v>2000</v>
      </c>
      <c r="L959" s="314">
        <v>2000</v>
      </c>
      <c r="M959" s="315">
        <v>45145.4155092593</v>
      </c>
      <c r="N959" s="314" t="s">
        <v>3453</v>
      </c>
      <c r="O959" s="314" t="s">
        <v>1011</v>
      </c>
      <c r="P959" s="314" t="s">
        <v>112</v>
      </c>
      <c r="Q959" s="315">
        <v>45145.481875</v>
      </c>
      <c r="R959" s="315">
        <v>45146.3368402778</v>
      </c>
      <c r="S959" s="314" t="s">
        <v>3454</v>
      </c>
      <c r="T959" s="314" t="s">
        <v>1655</v>
      </c>
      <c r="U959" s="314" t="s">
        <v>3455</v>
      </c>
      <c r="V959" s="314" t="s">
        <v>114</v>
      </c>
      <c r="W959" s="314"/>
      <c r="X959" s="314" t="str">
        <f>VLOOKUP(D959,代理总表!A:D,3,0)</f>
        <v>飞哥雨燕直播</v>
      </c>
      <c r="Y959" t="str">
        <f>VLOOKUP(D:D,代理总表!A:D,4,FALSE)</f>
        <v>飞哥雨燕直播ffmk88</v>
      </c>
      <c r="Z959">
        <f t="shared" si="42"/>
        <v>1</v>
      </c>
      <c r="AA959">
        <f t="shared" si="43"/>
        <v>9</v>
      </c>
      <c r="AB959">
        <f t="shared" si="44"/>
        <v>1</v>
      </c>
    </row>
    <row r="960" spans="1:28">
      <c r="A960" s="314" t="s">
        <v>3456</v>
      </c>
      <c r="B960" s="314"/>
      <c r="C960" s="314">
        <v>17552749399</v>
      </c>
      <c r="D960" s="314" t="s">
        <v>205</v>
      </c>
      <c r="E960" s="314" t="s">
        <v>104</v>
      </c>
      <c r="F960" s="314" t="s">
        <v>149</v>
      </c>
      <c r="G960" s="314" t="s">
        <v>108</v>
      </c>
      <c r="H960" s="314" t="s">
        <v>119</v>
      </c>
      <c r="I960" s="314" t="s">
        <v>108</v>
      </c>
      <c r="J960" s="314" t="s">
        <v>109</v>
      </c>
      <c r="K960" s="314">
        <v>0</v>
      </c>
      <c r="L960" s="314">
        <v>0</v>
      </c>
      <c r="M960" s="315">
        <v>45145.4149884259</v>
      </c>
      <c r="N960" s="314" t="s">
        <v>3457</v>
      </c>
      <c r="O960" s="314" t="s">
        <v>207</v>
      </c>
      <c r="P960" s="314" t="s">
        <v>208</v>
      </c>
      <c r="Q960" s="314" t="s">
        <v>123</v>
      </c>
      <c r="R960" s="315">
        <v>45145.4149884259</v>
      </c>
      <c r="S960" s="314" t="s">
        <v>3457</v>
      </c>
      <c r="T960" s="314" t="s">
        <v>299</v>
      </c>
      <c r="U960" s="314" t="s">
        <v>299</v>
      </c>
      <c r="V960" s="314" t="s">
        <v>114</v>
      </c>
      <c r="W960" s="314"/>
      <c r="X960" s="314" t="str">
        <f>VLOOKUP(D960,代理总表!A:D,3,0)</f>
        <v>ben</v>
      </c>
      <c r="Y960" t="str">
        <f>VLOOKUP(D:D,代理总表!A:D,4,FALSE)</f>
        <v>SEO</v>
      </c>
      <c r="Z960">
        <f t="shared" si="42"/>
        <v>0</v>
      </c>
      <c r="AA960">
        <f t="shared" si="43"/>
        <v>9</v>
      </c>
      <c r="AB960">
        <f t="shared" si="44"/>
        <v>1</v>
      </c>
    </row>
    <row r="961" spans="1:28">
      <c r="A961" s="314" t="s">
        <v>3458</v>
      </c>
      <c r="B961" s="314" t="s">
        <v>3459</v>
      </c>
      <c r="C961" s="314">
        <v>17308800345</v>
      </c>
      <c r="D961" s="314" t="s">
        <v>294</v>
      </c>
      <c r="E961" s="314" t="s">
        <v>104</v>
      </c>
      <c r="F961" s="314" t="s">
        <v>181</v>
      </c>
      <c r="G961" s="314" t="s">
        <v>106</v>
      </c>
      <c r="H961" s="314" t="s">
        <v>107</v>
      </c>
      <c r="I961" s="314" t="s">
        <v>108</v>
      </c>
      <c r="J961" s="314" t="s">
        <v>109</v>
      </c>
      <c r="K961" s="314">
        <v>600</v>
      </c>
      <c r="L961" s="314">
        <v>500</v>
      </c>
      <c r="M961" s="315">
        <v>45145.4145601852</v>
      </c>
      <c r="N961" s="314" t="s">
        <v>3460</v>
      </c>
      <c r="O961" s="314" t="s">
        <v>297</v>
      </c>
      <c r="P961" s="314" t="s">
        <v>208</v>
      </c>
      <c r="Q961" s="315">
        <v>45145.4277546296</v>
      </c>
      <c r="R961" s="315">
        <v>45145.5248263889</v>
      </c>
      <c r="S961" s="314" t="s">
        <v>3460</v>
      </c>
      <c r="T961" s="314" t="s">
        <v>3461</v>
      </c>
      <c r="U961" s="314" t="s">
        <v>3461</v>
      </c>
      <c r="V961" s="314" t="s">
        <v>114</v>
      </c>
      <c r="W961" s="314"/>
      <c r="X961" s="314" t="str">
        <f>VLOOKUP(D961,代理总表!A:D,3,0)</f>
        <v>DK</v>
      </c>
      <c r="Y961" t="str">
        <f>VLOOKUP(D:D,代理总表!A:D,4,FALSE)</f>
        <v>SEO</v>
      </c>
      <c r="Z961">
        <f t="shared" si="42"/>
        <v>1</v>
      </c>
      <c r="AA961">
        <f t="shared" si="43"/>
        <v>9</v>
      </c>
      <c r="AB961">
        <f t="shared" si="44"/>
        <v>1</v>
      </c>
    </row>
    <row r="962" spans="1:28">
      <c r="A962" s="314" t="s">
        <v>3462</v>
      </c>
      <c r="B962" s="314"/>
      <c r="C962" s="314">
        <v>858517971</v>
      </c>
      <c r="D962" s="314" t="s">
        <v>1894</v>
      </c>
      <c r="E962" s="314" t="s">
        <v>1895</v>
      </c>
      <c r="F962" s="314" t="s">
        <v>118</v>
      </c>
      <c r="G962" s="314" t="s">
        <v>108</v>
      </c>
      <c r="H962" s="314" t="s">
        <v>119</v>
      </c>
      <c r="I962" s="314" t="s">
        <v>108</v>
      </c>
      <c r="J962" s="314" t="s">
        <v>1896</v>
      </c>
      <c r="K962" s="314">
        <v>0</v>
      </c>
      <c r="L962" s="314">
        <v>0</v>
      </c>
      <c r="M962" s="315">
        <v>45145.4145138889</v>
      </c>
      <c r="N962" s="314" t="s">
        <v>3463</v>
      </c>
      <c r="O962" s="314" t="s">
        <v>1898</v>
      </c>
      <c r="P962" s="314" t="s">
        <v>112</v>
      </c>
      <c r="Q962" s="314" t="s">
        <v>123</v>
      </c>
      <c r="R962" s="315">
        <v>45145.4145023148</v>
      </c>
      <c r="S962" s="314" t="s">
        <v>3463</v>
      </c>
      <c r="T962" s="314" t="s">
        <v>1899</v>
      </c>
      <c r="U962" s="314" t="s">
        <v>1899</v>
      </c>
      <c r="V962" s="314" t="s">
        <v>114</v>
      </c>
      <c r="W962" s="314"/>
      <c r="X962" s="314" t="str">
        <f>VLOOKUP(D962,代理总表!A:D,3,0)</f>
        <v>鲲鹏admin</v>
      </c>
      <c r="Y962" t="str">
        <f>VLOOKUP(D:D,代理总表!A:D,4,FALSE)</f>
        <v>鲲鹏adminbtydl0057</v>
      </c>
      <c r="Z962">
        <f t="shared" si="42"/>
        <v>0</v>
      </c>
      <c r="AA962">
        <f t="shared" si="43"/>
        <v>9</v>
      </c>
      <c r="AB962">
        <f t="shared" si="44"/>
        <v>1</v>
      </c>
    </row>
    <row r="963" spans="1:28">
      <c r="A963" s="314" t="s">
        <v>3464</v>
      </c>
      <c r="B963" s="314"/>
      <c r="C963" s="314"/>
      <c r="D963" s="314" t="s">
        <v>550</v>
      </c>
      <c r="E963" s="314" t="s">
        <v>117</v>
      </c>
      <c r="F963" s="314" t="s">
        <v>118</v>
      </c>
      <c r="G963" s="314" t="s">
        <v>108</v>
      </c>
      <c r="H963" s="314" t="s">
        <v>119</v>
      </c>
      <c r="I963" s="314" t="s">
        <v>108</v>
      </c>
      <c r="J963" s="314" t="s">
        <v>120</v>
      </c>
      <c r="K963" s="314">
        <v>0</v>
      </c>
      <c r="L963" s="314">
        <v>0</v>
      </c>
      <c r="M963" s="315">
        <v>45145.4121412037</v>
      </c>
      <c r="N963" s="314" t="s">
        <v>3465</v>
      </c>
      <c r="O963" s="314" t="s">
        <v>603</v>
      </c>
      <c r="P963" s="314" t="s">
        <v>112</v>
      </c>
      <c r="Q963" s="314" t="s">
        <v>123</v>
      </c>
      <c r="R963" s="315">
        <v>45145.4458449074</v>
      </c>
      <c r="S963" s="314" t="s">
        <v>3465</v>
      </c>
      <c r="T963" s="314" t="s">
        <v>667</v>
      </c>
      <c r="U963" s="314" t="s">
        <v>667</v>
      </c>
      <c r="V963" s="314" t="s">
        <v>114</v>
      </c>
      <c r="W963" s="314"/>
      <c r="X963" s="314" t="str">
        <f>VLOOKUP(D963,代理总表!A:D,3,0)</f>
        <v>SOCO越南直播</v>
      </c>
      <c r="Y963" t="str">
        <f>VLOOKUP(D:D,代理总表!A:D,4,FALSE)</f>
        <v>SOCO越南直播ffvn66</v>
      </c>
      <c r="Z963">
        <f t="shared" ref="Z963:Z1026" si="45">IF(RIGHT(H963,1)&gt;"0",1,0)</f>
        <v>0</v>
      </c>
      <c r="AA963">
        <f t="shared" ref="AA963:AA1026" si="46">HOUR(M963)</f>
        <v>9</v>
      </c>
      <c r="AB963">
        <f t="shared" ref="AB963:AB1026" si="47">IF(AE963=AF963,1,0)</f>
        <v>1</v>
      </c>
    </row>
    <row r="964" spans="1:28">
      <c r="A964" s="314" t="s">
        <v>3466</v>
      </c>
      <c r="B964" s="314"/>
      <c r="C964" s="314">
        <v>18341728587</v>
      </c>
      <c r="D964" s="314" t="s">
        <v>148</v>
      </c>
      <c r="E964" s="314" t="s">
        <v>104</v>
      </c>
      <c r="F964" s="314" t="s">
        <v>149</v>
      </c>
      <c r="G964" s="314" t="s">
        <v>108</v>
      </c>
      <c r="H964" s="314" t="s">
        <v>119</v>
      </c>
      <c r="I964" s="314" t="s">
        <v>108</v>
      </c>
      <c r="J964" s="314" t="s">
        <v>109</v>
      </c>
      <c r="K964" s="314">
        <v>0</v>
      </c>
      <c r="L964" s="314">
        <v>0</v>
      </c>
      <c r="M964" s="315">
        <v>45145.4092476852</v>
      </c>
      <c r="N964" s="314" t="s">
        <v>3467</v>
      </c>
      <c r="O964" s="314" t="s">
        <v>585</v>
      </c>
      <c r="P964" s="314" t="s">
        <v>112</v>
      </c>
      <c r="Q964" s="314" t="s">
        <v>123</v>
      </c>
      <c r="R964" s="315">
        <v>45145.4180208333</v>
      </c>
      <c r="S964" s="314" t="s">
        <v>3467</v>
      </c>
      <c r="T964" s="314" t="s">
        <v>3468</v>
      </c>
      <c r="U964" s="314" t="s">
        <v>3468</v>
      </c>
      <c r="V964" s="314" t="s">
        <v>114</v>
      </c>
      <c r="W964" s="314"/>
      <c r="X964" s="314" t="str">
        <f>VLOOKUP(D964,代理总表!A:D,3,0)</f>
        <v>martin</v>
      </c>
      <c r="Y964" t="str">
        <f>VLOOKUP(D:D,代理总表!A:D,4,FALSE)</f>
        <v>SEO</v>
      </c>
      <c r="Z964">
        <f t="shared" si="45"/>
        <v>0</v>
      </c>
      <c r="AA964">
        <f t="shared" si="46"/>
        <v>9</v>
      </c>
      <c r="AB964">
        <f t="shared" si="47"/>
        <v>1</v>
      </c>
    </row>
    <row r="965" spans="1:28">
      <c r="A965" s="314" t="s">
        <v>3469</v>
      </c>
      <c r="B965" s="314"/>
      <c r="C965" s="314">
        <v>19889229769</v>
      </c>
      <c r="D965" s="314" t="s">
        <v>285</v>
      </c>
      <c r="E965" s="314" t="s">
        <v>104</v>
      </c>
      <c r="F965" s="314" t="s">
        <v>118</v>
      </c>
      <c r="G965" s="314" t="s">
        <v>108</v>
      </c>
      <c r="H965" s="314" t="s">
        <v>119</v>
      </c>
      <c r="I965" s="314" t="s">
        <v>108</v>
      </c>
      <c r="J965" s="314" t="s">
        <v>109</v>
      </c>
      <c r="K965" s="314">
        <v>0</v>
      </c>
      <c r="L965" s="314">
        <v>0</v>
      </c>
      <c r="M965" s="315">
        <v>45145.4081134259</v>
      </c>
      <c r="N965" s="314" t="s">
        <v>3470</v>
      </c>
      <c r="O965" s="314" t="s">
        <v>3471</v>
      </c>
      <c r="P965" s="314" t="s">
        <v>161</v>
      </c>
      <c r="Q965" s="314" t="s">
        <v>123</v>
      </c>
      <c r="R965" s="315">
        <v>45145.6519791667</v>
      </c>
      <c r="S965" s="314" t="s">
        <v>3470</v>
      </c>
      <c r="T965" s="314" t="s">
        <v>3472</v>
      </c>
      <c r="U965" s="314" t="s">
        <v>3472</v>
      </c>
      <c r="V965" s="314" t="s">
        <v>114</v>
      </c>
      <c r="W965" s="314"/>
      <c r="X965" s="314" t="str">
        <f>VLOOKUP(D965,代理总表!A:D,3,0)</f>
        <v>雨燕直播</v>
      </c>
      <c r="Y965" t="str">
        <f>VLOOKUP(D:D,代理总表!A:D,4,FALSE)</f>
        <v>雨燕直播zzzb888</v>
      </c>
      <c r="Z965">
        <f t="shared" si="45"/>
        <v>0</v>
      </c>
      <c r="AA965">
        <f t="shared" si="46"/>
        <v>9</v>
      </c>
      <c r="AB965">
        <f t="shared" si="47"/>
        <v>1</v>
      </c>
    </row>
    <row r="966" spans="1:28">
      <c r="A966" s="314" t="s">
        <v>3473</v>
      </c>
      <c r="B966" s="314" t="s">
        <v>3474</v>
      </c>
      <c r="C966" s="314">
        <v>886165868</v>
      </c>
      <c r="D966" s="314" t="s">
        <v>224</v>
      </c>
      <c r="E966" s="314" t="s">
        <v>117</v>
      </c>
      <c r="F966" s="314" t="s">
        <v>144</v>
      </c>
      <c r="G966" s="314" t="s">
        <v>106</v>
      </c>
      <c r="H966" s="314" t="s">
        <v>107</v>
      </c>
      <c r="I966" s="314" t="s">
        <v>108</v>
      </c>
      <c r="J966" s="314" t="s">
        <v>120</v>
      </c>
      <c r="K966" s="314">
        <v>100000</v>
      </c>
      <c r="L966" s="314">
        <v>500000</v>
      </c>
      <c r="M966" s="315">
        <v>45145.4079166667</v>
      </c>
      <c r="N966" s="314" t="s">
        <v>3475</v>
      </c>
      <c r="O966" s="314" t="s">
        <v>226</v>
      </c>
      <c r="P966" s="314" t="s">
        <v>112</v>
      </c>
      <c r="Q966" s="315">
        <v>45145.4107986111</v>
      </c>
      <c r="R966" s="315">
        <v>45145.5144212963</v>
      </c>
      <c r="S966" s="314" t="s">
        <v>3476</v>
      </c>
      <c r="T966" s="314" t="s">
        <v>907</v>
      </c>
      <c r="U966" s="314" t="s">
        <v>216</v>
      </c>
      <c r="V966" s="314" t="s">
        <v>114</v>
      </c>
      <c r="W966" s="314"/>
      <c r="X966" s="314" t="str">
        <f>VLOOKUP(D966,代理总表!A:D,3,0)</f>
        <v>雨燕直播-越</v>
      </c>
      <c r="Y966" t="str">
        <f>VLOOKUP(D:D,代理总表!A:D,4,FALSE)</f>
        <v>雨燕直播-越ffvn66</v>
      </c>
      <c r="Z966">
        <f t="shared" si="45"/>
        <v>1</v>
      </c>
      <c r="AA966">
        <f t="shared" si="46"/>
        <v>9</v>
      </c>
      <c r="AB966">
        <f t="shared" si="47"/>
        <v>1</v>
      </c>
    </row>
    <row r="967" spans="1:28">
      <c r="A967" s="314" t="s">
        <v>3477</v>
      </c>
      <c r="B967" s="314"/>
      <c r="C967" s="314"/>
      <c r="D967" s="314" t="s">
        <v>240</v>
      </c>
      <c r="E967" s="314" t="s">
        <v>104</v>
      </c>
      <c r="F967" s="314" t="s">
        <v>149</v>
      </c>
      <c r="G967" s="314" t="s">
        <v>108</v>
      </c>
      <c r="H967" s="314" t="s">
        <v>119</v>
      </c>
      <c r="I967" s="314" t="s">
        <v>108</v>
      </c>
      <c r="J967" s="314" t="s">
        <v>109</v>
      </c>
      <c r="K967" s="314">
        <v>0</v>
      </c>
      <c r="L967" s="314">
        <v>0</v>
      </c>
      <c r="M967" s="315">
        <v>45145.4069791667</v>
      </c>
      <c r="N967" s="314" t="s">
        <v>2557</v>
      </c>
      <c r="O967" s="314" t="s">
        <v>242</v>
      </c>
      <c r="P967" s="314" t="s">
        <v>112</v>
      </c>
      <c r="Q967" s="314" t="s">
        <v>123</v>
      </c>
      <c r="R967" s="315">
        <v>45145.4232407407</v>
      </c>
      <c r="S967" s="314" t="s">
        <v>2557</v>
      </c>
      <c r="T967" s="314" t="s">
        <v>2558</v>
      </c>
      <c r="U967" s="314" t="s">
        <v>2558</v>
      </c>
      <c r="V967" s="314" t="s">
        <v>114</v>
      </c>
      <c r="W967" s="314"/>
      <c r="X967" s="314" t="str">
        <f>VLOOKUP(D967,代理总表!A:D,3,0)</f>
        <v>SEO邀请</v>
      </c>
      <c r="Y967" t="str">
        <f>VLOOKUP(D:D,代理总表!A:D,4,FALSE)</f>
        <v>SEO</v>
      </c>
      <c r="Z967">
        <f t="shared" si="45"/>
        <v>0</v>
      </c>
      <c r="AA967">
        <f t="shared" si="46"/>
        <v>9</v>
      </c>
      <c r="AB967">
        <f t="shared" si="47"/>
        <v>1</v>
      </c>
    </row>
    <row r="968" spans="1:28">
      <c r="A968" s="314" t="s">
        <v>3478</v>
      </c>
      <c r="B968" s="314"/>
      <c r="C968" s="314">
        <v>16603184111</v>
      </c>
      <c r="D968" s="314" t="s">
        <v>205</v>
      </c>
      <c r="E968" s="314" t="s">
        <v>104</v>
      </c>
      <c r="F968" s="314" t="s">
        <v>149</v>
      </c>
      <c r="G968" s="314" t="s">
        <v>108</v>
      </c>
      <c r="H968" s="314" t="s">
        <v>119</v>
      </c>
      <c r="I968" s="314" t="s">
        <v>108</v>
      </c>
      <c r="J968" s="314" t="s">
        <v>109</v>
      </c>
      <c r="K968" s="314">
        <v>0</v>
      </c>
      <c r="L968" s="314">
        <v>0</v>
      </c>
      <c r="M968" s="315">
        <v>45145.4063541667</v>
      </c>
      <c r="N968" s="314" t="s">
        <v>3479</v>
      </c>
      <c r="O968" s="314" t="s">
        <v>207</v>
      </c>
      <c r="P968" s="314" t="s">
        <v>161</v>
      </c>
      <c r="Q968" s="314" t="s">
        <v>123</v>
      </c>
      <c r="R968" s="315">
        <v>45145.4063541667</v>
      </c>
      <c r="S968" s="314" t="s">
        <v>3479</v>
      </c>
      <c r="T968" s="314" t="s">
        <v>3480</v>
      </c>
      <c r="U968" s="314" t="s">
        <v>3480</v>
      </c>
      <c r="V968" s="314" t="s">
        <v>114</v>
      </c>
      <c r="W968" s="314"/>
      <c r="X968" s="314" t="str">
        <f>VLOOKUP(D968,代理总表!A:D,3,0)</f>
        <v>ben</v>
      </c>
      <c r="Y968" t="str">
        <f>VLOOKUP(D:D,代理总表!A:D,4,FALSE)</f>
        <v>SEO</v>
      </c>
      <c r="Z968">
        <f t="shared" si="45"/>
        <v>0</v>
      </c>
      <c r="AA968">
        <f t="shared" si="46"/>
        <v>9</v>
      </c>
      <c r="AB968">
        <f t="shared" si="47"/>
        <v>1</v>
      </c>
    </row>
    <row r="969" spans="1:28">
      <c r="A969" s="314" t="s">
        <v>3481</v>
      </c>
      <c r="B969" s="314" t="s">
        <v>3482</v>
      </c>
      <c r="C969" s="314">
        <v>853880555</v>
      </c>
      <c r="D969" s="314" t="s">
        <v>651</v>
      </c>
      <c r="E969" s="314" t="s">
        <v>117</v>
      </c>
      <c r="F969" s="314" t="s">
        <v>118</v>
      </c>
      <c r="G969" s="314" t="s">
        <v>108</v>
      </c>
      <c r="H969" s="314" t="s">
        <v>119</v>
      </c>
      <c r="I969" s="314" t="s">
        <v>108</v>
      </c>
      <c r="J969" s="314" t="s">
        <v>120</v>
      </c>
      <c r="K969" s="314">
        <v>0</v>
      </c>
      <c r="L969" s="314">
        <v>0</v>
      </c>
      <c r="M969" s="315">
        <v>45145.4052893519</v>
      </c>
      <c r="N969" s="314" t="s">
        <v>3483</v>
      </c>
      <c r="O969" s="314" t="s">
        <v>653</v>
      </c>
      <c r="P969" s="314" t="s">
        <v>161</v>
      </c>
      <c r="Q969" s="314" t="s">
        <v>123</v>
      </c>
      <c r="R969" s="315">
        <v>45145.6308564815</v>
      </c>
      <c r="S969" s="314" t="s">
        <v>3483</v>
      </c>
      <c r="T969" s="314" t="s">
        <v>128</v>
      </c>
      <c r="U969" s="314" t="s">
        <v>128</v>
      </c>
      <c r="V969" s="314" t="s">
        <v>114</v>
      </c>
      <c r="W969" s="314"/>
      <c r="X969" s="314" t="str">
        <f>VLOOKUP(D969,代理总表!A:D,3,0)</f>
        <v>雨燕直播-越</v>
      </c>
      <c r="Y969" t="str">
        <f>VLOOKUP(D:D,代理总表!A:D,4,FALSE)</f>
        <v>雨燕直播-越ffvn66</v>
      </c>
      <c r="Z969">
        <f t="shared" si="45"/>
        <v>0</v>
      </c>
      <c r="AA969">
        <f t="shared" si="46"/>
        <v>9</v>
      </c>
      <c r="AB969">
        <f t="shared" si="47"/>
        <v>1</v>
      </c>
    </row>
    <row r="970" spans="1:28">
      <c r="A970" s="314" t="s">
        <v>3484</v>
      </c>
      <c r="B970" s="314" t="s">
        <v>3485</v>
      </c>
      <c r="C970" s="314">
        <v>902274203</v>
      </c>
      <c r="D970" s="314" t="s">
        <v>143</v>
      </c>
      <c r="E970" s="314" t="s">
        <v>117</v>
      </c>
      <c r="F970" s="314" t="s">
        <v>144</v>
      </c>
      <c r="G970" s="314" t="s">
        <v>106</v>
      </c>
      <c r="H970" s="314" t="s">
        <v>107</v>
      </c>
      <c r="I970" s="314" t="s">
        <v>108</v>
      </c>
      <c r="J970" s="314" t="s">
        <v>120</v>
      </c>
      <c r="K970" s="314">
        <v>82130</v>
      </c>
      <c r="L970" s="314">
        <v>100000</v>
      </c>
      <c r="M970" s="315">
        <v>45145.3993634259</v>
      </c>
      <c r="N970" s="314" t="s">
        <v>3486</v>
      </c>
      <c r="O970" s="314" t="s">
        <v>502</v>
      </c>
      <c r="P970" s="314" t="s">
        <v>339</v>
      </c>
      <c r="Q970" s="315">
        <v>45145.4328819444</v>
      </c>
      <c r="R970" s="315">
        <v>45145.7319328704</v>
      </c>
      <c r="S970" s="314" t="s">
        <v>3486</v>
      </c>
      <c r="T970" s="314" t="s">
        <v>124</v>
      </c>
      <c r="U970" s="314" t="s">
        <v>124</v>
      </c>
      <c r="V970" s="314" t="s">
        <v>114</v>
      </c>
      <c r="W970" s="314"/>
      <c r="X970" s="314" t="str">
        <f>VLOOKUP(D970,代理总表!A:D,3,0)</f>
        <v>雨燕直播-越</v>
      </c>
      <c r="Y970" t="str">
        <f>VLOOKUP(D:D,代理总表!A:D,4,FALSE)</f>
        <v>雨燕直播-越ffvn66</v>
      </c>
      <c r="Z970">
        <f t="shared" si="45"/>
        <v>1</v>
      </c>
      <c r="AA970">
        <f t="shared" si="46"/>
        <v>9</v>
      </c>
      <c r="AB970">
        <f t="shared" si="47"/>
        <v>1</v>
      </c>
    </row>
    <row r="971" spans="1:28">
      <c r="A971" s="314" t="s">
        <v>3487</v>
      </c>
      <c r="B971" s="314"/>
      <c r="C971" s="314">
        <v>15369993517</v>
      </c>
      <c r="D971" s="314" t="s">
        <v>148</v>
      </c>
      <c r="E971" s="314" t="s">
        <v>104</v>
      </c>
      <c r="F971" s="314" t="s">
        <v>149</v>
      </c>
      <c r="G971" s="314" t="s">
        <v>108</v>
      </c>
      <c r="H971" s="314" t="s">
        <v>119</v>
      </c>
      <c r="I971" s="314" t="s">
        <v>108</v>
      </c>
      <c r="J971" s="314" t="s">
        <v>109</v>
      </c>
      <c r="K971" s="314">
        <v>0</v>
      </c>
      <c r="L971" s="314">
        <v>0</v>
      </c>
      <c r="M971" s="315">
        <v>45145.3991666667</v>
      </c>
      <c r="N971" s="314" t="s">
        <v>3488</v>
      </c>
      <c r="O971" s="314" t="s">
        <v>585</v>
      </c>
      <c r="P971" s="314" t="s">
        <v>112</v>
      </c>
      <c r="Q971" s="314" t="s">
        <v>123</v>
      </c>
      <c r="R971" s="315">
        <v>45145.3991666667</v>
      </c>
      <c r="S971" s="314" t="s">
        <v>3488</v>
      </c>
      <c r="T971" s="314" t="s">
        <v>1735</v>
      </c>
      <c r="U971" s="314" t="s">
        <v>1735</v>
      </c>
      <c r="V971" s="314" t="s">
        <v>114</v>
      </c>
      <c r="W971" s="314"/>
      <c r="X971" s="314" t="str">
        <f>VLOOKUP(D971,代理总表!A:D,3,0)</f>
        <v>martin</v>
      </c>
      <c r="Y971" t="str">
        <f>VLOOKUP(D:D,代理总表!A:D,4,FALSE)</f>
        <v>SEO</v>
      </c>
      <c r="Z971">
        <f t="shared" si="45"/>
        <v>0</v>
      </c>
      <c r="AA971">
        <f t="shared" si="46"/>
        <v>9</v>
      </c>
      <c r="AB971">
        <f t="shared" si="47"/>
        <v>1</v>
      </c>
    </row>
    <row r="972" spans="1:28">
      <c r="A972" s="314" t="s">
        <v>3489</v>
      </c>
      <c r="B972" s="314"/>
      <c r="C972" s="314">
        <v>13038631549</v>
      </c>
      <c r="D972" s="314" t="s">
        <v>594</v>
      </c>
      <c r="E972" s="314" t="s">
        <v>104</v>
      </c>
      <c r="F972" s="314" t="s">
        <v>149</v>
      </c>
      <c r="G972" s="314" t="s">
        <v>108</v>
      </c>
      <c r="H972" s="314" t="s">
        <v>119</v>
      </c>
      <c r="I972" s="314" t="s">
        <v>108</v>
      </c>
      <c r="J972" s="314" t="s">
        <v>109</v>
      </c>
      <c r="K972" s="314">
        <v>0</v>
      </c>
      <c r="L972" s="314">
        <v>0</v>
      </c>
      <c r="M972" s="315">
        <v>45145.3960300926</v>
      </c>
      <c r="N972" s="314" t="s">
        <v>3490</v>
      </c>
      <c r="O972" s="314" t="s">
        <v>988</v>
      </c>
      <c r="P972" s="314" t="s">
        <v>161</v>
      </c>
      <c r="Q972" s="314" t="s">
        <v>123</v>
      </c>
      <c r="R972" s="315">
        <v>45145.4000578704</v>
      </c>
      <c r="S972" s="314" t="s">
        <v>3490</v>
      </c>
      <c r="T972" s="314" t="s">
        <v>808</v>
      </c>
      <c r="U972" s="314" t="s">
        <v>808</v>
      </c>
      <c r="V972" s="314" t="s">
        <v>114</v>
      </c>
      <c r="W972" s="314"/>
      <c r="X972" s="314" t="str">
        <f>VLOOKUP(D972,代理总表!A:D,3,0)</f>
        <v>zed</v>
      </c>
      <c r="Y972" t="str">
        <f>VLOOKUP(D:D,代理总表!A:D,4,FALSE)</f>
        <v>SEO</v>
      </c>
      <c r="Z972">
        <f t="shared" si="45"/>
        <v>0</v>
      </c>
      <c r="AA972">
        <f t="shared" si="46"/>
        <v>9</v>
      </c>
      <c r="AB972">
        <f t="shared" si="47"/>
        <v>1</v>
      </c>
    </row>
    <row r="973" spans="1:28">
      <c r="A973" s="314" t="s">
        <v>3491</v>
      </c>
      <c r="B973" s="314"/>
      <c r="C973" s="314">
        <v>908356455</v>
      </c>
      <c r="D973" s="314" t="s">
        <v>103</v>
      </c>
      <c r="E973" s="314" t="s">
        <v>117</v>
      </c>
      <c r="F973" s="314" t="s">
        <v>118</v>
      </c>
      <c r="G973" s="314" t="s">
        <v>108</v>
      </c>
      <c r="H973" s="314" t="s">
        <v>119</v>
      </c>
      <c r="I973" s="314" t="s">
        <v>108</v>
      </c>
      <c r="J973" s="314" t="s">
        <v>120</v>
      </c>
      <c r="K973" s="314">
        <v>0</v>
      </c>
      <c r="L973" s="314">
        <v>0</v>
      </c>
      <c r="M973" s="315">
        <v>45145.3957407407</v>
      </c>
      <c r="N973" s="314" t="s">
        <v>3492</v>
      </c>
      <c r="O973" s="314" t="s">
        <v>2917</v>
      </c>
      <c r="P973" s="314" t="s">
        <v>161</v>
      </c>
      <c r="Q973" s="314" t="s">
        <v>123</v>
      </c>
      <c r="R973" s="315">
        <v>45145.9167013889</v>
      </c>
      <c r="S973" s="314" t="s">
        <v>3493</v>
      </c>
      <c r="T973" s="314" t="s">
        <v>177</v>
      </c>
      <c r="U973" s="314" t="s">
        <v>165</v>
      </c>
      <c r="V973" s="314" t="s">
        <v>114</v>
      </c>
      <c r="W973" s="314"/>
      <c r="X973" s="314" t="str">
        <f>VLOOKUP(D973,代理总表!A:D,3,0)</f>
        <v>官网</v>
      </c>
      <c r="Y973" t="str">
        <f>VLOOKUP(D:D,代理总表!A:D,4,FALSE)</f>
        <v>官网</v>
      </c>
      <c r="Z973">
        <f t="shared" si="45"/>
        <v>0</v>
      </c>
      <c r="AA973">
        <f t="shared" si="46"/>
        <v>9</v>
      </c>
      <c r="AB973">
        <f t="shared" si="47"/>
        <v>1</v>
      </c>
    </row>
    <row r="974" spans="1:28">
      <c r="A974" s="314" t="s">
        <v>3494</v>
      </c>
      <c r="B974" s="314"/>
      <c r="C974" s="314"/>
      <c r="D974" s="314" t="s">
        <v>394</v>
      </c>
      <c r="E974" s="314" t="s">
        <v>117</v>
      </c>
      <c r="F974" s="314" t="s">
        <v>118</v>
      </c>
      <c r="G974" s="314" t="s">
        <v>108</v>
      </c>
      <c r="H974" s="314" t="s">
        <v>119</v>
      </c>
      <c r="I974" s="314" t="s">
        <v>108</v>
      </c>
      <c r="J974" s="314" t="s">
        <v>120</v>
      </c>
      <c r="K974" s="314">
        <v>0</v>
      </c>
      <c r="L974" s="314">
        <v>0</v>
      </c>
      <c r="M974" s="315">
        <v>45145.3954050926</v>
      </c>
      <c r="N974" s="314" t="s">
        <v>3495</v>
      </c>
      <c r="O974" s="314" t="s">
        <v>396</v>
      </c>
      <c r="P974" s="314" t="s">
        <v>112</v>
      </c>
      <c r="Q974" s="314" t="s">
        <v>123</v>
      </c>
      <c r="R974" s="315">
        <v>45145.3957060185</v>
      </c>
      <c r="S974" s="314" t="s">
        <v>3495</v>
      </c>
      <c r="T974" s="314" t="s">
        <v>131</v>
      </c>
      <c r="U974" s="314" t="s">
        <v>131</v>
      </c>
      <c r="V974" s="314" t="s">
        <v>114</v>
      </c>
      <c r="W974" s="314"/>
      <c r="X974" s="314" t="str">
        <f>VLOOKUP(D974,代理总表!A:D,3,0)</f>
        <v>外部代理总线</v>
      </c>
      <c r="Y974" t="str">
        <f>VLOOKUP(D:D,代理总表!A:D,4,FALSE)</f>
        <v>外部代理总线zh0808</v>
      </c>
      <c r="Z974">
        <f t="shared" si="45"/>
        <v>0</v>
      </c>
      <c r="AA974">
        <f t="shared" si="46"/>
        <v>9</v>
      </c>
      <c r="AB974">
        <f t="shared" si="47"/>
        <v>1</v>
      </c>
    </row>
    <row r="975" spans="1:28">
      <c r="A975" s="314" t="s">
        <v>3496</v>
      </c>
      <c r="B975" s="314"/>
      <c r="C975" s="314">
        <v>13901233431</v>
      </c>
      <c r="D975" s="314" t="s">
        <v>805</v>
      </c>
      <c r="E975" s="314" t="s">
        <v>104</v>
      </c>
      <c r="F975" s="314" t="s">
        <v>118</v>
      </c>
      <c r="G975" s="314" t="s">
        <v>108</v>
      </c>
      <c r="H975" s="314" t="s">
        <v>119</v>
      </c>
      <c r="I975" s="314" t="s">
        <v>108</v>
      </c>
      <c r="J975" s="314" t="s">
        <v>109</v>
      </c>
      <c r="K975" s="314">
        <v>0</v>
      </c>
      <c r="L975" s="314">
        <v>0</v>
      </c>
      <c r="M975" s="315">
        <v>45145.3935532407</v>
      </c>
      <c r="N975" s="314" t="s">
        <v>3497</v>
      </c>
      <c r="O975" s="314" t="s">
        <v>992</v>
      </c>
      <c r="P975" s="314" t="s">
        <v>112</v>
      </c>
      <c r="Q975" s="314" t="s">
        <v>123</v>
      </c>
      <c r="R975" s="315">
        <v>45145.3974652778</v>
      </c>
      <c r="S975" s="314" t="s">
        <v>3497</v>
      </c>
      <c r="T975" s="314" t="s">
        <v>1013</v>
      </c>
      <c r="U975" s="314" t="s">
        <v>1013</v>
      </c>
      <c r="V975" s="314" t="s">
        <v>114</v>
      </c>
      <c r="W975" s="314"/>
      <c r="X975" s="314" t="str">
        <f>VLOOKUP(D975,代理总表!A:D,3,0)</f>
        <v>飞哥雨燕直播</v>
      </c>
      <c r="Y975" t="str">
        <f>VLOOKUP(D:D,代理总表!A:D,4,FALSE)</f>
        <v>飞哥雨燕直播ffmk88</v>
      </c>
      <c r="Z975">
        <f t="shared" si="45"/>
        <v>0</v>
      </c>
      <c r="AA975">
        <f t="shared" si="46"/>
        <v>9</v>
      </c>
      <c r="AB975">
        <f t="shared" si="47"/>
        <v>1</v>
      </c>
    </row>
    <row r="976" spans="1:28">
      <c r="A976" s="314" t="s">
        <v>3498</v>
      </c>
      <c r="B976" s="314" t="s">
        <v>3499</v>
      </c>
      <c r="C976" s="314">
        <v>974373646</v>
      </c>
      <c r="D976" s="314" t="s">
        <v>116</v>
      </c>
      <c r="E976" s="314" t="s">
        <v>117</v>
      </c>
      <c r="F976" s="314" t="s">
        <v>118</v>
      </c>
      <c r="G976" s="314" t="s">
        <v>108</v>
      </c>
      <c r="H976" s="314" t="s">
        <v>119</v>
      </c>
      <c r="I976" s="314" t="s">
        <v>108</v>
      </c>
      <c r="J976" s="314" t="s">
        <v>120</v>
      </c>
      <c r="K976" s="314">
        <v>0</v>
      </c>
      <c r="L976" s="314">
        <v>0</v>
      </c>
      <c r="M976" s="315">
        <v>45145.3934143518</v>
      </c>
      <c r="N976" s="314" t="s">
        <v>3500</v>
      </c>
      <c r="O976" s="314" t="s">
        <v>122</v>
      </c>
      <c r="P976" s="314" t="s">
        <v>112</v>
      </c>
      <c r="Q976" s="314" t="s">
        <v>123</v>
      </c>
      <c r="R976" s="315">
        <v>45145.482037037</v>
      </c>
      <c r="S976" s="314" t="s">
        <v>3500</v>
      </c>
      <c r="T976" s="314" t="s">
        <v>131</v>
      </c>
      <c r="U976" s="314" t="s">
        <v>131</v>
      </c>
      <c r="V976" s="314" t="s">
        <v>114</v>
      </c>
      <c r="W976" s="314"/>
      <c r="X976" s="314" t="str">
        <f>VLOOKUP(D976,代理总表!A:D,3,0)</f>
        <v>外部代理总线</v>
      </c>
      <c r="Y976" t="str">
        <f>VLOOKUP(D:D,代理总表!A:D,4,FALSE)</f>
        <v>外部代理总线zh0808</v>
      </c>
      <c r="Z976">
        <f t="shared" si="45"/>
        <v>0</v>
      </c>
      <c r="AA976">
        <f t="shared" si="46"/>
        <v>9</v>
      </c>
      <c r="AB976">
        <f t="shared" si="47"/>
        <v>1</v>
      </c>
    </row>
    <row r="977" spans="1:28">
      <c r="A977" s="314" t="s">
        <v>3501</v>
      </c>
      <c r="B977" s="314"/>
      <c r="C977" s="314"/>
      <c r="D977" s="314" t="s">
        <v>116</v>
      </c>
      <c r="E977" s="314" t="s">
        <v>117</v>
      </c>
      <c r="F977" s="314" t="s">
        <v>118</v>
      </c>
      <c r="G977" s="314" t="s">
        <v>108</v>
      </c>
      <c r="H977" s="314" t="s">
        <v>119</v>
      </c>
      <c r="I977" s="314" t="s">
        <v>108</v>
      </c>
      <c r="J977" s="314" t="s">
        <v>120</v>
      </c>
      <c r="K977" s="314">
        <v>0</v>
      </c>
      <c r="L977" s="314">
        <v>0</v>
      </c>
      <c r="M977" s="315">
        <v>45145.3924189815</v>
      </c>
      <c r="N977" s="314" t="s">
        <v>3502</v>
      </c>
      <c r="O977" s="314" t="s">
        <v>122</v>
      </c>
      <c r="P977" s="314" t="s">
        <v>208</v>
      </c>
      <c r="Q977" s="314" t="s">
        <v>123</v>
      </c>
      <c r="R977" s="315">
        <v>45145.3924189815</v>
      </c>
      <c r="S977" s="314" t="s">
        <v>3502</v>
      </c>
      <c r="T977" s="314" t="s">
        <v>177</v>
      </c>
      <c r="U977" s="314" t="s">
        <v>177</v>
      </c>
      <c r="V977" s="314" t="s">
        <v>114</v>
      </c>
      <c r="W977" s="314"/>
      <c r="X977" s="314" t="str">
        <f>VLOOKUP(D977,代理总表!A:D,3,0)</f>
        <v>外部代理总线</v>
      </c>
      <c r="Y977" t="str">
        <f>VLOOKUP(D:D,代理总表!A:D,4,FALSE)</f>
        <v>外部代理总线zh0808</v>
      </c>
      <c r="Z977">
        <f t="shared" si="45"/>
        <v>0</v>
      </c>
      <c r="AA977">
        <f t="shared" si="46"/>
        <v>9</v>
      </c>
      <c r="AB977">
        <f t="shared" si="47"/>
        <v>1</v>
      </c>
    </row>
    <row r="978" spans="1:28">
      <c r="A978" s="314" t="s">
        <v>3503</v>
      </c>
      <c r="B978" s="314"/>
      <c r="C978" s="314">
        <v>17856653921</v>
      </c>
      <c r="D978" s="314" t="s">
        <v>205</v>
      </c>
      <c r="E978" s="314" t="s">
        <v>104</v>
      </c>
      <c r="F978" s="314" t="s">
        <v>149</v>
      </c>
      <c r="G978" s="314" t="s">
        <v>108</v>
      </c>
      <c r="H978" s="314" t="s">
        <v>119</v>
      </c>
      <c r="I978" s="314" t="s">
        <v>108</v>
      </c>
      <c r="J978" s="314" t="s">
        <v>109</v>
      </c>
      <c r="K978" s="314">
        <v>0</v>
      </c>
      <c r="L978" s="314">
        <v>0</v>
      </c>
      <c r="M978" s="315">
        <v>45145.3903472222</v>
      </c>
      <c r="N978" s="314" t="s">
        <v>3504</v>
      </c>
      <c r="O978" s="314" t="s">
        <v>3505</v>
      </c>
      <c r="P978" s="314" t="s">
        <v>112</v>
      </c>
      <c r="Q978" s="314" t="s">
        <v>123</v>
      </c>
      <c r="R978" s="315">
        <v>45145.3903356481</v>
      </c>
      <c r="S978" s="314" t="s">
        <v>3504</v>
      </c>
      <c r="T978" s="314" t="s">
        <v>3506</v>
      </c>
      <c r="U978" s="314" t="s">
        <v>3506</v>
      </c>
      <c r="V978" s="314" t="s">
        <v>114</v>
      </c>
      <c r="W978" s="314"/>
      <c r="X978" s="314" t="str">
        <f>VLOOKUP(D978,代理总表!A:D,3,0)</f>
        <v>ben</v>
      </c>
      <c r="Y978" t="str">
        <f>VLOOKUP(D:D,代理总表!A:D,4,FALSE)</f>
        <v>SEO</v>
      </c>
      <c r="Z978">
        <f t="shared" si="45"/>
        <v>0</v>
      </c>
      <c r="AA978">
        <f t="shared" si="46"/>
        <v>9</v>
      </c>
      <c r="AB978">
        <f t="shared" si="47"/>
        <v>1</v>
      </c>
    </row>
    <row r="979" spans="1:28">
      <c r="A979" s="314" t="s">
        <v>3507</v>
      </c>
      <c r="B979" s="314" t="s">
        <v>3508</v>
      </c>
      <c r="C979" s="314">
        <v>867817518</v>
      </c>
      <c r="D979" s="314" t="s">
        <v>685</v>
      </c>
      <c r="E979" s="314" t="s">
        <v>117</v>
      </c>
      <c r="F979" s="314" t="s">
        <v>118</v>
      </c>
      <c r="G979" s="314" t="s">
        <v>108</v>
      </c>
      <c r="H979" s="314" t="s">
        <v>119</v>
      </c>
      <c r="I979" s="314" t="s">
        <v>108</v>
      </c>
      <c r="J979" s="314" t="s">
        <v>120</v>
      </c>
      <c r="K979" s="314">
        <v>0</v>
      </c>
      <c r="L979" s="314">
        <v>0</v>
      </c>
      <c r="M979" s="315">
        <v>45145.3902662037</v>
      </c>
      <c r="N979" s="314" t="s">
        <v>3509</v>
      </c>
      <c r="O979" s="314" t="s">
        <v>950</v>
      </c>
      <c r="P979" s="314" t="s">
        <v>112</v>
      </c>
      <c r="Q979" s="314" t="s">
        <v>123</v>
      </c>
      <c r="R979" s="315">
        <v>45145.4011111111</v>
      </c>
      <c r="S979" s="314" t="s">
        <v>3509</v>
      </c>
      <c r="T979" s="314" t="s">
        <v>124</v>
      </c>
      <c r="U979" s="314" t="s">
        <v>124</v>
      </c>
      <c r="V979" s="314" t="s">
        <v>114</v>
      </c>
      <c r="W979" s="314"/>
      <c r="X979" s="314" t="e">
        <f>VLOOKUP(D979,代理总表!A:D,3,0)</f>
        <v>#N/A</v>
      </c>
      <c r="Y979" t="e">
        <f>VLOOKUP(D:D,代理总表!A:D,4,FALSE)</f>
        <v>#N/A</v>
      </c>
      <c r="Z979">
        <f t="shared" si="45"/>
        <v>0</v>
      </c>
      <c r="AA979">
        <f t="shared" si="46"/>
        <v>9</v>
      </c>
      <c r="AB979">
        <f t="shared" si="47"/>
        <v>1</v>
      </c>
    </row>
    <row r="980" spans="1:28">
      <c r="A980" s="314" t="s">
        <v>3510</v>
      </c>
      <c r="B980" s="314"/>
      <c r="C980" s="314"/>
      <c r="D980" s="314" t="s">
        <v>116</v>
      </c>
      <c r="E980" s="314" t="s">
        <v>117</v>
      </c>
      <c r="F980" s="314" t="s">
        <v>118</v>
      </c>
      <c r="G980" s="314" t="s">
        <v>108</v>
      </c>
      <c r="H980" s="314" t="s">
        <v>119</v>
      </c>
      <c r="I980" s="314" t="s">
        <v>108</v>
      </c>
      <c r="J980" s="314" t="s">
        <v>120</v>
      </c>
      <c r="K980" s="314">
        <v>0</v>
      </c>
      <c r="L980" s="314">
        <v>0</v>
      </c>
      <c r="M980" s="315">
        <v>45145.3900231481</v>
      </c>
      <c r="N980" s="314" t="s">
        <v>3500</v>
      </c>
      <c r="O980" s="314" t="s">
        <v>122</v>
      </c>
      <c r="P980" s="314" t="s">
        <v>112</v>
      </c>
      <c r="Q980" s="314" t="s">
        <v>123</v>
      </c>
      <c r="R980" s="315">
        <v>45145.4813541667</v>
      </c>
      <c r="S980" s="314" t="s">
        <v>3511</v>
      </c>
      <c r="T980" s="314" t="s">
        <v>131</v>
      </c>
      <c r="U980" s="314" t="s">
        <v>216</v>
      </c>
      <c r="V980" s="314" t="s">
        <v>114</v>
      </c>
      <c r="W980" s="314"/>
      <c r="X980" s="314" t="str">
        <f>VLOOKUP(D980,代理总表!A:D,3,0)</f>
        <v>外部代理总线</v>
      </c>
      <c r="Y980" t="str">
        <f>VLOOKUP(D:D,代理总表!A:D,4,FALSE)</f>
        <v>外部代理总线zh0808</v>
      </c>
      <c r="Z980">
        <f t="shared" si="45"/>
        <v>0</v>
      </c>
      <c r="AA980">
        <f t="shared" si="46"/>
        <v>9</v>
      </c>
      <c r="AB980">
        <f t="shared" si="47"/>
        <v>1</v>
      </c>
    </row>
    <row r="981" spans="1:28">
      <c r="A981" s="314" t="s">
        <v>3512</v>
      </c>
      <c r="B981" s="314" t="s">
        <v>3513</v>
      </c>
      <c r="C981" s="314">
        <v>18699123579</v>
      </c>
      <c r="D981" s="314" t="s">
        <v>148</v>
      </c>
      <c r="E981" s="314" t="s">
        <v>104</v>
      </c>
      <c r="F981" s="314" t="s">
        <v>149</v>
      </c>
      <c r="G981" s="314" t="s">
        <v>108</v>
      </c>
      <c r="H981" s="314" t="s">
        <v>119</v>
      </c>
      <c r="I981" s="314" t="s">
        <v>108</v>
      </c>
      <c r="J981" s="314" t="s">
        <v>109</v>
      </c>
      <c r="K981" s="314">
        <v>0</v>
      </c>
      <c r="L981" s="314">
        <v>0</v>
      </c>
      <c r="M981" s="315">
        <v>45145.3897800926</v>
      </c>
      <c r="N981" s="314" t="s">
        <v>3514</v>
      </c>
      <c r="O981" s="314" t="s">
        <v>160</v>
      </c>
      <c r="P981" s="314" t="s">
        <v>161</v>
      </c>
      <c r="Q981" s="314" t="s">
        <v>123</v>
      </c>
      <c r="R981" s="315">
        <v>45145.3897800926</v>
      </c>
      <c r="S981" s="314" t="s">
        <v>3514</v>
      </c>
      <c r="T981" s="314" t="s">
        <v>3515</v>
      </c>
      <c r="U981" s="314" t="s">
        <v>3515</v>
      </c>
      <c r="V981" s="314" t="s">
        <v>114</v>
      </c>
      <c r="W981" s="314"/>
      <c r="X981" s="314" t="str">
        <f>VLOOKUP(D981,代理总表!A:D,3,0)</f>
        <v>martin</v>
      </c>
      <c r="Y981" t="str">
        <f>VLOOKUP(D:D,代理总表!A:D,4,FALSE)</f>
        <v>SEO</v>
      </c>
      <c r="Z981">
        <f t="shared" si="45"/>
        <v>0</v>
      </c>
      <c r="AA981">
        <f t="shared" si="46"/>
        <v>9</v>
      </c>
      <c r="AB981">
        <f t="shared" si="47"/>
        <v>1</v>
      </c>
    </row>
    <row r="982" spans="1:28">
      <c r="A982" s="314" t="s">
        <v>3516</v>
      </c>
      <c r="B982" s="314"/>
      <c r="C982" s="314">
        <v>15060301576</v>
      </c>
      <c r="D982" s="314" t="s">
        <v>148</v>
      </c>
      <c r="E982" s="314" t="s">
        <v>104</v>
      </c>
      <c r="F982" s="314" t="s">
        <v>149</v>
      </c>
      <c r="G982" s="314" t="s">
        <v>108</v>
      </c>
      <c r="H982" s="314" t="s">
        <v>119</v>
      </c>
      <c r="I982" s="314" t="s">
        <v>108</v>
      </c>
      <c r="J982" s="314" t="s">
        <v>109</v>
      </c>
      <c r="K982" s="314">
        <v>0</v>
      </c>
      <c r="L982" s="314">
        <v>0</v>
      </c>
      <c r="M982" s="315">
        <v>45145.3890046296</v>
      </c>
      <c r="N982" s="314" t="s">
        <v>3517</v>
      </c>
      <c r="O982" s="314" t="s">
        <v>160</v>
      </c>
      <c r="P982" s="314" t="s">
        <v>208</v>
      </c>
      <c r="Q982" s="314" t="s">
        <v>123</v>
      </c>
      <c r="R982" s="315">
        <v>45145.3890046296</v>
      </c>
      <c r="S982" s="314" t="s">
        <v>3517</v>
      </c>
      <c r="T982" s="314" t="s">
        <v>3518</v>
      </c>
      <c r="U982" s="314" t="s">
        <v>3518</v>
      </c>
      <c r="V982" s="314" t="s">
        <v>114</v>
      </c>
      <c r="W982" s="314"/>
      <c r="X982" s="314" t="str">
        <f>VLOOKUP(D982,代理总表!A:D,3,0)</f>
        <v>martin</v>
      </c>
      <c r="Y982" t="str">
        <f>VLOOKUP(D:D,代理总表!A:D,4,FALSE)</f>
        <v>SEO</v>
      </c>
      <c r="Z982">
        <f t="shared" si="45"/>
        <v>0</v>
      </c>
      <c r="AA982">
        <f t="shared" si="46"/>
        <v>9</v>
      </c>
      <c r="AB982">
        <f t="shared" si="47"/>
        <v>1</v>
      </c>
    </row>
    <row r="983" spans="1:28">
      <c r="A983" s="314" t="s">
        <v>3519</v>
      </c>
      <c r="B983" s="314" t="s">
        <v>3520</v>
      </c>
      <c r="C983" s="314">
        <v>389205810</v>
      </c>
      <c r="D983" s="314" t="s">
        <v>143</v>
      </c>
      <c r="E983" s="314" t="s">
        <v>117</v>
      </c>
      <c r="F983" s="314" t="s">
        <v>144</v>
      </c>
      <c r="G983" s="314" t="s">
        <v>106</v>
      </c>
      <c r="H983" s="314" t="s">
        <v>107</v>
      </c>
      <c r="I983" s="314" t="s">
        <v>108</v>
      </c>
      <c r="J983" s="314" t="s">
        <v>120</v>
      </c>
      <c r="K983" s="314">
        <v>1000000</v>
      </c>
      <c r="L983" s="314">
        <v>0</v>
      </c>
      <c r="M983" s="315">
        <v>45145.3877546296</v>
      </c>
      <c r="N983" s="314" t="s">
        <v>3521</v>
      </c>
      <c r="O983" s="314" t="s">
        <v>407</v>
      </c>
      <c r="P983" s="314" t="s">
        <v>112</v>
      </c>
      <c r="Q983" s="315">
        <v>45145.4084143518</v>
      </c>
      <c r="R983" s="315">
        <v>45146.3615277778</v>
      </c>
      <c r="S983" s="314" t="s">
        <v>3522</v>
      </c>
      <c r="T983" s="314" t="s">
        <v>128</v>
      </c>
      <c r="U983" s="314" t="s">
        <v>998</v>
      </c>
      <c r="V983" s="314" t="s">
        <v>114</v>
      </c>
      <c r="W983" s="314"/>
      <c r="X983" s="314" t="str">
        <f>VLOOKUP(D983,代理总表!A:D,3,0)</f>
        <v>雨燕直播-越</v>
      </c>
      <c r="Y983" t="str">
        <f>VLOOKUP(D:D,代理总表!A:D,4,FALSE)</f>
        <v>雨燕直播-越ffvn66</v>
      </c>
      <c r="Z983">
        <f t="shared" si="45"/>
        <v>1</v>
      </c>
      <c r="AA983">
        <f t="shared" si="46"/>
        <v>9</v>
      </c>
      <c r="AB983">
        <f t="shared" si="47"/>
        <v>1</v>
      </c>
    </row>
    <row r="984" spans="1:28">
      <c r="A984" s="314" t="s">
        <v>3523</v>
      </c>
      <c r="B984" s="314"/>
      <c r="C984" s="314"/>
      <c r="D984" s="314" t="s">
        <v>522</v>
      </c>
      <c r="E984" s="314" t="s">
        <v>117</v>
      </c>
      <c r="F984" s="314" t="s">
        <v>118</v>
      </c>
      <c r="G984" s="314" t="s">
        <v>108</v>
      </c>
      <c r="H984" s="314" t="s">
        <v>119</v>
      </c>
      <c r="I984" s="314" t="s">
        <v>108</v>
      </c>
      <c r="J984" s="314" t="s">
        <v>120</v>
      </c>
      <c r="K984" s="314">
        <v>0</v>
      </c>
      <c r="L984" s="314">
        <v>0</v>
      </c>
      <c r="M984" s="315">
        <v>45145.386724537</v>
      </c>
      <c r="N984" s="314" t="s">
        <v>3524</v>
      </c>
      <c r="O984" s="314" t="s">
        <v>524</v>
      </c>
      <c r="P984" s="314" t="s">
        <v>112</v>
      </c>
      <c r="Q984" s="314" t="s">
        <v>123</v>
      </c>
      <c r="R984" s="315">
        <v>45145.386724537</v>
      </c>
      <c r="S984" s="314" t="s">
        <v>3524</v>
      </c>
      <c r="T984" s="314" t="s">
        <v>2185</v>
      </c>
      <c r="U984" s="314" t="s">
        <v>2185</v>
      </c>
      <c r="V984" s="314" t="s">
        <v>114</v>
      </c>
      <c r="W984" s="314"/>
      <c r="X984" s="314" t="str">
        <f>VLOOKUP(D984,代理总表!A:D,3,0)</f>
        <v>SOCO越南直播</v>
      </c>
      <c r="Y984" t="str">
        <f>VLOOKUP(D:D,代理总表!A:D,4,FALSE)</f>
        <v>SOCO越南直播ffvn66</v>
      </c>
      <c r="Z984">
        <f t="shared" si="45"/>
        <v>0</v>
      </c>
      <c r="AA984">
        <f t="shared" si="46"/>
        <v>9</v>
      </c>
      <c r="AB984">
        <f t="shared" si="47"/>
        <v>1</v>
      </c>
    </row>
    <row r="985" spans="1:28">
      <c r="A985" s="314" t="s">
        <v>3525</v>
      </c>
      <c r="B985" s="314"/>
      <c r="C985" s="314"/>
      <c r="D985" s="314" t="s">
        <v>197</v>
      </c>
      <c r="E985" s="314" t="s">
        <v>117</v>
      </c>
      <c r="F985" s="314" t="s">
        <v>118</v>
      </c>
      <c r="G985" s="314" t="s">
        <v>108</v>
      </c>
      <c r="H985" s="314" t="s">
        <v>119</v>
      </c>
      <c r="I985" s="314" t="s">
        <v>108</v>
      </c>
      <c r="J985" s="314" t="s">
        <v>120</v>
      </c>
      <c r="K985" s="314">
        <v>0</v>
      </c>
      <c r="L985" s="314">
        <v>0</v>
      </c>
      <c r="M985" s="315">
        <v>45145.3865393518</v>
      </c>
      <c r="N985" s="314" t="s">
        <v>3526</v>
      </c>
      <c r="O985" s="314" t="s">
        <v>875</v>
      </c>
      <c r="P985" s="314" t="s">
        <v>112</v>
      </c>
      <c r="Q985" s="314" t="s">
        <v>123</v>
      </c>
      <c r="R985" s="315">
        <v>45145.3879050926</v>
      </c>
      <c r="S985" s="314" t="s">
        <v>3526</v>
      </c>
      <c r="T985" s="314" t="s">
        <v>124</v>
      </c>
      <c r="U985" s="314" t="s">
        <v>124</v>
      </c>
      <c r="V985" s="314" t="s">
        <v>114</v>
      </c>
      <c r="W985" s="314"/>
      <c r="X985" s="314" t="str">
        <f>VLOOKUP(D985,代理总表!A:D,3,0)</f>
        <v>雨燕直播-越</v>
      </c>
      <c r="Y985" t="str">
        <f>VLOOKUP(D:D,代理总表!A:D,4,FALSE)</f>
        <v>雨燕直播-越ffvn66</v>
      </c>
      <c r="Z985">
        <f t="shared" si="45"/>
        <v>0</v>
      </c>
      <c r="AA985">
        <f t="shared" si="46"/>
        <v>9</v>
      </c>
      <c r="AB985">
        <f t="shared" si="47"/>
        <v>1</v>
      </c>
    </row>
    <row r="986" spans="1:28">
      <c r="A986" s="314" t="s">
        <v>3527</v>
      </c>
      <c r="B986" s="314"/>
      <c r="C986" s="314">
        <v>914681456</v>
      </c>
      <c r="D986" s="314" t="s">
        <v>224</v>
      </c>
      <c r="E986" s="314" t="s">
        <v>117</v>
      </c>
      <c r="F986" s="314" t="s">
        <v>118</v>
      </c>
      <c r="G986" s="314" t="s">
        <v>108</v>
      </c>
      <c r="H986" s="314" t="s">
        <v>119</v>
      </c>
      <c r="I986" s="314" t="s">
        <v>108</v>
      </c>
      <c r="J986" s="314" t="s">
        <v>120</v>
      </c>
      <c r="K986" s="314">
        <v>0</v>
      </c>
      <c r="L986" s="314">
        <v>0</v>
      </c>
      <c r="M986" s="315">
        <v>45145.3823958333</v>
      </c>
      <c r="N986" s="314" t="s">
        <v>3528</v>
      </c>
      <c r="O986" s="314" t="s">
        <v>1817</v>
      </c>
      <c r="P986" s="314" t="s">
        <v>339</v>
      </c>
      <c r="Q986" s="314" t="s">
        <v>123</v>
      </c>
      <c r="R986" s="315">
        <v>45145.3856365741</v>
      </c>
      <c r="S986" s="314" t="s">
        <v>3528</v>
      </c>
      <c r="T986" s="314" t="s">
        <v>124</v>
      </c>
      <c r="U986" s="314" t="s">
        <v>124</v>
      </c>
      <c r="V986" s="314" t="s">
        <v>114</v>
      </c>
      <c r="W986" s="314"/>
      <c r="X986" s="314" t="str">
        <f>VLOOKUP(D986,代理总表!A:D,3,0)</f>
        <v>雨燕直播-越</v>
      </c>
      <c r="Y986" t="str">
        <f>VLOOKUP(D:D,代理总表!A:D,4,FALSE)</f>
        <v>雨燕直播-越ffvn66</v>
      </c>
      <c r="Z986">
        <f t="shared" si="45"/>
        <v>0</v>
      </c>
      <c r="AA986">
        <f t="shared" si="46"/>
        <v>9</v>
      </c>
      <c r="AB986">
        <f t="shared" si="47"/>
        <v>1</v>
      </c>
    </row>
    <row r="987" spans="1:28">
      <c r="A987" s="314" t="s">
        <v>3529</v>
      </c>
      <c r="B987" s="314" t="s">
        <v>3530</v>
      </c>
      <c r="C987" s="314">
        <v>18077296115</v>
      </c>
      <c r="D987" s="314" t="s">
        <v>235</v>
      </c>
      <c r="E987" s="314" t="s">
        <v>104</v>
      </c>
      <c r="F987" s="314" t="s">
        <v>149</v>
      </c>
      <c r="G987" s="314" t="s">
        <v>108</v>
      </c>
      <c r="H987" s="314" t="s">
        <v>119</v>
      </c>
      <c r="I987" s="314" t="s">
        <v>108</v>
      </c>
      <c r="J987" s="314" t="s">
        <v>109</v>
      </c>
      <c r="K987" s="314">
        <v>0</v>
      </c>
      <c r="L987" s="314">
        <v>0</v>
      </c>
      <c r="M987" s="315">
        <v>45145.3798958333</v>
      </c>
      <c r="N987" s="314" t="s">
        <v>3531</v>
      </c>
      <c r="O987" s="314" t="s">
        <v>786</v>
      </c>
      <c r="P987" s="314" t="s">
        <v>161</v>
      </c>
      <c r="Q987" s="314" t="s">
        <v>123</v>
      </c>
      <c r="R987" s="315">
        <v>45146.3507638889</v>
      </c>
      <c r="S987" s="314" t="s">
        <v>3532</v>
      </c>
      <c r="T987" s="314" t="s">
        <v>3533</v>
      </c>
      <c r="U987" s="314" t="s">
        <v>1013</v>
      </c>
      <c r="V987" s="314" t="s">
        <v>114</v>
      </c>
      <c r="W987" s="314"/>
      <c r="X987" s="314" t="str">
        <f>VLOOKUP(D987,代理总表!A:D,3,0)</f>
        <v>aber</v>
      </c>
      <c r="Y987" t="str">
        <f>VLOOKUP(D:D,代理总表!A:D,4,FALSE)</f>
        <v>SEO</v>
      </c>
      <c r="Z987">
        <f t="shared" si="45"/>
        <v>0</v>
      </c>
      <c r="AA987">
        <f t="shared" si="46"/>
        <v>9</v>
      </c>
      <c r="AB987">
        <f t="shared" si="47"/>
        <v>1</v>
      </c>
    </row>
    <row r="988" spans="1:28">
      <c r="A988" s="314" t="s">
        <v>3534</v>
      </c>
      <c r="B988" s="314"/>
      <c r="C988" s="314">
        <v>15874980847</v>
      </c>
      <c r="D988" s="314" t="s">
        <v>235</v>
      </c>
      <c r="E988" s="314" t="s">
        <v>104</v>
      </c>
      <c r="F988" s="314" t="s">
        <v>149</v>
      </c>
      <c r="G988" s="314" t="s">
        <v>108</v>
      </c>
      <c r="H988" s="314" t="s">
        <v>119</v>
      </c>
      <c r="I988" s="314" t="s">
        <v>108</v>
      </c>
      <c r="J988" s="314" t="s">
        <v>109</v>
      </c>
      <c r="K988" s="314">
        <v>0</v>
      </c>
      <c r="L988" s="314">
        <v>0</v>
      </c>
      <c r="M988" s="315">
        <v>45145.3781944444</v>
      </c>
      <c r="N988" s="314" t="s">
        <v>3535</v>
      </c>
      <c r="O988" s="314" t="s">
        <v>237</v>
      </c>
      <c r="P988" s="314" t="s">
        <v>112</v>
      </c>
      <c r="Q988" s="314" t="s">
        <v>123</v>
      </c>
      <c r="R988" s="315">
        <v>45145.3802546296</v>
      </c>
      <c r="S988" s="314" t="s">
        <v>3535</v>
      </c>
      <c r="T988" s="314" t="s">
        <v>3536</v>
      </c>
      <c r="U988" s="314" t="s">
        <v>3536</v>
      </c>
      <c r="V988" s="314" t="s">
        <v>114</v>
      </c>
      <c r="W988" s="314"/>
      <c r="X988" s="314" t="str">
        <f>VLOOKUP(D988,代理总表!A:D,3,0)</f>
        <v>aber</v>
      </c>
      <c r="Y988" t="str">
        <f>VLOOKUP(D:D,代理总表!A:D,4,FALSE)</f>
        <v>SEO</v>
      </c>
      <c r="Z988">
        <f t="shared" si="45"/>
        <v>0</v>
      </c>
      <c r="AA988">
        <f t="shared" si="46"/>
        <v>9</v>
      </c>
      <c r="AB988">
        <f t="shared" si="47"/>
        <v>1</v>
      </c>
    </row>
    <row r="989" spans="1:28">
      <c r="A989" s="314" t="s">
        <v>3537</v>
      </c>
      <c r="B989" s="314"/>
      <c r="C989" s="314">
        <v>345660736</v>
      </c>
      <c r="D989" s="314" t="s">
        <v>143</v>
      </c>
      <c r="E989" s="314" t="s">
        <v>117</v>
      </c>
      <c r="F989" s="314" t="s">
        <v>118</v>
      </c>
      <c r="G989" s="314" t="s">
        <v>108</v>
      </c>
      <c r="H989" s="314" t="s">
        <v>119</v>
      </c>
      <c r="I989" s="314" t="s">
        <v>108</v>
      </c>
      <c r="J989" s="314" t="s">
        <v>120</v>
      </c>
      <c r="K989" s="314">
        <v>0</v>
      </c>
      <c r="L989" s="314">
        <v>0</v>
      </c>
      <c r="M989" s="315">
        <v>45145.3781944444</v>
      </c>
      <c r="N989" s="314" t="s">
        <v>3538</v>
      </c>
      <c r="O989" s="314" t="s">
        <v>146</v>
      </c>
      <c r="P989" s="314" t="s">
        <v>112</v>
      </c>
      <c r="Q989" s="314" t="s">
        <v>123</v>
      </c>
      <c r="R989" s="315">
        <v>45145.3925347222</v>
      </c>
      <c r="S989" s="314" t="s">
        <v>3538</v>
      </c>
      <c r="T989" s="314" t="s">
        <v>177</v>
      </c>
      <c r="U989" s="314" t="s">
        <v>177</v>
      </c>
      <c r="V989" s="314" t="s">
        <v>114</v>
      </c>
      <c r="W989" s="314"/>
      <c r="X989" s="314" t="str">
        <f>VLOOKUP(D989,代理总表!A:D,3,0)</f>
        <v>雨燕直播-越</v>
      </c>
      <c r="Y989" t="str">
        <f>VLOOKUP(D:D,代理总表!A:D,4,FALSE)</f>
        <v>雨燕直播-越ffvn66</v>
      </c>
      <c r="Z989">
        <f t="shared" si="45"/>
        <v>0</v>
      </c>
      <c r="AA989">
        <f t="shared" si="46"/>
        <v>9</v>
      </c>
      <c r="AB989">
        <f t="shared" si="47"/>
        <v>1</v>
      </c>
    </row>
    <row r="990" spans="1:28">
      <c r="A990" s="314" t="s">
        <v>3539</v>
      </c>
      <c r="B990" s="314" t="s">
        <v>3540</v>
      </c>
      <c r="C990" s="314">
        <v>382514687</v>
      </c>
      <c r="D990" s="314" t="s">
        <v>143</v>
      </c>
      <c r="E990" s="314" t="s">
        <v>117</v>
      </c>
      <c r="F990" s="314" t="s">
        <v>144</v>
      </c>
      <c r="G990" s="314" t="s">
        <v>106</v>
      </c>
      <c r="H990" s="314" t="s">
        <v>107</v>
      </c>
      <c r="I990" s="314" t="s">
        <v>108</v>
      </c>
      <c r="J990" s="314" t="s">
        <v>120</v>
      </c>
      <c r="K990" s="314">
        <v>925</v>
      </c>
      <c r="L990" s="314">
        <v>600000</v>
      </c>
      <c r="M990" s="315">
        <v>45145.3758796296</v>
      </c>
      <c r="N990" s="314" t="s">
        <v>3541</v>
      </c>
      <c r="O990" s="314" t="s">
        <v>407</v>
      </c>
      <c r="P990" s="314" t="s">
        <v>112</v>
      </c>
      <c r="Q990" s="315">
        <v>45145.3991898148</v>
      </c>
      <c r="R990" s="315">
        <v>45145.9172800926</v>
      </c>
      <c r="S990" s="314" t="s">
        <v>3542</v>
      </c>
      <c r="T990" s="314" t="s">
        <v>217</v>
      </c>
      <c r="U990" s="314" t="s">
        <v>1196</v>
      </c>
      <c r="V990" s="314" t="s">
        <v>114</v>
      </c>
      <c r="W990" s="314"/>
      <c r="X990" s="314" t="str">
        <f>VLOOKUP(D990,代理总表!A:D,3,0)</f>
        <v>雨燕直播-越</v>
      </c>
      <c r="Y990" t="str">
        <f>VLOOKUP(D:D,代理总表!A:D,4,FALSE)</f>
        <v>雨燕直播-越ffvn66</v>
      </c>
      <c r="Z990">
        <f t="shared" si="45"/>
        <v>1</v>
      </c>
      <c r="AA990">
        <f t="shared" si="46"/>
        <v>9</v>
      </c>
      <c r="AB990">
        <f t="shared" si="47"/>
        <v>1</v>
      </c>
    </row>
    <row r="991" spans="1:28">
      <c r="A991" s="314" t="s">
        <v>3543</v>
      </c>
      <c r="B991" s="314"/>
      <c r="C991" s="314"/>
      <c r="D991" s="314" t="s">
        <v>137</v>
      </c>
      <c r="E991" s="314" t="s">
        <v>117</v>
      </c>
      <c r="F991" s="314" t="s">
        <v>118</v>
      </c>
      <c r="G991" s="314" t="s">
        <v>108</v>
      </c>
      <c r="H991" s="314" t="s">
        <v>119</v>
      </c>
      <c r="I991" s="314" t="s">
        <v>108</v>
      </c>
      <c r="J991" s="314" t="s">
        <v>120</v>
      </c>
      <c r="K991" s="314">
        <v>0</v>
      </c>
      <c r="L991" s="314">
        <v>0</v>
      </c>
      <c r="M991" s="315">
        <v>45145.3756944444</v>
      </c>
      <c r="N991" s="314" t="s">
        <v>3544</v>
      </c>
      <c r="O991" s="314" t="s">
        <v>139</v>
      </c>
      <c r="P991" s="314" t="s">
        <v>112</v>
      </c>
      <c r="Q991" s="314" t="s">
        <v>123</v>
      </c>
      <c r="R991" s="315">
        <v>45145.3756944444</v>
      </c>
      <c r="S991" s="314" t="s">
        <v>3544</v>
      </c>
      <c r="T991" s="314" t="s">
        <v>2249</v>
      </c>
      <c r="U991" s="314" t="s">
        <v>2249</v>
      </c>
      <c r="V991" s="314" t="s">
        <v>114</v>
      </c>
      <c r="W991" s="314"/>
      <c r="X991" s="314" t="str">
        <f>VLOOKUP(D991,代理总表!A:D,3,0)</f>
        <v>雨燕直播-越</v>
      </c>
      <c r="Y991" t="str">
        <f>VLOOKUP(D:D,代理总表!A:D,4,FALSE)</f>
        <v>雨燕直播-越ffvn66</v>
      </c>
      <c r="Z991">
        <f t="shared" si="45"/>
        <v>0</v>
      </c>
      <c r="AA991">
        <f t="shared" si="46"/>
        <v>9</v>
      </c>
      <c r="AB991">
        <f t="shared" si="47"/>
        <v>1</v>
      </c>
    </row>
    <row r="992" spans="1:28">
      <c r="A992" s="314" t="s">
        <v>3545</v>
      </c>
      <c r="B992" s="314" t="s">
        <v>3546</v>
      </c>
      <c r="C992" s="314">
        <v>902981168</v>
      </c>
      <c r="D992" s="314" t="s">
        <v>116</v>
      </c>
      <c r="E992" s="314" t="s">
        <v>117</v>
      </c>
      <c r="F992" s="314" t="s">
        <v>118</v>
      </c>
      <c r="G992" s="314" t="s">
        <v>108</v>
      </c>
      <c r="H992" s="314" t="s">
        <v>119</v>
      </c>
      <c r="I992" s="314" t="s">
        <v>108</v>
      </c>
      <c r="J992" s="314" t="s">
        <v>120</v>
      </c>
      <c r="K992" s="314">
        <v>0</v>
      </c>
      <c r="L992" s="314">
        <v>0</v>
      </c>
      <c r="M992" s="315">
        <v>45145.3750694444</v>
      </c>
      <c r="N992" s="314" t="s">
        <v>3547</v>
      </c>
      <c r="O992" s="314" t="s">
        <v>122</v>
      </c>
      <c r="P992" s="314" t="s">
        <v>112</v>
      </c>
      <c r="Q992" s="314" t="s">
        <v>123</v>
      </c>
      <c r="R992" s="315">
        <v>45145.3830787037</v>
      </c>
      <c r="S992" s="314" t="s">
        <v>3547</v>
      </c>
      <c r="T992" s="314" t="s">
        <v>776</v>
      </c>
      <c r="U992" s="314" t="s">
        <v>776</v>
      </c>
      <c r="V992" s="314" t="s">
        <v>114</v>
      </c>
      <c r="W992" s="314"/>
      <c r="X992" s="314" t="str">
        <f>VLOOKUP(D992,代理总表!A:D,3,0)</f>
        <v>外部代理总线</v>
      </c>
      <c r="Y992" t="str">
        <f>VLOOKUP(D:D,代理总表!A:D,4,FALSE)</f>
        <v>外部代理总线zh0808</v>
      </c>
      <c r="Z992">
        <f t="shared" si="45"/>
        <v>0</v>
      </c>
      <c r="AA992">
        <f t="shared" si="46"/>
        <v>9</v>
      </c>
      <c r="AB992">
        <f t="shared" si="47"/>
        <v>1</v>
      </c>
    </row>
    <row r="993" spans="1:28">
      <c r="A993" s="314" t="s">
        <v>3548</v>
      </c>
      <c r="B993" s="314" t="s">
        <v>3549</v>
      </c>
      <c r="C993" s="314">
        <v>584246798</v>
      </c>
      <c r="D993" s="314" t="s">
        <v>116</v>
      </c>
      <c r="E993" s="314" t="s">
        <v>117</v>
      </c>
      <c r="F993" s="314" t="s">
        <v>118</v>
      </c>
      <c r="G993" s="314" t="s">
        <v>108</v>
      </c>
      <c r="H993" s="314" t="s">
        <v>119</v>
      </c>
      <c r="I993" s="314" t="s">
        <v>108</v>
      </c>
      <c r="J993" s="314" t="s">
        <v>120</v>
      </c>
      <c r="K993" s="314">
        <v>0</v>
      </c>
      <c r="L993" s="314">
        <v>0</v>
      </c>
      <c r="M993" s="315">
        <v>45145.3748148148</v>
      </c>
      <c r="N993" s="314" t="s">
        <v>3550</v>
      </c>
      <c r="O993" s="314" t="s">
        <v>127</v>
      </c>
      <c r="P993" s="314" t="s">
        <v>112</v>
      </c>
      <c r="Q993" s="314" t="s">
        <v>123</v>
      </c>
      <c r="R993" s="315">
        <v>45145.3748032407</v>
      </c>
      <c r="S993" s="314" t="s">
        <v>3550</v>
      </c>
      <c r="T993" s="314" t="s">
        <v>1790</v>
      </c>
      <c r="U993" s="314" t="s">
        <v>1790</v>
      </c>
      <c r="V993" s="314" t="s">
        <v>114</v>
      </c>
      <c r="W993" s="314"/>
      <c r="X993" s="314" t="str">
        <f>VLOOKUP(D993,代理总表!A:D,3,0)</f>
        <v>外部代理总线</v>
      </c>
      <c r="Y993" t="str">
        <f>VLOOKUP(D:D,代理总表!A:D,4,FALSE)</f>
        <v>外部代理总线zh0808</v>
      </c>
      <c r="Z993">
        <f t="shared" si="45"/>
        <v>0</v>
      </c>
      <c r="AA993">
        <f t="shared" si="46"/>
        <v>8</v>
      </c>
      <c r="AB993">
        <f t="shared" si="47"/>
        <v>1</v>
      </c>
    </row>
    <row r="994" spans="1:28">
      <c r="A994" s="314" t="s">
        <v>3551</v>
      </c>
      <c r="B994" s="314"/>
      <c r="C994" s="314">
        <v>17570712931</v>
      </c>
      <c r="D994" s="314" t="s">
        <v>148</v>
      </c>
      <c r="E994" s="314" t="s">
        <v>104</v>
      </c>
      <c r="F994" s="314" t="s">
        <v>149</v>
      </c>
      <c r="G994" s="314" t="s">
        <v>108</v>
      </c>
      <c r="H994" s="314" t="s">
        <v>119</v>
      </c>
      <c r="I994" s="314" t="s">
        <v>108</v>
      </c>
      <c r="J994" s="314" t="s">
        <v>109</v>
      </c>
      <c r="K994" s="314">
        <v>0</v>
      </c>
      <c r="L994" s="314">
        <v>0</v>
      </c>
      <c r="M994" s="315">
        <v>45145.3735532407</v>
      </c>
      <c r="N994" s="314" t="s">
        <v>3552</v>
      </c>
      <c r="O994" s="314" t="s">
        <v>585</v>
      </c>
      <c r="P994" s="314" t="s">
        <v>112</v>
      </c>
      <c r="Q994" s="314" t="s">
        <v>123</v>
      </c>
      <c r="R994" s="315">
        <v>45145.3747685185</v>
      </c>
      <c r="S994" s="314" t="s">
        <v>3552</v>
      </c>
      <c r="T994" s="314" t="s">
        <v>3553</v>
      </c>
      <c r="U994" s="314" t="s">
        <v>3553</v>
      </c>
      <c r="V994" s="314" t="s">
        <v>114</v>
      </c>
      <c r="W994" s="314"/>
      <c r="X994" s="314" t="str">
        <f>VLOOKUP(D994,代理总表!A:D,3,0)</f>
        <v>martin</v>
      </c>
      <c r="Y994" t="str">
        <f>VLOOKUP(D:D,代理总表!A:D,4,FALSE)</f>
        <v>SEO</v>
      </c>
      <c r="Z994">
        <f t="shared" si="45"/>
        <v>0</v>
      </c>
      <c r="AA994">
        <f t="shared" si="46"/>
        <v>8</v>
      </c>
      <c r="AB994">
        <f t="shared" si="47"/>
        <v>1</v>
      </c>
    </row>
    <row r="995" spans="1:28">
      <c r="A995" s="314" t="s">
        <v>3554</v>
      </c>
      <c r="B995" s="314"/>
      <c r="C995" s="314"/>
      <c r="D995" s="314" t="s">
        <v>651</v>
      </c>
      <c r="E995" s="314" t="s">
        <v>117</v>
      </c>
      <c r="F995" s="314" t="s">
        <v>118</v>
      </c>
      <c r="G995" s="314" t="s">
        <v>108</v>
      </c>
      <c r="H995" s="314" t="s">
        <v>119</v>
      </c>
      <c r="I995" s="314" t="s">
        <v>108</v>
      </c>
      <c r="J995" s="314" t="s">
        <v>120</v>
      </c>
      <c r="K995" s="314">
        <v>0</v>
      </c>
      <c r="L995" s="314">
        <v>0</v>
      </c>
      <c r="M995" s="315">
        <v>45145.372650463</v>
      </c>
      <c r="N995" s="314" t="s">
        <v>3555</v>
      </c>
      <c r="O995" s="314" t="s">
        <v>3556</v>
      </c>
      <c r="P995" s="314" t="s">
        <v>112</v>
      </c>
      <c r="Q995" s="314" t="s">
        <v>123</v>
      </c>
      <c r="R995" s="315">
        <v>45145.3790856482</v>
      </c>
      <c r="S995" s="314" t="s">
        <v>3555</v>
      </c>
      <c r="T995" s="314" t="s">
        <v>177</v>
      </c>
      <c r="U995" s="314" t="s">
        <v>177</v>
      </c>
      <c r="V995" s="314" t="s">
        <v>114</v>
      </c>
      <c r="W995" s="314"/>
      <c r="X995" s="314" t="str">
        <f>VLOOKUP(D995,代理总表!A:D,3,0)</f>
        <v>雨燕直播-越</v>
      </c>
      <c r="Y995" t="str">
        <f>VLOOKUP(D:D,代理总表!A:D,4,FALSE)</f>
        <v>雨燕直播-越ffvn66</v>
      </c>
      <c r="Z995">
        <f t="shared" si="45"/>
        <v>0</v>
      </c>
      <c r="AA995">
        <f t="shared" si="46"/>
        <v>8</v>
      </c>
      <c r="AB995">
        <f t="shared" si="47"/>
        <v>1</v>
      </c>
    </row>
    <row r="996" spans="1:28">
      <c r="A996" s="314" t="s">
        <v>3557</v>
      </c>
      <c r="B996" s="314"/>
      <c r="C996" s="314">
        <v>367317748</v>
      </c>
      <c r="D996" s="314" t="s">
        <v>172</v>
      </c>
      <c r="E996" s="314" t="s">
        <v>117</v>
      </c>
      <c r="F996" s="314" t="s">
        <v>118</v>
      </c>
      <c r="G996" s="314" t="s">
        <v>108</v>
      </c>
      <c r="H996" s="314" t="s">
        <v>119</v>
      </c>
      <c r="I996" s="314" t="s">
        <v>108</v>
      </c>
      <c r="J996" s="314" t="s">
        <v>120</v>
      </c>
      <c r="K996" s="314">
        <v>0</v>
      </c>
      <c r="L996" s="314">
        <v>0</v>
      </c>
      <c r="M996" s="315">
        <v>45145.369212963</v>
      </c>
      <c r="N996" s="314" t="s">
        <v>3558</v>
      </c>
      <c r="O996" s="314" t="s">
        <v>193</v>
      </c>
      <c r="P996" s="314" t="s">
        <v>112</v>
      </c>
      <c r="Q996" s="314" t="s">
        <v>123</v>
      </c>
      <c r="R996" s="315">
        <v>45145.3718518519</v>
      </c>
      <c r="S996" s="314" t="s">
        <v>3558</v>
      </c>
      <c r="T996" s="314" t="s">
        <v>124</v>
      </c>
      <c r="U996" s="314" t="s">
        <v>124</v>
      </c>
      <c r="V996" s="314" t="s">
        <v>114</v>
      </c>
      <c r="W996" s="314"/>
      <c r="X996" s="314" t="str">
        <f>VLOOKUP(D996,代理总表!A:D,3,0)</f>
        <v>雨燕直播-越</v>
      </c>
      <c r="Y996" t="str">
        <f>VLOOKUP(D:D,代理总表!A:D,4,FALSE)</f>
        <v>雨燕直播-越ffvn66</v>
      </c>
      <c r="Z996">
        <f t="shared" si="45"/>
        <v>0</v>
      </c>
      <c r="AA996">
        <f t="shared" si="46"/>
        <v>8</v>
      </c>
      <c r="AB996">
        <f t="shared" si="47"/>
        <v>1</v>
      </c>
    </row>
    <row r="997" spans="1:28">
      <c r="A997" s="314" t="s">
        <v>3559</v>
      </c>
      <c r="B997" s="314"/>
      <c r="C997" s="314">
        <v>335994359</v>
      </c>
      <c r="D997" s="314" t="s">
        <v>1894</v>
      </c>
      <c r="E997" s="314" t="s">
        <v>117</v>
      </c>
      <c r="F997" s="314" t="s">
        <v>118</v>
      </c>
      <c r="G997" s="314" t="s">
        <v>108</v>
      </c>
      <c r="H997" s="314" t="s">
        <v>119</v>
      </c>
      <c r="I997" s="314" t="s">
        <v>108</v>
      </c>
      <c r="J997" s="314" t="s">
        <v>120</v>
      </c>
      <c r="K997" s="314">
        <v>0</v>
      </c>
      <c r="L997" s="314">
        <v>0</v>
      </c>
      <c r="M997" s="315">
        <v>45145.3682175926</v>
      </c>
      <c r="N997" s="314" t="s">
        <v>3560</v>
      </c>
      <c r="O997" s="314" t="s">
        <v>3561</v>
      </c>
      <c r="P997" s="314" t="s">
        <v>112</v>
      </c>
      <c r="Q997" s="314" t="s">
        <v>123</v>
      </c>
      <c r="R997" s="315">
        <v>45145.3682175926</v>
      </c>
      <c r="S997" s="314" t="s">
        <v>3560</v>
      </c>
      <c r="T997" s="314" t="s">
        <v>177</v>
      </c>
      <c r="U997" s="314" t="s">
        <v>177</v>
      </c>
      <c r="V997" s="314" t="s">
        <v>114</v>
      </c>
      <c r="W997" s="314"/>
      <c r="X997" s="314" t="str">
        <f>VLOOKUP(D997,代理总表!A:D,3,0)</f>
        <v>鲲鹏admin</v>
      </c>
      <c r="Y997" t="str">
        <f>VLOOKUP(D:D,代理总表!A:D,4,FALSE)</f>
        <v>鲲鹏adminbtydl0057</v>
      </c>
      <c r="Z997">
        <f t="shared" si="45"/>
        <v>0</v>
      </c>
      <c r="AA997">
        <f t="shared" si="46"/>
        <v>8</v>
      </c>
      <c r="AB997">
        <f t="shared" si="47"/>
        <v>1</v>
      </c>
    </row>
    <row r="998" spans="1:28">
      <c r="A998" s="314" t="s">
        <v>3562</v>
      </c>
      <c r="B998" s="314" t="s">
        <v>3563</v>
      </c>
      <c r="C998" s="314">
        <v>915351909</v>
      </c>
      <c r="D998" s="314" t="s">
        <v>197</v>
      </c>
      <c r="E998" s="314" t="s">
        <v>117</v>
      </c>
      <c r="F998" s="314" t="s">
        <v>118</v>
      </c>
      <c r="G998" s="314" t="s">
        <v>108</v>
      </c>
      <c r="H998" s="314" t="s">
        <v>119</v>
      </c>
      <c r="I998" s="314" t="s">
        <v>108</v>
      </c>
      <c r="J998" s="314" t="s">
        <v>120</v>
      </c>
      <c r="K998" s="314">
        <v>0</v>
      </c>
      <c r="L998" s="314">
        <v>0</v>
      </c>
      <c r="M998" s="315">
        <v>45145.3659953704</v>
      </c>
      <c r="N998" s="314" t="s">
        <v>3564</v>
      </c>
      <c r="O998" s="314" t="s">
        <v>875</v>
      </c>
      <c r="P998" s="314" t="s">
        <v>112</v>
      </c>
      <c r="Q998" s="314" t="s">
        <v>123</v>
      </c>
      <c r="R998" s="315">
        <v>45145.6452430556</v>
      </c>
      <c r="S998" s="314" t="s">
        <v>3564</v>
      </c>
      <c r="T998" s="314" t="s">
        <v>131</v>
      </c>
      <c r="U998" s="314" t="s">
        <v>131</v>
      </c>
      <c r="V998" s="314" t="s">
        <v>114</v>
      </c>
      <c r="W998" s="314"/>
      <c r="X998" s="314" t="str">
        <f>VLOOKUP(D998,代理总表!A:D,3,0)</f>
        <v>雨燕直播-越</v>
      </c>
      <c r="Y998" t="str">
        <f>VLOOKUP(D:D,代理总表!A:D,4,FALSE)</f>
        <v>雨燕直播-越ffvn66</v>
      </c>
      <c r="Z998">
        <f t="shared" si="45"/>
        <v>0</v>
      </c>
      <c r="AA998">
        <f t="shared" si="46"/>
        <v>8</v>
      </c>
      <c r="AB998">
        <f t="shared" si="47"/>
        <v>1</v>
      </c>
    </row>
    <row r="999" spans="1:28">
      <c r="A999" s="314" t="s">
        <v>3565</v>
      </c>
      <c r="B999" s="314"/>
      <c r="C999" s="314"/>
      <c r="D999" s="314" t="s">
        <v>276</v>
      </c>
      <c r="E999" s="314" t="s">
        <v>104</v>
      </c>
      <c r="F999" s="314" t="s">
        <v>118</v>
      </c>
      <c r="G999" s="314" t="s">
        <v>108</v>
      </c>
      <c r="H999" s="314" t="s">
        <v>119</v>
      </c>
      <c r="I999" s="314" t="s">
        <v>108</v>
      </c>
      <c r="J999" s="314" t="s">
        <v>109</v>
      </c>
      <c r="K999" s="314">
        <v>0</v>
      </c>
      <c r="L999" s="314">
        <v>0</v>
      </c>
      <c r="M999" s="315">
        <v>45145.3648263889</v>
      </c>
      <c r="N999" s="314" t="s">
        <v>3276</v>
      </c>
      <c r="O999" s="314" t="s">
        <v>3566</v>
      </c>
      <c r="P999" s="314" t="s">
        <v>339</v>
      </c>
      <c r="Q999" s="314" t="s">
        <v>123</v>
      </c>
      <c r="R999" s="315">
        <v>45145.4397685185</v>
      </c>
      <c r="S999" s="314" t="s">
        <v>3276</v>
      </c>
      <c r="T999" s="314" t="s">
        <v>1549</v>
      </c>
      <c r="U999" s="314" t="s">
        <v>1549</v>
      </c>
      <c r="V999" s="314" t="s">
        <v>114</v>
      </c>
      <c r="W999" s="314"/>
      <c r="X999" s="314" t="str">
        <f>VLOOKUP(D999,代理总表!A:D,3,0)</f>
        <v>飞哥雨燕直播</v>
      </c>
      <c r="Y999" t="str">
        <f>VLOOKUP(D:D,代理总表!A:D,4,FALSE)</f>
        <v>飞哥雨燕直播ffmk88</v>
      </c>
      <c r="Z999">
        <f t="shared" si="45"/>
        <v>0</v>
      </c>
      <c r="AA999">
        <f t="shared" si="46"/>
        <v>8</v>
      </c>
      <c r="AB999">
        <f t="shared" si="47"/>
        <v>1</v>
      </c>
    </row>
    <row r="1000" spans="1:28">
      <c r="A1000" s="314" t="s">
        <v>3567</v>
      </c>
      <c r="B1000" s="314"/>
      <c r="C1000" s="314">
        <v>15811680359</v>
      </c>
      <c r="D1000" s="314" t="s">
        <v>609</v>
      </c>
      <c r="E1000" s="314" t="s">
        <v>104</v>
      </c>
      <c r="F1000" s="314" t="s">
        <v>118</v>
      </c>
      <c r="G1000" s="314" t="s">
        <v>108</v>
      </c>
      <c r="H1000" s="314" t="s">
        <v>119</v>
      </c>
      <c r="I1000" s="314" t="s">
        <v>108</v>
      </c>
      <c r="J1000" s="314" t="s">
        <v>109</v>
      </c>
      <c r="K1000" s="314">
        <v>0</v>
      </c>
      <c r="L1000" s="314">
        <v>0</v>
      </c>
      <c r="M1000" s="315">
        <v>45145.3645023148</v>
      </c>
      <c r="N1000" s="314" t="s">
        <v>3568</v>
      </c>
      <c r="O1000" s="314" t="s">
        <v>611</v>
      </c>
      <c r="P1000" s="314" t="s">
        <v>161</v>
      </c>
      <c r="Q1000" s="314" t="s">
        <v>123</v>
      </c>
      <c r="R1000" s="315">
        <v>45145.3645023148</v>
      </c>
      <c r="S1000" s="314" t="s">
        <v>3568</v>
      </c>
      <c r="T1000" s="314" t="s">
        <v>1824</v>
      </c>
      <c r="U1000" s="314" t="s">
        <v>1824</v>
      </c>
      <c r="V1000" s="314" t="s">
        <v>114</v>
      </c>
      <c r="W1000" s="314"/>
      <c r="X1000" s="314" t="str">
        <f>VLOOKUP(D1000,代理总表!A:D,3,0)</f>
        <v>GT-B直播</v>
      </c>
      <c r="Y1000" t="str">
        <f>VLOOKUP(D:D,代理总表!A:D,4,FALSE)</f>
        <v>B直播gt6688</v>
      </c>
      <c r="Z1000">
        <f t="shared" si="45"/>
        <v>0</v>
      </c>
      <c r="AA1000">
        <f t="shared" si="46"/>
        <v>8</v>
      </c>
      <c r="AB1000">
        <f t="shared" si="47"/>
        <v>1</v>
      </c>
    </row>
    <row r="1001" spans="1:28">
      <c r="A1001" s="314" t="s">
        <v>3569</v>
      </c>
      <c r="B1001" s="314" t="s">
        <v>3570</v>
      </c>
      <c r="C1001" s="314">
        <v>15808166219</v>
      </c>
      <c r="D1001" s="314" t="s">
        <v>180</v>
      </c>
      <c r="E1001" s="314" t="s">
        <v>104</v>
      </c>
      <c r="F1001" s="314" t="s">
        <v>181</v>
      </c>
      <c r="G1001" s="314" t="s">
        <v>106</v>
      </c>
      <c r="H1001" s="314" t="s">
        <v>107</v>
      </c>
      <c r="I1001" s="314" t="s">
        <v>108</v>
      </c>
      <c r="J1001" s="314" t="s">
        <v>109</v>
      </c>
      <c r="K1001" s="314">
        <v>500.72</v>
      </c>
      <c r="L1001" s="314">
        <v>500</v>
      </c>
      <c r="M1001" s="315">
        <v>45145.363587963</v>
      </c>
      <c r="N1001" s="314" t="s">
        <v>3571</v>
      </c>
      <c r="O1001" s="314" t="s">
        <v>717</v>
      </c>
      <c r="P1001" s="314" t="s">
        <v>161</v>
      </c>
      <c r="Q1001" s="315">
        <v>45145.7664699074</v>
      </c>
      <c r="R1001" s="315">
        <v>45145.9929050926</v>
      </c>
      <c r="S1001" s="314" t="s">
        <v>3572</v>
      </c>
      <c r="T1001" s="314" t="s">
        <v>599</v>
      </c>
      <c r="U1001" s="314" t="s">
        <v>599</v>
      </c>
      <c r="V1001" s="314" t="s">
        <v>114</v>
      </c>
      <c r="W1001" s="314"/>
      <c r="X1001" s="314" t="str">
        <f>VLOOKUP(D1001,代理总表!A:D,3,0)</f>
        <v>hugo</v>
      </c>
      <c r="Y1001" t="str">
        <f>VLOOKUP(D:D,代理总表!A:D,4,FALSE)</f>
        <v>SEO</v>
      </c>
      <c r="Z1001">
        <f t="shared" si="45"/>
        <v>1</v>
      </c>
      <c r="AA1001">
        <f t="shared" si="46"/>
        <v>8</v>
      </c>
      <c r="AB1001">
        <f t="shared" si="47"/>
        <v>1</v>
      </c>
    </row>
    <row r="1002" spans="1:28">
      <c r="A1002" s="314" t="s">
        <v>3573</v>
      </c>
      <c r="B1002" s="314" t="s">
        <v>3574</v>
      </c>
      <c r="C1002" s="314">
        <v>703264494</v>
      </c>
      <c r="D1002" s="314" t="s">
        <v>143</v>
      </c>
      <c r="E1002" s="314" t="s">
        <v>117</v>
      </c>
      <c r="F1002" s="314" t="s">
        <v>144</v>
      </c>
      <c r="G1002" s="314" t="s">
        <v>106</v>
      </c>
      <c r="H1002" s="314" t="s">
        <v>107</v>
      </c>
      <c r="I1002" s="314" t="s">
        <v>108</v>
      </c>
      <c r="J1002" s="314" t="s">
        <v>120</v>
      </c>
      <c r="K1002" s="314">
        <v>200228</v>
      </c>
      <c r="L1002" s="314">
        <v>400000</v>
      </c>
      <c r="M1002" s="315">
        <v>45145.3620138889</v>
      </c>
      <c r="N1002" s="314" t="s">
        <v>3575</v>
      </c>
      <c r="O1002" s="314" t="s">
        <v>407</v>
      </c>
      <c r="P1002" s="314" t="s">
        <v>112</v>
      </c>
      <c r="Q1002" s="315">
        <v>45145.3890046296</v>
      </c>
      <c r="R1002" s="315">
        <v>45145.8025</v>
      </c>
      <c r="S1002" s="314" t="s">
        <v>3575</v>
      </c>
      <c r="T1002" s="314" t="s">
        <v>131</v>
      </c>
      <c r="U1002" s="314" t="s">
        <v>131</v>
      </c>
      <c r="V1002" s="314" t="s">
        <v>114</v>
      </c>
      <c r="W1002" s="314"/>
      <c r="X1002" s="314" t="str">
        <f>VLOOKUP(D1002,代理总表!A:D,3,0)</f>
        <v>雨燕直播-越</v>
      </c>
      <c r="Y1002" t="str">
        <f>VLOOKUP(D:D,代理总表!A:D,4,FALSE)</f>
        <v>雨燕直播-越ffvn66</v>
      </c>
      <c r="Z1002">
        <f t="shared" si="45"/>
        <v>1</v>
      </c>
      <c r="AA1002">
        <f t="shared" si="46"/>
        <v>8</v>
      </c>
      <c r="AB1002">
        <f t="shared" si="47"/>
        <v>1</v>
      </c>
    </row>
    <row r="1003" spans="1:28">
      <c r="A1003" s="314" t="s">
        <v>3576</v>
      </c>
      <c r="B1003" s="314" t="s">
        <v>3577</v>
      </c>
      <c r="C1003" s="314">
        <v>794213796</v>
      </c>
      <c r="D1003" s="314" t="s">
        <v>137</v>
      </c>
      <c r="E1003" s="314" t="s">
        <v>117</v>
      </c>
      <c r="F1003" s="314" t="s">
        <v>144</v>
      </c>
      <c r="G1003" s="314" t="s">
        <v>106</v>
      </c>
      <c r="H1003" s="314" t="s">
        <v>107</v>
      </c>
      <c r="I1003" s="314" t="s">
        <v>108</v>
      </c>
      <c r="J1003" s="314" t="s">
        <v>120</v>
      </c>
      <c r="K1003" s="314">
        <v>200000</v>
      </c>
      <c r="L1003" s="314">
        <v>280000</v>
      </c>
      <c r="M1003" s="315">
        <v>45145.3615856481</v>
      </c>
      <c r="N1003" s="314" t="s">
        <v>3578</v>
      </c>
      <c r="O1003" s="314" t="s">
        <v>139</v>
      </c>
      <c r="P1003" s="314" t="s">
        <v>112</v>
      </c>
      <c r="Q1003" s="315">
        <v>45145.3875462963</v>
      </c>
      <c r="R1003" s="315">
        <v>45146.35625</v>
      </c>
      <c r="S1003" s="314" t="s">
        <v>3579</v>
      </c>
      <c r="T1003" s="314" t="s">
        <v>177</v>
      </c>
      <c r="U1003" s="314" t="s">
        <v>177</v>
      </c>
      <c r="V1003" s="314" t="s">
        <v>114</v>
      </c>
      <c r="W1003" s="314"/>
      <c r="X1003" s="314" t="str">
        <f>VLOOKUP(D1003,代理总表!A:D,3,0)</f>
        <v>雨燕直播-越</v>
      </c>
      <c r="Y1003" t="str">
        <f>VLOOKUP(D:D,代理总表!A:D,4,FALSE)</f>
        <v>雨燕直播-越ffvn66</v>
      </c>
      <c r="Z1003">
        <f t="shared" si="45"/>
        <v>1</v>
      </c>
      <c r="AA1003">
        <f t="shared" si="46"/>
        <v>8</v>
      </c>
      <c r="AB1003">
        <f t="shared" si="47"/>
        <v>1</v>
      </c>
    </row>
    <row r="1004" spans="1:28">
      <c r="A1004" s="314" t="s">
        <v>3580</v>
      </c>
      <c r="B1004" s="314"/>
      <c r="C1004" s="314"/>
      <c r="D1004" s="314" t="s">
        <v>116</v>
      </c>
      <c r="E1004" s="314" t="s">
        <v>117</v>
      </c>
      <c r="F1004" s="314" t="s">
        <v>118</v>
      </c>
      <c r="G1004" s="314" t="s">
        <v>108</v>
      </c>
      <c r="H1004" s="314" t="s">
        <v>119</v>
      </c>
      <c r="I1004" s="314" t="s">
        <v>108</v>
      </c>
      <c r="J1004" s="314" t="s">
        <v>120</v>
      </c>
      <c r="K1004" s="314">
        <v>0</v>
      </c>
      <c r="L1004" s="314">
        <v>0</v>
      </c>
      <c r="M1004" s="315">
        <v>45145.3594097222</v>
      </c>
      <c r="N1004" s="314" t="s">
        <v>3581</v>
      </c>
      <c r="O1004" s="314" t="s">
        <v>122</v>
      </c>
      <c r="P1004" s="314" t="s">
        <v>112</v>
      </c>
      <c r="Q1004" s="314" t="s">
        <v>123</v>
      </c>
      <c r="R1004" s="315">
        <v>45145.3594097222</v>
      </c>
      <c r="S1004" s="314" t="s">
        <v>3581</v>
      </c>
      <c r="T1004" s="314" t="s">
        <v>124</v>
      </c>
      <c r="U1004" s="314" t="s">
        <v>124</v>
      </c>
      <c r="V1004" s="314" t="s">
        <v>114</v>
      </c>
      <c r="W1004" s="314"/>
      <c r="X1004" s="314" t="str">
        <f>VLOOKUP(D1004,代理总表!A:D,3,0)</f>
        <v>外部代理总线</v>
      </c>
      <c r="Y1004" t="str">
        <f>VLOOKUP(D:D,代理总表!A:D,4,FALSE)</f>
        <v>外部代理总线zh0808</v>
      </c>
      <c r="Z1004">
        <f t="shared" si="45"/>
        <v>0</v>
      </c>
      <c r="AA1004">
        <f t="shared" si="46"/>
        <v>8</v>
      </c>
      <c r="AB1004">
        <f t="shared" si="47"/>
        <v>1</v>
      </c>
    </row>
    <row r="1005" spans="1:28">
      <c r="A1005" s="314" t="s">
        <v>3582</v>
      </c>
      <c r="B1005" s="314" t="s">
        <v>3583</v>
      </c>
      <c r="C1005" s="314">
        <v>17769535219</v>
      </c>
      <c r="D1005" s="314" t="s">
        <v>235</v>
      </c>
      <c r="E1005" s="314" t="s">
        <v>104</v>
      </c>
      <c r="F1005" s="314" t="s">
        <v>149</v>
      </c>
      <c r="G1005" s="314" t="s">
        <v>108</v>
      </c>
      <c r="H1005" s="314" t="s">
        <v>119</v>
      </c>
      <c r="I1005" s="314" t="s">
        <v>108</v>
      </c>
      <c r="J1005" s="314" t="s">
        <v>109</v>
      </c>
      <c r="K1005" s="314">
        <v>0</v>
      </c>
      <c r="L1005" s="314">
        <v>0</v>
      </c>
      <c r="M1005" s="315">
        <v>45145.3593634259</v>
      </c>
      <c r="N1005" s="314" t="s">
        <v>3584</v>
      </c>
      <c r="O1005" s="314" t="s">
        <v>237</v>
      </c>
      <c r="P1005" s="314" t="s">
        <v>112</v>
      </c>
      <c r="Q1005" s="314" t="s">
        <v>123</v>
      </c>
      <c r="R1005" s="315">
        <v>45145.3593518519</v>
      </c>
      <c r="S1005" s="314" t="s">
        <v>3584</v>
      </c>
      <c r="T1005" s="314" t="s">
        <v>808</v>
      </c>
      <c r="U1005" s="314" t="s">
        <v>808</v>
      </c>
      <c r="V1005" s="314" t="s">
        <v>114</v>
      </c>
      <c r="W1005" s="314"/>
      <c r="X1005" s="314" t="str">
        <f>VLOOKUP(D1005,代理总表!A:D,3,0)</f>
        <v>aber</v>
      </c>
      <c r="Y1005" t="str">
        <f>VLOOKUP(D:D,代理总表!A:D,4,FALSE)</f>
        <v>SEO</v>
      </c>
      <c r="Z1005">
        <f t="shared" si="45"/>
        <v>0</v>
      </c>
      <c r="AA1005">
        <f t="shared" si="46"/>
        <v>8</v>
      </c>
      <c r="AB1005">
        <f t="shared" si="47"/>
        <v>1</v>
      </c>
    </row>
    <row r="1006" spans="1:28">
      <c r="A1006" s="314" t="s">
        <v>3585</v>
      </c>
      <c r="B1006" s="314"/>
      <c r="C1006" s="314"/>
      <c r="D1006" s="314" t="s">
        <v>116</v>
      </c>
      <c r="E1006" s="314" t="s">
        <v>104</v>
      </c>
      <c r="F1006" s="314" t="s">
        <v>118</v>
      </c>
      <c r="G1006" s="314" t="s">
        <v>108</v>
      </c>
      <c r="H1006" s="314" t="s">
        <v>119</v>
      </c>
      <c r="I1006" s="314" t="s">
        <v>108</v>
      </c>
      <c r="J1006" s="314" t="s">
        <v>109</v>
      </c>
      <c r="K1006" s="314">
        <v>0</v>
      </c>
      <c r="L1006" s="314">
        <v>0</v>
      </c>
      <c r="M1006" s="315">
        <v>45145.3538078704</v>
      </c>
      <c r="N1006" s="314" t="s">
        <v>3586</v>
      </c>
      <c r="O1006" s="314" t="s">
        <v>127</v>
      </c>
      <c r="P1006" s="314" t="s">
        <v>112</v>
      </c>
      <c r="Q1006" s="314" t="s">
        <v>123</v>
      </c>
      <c r="R1006" s="315">
        <v>45145.3586342593</v>
      </c>
      <c r="S1006" s="314" t="s">
        <v>3586</v>
      </c>
      <c r="T1006" s="314" t="s">
        <v>194</v>
      </c>
      <c r="U1006" s="314" t="s">
        <v>194</v>
      </c>
      <c r="V1006" s="314" t="s">
        <v>114</v>
      </c>
      <c r="W1006" s="314"/>
      <c r="X1006" s="314" t="str">
        <f>VLOOKUP(D1006,代理总表!A:D,3,0)</f>
        <v>外部代理总线</v>
      </c>
      <c r="Y1006" t="str">
        <f>VLOOKUP(D:D,代理总表!A:D,4,FALSE)</f>
        <v>外部代理总线zh0808</v>
      </c>
      <c r="Z1006">
        <f t="shared" si="45"/>
        <v>0</v>
      </c>
      <c r="AA1006">
        <f t="shared" si="46"/>
        <v>8</v>
      </c>
      <c r="AB1006">
        <f t="shared" si="47"/>
        <v>1</v>
      </c>
    </row>
    <row r="1007" spans="1:28">
      <c r="A1007" s="314" t="s">
        <v>3587</v>
      </c>
      <c r="B1007" s="314" t="s">
        <v>3588</v>
      </c>
      <c r="C1007" s="314">
        <v>376074286</v>
      </c>
      <c r="D1007" s="314" t="s">
        <v>116</v>
      </c>
      <c r="E1007" s="314" t="s">
        <v>117</v>
      </c>
      <c r="F1007" s="314" t="s">
        <v>118</v>
      </c>
      <c r="G1007" s="314" t="s">
        <v>108</v>
      </c>
      <c r="H1007" s="314" t="s">
        <v>119</v>
      </c>
      <c r="I1007" s="314" t="s">
        <v>108</v>
      </c>
      <c r="J1007" s="314" t="s">
        <v>120</v>
      </c>
      <c r="K1007" s="314">
        <v>0</v>
      </c>
      <c r="L1007" s="314">
        <v>0</v>
      </c>
      <c r="M1007" s="315">
        <v>45145.3536342593</v>
      </c>
      <c r="N1007" s="314" t="s">
        <v>3589</v>
      </c>
      <c r="O1007" s="314" t="s">
        <v>122</v>
      </c>
      <c r="P1007" s="314" t="s">
        <v>112</v>
      </c>
      <c r="Q1007" s="314" t="s">
        <v>123</v>
      </c>
      <c r="R1007" s="315">
        <v>45145.3536342593</v>
      </c>
      <c r="S1007" s="314" t="s">
        <v>3589</v>
      </c>
      <c r="T1007" s="314" t="s">
        <v>1153</v>
      </c>
      <c r="U1007" s="314" t="s">
        <v>1153</v>
      </c>
      <c r="V1007" s="314" t="s">
        <v>114</v>
      </c>
      <c r="W1007" s="314"/>
      <c r="X1007" s="314" t="str">
        <f>VLOOKUP(D1007,代理总表!A:D,3,0)</f>
        <v>外部代理总线</v>
      </c>
      <c r="Y1007" t="str">
        <f>VLOOKUP(D:D,代理总表!A:D,4,FALSE)</f>
        <v>外部代理总线zh0808</v>
      </c>
      <c r="Z1007">
        <f t="shared" si="45"/>
        <v>0</v>
      </c>
      <c r="AA1007">
        <f t="shared" si="46"/>
        <v>8</v>
      </c>
      <c r="AB1007">
        <f t="shared" si="47"/>
        <v>1</v>
      </c>
    </row>
    <row r="1008" spans="1:28">
      <c r="A1008" s="314" t="s">
        <v>3590</v>
      </c>
      <c r="B1008" s="314"/>
      <c r="C1008" s="314"/>
      <c r="D1008" s="314" t="s">
        <v>116</v>
      </c>
      <c r="E1008" s="314" t="s">
        <v>117</v>
      </c>
      <c r="F1008" s="314" t="s">
        <v>118</v>
      </c>
      <c r="G1008" s="314" t="s">
        <v>108</v>
      </c>
      <c r="H1008" s="314" t="s">
        <v>119</v>
      </c>
      <c r="I1008" s="314" t="s">
        <v>108</v>
      </c>
      <c r="J1008" s="314" t="s">
        <v>120</v>
      </c>
      <c r="K1008" s="314">
        <v>0</v>
      </c>
      <c r="L1008" s="314">
        <v>0</v>
      </c>
      <c r="M1008" s="315">
        <v>45145.3522800926</v>
      </c>
      <c r="N1008" s="314" t="s">
        <v>3591</v>
      </c>
      <c r="O1008" s="314" t="s">
        <v>122</v>
      </c>
      <c r="P1008" s="314" t="s">
        <v>112</v>
      </c>
      <c r="Q1008" s="314" t="s">
        <v>123</v>
      </c>
      <c r="R1008" s="315">
        <v>45145.3536574074</v>
      </c>
      <c r="S1008" s="314" t="s">
        <v>3591</v>
      </c>
      <c r="T1008" s="314" t="s">
        <v>124</v>
      </c>
      <c r="U1008" s="314" t="s">
        <v>124</v>
      </c>
      <c r="V1008" s="314" t="s">
        <v>114</v>
      </c>
      <c r="W1008" s="314"/>
      <c r="X1008" s="314" t="str">
        <f>VLOOKUP(D1008,代理总表!A:D,3,0)</f>
        <v>外部代理总线</v>
      </c>
      <c r="Y1008" t="str">
        <f>VLOOKUP(D:D,代理总表!A:D,4,FALSE)</f>
        <v>外部代理总线zh0808</v>
      </c>
      <c r="Z1008">
        <f t="shared" si="45"/>
        <v>0</v>
      </c>
      <c r="AA1008">
        <f t="shared" si="46"/>
        <v>8</v>
      </c>
      <c r="AB1008">
        <f t="shared" si="47"/>
        <v>1</v>
      </c>
    </row>
    <row r="1009" spans="1:28">
      <c r="A1009" s="314" t="s">
        <v>3592</v>
      </c>
      <c r="B1009" s="314"/>
      <c r="C1009" s="314"/>
      <c r="D1009" s="314" t="s">
        <v>116</v>
      </c>
      <c r="E1009" s="314" t="s">
        <v>117</v>
      </c>
      <c r="F1009" s="314" t="s">
        <v>118</v>
      </c>
      <c r="G1009" s="314" t="s">
        <v>108</v>
      </c>
      <c r="H1009" s="314" t="s">
        <v>119</v>
      </c>
      <c r="I1009" s="314" t="s">
        <v>108</v>
      </c>
      <c r="J1009" s="314" t="s">
        <v>120</v>
      </c>
      <c r="K1009" s="314">
        <v>0</v>
      </c>
      <c r="L1009" s="314">
        <v>0</v>
      </c>
      <c r="M1009" s="315">
        <v>45145.3494444444</v>
      </c>
      <c r="N1009" s="314" t="s">
        <v>3593</v>
      </c>
      <c r="O1009" s="314" t="s">
        <v>122</v>
      </c>
      <c r="P1009" s="314" t="s">
        <v>112</v>
      </c>
      <c r="Q1009" s="314" t="s">
        <v>123</v>
      </c>
      <c r="R1009" s="315">
        <v>45145.3499074074</v>
      </c>
      <c r="S1009" s="314" t="s">
        <v>3593</v>
      </c>
      <c r="T1009" s="314" t="s">
        <v>131</v>
      </c>
      <c r="U1009" s="314" t="s">
        <v>131</v>
      </c>
      <c r="V1009" s="314" t="s">
        <v>114</v>
      </c>
      <c r="W1009" s="314"/>
      <c r="X1009" s="314" t="str">
        <f>VLOOKUP(D1009,代理总表!A:D,3,0)</f>
        <v>外部代理总线</v>
      </c>
      <c r="Y1009" t="str">
        <f>VLOOKUP(D:D,代理总表!A:D,4,FALSE)</f>
        <v>外部代理总线zh0808</v>
      </c>
      <c r="Z1009">
        <f t="shared" si="45"/>
        <v>0</v>
      </c>
      <c r="AA1009">
        <f t="shared" si="46"/>
        <v>8</v>
      </c>
      <c r="AB1009">
        <f t="shared" si="47"/>
        <v>1</v>
      </c>
    </row>
    <row r="1010" spans="1:28">
      <c r="A1010" s="314" t="s">
        <v>3594</v>
      </c>
      <c r="B1010" s="314"/>
      <c r="C1010" s="314"/>
      <c r="D1010" s="314" t="s">
        <v>116</v>
      </c>
      <c r="E1010" s="314" t="s">
        <v>117</v>
      </c>
      <c r="F1010" s="314" t="s">
        <v>118</v>
      </c>
      <c r="G1010" s="314" t="s">
        <v>108</v>
      </c>
      <c r="H1010" s="314" t="s">
        <v>119</v>
      </c>
      <c r="I1010" s="314" t="s">
        <v>108</v>
      </c>
      <c r="J1010" s="314" t="s">
        <v>120</v>
      </c>
      <c r="K1010" s="314">
        <v>0</v>
      </c>
      <c r="L1010" s="314">
        <v>0</v>
      </c>
      <c r="M1010" s="315">
        <v>45145.3445023148</v>
      </c>
      <c r="N1010" s="314" t="s">
        <v>3595</v>
      </c>
      <c r="O1010" s="314" t="s">
        <v>122</v>
      </c>
      <c r="P1010" s="314" t="s">
        <v>112</v>
      </c>
      <c r="Q1010" s="314" t="s">
        <v>123</v>
      </c>
      <c r="R1010" s="315">
        <v>45145.3445023148</v>
      </c>
      <c r="S1010" s="314" t="s">
        <v>3595</v>
      </c>
      <c r="T1010" s="314" t="s">
        <v>124</v>
      </c>
      <c r="U1010" s="314" t="s">
        <v>124</v>
      </c>
      <c r="V1010" s="314" t="s">
        <v>114</v>
      </c>
      <c r="W1010" s="314"/>
      <c r="X1010" s="314" t="str">
        <f>VLOOKUP(D1010,代理总表!A:D,3,0)</f>
        <v>外部代理总线</v>
      </c>
      <c r="Y1010" t="str">
        <f>VLOOKUP(D:D,代理总表!A:D,4,FALSE)</f>
        <v>外部代理总线zh0808</v>
      </c>
      <c r="Z1010">
        <f t="shared" si="45"/>
        <v>0</v>
      </c>
      <c r="AA1010">
        <f t="shared" si="46"/>
        <v>8</v>
      </c>
      <c r="AB1010">
        <f t="shared" si="47"/>
        <v>1</v>
      </c>
    </row>
    <row r="1011" spans="1:28">
      <c r="A1011" s="314" t="s">
        <v>3596</v>
      </c>
      <c r="B1011" s="314" t="s">
        <v>3597</v>
      </c>
      <c r="C1011" s="314">
        <v>395682348</v>
      </c>
      <c r="D1011" s="314" t="s">
        <v>1317</v>
      </c>
      <c r="E1011" s="314" t="s">
        <v>117</v>
      </c>
      <c r="F1011" s="314" t="s">
        <v>144</v>
      </c>
      <c r="G1011" s="314" t="s">
        <v>106</v>
      </c>
      <c r="H1011" s="314" t="s">
        <v>107</v>
      </c>
      <c r="I1011" s="314" t="s">
        <v>108</v>
      </c>
      <c r="J1011" s="314" t="s">
        <v>120</v>
      </c>
      <c r="K1011" s="314">
        <v>1300000</v>
      </c>
      <c r="L1011" s="314">
        <v>300000</v>
      </c>
      <c r="M1011" s="315">
        <v>45145.3441898148</v>
      </c>
      <c r="N1011" s="314" t="s">
        <v>3598</v>
      </c>
      <c r="O1011" s="314" t="s">
        <v>3599</v>
      </c>
      <c r="P1011" s="314" t="s">
        <v>112</v>
      </c>
      <c r="Q1011" s="315">
        <v>45145.8277314815</v>
      </c>
      <c r="R1011" s="315">
        <v>45145.8712731482</v>
      </c>
      <c r="S1011" s="314" t="s">
        <v>3600</v>
      </c>
      <c r="T1011" s="314" t="s">
        <v>1298</v>
      </c>
      <c r="U1011" s="314" t="s">
        <v>1298</v>
      </c>
      <c r="V1011" s="314" t="s">
        <v>114</v>
      </c>
      <c r="W1011" s="314"/>
      <c r="X1011" s="314" t="str">
        <f>VLOOKUP(D1011,代理总表!A:D,3,0)</f>
        <v>外部代理总线</v>
      </c>
      <c r="Y1011" t="str">
        <f>VLOOKUP(D:D,代理总表!A:D,4,FALSE)</f>
        <v>外部代理总线zh0808</v>
      </c>
      <c r="Z1011">
        <f t="shared" si="45"/>
        <v>1</v>
      </c>
      <c r="AA1011">
        <f t="shared" si="46"/>
        <v>8</v>
      </c>
      <c r="AB1011">
        <f t="shared" si="47"/>
        <v>1</v>
      </c>
    </row>
    <row r="1012" spans="1:28">
      <c r="A1012" s="314" t="s">
        <v>3601</v>
      </c>
      <c r="B1012" s="314"/>
      <c r="C1012" s="314">
        <v>369191116</v>
      </c>
      <c r="D1012" s="314" t="s">
        <v>651</v>
      </c>
      <c r="E1012" s="314" t="s">
        <v>117</v>
      </c>
      <c r="F1012" s="314" t="s">
        <v>118</v>
      </c>
      <c r="G1012" s="314" t="s">
        <v>108</v>
      </c>
      <c r="H1012" s="314" t="s">
        <v>119</v>
      </c>
      <c r="I1012" s="314" t="s">
        <v>108</v>
      </c>
      <c r="J1012" s="314" t="s">
        <v>120</v>
      </c>
      <c r="K1012" s="314">
        <v>0</v>
      </c>
      <c r="L1012" s="314">
        <v>0</v>
      </c>
      <c r="M1012" s="315">
        <v>45145.3419791667</v>
      </c>
      <c r="N1012" s="314" t="s">
        <v>3602</v>
      </c>
      <c r="O1012" s="314" t="s">
        <v>653</v>
      </c>
      <c r="P1012" s="314" t="s">
        <v>208</v>
      </c>
      <c r="Q1012" s="314" t="s">
        <v>123</v>
      </c>
      <c r="R1012" s="315">
        <v>45145.7979050926</v>
      </c>
      <c r="S1012" s="314" t="s">
        <v>3603</v>
      </c>
      <c r="T1012" s="314" t="s">
        <v>217</v>
      </c>
      <c r="U1012" s="314" t="s">
        <v>216</v>
      </c>
      <c r="V1012" s="314" t="s">
        <v>114</v>
      </c>
      <c r="W1012" s="314"/>
      <c r="X1012" s="314" t="str">
        <f>VLOOKUP(D1012,代理总表!A:D,3,0)</f>
        <v>雨燕直播-越</v>
      </c>
      <c r="Y1012" t="str">
        <f>VLOOKUP(D:D,代理总表!A:D,4,FALSE)</f>
        <v>雨燕直播-越ffvn66</v>
      </c>
      <c r="Z1012">
        <f t="shared" si="45"/>
        <v>0</v>
      </c>
      <c r="AA1012">
        <f t="shared" si="46"/>
        <v>8</v>
      </c>
      <c r="AB1012">
        <f t="shared" si="47"/>
        <v>1</v>
      </c>
    </row>
    <row r="1013" spans="1:28">
      <c r="A1013" s="314" t="s">
        <v>3604</v>
      </c>
      <c r="B1013" s="314"/>
      <c r="C1013" s="314">
        <v>15845607788</v>
      </c>
      <c r="D1013" s="314" t="s">
        <v>148</v>
      </c>
      <c r="E1013" s="314" t="s">
        <v>104</v>
      </c>
      <c r="F1013" s="314" t="s">
        <v>149</v>
      </c>
      <c r="G1013" s="314" t="s">
        <v>108</v>
      </c>
      <c r="H1013" s="314" t="s">
        <v>119</v>
      </c>
      <c r="I1013" s="314" t="s">
        <v>108</v>
      </c>
      <c r="J1013" s="314" t="s">
        <v>109</v>
      </c>
      <c r="K1013" s="314">
        <v>0</v>
      </c>
      <c r="L1013" s="314">
        <v>0</v>
      </c>
      <c r="M1013" s="315">
        <v>45145.3396527778</v>
      </c>
      <c r="N1013" s="314" t="s">
        <v>3605</v>
      </c>
      <c r="O1013" s="314" t="s">
        <v>585</v>
      </c>
      <c r="P1013" s="314" t="s">
        <v>112</v>
      </c>
      <c r="Q1013" s="314" t="s">
        <v>123</v>
      </c>
      <c r="R1013" s="315">
        <v>45145.3396412037</v>
      </c>
      <c r="S1013" s="314" t="s">
        <v>3605</v>
      </c>
      <c r="T1013" s="314" t="s">
        <v>3606</v>
      </c>
      <c r="U1013" s="314" t="s">
        <v>3606</v>
      </c>
      <c r="V1013" s="314" t="s">
        <v>114</v>
      </c>
      <c r="W1013" s="314"/>
      <c r="X1013" s="314" t="str">
        <f>VLOOKUP(D1013,代理总表!A:D,3,0)</f>
        <v>martin</v>
      </c>
      <c r="Y1013" t="str">
        <f>VLOOKUP(D:D,代理总表!A:D,4,FALSE)</f>
        <v>SEO</v>
      </c>
      <c r="Z1013">
        <f t="shared" si="45"/>
        <v>0</v>
      </c>
      <c r="AA1013">
        <f t="shared" si="46"/>
        <v>8</v>
      </c>
      <c r="AB1013">
        <f t="shared" si="47"/>
        <v>1</v>
      </c>
    </row>
    <row r="1014" spans="1:28">
      <c r="A1014" s="314" t="s">
        <v>3607</v>
      </c>
      <c r="B1014" s="314"/>
      <c r="C1014" s="314"/>
      <c r="D1014" s="314" t="s">
        <v>2657</v>
      </c>
      <c r="E1014" s="314" t="s">
        <v>117</v>
      </c>
      <c r="F1014" s="314" t="s">
        <v>118</v>
      </c>
      <c r="G1014" s="314" t="s">
        <v>108</v>
      </c>
      <c r="H1014" s="314" t="s">
        <v>119</v>
      </c>
      <c r="I1014" s="314" t="s">
        <v>108</v>
      </c>
      <c r="J1014" s="314" t="s">
        <v>120</v>
      </c>
      <c r="K1014" s="314">
        <v>0</v>
      </c>
      <c r="L1014" s="314">
        <v>0</v>
      </c>
      <c r="M1014" s="315">
        <v>45145.3369444444</v>
      </c>
      <c r="N1014" s="314" t="s">
        <v>3608</v>
      </c>
      <c r="O1014" s="314" t="s">
        <v>3609</v>
      </c>
      <c r="P1014" s="314" t="s">
        <v>112</v>
      </c>
      <c r="Q1014" s="314" t="s">
        <v>123</v>
      </c>
      <c r="R1014" s="315">
        <v>45145.3369328704</v>
      </c>
      <c r="S1014" s="314" t="s">
        <v>3608</v>
      </c>
      <c r="T1014" s="314" t="s">
        <v>1498</v>
      </c>
      <c r="U1014" s="314" t="s">
        <v>1498</v>
      </c>
      <c r="V1014" s="314" t="s">
        <v>114</v>
      </c>
      <c r="W1014" s="314"/>
      <c r="X1014" s="314" t="str">
        <f>VLOOKUP(D1014,代理总表!A:D,3,0)</f>
        <v>SOCO越南直播</v>
      </c>
      <c r="Y1014" t="str">
        <f>VLOOKUP(D:D,代理总表!A:D,4,FALSE)</f>
        <v>SOCO越南直播ffvn66</v>
      </c>
      <c r="Z1014">
        <f t="shared" si="45"/>
        <v>0</v>
      </c>
      <c r="AA1014">
        <f t="shared" si="46"/>
        <v>8</v>
      </c>
      <c r="AB1014">
        <f t="shared" si="47"/>
        <v>1</v>
      </c>
    </row>
    <row r="1015" spans="1:28">
      <c r="A1015" s="314" t="s">
        <v>3610</v>
      </c>
      <c r="B1015" s="314" t="s">
        <v>3611</v>
      </c>
      <c r="C1015" s="314">
        <v>19188784007</v>
      </c>
      <c r="D1015" s="314" t="s">
        <v>148</v>
      </c>
      <c r="E1015" s="314" t="s">
        <v>104</v>
      </c>
      <c r="F1015" s="314" t="s">
        <v>149</v>
      </c>
      <c r="G1015" s="314" t="s">
        <v>108</v>
      </c>
      <c r="H1015" s="314" t="s">
        <v>119</v>
      </c>
      <c r="I1015" s="314" t="s">
        <v>108</v>
      </c>
      <c r="J1015" s="314" t="s">
        <v>109</v>
      </c>
      <c r="K1015" s="314">
        <v>0</v>
      </c>
      <c r="L1015" s="314">
        <v>0</v>
      </c>
      <c r="M1015" s="315">
        <v>45145.3341319444</v>
      </c>
      <c r="N1015" s="314" t="s">
        <v>3612</v>
      </c>
      <c r="O1015" s="314" t="s">
        <v>585</v>
      </c>
      <c r="P1015" s="314" t="s">
        <v>112</v>
      </c>
      <c r="Q1015" s="314" t="s">
        <v>123</v>
      </c>
      <c r="R1015" s="315">
        <v>45145.3390046296</v>
      </c>
      <c r="S1015" s="314" t="s">
        <v>3612</v>
      </c>
      <c r="T1015" s="314" t="s">
        <v>3613</v>
      </c>
      <c r="U1015" s="314" t="s">
        <v>3613</v>
      </c>
      <c r="V1015" s="314" t="s">
        <v>114</v>
      </c>
      <c r="W1015" s="314"/>
      <c r="X1015" s="314" t="str">
        <f>VLOOKUP(D1015,代理总表!A:D,3,0)</f>
        <v>martin</v>
      </c>
      <c r="Y1015" t="str">
        <f>VLOOKUP(D:D,代理总表!A:D,4,FALSE)</f>
        <v>SEO</v>
      </c>
      <c r="Z1015">
        <f t="shared" si="45"/>
        <v>0</v>
      </c>
      <c r="AA1015">
        <f t="shared" si="46"/>
        <v>8</v>
      </c>
      <c r="AB1015">
        <f t="shared" si="47"/>
        <v>1</v>
      </c>
    </row>
    <row r="1016" spans="1:28">
      <c r="A1016" s="314" t="s">
        <v>3614</v>
      </c>
      <c r="B1016" s="314"/>
      <c r="C1016" s="314"/>
      <c r="D1016" s="314" t="s">
        <v>526</v>
      </c>
      <c r="E1016" s="314" t="s">
        <v>117</v>
      </c>
      <c r="F1016" s="314" t="s">
        <v>118</v>
      </c>
      <c r="G1016" s="314" t="s">
        <v>108</v>
      </c>
      <c r="H1016" s="314" t="s">
        <v>119</v>
      </c>
      <c r="I1016" s="314" t="s">
        <v>108</v>
      </c>
      <c r="J1016" s="314" t="s">
        <v>120</v>
      </c>
      <c r="K1016" s="314">
        <v>0</v>
      </c>
      <c r="L1016" s="314">
        <v>0</v>
      </c>
      <c r="M1016" s="315">
        <v>45145.3318055556</v>
      </c>
      <c r="N1016" s="314" t="s">
        <v>3615</v>
      </c>
      <c r="O1016" s="314" t="s">
        <v>528</v>
      </c>
      <c r="P1016" s="314" t="s">
        <v>112</v>
      </c>
      <c r="Q1016" s="314" t="s">
        <v>123</v>
      </c>
      <c r="R1016" s="315">
        <v>45145.3317939815</v>
      </c>
      <c r="S1016" s="314" t="s">
        <v>3615</v>
      </c>
      <c r="T1016" s="314" t="s">
        <v>131</v>
      </c>
      <c r="U1016" s="314" t="s">
        <v>131</v>
      </c>
      <c r="V1016" s="314" t="s">
        <v>114</v>
      </c>
      <c r="W1016" s="314"/>
      <c r="X1016" s="314" t="str">
        <f>VLOOKUP(D1016,代理总表!A:D,3,0)</f>
        <v>SOCO越南直播</v>
      </c>
      <c r="Y1016" t="str">
        <f>VLOOKUP(D:D,代理总表!A:D,4,FALSE)</f>
        <v>SOCO越南直播ffvn66</v>
      </c>
      <c r="Z1016">
        <f t="shared" si="45"/>
        <v>0</v>
      </c>
      <c r="AA1016">
        <f t="shared" si="46"/>
        <v>7</v>
      </c>
      <c r="AB1016">
        <f t="shared" si="47"/>
        <v>1</v>
      </c>
    </row>
    <row r="1017" spans="1:28">
      <c r="A1017" s="314" t="s">
        <v>3616</v>
      </c>
      <c r="B1017" s="314" t="s">
        <v>3617</v>
      </c>
      <c r="C1017" s="314">
        <v>569609975</v>
      </c>
      <c r="D1017" s="314" t="s">
        <v>197</v>
      </c>
      <c r="E1017" s="314" t="s">
        <v>117</v>
      </c>
      <c r="F1017" s="314" t="s">
        <v>144</v>
      </c>
      <c r="G1017" s="314" t="s">
        <v>106</v>
      </c>
      <c r="H1017" s="314" t="s">
        <v>107</v>
      </c>
      <c r="I1017" s="314" t="s">
        <v>108</v>
      </c>
      <c r="J1017" s="314" t="s">
        <v>120</v>
      </c>
      <c r="K1017" s="314">
        <v>350000</v>
      </c>
      <c r="L1017" s="314">
        <v>4000000</v>
      </c>
      <c r="M1017" s="315">
        <v>45145.3184375</v>
      </c>
      <c r="N1017" s="314" t="s">
        <v>1766</v>
      </c>
      <c r="O1017" s="314" t="s">
        <v>875</v>
      </c>
      <c r="P1017" s="314" t="s">
        <v>112</v>
      </c>
      <c r="Q1017" s="315">
        <v>45145.6506018518</v>
      </c>
      <c r="R1017" s="315">
        <v>45145.6494675926</v>
      </c>
      <c r="S1017" s="314" t="s">
        <v>1766</v>
      </c>
      <c r="T1017" s="314" t="s">
        <v>131</v>
      </c>
      <c r="U1017" s="314" t="s">
        <v>131</v>
      </c>
      <c r="V1017" s="314" t="s">
        <v>114</v>
      </c>
      <c r="W1017" s="314"/>
      <c r="X1017" s="314" t="str">
        <f>VLOOKUP(D1017,代理总表!A:D,3,0)</f>
        <v>雨燕直播-越</v>
      </c>
      <c r="Y1017" t="str">
        <f>VLOOKUP(D:D,代理总表!A:D,4,FALSE)</f>
        <v>雨燕直播-越ffvn66</v>
      </c>
      <c r="Z1017">
        <f t="shared" si="45"/>
        <v>1</v>
      </c>
      <c r="AA1017">
        <f t="shared" si="46"/>
        <v>7</v>
      </c>
      <c r="AB1017">
        <f t="shared" si="47"/>
        <v>1</v>
      </c>
    </row>
    <row r="1018" spans="1:28">
      <c r="A1018" s="314" t="s">
        <v>3618</v>
      </c>
      <c r="B1018" s="314" t="s">
        <v>3619</v>
      </c>
      <c r="C1018" s="314">
        <v>914565980</v>
      </c>
      <c r="D1018" s="314" t="s">
        <v>651</v>
      </c>
      <c r="E1018" s="314" t="s">
        <v>117</v>
      </c>
      <c r="F1018" s="314" t="s">
        <v>118</v>
      </c>
      <c r="G1018" s="314" t="s">
        <v>108</v>
      </c>
      <c r="H1018" s="314" t="s">
        <v>119</v>
      </c>
      <c r="I1018" s="314" t="s">
        <v>108</v>
      </c>
      <c r="J1018" s="314" t="s">
        <v>120</v>
      </c>
      <c r="K1018" s="314">
        <v>0</v>
      </c>
      <c r="L1018" s="314">
        <v>0</v>
      </c>
      <c r="M1018" s="315">
        <v>45145.3177546296</v>
      </c>
      <c r="N1018" s="314" t="s">
        <v>3620</v>
      </c>
      <c r="O1018" s="314" t="s">
        <v>653</v>
      </c>
      <c r="P1018" s="314" t="s">
        <v>112</v>
      </c>
      <c r="Q1018" s="314" t="s">
        <v>123</v>
      </c>
      <c r="R1018" s="315">
        <v>45145.6966203704</v>
      </c>
      <c r="S1018" s="314" t="s">
        <v>3621</v>
      </c>
      <c r="T1018" s="314" t="s">
        <v>124</v>
      </c>
      <c r="U1018" s="314" t="s">
        <v>3370</v>
      </c>
      <c r="V1018" s="314" t="s">
        <v>114</v>
      </c>
      <c r="W1018" s="314"/>
      <c r="X1018" s="314" t="str">
        <f>VLOOKUP(D1018,代理总表!A:D,3,0)</f>
        <v>雨燕直播-越</v>
      </c>
      <c r="Y1018" t="str">
        <f>VLOOKUP(D:D,代理总表!A:D,4,FALSE)</f>
        <v>雨燕直播-越ffvn66</v>
      </c>
      <c r="Z1018">
        <f t="shared" si="45"/>
        <v>0</v>
      </c>
      <c r="AA1018">
        <f t="shared" si="46"/>
        <v>7</v>
      </c>
      <c r="AB1018">
        <f t="shared" si="47"/>
        <v>1</v>
      </c>
    </row>
    <row r="1019" spans="1:28">
      <c r="A1019" s="314" t="s">
        <v>3622</v>
      </c>
      <c r="B1019" s="314"/>
      <c r="C1019" s="314">
        <v>15062525452</v>
      </c>
      <c r="D1019" s="314" t="s">
        <v>148</v>
      </c>
      <c r="E1019" s="314" t="s">
        <v>104</v>
      </c>
      <c r="F1019" s="314" t="s">
        <v>149</v>
      </c>
      <c r="G1019" s="314" t="s">
        <v>108</v>
      </c>
      <c r="H1019" s="314" t="s">
        <v>119</v>
      </c>
      <c r="I1019" s="314" t="s">
        <v>108</v>
      </c>
      <c r="J1019" s="314" t="s">
        <v>109</v>
      </c>
      <c r="K1019" s="314">
        <v>0</v>
      </c>
      <c r="L1019" s="314">
        <v>0</v>
      </c>
      <c r="M1019" s="315">
        <v>45145.3176736111</v>
      </c>
      <c r="N1019" s="314" t="s">
        <v>3623</v>
      </c>
      <c r="O1019" s="314" t="s">
        <v>585</v>
      </c>
      <c r="P1019" s="314" t="s">
        <v>112</v>
      </c>
      <c r="Q1019" s="314" t="s">
        <v>123</v>
      </c>
      <c r="R1019" s="315">
        <v>45145.3200578704</v>
      </c>
      <c r="S1019" s="314" t="s">
        <v>3623</v>
      </c>
      <c r="T1019" s="314" t="s">
        <v>152</v>
      </c>
      <c r="U1019" s="314" t="s">
        <v>152</v>
      </c>
      <c r="V1019" s="314" t="s">
        <v>114</v>
      </c>
      <c r="W1019" s="314"/>
      <c r="X1019" s="314" t="str">
        <f>VLOOKUP(D1019,代理总表!A:D,3,0)</f>
        <v>martin</v>
      </c>
      <c r="Y1019" t="str">
        <f>VLOOKUP(D:D,代理总表!A:D,4,FALSE)</f>
        <v>SEO</v>
      </c>
      <c r="Z1019">
        <f t="shared" si="45"/>
        <v>0</v>
      </c>
      <c r="AA1019">
        <f t="shared" si="46"/>
        <v>7</v>
      </c>
      <c r="AB1019">
        <f t="shared" si="47"/>
        <v>1</v>
      </c>
    </row>
    <row r="1020" spans="1:28">
      <c r="A1020" s="314" t="s">
        <v>3624</v>
      </c>
      <c r="B1020" s="314"/>
      <c r="C1020" s="314">
        <v>902278822</v>
      </c>
      <c r="D1020" s="314" t="s">
        <v>522</v>
      </c>
      <c r="E1020" s="314" t="s">
        <v>117</v>
      </c>
      <c r="F1020" s="314" t="s">
        <v>118</v>
      </c>
      <c r="G1020" s="314" t="s">
        <v>108</v>
      </c>
      <c r="H1020" s="314" t="s">
        <v>119</v>
      </c>
      <c r="I1020" s="314" t="s">
        <v>108</v>
      </c>
      <c r="J1020" s="314" t="s">
        <v>120</v>
      </c>
      <c r="K1020" s="314">
        <v>0</v>
      </c>
      <c r="L1020" s="314">
        <v>0</v>
      </c>
      <c r="M1020" s="315">
        <v>45145.3167361111</v>
      </c>
      <c r="N1020" s="314" t="s">
        <v>3625</v>
      </c>
      <c r="O1020" s="314" t="s">
        <v>524</v>
      </c>
      <c r="P1020" s="314" t="s">
        <v>161</v>
      </c>
      <c r="Q1020" s="314" t="s">
        <v>123</v>
      </c>
      <c r="R1020" s="315">
        <v>45145.3178125</v>
      </c>
      <c r="S1020" s="314" t="s">
        <v>3625</v>
      </c>
      <c r="T1020" s="314" t="s">
        <v>975</v>
      </c>
      <c r="U1020" s="314" t="s">
        <v>975</v>
      </c>
      <c r="V1020" s="314" t="s">
        <v>114</v>
      </c>
      <c r="W1020" s="314"/>
      <c r="X1020" s="314" t="str">
        <f>VLOOKUP(D1020,代理总表!A:D,3,0)</f>
        <v>SOCO越南直播</v>
      </c>
      <c r="Y1020" t="str">
        <f>VLOOKUP(D:D,代理总表!A:D,4,FALSE)</f>
        <v>SOCO越南直播ffvn66</v>
      </c>
      <c r="Z1020">
        <f t="shared" si="45"/>
        <v>0</v>
      </c>
      <c r="AA1020">
        <f t="shared" si="46"/>
        <v>7</v>
      </c>
      <c r="AB1020">
        <f t="shared" si="47"/>
        <v>1</v>
      </c>
    </row>
    <row r="1021" spans="1:28">
      <c r="A1021" s="314" t="s">
        <v>3626</v>
      </c>
      <c r="B1021" s="314"/>
      <c r="C1021" s="314"/>
      <c r="D1021" s="314" t="s">
        <v>550</v>
      </c>
      <c r="E1021" s="314" t="s">
        <v>117</v>
      </c>
      <c r="F1021" s="314" t="s">
        <v>118</v>
      </c>
      <c r="G1021" s="314" t="s">
        <v>108</v>
      </c>
      <c r="H1021" s="314" t="s">
        <v>119</v>
      </c>
      <c r="I1021" s="314" t="s">
        <v>108</v>
      </c>
      <c r="J1021" s="314" t="s">
        <v>120</v>
      </c>
      <c r="K1021" s="314">
        <v>0</v>
      </c>
      <c r="L1021" s="314">
        <v>0</v>
      </c>
      <c r="M1021" s="315">
        <v>45145.3134837963</v>
      </c>
      <c r="N1021" s="314" t="s">
        <v>3627</v>
      </c>
      <c r="O1021" s="314" t="s">
        <v>1134</v>
      </c>
      <c r="P1021" s="314" t="s">
        <v>112</v>
      </c>
      <c r="Q1021" s="314" t="s">
        <v>123</v>
      </c>
      <c r="R1021" s="315">
        <v>45145.3134837963</v>
      </c>
      <c r="S1021" s="314" t="s">
        <v>3627</v>
      </c>
      <c r="T1021" s="314" t="s">
        <v>1072</v>
      </c>
      <c r="U1021" s="314" t="s">
        <v>1072</v>
      </c>
      <c r="V1021" s="314" t="s">
        <v>114</v>
      </c>
      <c r="W1021" s="314"/>
      <c r="X1021" s="314" t="str">
        <f>VLOOKUP(D1021,代理总表!A:D,3,0)</f>
        <v>SOCO越南直播</v>
      </c>
      <c r="Y1021" t="str">
        <f>VLOOKUP(D:D,代理总表!A:D,4,FALSE)</f>
        <v>SOCO越南直播ffvn66</v>
      </c>
      <c r="Z1021">
        <f t="shared" si="45"/>
        <v>0</v>
      </c>
      <c r="AA1021">
        <f t="shared" si="46"/>
        <v>7</v>
      </c>
      <c r="AB1021">
        <f t="shared" si="47"/>
        <v>1</v>
      </c>
    </row>
    <row r="1022" spans="1:28">
      <c r="A1022" s="314" t="s">
        <v>3628</v>
      </c>
      <c r="B1022" s="314"/>
      <c r="C1022" s="314"/>
      <c r="D1022" s="314" t="s">
        <v>2712</v>
      </c>
      <c r="E1022" s="314" t="s">
        <v>104</v>
      </c>
      <c r="F1022" s="314" t="s">
        <v>118</v>
      </c>
      <c r="G1022" s="314" t="s">
        <v>108</v>
      </c>
      <c r="H1022" s="314" t="s">
        <v>119</v>
      </c>
      <c r="I1022" s="314" t="s">
        <v>108</v>
      </c>
      <c r="J1022" s="314" t="s">
        <v>109</v>
      </c>
      <c r="K1022" s="314">
        <v>0</v>
      </c>
      <c r="L1022" s="314">
        <v>0</v>
      </c>
      <c r="M1022" s="315">
        <v>45145.3129976852</v>
      </c>
      <c r="N1022" s="314" t="s">
        <v>3629</v>
      </c>
      <c r="O1022" s="314" t="s">
        <v>3630</v>
      </c>
      <c r="P1022" s="314" t="s">
        <v>112</v>
      </c>
      <c r="Q1022" s="314" t="s">
        <v>123</v>
      </c>
      <c r="R1022" s="315">
        <v>45145.3129976852</v>
      </c>
      <c r="S1022" s="314" t="s">
        <v>3629</v>
      </c>
      <c r="T1022" s="314" t="s">
        <v>3631</v>
      </c>
      <c r="U1022" s="314" t="s">
        <v>3631</v>
      </c>
      <c r="V1022" s="314" t="s">
        <v>114</v>
      </c>
      <c r="W1022" s="314"/>
      <c r="X1022" s="314" t="str">
        <f>VLOOKUP(D1022,代理总表!A:D,3,0)</f>
        <v>178直播</v>
      </c>
      <c r="Y1022" t="str">
        <f>VLOOKUP(D:D,代理总表!A:D,4,FALSE)</f>
        <v>178直播rg1888</v>
      </c>
      <c r="Z1022">
        <f t="shared" si="45"/>
        <v>0</v>
      </c>
      <c r="AA1022">
        <f t="shared" si="46"/>
        <v>7</v>
      </c>
      <c r="AB1022">
        <f t="shared" si="47"/>
        <v>1</v>
      </c>
    </row>
    <row r="1023" spans="1:28">
      <c r="A1023" s="314" t="s">
        <v>3632</v>
      </c>
      <c r="B1023" s="314"/>
      <c r="C1023" s="314"/>
      <c r="D1023" s="314" t="s">
        <v>116</v>
      </c>
      <c r="E1023" s="314" t="s">
        <v>117</v>
      </c>
      <c r="F1023" s="314" t="s">
        <v>118</v>
      </c>
      <c r="G1023" s="314" t="s">
        <v>108</v>
      </c>
      <c r="H1023" s="314" t="s">
        <v>119</v>
      </c>
      <c r="I1023" s="314" t="s">
        <v>108</v>
      </c>
      <c r="J1023" s="314" t="s">
        <v>120</v>
      </c>
      <c r="K1023" s="314">
        <v>0</v>
      </c>
      <c r="L1023" s="314">
        <v>0</v>
      </c>
      <c r="M1023" s="315">
        <v>45145.3119791667</v>
      </c>
      <c r="N1023" s="314" t="s">
        <v>3633</v>
      </c>
      <c r="O1023" s="314" t="s">
        <v>127</v>
      </c>
      <c r="P1023" s="314" t="s">
        <v>112</v>
      </c>
      <c r="Q1023" s="314" t="s">
        <v>123</v>
      </c>
      <c r="R1023" s="315">
        <v>45145.3119675926</v>
      </c>
      <c r="S1023" s="314" t="s">
        <v>3633</v>
      </c>
      <c r="T1023" s="314" t="s">
        <v>1790</v>
      </c>
      <c r="U1023" s="314" t="s">
        <v>1790</v>
      </c>
      <c r="V1023" s="314" t="s">
        <v>114</v>
      </c>
      <c r="W1023" s="314"/>
      <c r="X1023" s="314" t="str">
        <f>VLOOKUP(D1023,代理总表!A:D,3,0)</f>
        <v>外部代理总线</v>
      </c>
      <c r="Y1023" t="str">
        <f>VLOOKUP(D:D,代理总表!A:D,4,FALSE)</f>
        <v>外部代理总线zh0808</v>
      </c>
      <c r="Z1023">
        <f t="shared" si="45"/>
        <v>0</v>
      </c>
      <c r="AA1023">
        <f t="shared" si="46"/>
        <v>7</v>
      </c>
      <c r="AB1023">
        <f t="shared" si="47"/>
        <v>1</v>
      </c>
    </row>
    <row r="1024" spans="1:28">
      <c r="A1024" s="314" t="s">
        <v>3634</v>
      </c>
      <c r="B1024" s="314"/>
      <c r="C1024" s="314">
        <v>338510251</v>
      </c>
      <c r="D1024" s="314" t="s">
        <v>1021</v>
      </c>
      <c r="E1024" s="314" t="s">
        <v>117</v>
      </c>
      <c r="F1024" s="314" t="s">
        <v>118</v>
      </c>
      <c r="G1024" s="314" t="s">
        <v>108</v>
      </c>
      <c r="H1024" s="314" t="s">
        <v>119</v>
      </c>
      <c r="I1024" s="314" t="s">
        <v>108</v>
      </c>
      <c r="J1024" s="314" t="s">
        <v>120</v>
      </c>
      <c r="K1024" s="314">
        <v>0</v>
      </c>
      <c r="L1024" s="314">
        <v>0</v>
      </c>
      <c r="M1024" s="315">
        <v>45145.3062037037</v>
      </c>
      <c r="N1024" s="314" t="s">
        <v>3635</v>
      </c>
      <c r="O1024" s="314" t="s">
        <v>1023</v>
      </c>
      <c r="P1024" s="314" t="s">
        <v>112</v>
      </c>
      <c r="Q1024" s="314" t="s">
        <v>123</v>
      </c>
      <c r="R1024" s="315">
        <v>45145.3061921296</v>
      </c>
      <c r="S1024" s="314" t="s">
        <v>3635</v>
      </c>
      <c r="T1024" s="314" t="s">
        <v>216</v>
      </c>
      <c r="U1024" s="314" t="s">
        <v>216</v>
      </c>
      <c r="V1024" s="314" t="s">
        <v>114</v>
      </c>
      <c r="W1024" s="314"/>
      <c r="X1024" s="314" t="str">
        <f>VLOOKUP(D1024,代理总表!A:D,3,0)</f>
        <v>SOCO越南直播</v>
      </c>
      <c r="Y1024" t="str">
        <f>VLOOKUP(D:D,代理总表!A:D,4,FALSE)</f>
        <v>SOCO越南直播ffvn66</v>
      </c>
      <c r="Z1024">
        <f t="shared" si="45"/>
        <v>0</v>
      </c>
      <c r="AA1024">
        <f t="shared" si="46"/>
        <v>7</v>
      </c>
      <c r="AB1024">
        <f t="shared" si="47"/>
        <v>1</v>
      </c>
    </row>
    <row r="1025" spans="1:28">
      <c r="A1025" s="314" t="s">
        <v>3636</v>
      </c>
      <c r="B1025" s="314"/>
      <c r="C1025" s="314"/>
      <c r="D1025" s="314" t="s">
        <v>651</v>
      </c>
      <c r="E1025" s="314" t="s">
        <v>117</v>
      </c>
      <c r="F1025" s="314" t="s">
        <v>118</v>
      </c>
      <c r="G1025" s="314" t="s">
        <v>108</v>
      </c>
      <c r="H1025" s="314" t="s">
        <v>119</v>
      </c>
      <c r="I1025" s="314" t="s">
        <v>108</v>
      </c>
      <c r="J1025" s="314" t="s">
        <v>120</v>
      </c>
      <c r="K1025" s="314">
        <v>0</v>
      </c>
      <c r="L1025" s="314">
        <v>0</v>
      </c>
      <c r="M1025" s="315">
        <v>45145.3059259259</v>
      </c>
      <c r="N1025" s="314" t="s">
        <v>3637</v>
      </c>
      <c r="O1025" s="314" t="s">
        <v>653</v>
      </c>
      <c r="P1025" s="314" t="s">
        <v>112</v>
      </c>
      <c r="Q1025" s="314" t="s">
        <v>123</v>
      </c>
      <c r="R1025" s="315">
        <v>45145.3273032407</v>
      </c>
      <c r="S1025" s="314" t="s">
        <v>3637</v>
      </c>
      <c r="T1025" s="314" t="s">
        <v>124</v>
      </c>
      <c r="U1025" s="314" t="s">
        <v>124</v>
      </c>
      <c r="V1025" s="314" t="s">
        <v>114</v>
      </c>
      <c r="W1025" s="314"/>
      <c r="X1025" s="314" t="str">
        <f>VLOOKUP(D1025,代理总表!A:D,3,0)</f>
        <v>雨燕直播-越</v>
      </c>
      <c r="Y1025" t="str">
        <f>VLOOKUP(D:D,代理总表!A:D,4,FALSE)</f>
        <v>雨燕直播-越ffvn66</v>
      </c>
      <c r="Z1025">
        <f t="shared" si="45"/>
        <v>0</v>
      </c>
      <c r="AA1025">
        <f t="shared" si="46"/>
        <v>7</v>
      </c>
      <c r="AB1025">
        <f t="shared" si="47"/>
        <v>1</v>
      </c>
    </row>
    <row r="1026" spans="1:28">
      <c r="A1026" s="314" t="s">
        <v>3638</v>
      </c>
      <c r="B1026" s="314"/>
      <c r="C1026" s="314">
        <v>769047782</v>
      </c>
      <c r="D1026" s="314" t="s">
        <v>3307</v>
      </c>
      <c r="E1026" s="314" t="s">
        <v>117</v>
      </c>
      <c r="F1026" s="314" t="s">
        <v>149</v>
      </c>
      <c r="G1026" s="314" t="s">
        <v>108</v>
      </c>
      <c r="H1026" s="314" t="s">
        <v>119</v>
      </c>
      <c r="I1026" s="314" t="s">
        <v>108</v>
      </c>
      <c r="J1026" s="314" t="s">
        <v>120</v>
      </c>
      <c r="K1026" s="314">
        <v>0</v>
      </c>
      <c r="L1026" s="314">
        <v>0</v>
      </c>
      <c r="M1026" s="315">
        <v>45145.3055787037</v>
      </c>
      <c r="N1026" s="314" t="s">
        <v>3639</v>
      </c>
      <c r="O1026" s="314" t="s">
        <v>3309</v>
      </c>
      <c r="P1026" s="314" t="s">
        <v>112</v>
      </c>
      <c r="Q1026" s="314" t="s">
        <v>123</v>
      </c>
      <c r="R1026" s="315">
        <v>45145.3353587963</v>
      </c>
      <c r="S1026" s="314" t="s">
        <v>3639</v>
      </c>
      <c r="T1026" s="314" t="s">
        <v>228</v>
      </c>
      <c r="U1026" s="314" t="s">
        <v>228</v>
      </c>
      <c r="V1026" s="314" t="s">
        <v>114</v>
      </c>
      <c r="W1026" s="314"/>
      <c r="X1026" s="314" t="str">
        <f>VLOOKUP(D1026,代理总表!A:D,3,0)</f>
        <v>Cyrus</v>
      </c>
      <c r="Y1026" t="str">
        <f>VLOOKUP(D:D,代理总表!A:D,4,FALSE)</f>
        <v>SEO</v>
      </c>
      <c r="Z1026">
        <f t="shared" si="45"/>
        <v>0</v>
      </c>
      <c r="AA1026">
        <f t="shared" si="46"/>
        <v>7</v>
      </c>
      <c r="AB1026">
        <f t="shared" si="47"/>
        <v>1</v>
      </c>
    </row>
    <row r="1027" spans="1:28">
      <c r="A1027" s="314" t="s">
        <v>3640</v>
      </c>
      <c r="B1027" s="314"/>
      <c r="C1027" s="314"/>
      <c r="D1027" s="314" t="s">
        <v>240</v>
      </c>
      <c r="E1027" s="314" t="s">
        <v>104</v>
      </c>
      <c r="F1027" s="314" t="s">
        <v>149</v>
      </c>
      <c r="G1027" s="314" t="s">
        <v>108</v>
      </c>
      <c r="H1027" s="314" t="s">
        <v>119</v>
      </c>
      <c r="I1027" s="314" t="s">
        <v>108</v>
      </c>
      <c r="J1027" s="314" t="s">
        <v>109</v>
      </c>
      <c r="K1027" s="314">
        <v>0</v>
      </c>
      <c r="L1027" s="314">
        <v>0</v>
      </c>
      <c r="M1027" s="315">
        <v>45145.3039930556</v>
      </c>
      <c r="N1027" s="314" t="s">
        <v>3641</v>
      </c>
      <c r="O1027" s="314" t="s">
        <v>242</v>
      </c>
      <c r="P1027" s="314" t="s">
        <v>112</v>
      </c>
      <c r="Q1027" s="314" t="s">
        <v>123</v>
      </c>
      <c r="R1027" s="315">
        <v>45145.3039814815</v>
      </c>
      <c r="S1027" s="314" t="s">
        <v>3641</v>
      </c>
      <c r="T1027" s="314" t="s">
        <v>3642</v>
      </c>
      <c r="U1027" s="314" t="s">
        <v>3642</v>
      </c>
      <c r="V1027" s="314" t="s">
        <v>114</v>
      </c>
      <c r="W1027" s="314"/>
      <c r="X1027" s="314" t="str">
        <f>VLOOKUP(D1027,代理总表!A:D,3,0)</f>
        <v>SEO邀请</v>
      </c>
      <c r="Y1027" t="str">
        <f>VLOOKUP(D:D,代理总表!A:D,4,FALSE)</f>
        <v>SEO</v>
      </c>
      <c r="Z1027">
        <f t="shared" ref="Z1027:Z1090" si="48">IF(RIGHT(H1027,1)&gt;"0",1,0)</f>
        <v>0</v>
      </c>
      <c r="AA1027">
        <f t="shared" ref="AA1027:AA1090" si="49">HOUR(M1027)</f>
        <v>7</v>
      </c>
      <c r="AB1027">
        <f t="shared" ref="AB1027:AB1090" si="50">IF(AE1027=AF1027,1,0)</f>
        <v>1</v>
      </c>
    </row>
    <row r="1028" spans="1:28">
      <c r="A1028" s="314" t="s">
        <v>3643</v>
      </c>
      <c r="B1028" s="314" t="s">
        <v>3644</v>
      </c>
      <c r="C1028" s="314">
        <v>923791548</v>
      </c>
      <c r="D1028" s="314" t="s">
        <v>197</v>
      </c>
      <c r="E1028" s="314" t="s">
        <v>117</v>
      </c>
      <c r="F1028" s="314" t="s">
        <v>144</v>
      </c>
      <c r="G1028" s="314" t="s">
        <v>106</v>
      </c>
      <c r="H1028" s="314" t="s">
        <v>107</v>
      </c>
      <c r="I1028" s="314" t="s">
        <v>108</v>
      </c>
      <c r="J1028" s="314" t="s">
        <v>120</v>
      </c>
      <c r="K1028" s="314">
        <v>98000</v>
      </c>
      <c r="L1028" s="314">
        <v>8800000</v>
      </c>
      <c r="M1028" s="315">
        <v>45145.2996759259</v>
      </c>
      <c r="N1028" s="314" t="s">
        <v>3410</v>
      </c>
      <c r="O1028" s="314" t="s">
        <v>875</v>
      </c>
      <c r="P1028" s="314" t="s">
        <v>112</v>
      </c>
      <c r="Q1028" s="315">
        <v>45145.3064467593</v>
      </c>
      <c r="R1028" s="315">
        <v>45145.4114814815</v>
      </c>
      <c r="S1028" s="314" t="s">
        <v>3410</v>
      </c>
      <c r="T1028" s="314" t="s">
        <v>216</v>
      </c>
      <c r="U1028" s="314" t="s">
        <v>216</v>
      </c>
      <c r="V1028" s="314" t="s">
        <v>114</v>
      </c>
      <c r="W1028" s="314"/>
      <c r="X1028" s="314" t="str">
        <f>VLOOKUP(D1028,代理总表!A:D,3,0)</f>
        <v>雨燕直播-越</v>
      </c>
      <c r="Y1028" t="str">
        <f>VLOOKUP(D:D,代理总表!A:D,4,FALSE)</f>
        <v>雨燕直播-越ffvn66</v>
      </c>
      <c r="Z1028">
        <f t="shared" si="48"/>
        <v>1</v>
      </c>
      <c r="AA1028">
        <f t="shared" si="49"/>
        <v>7</v>
      </c>
      <c r="AB1028">
        <f t="shared" si="50"/>
        <v>1</v>
      </c>
    </row>
    <row r="1029" spans="1:28">
      <c r="A1029" s="314" t="s">
        <v>3645</v>
      </c>
      <c r="B1029" s="314" t="s">
        <v>3646</v>
      </c>
      <c r="C1029" s="314">
        <v>13476957250</v>
      </c>
      <c r="D1029" s="314" t="s">
        <v>294</v>
      </c>
      <c r="E1029" s="314" t="s">
        <v>104</v>
      </c>
      <c r="F1029" s="314" t="s">
        <v>1214</v>
      </c>
      <c r="G1029" s="314" t="s">
        <v>106</v>
      </c>
      <c r="H1029" s="314" t="s">
        <v>107</v>
      </c>
      <c r="I1029" s="314" t="s">
        <v>108</v>
      </c>
      <c r="J1029" s="314" t="s">
        <v>109</v>
      </c>
      <c r="K1029" s="314">
        <v>101.82</v>
      </c>
      <c r="L1029" s="314">
        <v>300</v>
      </c>
      <c r="M1029" s="315">
        <v>45145.2995138889</v>
      </c>
      <c r="N1029" s="314" t="s">
        <v>3647</v>
      </c>
      <c r="O1029" s="314" t="s">
        <v>297</v>
      </c>
      <c r="P1029" s="314" t="s">
        <v>161</v>
      </c>
      <c r="Q1029" s="315">
        <v>45145.3029976852</v>
      </c>
      <c r="R1029" s="315">
        <v>45146.0473611111</v>
      </c>
      <c r="S1029" s="314" t="s">
        <v>3648</v>
      </c>
      <c r="T1029" s="314" t="s">
        <v>3649</v>
      </c>
      <c r="U1029" s="314" t="s">
        <v>1692</v>
      </c>
      <c r="V1029" s="314" t="s">
        <v>114</v>
      </c>
      <c r="W1029" s="314"/>
      <c r="X1029" s="314" t="str">
        <f>VLOOKUP(D1029,代理总表!A:D,3,0)</f>
        <v>DK</v>
      </c>
      <c r="Y1029" t="str">
        <f>VLOOKUP(D:D,代理总表!A:D,4,FALSE)</f>
        <v>SEO</v>
      </c>
      <c r="Z1029">
        <f t="shared" si="48"/>
        <v>1</v>
      </c>
      <c r="AA1029">
        <f t="shared" si="49"/>
        <v>7</v>
      </c>
      <c r="AB1029">
        <f t="shared" si="50"/>
        <v>1</v>
      </c>
    </row>
    <row r="1030" spans="1:28">
      <c r="A1030" s="314" t="s">
        <v>3650</v>
      </c>
      <c r="B1030" s="314"/>
      <c r="C1030" s="314">
        <v>987839648</v>
      </c>
      <c r="D1030" s="314" t="s">
        <v>116</v>
      </c>
      <c r="E1030" s="314" t="s">
        <v>117</v>
      </c>
      <c r="F1030" s="314" t="s">
        <v>118</v>
      </c>
      <c r="G1030" s="314" t="s">
        <v>108</v>
      </c>
      <c r="H1030" s="314" t="s">
        <v>119</v>
      </c>
      <c r="I1030" s="314" t="s">
        <v>108</v>
      </c>
      <c r="J1030" s="314" t="s">
        <v>120</v>
      </c>
      <c r="K1030" s="314">
        <v>0</v>
      </c>
      <c r="L1030" s="314">
        <v>0</v>
      </c>
      <c r="M1030" s="315">
        <v>45145.2995023148</v>
      </c>
      <c r="N1030" s="314" t="s">
        <v>3651</v>
      </c>
      <c r="O1030" s="314" t="s">
        <v>122</v>
      </c>
      <c r="P1030" s="314" t="s">
        <v>112</v>
      </c>
      <c r="Q1030" s="314" t="s">
        <v>123</v>
      </c>
      <c r="R1030" s="315">
        <v>45145.2994907407</v>
      </c>
      <c r="S1030" s="314" t="s">
        <v>3651</v>
      </c>
      <c r="T1030" s="314" t="s">
        <v>124</v>
      </c>
      <c r="U1030" s="314" t="s">
        <v>124</v>
      </c>
      <c r="V1030" s="314" t="s">
        <v>114</v>
      </c>
      <c r="W1030" s="314"/>
      <c r="X1030" s="314" t="str">
        <f>VLOOKUP(D1030,代理总表!A:D,3,0)</f>
        <v>外部代理总线</v>
      </c>
      <c r="Y1030" t="str">
        <f>VLOOKUP(D:D,代理总表!A:D,4,FALSE)</f>
        <v>外部代理总线zh0808</v>
      </c>
      <c r="Z1030">
        <f t="shared" si="48"/>
        <v>0</v>
      </c>
      <c r="AA1030">
        <f t="shared" si="49"/>
        <v>7</v>
      </c>
      <c r="AB1030">
        <f t="shared" si="50"/>
        <v>1</v>
      </c>
    </row>
    <row r="1031" spans="1:28">
      <c r="A1031" s="314" t="s">
        <v>3652</v>
      </c>
      <c r="B1031" s="314"/>
      <c r="C1031" s="314">
        <v>18971162923</v>
      </c>
      <c r="D1031" s="314" t="s">
        <v>479</v>
      </c>
      <c r="E1031" s="314" t="s">
        <v>104</v>
      </c>
      <c r="F1031" s="314" t="s">
        <v>118</v>
      </c>
      <c r="G1031" s="314" t="s">
        <v>108</v>
      </c>
      <c r="H1031" s="314" t="s">
        <v>119</v>
      </c>
      <c r="I1031" s="314" t="s">
        <v>108</v>
      </c>
      <c r="J1031" s="314" t="s">
        <v>109</v>
      </c>
      <c r="K1031" s="314">
        <v>0</v>
      </c>
      <c r="L1031" s="314">
        <v>0</v>
      </c>
      <c r="M1031" s="315">
        <v>45145.2950925926</v>
      </c>
      <c r="N1031" s="314" t="s">
        <v>3653</v>
      </c>
      <c r="O1031" s="314" t="s">
        <v>3654</v>
      </c>
      <c r="P1031" s="314" t="s">
        <v>112</v>
      </c>
      <c r="Q1031" s="314" t="s">
        <v>123</v>
      </c>
      <c r="R1031" s="315">
        <v>45145.2982175926</v>
      </c>
      <c r="S1031" s="314" t="s">
        <v>3653</v>
      </c>
      <c r="T1031" s="314" t="s">
        <v>3655</v>
      </c>
      <c r="U1031" s="314" t="s">
        <v>3655</v>
      </c>
      <c r="V1031" s="314" t="s">
        <v>114</v>
      </c>
      <c r="W1031" s="314"/>
      <c r="X1031" s="314" t="str">
        <f>VLOOKUP(D1031,代理总表!A:D,3,0)</f>
        <v>GT-骨头</v>
      </c>
      <c r="Y1031" t="str">
        <f>VLOOKUP(D:D,代理总表!A:D,4,FALSE)</f>
        <v>B直播gt6677</v>
      </c>
      <c r="Z1031">
        <f t="shared" si="48"/>
        <v>0</v>
      </c>
      <c r="AA1031">
        <f t="shared" si="49"/>
        <v>7</v>
      </c>
      <c r="AB1031">
        <f t="shared" si="50"/>
        <v>1</v>
      </c>
    </row>
    <row r="1032" spans="1:28">
      <c r="A1032" s="314" t="s">
        <v>3656</v>
      </c>
      <c r="B1032" s="314" t="s">
        <v>3657</v>
      </c>
      <c r="C1032" s="314">
        <v>528248938</v>
      </c>
      <c r="D1032" s="314" t="s">
        <v>333</v>
      </c>
      <c r="E1032" s="314" t="s">
        <v>117</v>
      </c>
      <c r="F1032" s="314" t="s">
        <v>144</v>
      </c>
      <c r="G1032" s="314" t="s">
        <v>106</v>
      </c>
      <c r="H1032" s="314" t="s">
        <v>107</v>
      </c>
      <c r="I1032" s="314" t="s">
        <v>108</v>
      </c>
      <c r="J1032" s="314" t="s">
        <v>120</v>
      </c>
      <c r="K1032" s="314">
        <v>650000</v>
      </c>
      <c r="L1032" s="314">
        <v>7490000</v>
      </c>
      <c r="M1032" s="315">
        <v>45145.293587963</v>
      </c>
      <c r="N1032" s="314" t="s">
        <v>3658</v>
      </c>
      <c r="O1032" s="314" t="s">
        <v>335</v>
      </c>
      <c r="P1032" s="314" t="s">
        <v>112</v>
      </c>
      <c r="Q1032" s="315">
        <v>45145.3037152778</v>
      </c>
      <c r="R1032" s="315">
        <v>45145.3020138889</v>
      </c>
      <c r="S1032" s="314" t="s">
        <v>3658</v>
      </c>
      <c r="T1032" s="314" t="s">
        <v>128</v>
      </c>
      <c r="U1032" s="314" t="s">
        <v>128</v>
      </c>
      <c r="V1032" s="314" t="s">
        <v>114</v>
      </c>
      <c r="W1032" s="314"/>
      <c r="X1032" s="314" t="e">
        <f>VLOOKUP(D1032,代理总表!A:D,3,0)</f>
        <v>#N/A</v>
      </c>
      <c r="Y1032" t="e">
        <f>VLOOKUP(D:D,代理总表!A:D,4,FALSE)</f>
        <v>#N/A</v>
      </c>
      <c r="Z1032">
        <f t="shared" si="48"/>
        <v>1</v>
      </c>
      <c r="AA1032">
        <f t="shared" si="49"/>
        <v>7</v>
      </c>
      <c r="AB1032">
        <f t="shared" si="50"/>
        <v>1</v>
      </c>
    </row>
    <row r="1033" spans="1:28">
      <c r="A1033" s="314" t="s">
        <v>3659</v>
      </c>
      <c r="B1033" s="314"/>
      <c r="C1033" s="314">
        <v>865214908</v>
      </c>
      <c r="D1033" s="314" t="s">
        <v>116</v>
      </c>
      <c r="E1033" s="314" t="s">
        <v>117</v>
      </c>
      <c r="F1033" s="314" t="s">
        <v>118</v>
      </c>
      <c r="G1033" s="314" t="s">
        <v>108</v>
      </c>
      <c r="H1033" s="314" t="s">
        <v>119</v>
      </c>
      <c r="I1033" s="314" t="s">
        <v>108</v>
      </c>
      <c r="J1033" s="314" t="s">
        <v>120</v>
      </c>
      <c r="K1033" s="314">
        <v>0</v>
      </c>
      <c r="L1033" s="314">
        <v>0</v>
      </c>
      <c r="M1033" s="315">
        <v>45145.2917476852</v>
      </c>
      <c r="N1033" s="314" t="s">
        <v>3660</v>
      </c>
      <c r="O1033" s="314" t="s">
        <v>127</v>
      </c>
      <c r="P1033" s="314" t="s">
        <v>112</v>
      </c>
      <c r="Q1033" s="314" t="s">
        <v>123</v>
      </c>
      <c r="R1033" s="315">
        <v>45145.3514930556</v>
      </c>
      <c r="S1033" s="314" t="s">
        <v>3661</v>
      </c>
      <c r="T1033" s="314" t="s">
        <v>216</v>
      </c>
      <c r="U1033" s="314" t="s">
        <v>124</v>
      </c>
      <c r="V1033" s="314" t="s">
        <v>114</v>
      </c>
      <c r="W1033" s="314"/>
      <c r="X1033" s="314" t="str">
        <f>VLOOKUP(D1033,代理总表!A:D,3,0)</f>
        <v>外部代理总线</v>
      </c>
      <c r="Y1033" t="str">
        <f>VLOOKUP(D:D,代理总表!A:D,4,FALSE)</f>
        <v>外部代理总线zh0808</v>
      </c>
      <c r="Z1033">
        <f t="shared" si="48"/>
        <v>0</v>
      </c>
      <c r="AA1033">
        <f t="shared" si="49"/>
        <v>7</v>
      </c>
      <c r="AB1033">
        <f t="shared" si="50"/>
        <v>1</v>
      </c>
    </row>
    <row r="1034" spans="1:28">
      <c r="A1034" s="314" t="s">
        <v>3662</v>
      </c>
      <c r="B1034" s="314" t="s">
        <v>3663</v>
      </c>
      <c r="C1034" s="314">
        <v>13574611688</v>
      </c>
      <c r="D1034" s="314" t="s">
        <v>148</v>
      </c>
      <c r="E1034" s="314" t="s">
        <v>104</v>
      </c>
      <c r="F1034" s="314" t="s">
        <v>181</v>
      </c>
      <c r="G1034" s="314" t="s">
        <v>106</v>
      </c>
      <c r="H1034" s="314" t="s">
        <v>107</v>
      </c>
      <c r="I1034" s="314" t="s">
        <v>108</v>
      </c>
      <c r="J1034" s="314" t="s">
        <v>109</v>
      </c>
      <c r="K1034" s="314">
        <v>100</v>
      </c>
      <c r="L1034" s="314">
        <v>0</v>
      </c>
      <c r="M1034" s="315">
        <v>45145.2911805556</v>
      </c>
      <c r="N1034" s="314" t="s">
        <v>3664</v>
      </c>
      <c r="O1034" s="314" t="s">
        <v>160</v>
      </c>
      <c r="P1034" s="314" t="s">
        <v>208</v>
      </c>
      <c r="Q1034" s="315">
        <v>45145.6568287037</v>
      </c>
      <c r="R1034" s="315">
        <v>45146.0314467593</v>
      </c>
      <c r="S1034" s="314" t="s">
        <v>3665</v>
      </c>
      <c r="T1034" s="314" t="s">
        <v>3666</v>
      </c>
      <c r="U1034" s="314" t="s">
        <v>3666</v>
      </c>
      <c r="V1034" s="314" t="s">
        <v>114</v>
      </c>
      <c r="W1034" s="314"/>
      <c r="X1034" s="314" t="str">
        <f>VLOOKUP(D1034,代理总表!A:D,3,0)</f>
        <v>martin</v>
      </c>
      <c r="Y1034" t="str">
        <f>VLOOKUP(D:D,代理总表!A:D,4,FALSE)</f>
        <v>SEO</v>
      </c>
      <c r="Z1034">
        <f t="shared" si="48"/>
        <v>1</v>
      </c>
      <c r="AA1034">
        <f t="shared" si="49"/>
        <v>6</v>
      </c>
      <c r="AB1034">
        <f t="shared" si="50"/>
        <v>1</v>
      </c>
    </row>
    <row r="1035" spans="1:28">
      <c r="A1035" s="314" t="s">
        <v>3667</v>
      </c>
      <c r="B1035" s="314" t="s">
        <v>3668</v>
      </c>
      <c r="C1035" s="314">
        <v>374396919</v>
      </c>
      <c r="D1035" s="314" t="s">
        <v>224</v>
      </c>
      <c r="E1035" s="314" t="s">
        <v>117</v>
      </c>
      <c r="F1035" s="314" t="s">
        <v>105</v>
      </c>
      <c r="G1035" s="314" t="s">
        <v>106</v>
      </c>
      <c r="H1035" s="314" t="s">
        <v>107</v>
      </c>
      <c r="I1035" s="314" t="s">
        <v>108</v>
      </c>
      <c r="J1035" s="314" t="s">
        <v>120</v>
      </c>
      <c r="K1035" s="314">
        <v>100404</v>
      </c>
      <c r="L1035" s="314">
        <v>200000</v>
      </c>
      <c r="M1035" s="315">
        <v>45145.2887384259</v>
      </c>
      <c r="N1035" s="314" t="s">
        <v>3669</v>
      </c>
      <c r="O1035" s="314" t="s">
        <v>462</v>
      </c>
      <c r="P1035" s="314" t="s">
        <v>112</v>
      </c>
      <c r="Q1035" s="315">
        <v>45145.398912037</v>
      </c>
      <c r="R1035" s="315">
        <v>45145.9425578704</v>
      </c>
      <c r="S1035" s="314" t="s">
        <v>3670</v>
      </c>
      <c r="T1035" s="314" t="s">
        <v>216</v>
      </c>
      <c r="U1035" s="314" t="s">
        <v>177</v>
      </c>
      <c r="V1035" s="314" t="s">
        <v>114</v>
      </c>
      <c r="W1035" s="314"/>
      <c r="X1035" s="314" t="str">
        <f>VLOOKUP(D1035,代理总表!A:D,3,0)</f>
        <v>雨燕直播-越</v>
      </c>
      <c r="Y1035" t="str">
        <f>VLOOKUP(D:D,代理总表!A:D,4,FALSE)</f>
        <v>雨燕直播-越ffvn66</v>
      </c>
      <c r="Z1035">
        <f t="shared" si="48"/>
        <v>1</v>
      </c>
      <c r="AA1035">
        <f t="shared" si="49"/>
        <v>6</v>
      </c>
      <c r="AB1035">
        <f t="shared" si="50"/>
        <v>1</v>
      </c>
    </row>
    <row r="1036" spans="1:28">
      <c r="A1036" s="314" t="s">
        <v>3671</v>
      </c>
      <c r="B1036" s="314"/>
      <c r="C1036" s="314">
        <v>15869786500</v>
      </c>
      <c r="D1036" s="314" t="s">
        <v>754</v>
      </c>
      <c r="E1036" s="314" t="s">
        <v>104</v>
      </c>
      <c r="F1036" s="314" t="s">
        <v>149</v>
      </c>
      <c r="G1036" s="314" t="s">
        <v>108</v>
      </c>
      <c r="H1036" s="314" t="s">
        <v>119</v>
      </c>
      <c r="I1036" s="314" t="s">
        <v>108</v>
      </c>
      <c r="J1036" s="314" t="s">
        <v>109</v>
      </c>
      <c r="K1036" s="314">
        <v>0</v>
      </c>
      <c r="L1036" s="314">
        <v>0</v>
      </c>
      <c r="M1036" s="315">
        <v>45145.2871412037</v>
      </c>
      <c r="N1036" s="314" t="s">
        <v>3672</v>
      </c>
      <c r="O1036" s="314" t="s">
        <v>3673</v>
      </c>
      <c r="P1036" s="314" t="s">
        <v>112</v>
      </c>
      <c r="Q1036" s="314" t="s">
        <v>123</v>
      </c>
      <c r="R1036" s="315">
        <v>45145.2880208333</v>
      </c>
      <c r="S1036" s="314" t="s">
        <v>3674</v>
      </c>
      <c r="T1036" s="314" t="s">
        <v>939</v>
      </c>
      <c r="U1036" s="314" t="s">
        <v>939</v>
      </c>
      <c r="V1036" s="314" t="s">
        <v>114</v>
      </c>
      <c r="W1036" s="314"/>
      <c r="X1036" s="314" t="str">
        <f>VLOOKUP(D1036,代理总表!A:D,3,0)</f>
        <v>SEO掉线用户转线</v>
      </c>
      <c r="Y1036" t="str">
        <f>VLOOKUP(D:D,代理总表!A:D,4,FALSE)</f>
        <v>SEO</v>
      </c>
      <c r="Z1036">
        <f t="shared" si="48"/>
        <v>0</v>
      </c>
      <c r="AA1036">
        <f t="shared" si="49"/>
        <v>6</v>
      </c>
      <c r="AB1036">
        <f t="shared" si="50"/>
        <v>1</v>
      </c>
    </row>
    <row r="1037" spans="1:28">
      <c r="A1037" s="314" t="s">
        <v>3675</v>
      </c>
      <c r="B1037" s="314" t="s">
        <v>3676</v>
      </c>
      <c r="C1037" s="314">
        <v>17843681931</v>
      </c>
      <c r="D1037" s="314" t="s">
        <v>103</v>
      </c>
      <c r="E1037" s="314" t="s">
        <v>104</v>
      </c>
      <c r="F1037" s="314" t="s">
        <v>118</v>
      </c>
      <c r="G1037" s="314" t="s">
        <v>108</v>
      </c>
      <c r="H1037" s="314" t="s">
        <v>119</v>
      </c>
      <c r="I1037" s="314" t="s">
        <v>108</v>
      </c>
      <c r="J1037" s="314" t="s">
        <v>109</v>
      </c>
      <c r="K1037" s="314">
        <v>0</v>
      </c>
      <c r="L1037" s="314">
        <v>0</v>
      </c>
      <c r="M1037" s="315">
        <v>45145.2861111111</v>
      </c>
      <c r="N1037" s="314" t="s">
        <v>3677</v>
      </c>
      <c r="O1037" s="314" t="s">
        <v>350</v>
      </c>
      <c r="P1037" s="314" t="s">
        <v>161</v>
      </c>
      <c r="Q1037" s="314" t="s">
        <v>123</v>
      </c>
      <c r="R1037" s="315">
        <v>45145.2861111111</v>
      </c>
      <c r="S1037" s="314" t="s">
        <v>3677</v>
      </c>
      <c r="T1037" s="314" t="s">
        <v>2547</v>
      </c>
      <c r="U1037" s="314" t="s">
        <v>2547</v>
      </c>
      <c r="V1037" s="314" t="s">
        <v>114</v>
      </c>
      <c r="W1037" s="314"/>
      <c r="X1037" s="314" t="str">
        <f>VLOOKUP(D1037,代理总表!A:D,3,0)</f>
        <v>官网</v>
      </c>
      <c r="Y1037" t="str">
        <f>VLOOKUP(D:D,代理总表!A:D,4,FALSE)</f>
        <v>官网</v>
      </c>
      <c r="Z1037">
        <f t="shared" si="48"/>
        <v>0</v>
      </c>
      <c r="AA1037">
        <f t="shared" si="49"/>
        <v>6</v>
      </c>
      <c r="AB1037">
        <f t="shared" si="50"/>
        <v>1</v>
      </c>
    </row>
    <row r="1038" spans="1:28">
      <c r="A1038" s="314" t="s">
        <v>3678</v>
      </c>
      <c r="B1038" s="314"/>
      <c r="C1038" s="314">
        <v>962944551</v>
      </c>
      <c r="D1038" s="314" t="s">
        <v>116</v>
      </c>
      <c r="E1038" s="314" t="s">
        <v>117</v>
      </c>
      <c r="F1038" s="314" t="s">
        <v>118</v>
      </c>
      <c r="G1038" s="314" t="s">
        <v>108</v>
      </c>
      <c r="H1038" s="314" t="s">
        <v>119</v>
      </c>
      <c r="I1038" s="314" t="s">
        <v>108</v>
      </c>
      <c r="J1038" s="314" t="s">
        <v>120</v>
      </c>
      <c r="K1038" s="314">
        <v>0</v>
      </c>
      <c r="L1038" s="314">
        <v>0</v>
      </c>
      <c r="M1038" s="315">
        <v>45145.2846180556</v>
      </c>
      <c r="N1038" s="314" t="s">
        <v>3679</v>
      </c>
      <c r="O1038" s="314" t="s">
        <v>127</v>
      </c>
      <c r="P1038" s="314" t="s">
        <v>112</v>
      </c>
      <c r="Q1038" s="314" t="s">
        <v>123</v>
      </c>
      <c r="R1038" s="315">
        <v>45145.2846064815</v>
      </c>
      <c r="S1038" s="314" t="s">
        <v>3679</v>
      </c>
      <c r="T1038" s="314" t="s">
        <v>177</v>
      </c>
      <c r="U1038" s="314" t="s">
        <v>177</v>
      </c>
      <c r="V1038" s="314" t="s">
        <v>114</v>
      </c>
      <c r="W1038" s="314"/>
      <c r="X1038" s="314" t="str">
        <f>VLOOKUP(D1038,代理总表!A:D,3,0)</f>
        <v>外部代理总线</v>
      </c>
      <c r="Y1038" t="str">
        <f>VLOOKUP(D:D,代理总表!A:D,4,FALSE)</f>
        <v>外部代理总线zh0808</v>
      </c>
      <c r="Z1038">
        <f t="shared" si="48"/>
        <v>0</v>
      </c>
      <c r="AA1038">
        <f t="shared" si="49"/>
        <v>6</v>
      </c>
      <c r="AB1038">
        <f t="shared" si="50"/>
        <v>1</v>
      </c>
    </row>
    <row r="1039" spans="1:28">
      <c r="A1039" s="314" t="s">
        <v>3680</v>
      </c>
      <c r="B1039" s="314" t="s">
        <v>3681</v>
      </c>
      <c r="C1039" s="314">
        <v>15822009222</v>
      </c>
      <c r="D1039" s="314" t="s">
        <v>1336</v>
      </c>
      <c r="E1039" s="314" t="s">
        <v>104</v>
      </c>
      <c r="F1039" s="314" t="s">
        <v>144</v>
      </c>
      <c r="G1039" s="314" t="s">
        <v>106</v>
      </c>
      <c r="H1039" s="314" t="s">
        <v>107</v>
      </c>
      <c r="I1039" s="314" t="s">
        <v>108</v>
      </c>
      <c r="J1039" s="314" t="s">
        <v>109</v>
      </c>
      <c r="K1039" s="314">
        <v>2000</v>
      </c>
      <c r="L1039" s="314">
        <v>0</v>
      </c>
      <c r="M1039" s="315">
        <v>45145.2841666667</v>
      </c>
      <c r="N1039" s="314" t="s">
        <v>3682</v>
      </c>
      <c r="O1039" s="314" t="s">
        <v>2385</v>
      </c>
      <c r="P1039" s="314" t="s">
        <v>112</v>
      </c>
      <c r="Q1039" s="315">
        <v>45145.2936342593</v>
      </c>
      <c r="R1039" s="315">
        <v>45146.3197453704</v>
      </c>
      <c r="S1039" s="314" t="s">
        <v>3683</v>
      </c>
      <c r="T1039" s="314" t="s">
        <v>859</v>
      </c>
      <c r="U1039" s="314" t="s">
        <v>3684</v>
      </c>
      <c r="V1039" s="314" t="s">
        <v>114</v>
      </c>
      <c r="W1039" s="314"/>
      <c r="X1039" s="314" t="str">
        <f>VLOOKUP(D1039,代理总表!A:D,3,0)</f>
        <v>飞哥雨燕直播</v>
      </c>
      <c r="Y1039" t="str">
        <f>VLOOKUP(D:D,代理总表!A:D,4,FALSE)</f>
        <v>飞哥雨燕直播ffmk88</v>
      </c>
      <c r="Z1039">
        <f t="shared" si="48"/>
        <v>1</v>
      </c>
      <c r="AA1039">
        <f t="shared" si="49"/>
        <v>6</v>
      </c>
      <c r="AB1039">
        <f t="shared" si="50"/>
        <v>1</v>
      </c>
    </row>
    <row r="1040" spans="1:28">
      <c r="A1040" s="314" t="s">
        <v>3685</v>
      </c>
      <c r="B1040" s="314"/>
      <c r="C1040" s="314">
        <v>18230957506</v>
      </c>
      <c r="D1040" s="314" t="s">
        <v>294</v>
      </c>
      <c r="E1040" s="314" t="s">
        <v>104</v>
      </c>
      <c r="F1040" s="314" t="s">
        <v>149</v>
      </c>
      <c r="G1040" s="314" t="s">
        <v>108</v>
      </c>
      <c r="H1040" s="314" t="s">
        <v>119</v>
      </c>
      <c r="I1040" s="314" t="s">
        <v>108</v>
      </c>
      <c r="J1040" s="314" t="s">
        <v>109</v>
      </c>
      <c r="K1040" s="314">
        <v>0</v>
      </c>
      <c r="L1040" s="314">
        <v>0</v>
      </c>
      <c r="M1040" s="315">
        <v>45145.2839583333</v>
      </c>
      <c r="N1040" s="314" t="s">
        <v>3686</v>
      </c>
      <c r="O1040" s="314" t="s">
        <v>297</v>
      </c>
      <c r="P1040" s="314" t="s">
        <v>161</v>
      </c>
      <c r="Q1040" s="314" t="s">
        <v>123</v>
      </c>
      <c r="R1040" s="315">
        <v>45145.284224537</v>
      </c>
      <c r="S1040" s="314" t="s">
        <v>3686</v>
      </c>
      <c r="T1040" s="314" t="s">
        <v>2776</v>
      </c>
      <c r="U1040" s="314" t="s">
        <v>2776</v>
      </c>
      <c r="V1040" s="314" t="s">
        <v>114</v>
      </c>
      <c r="W1040" s="314"/>
      <c r="X1040" s="314" t="str">
        <f>VLOOKUP(D1040,代理总表!A:D,3,0)</f>
        <v>DK</v>
      </c>
      <c r="Y1040" t="str">
        <f>VLOOKUP(D:D,代理总表!A:D,4,FALSE)</f>
        <v>SEO</v>
      </c>
      <c r="Z1040">
        <f t="shared" si="48"/>
        <v>0</v>
      </c>
      <c r="AA1040">
        <f t="shared" si="49"/>
        <v>6</v>
      </c>
      <c r="AB1040">
        <f t="shared" si="50"/>
        <v>1</v>
      </c>
    </row>
    <row r="1041" spans="1:28">
      <c r="A1041" s="314" t="s">
        <v>3687</v>
      </c>
      <c r="B1041" s="314"/>
      <c r="C1041" s="314">
        <v>19198864560</v>
      </c>
      <c r="D1041" s="314" t="s">
        <v>375</v>
      </c>
      <c r="E1041" s="314" t="s">
        <v>104</v>
      </c>
      <c r="F1041" s="314" t="s">
        <v>118</v>
      </c>
      <c r="G1041" s="314" t="s">
        <v>108</v>
      </c>
      <c r="H1041" s="314" t="s">
        <v>119</v>
      </c>
      <c r="I1041" s="314" t="s">
        <v>108</v>
      </c>
      <c r="J1041" s="314" t="s">
        <v>109</v>
      </c>
      <c r="K1041" s="314">
        <v>0</v>
      </c>
      <c r="L1041" s="314">
        <v>0</v>
      </c>
      <c r="M1041" s="315">
        <v>45145.2819907407</v>
      </c>
      <c r="N1041" s="314" t="s">
        <v>3688</v>
      </c>
      <c r="O1041" s="314" t="s">
        <v>3689</v>
      </c>
      <c r="P1041" s="314" t="s">
        <v>112</v>
      </c>
      <c r="Q1041" s="314" t="s">
        <v>123</v>
      </c>
      <c r="R1041" s="315">
        <v>45145.2850462963</v>
      </c>
      <c r="S1041" s="314" t="s">
        <v>3688</v>
      </c>
      <c r="T1041" s="314" t="s">
        <v>3690</v>
      </c>
      <c r="U1041" s="314" t="s">
        <v>3690</v>
      </c>
      <c r="V1041" s="314" t="s">
        <v>114</v>
      </c>
      <c r="W1041" s="314"/>
      <c r="X1041" s="314" t="e">
        <f>VLOOKUP(D1041,代理总表!A:D,3,0)</f>
        <v>#N/A</v>
      </c>
      <c r="Y1041" t="e">
        <f>VLOOKUP(D:D,代理总表!A:D,4,FALSE)</f>
        <v>#N/A</v>
      </c>
      <c r="Z1041">
        <f t="shared" si="48"/>
        <v>0</v>
      </c>
      <c r="AA1041">
        <f t="shared" si="49"/>
        <v>6</v>
      </c>
      <c r="AB1041">
        <f t="shared" si="50"/>
        <v>1</v>
      </c>
    </row>
    <row r="1042" spans="1:28">
      <c r="A1042" s="314" t="s">
        <v>3691</v>
      </c>
      <c r="B1042" s="314" t="s">
        <v>3692</v>
      </c>
      <c r="C1042" s="314">
        <v>15998080114</v>
      </c>
      <c r="D1042" s="314" t="s">
        <v>148</v>
      </c>
      <c r="E1042" s="314" t="s">
        <v>104</v>
      </c>
      <c r="F1042" s="314" t="s">
        <v>149</v>
      </c>
      <c r="G1042" s="314" t="s">
        <v>108</v>
      </c>
      <c r="H1042" s="314" t="s">
        <v>119</v>
      </c>
      <c r="I1042" s="314" t="s">
        <v>108</v>
      </c>
      <c r="J1042" s="314" t="s">
        <v>109</v>
      </c>
      <c r="K1042" s="314">
        <v>0</v>
      </c>
      <c r="L1042" s="314">
        <v>0</v>
      </c>
      <c r="M1042" s="315">
        <v>45145.281875</v>
      </c>
      <c r="N1042" s="314" t="s">
        <v>3693</v>
      </c>
      <c r="O1042" s="314" t="s">
        <v>160</v>
      </c>
      <c r="P1042" s="314" t="s">
        <v>208</v>
      </c>
      <c r="Q1042" s="314" t="s">
        <v>123</v>
      </c>
      <c r="R1042" s="315">
        <v>45146.0243634259</v>
      </c>
      <c r="S1042" s="314" t="s">
        <v>3694</v>
      </c>
      <c r="T1042" s="314" t="s">
        <v>1541</v>
      </c>
      <c r="U1042" s="314" t="s">
        <v>203</v>
      </c>
      <c r="V1042" s="314" t="s">
        <v>114</v>
      </c>
      <c r="W1042" s="314"/>
      <c r="X1042" s="314" t="str">
        <f>VLOOKUP(D1042,代理总表!A:D,3,0)</f>
        <v>martin</v>
      </c>
      <c r="Y1042" t="str">
        <f>VLOOKUP(D:D,代理总表!A:D,4,FALSE)</f>
        <v>SEO</v>
      </c>
      <c r="Z1042">
        <f t="shared" si="48"/>
        <v>0</v>
      </c>
      <c r="AA1042">
        <f t="shared" si="49"/>
        <v>6</v>
      </c>
      <c r="AB1042">
        <f t="shared" si="50"/>
        <v>1</v>
      </c>
    </row>
    <row r="1043" spans="1:28">
      <c r="A1043" s="314" t="s">
        <v>3695</v>
      </c>
      <c r="B1043" s="314"/>
      <c r="C1043" s="314">
        <v>15135779768</v>
      </c>
      <c r="D1043" s="314" t="s">
        <v>235</v>
      </c>
      <c r="E1043" s="314" t="s">
        <v>104</v>
      </c>
      <c r="F1043" s="314" t="s">
        <v>149</v>
      </c>
      <c r="G1043" s="314" t="s">
        <v>108</v>
      </c>
      <c r="H1043" s="314" t="s">
        <v>119</v>
      </c>
      <c r="I1043" s="314" t="s">
        <v>108</v>
      </c>
      <c r="J1043" s="314" t="s">
        <v>109</v>
      </c>
      <c r="K1043" s="314">
        <v>0</v>
      </c>
      <c r="L1043" s="314">
        <v>0</v>
      </c>
      <c r="M1043" s="315">
        <v>45145.2803587963</v>
      </c>
      <c r="N1043" s="314" t="s">
        <v>3696</v>
      </c>
      <c r="O1043" s="314" t="s">
        <v>237</v>
      </c>
      <c r="P1043" s="314" t="s">
        <v>112</v>
      </c>
      <c r="Q1043" s="314" t="s">
        <v>123</v>
      </c>
      <c r="R1043" s="315">
        <v>45145.281412037</v>
      </c>
      <c r="S1043" s="314" t="s">
        <v>3696</v>
      </c>
      <c r="T1043" s="314" t="s">
        <v>3697</v>
      </c>
      <c r="U1043" s="314" t="s">
        <v>3697</v>
      </c>
      <c r="V1043" s="314" t="s">
        <v>114</v>
      </c>
      <c r="W1043" s="314"/>
      <c r="X1043" s="314" t="str">
        <f>VLOOKUP(D1043,代理总表!A:D,3,0)</f>
        <v>aber</v>
      </c>
      <c r="Y1043" t="str">
        <f>VLOOKUP(D:D,代理总表!A:D,4,FALSE)</f>
        <v>SEO</v>
      </c>
      <c r="Z1043">
        <f t="shared" si="48"/>
        <v>0</v>
      </c>
      <c r="AA1043">
        <f t="shared" si="49"/>
        <v>6</v>
      </c>
      <c r="AB1043">
        <f t="shared" si="50"/>
        <v>1</v>
      </c>
    </row>
    <row r="1044" spans="1:28">
      <c r="A1044" s="314" t="s">
        <v>3698</v>
      </c>
      <c r="B1044" s="314"/>
      <c r="C1044" s="314">
        <v>855851616</v>
      </c>
      <c r="D1044" s="314" t="s">
        <v>116</v>
      </c>
      <c r="E1044" s="314" t="s">
        <v>117</v>
      </c>
      <c r="F1044" s="314" t="s">
        <v>118</v>
      </c>
      <c r="G1044" s="314" t="s">
        <v>108</v>
      </c>
      <c r="H1044" s="314" t="s">
        <v>119</v>
      </c>
      <c r="I1044" s="314" t="s">
        <v>108</v>
      </c>
      <c r="J1044" s="314" t="s">
        <v>120</v>
      </c>
      <c r="K1044" s="314">
        <v>0</v>
      </c>
      <c r="L1044" s="314">
        <v>0</v>
      </c>
      <c r="M1044" s="315">
        <v>45145.2791203704</v>
      </c>
      <c r="N1044" s="314" t="s">
        <v>3699</v>
      </c>
      <c r="O1044" s="314" t="s">
        <v>122</v>
      </c>
      <c r="P1044" s="314" t="s">
        <v>112</v>
      </c>
      <c r="Q1044" s="314" t="s">
        <v>123</v>
      </c>
      <c r="R1044" s="315">
        <v>45145.2791203704</v>
      </c>
      <c r="S1044" s="314" t="s">
        <v>3699</v>
      </c>
      <c r="T1044" s="314" t="s">
        <v>1072</v>
      </c>
      <c r="U1044" s="314" t="s">
        <v>1072</v>
      </c>
      <c r="V1044" s="314" t="s">
        <v>114</v>
      </c>
      <c r="W1044" s="314"/>
      <c r="X1044" s="314" t="str">
        <f>VLOOKUP(D1044,代理总表!A:D,3,0)</f>
        <v>外部代理总线</v>
      </c>
      <c r="Y1044" t="str">
        <f>VLOOKUP(D:D,代理总表!A:D,4,FALSE)</f>
        <v>外部代理总线zh0808</v>
      </c>
      <c r="Z1044">
        <f t="shared" si="48"/>
        <v>0</v>
      </c>
      <c r="AA1044">
        <f t="shared" si="49"/>
        <v>6</v>
      </c>
      <c r="AB1044">
        <f t="shared" si="50"/>
        <v>1</v>
      </c>
    </row>
    <row r="1045" spans="1:28">
      <c r="A1045" s="314" t="s">
        <v>3700</v>
      </c>
      <c r="B1045" s="314"/>
      <c r="C1045" s="314">
        <v>949324582</v>
      </c>
      <c r="D1045" s="314" t="s">
        <v>522</v>
      </c>
      <c r="E1045" s="314" t="s">
        <v>117</v>
      </c>
      <c r="F1045" s="314" t="s">
        <v>118</v>
      </c>
      <c r="G1045" s="314" t="s">
        <v>108</v>
      </c>
      <c r="H1045" s="314" t="s">
        <v>119</v>
      </c>
      <c r="I1045" s="314" t="s">
        <v>108</v>
      </c>
      <c r="J1045" s="314" t="s">
        <v>120</v>
      </c>
      <c r="K1045" s="314">
        <v>0</v>
      </c>
      <c r="L1045" s="314">
        <v>0</v>
      </c>
      <c r="M1045" s="315">
        <v>45145.278125</v>
      </c>
      <c r="N1045" s="314" t="s">
        <v>3701</v>
      </c>
      <c r="O1045" s="314" t="s">
        <v>524</v>
      </c>
      <c r="P1045" s="314" t="s">
        <v>112</v>
      </c>
      <c r="Q1045" s="314" t="s">
        <v>123</v>
      </c>
      <c r="R1045" s="315">
        <v>45145.2837962963</v>
      </c>
      <c r="S1045" s="314" t="s">
        <v>3701</v>
      </c>
      <c r="T1045" s="314" t="s">
        <v>975</v>
      </c>
      <c r="U1045" s="314" t="s">
        <v>975</v>
      </c>
      <c r="V1045" s="314" t="s">
        <v>114</v>
      </c>
      <c r="W1045" s="314"/>
      <c r="X1045" s="314" t="str">
        <f>VLOOKUP(D1045,代理总表!A:D,3,0)</f>
        <v>SOCO越南直播</v>
      </c>
      <c r="Y1045" t="str">
        <f>VLOOKUP(D:D,代理总表!A:D,4,FALSE)</f>
        <v>SOCO越南直播ffvn66</v>
      </c>
      <c r="Z1045">
        <f t="shared" si="48"/>
        <v>0</v>
      </c>
      <c r="AA1045">
        <f t="shared" si="49"/>
        <v>6</v>
      </c>
      <c r="AB1045">
        <f t="shared" si="50"/>
        <v>1</v>
      </c>
    </row>
    <row r="1046" spans="1:28">
      <c r="A1046" s="314" t="s">
        <v>3702</v>
      </c>
      <c r="B1046" s="314" t="s">
        <v>3703</v>
      </c>
      <c r="C1046" s="314">
        <v>13175169713</v>
      </c>
      <c r="D1046" s="314" t="s">
        <v>375</v>
      </c>
      <c r="E1046" s="314" t="s">
        <v>104</v>
      </c>
      <c r="F1046" s="314" t="s">
        <v>105</v>
      </c>
      <c r="G1046" s="314" t="s">
        <v>106</v>
      </c>
      <c r="H1046" s="314" t="s">
        <v>107</v>
      </c>
      <c r="I1046" s="314" t="s">
        <v>108</v>
      </c>
      <c r="J1046" s="314" t="s">
        <v>109</v>
      </c>
      <c r="K1046" s="314">
        <v>1001</v>
      </c>
      <c r="L1046" s="314">
        <v>1000</v>
      </c>
      <c r="M1046" s="315">
        <v>45145.2772222222</v>
      </c>
      <c r="N1046" s="314" t="s">
        <v>3704</v>
      </c>
      <c r="O1046" s="314" t="s">
        <v>377</v>
      </c>
      <c r="P1046" s="314" t="s">
        <v>208</v>
      </c>
      <c r="Q1046" s="315">
        <v>45146.1665740741</v>
      </c>
      <c r="R1046" s="315">
        <v>45146.2074074074</v>
      </c>
      <c r="S1046" s="314" t="s">
        <v>3705</v>
      </c>
      <c r="T1046" s="314" t="s">
        <v>3706</v>
      </c>
      <c r="U1046" s="314" t="s">
        <v>3707</v>
      </c>
      <c r="V1046" s="314" t="s">
        <v>114</v>
      </c>
      <c r="W1046" s="314"/>
      <c r="X1046" s="314" t="e">
        <f>VLOOKUP(D1046,代理总表!A:D,3,0)</f>
        <v>#N/A</v>
      </c>
      <c r="Y1046" t="e">
        <f>VLOOKUP(D:D,代理总表!A:D,4,FALSE)</f>
        <v>#N/A</v>
      </c>
      <c r="Z1046">
        <f t="shared" si="48"/>
        <v>1</v>
      </c>
      <c r="AA1046">
        <f t="shared" si="49"/>
        <v>6</v>
      </c>
      <c r="AB1046">
        <f t="shared" si="50"/>
        <v>1</v>
      </c>
    </row>
    <row r="1047" spans="1:28">
      <c r="A1047" s="314" t="s">
        <v>3708</v>
      </c>
      <c r="B1047" s="314" t="s">
        <v>3709</v>
      </c>
      <c r="C1047" s="314">
        <v>566640714</v>
      </c>
      <c r="D1047" s="314" t="s">
        <v>651</v>
      </c>
      <c r="E1047" s="314" t="s">
        <v>117</v>
      </c>
      <c r="F1047" s="314" t="s">
        <v>118</v>
      </c>
      <c r="G1047" s="314" t="s">
        <v>108</v>
      </c>
      <c r="H1047" s="314" t="s">
        <v>119</v>
      </c>
      <c r="I1047" s="314" t="s">
        <v>108</v>
      </c>
      <c r="J1047" s="314" t="s">
        <v>120</v>
      </c>
      <c r="K1047" s="314">
        <v>0</v>
      </c>
      <c r="L1047" s="314">
        <v>0</v>
      </c>
      <c r="M1047" s="315">
        <v>45145.2770023148</v>
      </c>
      <c r="N1047" s="314" t="s">
        <v>3710</v>
      </c>
      <c r="O1047" s="314" t="s">
        <v>653</v>
      </c>
      <c r="P1047" s="314" t="s">
        <v>112</v>
      </c>
      <c r="Q1047" s="314" t="s">
        <v>123</v>
      </c>
      <c r="R1047" s="315">
        <v>45145.2793055556</v>
      </c>
      <c r="S1047" s="314" t="s">
        <v>3710</v>
      </c>
      <c r="T1047" s="314" t="s">
        <v>216</v>
      </c>
      <c r="U1047" s="314" t="s">
        <v>216</v>
      </c>
      <c r="V1047" s="314" t="s">
        <v>114</v>
      </c>
      <c r="W1047" s="314"/>
      <c r="X1047" s="314" t="str">
        <f>VLOOKUP(D1047,代理总表!A:D,3,0)</f>
        <v>雨燕直播-越</v>
      </c>
      <c r="Y1047" t="str">
        <f>VLOOKUP(D:D,代理总表!A:D,4,FALSE)</f>
        <v>雨燕直播-越ffvn66</v>
      </c>
      <c r="Z1047">
        <f t="shared" si="48"/>
        <v>0</v>
      </c>
      <c r="AA1047">
        <f t="shared" si="49"/>
        <v>6</v>
      </c>
      <c r="AB1047">
        <f t="shared" si="50"/>
        <v>1</v>
      </c>
    </row>
    <row r="1048" spans="1:28">
      <c r="A1048" s="314" t="s">
        <v>3711</v>
      </c>
      <c r="B1048" s="314" t="s">
        <v>3712</v>
      </c>
      <c r="C1048" s="314">
        <v>13076261981</v>
      </c>
      <c r="D1048" s="314" t="s">
        <v>294</v>
      </c>
      <c r="E1048" s="314" t="s">
        <v>104</v>
      </c>
      <c r="F1048" s="314" t="s">
        <v>149</v>
      </c>
      <c r="G1048" s="314" t="s">
        <v>108</v>
      </c>
      <c r="H1048" s="314" t="s">
        <v>119</v>
      </c>
      <c r="I1048" s="314" t="s">
        <v>108</v>
      </c>
      <c r="J1048" s="314" t="s">
        <v>109</v>
      </c>
      <c r="K1048" s="314">
        <v>0</v>
      </c>
      <c r="L1048" s="314">
        <v>0</v>
      </c>
      <c r="M1048" s="315">
        <v>45145.2757291667</v>
      </c>
      <c r="N1048" s="314" t="s">
        <v>3713</v>
      </c>
      <c r="O1048" s="314" t="s">
        <v>297</v>
      </c>
      <c r="P1048" s="314" t="s">
        <v>161</v>
      </c>
      <c r="Q1048" s="314" t="s">
        <v>123</v>
      </c>
      <c r="R1048" s="315">
        <v>45145.2783564815</v>
      </c>
      <c r="S1048" s="314" t="s">
        <v>3713</v>
      </c>
      <c r="T1048" s="314" t="s">
        <v>256</v>
      </c>
      <c r="U1048" s="314" t="s">
        <v>256</v>
      </c>
      <c r="V1048" s="314" t="s">
        <v>114</v>
      </c>
      <c r="W1048" s="314"/>
      <c r="X1048" s="314" t="str">
        <f>VLOOKUP(D1048,代理总表!A:D,3,0)</f>
        <v>DK</v>
      </c>
      <c r="Y1048" t="str">
        <f>VLOOKUP(D:D,代理总表!A:D,4,FALSE)</f>
        <v>SEO</v>
      </c>
      <c r="Z1048">
        <f t="shared" si="48"/>
        <v>0</v>
      </c>
      <c r="AA1048">
        <f t="shared" si="49"/>
        <v>6</v>
      </c>
      <c r="AB1048">
        <f t="shared" si="50"/>
        <v>1</v>
      </c>
    </row>
    <row r="1049" spans="1:28">
      <c r="A1049" s="314" t="s">
        <v>3714</v>
      </c>
      <c r="B1049" s="314"/>
      <c r="C1049" s="314">
        <v>13014245805</v>
      </c>
      <c r="D1049" s="314" t="s">
        <v>235</v>
      </c>
      <c r="E1049" s="314" t="s">
        <v>104</v>
      </c>
      <c r="F1049" s="314" t="s">
        <v>149</v>
      </c>
      <c r="G1049" s="314" t="s">
        <v>108</v>
      </c>
      <c r="H1049" s="314" t="s">
        <v>119</v>
      </c>
      <c r="I1049" s="314" t="s">
        <v>108</v>
      </c>
      <c r="J1049" s="314" t="s">
        <v>109</v>
      </c>
      <c r="K1049" s="314">
        <v>0</v>
      </c>
      <c r="L1049" s="314">
        <v>0</v>
      </c>
      <c r="M1049" s="315">
        <v>45145.272650463</v>
      </c>
      <c r="N1049" s="314" t="s">
        <v>3715</v>
      </c>
      <c r="O1049" s="314" t="s">
        <v>628</v>
      </c>
      <c r="P1049" s="314" t="s">
        <v>112</v>
      </c>
      <c r="Q1049" s="314" t="s">
        <v>123</v>
      </c>
      <c r="R1049" s="315">
        <v>45145.7141087963</v>
      </c>
      <c r="S1049" s="314" t="s">
        <v>3716</v>
      </c>
      <c r="T1049" s="314" t="s">
        <v>3717</v>
      </c>
      <c r="U1049" s="314" t="s">
        <v>1558</v>
      </c>
      <c r="V1049" s="314" t="s">
        <v>114</v>
      </c>
      <c r="W1049" s="314"/>
      <c r="X1049" s="314" t="str">
        <f>VLOOKUP(D1049,代理总表!A:D,3,0)</f>
        <v>aber</v>
      </c>
      <c r="Y1049" t="str">
        <f>VLOOKUP(D:D,代理总表!A:D,4,FALSE)</f>
        <v>SEO</v>
      </c>
      <c r="Z1049">
        <f t="shared" si="48"/>
        <v>0</v>
      </c>
      <c r="AA1049">
        <f t="shared" si="49"/>
        <v>6</v>
      </c>
      <c r="AB1049">
        <f t="shared" si="50"/>
        <v>1</v>
      </c>
    </row>
    <row r="1050" spans="1:28">
      <c r="A1050" s="314" t="s">
        <v>3718</v>
      </c>
      <c r="B1050" s="314" t="s">
        <v>3719</v>
      </c>
      <c r="C1050" s="314">
        <v>852399100</v>
      </c>
      <c r="D1050" s="314" t="s">
        <v>116</v>
      </c>
      <c r="E1050" s="314" t="s">
        <v>117</v>
      </c>
      <c r="F1050" s="314" t="s">
        <v>118</v>
      </c>
      <c r="G1050" s="314" t="s">
        <v>108</v>
      </c>
      <c r="H1050" s="314" t="s">
        <v>119</v>
      </c>
      <c r="I1050" s="314" t="s">
        <v>108</v>
      </c>
      <c r="J1050" s="314" t="s">
        <v>120</v>
      </c>
      <c r="K1050" s="314">
        <v>0</v>
      </c>
      <c r="L1050" s="314">
        <v>0</v>
      </c>
      <c r="M1050" s="315">
        <v>45145.2718634259</v>
      </c>
      <c r="N1050" s="314" t="s">
        <v>3720</v>
      </c>
      <c r="O1050" s="314" t="s">
        <v>127</v>
      </c>
      <c r="P1050" s="314" t="s">
        <v>112</v>
      </c>
      <c r="Q1050" s="314" t="s">
        <v>123</v>
      </c>
      <c r="R1050" s="315">
        <v>45145.2781944444</v>
      </c>
      <c r="S1050" s="314" t="s">
        <v>3720</v>
      </c>
      <c r="T1050" s="314" t="s">
        <v>131</v>
      </c>
      <c r="U1050" s="314" t="s">
        <v>131</v>
      </c>
      <c r="V1050" s="314" t="s">
        <v>114</v>
      </c>
      <c r="W1050" s="314" t="s">
        <v>3721</v>
      </c>
      <c r="X1050" s="314" t="str">
        <f>VLOOKUP(D1050,代理总表!A:D,3,0)</f>
        <v>外部代理总线</v>
      </c>
      <c r="Y1050" t="str">
        <f>VLOOKUP(D:D,代理总表!A:D,4,FALSE)</f>
        <v>外部代理总线zh0808</v>
      </c>
      <c r="Z1050">
        <f t="shared" si="48"/>
        <v>0</v>
      </c>
      <c r="AA1050">
        <f t="shared" si="49"/>
        <v>6</v>
      </c>
      <c r="AB1050">
        <f t="shared" si="50"/>
        <v>1</v>
      </c>
    </row>
    <row r="1051" spans="1:28">
      <c r="A1051" s="314" t="s">
        <v>3722</v>
      </c>
      <c r="B1051" s="314" t="s">
        <v>3723</v>
      </c>
      <c r="C1051" s="314">
        <v>528248245</v>
      </c>
      <c r="D1051" s="314" t="s">
        <v>333</v>
      </c>
      <c r="E1051" s="314" t="s">
        <v>117</v>
      </c>
      <c r="F1051" s="314" t="s">
        <v>144</v>
      </c>
      <c r="G1051" s="314" t="s">
        <v>106</v>
      </c>
      <c r="H1051" s="314" t="s">
        <v>107</v>
      </c>
      <c r="I1051" s="314" t="s">
        <v>108</v>
      </c>
      <c r="J1051" s="314" t="s">
        <v>120</v>
      </c>
      <c r="K1051" s="314">
        <v>500</v>
      </c>
      <c r="L1051" s="314">
        <v>650000</v>
      </c>
      <c r="M1051" s="315">
        <v>45145.270162037</v>
      </c>
      <c r="N1051" s="314" t="s">
        <v>3724</v>
      </c>
      <c r="O1051" s="314" t="s">
        <v>335</v>
      </c>
      <c r="P1051" s="314" t="s">
        <v>112</v>
      </c>
      <c r="Q1051" s="315">
        <v>45145.280775463</v>
      </c>
      <c r="R1051" s="315">
        <v>45145.7770138889</v>
      </c>
      <c r="S1051" s="314" t="s">
        <v>3724</v>
      </c>
      <c r="T1051" s="314" t="s">
        <v>177</v>
      </c>
      <c r="U1051" s="314" t="s">
        <v>177</v>
      </c>
      <c r="V1051" s="314" t="s">
        <v>114</v>
      </c>
      <c r="W1051" s="314"/>
      <c r="X1051" s="314" t="e">
        <f>VLOOKUP(D1051,代理总表!A:D,3,0)</f>
        <v>#N/A</v>
      </c>
      <c r="Y1051" t="e">
        <f>VLOOKUP(D:D,代理总表!A:D,4,FALSE)</f>
        <v>#N/A</v>
      </c>
      <c r="Z1051">
        <f t="shared" si="48"/>
        <v>1</v>
      </c>
      <c r="AA1051">
        <f t="shared" si="49"/>
        <v>6</v>
      </c>
      <c r="AB1051">
        <f t="shared" si="50"/>
        <v>1</v>
      </c>
    </row>
    <row r="1052" spans="1:28">
      <c r="A1052" s="314" t="s">
        <v>3725</v>
      </c>
      <c r="B1052" s="314"/>
      <c r="C1052" s="314">
        <v>18277934727</v>
      </c>
      <c r="D1052" s="314" t="s">
        <v>609</v>
      </c>
      <c r="E1052" s="314" t="s">
        <v>104</v>
      </c>
      <c r="F1052" s="314" t="s">
        <v>118</v>
      </c>
      <c r="G1052" s="314" t="s">
        <v>108</v>
      </c>
      <c r="H1052" s="314" t="s">
        <v>119</v>
      </c>
      <c r="I1052" s="314" t="s">
        <v>108</v>
      </c>
      <c r="J1052" s="314" t="s">
        <v>109</v>
      </c>
      <c r="K1052" s="314">
        <v>0</v>
      </c>
      <c r="L1052" s="314">
        <v>0</v>
      </c>
      <c r="M1052" s="315">
        <v>45145.2657407407</v>
      </c>
      <c r="N1052" s="314" t="s">
        <v>3726</v>
      </c>
      <c r="O1052" s="314" t="s">
        <v>1587</v>
      </c>
      <c r="P1052" s="314" t="s">
        <v>112</v>
      </c>
      <c r="Q1052" s="314" t="s">
        <v>123</v>
      </c>
      <c r="R1052" s="315">
        <v>45145.2672916667</v>
      </c>
      <c r="S1052" s="314" t="s">
        <v>3726</v>
      </c>
      <c r="T1052" s="314" t="s">
        <v>2907</v>
      </c>
      <c r="U1052" s="314" t="s">
        <v>2907</v>
      </c>
      <c r="V1052" s="314" t="s">
        <v>114</v>
      </c>
      <c r="W1052" s="314"/>
      <c r="X1052" s="314" t="str">
        <f>VLOOKUP(D1052,代理总表!A:D,3,0)</f>
        <v>GT-B直播</v>
      </c>
      <c r="Y1052" t="str">
        <f>VLOOKUP(D:D,代理总表!A:D,4,FALSE)</f>
        <v>B直播gt6688</v>
      </c>
      <c r="Z1052">
        <f t="shared" si="48"/>
        <v>0</v>
      </c>
      <c r="AA1052">
        <f t="shared" si="49"/>
        <v>6</v>
      </c>
      <c r="AB1052">
        <f t="shared" si="50"/>
        <v>1</v>
      </c>
    </row>
    <row r="1053" spans="1:28">
      <c r="A1053" s="314" t="s">
        <v>3727</v>
      </c>
      <c r="B1053" s="314"/>
      <c r="C1053" s="314">
        <v>15388917902</v>
      </c>
      <c r="D1053" s="314" t="s">
        <v>235</v>
      </c>
      <c r="E1053" s="314" t="s">
        <v>104</v>
      </c>
      <c r="F1053" s="314" t="s">
        <v>149</v>
      </c>
      <c r="G1053" s="314" t="s">
        <v>108</v>
      </c>
      <c r="H1053" s="314" t="s">
        <v>119</v>
      </c>
      <c r="I1053" s="314" t="s">
        <v>108</v>
      </c>
      <c r="J1053" s="314" t="s">
        <v>109</v>
      </c>
      <c r="K1053" s="314">
        <v>0</v>
      </c>
      <c r="L1053" s="314">
        <v>0</v>
      </c>
      <c r="M1053" s="315">
        <v>45145.2587847222</v>
      </c>
      <c r="N1053" s="314" t="s">
        <v>3728</v>
      </c>
      <c r="O1053" s="314" t="s">
        <v>237</v>
      </c>
      <c r="P1053" s="314" t="s">
        <v>112</v>
      </c>
      <c r="Q1053" s="314" t="s">
        <v>123</v>
      </c>
      <c r="R1053" s="315">
        <v>45145.2587847222</v>
      </c>
      <c r="S1053" s="314" t="s">
        <v>3728</v>
      </c>
      <c r="T1053" s="314" t="s">
        <v>3729</v>
      </c>
      <c r="U1053" s="314" t="s">
        <v>3729</v>
      </c>
      <c r="V1053" s="314" t="s">
        <v>114</v>
      </c>
      <c r="W1053" s="314"/>
      <c r="X1053" s="314" t="str">
        <f>VLOOKUP(D1053,代理总表!A:D,3,0)</f>
        <v>aber</v>
      </c>
      <c r="Y1053" t="str">
        <f>VLOOKUP(D:D,代理总表!A:D,4,FALSE)</f>
        <v>SEO</v>
      </c>
      <c r="Z1053">
        <f t="shared" si="48"/>
        <v>0</v>
      </c>
      <c r="AA1053">
        <f t="shared" si="49"/>
        <v>6</v>
      </c>
      <c r="AB1053">
        <f t="shared" si="50"/>
        <v>1</v>
      </c>
    </row>
    <row r="1054" spans="1:28">
      <c r="A1054" s="314" t="s">
        <v>3730</v>
      </c>
      <c r="B1054" s="314" t="s">
        <v>3731</v>
      </c>
      <c r="C1054" s="314">
        <v>966751603</v>
      </c>
      <c r="D1054" s="314" t="s">
        <v>172</v>
      </c>
      <c r="E1054" s="314" t="s">
        <v>117</v>
      </c>
      <c r="F1054" s="314" t="s">
        <v>144</v>
      </c>
      <c r="G1054" s="314" t="s">
        <v>106</v>
      </c>
      <c r="H1054" s="314" t="s">
        <v>107</v>
      </c>
      <c r="I1054" s="314" t="s">
        <v>108</v>
      </c>
      <c r="J1054" s="314" t="s">
        <v>120</v>
      </c>
      <c r="K1054" s="314">
        <v>80000</v>
      </c>
      <c r="L1054" s="314">
        <v>200000</v>
      </c>
      <c r="M1054" s="315">
        <v>45145.2566203704</v>
      </c>
      <c r="N1054" s="314" t="s">
        <v>3732</v>
      </c>
      <c r="O1054" s="314" t="s">
        <v>174</v>
      </c>
      <c r="P1054" s="314" t="s">
        <v>112</v>
      </c>
      <c r="Q1054" s="315">
        <v>45145.2760069444</v>
      </c>
      <c r="R1054" s="315">
        <v>45145.3610069444</v>
      </c>
      <c r="S1054" s="314" t="s">
        <v>3733</v>
      </c>
      <c r="T1054" s="314" t="s">
        <v>124</v>
      </c>
      <c r="U1054" s="314" t="s">
        <v>124</v>
      </c>
      <c r="V1054" s="314" t="s">
        <v>114</v>
      </c>
      <c r="W1054" s="314"/>
      <c r="X1054" s="314" t="str">
        <f>VLOOKUP(D1054,代理总表!A:D,3,0)</f>
        <v>雨燕直播-越</v>
      </c>
      <c r="Y1054" t="str">
        <f>VLOOKUP(D:D,代理总表!A:D,4,FALSE)</f>
        <v>雨燕直播-越ffvn66</v>
      </c>
      <c r="Z1054">
        <f t="shared" si="48"/>
        <v>1</v>
      </c>
      <c r="AA1054">
        <f t="shared" si="49"/>
        <v>6</v>
      </c>
      <c r="AB1054">
        <f t="shared" si="50"/>
        <v>1</v>
      </c>
    </row>
    <row r="1055" spans="1:28">
      <c r="A1055" s="314" t="s">
        <v>3734</v>
      </c>
      <c r="B1055" s="314"/>
      <c r="C1055" s="314"/>
      <c r="D1055" s="314" t="s">
        <v>240</v>
      </c>
      <c r="E1055" s="314" t="s">
        <v>104</v>
      </c>
      <c r="F1055" s="314" t="s">
        <v>149</v>
      </c>
      <c r="G1055" s="314" t="s">
        <v>108</v>
      </c>
      <c r="H1055" s="314" t="s">
        <v>119</v>
      </c>
      <c r="I1055" s="314" t="s">
        <v>108</v>
      </c>
      <c r="J1055" s="314" t="s">
        <v>109</v>
      </c>
      <c r="K1055" s="314">
        <v>0</v>
      </c>
      <c r="L1055" s="314">
        <v>0</v>
      </c>
      <c r="M1055" s="315">
        <v>45145.254837963</v>
      </c>
      <c r="N1055" s="314" t="s">
        <v>3735</v>
      </c>
      <c r="O1055" s="314" t="s">
        <v>242</v>
      </c>
      <c r="P1055" s="314" t="s">
        <v>112</v>
      </c>
      <c r="Q1055" s="314" t="s">
        <v>123</v>
      </c>
      <c r="R1055" s="315">
        <v>45145.8920138889</v>
      </c>
      <c r="S1055" s="314" t="s">
        <v>3735</v>
      </c>
      <c r="T1055" s="314" t="s">
        <v>299</v>
      </c>
      <c r="U1055" s="314" t="s">
        <v>299</v>
      </c>
      <c r="V1055" s="314" t="s">
        <v>114</v>
      </c>
      <c r="W1055" s="314"/>
      <c r="X1055" s="314" t="str">
        <f>VLOOKUP(D1055,代理总表!A:D,3,0)</f>
        <v>SEO邀请</v>
      </c>
      <c r="Y1055" t="str">
        <f>VLOOKUP(D:D,代理总表!A:D,4,FALSE)</f>
        <v>SEO</v>
      </c>
      <c r="Z1055">
        <f t="shared" si="48"/>
        <v>0</v>
      </c>
      <c r="AA1055">
        <f t="shared" si="49"/>
        <v>6</v>
      </c>
      <c r="AB1055">
        <f t="shared" si="50"/>
        <v>1</v>
      </c>
    </row>
    <row r="1056" spans="1:28">
      <c r="A1056" s="314" t="s">
        <v>3736</v>
      </c>
      <c r="B1056" s="314" t="s">
        <v>3737</v>
      </c>
      <c r="C1056" s="314">
        <v>910385019</v>
      </c>
      <c r="D1056" s="314" t="s">
        <v>1894</v>
      </c>
      <c r="E1056" s="314" t="s">
        <v>1895</v>
      </c>
      <c r="F1056" s="314" t="s">
        <v>118</v>
      </c>
      <c r="G1056" s="314" t="s">
        <v>108</v>
      </c>
      <c r="H1056" s="314" t="s">
        <v>119</v>
      </c>
      <c r="I1056" s="314" t="s">
        <v>108</v>
      </c>
      <c r="J1056" s="314" t="s">
        <v>1896</v>
      </c>
      <c r="K1056" s="314">
        <v>0</v>
      </c>
      <c r="L1056" s="314">
        <v>0</v>
      </c>
      <c r="M1056" s="315">
        <v>45145.2528472222</v>
      </c>
      <c r="N1056" s="314" t="s">
        <v>3738</v>
      </c>
      <c r="O1056" s="314" t="s">
        <v>1898</v>
      </c>
      <c r="P1056" s="314" t="s">
        <v>112</v>
      </c>
      <c r="Q1056" s="314" t="s">
        <v>123</v>
      </c>
      <c r="R1056" s="315">
        <v>45146.0322337963</v>
      </c>
      <c r="S1056" s="314" t="s">
        <v>3739</v>
      </c>
      <c r="T1056" s="314" t="s">
        <v>1899</v>
      </c>
      <c r="U1056" s="314" t="s">
        <v>1899</v>
      </c>
      <c r="V1056" s="314" t="s">
        <v>114</v>
      </c>
      <c r="W1056" s="314"/>
      <c r="X1056" s="314" t="str">
        <f>VLOOKUP(D1056,代理总表!A:D,3,0)</f>
        <v>鲲鹏admin</v>
      </c>
      <c r="Y1056" t="str">
        <f>VLOOKUP(D:D,代理总表!A:D,4,FALSE)</f>
        <v>鲲鹏adminbtydl0057</v>
      </c>
      <c r="Z1056">
        <f t="shared" si="48"/>
        <v>0</v>
      </c>
      <c r="AA1056">
        <f t="shared" si="49"/>
        <v>6</v>
      </c>
      <c r="AB1056">
        <f t="shared" si="50"/>
        <v>1</v>
      </c>
    </row>
    <row r="1057" spans="1:28">
      <c r="A1057" s="314" t="s">
        <v>3740</v>
      </c>
      <c r="B1057" s="314" t="s">
        <v>3741</v>
      </c>
      <c r="C1057" s="314">
        <v>18368943111</v>
      </c>
      <c r="D1057" s="314" t="s">
        <v>594</v>
      </c>
      <c r="E1057" s="314" t="s">
        <v>104</v>
      </c>
      <c r="F1057" s="314" t="s">
        <v>149</v>
      </c>
      <c r="G1057" s="314" t="s">
        <v>108</v>
      </c>
      <c r="H1057" s="314" t="s">
        <v>119</v>
      </c>
      <c r="I1057" s="314" t="s">
        <v>108</v>
      </c>
      <c r="J1057" s="314" t="s">
        <v>109</v>
      </c>
      <c r="K1057" s="314">
        <v>0</v>
      </c>
      <c r="L1057" s="314">
        <v>0</v>
      </c>
      <c r="M1057" s="315">
        <v>45145.2526157407</v>
      </c>
      <c r="N1057" s="314" t="s">
        <v>3742</v>
      </c>
      <c r="O1057" s="314" t="s">
        <v>988</v>
      </c>
      <c r="P1057" s="314" t="s">
        <v>161</v>
      </c>
      <c r="Q1057" s="314" t="s">
        <v>123</v>
      </c>
      <c r="R1057" s="315">
        <v>45145.6577546296</v>
      </c>
      <c r="S1057" s="314" t="s">
        <v>3742</v>
      </c>
      <c r="T1057" s="314" t="s">
        <v>3743</v>
      </c>
      <c r="U1057" s="314" t="s">
        <v>3743</v>
      </c>
      <c r="V1057" s="314" t="s">
        <v>114</v>
      </c>
      <c r="W1057" s="314"/>
      <c r="X1057" s="314" t="str">
        <f>VLOOKUP(D1057,代理总表!A:D,3,0)</f>
        <v>zed</v>
      </c>
      <c r="Y1057" t="str">
        <f>VLOOKUP(D:D,代理总表!A:D,4,FALSE)</f>
        <v>SEO</v>
      </c>
      <c r="Z1057">
        <f t="shared" si="48"/>
        <v>0</v>
      </c>
      <c r="AA1057">
        <f t="shared" si="49"/>
        <v>6</v>
      </c>
      <c r="AB1057">
        <f t="shared" si="50"/>
        <v>1</v>
      </c>
    </row>
    <row r="1058" spans="1:28">
      <c r="A1058" s="314" t="s">
        <v>3744</v>
      </c>
      <c r="B1058" s="314" t="s">
        <v>3745</v>
      </c>
      <c r="C1058" s="314">
        <v>18680320229</v>
      </c>
      <c r="D1058" s="314" t="s">
        <v>805</v>
      </c>
      <c r="E1058" s="314" t="s">
        <v>104</v>
      </c>
      <c r="F1058" s="314" t="s">
        <v>144</v>
      </c>
      <c r="G1058" s="314" t="s">
        <v>106</v>
      </c>
      <c r="H1058" s="314" t="s">
        <v>107</v>
      </c>
      <c r="I1058" s="314" t="s">
        <v>108</v>
      </c>
      <c r="J1058" s="314" t="s">
        <v>109</v>
      </c>
      <c r="K1058" s="314">
        <v>100</v>
      </c>
      <c r="L1058" s="314">
        <v>300</v>
      </c>
      <c r="M1058" s="315">
        <v>45145.2509837963</v>
      </c>
      <c r="N1058" s="314" t="s">
        <v>3746</v>
      </c>
      <c r="O1058" s="314" t="s">
        <v>992</v>
      </c>
      <c r="P1058" s="314" t="s">
        <v>112</v>
      </c>
      <c r="Q1058" s="315">
        <v>45145.2561805556</v>
      </c>
      <c r="R1058" s="315">
        <v>45145.985775463</v>
      </c>
      <c r="S1058" s="314" t="s">
        <v>3746</v>
      </c>
      <c r="T1058" s="314" t="s">
        <v>1450</v>
      </c>
      <c r="U1058" s="314" t="s">
        <v>1450</v>
      </c>
      <c r="V1058" s="314" t="s">
        <v>114</v>
      </c>
      <c r="W1058" s="314"/>
      <c r="X1058" s="314" t="str">
        <f>VLOOKUP(D1058,代理总表!A:D,3,0)</f>
        <v>飞哥雨燕直播</v>
      </c>
      <c r="Y1058" t="str">
        <f>VLOOKUP(D:D,代理总表!A:D,4,FALSE)</f>
        <v>飞哥雨燕直播ffmk88</v>
      </c>
      <c r="Z1058">
        <f t="shared" si="48"/>
        <v>1</v>
      </c>
      <c r="AA1058">
        <f t="shared" si="49"/>
        <v>6</v>
      </c>
      <c r="AB1058">
        <f t="shared" si="50"/>
        <v>1</v>
      </c>
    </row>
    <row r="1059" spans="1:28">
      <c r="A1059" s="314" t="s">
        <v>3747</v>
      </c>
      <c r="B1059" s="314" t="s">
        <v>3748</v>
      </c>
      <c r="C1059" s="314">
        <v>528248216</v>
      </c>
      <c r="D1059" s="314" t="s">
        <v>333</v>
      </c>
      <c r="E1059" s="314" t="s">
        <v>117</v>
      </c>
      <c r="F1059" s="314" t="s">
        <v>144</v>
      </c>
      <c r="G1059" s="314" t="s">
        <v>106</v>
      </c>
      <c r="H1059" s="314" t="s">
        <v>107</v>
      </c>
      <c r="I1059" s="314" t="s">
        <v>108</v>
      </c>
      <c r="J1059" s="314" t="s">
        <v>120</v>
      </c>
      <c r="K1059" s="314">
        <v>0</v>
      </c>
      <c r="L1059" s="314">
        <v>650000</v>
      </c>
      <c r="M1059" s="315">
        <v>45145.2491898148</v>
      </c>
      <c r="N1059" s="314" t="s">
        <v>3749</v>
      </c>
      <c r="O1059" s="314" t="s">
        <v>335</v>
      </c>
      <c r="P1059" s="314" t="s">
        <v>112</v>
      </c>
      <c r="Q1059" s="315">
        <v>45145.2548958333</v>
      </c>
      <c r="R1059" s="315">
        <v>45145.2520717593</v>
      </c>
      <c r="S1059" s="314" t="s">
        <v>3749</v>
      </c>
      <c r="T1059" s="314" t="s">
        <v>131</v>
      </c>
      <c r="U1059" s="314" t="s">
        <v>131</v>
      </c>
      <c r="V1059" s="314" t="s">
        <v>114</v>
      </c>
      <c r="W1059" s="314"/>
      <c r="X1059" s="314" t="e">
        <f>VLOOKUP(D1059,代理总表!A:D,3,0)</f>
        <v>#N/A</v>
      </c>
      <c r="Y1059" t="e">
        <f>VLOOKUP(D:D,代理总表!A:D,4,FALSE)</f>
        <v>#N/A</v>
      </c>
      <c r="Z1059">
        <f t="shared" si="48"/>
        <v>1</v>
      </c>
      <c r="AA1059">
        <f t="shared" si="49"/>
        <v>5</v>
      </c>
      <c r="AB1059">
        <f t="shared" si="50"/>
        <v>1</v>
      </c>
    </row>
    <row r="1060" spans="1:28">
      <c r="A1060" s="314" t="s">
        <v>3750</v>
      </c>
      <c r="B1060" s="314" t="s">
        <v>3751</v>
      </c>
      <c r="C1060" s="314">
        <v>15176517293</v>
      </c>
      <c r="D1060" s="314" t="s">
        <v>454</v>
      </c>
      <c r="E1060" s="314" t="s">
        <v>104</v>
      </c>
      <c r="F1060" s="314" t="s">
        <v>118</v>
      </c>
      <c r="G1060" s="314" t="s">
        <v>108</v>
      </c>
      <c r="H1060" s="314" t="s">
        <v>119</v>
      </c>
      <c r="I1060" s="314" t="s">
        <v>108</v>
      </c>
      <c r="J1060" s="314" t="s">
        <v>109</v>
      </c>
      <c r="K1060" s="314">
        <v>0</v>
      </c>
      <c r="L1060" s="314">
        <v>0</v>
      </c>
      <c r="M1060" s="315">
        <v>45145.234212963</v>
      </c>
      <c r="N1060" s="314" t="s">
        <v>3752</v>
      </c>
      <c r="O1060" s="314" t="s">
        <v>3753</v>
      </c>
      <c r="P1060" s="314" t="s">
        <v>112</v>
      </c>
      <c r="Q1060" s="314" t="s">
        <v>123</v>
      </c>
      <c r="R1060" s="315">
        <v>45146.0331365741</v>
      </c>
      <c r="S1060" s="314" t="s">
        <v>3754</v>
      </c>
      <c r="T1060" s="314" t="s">
        <v>2908</v>
      </c>
      <c r="U1060" s="314" t="s">
        <v>2907</v>
      </c>
      <c r="V1060" s="314" t="s">
        <v>114</v>
      </c>
      <c r="W1060" s="314"/>
      <c r="X1060" s="314" t="str">
        <f>VLOOKUP(D1060,代理总表!A:D,3,0)</f>
        <v>雨燕直播</v>
      </c>
      <c r="Y1060" t="str">
        <f>VLOOKUP(D:D,代理总表!A:D,4,FALSE)</f>
        <v>雨燕直播zzzb888</v>
      </c>
      <c r="Z1060">
        <f t="shared" si="48"/>
        <v>0</v>
      </c>
      <c r="AA1060">
        <f t="shared" si="49"/>
        <v>5</v>
      </c>
      <c r="AB1060">
        <f t="shared" si="50"/>
        <v>1</v>
      </c>
    </row>
    <row r="1061" spans="1:28">
      <c r="A1061" s="314" t="s">
        <v>3755</v>
      </c>
      <c r="B1061" s="314" t="s">
        <v>3756</v>
      </c>
      <c r="C1061" s="314">
        <v>13088168002</v>
      </c>
      <c r="D1061" s="314" t="s">
        <v>479</v>
      </c>
      <c r="E1061" s="314" t="s">
        <v>104</v>
      </c>
      <c r="F1061" s="314" t="s">
        <v>105</v>
      </c>
      <c r="G1061" s="314" t="s">
        <v>106</v>
      </c>
      <c r="H1061" s="314" t="s">
        <v>107</v>
      </c>
      <c r="I1061" s="314" t="s">
        <v>108</v>
      </c>
      <c r="J1061" s="314" t="s">
        <v>109</v>
      </c>
      <c r="K1061" s="314">
        <v>200</v>
      </c>
      <c r="L1061" s="314">
        <v>200</v>
      </c>
      <c r="M1061" s="315">
        <v>45145.2299537037</v>
      </c>
      <c r="N1061" s="314" t="s">
        <v>3757</v>
      </c>
      <c r="O1061" s="314" t="s">
        <v>2726</v>
      </c>
      <c r="P1061" s="314" t="s">
        <v>161</v>
      </c>
      <c r="Q1061" s="315">
        <v>45145.2395138889</v>
      </c>
      <c r="R1061" s="315">
        <v>45145.5684259259</v>
      </c>
      <c r="S1061" s="314" t="s">
        <v>3757</v>
      </c>
      <c r="T1061" s="314" t="s">
        <v>2541</v>
      </c>
      <c r="U1061" s="314" t="s">
        <v>2541</v>
      </c>
      <c r="V1061" s="314" t="s">
        <v>114</v>
      </c>
      <c r="W1061" s="314"/>
      <c r="X1061" s="314" t="str">
        <f>VLOOKUP(D1061,代理总表!A:D,3,0)</f>
        <v>GT-骨头</v>
      </c>
      <c r="Y1061" t="str">
        <f>VLOOKUP(D:D,代理总表!A:D,4,FALSE)</f>
        <v>B直播gt6677</v>
      </c>
      <c r="Z1061">
        <f t="shared" si="48"/>
        <v>1</v>
      </c>
      <c r="AA1061">
        <f t="shared" si="49"/>
        <v>5</v>
      </c>
      <c r="AB1061">
        <f t="shared" si="50"/>
        <v>1</v>
      </c>
    </row>
    <row r="1062" spans="1:28">
      <c r="A1062" s="314" t="s">
        <v>3758</v>
      </c>
      <c r="B1062" s="314" t="s">
        <v>3759</v>
      </c>
      <c r="C1062" s="314">
        <v>947619861</v>
      </c>
      <c r="D1062" s="314" t="s">
        <v>2000</v>
      </c>
      <c r="E1062" s="314" t="s">
        <v>117</v>
      </c>
      <c r="F1062" s="314" t="s">
        <v>3760</v>
      </c>
      <c r="G1062" s="314" t="s">
        <v>106</v>
      </c>
      <c r="H1062" s="314" t="s">
        <v>856</v>
      </c>
      <c r="I1062" s="314" t="s">
        <v>108</v>
      </c>
      <c r="J1062" s="314" t="s">
        <v>120</v>
      </c>
      <c r="K1062" s="314">
        <v>100000</v>
      </c>
      <c r="L1062" s="314">
        <v>100000</v>
      </c>
      <c r="M1062" s="315">
        <v>45145.2299074074</v>
      </c>
      <c r="N1062" s="314" t="s">
        <v>3761</v>
      </c>
      <c r="O1062" s="314" t="s">
        <v>3762</v>
      </c>
      <c r="P1062" s="314" t="s">
        <v>112</v>
      </c>
      <c r="Q1062" s="315">
        <v>45145.2347916667</v>
      </c>
      <c r="R1062" s="315">
        <v>45146.1380439815</v>
      </c>
      <c r="S1062" s="314" t="s">
        <v>3763</v>
      </c>
      <c r="T1062" s="314" t="s">
        <v>131</v>
      </c>
      <c r="U1062" s="314" t="s">
        <v>131</v>
      </c>
      <c r="V1062" s="314" t="s">
        <v>114</v>
      </c>
      <c r="W1062" s="314"/>
      <c r="X1062" s="314" t="str">
        <f>VLOOKUP(D1062,代理总表!A:D,3,0)</f>
        <v>SOCO越南直播</v>
      </c>
      <c r="Y1062" t="str">
        <f>VLOOKUP(D:D,代理总表!A:D,4,FALSE)</f>
        <v>SOCO越南直播ffvn66</v>
      </c>
      <c r="Z1062">
        <f t="shared" si="48"/>
        <v>1</v>
      </c>
      <c r="AA1062">
        <f t="shared" si="49"/>
        <v>5</v>
      </c>
      <c r="AB1062">
        <f t="shared" si="50"/>
        <v>1</v>
      </c>
    </row>
    <row r="1063" spans="1:28">
      <c r="A1063" s="314" t="s">
        <v>3764</v>
      </c>
      <c r="B1063" s="314"/>
      <c r="C1063" s="314">
        <v>15772423389</v>
      </c>
      <c r="D1063" s="314" t="s">
        <v>205</v>
      </c>
      <c r="E1063" s="314" t="s">
        <v>104</v>
      </c>
      <c r="F1063" s="314" t="s">
        <v>149</v>
      </c>
      <c r="G1063" s="314" t="s">
        <v>108</v>
      </c>
      <c r="H1063" s="314" t="s">
        <v>119</v>
      </c>
      <c r="I1063" s="314" t="s">
        <v>108</v>
      </c>
      <c r="J1063" s="314" t="s">
        <v>109</v>
      </c>
      <c r="K1063" s="314">
        <v>0</v>
      </c>
      <c r="L1063" s="314">
        <v>0</v>
      </c>
      <c r="M1063" s="315">
        <v>45145.2292708333</v>
      </c>
      <c r="N1063" s="314" t="s">
        <v>3765</v>
      </c>
      <c r="O1063" s="314" t="s">
        <v>2161</v>
      </c>
      <c r="P1063" s="314" t="s">
        <v>112</v>
      </c>
      <c r="Q1063" s="314" t="s">
        <v>123</v>
      </c>
      <c r="R1063" s="315">
        <v>45145.2311689815</v>
      </c>
      <c r="S1063" s="314" t="s">
        <v>3765</v>
      </c>
      <c r="T1063" s="314" t="s">
        <v>3766</v>
      </c>
      <c r="U1063" s="314" t="s">
        <v>3766</v>
      </c>
      <c r="V1063" s="314" t="s">
        <v>114</v>
      </c>
      <c r="W1063" s="314"/>
      <c r="X1063" s="314" t="str">
        <f>VLOOKUP(D1063,代理总表!A:D,3,0)</f>
        <v>ben</v>
      </c>
      <c r="Y1063" t="str">
        <f>VLOOKUP(D:D,代理总表!A:D,4,FALSE)</f>
        <v>SEO</v>
      </c>
      <c r="Z1063">
        <f t="shared" si="48"/>
        <v>0</v>
      </c>
      <c r="AA1063">
        <f t="shared" si="49"/>
        <v>5</v>
      </c>
      <c r="AB1063">
        <f t="shared" si="50"/>
        <v>1</v>
      </c>
    </row>
    <row r="1064" spans="1:28">
      <c r="A1064" s="314" t="s">
        <v>3767</v>
      </c>
      <c r="B1064" s="314" t="s">
        <v>3768</v>
      </c>
      <c r="C1064" s="314">
        <v>15813331609</v>
      </c>
      <c r="D1064" s="314" t="s">
        <v>103</v>
      </c>
      <c r="E1064" s="314" t="s">
        <v>104</v>
      </c>
      <c r="F1064" s="314" t="s">
        <v>105</v>
      </c>
      <c r="G1064" s="314" t="s">
        <v>106</v>
      </c>
      <c r="H1064" s="314" t="s">
        <v>856</v>
      </c>
      <c r="I1064" s="314" t="s">
        <v>108</v>
      </c>
      <c r="J1064" s="314" t="s">
        <v>109</v>
      </c>
      <c r="K1064" s="314">
        <v>2000.5</v>
      </c>
      <c r="L1064" s="314">
        <v>2000</v>
      </c>
      <c r="M1064" s="315">
        <v>45145.2287268518</v>
      </c>
      <c r="N1064" s="314" t="s">
        <v>3769</v>
      </c>
      <c r="O1064" s="314" t="s">
        <v>3770</v>
      </c>
      <c r="P1064" s="314" t="s">
        <v>112</v>
      </c>
      <c r="Q1064" s="315">
        <v>45145.2340856481</v>
      </c>
      <c r="R1064" s="315">
        <v>45145.2900347222</v>
      </c>
      <c r="S1064" s="314" t="s">
        <v>3769</v>
      </c>
      <c r="T1064" s="314" t="s">
        <v>152</v>
      </c>
      <c r="U1064" s="314" t="s">
        <v>152</v>
      </c>
      <c r="V1064" s="314" t="s">
        <v>114</v>
      </c>
      <c r="W1064" s="314"/>
      <c r="X1064" s="314" t="str">
        <f>VLOOKUP(D1064,代理总表!A:D,3,0)</f>
        <v>官网</v>
      </c>
      <c r="Y1064" t="str">
        <f>VLOOKUP(D:D,代理总表!A:D,4,FALSE)</f>
        <v>官网</v>
      </c>
      <c r="Z1064">
        <f t="shared" si="48"/>
        <v>1</v>
      </c>
      <c r="AA1064">
        <f t="shared" si="49"/>
        <v>5</v>
      </c>
      <c r="AB1064">
        <f t="shared" si="50"/>
        <v>1</v>
      </c>
    </row>
    <row r="1065" spans="1:28">
      <c r="A1065" s="314" t="s">
        <v>3771</v>
      </c>
      <c r="B1065" s="314"/>
      <c r="C1065" s="314"/>
      <c r="D1065" s="314" t="s">
        <v>3772</v>
      </c>
      <c r="E1065" s="314" t="s">
        <v>104</v>
      </c>
      <c r="F1065" s="314" t="s">
        <v>118</v>
      </c>
      <c r="G1065" s="314" t="s">
        <v>108</v>
      </c>
      <c r="H1065" s="314" t="s">
        <v>119</v>
      </c>
      <c r="I1065" s="314" t="s">
        <v>108</v>
      </c>
      <c r="J1065" s="314" t="s">
        <v>109</v>
      </c>
      <c r="K1065" s="314">
        <v>0</v>
      </c>
      <c r="L1065" s="314">
        <v>0</v>
      </c>
      <c r="M1065" s="315">
        <v>45145.2286111111</v>
      </c>
      <c r="N1065" s="314" t="s">
        <v>3773</v>
      </c>
      <c r="O1065" s="314" t="s">
        <v>3774</v>
      </c>
      <c r="P1065" s="314" t="s">
        <v>112</v>
      </c>
      <c r="Q1065" s="314" t="s">
        <v>123</v>
      </c>
      <c r="R1065" s="315">
        <v>45145.2373958333</v>
      </c>
      <c r="S1065" s="314" t="s">
        <v>3773</v>
      </c>
      <c r="T1065" s="314" t="s">
        <v>3775</v>
      </c>
      <c r="U1065" s="314" t="s">
        <v>3775</v>
      </c>
      <c r="V1065" s="314" t="s">
        <v>114</v>
      </c>
      <c r="W1065" s="314"/>
      <c r="X1065" s="314" t="e">
        <f>VLOOKUP(D1065,代理总表!A:D,3,0)</f>
        <v>#N/A</v>
      </c>
      <c r="Y1065" t="e">
        <f>VLOOKUP(D:D,代理总表!A:D,4,FALSE)</f>
        <v>#N/A</v>
      </c>
      <c r="Z1065">
        <f t="shared" si="48"/>
        <v>0</v>
      </c>
      <c r="AA1065">
        <f t="shared" si="49"/>
        <v>5</v>
      </c>
      <c r="AB1065">
        <f t="shared" si="50"/>
        <v>1</v>
      </c>
    </row>
    <row r="1066" spans="1:28">
      <c r="A1066" s="314" t="s">
        <v>3776</v>
      </c>
      <c r="B1066" s="314"/>
      <c r="C1066" s="314"/>
      <c r="D1066" s="314" t="s">
        <v>103</v>
      </c>
      <c r="E1066" s="314" t="s">
        <v>104</v>
      </c>
      <c r="F1066" s="314" t="s">
        <v>118</v>
      </c>
      <c r="G1066" s="314" t="s">
        <v>108</v>
      </c>
      <c r="H1066" s="314" t="s">
        <v>119</v>
      </c>
      <c r="I1066" s="314" t="s">
        <v>108</v>
      </c>
      <c r="J1066" s="314" t="s">
        <v>109</v>
      </c>
      <c r="K1066" s="314">
        <v>0</v>
      </c>
      <c r="L1066" s="314">
        <v>0</v>
      </c>
      <c r="M1066" s="315">
        <v>45145.2277314815</v>
      </c>
      <c r="N1066" s="314" t="s">
        <v>3777</v>
      </c>
      <c r="O1066" s="314" t="s">
        <v>2917</v>
      </c>
      <c r="P1066" s="314" t="s">
        <v>208</v>
      </c>
      <c r="Q1066" s="314" t="s">
        <v>123</v>
      </c>
      <c r="R1066" s="315">
        <v>45145.9381018519</v>
      </c>
      <c r="S1066" s="314" t="s">
        <v>3777</v>
      </c>
      <c r="T1066" s="314" t="s">
        <v>849</v>
      </c>
      <c r="U1066" s="314" t="s">
        <v>849</v>
      </c>
      <c r="V1066" s="314" t="s">
        <v>114</v>
      </c>
      <c r="W1066" s="314"/>
      <c r="X1066" s="314" t="str">
        <f>VLOOKUP(D1066,代理总表!A:D,3,0)</f>
        <v>官网</v>
      </c>
      <c r="Y1066" t="str">
        <f>VLOOKUP(D:D,代理总表!A:D,4,FALSE)</f>
        <v>官网</v>
      </c>
      <c r="Z1066">
        <f t="shared" si="48"/>
        <v>0</v>
      </c>
      <c r="AA1066">
        <f t="shared" si="49"/>
        <v>5</v>
      </c>
      <c r="AB1066">
        <f t="shared" si="50"/>
        <v>1</v>
      </c>
    </row>
    <row r="1067" spans="1:28">
      <c r="A1067" s="314" t="s">
        <v>3778</v>
      </c>
      <c r="B1067" s="314"/>
      <c r="C1067" s="314"/>
      <c r="D1067" s="314" t="s">
        <v>116</v>
      </c>
      <c r="E1067" s="314" t="s">
        <v>117</v>
      </c>
      <c r="F1067" s="314" t="s">
        <v>118</v>
      </c>
      <c r="G1067" s="314" t="s">
        <v>108</v>
      </c>
      <c r="H1067" s="314" t="s">
        <v>119</v>
      </c>
      <c r="I1067" s="314" t="s">
        <v>108</v>
      </c>
      <c r="J1067" s="314" t="s">
        <v>120</v>
      </c>
      <c r="K1067" s="314">
        <v>0</v>
      </c>
      <c r="L1067" s="314">
        <v>0</v>
      </c>
      <c r="M1067" s="315">
        <v>45145.2274884259</v>
      </c>
      <c r="N1067" s="314" t="s">
        <v>3779</v>
      </c>
      <c r="O1067" s="314" t="s">
        <v>122</v>
      </c>
      <c r="P1067" s="314" t="s">
        <v>112</v>
      </c>
      <c r="Q1067" s="314" t="s">
        <v>123</v>
      </c>
      <c r="R1067" s="315">
        <v>45145.2274768519</v>
      </c>
      <c r="S1067" s="314" t="s">
        <v>3779</v>
      </c>
      <c r="T1067" s="314" t="s">
        <v>131</v>
      </c>
      <c r="U1067" s="314" t="s">
        <v>131</v>
      </c>
      <c r="V1067" s="314" t="s">
        <v>114</v>
      </c>
      <c r="W1067" s="314"/>
      <c r="X1067" s="314" t="str">
        <f>VLOOKUP(D1067,代理总表!A:D,3,0)</f>
        <v>外部代理总线</v>
      </c>
      <c r="Y1067" t="str">
        <f>VLOOKUP(D:D,代理总表!A:D,4,FALSE)</f>
        <v>外部代理总线zh0808</v>
      </c>
      <c r="Z1067">
        <f t="shared" si="48"/>
        <v>0</v>
      </c>
      <c r="AA1067">
        <f t="shared" si="49"/>
        <v>5</v>
      </c>
      <c r="AB1067">
        <f t="shared" si="50"/>
        <v>1</v>
      </c>
    </row>
    <row r="1068" spans="1:28">
      <c r="A1068" s="314" t="s">
        <v>3780</v>
      </c>
      <c r="B1068" s="314"/>
      <c r="C1068" s="314"/>
      <c r="D1068" s="314" t="s">
        <v>103</v>
      </c>
      <c r="E1068" s="314" t="s">
        <v>104</v>
      </c>
      <c r="F1068" s="314" t="s">
        <v>118</v>
      </c>
      <c r="G1068" s="314" t="s">
        <v>108</v>
      </c>
      <c r="H1068" s="314" t="s">
        <v>119</v>
      </c>
      <c r="I1068" s="314" t="s">
        <v>108</v>
      </c>
      <c r="J1068" s="314" t="s">
        <v>109</v>
      </c>
      <c r="K1068" s="314">
        <v>0</v>
      </c>
      <c r="L1068" s="314">
        <v>0</v>
      </c>
      <c r="M1068" s="315">
        <v>45145.2272337963</v>
      </c>
      <c r="N1068" s="314" t="s">
        <v>3777</v>
      </c>
      <c r="O1068" s="314" t="s">
        <v>2917</v>
      </c>
      <c r="P1068" s="314" t="s">
        <v>208</v>
      </c>
      <c r="Q1068" s="314" t="s">
        <v>123</v>
      </c>
      <c r="R1068" s="315">
        <v>45145.2272222222</v>
      </c>
      <c r="S1068" s="314" t="s">
        <v>3777</v>
      </c>
      <c r="T1068" s="314" t="s">
        <v>849</v>
      </c>
      <c r="U1068" s="314" t="s">
        <v>849</v>
      </c>
      <c r="V1068" s="314" t="s">
        <v>114</v>
      </c>
      <c r="W1068" s="314"/>
      <c r="X1068" s="314" t="str">
        <f>VLOOKUP(D1068,代理总表!A:D,3,0)</f>
        <v>官网</v>
      </c>
      <c r="Y1068" t="str">
        <f>VLOOKUP(D:D,代理总表!A:D,4,FALSE)</f>
        <v>官网</v>
      </c>
      <c r="Z1068">
        <f t="shared" si="48"/>
        <v>0</v>
      </c>
      <c r="AA1068">
        <f t="shared" si="49"/>
        <v>5</v>
      </c>
      <c r="AB1068">
        <f t="shared" si="50"/>
        <v>1</v>
      </c>
    </row>
    <row r="1069" spans="1:28">
      <c r="A1069" s="314" t="s">
        <v>3781</v>
      </c>
      <c r="B1069" s="314" t="s">
        <v>3782</v>
      </c>
      <c r="C1069" s="314">
        <v>15534596942</v>
      </c>
      <c r="D1069" s="314" t="s">
        <v>235</v>
      </c>
      <c r="E1069" s="314" t="s">
        <v>104</v>
      </c>
      <c r="F1069" s="314" t="s">
        <v>181</v>
      </c>
      <c r="G1069" s="314" t="s">
        <v>106</v>
      </c>
      <c r="H1069" s="314" t="s">
        <v>107</v>
      </c>
      <c r="I1069" s="314" t="s">
        <v>108</v>
      </c>
      <c r="J1069" s="314" t="s">
        <v>109</v>
      </c>
      <c r="K1069" s="314">
        <v>100.18</v>
      </c>
      <c r="L1069" s="314">
        <v>100</v>
      </c>
      <c r="M1069" s="315">
        <v>45145.2262962963</v>
      </c>
      <c r="N1069" s="314" t="s">
        <v>3783</v>
      </c>
      <c r="O1069" s="314" t="s">
        <v>786</v>
      </c>
      <c r="P1069" s="314" t="s">
        <v>208</v>
      </c>
      <c r="Q1069" s="315">
        <v>45145.2288773148</v>
      </c>
      <c r="R1069" s="315">
        <v>45145.2262962963</v>
      </c>
      <c r="S1069" s="314" t="s">
        <v>3783</v>
      </c>
      <c r="T1069" s="314" t="s">
        <v>3784</v>
      </c>
      <c r="U1069" s="314" t="s">
        <v>3784</v>
      </c>
      <c r="V1069" s="314" t="s">
        <v>114</v>
      </c>
      <c r="W1069" s="314"/>
      <c r="X1069" s="314" t="str">
        <f>VLOOKUP(D1069,代理总表!A:D,3,0)</f>
        <v>aber</v>
      </c>
      <c r="Y1069" t="str">
        <f>VLOOKUP(D:D,代理总表!A:D,4,FALSE)</f>
        <v>SEO</v>
      </c>
      <c r="Z1069">
        <f t="shared" si="48"/>
        <v>1</v>
      </c>
      <c r="AA1069">
        <f t="shared" si="49"/>
        <v>5</v>
      </c>
      <c r="AB1069">
        <f t="shared" si="50"/>
        <v>1</v>
      </c>
    </row>
    <row r="1070" spans="1:28">
      <c r="A1070" s="314" t="s">
        <v>3785</v>
      </c>
      <c r="B1070" s="314"/>
      <c r="C1070" s="314">
        <v>15394398040</v>
      </c>
      <c r="D1070" s="314" t="s">
        <v>3786</v>
      </c>
      <c r="E1070" s="314" t="s">
        <v>104</v>
      </c>
      <c r="F1070" s="314" t="s">
        <v>118</v>
      </c>
      <c r="G1070" s="314" t="s">
        <v>108</v>
      </c>
      <c r="H1070" s="314" t="s">
        <v>119</v>
      </c>
      <c r="I1070" s="314" t="s">
        <v>108</v>
      </c>
      <c r="J1070" s="314" t="s">
        <v>109</v>
      </c>
      <c r="K1070" s="314">
        <v>0</v>
      </c>
      <c r="L1070" s="314">
        <v>0</v>
      </c>
      <c r="M1070" s="315">
        <v>45145.2256481481</v>
      </c>
      <c r="N1070" s="314" t="s">
        <v>3787</v>
      </c>
      <c r="O1070" s="314" t="s">
        <v>3788</v>
      </c>
      <c r="P1070" s="314" t="s">
        <v>208</v>
      </c>
      <c r="Q1070" s="314" t="s">
        <v>123</v>
      </c>
      <c r="R1070" s="315">
        <v>45145.2256481481</v>
      </c>
      <c r="S1070" s="314" t="s">
        <v>3787</v>
      </c>
      <c r="T1070" s="314" t="s">
        <v>808</v>
      </c>
      <c r="U1070" s="314" t="s">
        <v>808</v>
      </c>
      <c r="V1070" s="314" t="s">
        <v>114</v>
      </c>
      <c r="W1070" s="314"/>
      <c r="X1070" s="314" t="str">
        <f>VLOOKUP(D1070,代理总表!A:D,3,0)</f>
        <v>外部代理总线</v>
      </c>
      <c r="Y1070" t="str">
        <f>VLOOKUP(D:D,代理总表!A:D,4,FALSE)</f>
        <v>外部代理总线zhaoshang</v>
      </c>
      <c r="Z1070">
        <f t="shared" si="48"/>
        <v>0</v>
      </c>
      <c r="AA1070">
        <f t="shared" si="49"/>
        <v>5</v>
      </c>
      <c r="AB1070">
        <f t="shared" si="50"/>
        <v>1</v>
      </c>
    </row>
    <row r="1071" spans="1:28">
      <c r="A1071" s="314" t="s">
        <v>3789</v>
      </c>
      <c r="B1071" s="314"/>
      <c r="C1071" s="314"/>
      <c r="D1071" s="314" t="s">
        <v>1294</v>
      </c>
      <c r="E1071" s="314" t="s">
        <v>104</v>
      </c>
      <c r="F1071" s="314" t="s">
        <v>118</v>
      </c>
      <c r="G1071" s="314" t="s">
        <v>108</v>
      </c>
      <c r="H1071" s="314" t="s">
        <v>119</v>
      </c>
      <c r="I1071" s="314" t="s">
        <v>108</v>
      </c>
      <c r="J1071" s="314" t="s">
        <v>109</v>
      </c>
      <c r="K1071" s="314">
        <v>0</v>
      </c>
      <c r="L1071" s="314">
        <v>0</v>
      </c>
      <c r="M1071" s="315">
        <v>45145.2241087963</v>
      </c>
      <c r="N1071" s="314" t="s">
        <v>3790</v>
      </c>
      <c r="O1071" s="314" t="s">
        <v>2653</v>
      </c>
      <c r="P1071" s="314" t="s">
        <v>112</v>
      </c>
      <c r="Q1071" s="314" t="s">
        <v>123</v>
      </c>
      <c r="R1071" s="315">
        <v>45145.2259722222</v>
      </c>
      <c r="S1071" s="314" t="s">
        <v>3790</v>
      </c>
      <c r="T1071" s="314" t="s">
        <v>849</v>
      </c>
      <c r="U1071" s="314" t="s">
        <v>849</v>
      </c>
      <c r="V1071" s="314" t="s">
        <v>114</v>
      </c>
      <c r="W1071" s="314"/>
      <c r="X1071" s="314" t="str">
        <f>VLOOKUP(D1071,代理总表!A:D,3,0)</f>
        <v>GT-骨头</v>
      </c>
      <c r="Y1071" t="str">
        <f>VLOOKUP(D:D,代理总表!A:D,4,FALSE)</f>
        <v>B直播gt6677</v>
      </c>
      <c r="Z1071">
        <f t="shared" si="48"/>
        <v>0</v>
      </c>
      <c r="AA1071">
        <f t="shared" si="49"/>
        <v>5</v>
      </c>
      <c r="AB1071">
        <f t="shared" si="50"/>
        <v>1</v>
      </c>
    </row>
    <row r="1072" spans="1:28">
      <c r="A1072" s="314" t="s">
        <v>3791</v>
      </c>
      <c r="B1072" s="314"/>
      <c r="C1072" s="314">
        <v>13194127449</v>
      </c>
      <c r="D1072" s="314" t="s">
        <v>3232</v>
      </c>
      <c r="E1072" s="314" t="s">
        <v>104</v>
      </c>
      <c r="F1072" s="314" t="s">
        <v>118</v>
      </c>
      <c r="G1072" s="314" t="s">
        <v>108</v>
      </c>
      <c r="H1072" s="314" t="s">
        <v>119</v>
      </c>
      <c r="I1072" s="314" t="s">
        <v>108</v>
      </c>
      <c r="J1072" s="314" t="s">
        <v>109</v>
      </c>
      <c r="K1072" s="314">
        <v>0</v>
      </c>
      <c r="L1072" s="314">
        <v>0</v>
      </c>
      <c r="M1072" s="315">
        <v>45145.2178935185</v>
      </c>
      <c r="N1072" s="314" t="s">
        <v>3792</v>
      </c>
      <c r="O1072" s="314" t="s">
        <v>3793</v>
      </c>
      <c r="P1072" s="314" t="s">
        <v>112</v>
      </c>
      <c r="Q1072" s="314" t="s">
        <v>123</v>
      </c>
      <c r="R1072" s="315">
        <v>45145.2178819444</v>
      </c>
      <c r="S1072" s="314" t="s">
        <v>3792</v>
      </c>
      <c r="T1072" s="314" t="s">
        <v>3794</v>
      </c>
      <c r="U1072" s="314" t="s">
        <v>3794</v>
      </c>
      <c r="V1072" s="314" t="s">
        <v>114</v>
      </c>
      <c r="W1072" s="314"/>
      <c r="X1072" s="314" t="str">
        <f>VLOOKUP(D1072,代理总表!A:D,3,0)</f>
        <v>小Peter</v>
      </c>
      <c r="Y1072" t="str">
        <f>VLOOKUP(D:D,代理总表!A:D,4,FALSE)</f>
        <v>小Peterbtydl0020</v>
      </c>
      <c r="Z1072">
        <f t="shared" si="48"/>
        <v>0</v>
      </c>
      <c r="AA1072">
        <f t="shared" si="49"/>
        <v>5</v>
      </c>
      <c r="AB1072">
        <f t="shared" si="50"/>
        <v>1</v>
      </c>
    </row>
    <row r="1073" spans="1:28">
      <c r="A1073" s="314" t="s">
        <v>3795</v>
      </c>
      <c r="B1073" s="314" t="s">
        <v>3796</v>
      </c>
      <c r="C1073" s="314">
        <v>337908617</v>
      </c>
      <c r="D1073" s="314" t="s">
        <v>2065</v>
      </c>
      <c r="E1073" s="314" t="s">
        <v>117</v>
      </c>
      <c r="F1073" s="314" t="s">
        <v>118</v>
      </c>
      <c r="G1073" s="314" t="s">
        <v>108</v>
      </c>
      <c r="H1073" s="314" t="s">
        <v>119</v>
      </c>
      <c r="I1073" s="314" t="s">
        <v>108</v>
      </c>
      <c r="J1073" s="314" t="s">
        <v>120</v>
      </c>
      <c r="K1073" s="314">
        <v>0</v>
      </c>
      <c r="L1073" s="314">
        <v>0</v>
      </c>
      <c r="M1073" s="315">
        <v>45145.2171875</v>
      </c>
      <c r="N1073" s="314" t="s">
        <v>3797</v>
      </c>
      <c r="O1073" s="314" t="s">
        <v>2067</v>
      </c>
      <c r="P1073" s="314" t="s">
        <v>112</v>
      </c>
      <c r="Q1073" s="314" t="s">
        <v>123</v>
      </c>
      <c r="R1073" s="315">
        <v>45145.3329976852</v>
      </c>
      <c r="S1073" s="314" t="s">
        <v>3797</v>
      </c>
      <c r="T1073" s="314" t="s">
        <v>520</v>
      </c>
      <c r="U1073" s="314" t="s">
        <v>520</v>
      </c>
      <c r="V1073" s="314" t="s">
        <v>114</v>
      </c>
      <c r="W1073" s="314"/>
      <c r="X1073" s="314" t="str">
        <f>VLOOKUP(D1073,代理总表!A:D,3,0)</f>
        <v>外部代理总线</v>
      </c>
      <c r="Y1073" t="str">
        <f>VLOOKUP(D:D,代理总表!A:D,4,FALSE)</f>
        <v>外部代理总线zh0808</v>
      </c>
      <c r="Z1073">
        <f t="shared" si="48"/>
        <v>0</v>
      </c>
      <c r="AA1073">
        <f t="shared" si="49"/>
        <v>5</v>
      </c>
      <c r="AB1073">
        <f t="shared" si="50"/>
        <v>1</v>
      </c>
    </row>
    <row r="1074" spans="1:28">
      <c r="A1074" s="314" t="s">
        <v>3798</v>
      </c>
      <c r="B1074" s="314"/>
      <c r="C1074" s="314">
        <v>13650558567</v>
      </c>
      <c r="D1074" s="314" t="s">
        <v>205</v>
      </c>
      <c r="E1074" s="314" t="s">
        <v>104</v>
      </c>
      <c r="F1074" s="314" t="s">
        <v>149</v>
      </c>
      <c r="G1074" s="314" t="s">
        <v>108</v>
      </c>
      <c r="H1074" s="314" t="s">
        <v>119</v>
      </c>
      <c r="I1074" s="314" t="s">
        <v>108</v>
      </c>
      <c r="J1074" s="314" t="s">
        <v>109</v>
      </c>
      <c r="K1074" s="314">
        <v>0</v>
      </c>
      <c r="L1074" s="314">
        <v>0</v>
      </c>
      <c r="M1074" s="315">
        <v>45145.2133101852</v>
      </c>
      <c r="N1074" s="314" t="s">
        <v>3773</v>
      </c>
      <c r="O1074" s="314" t="s">
        <v>2161</v>
      </c>
      <c r="P1074" s="314" t="s">
        <v>112</v>
      </c>
      <c r="Q1074" s="314" t="s">
        <v>123</v>
      </c>
      <c r="R1074" s="315">
        <v>45145.2281828704</v>
      </c>
      <c r="S1074" s="314" t="s">
        <v>3773</v>
      </c>
      <c r="T1074" s="314" t="s">
        <v>3775</v>
      </c>
      <c r="U1074" s="314" t="s">
        <v>3775</v>
      </c>
      <c r="V1074" s="314" t="s">
        <v>114</v>
      </c>
      <c r="W1074" s="314"/>
      <c r="X1074" s="314" t="str">
        <f>VLOOKUP(D1074,代理总表!A:D,3,0)</f>
        <v>ben</v>
      </c>
      <c r="Y1074" t="str">
        <f>VLOOKUP(D:D,代理总表!A:D,4,FALSE)</f>
        <v>SEO</v>
      </c>
      <c r="Z1074">
        <f t="shared" si="48"/>
        <v>0</v>
      </c>
      <c r="AA1074">
        <f t="shared" si="49"/>
        <v>5</v>
      </c>
      <c r="AB1074">
        <f t="shared" si="50"/>
        <v>1</v>
      </c>
    </row>
    <row r="1075" spans="1:28">
      <c r="A1075" s="314" t="s">
        <v>3799</v>
      </c>
      <c r="B1075" s="314" t="s">
        <v>3800</v>
      </c>
      <c r="C1075" s="314">
        <v>16658588062</v>
      </c>
      <c r="D1075" s="314" t="s">
        <v>2121</v>
      </c>
      <c r="E1075" s="314" t="s">
        <v>104</v>
      </c>
      <c r="F1075" s="314" t="s">
        <v>144</v>
      </c>
      <c r="G1075" s="314" t="s">
        <v>106</v>
      </c>
      <c r="H1075" s="314" t="s">
        <v>107</v>
      </c>
      <c r="I1075" s="314" t="s">
        <v>108</v>
      </c>
      <c r="J1075" s="314" t="s">
        <v>109</v>
      </c>
      <c r="K1075" s="314">
        <v>330</v>
      </c>
      <c r="L1075" s="314">
        <v>300</v>
      </c>
      <c r="M1075" s="315">
        <v>45145.2103935185</v>
      </c>
      <c r="N1075" s="314" t="s">
        <v>3801</v>
      </c>
      <c r="O1075" s="314" t="s">
        <v>3802</v>
      </c>
      <c r="P1075" s="314" t="s">
        <v>112</v>
      </c>
      <c r="Q1075" s="315">
        <v>45145.2224884259</v>
      </c>
      <c r="R1075" s="315">
        <v>45146.0305324074</v>
      </c>
      <c r="S1075" s="314" t="s">
        <v>3801</v>
      </c>
      <c r="T1075" s="314" t="s">
        <v>849</v>
      </c>
      <c r="U1075" s="314" t="s">
        <v>849</v>
      </c>
      <c r="V1075" s="314" t="s">
        <v>114</v>
      </c>
      <c r="W1075" s="314" t="s">
        <v>3721</v>
      </c>
      <c r="X1075" s="314" t="str">
        <f>VLOOKUP(D1075,代理总表!A:D,3,0)</f>
        <v>飞哥雨燕直播</v>
      </c>
      <c r="Y1075" t="str">
        <f>VLOOKUP(D:D,代理总表!A:D,4,FALSE)</f>
        <v>飞哥雨燕直播ffmk88</v>
      </c>
      <c r="Z1075">
        <f t="shared" si="48"/>
        <v>1</v>
      </c>
      <c r="AA1075">
        <f t="shared" si="49"/>
        <v>5</v>
      </c>
      <c r="AB1075">
        <f t="shared" si="50"/>
        <v>1</v>
      </c>
    </row>
    <row r="1076" spans="1:28">
      <c r="A1076" s="314" t="s">
        <v>3803</v>
      </c>
      <c r="B1076" s="314" t="s">
        <v>3804</v>
      </c>
      <c r="C1076" s="314">
        <v>19954173243</v>
      </c>
      <c r="D1076" s="314" t="s">
        <v>1294</v>
      </c>
      <c r="E1076" s="314" t="s">
        <v>1295</v>
      </c>
      <c r="F1076" s="314" t="s">
        <v>118</v>
      </c>
      <c r="G1076" s="314" t="s">
        <v>108</v>
      </c>
      <c r="H1076" s="314" t="s">
        <v>119</v>
      </c>
      <c r="I1076" s="314" t="s">
        <v>108</v>
      </c>
      <c r="J1076" s="314" t="s">
        <v>109</v>
      </c>
      <c r="K1076" s="314">
        <v>0</v>
      </c>
      <c r="L1076" s="314">
        <v>0</v>
      </c>
      <c r="M1076" s="315">
        <v>45145.2051967593</v>
      </c>
      <c r="N1076" s="314" t="s">
        <v>3805</v>
      </c>
      <c r="O1076" s="314" t="s">
        <v>3806</v>
      </c>
      <c r="P1076" s="314" t="s">
        <v>112</v>
      </c>
      <c r="Q1076" s="314" t="s">
        <v>123</v>
      </c>
      <c r="R1076" s="315">
        <v>45145.2166666667</v>
      </c>
      <c r="S1076" s="314" t="s">
        <v>3805</v>
      </c>
      <c r="T1076" s="314" t="s">
        <v>256</v>
      </c>
      <c r="U1076" s="314" t="s">
        <v>256</v>
      </c>
      <c r="V1076" s="314" t="s">
        <v>114</v>
      </c>
      <c r="W1076" s="314"/>
      <c r="X1076" s="314" t="str">
        <f>VLOOKUP(D1076,代理总表!A:D,3,0)</f>
        <v>GT-骨头</v>
      </c>
      <c r="Y1076" t="str">
        <f>VLOOKUP(D:D,代理总表!A:D,4,FALSE)</f>
        <v>B直播gt6677</v>
      </c>
      <c r="Z1076">
        <f t="shared" si="48"/>
        <v>0</v>
      </c>
      <c r="AA1076">
        <f t="shared" si="49"/>
        <v>4</v>
      </c>
      <c r="AB1076">
        <f t="shared" si="50"/>
        <v>1</v>
      </c>
    </row>
    <row r="1077" spans="1:28">
      <c r="A1077" s="314" t="s">
        <v>3807</v>
      </c>
      <c r="B1077" s="314" t="s">
        <v>3748</v>
      </c>
      <c r="C1077" s="314">
        <v>528258553</v>
      </c>
      <c r="D1077" s="314" t="s">
        <v>333</v>
      </c>
      <c r="E1077" s="314" t="s">
        <v>117</v>
      </c>
      <c r="F1077" s="314" t="s">
        <v>144</v>
      </c>
      <c r="G1077" s="314" t="s">
        <v>106</v>
      </c>
      <c r="H1077" s="314" t="s">
        <v>107</v>
      </c>
      <c r="I1077" s="314" t="s">
        <v>108</v>
      </c>
      <c r="J1077" s="314" t="s">
        <v>120</v>
      </c>
      <c r="K1077" s="314">
        <v>650000</v>
      </c>
      <c r="L1077" s="314">
        <v>4040000</v>
      </c>
      <c r="M1077" s="315">
        <v>45145.2046759259</v>
      </c>
      <c r="N1077" s="314" t="s">
        <v>3808</v>
      </c>
      <c r="O1077" s="314" t="s">
        <v>335</v>
      </c>
      <c r="P1077" s="314" t="s">
        <v>112</v>
      </c>
      <c r="Q1077" s="315">
        <v>45145.2118865741</v>
      </c>
      <c r="R1077" s="315">
        <v>45145.2309375</v>
      </c>
      <c r="S1077" s="314" t="s">
        <v>3808</v>
      </c>
      <c r="T1077" s="314" t="s">
        <v>128</v>
      </c>
      <c r="U1077" s="314" t="s">
        <v>128</v>
      </c>
      <c r="V1077" s="314" t="s">
        <v>114</v>
      </c>
      <c r="W1077" s="314"/>
      <c r="X1077" s="314" t="e">
        <f>VLOOKUP(D1077,代理总表!A:D,3,0)</f>
        <v>#N/A</v>
      </c>
      <c r="Y1077" t="e">
        <f>VLOOKUP(D:D,代理总表!A:D,4,FALSE)</f>
        <v>#N/A</v>
      </c>
      <c r="Z1077">
        <f t="shared" si="48"/>
        <v>1</v>
      </c>
      <c r="AA1077">
        <f t="shared" si="49"/>
        <v>4</v>
      </c>
      <c r="AB1077">
        <f t="shared" si="50"/>
        <v>1</v>
      </c>
    </row>
    <row r="1078" spans="1:28">
      <c r="A1078" s="314" t="s">
        <v>3809</v>
      </c>
      <c r="B1078" s="314"/>
      <c r="C1078" s="314">
        <v>339013019</v>
      </c>
      <c r="D1078" s="314" t="s">
        <v>116</v>
      </c>
      <c r="E1078" s="314" t="s">
        <v>104</v>
      </c>
      <c r="F1078" s="314" t="s">
        <v>118</v>
      </c>
      <c r="G1078" s="314" t="s">
        <v>108</v>
      </c>
      <c r="H1078" s="314" t="s">
        <v>119</v>
      </c>
      <c r="I1078" s="314" t="s">
        <v>108</v>
      </c>
      <c r="J1078" s="314" t="s">
        <v>109</v>
      </c>
      <c r="K1078" s="314">
        <v>0</v>
      </c>
      <c r="L1078" s="314">
        <v>0</v>
      </c>
      <c r="M1078" s="315">
        <v>45145.2027314815</v>
      </c>
      <c r="N1078" s="314" t="s">
        <v>3810</v>
      </c>
      <c r="O1078" s="314" t="s">
        <v>122</v>
      </c>
      <c r="P1078" s="314" t="s">
        <v>112</v>
      </c>
      <c r="Q1078" s="314" t="s">
        <v>123</v>
      </c>
      <c r="R1078" s="315">
        <v>45145.2091898148</v>
      </c>
      <c r="S1078" s="314" t="s">
        <v>3810</v>
      </c>
      <c r="T1078" s="314" t="s">
        <v>131</v>
      </c>
      <c r="U1078" s="314" t="s">
        <v>131</v>
      </c>
      <c r="V1078" s="314" t="s">
        <v>114</v>
      </c>
      <c r="W1078" s="314"/>
      <c r="X1078" s="314" t="str">
        <f>VLOOKUP(D1078,代理总表!A:D,3,0)</f>
        <v>外部代理总线</v>
      </c>
      <c r="Y1078" t="str">
        <f>VLOOKUP(D:D,代理总表!A:D,4,FALSE)</f>
        <v>外部代理总线zh0808</v>
      </c>
      <c r="Z1078">
        <f t="shared" si="48"/>
        <v>0</v>
      </c>
      <c r="AA1078">
        <f t="shared" si="49"/>
        <v>4</v>
      </c>
      <c r="AB1078">
        <f t="shared" si="50"/>
        <v>1</v>
      </c>
    </row>
    <row r="1079" spans="1:28">
      <c r="A1079" s="314" t="s">
        <v>3811</v>
      </c>
      <c r="B1079" s="314"/>
      <c r="C1079" s="314"/>
      <c r="D1079" s="314" t="s">
        <v>276</v>
      </c>
      <c r="E1079" s="314" t="s">
        <v>104</v>
      </c>
      <c r="F1079" s="314" t="s">
        <v>118</v>
      </c>
      <c r="G1079" s="314" t="s">
        <v>108</v>
      </c>
      <c r="H1079" s="314" t="s">
        <v>119</v>
      </c>
      <c r="I1079" s="314" t="s">
        <v>108</v>
      </c>
      <c r="J1079" s="314" t="s">
        <v>109</v>
      </c>
      <c r="K1079" s="314">
        <v>0</v>
      </c>
      <c r="L1079" s="314">
        <v>0</v>
      </c>
      <c r="M1079" s="315">
        <v>45145.2019444444</v>
      </c>
      <c r="N1079" s="314" t="s">
        <v>3812</v>
      </c>
      <c r="O1079" s="314" t="s">
        <v>3566</v>
      </c>
      <c r="P1079" s="314" t="s">
        <v>339</v>
      </c>
      <c r="Q1079" s="314" t="s">
        <v>123</v>
      </c>
      <c r="R1079" s="315">
        <v>45146.3017361111</v>
      </c>
      <c r="S1079" s="314" t="s">
        <v>3812</v>
      </c>
      <c r="T1079" s="314" t="s">
        <v>849</v>
      </c>
      <c r="U1079" s="314" t="s">
        <v>849</v>
      </c>
      <c r="V1079" s="314" t="s">
        <v>114</v>
      </c>
      <c r="W1079" s="314"/>
      <c r="X1079" s="314" t="str">
        <f>VLOOKUP(D1079,代理总表!A:D,3,0)</f>
        <v>飞哥雨燕直播</v>
      </c>
      <c r="Y1079" t="str">
        <f>VLOOKUP(D:D,代理总表!A:D,4,FALSE)</f>
        <v>飞哥雨燕直播ffmk88</v>
      </c>
      <c r="Z1079">
        <f t="shared" si="48"/>
        <v>0</v>
      </c>
      <c r="AA1079">
        <f t="shared" si="49"/>
        <v>4</v>
      </c>
      <c r="AB1079">
        <f t="shared" si="50"/>
        <v>1</v>
      </c>
    </row>
    <row r="1080" spans="1:28">
      <c r="A1080" s="314" t="s">
        <v>3813</v>
      </c>
      <c r="B1080" s="314"/>
      <c r="C1080" s="314">
        <v>15534735888</v>
      </c>
      <c r="D1080" s="314" t="s">
        <v>148</v>
      </c>
      <c r="E1080" s="314" t="s">
        <v>104</v>
      </c>
      <c r="F1080" s="314" t="s">
        <v>149</v>
      </c>
      <c r="G1080" s="314" t="s">
        <v>108</v>
      </c>
      <c r="H1080" s="314" t="s">
        <v>119</v>
      </c>
      <c r="I1080" s="314" t="s">
        <v>108</v>
      </c>
      <c r="J1080" s="314" t="s">
        <v>109</v>
      </c>
      <c r="K1080" s="314">
        <v>0</v>
      </c>
      <c r="L1080" s="314">
        <v>0</v>
      </c>
      <c r="M1080" s="315">
        <v>45145.2003009259</v>
      </c>
      <c r="N1080" s="314" t="s">
        <v>3814</v>
      </c>
      <c r="O1080" s="314" t="s">
        <v>585</v>
      </c>
      <c r="P1080" s="314" t="s">
        <v>112</v>
      </c>
      <c r="Q1080" s="314" t="s">
        <v>123</v>
      </c>
      <c r="R1080" s="315">
        <v>45145.2002893519</v>
      </c>
      <c r="S1080" s="314" t="s">
        <v>3814</v>
      </c>
      <c r="T1080" s="314" t="s">
        <v>152</v>
      </c>
      <c r="U1080" s="314" t="s">
        <v>152</v>
      </c>
      <c r="V1080" s="314" t="s">
        <v>114</v>
      </c>
      <c r="W1080" s="314"/>
      <c r="X1080" s="314" t="str">
        <f>VLOOKUP(D1080,代理总表!A:D,3,0)</f>
        <v>martin</v>
      </c>
      <c r="Y1080" t="str">
        <f>VLOOKUP(D:D,代理总表!A:D,4,FALSE)</f>
        <v>SEO</v>
      </c>
      <c r="Z1080">
        <f t="shared" si="48"/>
        <v>0</v>
      </c>
      <c r="AA1080">
        <f t="shared" si="49"/>
        <v>4</v>
      </c>
      <c r="AB1080">
        <f t="shared" si="50"/>
        <v>1</v>
      </c>
    </row>
    <row r="1081" spans="1:28">
      <c r="A1081" s="314" t="s">
        <v>3815</v>
      </c>
      <c r="B1081" s="314" t="s">
        <v>3816</v>
      </c>
      <c r="C1081" s="314">
        <v>946505597</v>
      </c>
      <c r="D1081" s="314" t="s">
        <v>116</v>
      </c>
      <c r="E1081" s="314" t="s">
        <v>117</v>
      </c>
      <c r="F1081" s="314" t="s">
        <v>118</v>
      </c>
      <c r="G1081" s="314" t="s">
        <v>108</v>
      </c>
      <c r="H1081" s="314" t="s">
        <v>119</v>
      </c>
      <c r="I1081" s="314" t="s">
        <v>108</v>
      </c>
      <c r="J1081" s="314" t="s">
        <v>120</v>
      </c>
      <c r="K1081" s="314">
        <v>0</v>
      </c>
      <c r="L1081" s="314">
        <v>0</v>
      </c>
      <c r="M1081" s="315">
        <v>45145.1993865741</v>
      </c>
      <c r="N1081" s="314" t="s">
        <v>3817</v>
      </c>
      <c r="O1081" s="314" t="s">
        <v>122</v>
      </c>
      <c r="P1081" s="314" t="s">
        <v>112</v>
      </c>
      <c r="Q1081" s="314" t="s">
        <v>123</v>
      </c>
      <c r="R1081" s="315">
        <v>45145.199375</v>
      </c>
      <c r="S1081" s="314" t="s">
        <v>3817</v>
      </c>
      <c r="T1081" s="314" t="s">
        <v>1532</v>
      </c>
      <c r="U1081" s="314" t="s">
        <v>1532</v>
      </c>
      <c r="V1081" s="314" t="s">
        <v>114</v>
      </c>
      <c r="W1081" s="314"/>
      <c r="X1081" s="314" t="str">
        <f>VLOOKUP(D1081,代理总表!A:D,3,0)</f>
        <v>外部代理总线</v>
      </c>
      <c r="Y1081" t="str">
        <f>VLOOKUP(D:D,代理总表!A:D,4,FALSE)</f>
        <v>外部代理总线zh0808</v>
      </c>
      <c r="Z1081">
        <f t="shared" si="48"/>
        <v>0</v>
      </c>
      <c r="AA1081">
        <f t="shared" si="49"/>
        <v>4</v>
      </c>
      <c r="AB1081">
        <f t="shared" si="50"/>
        <v>1</v>
      </c>
    </row>
    <row r="1082" spans="1:28">
      <c r="A1082" s="314" t="s">
        <v>3818</v>
      </c>
      <c r="B1082" s="314"/>
      <c r="C1082" s="314"/>
      <c r="D1082" s="314" t="s">
        <v>1513</v>
      </c>
      <c r="E1082" s="314" t="s">
        <v>104</v>
      </c>
      <c r="F1082" s="314" t="s">
        <v>118</v>
      </c>
      <c r="G1082" s="314" t="s">
        <v>108</v>
      </c>
      <c r="H1082" s="314" t="s">
        <v>119</v>
      </c>
      <c r="I1082" s="314" t="s">
        <v>108</v>
      </c>
      <c r="J1082" s="314" t="s">
        <v>109</v>
      </c>
      <c r="K1082" s="314">
        <v>0</v>
      </c>
      <c r="L1082" s="314">
        <v>0</v>
      </c>
      <c r="M1082" s="315">
        <v>45145.1990972222</v>
      </c>
      <c r="N1082" s="314" t="s">
        <v>3819</v>
      </c>
      <c r="O1082" s="314" t="s">
        <v>1515</v>
      </c>
      <c r="P1082" s="314" t="s">
        <v>112</v>
      </c>
      <c r="Q1082" s="314" t="s">
        <v>123</v>
      </c>
      <c r="R1082" s="315">
        <v>45145.1990856481</v>
      </c>
      <c r="S1082" s="314" t="s">
        <v>3819</v>
      </c>
      <c r="T1082" s="314" t="s">
        <v>1681</v>
      </c>
      <c r="U1082" s="314" t="s">
        <v>1681</v>
      </c>
      <c r="V1082" s="314" t="s">
        <v>114</v>
      </c>
      <c r="W1082" s="314"/>
      <c r="X1082" s="314" t="str">
        <f>VLOOKUP(D1082,代理总表!A:D,3,0)</f>
        <v>GT-骨头</v>
      </c>
      <c r="Y1082" t="str">
        <f>VLOOKUP(D:D,代理总表!A:D,4,FALSE)</f>
        <v>GT-骨头gt6677</v>
      </c>
      <c r="Z1082">
        <f t="shared" si="48"/>
        <v>0</v>
      </c>
      <c r="AA1082">
        <f t="shared" si="49"/>
        <v>4</v>
      </c>
      <c r="AB1082">
        <f t="shared" si="50"/>
        <v>1</v>
      </c>
    </row>
    <row r="1083" spans="1:28">
      <c r="A1083" s="314" t="s">
        <v>3820</v>
      </c>
      <c r="B1083" s="314"/>
      <c r="C1083" s="314">
        <v>955750854</v>
      </c>
      <c r="D1083" s="314" t="s">
        <v>1894</v>
      </c>
      <c r="E1083" s="314" t="s">
        <v>1895</v>
      </c>
      <c r="F1083" s="314" t="s">
        <v>118</v>
      </c>
      <c r="G1083" s="314" t="s">
        <v>108</v>
      </c>
      <c r="H1083" s="314" t="s">
        <v>119</v>
      </c>
      <c r="I1083" s="314" t="s">
        <v>108</v>
      </c>
      <c r="J1083" s="314" t="s">
        <v>1896</v>
      </c>
      <c r="K1083" s="314">
        <v>0</v>
      </c>
      <c r="L1083" s="314">
        <v>0</v>
      </c>
      <c r="M1083" s="315">
        <v>45145.1980324074</v>
      </c>
      <c r="N1083" s="314" t="s">
        <v>3821</v>
      </c>
      <c r="O1083" s="314" t="s">
        <v>1898</v>
      </c>
      <c r="P1083" s="314" t="s">
        <v>112</v>
      </c>
      <c r="Q1083" s="314" t="s">
        <v>123</v>
      </c>
      <c r="R1083" s="315">
        <v>45145.1980208333</v>
      </c>
      <c r="S1083" s="314" t="s">
        <v>3821</v>
      </c>
      <c r="T1083" s="314" t="s">
        <v>3822</v>
      </c>
      <c r="U1083" s="314" t="s">
        <v>3822</v>
      </c>
      <c r="V1083" s="314" t="s">
        <v>114</v>
      </c>
      <c r="W1083" s="314"/>
      <c r="X1083" s="314" t="str">
        <f>VLOOKUP(D1083,代理总表!A:D,3,0)</f>
        <v>鲲鹏admin</v>
      </c>
      <c r="Y1083" t="str">
        <f>VLOOKUP(D:D,代理总表!A:D,4,FALSE)</f>
        <v>鲲鹏adminbtydl0057</v>
      </c>
      <c r="Z1083">
        <f t="shared" si="48"/>
        <v>0</v>
      </c>
      <c r="AA1083">
        <f t="shared" si="49"/>
        <v>4</v>
      </c>
      <c r="AB1083">
        <f t="shared" si="50"/>
        <v>1</v>
      </c>
    </row>
    <row r="1084" spans="1:28">
      <c r="A1084" s="314" t="s">
        <v>3823</v>
      </c>
      <c r="B1084" s="314"/>
      <c r="C1084" s="314">
        <v>13610146581</v>
      </c>
      <c r="D1084" s="314" t="s">
        <v>1513</v>
      </c>
      <c r="E1084" s="314" t="s">
        <v>104</v>
      </c>
      <c r="F1084" s="314" t="s">
        <v>118</v>
      </c>
      <c r="G1084" s="314" t="s">
        <v>108</v>
      </c>
      <c r="H1084" s="314" t="s">
        <v>119</v>
      </c>
      <c r="I1084" s="314" t="s">
        <v>108</v>
      </c>
      <c r="J1084" s="314" t="s">
        <v>109</v>
      </c>
      <c r="K1084" s="314">
        <v>0</v>
      </c>
      <c r="L1084" s="314">
        <v>0</v>
      </c>
      <c r="M1084" s="315">
        <v>45145.1943171296</v>
      </c>
      <c r="N1084" s="314" t="s">
        <v>3824</v>
      </c>
      <c r="O1084" s="314" t="s">
        <v>1515</v>
      </c>
      <c r="P1084" s="314" t="s">
        <v>112</v>
      </c>
      <c r="Q1084" s="314" t="s">
        <v>123</v>
      </c>
      <c r="R1084" s="315">
        <v>45146.2075694444</v>
      </c>
      <c r="S1084" s="314" t="s">
        <v>3824</v>
      </c>
      <c r="T1084" s="314" t="s">
        <v>1363</v>
      </c>
      <c r="U1084" s="314" t="s">
        <v>1363</v>
      </c>
      <c r="V1084" s="314" t="s">
        <v>114</v>
      </c>
      <c r="W1084" s="314"/>
      <c r="X1084" s="314" t="str">
        <f>VLOOKUP(D1084,代理总表!A:D,3,0)</f>
        <v>GT-骨头</v>
      </c>
      <c r="Y1084" t="str">
        <f>VLOOKUP(D:D,代理总表!A:D,4,FALSE)</f>
        <v>GT-骨头gt6677</v>
      </c>
      <c r="Z1084">
        <f t="shared" si="48"/>
        <v>0</v>
      </c>
      <c r="AA1084">
        <f t="shared" si="49"/>
        <v>4</v>
      </c>
      <c r="AB1084">
        <f t="shared" si="50"/>
        <v>1</v>
      </c>
    </row>
    <row r="1085" spans="1:28">
      <c r="A1085" s="314" t="s">
        <v>3825</v>
      </c>
      <c r="B1085" s="314" t="s">
        <v>3826</v>
      </c>
      <c r="C1085" s="314">
        <v>13650960319</v>
      </c>
      <c r="D1085" s="314" t="s">
        <v>1525</v>
      </c>
      <c r="E1085" s="314" t="s">
        <v>104</v>
      </c>
      <c r="F1085" s="314" t="s">
        <v>144</v>
      </c>
      <c r="G1085" s="314" t="s">
        <v>106</v>
      </c>
      <c r="H1085" s="314" t="s">
        <v>107</v>
      </c>
      <c r="I1085" s="314" t="s">
        <v>108</v>
      </c>
      <c r="J1085" s="314" t="s">
        <v>109</v>
      </c>
      <c r="K1085" s="314">
        <v>28</v>
      </c>
      <c r="L1085" s="314">
        <v>200</v>
      </c>
      <c r="M1085" s="315">
        <v>45145.1936226852</v>
      </c>
      <c r="N1085" s="314" t="s">
        <v>3827</v>
      </c>
      <c r="O1085" s="314" t="s">
        <v>1942</v>
      </c>
      <c r="P1085" s="314" t="s">
        <v>112</v>
      </c>
      <c r="Q1085" s="315">
        <v>45145.2248148148</v>
      </c>
      <c r="R1085" s="315">
        <v>45145.2800578704</v>
      </c>
      <c r="S1085" s="314" t="s">
        <v>3827</v>
      </c>
      <c r="T1085" s="314" t="s">
        <v>477</v>
      </c>
      <c r="U1085" s="314" t="s">
        <v>477</v>
      </c>
      <c r="V1085" s="314" t="s">
        <v>114</v>
      </c>
      <c r="W1085" s="314"/>
      <c r="X1085" s="314" t="str">
        <f>VLOOKUP(D1085,代理总表!A:D,3,0)</f>
        <v>GT-骨头</v>
      </c>
      <c r="Y1085" t="str">
        <f>VLOOKUP(D:D,代理总表!A:D,4,FALSE)</f>
        <v>B直播gt6677</v>
      </c>
      <c r="Z1085">
        <f t="shared" si="48"/>
        <v>1</v>
      </c>
      <c r="AA1085">
        <f t="shared" si="49"/>
        <v>4</v>
      </c>
      <c r="AB1085">
        <f t="shared" si="50"/>
        <v>1</v>
      </c>
    </row>
    <row r="1086" spans="1:28">
      <c r="A1086" s="314" t="s">
        <v>3828</v>
      </c>
      <c r="B1086" s="314"/>
      <c r="C1086" s="314"/>
      <c r="D1086" s="314" t="s">
        <v>550</v>
      </c>
      <c r="E1086" s="314" t="s">
        <v>117</v>
      </c>
      <c r="F1086" s="314" t="s">
        <v>118</v>
      </c>
      <c r="G1086" s="314" t="s">
        <v>108</v>
      </c>
      <c r="H1086" s="314" t="s">
        <v>119</v>
      </c>
      <c r="I1086" s="314" t="s">
        <v>108</v>
      </c>
      <c r="J1086" s="314" t="s">
        <v>120</v>
      </c>
      <c r="K1086" s="314">
        <v>0</v>
      </c>
      <c r="L1086" s="314">
        <v>0</v>
      </c>
      <c r="M1086" s="315">
        <v>45145.1926851852</v>
      </c>
      <c r="N1086" s="314" t="s">
        <v>3829</v>
      </c>
      <c r="O1086" s="314" t="s">
        <v>1134</v>
      </c>
      <c r="P1086" s="314" t="s">
        <v>112</v>
      </c>
      <c r="Q1086" s="314" t="s">
        <v>123</v>
      </c>
      <c r="R1086" s="315">
        <v>45145.1926851852</v>
      </c>
      <c r="S1086" s="314" t="s">
        <v>3829</v>
      </c>
      <c r="T1086" s="314" t="s">
        <v>131</v>
      </c>
      <c r="U1086" s="314" t="s">
        <v>131</v>
      </c>
      <c r="V1086" s="314" t="s">
        <v>114</v>
      </c>
      <c r="W1086" s="314"/>
      <c r="X1086" s="314" t="str">
        <f>VLOOKUP(D1086,代理总表!A:D,3,0)</f>
        <v>SOCO越南直播</v>
      </c>
      <c r="Y1086" t="str">
        <f>VLOOKUP(D:D,代理总表!A:D,4,FALSE)</f>
        <v>SOCO越南直播ffvn66</v>
      </c>
      <c r="Z1086">
        <f t="shared" si="48"/>
        <v>0</v>
      </c>
      <c r="AA1086">
        <f t="shared" si="49"/>
        <v>4</v>
      </c>
      <c r="AB1086">
        <f t="shared" si="50"/>
        <v>1</v>
      </c>
    </row>
    <row r="1087" spans="1:28">
      <c r="A1087" s="314" t="s">
        <v>3830</v>
      </c>
      <c r="B1087" s="314"/>
      <c r="C1087" s="314">
        <v>17629573585</v>
      </c>
      <c r="D1087" s="314" t="s">
        <v>235</v>
      </c>
      <c r="E1087" s="314" t="s">
        <v>104</v>
      </c>
      <c r="F1087" s="314" t="s">
        <v>149</v>
      </c>
      <c r="G1087" s="314" t="s">
        <v>108</v>
      </c>
      <c r="H1087" s="314" t="s">
        <v>119</v>
      </c>
      <c r="I1087" s="314" t="s">
        <v>108</v>
      </c>
      <c r="J1087" s="314" t="s">
        <v>109</v>
      </c>
      <c r="K1087" s="314">
        <v>0</v>
      </c>
      <c r="L1087" s="314">
        <v>0</v>
      </c>
      <c r="M1087" s="315">
        <v>45145.1916087963</v>
      </c>
      <c r="N1087" s="314" t="s">
        <v>3831</v>
      </c>
      <c r="O1087" s="314" t="s">
        <v>237</v>
      </c>
      <c r="P1087" s="314" t="s">
        <v>112</v>
      </c>
      <c r="Q1087" s="314" t="s">
        <v>123</v>
      </c>
      <c r="R1087" s="315">
        <v>45145.1983912037</v>
      </c>
      <c r="S1087" s="314" t="s">
        <v>3831</v>
      </c>
      <c r="T1087" s="314" t="s">
        <v>3832</v>
      </c>
      <c r="U1087" s="314" t="s">
        <v>3832</v>
      </c>
      <c r="V1087" s="314" t="s">
        <v>114</v>
      </c>
      <c r="W1087" s="314"/>
      <c r="X1087" s="314" t="str">
        <f>VLOOKUP(D1087,代理总表!A:D,3,0)</f>
        <v>aber</v>
      </c>
      <c r="Y1087" t="str">
        <f>VLOOKUP(D:D,代理总表!A:D,4,FALSE)</f>
        <v>SEO</v>
      </c>
      <c r="Z1087">
        <f t="shared" si="48"/>
        <v>0</v>
      </c>
      <c r="AA1087">
        <f t="shared" si="49"/>
        <v>4</v>
      </c>
      <c r="AB1087">
        <f t="shared" si="50"/>
        <v>1</v>
      </c>
    </row>
    <row r="1088" spans="1:28">
      <c r="A1088" s="314" t="s">
        <v>3833</v>
      </c>
      <c r="B1088" s="314" t="s">
        <v>3834</v>
      </c>
      <c r="C1088" s="314">
        <v>387201387</v>
      </c>
      <c r="D1088" s="314" t="s">
        <v>3151</v>
      </c>
      <c r="E1088" s="314" t="s">
        <v>117</v>
      </c>
      <c r="F1088" s="314" t="s">
        <v>118</v>
      </c>
      <c r="G1088" s="314" t="s">
        <v>108</v>
      </c>
      <c r="H1088" s="314" t="s">
        <v>119</v>
      </c>
      <c r="I1088" s="314" t="s">
        <v>108</v>
      </c>
      <c r="J1088" s="314" t="s">
        <v>120</v>
      </c>
      <c r="K1088" s="314">
        <v>0</v>
      </c>
      <c r="L1088" s="314">
        <v>0</v>
      </c>
      <c r="M1088" s="315">
        <v>45145.1908796296</v>
      </c>
      <c r="N1088" s="314" t="s">
        <v>3835</v>
      </c>
      <c r="O1088" s="314" t="s">
        <v>3153</v>
      </c>
      <c r="P1088" s="314" t="s">
        <v>112</v>
      </c>
      <c r="Q1088" s="314" t="s">
        <v>123</v>
      </c>
      <c r="R1088" s="315">
        <v>45145.1908680556</v>
      </c>
      <c r="S1088" s="314" t="s">
        <v>3835</v>
      </c>
      <c r="T1088" s="314" t="s">
        <v>904</v>
      </c>
      <c r="U1088" s="314" t="s">
        <v>904</v>
      </c>
      <c r="V1088" s="314" t="s">
        <v>114</v>
      </c>
      <c r="W1088" s="314"/>
      <c r="X1088" s="314" t="str">
        <f>VLOOKUP(D1088,代理总表!A:D,3,0)</f>
        <v>SOCO越南直播</v>
      </c>
      <c r="Y1088" t="str">
        <f>VLOOKUP(D:D,代理总表!A:D,4,FALSE)</f>
        <v>SOCO越南直播ffvn66</v>
      </c>
      <c r="Z1088">
        <f t="shared" si="48"/>
        <v>0</v>
      </c>
      <c r="AA1088">
        <f t="shared" si="49"/>
        <v>4</v>
      </c>
      <c r="AB1088">
        <f t="shared" si="50"/>
        <v>1</v>
      </c>
    </row>
    <row r="1089" spans="1:28">
      <c r="A1089" s="314" t="s">
        <v>3836</v>
      </c>
      <c r="B1089" s="314"/>
      <c r="C1089" s="314">
        <v>918905473</v>
      </c>
      <c r="D1089" s="314" t="s">
        <v>116</v>
      </c>
      <c r="E1089" s="314" t="s">
        <v>117</v>
      </c>
      <c r="F1089" s="314" t="s">
        <v>118</v>
      </c>
      <c r="G1089" s="314" t="s">
        <v>108</v>
      </c>
      <c r="H1089" s="314" t="s">
        <v>119</v>
      </c>
      <c r="I1089" s="314" t="s">
        <v>108</v>
      </c>
      <c r="J1089" s="314" t="s">
        <v>120</v>
      </c>
      <c r="K1089" s="314">
        <v>0</v>
      </c>
      <c r="L1089" s="314">
        <v>0</v>
      </c>
      <c r="M1089" s="315">
        <v>45145.1900810185</v>
      </c>
      <c r="N1089" s="314" t="s">
        <v>3837</v>
      </c>
      <c r="O1089" s="314" t="s">
        <v>127</v>
      </c>
      <c r="P1089" s="314" t="s">
        <v>112</v>
      </c>
      <c r="Q1089" s="314" t="s">
        <v>123</v>
      </c>
      <c r="R1089" s="315">
        <v>45145.1900810185</v>
      </c>
      <c r="S1089" s="314" t="s">
        <v>3837</v>
      </c>
      <c r="T1089" s="314" t="s">
        <v>216</v>
      </c>
      <c r="U1089" s="314" t="s">
        <v>216</v>
      </c>
      <c r="V1089" s="314" t="s">
        <v>114</v>
      </c>
      <c r="W1089" s="314"/>
      <c r="X1089" s="314" t="str">
        <f>VLOOKUP(D1089,代理总表!A:D,3,0)</f>
        <v>外部代理总线</v>
      </c>
      <c r="Y1089" t="str">
        <f>VLOOKUP(D:D,代理总表!A:D,4,FALSE)</f>
        <v>外部代理总线zh0808</v>
      </c>
      <c r="Z1089">
        <f t="shared" si="48"/>
        <v>0</v>
      </c>
      <c r="AA1089">
        <f t="shared" si="49"/>
        <v>4</v>
      </c>
      <c r="AB1089">
        <f t="shared" si="50"/>
        <v>1</v>
      </c>
    </row>
    <row r="1090" spans="1:28">
      <c r="A1090" s="314" t="s">
        <v>3838</v>
      </c>
      <c r="B1090" s="314" t="s">
        <v>3839</v>
      </c>
      <c r="C1090" s="314">
        <v>384966944</v>
      </c>
      <c r="D1090" s="314" t="s">
        <v>116</v>
      </c>
      <c r="E1090" s="314" t="s">
        <v>117</v>
      </c>
      <c r="F1090" s="314" t="s">
        <v>118</v>
      </c>
      <c r="G1090" s="314" t="s">
        <v>108</v>
      </c>
      <c r="H1090" s="314" t="s">
        <v>119</v>
      </c>
      <c r="I1090" s="314" t="s">
        <v>108</v>
      </c>
      <c r="J1090" s="314" t="s">
        <v>120</v>
      </c>
      <c r="K1090" s="314">
        <v>0</v>
      </c>
      <c r="L1090" s="314">
        <v>0</v>
      </c>
      <c r="M1090" s="315">
        <v>45145.1890393519</v>
      </c>
      <c r="N1090" s="314" t="s">
        <v>3840</v>
      </c>
      <c r="O1090" s="314" t="s">
        <v>122</v>
      </c>
      <c r="P1090" s="314" t="s">
        <v>112</v>
      </c>
      <c r="Q1090" s="314" t="s">
        <v>123</v>
      </c>
      <c r="R1090" s="315">
        <v>45145.1890277778</v>
      </c>
      <c r="S1090" s="314" t="s">
        <v>3840</v>
      </c>
      <c r="T1090" s="314" t="s">
        <v>216</v>
      </c>
      <c r="U1090" s="314" t="s">
        <v>216</v>
      </c>
      <c r="V1090" s="314" t="s">
        <v>114</v>
      </c>
      <c r="W1090" s="314"/>
      <c r="X1090" s="314" t="str">
        <f>VLOOKUP(D1090,代理总表!A:D,3,0)</f>
        <v>外部代理总线</v>
      </c>
      <c r="Y1090" t="str">
        <f>VLOOKUP(D:D,代理总表!A:D,4,FALSE)</f>
        <v>外部代理总线zh0808</v>
      </c>
      <c r="Z1090">
        <f t="shared" si="48"/>
        <v>0</v>
      </c>
      <c r="AA1090">
        <f t="shared" si="49"/>
        <v>4</v>
      </c>
      <c r="AB1090">
        <f t="shared" si="50"/>
        <v>1</v>
      </c>
    </row>
    <row r="1091" spans="1:28">
      <c r="A1091" s="314" t="s">
        <v>3841</v>
      </c>
      <c r="B1091" s="314"/>
      <c r="C1091" s="314">
        <v>394261672</v>
      </c>
      <c r="D1091" s="314" t="s">
        <v>116</v>
      </c>
      <c r="E1091" s="314" t="s">
        <v>117</v>
      </c>
      <c r="F1091" s="314" t="s">
        <v>118</v>
      </c>
      <c r="G1091" s="314" t="s">
        <v>108</v>
      </c>
      <c r="H1091" s="314" t="s">
        <v>119</v>
      </c>
      <c r="I1091" s="314" t="s">
        <v>108</v>
      </c>
      <c r="J1091" s="314" t="s">
        <v>120</v>
      </c>
      <c r="K1091" s="314">
        <v>0</v>
      </c>
      <c r="L1091" s="314">
        <v>0</v>
      </c>
      <c r="M1091" s="315">
        <v>45145.182662037</v>
      </c>
      <c r="N1091" s="314" t="s">
        <v>3842</v>
      </c>
      <c r="O1091" s="314" t="s">
        <v>127</v>
      </c>
      <c r="P1091" s="314" t="s">
        <v>112</v>
      </c>
      <c r="Q1091" s="314" t="s">
        <v>123</v>
      </c>
      <c r="R1091" s="315">
        <v>45145.182662037</v>
      </c>
      <c r="S1091" s="314" t="s">
        <v>3842</v>
      </c>
      <c r="T1091" s="314" t="s">
        <v>216</v>
      </c>
      <c r="U1091" s="314" t="s">
        <v>216</v>
      </c>
      <c r="V1091" s="314" t="s">
        <v>114</v>
      </c>
      <c r="W1091" s="314"/>
      <c r="X1091" s="314" t="str">
        <f>VLOOKUP(D1091,代理总表!A:D,3,0)</f>
        <v>外部代理总线</v>
      </c>
      <c r="Y1091" t="str">
        <f>VLOOKUP(D:D,代理总表!A:D,4,FALSE)</f>
        <v>外部代理总线zh0808</v>
      </c>
      <c r="Z1091">
        <f t="shared" ref="Z1091:Z1154" si="51">IF(RIGHT(H1091,1)&gt;"0",1,0)</f>
        <v>0</v>
      </c>
      <c r="AA1091">
        <f t="shared" ref="AA1091:AA1154" si="52">HOUR(M1091)</f>
        <v>4</v>
      </c>
      <c r="AB1091">
        <f t="shared" ref="AB1091:AB1154" si="53">IF(AE1091=AF1091,1,0)</f>
        <v>1</v>
      </c>
    </row>
    <row r="1092" spans="1:28">
      <c r="A1092" s="314" t="s">
        <v>3843</v>
      </c>
      <c r="B1092" s="314"/>
      <c r="C1092" s="314"/>
      <c r="D1092" s="314" t="s">
        <v>550</v>
      </c>
      <c r="E1092" s="314" t="s">
        <v>117</v>
      </c>
      <c r="F1092" s="314" t="s">
        <v>118</v>
      </c>
      <c r="G1092" s="314" t="s">
        <v>108</v>
      </c>
      <c r="H1092" s="314" t="s">
        <v>119</v>
      </c>
      <c r="I1092" s="314" t="s">
        <v>108</v>
      </c>
      <c r="J1092" s="314" t="s">
        <v>120</v>
      </c>
      <c r="K1092" s="314">
        <v>0</v>
      </c>
      <c r="L1092" s="314">
        <v>0</v>
      </c>
      <c r="M1092" s="315">
        <v>45145.1818634259</v>
      </c>
      <c r="N1092" s="314" t="s">
        <v>3844</v>
      </c>
      <c r="O1092" s="314" t="s">
        <v>1134</v>
      </c>
      <c r="P1092" s="314" t="s">
        <v>112</v>
      </c>
      <c r="Q1092" s="314" t="s">
        <v>123</v>
      </c>
      <c r="R1092" s="315">
        <v>45145.1818634259</v>
      </c>
      <c r="S1092" s="314" t="s">
        <v>3844</v>
      </c>
      <c r="T1092" s="314" t="s">
        <v>216</v>
      </c>
      <c r="U1092" s="314" t="s">
        <v>216</v>
      </c>
      <c r="V1092" s="314" t="s">
        <v>114</v>
      </c>
      <c r="W1092" s="314"/>
      <c r="X1092" s="314" t="str">
        <f>VLOOKUP(D1092,代理总表!A:D,3,0)</f>
        <v>SOCO越南直播</v>
      </c>
      <c r="Y1092" t="str">
        <f>VLOOKUP(D:D,代理总表!A:D,4,FALSE)</f>
        <v>SOCO越南直播ffvn66</v>
      </c>
      <c r="Z1092">
        <f t="shared" si="51"/>
        <v>0</v>
      </c>
      <c r="AA1092">
        <f t="shared" si="52"/>
        <v>4</v>
      </c>
      <c r="AB1092">
        <f t="shared" si="53"/>
        <v>1</v>
      </c>
    </row>
    <row r="1093" spans="1:28">
      <c r="A1093" s="314" t="s">
        <v>3845</v>
      </c>
      <c r="B1093" s="314"/>
      <c r="C1093" s="314">
        <v>13617221762</v>
      </c>
      <c r="D1093" s="314" t="s">
        <v>370</v>
      </c>
      <c r="E1093" s="314" t="s">
        <v>104</v>
      </c>
      <c r="F1093" s="314" t="s">
        <v>118</v>
      </c>
      <c r="G1093" s="314" t="s">
        <v>108</v>
      </c>
      <c r="H1093" s="314" t="s">
        <v>119</v>
      </c>
      <c r="I1093" s="314" t="s">
        <v>108</v>
      </c>
      <c r="J1093" s="314" t="s">
        <v>109</v>
      </c>
      <c r="K1093" s="314">
        <v>0</v>
      </c>
      <c r="L1093" s="314">
        <v>0</v>
      </c>
      <c r="M1093" s="315">
        <v>45145.1748726852</v>
      </c>
      <c r="N1093" s="314" t="s">
        <v>3846</v>
      </c>
      <c r="O1093" s="314" t="s">
        <v>813</v>
      </c>
      <c r="P1093" s="314" t="s">
        <v>112</v>
      </c>
      <c r="Q1093" s="314" t="s">
        <v>123</v>
      </c>
      <c r="R1093" s="315">
        <v>45145.1748611111</v>
      </c>
      <c r="S1093" s="314" t="s">
        <v>3846</v>
      </c>
      <c r="T1093" s="314" t="s">
        <v>3847</v>
      </c>
      <c r="U1093" s="314" t="s">
        <v>3847</v>
      </c>
      <c r="V1093" s="314" t="s">
        <v>114</v>
      </c>
      <c r="W1093" s="314"/>
      <c r="X1093" s="314" t="str">
        <f>VLOOKUP(D1093,代理总表!A:D,3,0)</f>
        <v>GT-骨头</v>
      </c>
      <c r="Y1093" t="str">
        <f>VLOOKUP(D:D,代理总表!A:D,4,FALSE)</f>
        <v>GT-骨头gt6677</v>
      </c>
      <c r="Z1093">
        <f t="shared" si="51"/>
        <v>0</v>
      </c>
      <c r="AA1093">
        <f t="shared" si="52"/>
        <v>4</v>
      </c>
      <c r="AB1093">
        <f t="shared" si="53"/>
        <v>1</v>
      </c>
    </row>
    <row r="1094" spans="1:28">
      <c r="A1094" s="314" t="s">
        <v>3848</v>
      </c>
      <c r="B1094" s="314"/>
      <c r="C1094" s="314"/>
      <c r="D1094" s="314" t="s">
        <v>454</v>
      </c>
      <c r="E1094" s="314" t="s">
        <v>104</v>
      </c>
      <c r="F1094" s="314" t="s">
        <v>118</v>
      </c>
      <c r="G1094" s="314" t="s">
        <v>108</v>
      </c>
      <c r="H1094" s="314" t="s">
        <v>119</v>
      </c>
      <c r="I1094" s="314" t="s">
        <v>108</v>
      </c>
      <c r="J1094" s="314" t="s">
        <v>109</v>
      </c>
      <c r="K1094" s="314">
        <v>0</v>
      </c>
      <c r="L1094" s="314">
        <v>0</v>
      </c>
      <c r="M1094" s="315">
        <v>45145.1741666667</v>
      </c>
      <c r="N1094" s="314" t="s">
        <v>3849</v>
      </c>
      <c r="O1094" s="314" t="s">
        <v>456</v>
      </c>
      <c r="P1094" s="314" t="s">
        <v>112</v>
      </c>
      <c r="Q1094" s="314" t="s">
        <v>123</v>
      </c>
      <c r="R1094" s="315">
        <v>45145.7206134259</v>
      </c>
      <c r="S1094" s="314" t="s">
        <v>3850</v>
      </c>
      <c r="T1094" s="314" t="s">
        <v>1703</v>
      </c>
      <c r="U1094" s="314" t="s">
        <v>152</v>
      </c>
      <c r="V1094" s="314" t="s">
        <v>114</v>
      </c>
      <c r="W1094" s="314"/>
      <c r="X1094" s="314" t="str">
        <f>VLOOKUP(D1094,代理总表!A:D,3,0)</f>
        <v>雨燕直播</v>
      </c>
      <c r="Y1094" t="str">
        <f>VLOOKUP(D:D,代理总表!A:D,4,FALSE)</f>
        <v>雨燕直播zzzb888</v>
      </c>
      <c r="Z1094">
        <f t="shared" si="51"/>
        <v>0</v>
      </c>
      <c r="AA1094">
        <f t="shared" si="52"/>
        <v>4</v>
      </c>
      <c r="AB1094">
        <f t="shared" si="53"/>
        <v>1</v>
      </c>
    </row>
    <row r="1095" spans="1:28">
      <c r="A1095" s="314" t="s">
        <v>3851</v>
      </c>
      <c r="B1095" s="314"/>
      <c r="C1095" s="314"/>
      <c r="D1095" s="314" t="s">
        <v>1894</v>
      </c>
      <c r="E1095" s="314" t="s">
        <v>1895</v>
      </c>
      <c r="F1095" s="314" t="s">
        <v>118</v>
      </c>
      <c r="G1095" s="314" t="s">
        <v>108</v>
      </c>
      <c r="H1095" s="314" t="s">
        <v>119</v>
      </c>
      <c r="I1095" s="314" t="s">
        <v>108</v>
      </c>
      <c r="J1095" s="314" t="s">
        <v>1896</v>
      </c>
      <c r="K1095" s="314">
        <v>0</v>
      </c>
      <c r="L1095" s="314">
        <v>0</v>
      </c>
      <c r="M1095" s="315">
        <v>45145.168287037</v>
      </c>
      <c r="N1095" s="314" t="s">
        <v>3852</v>
      </c>
      <c r="O1095" s="314" t="s">
        <v>1898</v>
      </c>
      <c r="P1095" s="314" t="s">
        <v>112</v>
      </c>
      <c r="Q1095" s="314" t="s">
        <v>123</v>
      </c>
      <c r="R1095" s="315">
        <v>45145.168287037</v>
      </c>
      <c r="S1095" s="314" t="s">
        <v>3852</v>
      </c>
      <c r="T1095" s="314" t="s">
        <v>3853</v>
      </c>
      <c r="U1095" s="314" t="s">
        <v>3853</v>
      </c>
      <c r="V1095" s="314" t="s">
        <v>114</v>
      </c>
      <c r="W1095" s="314"/>
      <c r="X1095" s="314" t="str">
        <f>VLOOKUP(D1095,代理总表!A:D,3,0)</f>
        <v>鲲鹏admin</v>
      </c>
      <c r="Y1095" t="str">
        <f>VLOOKUP(D:D,代理总表!A:D,4,FALSE)</f>
        <v>鲲鹏adminbtydl0057</v>
      </c>
      <c r="Z1095">
        <f t="shared" si="51"/>
        <v>0</v>
      </c>
      <c r="AA1095">
        <f t="shared" si="52"/>
        <v>4</v>
      </c>
      <c r="AB1095">
        <f t="shared" si="53"/>
        <v>1</v>
      </c>
    </row>
    <row r="1096" spans="1:28">
      <c r="A1096" s="314" t="s">
        <v>3854</v>
      </c>
      <c r="B1096" s="314"/>
      <c r="C1096" s="314"/>
      <c r="D1096" s="314" t="s">
        <v>1894</v>
      </c>
      <c r="E1096" s="314" t="s">
        <v>117</v>
      </c>
      <c r="F1096" s="314" t="s">
        <v>118</v>
      </c>
      <c r="G1096" s="314" t="s">
        <v>108</v>
      </c>
      <c r="H1096" s="314" t="s">
        <v>119</v>
      </c>
      <c r="I1096" s="314" t="s">
        <v>108</v>
      </c>
      <c r="J1096" s="314" t="s">
        <v>120</v>
      </c>
      <c r="K1096" s="314">
        <v>0</v>
      </c>
      <c r="L1096" s="314">
        <v>0</v>
      </c>
      <c r="M1096" s="315">
        <v>45145.1680902778</v>
      </c>
      <c r="N1096" s="314" t="s">
        <v>3855</v>
      </c>
      <c r="O1096" s="314" t="s">
        <v>3561</v>
      </c>
      <c r="P1096" s="314" t="s">
        <v>112</v>
      </c>
      <c r="Q1096" s="314" t="s">
        <v>123</v>
      </c>
      <c r="R1096" s="315">
        <v>45145.1680787037</v>
      </c>
      <c r="S1096" s="314" t="s">
        <v>3855</v>
      </c>
      <c r="T1096" s="314" t="s">
        <v>124</v>
      </c>
      <c r="U1096" s="314" t="s">
        <v>124</v>
      </c>
      <c r="V1096" s="314" t="s">
        <v>114</v>
      </c>
      <c r="W1096" s="314"/>
      <c r="X1096" s="314" t="str">
        <f>VLOOKUP(D1096,代理总表!A:D,3,0)</f>
        <v>鲲鹏admin</v>
      </c>
      <c r="Y1096" t="str">
        <f>VLOOKUP(D:D,代理总表!A:D,4,FALSE)</f>
        <v>鲲鹏adminbtydl0057</v>
      </c>
      <c r="Z1096">
        <f t="shared" si="51"/>
        <v>0</v>
      </c>
      <c r="AA1096">
        <f t="shared" si="52"/>
        <v>4</v>
      </c>
      <c r="AB1096">
        <f t="shared" si="53"/>
        <v>1</v>
      </c>
    </row>
    <row r="1097" spans="1:28">
      <c r="A1097" s="314" t="s">
        <v>3856</v>
      </c>
      <c r="B1097" s="314" t="s">
        <v>3857</v>
      </c>
      <c r="C1097" s="314">
        <v>979407012</v>
      </c>
      <c r="D1097" s="314" t="s">
        <v>116</v>
      </c>
      <c r="E1097" s="314" t="s">
        <v>117</v>
      </c>
      <c r="F1097" s="314" t="s">
        <v>118</v>
      </c>
      <c r="G1097" s="314" t="s">
        <v>108</v>
      </c>
      <c r="H1097" s="314" t="s">
        <v>119</v>
      </c>
      <c r="I1097" s="314" t="s">
        <v>108</v>
      </c>
      <c r="J1097" s="314" t="s">
        <v>120</v>
      </c>
      <c r="K1097" s="314">
        <v>0</v>
      </c>
      <c r="L1097" s="314">
        <v>0</v>
      </c>
      <c r="M1097" s="315">
        <v>45145.167974537</v>
      </c>
      <c r="N1097" s="314" t="s">
        <v>3858</v>
      </c>
      <c r="O1097" s="314" t="s">
        <v>122</v>
      </c>
      <c r="P1097" s="314" t="s">
        <v>112</v>
      </c>
      <c r="Q1097" s="314" t="s">
        <v>123</v>
      </c>
      <c r="R1097" s="315">
        <v>45145.167974537</v>
      </c>
      <c r="S1097" s="314" t="s">
        <v>3858</v>
      </c>
      <c r="T1097" s="314" t="s">
        <v>904</v>
      </c>
      <c r="U1097" s="314" t="s">
        <v>904</v>
      </c>
      <c r="V1097" s="314" t="s">
        <v>114</v>
      </c>
      <c r="W1097" s="314"/>
      <c r="X1097" s="314" t="str">
        <f>VLOOKUP(D1097,代理总表!A:D,3,0)</f>
        <v>外部代理总线</v>
      </c>
      <c r="Y1097" t="str">
        <f>VLOOKUP(D:D,代理总表!A:D,4,FALSE)</f>
        <v>外部代理总线zh0808</v>
      </c>
      <c r="Z1097">
        <f t="shared" si="51"/>
        <v>0</v>
      </c>
      <c r="AA1097">
        <f t="shared" si="52"/>
        <v>4</v>
      </c>
      <c r="AB1097">
        <f t="shared" si="53"/>
        <v>1</v>
      </c>
    </row>
    <row r="1098" spans="1:28">
      <c r="A1098" s="314" t="s">
        <v>3859</v>
      </c>
      <c r="B1098" s="314"/>
      <c r="C1098" s="314">
        <v>376058705</v>
      </c>
      <c r="D1098" s="314" t="s">
        <v>116</v>
      </c>
      <c r="E1098" s="314" t="s">
        <v>117</v>
      </c>
      <c r="F1098" s="314" t="s">
        <v>118</v>
      </c>
      <c r="G1098" s="314" t="s">
        <v>108</v>
      </c>
      <c r="H1098" s="314" t="s">
        <v>119</v>
      </c>
      <c r="I1098" s="314" t="s">
        <v>108</v>
      </c>
      <c r="J1098" s="314" t="s">
        <v>120</v>
      </c>
      <c r="K1098" s="314">
        <v>0</v>
      </c>
      <c r="L1098" s="314">
        <v>0</v>
      </c>
      <c r="M1098" s="315">
        <v>45145.1673148148</v>
      </c>
      <c r="N1098" s="314" t="s">
        <v>3860</v>
      </c>
      <c r="O1098" s="314" t="s">
        <v>127</v>
      </c>
      <c r="P1098" s="314" t="s">
        <v>112</v>
      </c>
      <c r="Q1098" s="314" t="s">
        <v>123</v>
      </c>
      <c r="R1098" s="315">
        <v>45145.1673032407</v>
      </c>
      <c r="S1098" s="314" t="s">
        <v>3860</v>
      </c>
      <c r="T1098" s="314" t="s">
        <v>177</v>
      </c>
      <c r="U1098" s="314" t="s">
        <v>177</v>
      </c>
      <c r="V1098" s="314" t="s">
        <v>114</v>
      </c>
      <c r="W1098" s="314"/>
      <c r="X1098" s="314" t="str">
        <f>VLOOKUP(D1098,代理总表!A:D,3,0)</f>
        <v>外部代理总线</v>
      </c>
      <c r="Y1098" t="str">
        <f>VLOOKUP(D:D,代理总表!A:D,4,FALSE)</f>
        <v>外部代理总线zh0808</v>
      </c>
      <c r="Z1098">
        <f t="shared" si="51"/>
        <v>0</v>
      </c>
      <c r="AA1098">
        <f t="shared" si="52"/>
        <v>4</v>
      </c>
      <c r="AB1098">
        <f t="shared" si="53"/>
        <v>1</v>
      </c>
    </row>
    <row r="1099" spans="1:28">
      <c r="A1099" s="314" t="s">
        <v>3861</v>
      </c>
      <c r="B1099" s="314" t="s">
        <v>3862</v>
      </c>
      <c r="C1099" s="314">
        <v>977272753</v>
      </c>
      <c r="D1099" s="314" t="s">
        <v>116</v>
      </c>
      <c r="E1099" s="314" t="s">
        <v>117</v>
      </c>
      <c r="F1099" s="314" t="s">
        <v>118</v>
      </c>
      <c r="G1099" s="314" t="s">
        <v>108</v>
      </c>
      <c r="H1099" s="314" t="s">
        <v>119</v>
      </c>
      <c r="I1099" s="314" t="s">
        <v>108</v>
      </c>
      <c r="J1099" s="314" t="s">
        <v>120</v>
      </c>
      <c r="K1099" s="314">
        <v>0</v>
      </c>
      <c r="L1099" s="314">
        <v>0</v>
      </c>
      <c r="M1099" s="315">
        <v>45145.1671875</v>
      </c>
      <c r="N1099" s="314" t="s">
        <v>3863</v>
      </c>
      <c r="O1099" s="314" t="s">
        <v>127</v>
      </c>
      <c r="P1099" s="314" t="s">
        <v>161</v>
      </c>
      <c r="Q1099" s="314" t="s">
        <v>123</v>
      </c>
      <c r="R1099" s="315">
        <v>45145.1671875</v>
      </c>
      <c r="S1099" s="314" t="s">
        <v>3863</v>
      </c>
      <c r="T1099" s="314" t="s">
        <v>904</v>
      </c>
      <c r="U1099" s="314" t="s">
        <v>904</v>
      </c>
      <c r="V1099" s="314" t="s">
        <v>114</v>
      </c>
      <c r="W1099" s="314"/>
      <c r="X1099" s="314" t="str">
        <f>VLOOKUP(D1099,代理总表!A:D,3,0)</f>
        <v>外部代理总线</v>
      </c>
      <c r="Y1099" t="str">
        <f>VLOOKUP(D:D,代理总表!A:D,4,FALSE)</f>
        <v>外部代理总线zh0808</v>
      </c>
      <c r="Z1099">
        <f t="shared" si="51"/>
        <v>0</v>
      </c>
      <c r="AA1099">
        <f t="shared" si="52"/>
        <v>4</v>
      </c>
      <c r="AB1099">
        <f t="shared" si="53"/>
        <v>1</v>
      </c>
    </row>
    <row r="1100" spans="1:28">
      <c r="A1100" s="314" t="s">
        <v>3864</v>
      </c>
      <c r="B1100" s="314"/>
      <c r="C1100" s="314"/>
      <c r="D1100" s="314" t="s">
        <v>2626</v>
      </c>
      <c r="E1100" s="314" t="s">
        <v>117</v>
      </c>
      <c r="F1100" s="314" t="s">
        <v>118</v>
      </c>
      <c r="G1100" s="314" t="s">
        <v>108</v>
      </c>
      <c r="H1100" s="314" t="s">
        <v>119</v>
      </c>
      <c r="I1100" s="314" t="s">
        <v>108</v>
      </c>
      <c r="J1100" s="314" t="s">
        <v>120</v>
      </c>
      <c r="K1100" s="314">
        <v>0</v>
      </c>
      <c r="L1100" s="314">
        <v>0</v>
      </c>
      <c r="M1100" s="315">
        <v>45145.1671875</v>
      </c>
      <c r="N1100" s="314" t="s">
        <v>3865</v>
      </c>
      <c r="O1100" s="314" t="s">
        <v>3866</v>
      </c>
      <c r="P1100" s="314" t="s">
        <v>339</v>
      </c>
      <c r="Q1100" s="314" t="s">
        <v>123</v>
      </c>
      <c r="R1100" s="315">
        <v>45145.1763425926</v>
      </c>
      <c r="S1100" s="314" t="s">
        <v>3867</v>
      </c>
      <c r="T1100" s="314" t="s">
        <v>1196</v>
      </c>
      <c r="U1100" s="314" t="s">
        <v>1196</v>
      </c>
      <c r="V1100" s="314" t="s">
        <v>114</v>
      </c>
      <c r="W1100" s="314"/>
      <c r="X1100" s="314" t="str">
        <f>VLOOKUP(D1100,代理总表!A:D,3,0)</f>
        <v>SOCO越南直播</v>
      </c>
      <c r="Y1100" t="str">
        <f>VLOOKUP(D:D,代理总表!A:D,4,FALSE)</f>
        <v>SOCO越南直播ffvn66</v>
      </c>
      <c r="Z1100">
        <f t="shared" si="51"/>
        <v>0</v>
      </c>
      <c r="AA1100">
        <f t="shared" si="52"/>
        <v>4</v>
      </c>
      <c r="AB1100">
        <f t="shared" si="53"/>
        <v>1</v>
      </c>
    </row>
    <row r="1101" spans="1:28">
      <c r="A1101" s="314" t="s">
        <v>3868</v>
      </c>
      <c r="B1101" s="314"/>
      <c r="C1101" s="314">
        <v>399083324</v>
      </c>
      <c r="D1101" s="314" t="s">
        <v>116</v>
      </c>
      <c r="E1101" s="314" t="s">
        <v>117</v>
      </c>
      <c r="F1101" s="314" t="s">
        <v>118</v>
      </c>
      <c r="G1101" s="314" t="s">
        <v>108</v>
      </c>
      <c r="H1101" s="314" t="s">
        <v>119</v>
      </c>
      <c r="I1101" s="314" t="s">
        <v>108</v>
      </c>
      <c r="J1101" s="314" t="s">
        <v>120</v>
      </c>
      <c r="K1101" s="314">
        <v>0</v>
      </c>
      <c r="L1101" s="314">
        <v>0</v>
      </c>
      <c r="M1101" s="315">
        <v>45145.1640046296</v>
      </c>
      <c r="N1101" s="314" t="s">
        <v>3869</v>
      </c>
      <c r="O1101" s="314" t="s">
        <v>122</v>
      </c>
      <c r="P1101" s="314" t="s">
        <v>112</v>
      </c>
      <c r="Q1101" s="314" t="s">
        <v>123</v>
      </c>
      <c r="R1101" s="315">
        <v>45145.1649421296</v>
      </c>
      <c r="S1101" s="314" t="s">
        <v>3869</v>
      </c>
      <c r="T1101" s="314" t="s">
        <v>124</v>
      </c>
      <c r="U1101" s="314" t="s">
        <v>124</v>
      </c>
      <c r="V1101" s="314" t="s">
        <v>114</v>
      </c>
      <c r="W1101" s="314"/>
      <c r="X1101" s="314" t="str">
        <f>VLOOKUP(D1101,代理总表!A:D,3,0)</f>
        <v>外部代理总线</v>
      </c>
      <c r="Y1101" t="str">
        <f>VLOOKUP(D:D,代理总表!A:D,4,FALSE)</f>
        <v>外部代理总线zh0808</v>
      </c>
      <c r="Z1101">
        <f t="shared" si="51"/>
        <v>0</v>
      </c>
      <c r="AA1101">
        <f t="shared" si="52"/>
        <v>3</v>
      </c>
      <c r="AB1101">
        <f t="shared" si="53"/>
        <v>1</v>
      </c>
    </row>
    <row r="1102" spans="1:28">
      <c r="A1102" s="314" t="s">
        <v>3870</v>
      </c>
      <c r="B1102" s="314"/>
      <c r="C1102" s="314">
        <v>15715916200</v>
      </c>
      <c r="D1102" s="314" t="s">
        <v>148</v>
      </c>
      <c r="E1102" s="314" t="s">
        <v>104</v>
      </c>
      <c r="F1102" s="314" t="s">
        <v>149</v>
      </c>
      <c r="G1102" s="314" t="s">
        <v>108</v>
      </c>
      <c r="H1102" s="314" t="s">
        <v>119</v>
      </c>
      <c r="I1102" s="314" t="s">
        <v>108</v>
      </c>
      <c r="J1102" s="314" t="s">
        <v>109</v>
      </c>
      <c r="K1102" s="314">
        <v>0</v>
      </c>
      <c r="L1102" s="314">
        <v>0</v>
      </c>
      <c r="M1102" s="315">
        <v>45145.1633333333</v>
      </c>
      <c r="N1102" s="314" t="s">
        <v>3871</v>
      </c>
      <c r="O1102" s="314" t="s">
        <v>585</v>
      </c>
      <c r="P1102" s="314" t="s">
        <v>112</v>
      </c>
      <c r="Q1102" s="314" t="s">
        <v>123</v>
      </c>
      <c r="R1102" s="315">
        <v>45145.1669097222</v>
      </c>
      <c r="S1102" s="314" t="s">
        <v>3871</v>
      </c>
      <c r="T1102" s="314" t="s">
        <v>1172</v>
      </c>
      <c r="U1102" s="314" t="s">
        <v>1172</v>
      </c>
      <c r="V1102" s="314" t="s">
        <v>114</v>
      </c>
      <c r="W1102" s="314"/>
      <c r="X1102" s="314" t="str">
        <f>VLOOKUP(D1102,代理总表!A:D,3,0)</f>
        <v>martin</v>
      </c>
      <c r="Y1102" t="str">
        <f>VLOOKUP(D:D,代理总表!A:D,4,FALSE)</f>
        <v>SEO</v>
      </c>
      <c r="Z1102">
        <f t="shared" si="51"/>
        <v>0</v>
      </c>
      <c r="AA1102">
        <f t="shared" si="52"/>
        <v>3</v>
      </c>
      <c r="AB1102">
        <f t="shared" si="53"/>
        <v>1</v>
      </c>
    </row>
    <row r="1103" spans="1:28">
      <c r="A1103" s="314" t="s">
        <v>3872</v>
      </c>
      <c r="B1103" s="314" t="s">
        <v>3873</v>
      </c>
      <c r="C1103" s="314">
        <v>869108919</v>
      </c>
      <c r="D1103" s="314" t="s">
        <v>522</v>
      </c>
      <c r="E1103" s="314" t="s">
        <v>117</v>
      </c>
      <c r="F1103" s="314" t="s">
        <v>118</v>
      </c>
      <c r="G1103" s="314" t="s">
        <v>108</v>
      </c>
      <c r="H1103" s="314" t="s">
        <v>119</v>
      </c>
      <c r="I1103" s="314" t="s">
        <v>108</v>
      </c>
      <c r="J1103" s="314" t="s">
        <v>120</v>
      </c>
      <c r="K1103" s="314">
        <v>0</v>
      </c>
      <c r="L1103" s="314">
        <v>0</v>
      </c>
      <c r="M1103" s="315">
        <v>45145.1622453704</v>
      </c>
      <c r="N1103" s="314" t="s">
        <v>3874</v>
      </c>
      <c r="O1103" s="314" t="s">
        <v>524</v>
      </c>
      <c r="P1103" s="314" t="s">
        <v>161</v>
      </c>
      <c r="Q1103" s="314" t="s">
        <v>123</v>
      </c>
      <c r="R1103" s="315">
        <v>45146.2104513889</v>
      </c>
      <c r="S1103" s="314" t="s">
        <v>3875</v>
      </c>
      <c r="T1103" s="314" t="s">
        <v>177</v>
      </c>
      <c r="U1103" s="314" t="s">
        <v>177</v>
      </c>
      <c r="V1103" s="314" t="s">
        <v>114</v>
      </c>
      <c r="W1103" s="314"/>
      <c r="X1103" s="314" t="str">
        <f>VLOOKUP(D1103,代理总表!A:D,3,0)</f>
        <v>SOCO越南直播</v>
      </c>
      <c r="Y1103" t="str">
        <f>VLOOKUP(D:D,代理总表!A:D,4,FALSE)</f>
        <v>SOCO越南直播ffvn66</v>
      </c>
      <c r="Z1103">
        <f t="shared" si="51"/>
        <v>0</v>
      </c>
      <c r="AA1103">
        <f t="shared" si="52"/>
        <v>3</v>
      </c>
      <c r="AB1103">
        <f t="shared" si="53"/>
        <v>1</v>
      </c>
    </row>
    <row r="1104" spans="1:28">
      <c r="A1104" s="314" t="s">
        <v>3876</v>
      </c>
      <c r="B1104" s="314"/>
      <c r="C1104" s="314"/>
      <c r="D1104" s="314" t="s">
        <v>522</v>
      </c>
      <c r="E1104" s="314" t="s">
        <v>117</v>
      </c>
      <c r="F1104" s="314" t="s">
        <v>118</v>
      </c>
      <c r="G1104" s="314" t="s">
        <v>108</v>
      </c>
      <c r="H1104" s="314" t="s">
        <v>119</v>
      </c>
      <c r="I1104" s="314" t="s">
        <v>108</v>
      </c>
      <c r="J1104" s="314" t="s">
        <v>120</v>
      </c>
      <c r="K1104" s="314">
        <v>0</v>
      </c>
      <c r="L1104" s="314">
        <v>0</v>
      </c>
      <c r="M1104" s="315">
        <v>45145.1595717593</v>
      </c>
      <c r="N1104" s="314" t="s">
        <v>3874</v>
      </c>
      <c r="O1104" s="314" t="s">
        <v>524</v>
      </c>
      <c r="P1104" s="314" t="s">
        <v>112</v>
      </c>
      <c r="Q1104" s="314" t="s">
        <v>123</v>
      </c>
      <c r="R1104" s="315">
        <v>45145.1595601852</v>
      </c>
      <c r="S1104" s="314" t="s">
        <v>3874</v>
      </c>
      <c r="T1104" s="314" t="s">
        <v>177</v>
      </c>
      <c r="U1104" s="314" t="s">
        <v>177</v>
      </c>
      <c r="V1104" s="314" t="s">
        <v>114</v>
      </c>
      <c r="W1104" s="314"/>
      <c r="X1104" s="314" t="str">
        <f>VLOOKUP(D1104,代理总表!A:D,3,0)</f>
        <v>SOCO越南直播</v>
      </c>
      <c r="Y1104" t="str">
        <f>VLOOKUP(D:D,代理总表!A:D,4,FALSE)</f>
        <v>SOCO越南直播ffvn66</v>
      </c>
      <c r="Z1104">
        <f t="shared" si="51"/>
        <v>0</v>
      </c>
      <c r="AA1104">
        <f t="shared" si="52"/>
        <v>3</v>
      </c>
      <c r="AB1104">
        <f t="shared" si="53"/>
        <v>1</v>
      </c>
    </row>
    <row r="1105" spans="1:28">
      <c r="A1105" s="314" t="s">
        <v>3877</v>
      </c>
      <c r="B1105" s="314" t="s">
        <v>3878</v>
      </c>
      <c r="C1105" s="314">
        <v>16678170115</v>
      </c>
      <c r="D1105" s="314" t="s">
        <v>1109</v>
      </c>
      <c r="E1105" s="314" t="s">
        <v>104</v>
      </c>
      <c r="F1105" s="314" t="s">
        <v>118</v>
      </c>
      <c r="G1105" s="314" t="s">
        <v>108</v>
      </c>
      <c r="H1105" s="314" t="s">
        <v>119</v>
      </c>
      <c r="I1105" s="314" t="s">
        <v>108</v>
      </c>
      <c r="J1105" s="314" t="s">
        <v>109</v>
      </c>
      <c r="K1105" s="314">
        <v>0</v>
      </c>
      <c r="L1105" s="314">
        <v>0</v>
      </c>
      <c r="M1105" s="315">
        <v>45145.1561111111</v>
      </c>
      <c r="N1105" s="314" t="s">
        <v>3879</v>
      </c>
      <c r="O1105" s="314" t="s">
        <v>2105</v>
      </c>
      <c r="P1105" s="314" t="s">
        <v>339</v>
      </c>
      <c r="Q1105" s="314" t="s">
        <v>123</v>
      </c>
      <c r="R1105" s="315">
        <v>45145.2759606481</v>
      </c>
      <c r="S1105" s="314" t="s">
        <v>3879</v>
      </c>
      <c r="T1105" s="314" t="s">
        <v>477</v>
      </c>
      <c r="U1105" s="314" t="s">
        <v>477</v>
      </c>
      <c r="V1105" s="314" t="s">
        <v>114</v>
      </c>
      <c r="W1105" s="314"/>
      <c r="X1105" s="314" t="str">
        <f>VLOOKUP(D1105,代理总表!A:D,3,0)</f>
        <v>飞哥雨燕直播</v>
      </c>
      <c r="Y1105" t="str">
        <f>VLOOKUP(D:D,代理总表!A:D,4,FALSE)</f>
        <v>飞哥雨燕直播ffmk88</v>
      </c>
      <c r="Z1105">
        <f t="shared" si="51"/>
        <v>0</v>
      </c>
      <c r="AA1105">
        <f t="shared" si="52"/>
        <v>3</v>
      </c>
      <c r="AB1105">
        <f t="shared" si="53"/>
        <v>1</v>
      </c>
    </row>
    <row r="1106" spans="1:28">
      <c r="A1106" s="314" t="s">
        <v>3880</v>
      </c>
      <c r="B1106" s="314" t="s">
        <v>3881</v>
      </c>
      <c r="C1106" s="314">
        <v>18357399969</v>
      </c>
      <c r="D1106" s="314" t="s">
        <v>370</v>
      </c>
      <c r="E1106" s="314" t="s">
        <v>104</v>
      </c>
      <c r="F1106" s="314" t="s">
        <v>144</v>
      </c>
      <c r="G1106" s="314" t="s">
        <v>106</v>
      </c>
      <c r="H1106" s="314" t="s">
        <v>107</v>
      </c>
      <c r="I1106" s="314" t="s">
        <v>108</v>
      </c>
      <c r="J1106" s="314" t="s">
        <v>109</v>
      </c>
      <c r="K1106" s="314">
        <v>200</v>
      </c>
      <c r="L1106" s="314">
        <v>100</v>
      </c>
      <c r="M1106" s="315">
        <v>45145.1530787037</v>
      </c>
      <c r="N1106" s="314" t="s">
        <v>3882</v>
      </c>
      <c r="O1106" s="314" t="s">
        <v>813</v>
      </c>
      <c r="P1106" s="314" t="s">
        <v>112</v>
      </c>
      <c r="Q1106" s="315">
        <v>45145.1584490741</v>
      </c>
      <c r="R1106" s="315">
        <v>45146.038900463</v>
      </c>
      <c r="S1106" s="314" t="s">
        <v>3882</v>
      </c>
      <c r="T1106" s="314" t="s">
        <v>3883</v>
      </c>
      <c r="U1106" s="314" t="s">
        <v>3883</v>
      </c>
      <c r="V1106" s="314" t="s">
        <v>114</v>
      </c>
      <c r="W1106" s="314"/>
      <c r="X1106" s="314" t="str">
        <f>VLOOKUP(D1106,代理总表!A:D,3,0)</f>
        <v>GT-骨头</v>
      </c>
      <c r="Y1106" t="str">
        <f>VLOOKUP(D:D,代理总表!A:D,4,FALSE)</f>
        <v>GT-骨头gt6677</v>
      </c>
      <c r="Z1106">
        <f t="shared" si="51"/>
        <v>1</v>
      </c>
      <c r="AA1106">
        <f t="shared" si="52"/>
        <v>3</v>
      </c>
      <c r="AB1106">
        <f t="shared" si="53"/>
        <v>1</v>
      </c>
    </row>
    <row r="1107" spans="1:28">
      <c r="A1107" s="314" t="s">
        <v>3884</v>
      </c>
      <c r="B1107" s="314"/>
      <c r="C1107" s="314"/>
      <c r="D1107" s="314" t="s">
        <v>116</v>
      </c>
      <c r="E1107" s="314" t="s">
        <v>117</v>
      </c>
      <c r="F1107" s="314" t="s">
        <v>118</v>
      </c>
      <c r="G1107" s="314" t="s">
        <v>108</v>
      </c>
      <c r="H1107" s="314" t="s">
        <v>119</v>
      </c>
      <c r="I1107" s="314" t="s">
        <v>108</v>
      </c>
      <c r="J1107" s="314" t="s">
        <v>120</v>
      </c>
      <c r="K1107" s="314">
        <v>0</v>
      </c>
      <c r="L1107" s="314">
        <v>0</v>
      </c>
      <c r="M1107" s="315">
        <v>45145.1519791667</v>
      </c>
      <c r="N1107" s="314" t="s">
        <v>3885</v>
      </c>
      <c r="O1107" s="314" t="s">
        <v>127</v>
      </c>
      <c r="P1107" s="314" t="s">
        <v>112</v>
      </c>
      <c r="Q1107" s="314" t="s">
        <v>123</v>
      </c>
      <c r="R1107" s="315">
        <v>45145.1519791667</v>
      </c>
      <c r="S1107" s="314" t="s">
        <v>3885</v>
      </c>
      <c r="T1107" s="314" t="s">
        <v>975</v>
      </c>
      <c r="U1107" s="314" t="s">
        <v>975</v>
      </c>
      <c r="V1107" s="314" t="s">
        <v>114</v>
      </c>
      <c r="W1107" s="314"/>
      <c r="X1107" s="314" t="str">
        <f>VLOOKUP(D1107,代理总表!A:D,3,0)</f>
        <v>外部代理总线</v>
      </c>
      <c r="Y1107" t="str">
        <f>VLOOKUP(D:D,代理总表!A:D,4,FALSE)</f>
        <v>外部代理总线zh0808</v>
      </c>
      <c r="Z1107">
        <f t="shared" si="51"/>
        <v>0</v>
      </c>
      <c r="AA1107">
        <f t="shared" si="52"/>
        <v>3</v>
      </c>
      <c r="AB1107">
        <f t="shared" si="53"/>
        <v>1</v>
      </c>
    </row>
    <row r="1108" spans="1:28">
      <c r="A1108" s="314" t="s">
        <v>3886</v>
      </c>
      <c r="B1108" s="314" t="s">
        <v>3887</v>
      </c>
      <c r="C1108" s="314">
        <v>965766791</v>
      </c>
      <c r="D1108" s="314" t="s">
        <v>1317</v>
      </c>
      <c r="E1108" s="314" t="s">
        <v>117</v>
      </c>
      <c r="F1108" s="314" t="s">
        <v>118</v>
      </c>
      <c r="G1108" s="314" t="s">
        <v>108</v>
      </c>
      <c r="H1108" s="314" t="s">
        <v>119</v>
      </c>
      <c r="I1108" s="314" t="s">
        <v>108</v>
      </c>
      <c r="J1108" s="314" t="s">
        <v>120</v>
      </c>
      <c r="K1108" s="314">
        <v>0</v>
      </c>
      <c r="L1108" s="314">
        <v>0</v>
      </c>
      <c r="M1108" s="315">
        <v>45145.1510416667</v>
      </c>
      <c r="N1108" s="314" t="s">
        <v>3888</v>
      </c>
      <c r="O1108" s="314" t="s">
        <v>3599</v>
      </c>
      <c r="P1108" s="314" t="s">
        <v>112</v>
      </c>
      <c r="Q1108" s="314" t="s">
        <v>123</v>
      </c>
      <c r="R1108" s="315">
        <v>45145.2058101852</v>
      </c>
      <c r="S1108" s="314" t="s">
        <v>3888</v>
      </c>
      <c r="T1108" s="314" t="s">
        <v>216</v>
      </c>
      <c r="U1108" s="314" t="s">
        <v>216</v>
      </c>
      <c r="V1108" s="314" t="s">
        <v>114</v>
      </c>
      <c r="W1108" s="314"/>
      <c r="X1108" s="314" t="str">
        <f>VLOOKUP(D1108,代理总表!A:D,3,0)</f>
        <v>外部代理总线</v>
      </c>
      <c r="Y1108" t="str">
        <f>VLOOKUP(D:D,代理总表!A:D,4,FALSE)</f>
        <v>外部代理总线zh0808</v>
      </c>
      <c r="Z1108">
        <f t="shared" si="51"/>
        <v>0</v>
      </c>
      <c r="AA1108">
        <f t="shared" si="52"/>
        <v>3</v>
      </c>
      <c r="AB1108">
        <f t="shared" si="53"/>
        <v>1</v>
      </c>
    </row>
    <row r="1109" spans="1:28">
      <c r="A1109" s="314" t="s">
        <v>3889</v>
      </c>
      <c r="B1109" s="314"/>
      <c r="C1109" s="314">
        <v>19176097756</v>
      </c>
      <c r="D1109" s="314" t="s">
        <v>294</v>
      </c>
      <c r="E1109" s="314" t="s">
        <v>104</v>
      </c>
      <c r="F1109" s="314" t="s">
        <v>149</v>
      </c>
      <c r="G1109" s="314" t="s">
        <v>108</v>
      </c>
      <c r="H1109" s="314" t="s">
        <v>119</v>
      </c>
      <c r="I1109" s="314" t="s">
        <v>108</v>
      </c>
      <c r="J1109" s="314" t="s">
        <v>109</v>
      </c>
      <c r="K1109" s="314">
        <v>0</v>
      </c>
      <c r="L1109" s="314">
        <v>0</v>
      </c>
      <c r="M1109" s="315">
        <v>45145.1499305556</v>
      </c>
      <c r="N1109" s="314" t="s">
        <v>3890</v>
      </c>
      <c r="O1109" s="314" t="s">
        <v>297</v>
      </c>
      <c r="P1109" s="314" t="s">
        <v>161</v>
      </c>
      <c r="Q1109" s="314" t="s">
        <v>123</v>
      </c>
      <c r="R1109" s="315">
        <v>45145.1509722222</v>
      </c>
      <c r="S1109" s="314" t="s">
        <v>3890</v>
      </c>
      <c r="T1109" s="314" t="s">
        <v>1013</v>
      </c>
      <c r="U1109" s="314" t="s">
        <v>1013</v>
      </c>
      <c r="V1109" s="314" t="s">
        <v>114</v>
      </c>
      <c r="W1109" s="314"/>
      <c r="X1109" s="314" t="str">
        <f>VLOOKUP(D1109,代理总表!A:D,3,0)</f>
        <v>DK</v>
      </c>
      <c r="Y1109" t="str">
        <f>VLOOKUP(D:D,代理总表!A:D,4,FALSE)</f>
        <v>SEO</v>
      </c>
      <c r="Z1109">
        <f t="shared" si="51"/>
        <v>0</v>
      </c>
      <c r="AA1109">
        <f t="shared" si="52"/>
        <v>3</v>
      </c>
      <c r="AB1109">
        <f t="shared" si="53"/>
        <v>1</v>
      </c>
    </row>
    <row r="1110" spans="1:28">
      <c r="A1110" s="314" t="s">
        <v>3891</v>
      </c>
      <c r="B1110" s="314" t="s">
        <v>3892</v>
      </c>
      <c r="C1110" s="314">
        <v>837790943</v>
      </c>
      <c r="D1110" s="314" t="s">
        <v>116</v>
      </c>
      <c r="E1110" s="314" t="s">
        <v>117</v>
      </c>
      <c r="F1110" s="314" t="s">
        <v>118</v>
      </c>
      <c r="G1110" s="314" t="s">
        <v>108</v>
      </c>
      <c r="H1110" s="314" t="s">
        <v>119</v>
      </c>
      <c r="I1110" s="314" t="s">
        <v>108</v>
      </c>
      <c r="J1110" s="314" t="s">
        <v>120</v>
      </c>
      <c r="K1110" s="314">
        <v>0</v>
      </c>
      <c r="L1110" s="314">
        <v>0</v>
      </c>
      <c r="M1110" s="315">
        <v>45145.1495023148</v>
      </c>
      <c r="N1110" s="314" t="s">
        <v>3893</v>
      </c>
      <c r="O1110" s="314" t="s">
        <v>122</v>
      </c>
      <c r="P1110" s="314" t="s">
        <v>112</v>
      </c>
      <c r="Q1110" s="314" t="s">
        <v>123</v>
      </c>
      <c r="R1110" s="315">
        <v>45145.1559606481</v>
      </c>
      <c r="S1110" s="314" t="s">
        <v>3893</v>
      </c>
      <c r="T1110" s="314" t="s">
        <v>131</v>
      </c>
      <c r="U1110" s="314" t="s">
        <v>131</v>
      </c>
      <c r="V1110" s="314" t="s">
        <v>114</v>
      </c>
      <c r="W1110" s="314"/>
      <c r="X1110" s="314" t="str">
        <f>VLOOKUP(D1110,代理总表!A:D,3,0)</f>
        <v>外部代理总线</v>
      </c>
      <c r="Y1110" t="str">
        <f>VLOOKUP(D:D,代理总表!A:D,4,FALSE)</f>
        <v>外部代理总线zh0808</v>
      </c>
      <c r="Z1110">
        <f t="shared" si="51"/>
        <v>0</v>
      </c>
      <c r="AA1110">
        <f t="shared" si="52"/>
        <v>3</v>
      </c>
      <c r="AB1110">
        <f t="shared" si="53"/>
        <v>1</v>
      </c>
    </row>
    <row r="1111" spans="1:28">
      <c r="A1111" s="314" t="s">
        <v>3894</v>
      </c>
      <c r="B1111" s="314"/>
      <c r="C1111" s="314"/>
      <c r="D1111" s="314" t="s">
        <v>143</v>
      </c>
      <c r="E1111" s="314" t="s">
        <v>117</v>
      </c>
      <c r="F1111" s="314" t="s">
        <v>118</v>
      </c>
      <c r="G1111" s="314" t="s">
        <v>108</v>
      </c>
      <c r="H1111" s="314" t="s">
        <v>119</v>
      </c>
      <c r="I1111" s="314" t="s">
        <v>108</v>
      </c>
      <c r="J1111" s="314" t="s">
        <v>120</v>
      </c>
      <c r="K1111" s="314">
        <v>0</v>
      </c>
      <c r="L1111" s="314">
        <v>0</v>
      </c>
      <c r="M1111" s="315">
        <v>45145.1444328704</v>
      </c>
      <c r="N1111" s="314" t="s">
        <v>3895</v>
      </c>
      <c r="O1111" s="314" t="s">
        <v>502</v>
      </c>
      <c r="P1111" s="314" t="s">
        <v>339</v>
      </c>
      <c r="Q1111" s="314" t="s">
        <v>123</v>
      </c>
      <c r="R1111" s="315">
        <v>45146.1554976852</v>
      </c>
      <c r="S1111" s="314" t="s">
        <v>3895</v>
      </c>
      <c r="T1111" s="314" t="s">
        <v>3896</v>
      </c>
      <c r="U1111" s="314" t="s">
        <v>3896</v>
      </c>
      <c r="V1111" s="314" t="s">
        <v>114</v>
      </c>
      <c r="W1111" s="314"/>
      <c r="X1111" s="314" t="str">
        <f>VLOOKUP(D1111,代理总表!A:D,3,0)</f>
        <v>雨燕直播-越</v>
      </c>
      <c r="Y1111" t="str">
        <f>VLOOKUP(D:D,代理总表!A:D,4,FALSE)</f>
        <v>雨燕直播-越ffvn66</v>
      </c>
      <c r="Z1111">
        <f t="shared" si="51"/>
        <v>0</v>
      </c>
      <c r="AA1111">
        <f t="shared" si="52"/>
        <v>3</v>
      </c>
      <c r="AB1111">
        <f t="shared" si="53"/>
        <v>1</v>
      </c>
    </row>
    <row r="1112" spans="1:28">
      <c r="A1112" s="314" t="s">
        <v>3897</v>
      </c>
      <c r="B1112" s="314" t="s">
        <v>3898</v>
      </c>
      <c r="C1112" s="314">
        <v>942754160</v>
      </c>
      <c r="D1112" s="314" t="s">
        <v>116</v>
      </c>
      <c r="E1112" s="314" t="s">
        <v>117</v>
      </c>
      <c r="F1112" s="314" t="s">
        <v>118</v>
      </c>
      <c r="G1112" s="314" t="s">
        <v>108</v>
      </c>
      <c r="H1112" s="314" t="s">
        <v>119</v>
      </c>
      <c r="I1112" s="314" t="s">
        <v>108</v>
      </c>
      <c r="J1112" s="314" t="s">
        <v>120</v>
      </c>
      <c r="K1112" s="314">
        <v>0</v>
      </c>
      <c r="L1112" s="314">
        <v>0</v>
      </c>
      <c r="M1112" s="315">
        <v>45145.1439930556</v>
      </c>
      <c r="N1112" s="314" t="s">
        <v>3899</v>
      </c>
      <c r="O1112" s="314" t="s">
        <v>122</v>
      </c>
      <c r="P1112" s="314" t="s">
        <v>112</v>
      </c>
      <c r="Q1112" s="314" t="s">
        <v>123</v>
      </c>
      <c r="R1112" s="315">
        <v>45145.1439814815</v>
      </c>
      <c r="S1112" s="314" t="s">
        <v>3899</v>
      </c>
      <c r="T1112" s="314" t="s">
        <v>177</v>
      </c>
      <c r="U1112" s="314" t="s">
        <v>177</v>
      </c>
      <c r="V1112" s="314" t="s">
        <v>114</v>
      </c>
      <c r="W1112" s="314"/>
      <c r="X1112" s="314" t="str">
        <f>VLOOKUP(D1112,代理总表!A:D,3,0)</f>
        <v>外部代理总线</v>
      </c>
      <c r="Y1112" t="str">
        <f>VLOOKUP(D:D,代理总表!A:D,4,FALSE)</f>
        <v>外部代理总线zh0808</v>
      </c>
      <c r="Z1112">
        <f t="shared" si="51"/>
        <v>0</v>
      </c>
      <c r="AA1112">
        <f t="shared" si="52"/>
        <v>3</v>
      </c>
      <c r="AB1112">
        <f t="shared" si="53"/>
        <v>1</v>
      </c>
    </row>
    <row r="1113" spans="1:28">
      <c r="A1113" s="314" t="s">
        <v>3900</v>
      </c>
      <c r="B1113" s="314"/>
      <c r="C1113" s="314"/>
      <c r="D1113" s="314" t="s">
        <v>103</v>
      </c>
      <c r="E1113" s="314" t="s">
        <v>104</v>
      </c>
      <c r="F1113" s="314" t="s">
        <v>118</v>
      </c>
      <c r="G1113" s="314" t="s">
        <v>108</v>
      </c>
      <c r="H1113" s="314" t="s">
        <v>119</v>
      </c>
      <c r="I1113" s="314" t="s">
        <v>108</v>
      </c>
      <c r="J1113" s="314" t="s">
        <v>109</v>
      </c>
      <c r="K1113" s="314">
        <v>0</v>
      </c>
      <c r="L1113" s="314">
        <v>0</v>
      </c>
      <c r="M1113" s="315">
        <v>45145.138125</v>
      </c>
      <c r="N1113" s="314" t="s">
        <v>3901</v>
      </c>
      <c r="O1113" s="314" t="s">
        <v>2917</v>
      </c>
      <c r="P1113" s="314" t="s">
        <v>208</v>
      </c>
      <c r="Q1113" s="314" t="s">
        <v>123</v>
      </c>
      <c r="R1113" s="315">
        <v>45145.1381134259</v>
      </c>
      <c r="S1113" s="314" t="s">
        <v>3901</v>
      </c>
      <c r="T1113" s="314" t="s">
        <v>849</v>
      </c>
      <c r="U1113" s="314" t="s">
        <v>849</v>
      </c>
      <c r="V1113" s="314" t="s">
        <v>114</v>
      </c>
      <c r="W1113" s="314"/>
      <c r="X1113" s="314" t="str">
        <f>VLOOKUP(D1113,代理总表!A:D,3,0)</f>
        <v>官网</v>
      </c>
      <c r="Y1113" t="str">
        <f>VLOOKUP(D:D,代理总表!A:D,4,FALSE)</f>
        <v>官网</v>
      </c>
      <c r="Z1113">
        <f t="shared" si="51"/>
        <v>0</v>
      </c>
      <c r="AA1113">
        <f t="shared" si="52"/>
        <v>3</v>
      </c>
      <c r="AB1113">
        <f t="shared" si="53"/>
        <v>1</v>
      </c>
    </row>
    <row r="1114" spans="1:28">
      <c r="A1114" s="314" t="s">
        <v>3902</v>
      </c>
      <c r="B1114" s="314" t="s">
        <v>3903</v>
      </c>
      <c r="C1114" s="314">
        <v>19138281113</v>
      </c>
      <c r="D1114" s="314" t="s">
        <v>103</v>
      </c>
      <c r="E1114" s="314" t="s">
        <v>104</v>
      </c>
      <c r="F1114" s="314" t="s">
        <v>118</v>
      </c>
      <c r="G1114" s="314" t="s">
        <v>108</v>
      </c>
      <c r="H1114" s="314" t="s">
        <v>119</v>
      </c>
      <c r="I1114" s="314" t="s">
        <v>108</v>
      </c>
      <c r="J1114" s="314" t="s">
        <v>109</v>
      </c>
      <c r="K1114" s="314">
        <v>0</v>
      </c>
      <c r="L1114" s="314">
        <v>0</v>
      </c>
      <c r="M1114" s="315">
        <v>45145.1378125</v>
      </c>
      <c r="N1114" s="314" t="s">
        <v>3904</v>
      </c>
      <c r="O1114" s="314" t="s">
        <v>350</v>
      </c>
      <c r="P1114" s="314" t="s">
        <v>112</v>
      </c>
      <c r="Q1114" s="314" t="s">
        <v>123</v>
      </c>
      <c r="R1114" s="315">
        <v>45145.992349537</v>
      </c>
      <c r="S1114" s="314" t="s">
        <v>3905</v>
      </c>
      <c r="T1114" s="314" t="s">
        <v>1609</v>
      </c>
      <c r="U1114" s="314" t="s">
        <v>3906</v>
      </c>
      <c r="V1114" s="314" t="s">
        <v>114</v>
      </c>
      <c r="W1114" s="314"/>
      <c r="X1114" s="314" t="str">
        <f>VLOOKUP(D1114,代理总表!A:D,3,0)</f>
        <v>官网</v>
      </c>
      <c r="Y1114" t="str">
        <f>VLOOKUP(D:D,代理总表!A:D,4,FALSE)</f>
        <v>官网</v>
      </c>
      <c r="Z1114">
        <f t="shared" si="51"/>
        <v>0</v>
      </c>
      <c r="AA1114">
        <f t="shared" si="52"/>
        <v>3</v>
      </c>
      <c r="AB1114">
        <f t="shared" si="53"/>
        <v>1</v>
      </c>
    </row>
    <row r="1115" spans="1:28">
      <c r="A1115" s="314" t="s">
        <v>3907</v>
      </c>
      <c r="B1115" s="314" t="s">
        <v>3908</v>
      </c>
      <c r="C1115" s="314">
        <v>19960533002</v>
      </c>
      <c r="D1115" s="314" t="s">
        <v>249</v>
      </c>
      <c r="E1115" s="314" t="s">
        <v>104</v>
      </c>
      <c r="F1115" s="314" t="s">
        <v>144</v>
      </c>
      <c r="G1115" s="314" t="s">
        <v>106</v>
      </c>
      <c r="H1115" s="314" t="s">
        <v>107</v>
      </c>
      <c r="I1115" s="314" t="s">
        <v>108</v>
      </c>
      <c r="J1115" s="314" t="s">
        <v>109</v>
      </c>
      <c r="K1115" s="314">
        <v>1.88</v>
      </c>
      <c r="L1115" s="314">
        <v>400</v>
      </c>
      <c r="M1115" s="315">
        <v>45145.1371759259</v>
      </c>
      <c r="N1115" s="314" t="s">
        <v>3909</v>
      </c>
      <c r="O1115" s="314" t="s">
        <v>251</v>
      </c>
      <c r="P1115" s="314" t="s">
        <v>112</v>
      </c>
      <c r="Q1115" s="315">
        <v>45145.1565625</v>
      </c>
      <c r="R1115" s="315">
        <v>45145.6120717593</v>
      </c>
      <c r="S1115" s="314" t="s">
        <v>3910</v>
      </c>
      <c r="T1115" s="314" t="s">
        <v>3911</v>
      </c>
      <c r="U1115" s="314" t="s">
        <v>3911</v>
      </c>
      <c r="V1115" s="314" t="s">
        <v>114</v>
      </c>
      <c r="W1115" s="314"/>
      <c r="X1115" s="314" t="str">
        <f>VLOOKUP(D1115,代理总表!A:D,3,0)</f>
        <v>飞哥雨燕直播</v>
      </c>
      <c r="Y1115" t="str">
        <f>VLOOKUP(D:D,代理总表!A:D,4,FALSE)</f>
        <v>飞哥雨燕直播ffmk88</v>
      </c>
      <c r="Z1115">
        <f t="shared" si="51"/>
        <v>1</v>
      </c>
      <c r="AA1115">
        <f t="shared" si="52"/>
        <v>3</v>
      </c>
      <c r="AB1115">
        <f t="shared" si="53"/>
        <v>1</v>
      </c>
    </row>
    <row r="1116" spans="1:28">
      <c r="A1116" s="314" t="s">
        <v>3912</v>
      </c>
      <c r="B1116" s="314"/>
      <c r="C1116" s="314"/>
      <c r="D1116" s="314" t="s">
        <v>103</v>
      </c>
      <c r="E1116" s="314" t="s">
        <v>104</v>
      </c>
      <c r="F1116" s="314" t="s">
        <v>118</v>
      </c>
      <c r="G1116" s="314" t="s">
        <v>108</v>
      </c>
      <c r="H1116" s="314" t="s">
        <v>119</v>
      </c>
      <c r="I1116" s="314" t="s">
        <v>108</v>
      </c>
      <c r="J1116" s="314" t="s">
        <v>109</v>
      </c>
      <c r="K1116" s="314">
        <v>0</v>
      </c>
      <c r="L1116" s="314">
        <v>0</v>
      </c>
      <c r="M1116" s="315">
        <v>45145.1369791667</v>
      </c>
      <c r="N1116" s="314" t="s">
        <v>3901</v>
      </c>
      <c r="O1116" s="314" t="s">
        <v>2917</v>
      </c>
      <c r="P1116" s="314" t="s">
        <v>208</v>
      </c>
      <c r="Q1116" s="314" t="s">
        <v>123</v>
      </c>
      <c r="R1116" s="315">
        <v>45145.1369791667</v>
      </c>
      <c r="S1116" s="314" t="s">
        <v>3901</v>
      </c>
      <c r="T1116" s="314" t="s">
        <v>849</v>
      </c>
      <c r="U1116" s="314" t="s">
        <v>849</v>
      </c>
      <c r="V1116" s="314" t="s">
        <v>114</v>
      </c>
      <c r="W1116" s="314"/>
      <c r="X1116" s="314" t="str">
        <f>VLOOKUP(D1116,代理总表!A:D,3,0)</f>
        <v>官网</v>
      </c>
      <c r="Y1116" t="str">
        <f>VLOOKUP(D:D,代理总表!A:D,4,FALSE)</f>
        <v>官网</v>
      </c>
      <c r="Z1116">
        <f t="shared" si="51"/>
        <v>0</v>
      </c>
      <c r="AA1116">
        <f t="shared" si="52"/>
        <v>3</v>
      </c>
      <c r="AB1116">
        <f t="shared" si="53"/>
        <v>1</v>
      </c>
    </row>
    <row r="1117" spans="1:28">
      <c r="A1117" s="314" t="s">
        <v>3913</v>
      </c>
      <c r="B1117" s="314"/>
      <c r="C1117" s="314">
        <v>18956273258</v>
      </c>
      <c r="D1117" s="314" t="s">
        <v>2108</v>
      </c>
      <c r="E1117" s="314" t="s">
        <v>104</v>
      </c>
      <c r="F1117" s="314" t="s">
        <v>118</v>
      </c>
      <c r="G1117" s="314" t="s">
        <v>108</v>
      </c>
      <c r="H1117" s="314" t="s">
        <v>119</v>
      </c>
      <c r="I1117" s="314" t="s">
        <v>108</v>
      </c>
      <c r="J1117" s="314" t="s">
        <v>109</v>
      </c>
      <c r="K1117" s="314">
        <v>0</v>
      </c>
      <c r="L1117" s="314">
        <v>0</v>
      </c>
      <c r="M1117" s="315">
        <v>45145.1363425926</v>
      </c>
      <c r="N1117" s="314" t="s">
        <v>3914</v>
      </c>
      <c r="O1117" s="314" t="s">
        <v>3915</v>
      </c>
      <c r="P1117" s="314" t="s">
        <v>161</v>
      </c>
      <c r="Q1117" s="314" t="s">
        <v>123</v>
      </c>
      <c r="R1117" s="315">
        <v>45146.333587963</v>
      </c>
      <c r="S1117" s="314" t="s">
        <v>3916</v>
      </c>
      <c r="T1117" s="314" t="s">
        <v>736</v>
      </c>
      <c r="U1117" s="314" t="s">
        <v>3917</v>
      </c>
      <c r="V1117" s="314" t="s">
        <v>114</v>
      </c>
      <c r="W1117" s="314"/>
      <c r="X1117" s="314" t="str">
        <f>VLOOKUP(D1117,代理总表!A:D,3,0)</f>
        <v>雨燕直播</v>
      </c>
      <c r="Y1117" t="str">
        <f>VLOOKUP(D:D,代理总表!A:D,4,FALSE)</f>
        <v>雨燕直播zzzb888</v>
      </c>
      <c r="Z1117">
        <f t="shared" si="51"/>
        <v>0</v>
      </c>
      <c r="AA1117">
        <f t="shared" si="52"/>
        <v>3</v>
      </c>
      <c r="AB1117">
        <f t="shared" si="53"/>
        <v>1</v>
      </c>
    </row>
    <row r="1118" spans="1:28">
      <c r="A1118" s="314" t="s">
        <v>3918</v>
      </c>
      <c r="B1118" s="314"/>
      <c r="C1118" s="314"/>
      <c r="D1118" s="314" t="s">
        <v>240</v>
      </c>
      <c r="E1118" s="314" t="s">
        <v>104</v>
      </c>
      <c r="F1118" s="314" t="s">
        <v>149</v>
      </c>
      <c r="G1118" s="314" t="s">
        <v>108</v>
      </c>
      <c r="H1118" s="314" t="s">
        <v>119</v>
      </c>
      <c r="I1118" s="314" t="s">
        <v>108</v>
      </c>
      <c r="J1118" s="314" t="s">
        <v>109</v>
      </c>
      <c r="K1118" s="314">
        <v>0</v>
      </c>
      <c r="L1118" s="314">
        <v>0</v>
      </c>
      <c r="M1118" s="315">
        <v>45145.1334143519</v>
      </c>
      <c r="N1118" s="314" t="s">
        <v>3919</v>
      </c>
      <c r="O1118" s="314" t="s">
        <v>1981</v>
      </c>
      <c r="P1118" s="314" t="s">
        <v>112</v>
      </c>
      <c r="Q1118" s="314" t="s">
        <v>123</v>
      </c>
      <c r="R1118" s="315">
        <v>45145.1334143519</v>
      </c>
      <c r="S1118" s="314" t="s">
        <v>3919</v>
      </c>
      <c r="T1118" s="314" t="s">
        <v>2274</v>
      </c>
      <c r="U1118" s="314" t="s">
        <v>2274</v>
      </c>
      <c r="V1118" s="314" t="s">
        <v>114</v>
      </c>
      <c r="W1118" s="314"/>
      <c r="X1118" s="314" t="str">
        <f>VLOOKUP(D1118,代理总表!A:D,3,0)</f>
        <v>SEO邀请</v>
      </c>
      <c r="Y1118" t="str">
        <f>VLOOKUP(D:D,代理总表!A:D,4,FALSE)</f>
        <v>SEO</v>
      </c>
      <c r="Z1118">
        <f t="shared" si="51"/>
        <v>0</v>
      </c>
      <c r="AA1118">
        <f t="shared" si="52"/>
        <v>3</v>
      </c>
      <c r="AB1118">
        <f t="shared" si="53"/>
        <v>1</v>
      </c>
    </row>
    <row r="1119" spans="1:28">
      <c r="A1119" s="314" t="s">
        <v>3920</v>
      </c>
      <c r="B1119" s="314" t="s">
        <v>3921</v>
      </c>
      <c r="C1119" s="314">
        <v>329404990</v>
      </c>
      <c r="D1119" s="314" t="s">
        <v>172</v>
      </c>
      <c r="E1119" s="314" t="s">
        <v>117</v>
      </c>
      <c r="F1119" s="314" t="s">
        <v>144</v>
      </c>
      <c r="G1119" s="314" t="s">
        <v>106</v>
      </c>
      <c r="H1119" s="314" t="s">
        <v>107</v>
      </c>
      <c r="I1119" s="314" t="s">
        <v>108</v>
      </c>
      <c r="J1119" s="314" t="s">
        <v>120</v>
      </c>
      <c r="K1119" s="314">
        <v>180000</v>
      </c>
      <c r="L1119" s="314">
        <v>100000</v>
      </c>
      <c r="M1119" s="315">
        <v>45145.1333564815</v>
      </c>
      <c r="N1119" s="314" t="s">
        <v>3922</v>
      </c>
      <c r="O1119" s="314" t="s">
        <v>881</v>
      </c>
      <c r="P1119" s="314" t="s">
        <v>112</v>
      </c>
      <c r="Q1119" s="315">
        <v>45145.1771875</v>
      </c>
      <c r="R1119" s="315">
        <v>45145.1937615741</v>
      </c>
      <c r="S1119" s="314" t="s">
        <v>3923</v>
      </c>
      <c r="T1119" s="314" t="s">
        <v>131</v>
      </c>
      <c r="U1119" s="314" t="s">
        <v>520</v>
      </c>
      <c r="V1119" s="314" t="s">
        <v>114</v>
      </c>
      <c r="W1119" s="314"/>
      <c r="X1119" s="314" t="str">
        <f>VLOOKUP(D1119,代理总表!A:D,3,0)</f>
        <v>雨燕直播-越</v>
      </c>
      <c r="Y1119" t="str">
        <f>VLOOKUP(D:D,代理总表!A:D,4,FALSE)</f>
        <v>雨燕直播-越ffvn66</v>
      </c>
      <c r="Z1119">
        <f t="shared" si="51"/>
        <v>1</v>
      </c>
      <c r="AA1119">
        <f t="shared" si="52"/>
        <v>3</v>
      </c>
      <c r="AB1119">
        <f t="shared" si="53"/>
        <v>1</v>
      </c>
    </row>
    <row r="1120" spans="1:28">
      <c r="A1120" s="314" t="s">
        <v>3924</v>
      </c>
      <c r="B1120" s="314"/>
      <c r="C1120" s="314">
        <v>13465806765</v>
      </c>
      <c r="D1120" s="314" t="s">
        <v>148</v>
      </c>
      <c r="E1120" s="314" t="s">
        <v>104</v>
      </c>
      <c r="F1120" s="314" t="s">
        <v>149</v>
      </c>
      <c r="G1120" s="314" t="s">
        <v>108</v>
      </c>
      <c r="H1120" s="314" t="s">
        <v>119</v>
      </c>
      <c r="I1120" s="314" t="s">
        <v>108</v>
      </c>
      <c r="J1120" s="314" t="s">
        <v>109</v>
      </c>
      <c r="K1120" s="314">
        <v>0</v>
      </c>
      <c r="L1120" s="314">
        <v>0</v>
      </c>
      <c r="M1120" s="315">
        <v>45145.1310185185</v>
      </c>
      <c r="N1120" s="314" t="s">
        <v>3925</v>
      </c>
      <c r="O1120" s="314" t="s">
        <v>585</v>
      </c>
      <c r="P1120" s="314" t="s">
        <v>112</v>
      </c>
      <c r="Q1120" s="314" t="s">
        <v>123</v>
      </c>
      <c r="R1120" s="315">
        <v>45145.1310185185</v>
      </c>
      <c r="S1120" s="314" t="s">
        <v>3925</v>
      </c>
      <c r="T1120" s="314" t="s">
        <v>515</v>
      </c>
      <c r="U1120" s="314" t="s">
        <v>515</v>
      </c>
      <c r="V1120" s="314" t="s">
        <v>114</v>
      </c>
      <c r="W1120" s="314"/>
      <c r="X1120" s="314" t="str">
        <f>VLOOKUP(D1120,代理总表!A:D,3,0)</f>
        <v>martin</v>
      </c>
      <c r="Y1120" t="str">
        <f>VLOOKUP(D:D,代理总表!A:D,4,FALSE)</f>
        <v>SEO</v>
      </c>
      <c r="Z1120">
        <f t="shared" si="51"/>
        <v>0</v>
      </c>
      <c r="AA1120">
        <f t="shared" si="52"/>
        <v>3</v>
      </c>
      <c r="AB1120">
        <f t="shared" si="53"/>
        <v>1</v>
      </c>
    </row>
    <row r="1121" spans="1:28">
      <c r="A1121" s="314" t="s">
        <v>3926</v>
      </c>
      <c r="B1121" s="314" t="s">
        <v>3927</v>
      </c>
      <c r="C1121" s="314">
        <v>395581407</v>
      </c>
      <c r="D1121" s="314" t="s">
        <v>635</v>
      </c>
      <c r="E1121" s="314" t="s">
        <v>117</v>
      </c>
      <c r="F1121" s="314" t="s">
        <v>144</v>
      </c>
      <c r="G1121" s="314" t="s">
        <v>106</v>
      </c>
      <c r="H1121" s="314" t="s">
        <v>107</v>
      </c>
      <c r="I1121" s="314" t="s">
        <v>108</v>
      </c>
      <c r="J1121" s="314" t="s">
        <v>120</v>
      </c>
      <c r="K1121" s="314">
        <v>160000</v>
      </c>
      <c r="L1121" s="314">
        <v>100000</v>
      </c>
      <c r="M1121" s="315">
        <v>45145.1306712963</v>
      </c>
      <c r="N1121" s="314" t="s">
        <v>3928</v>
      </c>
      <c r="O1121" s="314" t="s">
        <v>637</v>
      </c>
      <c r="P1121" s="314" t="s">
        <v>112</v>
      </c>
      <c r="Q1121" s="315">
        <v>45145.5960532407</v>
      </c>
      <c r="R1121" s="315">
        <v>45145.6898726852</v>
      </c>
      <c r="S1121" s="314" t="s">
        <v>3929</v>
      </c>
      <c r="T1121" s="314" t="s">
        <v>233</v>
      </c>
      <c r="U1121" s="314" t="s">
        <v>233</v>
      </c>
      <c r="V1121" s="314" t="s">
        <v>114</v>
      </c>
      <c r="W1121" s="314"/>
      <c r="X1121" s="314" t="str">
        <f>VLOOKUP(D1121,代理总表!A:D,3,0)</f>
        <v>外部代理总线</v>
      </c>
      <c r="Y1121" t="str">
        <f>VLOOKUP(D:D,代理总表!A:D,4,FALSE)</f>
        <v>外部代理总线zh0808</v>
      </c>
      <c r="Z1121">
        <f t="shared" si="51"/>
        <v>1</v>
      </c>
      <c r="AA1121">
        <f t="shared" si="52"/>
        <v>3</v>
      </c>
      <c r="AB1121">
        <f t="shared" si="53"/>
        <v>1</v>
      </c>
    </row>
    <row r="1122" spans="1:28">
      <c r="A1122" s="314" t="s">
        <v>3930</v>
      </c>
      <c r="B1122" s="314"/>
      <c r="C1122" s="314">
        <v>17722064957</v>
      </c>
      <c r="D1122" s="314" t="s">
        <v>148</v>
      </c>
      <c r="E1122" s="314" t="s">
        <v>104</v>
      </c>
      <c r="F1122" s="314" t="s">
        <v>149</v>
      </c>
      <c r="G1122" s="314" t="s">
        <v>108</v>
      </c>
      <c r="H1122" s="314" t="s">
        <v>119</v>
      </c>
      <c r="I1122" s="314" t="s">
        <v>108</v>
      </c>
      <c r="J1122" s="314" t="s">
        <v>109</v>
      </c>
      <c r="K1122" s="314">
        <v>0</v>
      </c>
      <c r="L1122" s="314">
        <v>0</v>
      </c>
      <c r="M1122" s="315">
        <v>45145.1298611111</v>
      </c>
      <c r="N1122" s="314" t="s">
        <v>3931</v>
      </c>
      <c r="O1122" s="314" t="s">
        <v>585</v>
      </c>
      <c r="P1122" s="314" t="s">
        <v>112</v>
      </c>
      <c r="Q1122" s="314" t="s">
        <v>123</v>
      </c>
      <c r="R1122" s="315">
        <v>45145.1306365741</v>
      </c>
      <c r="S1122" s="314" t="s">
        <v>3931</v>
      </c>
      <c r="T1122" s="314" t="s">
        <v>3932</v>
      </c>
      <c r="U1122" s="314" t="s">
        <v>3932</v>
      </c>
      <c r="V1122" s="314" t="s">
        <v>114</v>
      </c>
      <c r="W1122" s="314"/>
      <c r="X1122" s="314" t="str">
        <f>VLOOKUP(D1122,代理总表!A:D,3,0)</f>
        <v>martin</v>
      </c>
      <c r="Y1122" t="str">
        <f>VLOOKUP(D:D,代理总表!A:D,4,FALSE)</f>
        <v>SEO</v>
      </c>
      <c r="Z1122">
        <f t="shared" si="51"/>
        <v>0</v>
      </c>
      <c r="AA1122">
        <f t="shared" si="52"/>
        <v>3</v>
      </c>
      <c r="AB1122">
        <f t="shared" si="53"/>
        <v>1</v>
      </c>
    </row>
    <row r="1123" spans="1:28">
      <c r="A1123" s="314" t="s">
        <v>3933</v>
      </c>
      <c r="B1123" s="314"/>
      <c r="C1123" s="314">
        <v>13536511211</v>
      </c>
      <c r="D1123" s="314" t="s">
        <v>3934</v>
      </c>
      <c r="E1123" s="314" t="s">
        <v>104</v>
      </c>
      <c r="F1123" s="314" t="s">
        <v>144</v>
      </c>
      <c r="G1123" s="314" t="s">
        <v>106</v>
      </c>
      <c r="H1123" s="314" t="s">
        <v>856</v>
      </c>
      <c r="I1123" s="314" t="s">
        <v>108</v>
      </c>
      <c r="J1123" s="314" t="s">
        <v>109</v>
      </c>
      <c r="K1123" s="314">
        <v>588</v>
      </c>
      <c r="L1123" s="314">
        <v>5658</v>
      </c>
      <c r="M1123" s="315">
        <v>45145.1293518519</v>
      </c>
      <c r="N1123" s="314" t="s">
        <v>3935</v>
      </c>
      <c r="O1123" s="314" t="s">
        <v>3936</v>
      </c>
      <c r="P1123" s="314" t="s">
        <v>112</v>
      </c>
      <c r="Q1123" s="315">
        <v>45145.5253356481</v>
      </c>
      <c r="R1123" s="315">
        <v>45145.5798842593</v>
      </c>
      <c r="S1123" s="314" t="s">
        <v>3937</v>
      </c>
      <c r="T1123" s="314" t="s">
        <v>3938</v>
      </c>
      <c r="U1123" s="314" t="s">
        <v>939</v>
      </c>
      <c r="V1123" s="314" t="s">
        <v>114</v>
      </c>
      <c r="W1123" s="314"/>
      <c r="X1123" s="314" t="e">
        <f>VLOOKUP(D1123,代理总表!A:D,3,0)</f>
        <v>#N/A</v>
      </c>
      <c r="Y1123" t="e">
        <f>VLOOKUP(D:D,代理总表!A:D,4,FALSE)</f>
        <v>#N/A</v>
      </c>
      <c r="Z1123">
        <f t="shared" si="51"/>
        <v>1</v>
      </c>
      <c r="AA1123">
        <f t="shared" si="52"/>
        <v>3</v>
      </c>
      <c r="AB1123">
        <f t="shared" si="53"/>
        <v>1</v>
      </c>
    </row>
    <row r="1124" spans="1:28">
      <c r="A1124" s="314" t="s">
        <v>3939</v>
      </c>
      <c r="B1124" s="314"/>
      <c r="C1124" s="314"/>
      <c r="D1124" s="314" t="s">
        <v>103</v>
      </c>
      <c r="E1124" s="314" t="s">
        <v>506</v>
      </c>
      <c r="F1124" s="314" t="s">
        <v>118</v>
      </c>
      <c r="G1124" s="314" t="s">
        <v>108</v>
      </c>
      <c r="H1124" s="314" t="s">
        <v>119</v>
      </c>
      <c r="I1124" s="314" t="s">
        <v>108</v>
      </c>
      <c r="J1124" s="314" t="s">
        <v>109</v>
      </c>
      <c r="K1124" s="314">
        <v>0</v>
      </c>
      <c r="L1124" s="314">
        <v>0</v>
      </c>
      <c r="M1124" s="315">
        <v>45145.1292013889</v>
      </c>
      <c r="N1124" s="314" t="s">
        <v>3179</v>
      </c>
      <c r="O1124" s="314" t="s">
        <v>3218</v>
      </c>
      <c r="P1124" s="314" t="s">
        <v>339</v>
      </c>
      <c r="Q1124" s="314" t="s">
        <v>123</v>
      </c>
      <c r="R1124" s="315">
        <v>45146.0559722222</v>
      </c>
      <c r="S1124" s="314" t="s">
        <v>3179</v>
      </c>
      <c r="T1124" s="314" t="s">
        <v>340</v>
      </c>
      <c r="U1124" s="314" t="s">
        <v>340</v>
      </c>
      <c r="V1124" s="314" t="s">
        <v>114</v>
      </c>
      <c r="W1124" s="314"/>
      <c r="X1124" s="314" t="str">
        <f>VLOOKUP(D1124,代理总表!A:D,3,0)</f>
        <v>官网</v>
      </c>
      <c r="Y1124" t="str">
        <f>VLOOKUP(D:D,代理总表!A:D,4,FALSE)</f>
        <v>官网</v>
      </c>
      <c r="Z1124">
        <f t="shared" si="51"/>
        <v>0</v>
      </c>
      <c r="AA1124">
        <f t="shared" si="52"/>
        <v>3</v>
      </c>
      <c r="AB1124">
        <f t="shared" si="53"/>
        <v>1</v>
      </c>
    </row>
    <row r="1125" spans="1:28">
      <c r="A1125" s="314" t="s">
        <v>3940</v>
      </c>
      <c r="B1125" s="314" t="s">
        <v>3941</v>
      </c>
      <c r="C1125" s="314">
        <v>528248520</v>
      </c>
      <c r="D1125" s="314" t="s">
        <v>333</v>
      </c>
      <c r="E1125" s="314" t="s">
        <v>117</v>
      </c>
      <c r="F1125" s="314" t="s">
        <v>144</v>
      </c>
      <c r="G1125" s="314" t="s">
        <v>106</v>
      </c>
      <c r="H1125" s="314" t="s">
        <v>107</v>
      </c>
      <c r="I1125" s="314" t="s">
        <v>108</v>
      </c>
      <c r="J1125" s="314" t="s">
        <v>120</v>
      </c>
      <c r="K1125" s="314">
        <v>0</v>
      </c>
      <c r="L1125" s="314">
        <v>4340000</v>
      </c>
      <c r="M1125" s="315">
        <v>45145.1290740741</v>
      </c>
      <c r="N1125" s="314" t="s">
        <v>3942</v>
      </c>
      <c r="O1125" s="314" t="s">
        <v>335</v>
      </c>
      <c r="P1125" s="314" t="s">
        <v>112</v>
      </c>
      <c r="Q1125" s="315">
        <v>45145.1404166667</v>
      </c>
      <c r="R1125" s="315">
        <v>45145.1413541667</v>
      </c>
      <c r="S1125" s="314" t="s">
        <v>3942</v>
      </c>
      <c r="T1125" s="314" t="s">
        <v>131</v>
      </c>
      <c r="U1125" s="314" t="s">
        <v>131</v>
      </c>
      <c r="V1125" s="314" t="s">
        <v>114</v>
      </c>
      <c r="W1125" s="314"/>
      <c r="X1125" s="314" t="e">
        <f>VLOOKUP(D1125,代理总表!A:D,3,0)</f>
        <v>#N/A</v>
      </c>
      <c r="Y1125" t="e">
        <f>VLOOKUP(D:D,代理总表!A:D,4,FALSE)</f>
        <v>#N/A</v>
      </c>
      <c r="Z1125">
        <f t="shared" si="51"/>
        <v>1</v>
      </c>
      <c r="AA1125">
        <f t="shared" si="52"/>
        <v>3</v>
      </c>
      <c r="AB1125">
        <f t="shared" si="53"/>
        <v>1</v>
      </c>
    </row>
    <row r="1126" spans="1:28">
      <c r="A1126" s="314" t="s">
        <v>3943</v>
      </c>
      <c r="B1126" s="314" t="s">
        <v>3944</v>
      </c>
      <c r="C1126" s="314">
        <v>17683907427</v>
      </c>
      <c r="D1126" s="314" t="s">
        <v>103</v>
      </c>
      <c r="E1126" s="314" t="s">
        <v>104</v>
      </c>
      <c r="F1126" s="314" t="s">
        <v>295</v>
      </c>
      <c r="G1126" s="314" t="s">
        <v>106</v>
      </c>
      <c r="H1126" s="314" t="s">
        <v>107</v>
      </c>
      <c r="I1126" s="314" t="s">
        <v>108</v>
      </c>
      <c r="J1126" s="314" t="s">
        <v>109</v>
      </c>
      <c r="K1126" s="314">
        <v>38.16</v>
      </c>
      <c r="L1126" s="314">
        <v>300</v>
      </c>
      <c r="M1126" s="315">
        <v>45145.1290393519</v>
      </c>
      <c r="N1126" s="314" t="s">
        <v>3905</v>
      </c>
      <c r="O1126" s="314" t="s">
        <v>350</v>
      </c>
      <c r="P1126" s="314" t="s">
        <v>112</v>
      </c>
      <c r="Q1126" s="315">
        <v>45145.1325694444</v>
      </c>
      <c r="R1126" s="315">
        <v>45145.8900694444</v>
      </c>
      <c r="S1126" s="314" t="s">
        <v>3905</v>
      </c>
      <c r="T1126" s="314" t="s">
        <v>3906</v>
      </c>
      <c r="U1126" s="314" t="s">
        <v>3906</v>
      </c>
      <c r="V1126" s="314" t="s">
        <v>114</v>
      </c>
      <c r="W1126" s="314"/>
      <c r="X1126" s="314" t="str">
        <f>VLOOKUP(D1126,代理总表!A:D,3,0)</f>
        <v>官网</v>
      </c>
      <c r="Y1126" t="str">
        <f>VLOOKUP(D:D,代理总表!A:D,4,FALSE)</f>
        <v>官网</v>
      </c>
      <c r="Z1126">
        <f t="shared" si="51"/>
        <v>1</v>
      </c>
      <c r="AA1126">
        <f t="shared" si="52"/>
        <v>3</v>
      </c>
      <c r="AB1126">
        <f t="shared" si="53"/>
        <v>1</v>
      </c>
    </row>
    <row r="1127" spans="1:28">
      <c r="A1127" s="314" t="s">
        <v>3945</v>
      </c>
      <c r="B1127" s="314"/>
      <c r="C1127" s="314"/>
      <c r="D1127" s="314" t="s">
        <v>1336</v>
      </c>
      <c r="E1127" s="314" t="s">
        <v>104</v>
      </c>
      <c r="F1127" s="314" t="s">
        <v>118</v>
      </c>
      <c r="G1127" s="314" t="s">
        <v>108</v>
      </c>
      <c r="H1127" s="314" t="s">
        <v>119</v>
      </c>
      <c r="I1127" s="314" t="s">
        <v>108</v>
      </c>
      <c r="J1127" s="314" t="s">
        <v>109</v>
      </c>
      <c r="K1127" s="314">
        <v>0</v>
      </c>
      <c r="L1127" s="314">
        <v>0</v>
      </c>
      <c r="M1127" s="315">
        <v>45145.1289351852</v>
      </c>
      <c r="N1127" s="314" t="s">
        <v>3946</v>
      </c>
      <c r="O1127" s="314" t="s">
        <v>2385</v>
      </c>
      <c r="P1127" s="314" t="s">
        <v>112</v>
      </c>
      <c r="Q1127" s="314" t="s">
        <v>123</v>
      </c>
      <c r="R1127" s="315">
        <v>45145.1289236111</v>
      </c>
      <c r="S1127" s="314" t="s">
        <v>3946</v>
      </c>
      <c r="T1127" s="314" t="s">
        <v>3947</v>
      </c>
      <c r="U1127" s="314" t="s">
        <v>3947</v>
      </c>
      <c r="V1127" s="314" t="s">
        <v>114</v>
      </c>
      <c r="W1127" s="314"/>
      <c r="X1127" s="314" t="str">
        <f>VLOOKUP(D1127,代理总表!A:D,3,0)</f>
        <v>飞哥雨燕直播</v>
      </c>
      <c r="Y1127" t="str">
        <f>VLOOKUP(D:D,代理总表!A:D,4,FALSE)</f>
        <v>飞哥雨燕直播ffmk88</v>
      </c>
      <c r="Z1127">
        <f t="shared" si="51"/>
        <v>0</v>
      </c>
      <c r="AA1127">
        <f t="shared" si="52"/>
        <v>3</v>
      </c>
      <c r="AB1127">
        <f t="shared" si="53"/>
        <v>1</v>
      </c>
    </row>
    <row r="1128" spans="1:28">
      <c r="A1128" s="314" t="s">
        <v>3948</v>
      </c>
      <c r="B1128" s="314" t="s">
        <v>3949</v>
      </c>
      <c r="C1128" s="314">
        <v>398449391</v>
      </c>
      <c r="D1128" s="314" t="s">
        <v>116</v>
      </c>
      <c r="E1128" s="314" t="s">
        <v>117</v>
      </c>
      <c r="F1128" s="314" t="s">
        <v>118</v>
      </c>
      <c r="G1128" s="314" t="s">
        <v>108</v>
      </c>
      <c r="H1128" s="314" t="s">
        <v>119</v>
      </c>
      <c r="I1128" s="314" t="s">
        <v>108</v>
      </c>
      <c r="J1128" s="314" t="s">
        <v>120</v>
      </c>
      <c r="K1128" s="314">
        <v>0</v>
      </c>
      <c r="L1128" s="314">
        <v>0</v>
      </c>
      <c r="M1128" s="315">
        <v>45145.128599537</v>
      </c>
      <c r="N1128" s="314" t="s">
        <v>3950</v>
      </c>
      <c r="O1128" s="314" t="s">
        <v>127</v>
      </c>
      <c r="P1128" s="314" t="s">
        <v>112</v>
      </c>
      <c r="Q1128" s="314" t="s">
        <v>123</v>
      </c>
      <c r="R1128" s="315">
        <v>45145.1297916667</v>
      </c>
      <c r="S1128" s="314" t="s">
        <v>3950</v>
      </c>
      <c r="T1128" s="314" t="s">
        <v>176</v>
      </c>
      <c r="U1128" s="314" t="s">
        <v>176</v>
      </c>
      <c r="V1128" s="314" t="s">
        <v>114</v>
      </c>
      <c r="W1128" s="314"/>
      <c r="X1128" s="314" t="str">
        <f>VLOOKUP(D1128,代理总表!A:D,3,0)</f>
        <v>外部代理总线</v>
      </c>
      <c r="Y1128" t="str">
        <f>VLOOKUP(D:D,代理总表!A:D,4,FALSE)</f>
        <v>外部代理总线zh0808</v>
      </c>
      <c r="Z1128">
        <f t="shared" si="51"/>
        <v>0</v>
      </c>
      <c r="AA1128">
        <f t="shared" si="52"/>
        <v>3</v>
      </c>
      <c r="AB1128">
        <f t="shared" si="53"/>
        <v>1</v>
      </c>
    </row>
    <row r="1129" spans="1:28">
      <c r="A1129" s="314" t="s">
        <v>3951</v>
      </c>
      <c r="B1129" s="314"/>
      <c r="C1129" s="314"/>
      <c r="D1129" s="314" t="s">
        <v>116</v>
      </c>
      <c r="E1129" s="314" t="s">
        <v>117</v>
      </c>
      <c r="F1129" s="314" t="s">
        <v>118</v>
      </c>
      <c r="G1129" s="314" t="s">
        <v>108</v>
      </c>
      <c r="H1129" s="314" t="s">
        <v>119</v>
      </c>
      <c r="I1129" s="314" t="s">
        <v>108</v>
      </c>
      <c r="J1129" s="314" t="s">
        <v>120</v>
      </c>
      <c r="K1129" s="314">
        <v>0</v>
      </c>
      <c r="L1129" s="314">
        <v>0</v>
      </c>
      <c r="M1129" s="315">
        <v>45145.1265509259</v>
      </c>
      <c r="N1129" s="314" t="s">
        <v>3952</v>
      </c>
      <c r="O1129" s="314" t="s">
        <v>2062</v>
      </c>
      <c r="P1129" s="314" t="s">
        <v>112</v>
      </c>
      <c r="Q1129" s="314" t="s">
        <v>123</v>
      </c>
      <c r="R1129" s="315">
        <v>45145.1277430556</v>
      </c>
      <c r="S1129" s="314" t="s">
        <v>3952</v>
      </c>
      <c r="T1129" s="314" t="s">
        <v>3370</v>
      </c>
      <c r="U1129" s="314" t="s">
        <v>3370</v>
      </c>
      <c r="V1129" s="314" t="s">
        <v>114</v>
      </c>
      <c r="W1129" s="314"/>
      <c r="X1129" s="314" t="str">
        <f>VLOOKUP(D1129,代理总表!A:D,3,0)</f>
        <v>外部代理总线</v>
      </c>
      <c r="Y1129" t="str">
        <f>VLOOKUP(D:D,代理总表!A:D,4,FALSE)</f>
        <v>外部代理总线zh0808</v>
      </c>
      <c r="Z1129">
        <f t="shared" si="51"/>
        <v>0</v>
      </c>
      <c r="AA1129">
        <f t="shared" si="52"/>
        <v>3</v>
      </c>
      <c r="AB1129">
        <f t="shared" si="53"/>
        <v>1</v>
      </c>
    </row>
    <row r="1130" spans="1:28">
      <c r="A1130" s="314" t="s">
        <v>3953</v>
      </c>
      <c r="B1130" s="314"/>
      <c r="C1130" s="314">
        <v>584321677</v>
      </c>
      <c r="D1130" s="314" t="s">
        <v>172</v>
      </c>
      <c r="E1130" s="314" t="s">
        <v>117</v>
      </c>
      <c r="F1130" s="314" t="s">
        <v>118</v>
      </c>
      <c r="G1130" s="314" t="s">
        <v>108</v>
      </c>
      <c r="H1130" s="314" t="s">
        <v>119</v>
      </c>
      <c r="I1130" s="314" t="s">
        <v>108</v>
      </c>
      <c r="J1130" s="314" t="s">
        <v>120</v>
      </c>
      <c r="K1130" s="314">
        <v>0</v>
      </c>
      <c r="L1130" s="314">
        <v>0</v>
      </c>
      <c r="M1130" s="315">
        <v>45145.1256944444</v>
      </c>
      <c r="N1130" s="314" t="s">
        <v>3954</v>
      </c>
      <c r="O1130" s="314" t="s">
        <v>193</v>
      </c>
      <c r="P1130" s="314" t="s">
        <v>112</v>
      </c>
      <c r="Q1130" s="314" t="s">
        <v>123</v>
      </c>
      <c r="R1130" s="315">
        <v>45145.1256944444</v>
      </c>
      <c r="S1130" s="314" t="s">
        <v>3954</v>
      </c>
      <c r="T1130" s="314" t="s">
        <v>1072</v>
      </c>
      <c r="U1130" s="314" t="s">
        <v>1072</v>
      </c>
      <c r="V1130" s="314" t="s">
        <v>114</v>
      </c>
      <c r="W1130" s="314"/>
      <c r="X1130" s="314" t="str">
        <f>VLOOKUP(D1130,代理总表!A:D,3,0)</f>
        <v>雨燕直播-越</v>
      </c>
      <c r="Y1130" t="str">
        <f>VLOOKUP(D:D,代理总表!A:D,4,FALSE)</f>
        <v>雨燕直播-越ffvn66</v>
      </c>
      <c r="Z1130">
        <f t="shared" si="51"/>
        <v>0</v>
      </c>
      <c r="AA1130">
        <f t="shared" si="52"/>
        <v>3</v>
      </c>
      <c r="AB1130">
        <f t="shared" si="53"/>
        <v>1</v>
      </c>
    </row>
    <row r="1131" spans="1:28">
      <c r="A1131" s="314" t="s">
        <v>3955</v>
      </c>
      <c r="B1131" s="314"/>
      <c r="C1131" s="314"/>
      <c r="D1131" s="314" t="s">
        <v>1109</v>
      </c>
      <c r="E1131" s="314" t="s">
        <v>104</v>
      </c>
      <c r="F1131" s="314" t="s">
        <v>118</v>
      </c>
      <c r="G1131" s="314" t="s">
        <v>108</v>
      </c>
      <c r="H1131" s="314" t="s">
        <v>119</v>
      </c>
      <c r="I1131" s="314" t="s">
        <v>108</v>
      </c>
      <c r="J1131" s="314" t="s">
        <v>109</v>
      </c>
      <c r="K1131" s="314">
        <v>0</v>
      </c>
      <c r="L1131" s="314">
        <v>0</v>
      </c>
      <c r="M1131" s="315">
        <v>45145.1212152778</v>
      </c>
      <c r="N1131" s="314" t="s">
        <v>3956</v>
      </c>
      <c r="O1131" s="314" t="s">
        <v>1137</v>
      </c>
      <c r="P1131" s="314" t="s">
        <v>112</v>
      </c>
      <c r="Q1131" s="314" t="s">
        <v>123</v>
      </c>
      <c r="R1131" s="315">
        <v>45146.0634953704</v>
      </c>
      <c r="S1131" s="314" t="s">
        <v>3957</v>
      </c>
      <c r="T1131" s="314" t="s">
        <v>867</v>
      </c>
      <c r="U1131" s="314" t="s">
        <v>867</v>
      </c>
      <c r="V1131" s="314" t="s">
        <v>114</v>
      </c>
      <c r="W1131" s="314"/>
      <c r="X1131" s="314" t="str">
        <f>VLOOKUP(D1131,代理总表!A:D,3,0)</f>
        <v>飞哥雨燕直播</v>
      </c>
      <c r="Y1131" t="str">
        <f>VLOOKUP(D:D,代理总表!A:D,4,FALSE)</f>
        <v>飞哥雨燕直播ffmk88</v>
      </c>
      <c r="Z1131">
        <f t="shared" si="51"/>
        <v>0</v>
      </c>
      <c r="AA1131">
        <f t="shared" si="52"/>
        <v>2</v>
      </c>
      <c r="AB1131">
        <f t="shared" si="53"/>
        <v>1</v>
      </c>
    </row>
    <row r="1132" spans="1:28">
      <c r="A1132" s="314" t="s">
        <v>3958</v>
      </c>
      <c r="B1132" s="314" t="s">
        <v>3959</v>
      </c>
      <c r="C1132" s="314">
        <v>13160661610</v>
      </c>
      <c r="D1132" s="314" t="s">
        <v>370</v>
      </c>
      <c r="E1132" s="314" t="s">
        <v>104</v>
      </c>
      <c r="F1132" s="314" t="s">
        <v>118</v>
      </c>
      <c r="G1132" s="314" t="s">
        <v>108</v>
      </c>
      <c r="H1132" s="314" t="s">
        <v>119</v>
      </c>
      <c r="I1132" s="314" t="s">
        <v>108</v>
      </c>
      <c r="J1132" s="314" t="s">
        <v>109</v>
      </c>
      <c r="K1132" s="314">
        <v>0</v>
      </c>
      <c r="L1132" s="314">
        <v>0</v>
      </c>
      <c r="M1132" s="315">
        <v>45145.119212963</v>
      </c>
      <c r="N1132" s="314" t="s">
        <v>3960</v>
      </c>
      <c r="O1132" s="314" t="s">
        <v>3961</v>
      </c>
      <c r="P1132" s="314" t="s">
        <v>112</v>
      </c>
      <c r="Q1132" s="314" t="s">
        <v>123</v>
      </c>
      <c r="R1132" s="315">
        <v>45145.119212963</v>
      </c>
      <c r="S1132" s="314" t="s">
        <v>3960</v>
      </c>
      <c r="T1132" s="314" t="s">
        <v>790</v>
      </c>
      <c r="U1132" s="314" t="s">
        <v>790</v>
      </c>
      <c r="V1132" s="314" t="s">
        <v>114</v>
      </c>
      <c r="W1132" s="314"/>
      <c r="X1132" s="314" t="str">
        <f>VLOOKUP(D1132,代理总表!A:D,3,0)</f>
        <v>GT-骨头</v>
      </c>
      <c r="Y1132" t="str">
        <f>VLOOKUP(D:D,代理总表!A:D,4,FALSE)</f>
        <v>GT-骨头gt6677</v>
      </c>
      <c r="Z1132">
        <f t="shared" si="51"/>
        <v>0</v>
      </c>
      <c r="AA1132">
        <f t="shared" si="52"/>
        <v>2</v>
      </c>
      <c r="AB1132">
        <f t="shared" si="53"/>
        <v>1</v>
      </c>
    </row>
    <row r="1133" spans="1:28">
      <c r="A1133" s="314" t="s">
        <v>3962</v>
      </c>
      <c r="B1133" s="314"/>
      <c r="C1133" s="314">
        <v>18695072968</v>
      </c>
      <c r="D1133" s="314" t="s">
        <v>148</v>
      </c>
      <c r="E1133" s="314" t="s">
        <v>104</v>
      </c>
      <c r="F1133" s="314" t="s">
        <v>149</v>
      </c>
      <c r="G1133" s="314" t="s">
        <v>108</v>
      </c>
      <c r="H1133" s="314" t="s">
        <v>119</v>
      </c>
      <c r="I1133" s="314" t="s">
        <v>108</v>
      </c>
      <c r="J1133" s="314" t="s">
        <v>109</v>
      </c>
      <c r="K1133" s="314">
        <v>0</v>
      </c>
      <c r="L1133" s="314">
        <v>0</v>
      </c>
      <c r="M1133" s="315">
        <v>45145.1179513889</v>
      </c>
      <c r="N1133" s="314" t="s">
        <v>3963</v>
      </c>
      <c r="O1133" s="314" t="s">
        <v>585</v>
      </c>
      <c r="P1133" s="314" t="s">
        <v>112</v>
      </c>
      <c r="Q1133" s="314" t="s">
        <v>123</v>
      </c>
      <c r="R1133" s="315">
        <v>45145.1179513889</v>
      </c>
      <c r="S1133" s="314" t="s">
        <v>3963</v>
      </c>
      <c r="T1133" s="314" t="s">
        <v>307</v>
      </c>
      <c r="U1133" s="314" t="s">
        <v>307</v>
      </c>
      <c r="V1133" s="314" t="s">
        <v>114</v>
      </c>
      <c r="W1133" s="314"/>
      <c r="X1133" s="314" t="str">
        <f>VLOOKUP(D1133,代理总表!A:D,3,0)</f>
        <v>martin</v>
      </c>
      <c r="Y1133" t="str">
        <f>VLOOKUP(D:D,代理总表!A:D,4,FALSE)</f>
        <v>SEO</v>
      </c>
      <c r="Z1133">
        <f t="shared" si="51"/>
        <v>0</v>
      </c>
      <c r="AA1133">
        <f t="shared" si="52"/>
        <v>2</v>
      </c>
      <c r="AB1133">
        <f t="shared" si="53"/>
        <v>1</v>
      </c>
    </row>
    <row r="1134" spans="1:28">
      <c r="A1134" s="314" t="s">
        <v>3964</v>
      </c>
      <c r="B1134" s="314" t="s">
        <v>3965</v>
      </c>
      <c r="C1134" s="314">
        <v>15070289715</v>
      </c>
      <c r="D1134" s="314" t="s">
        <v>180</v>
      </c>
      <c r="E1134" s="314" t="s">
        <v>104</v>
      </c>
      <c r="F1134" s="314" t="s">
        <v>149</v>
      </c>
      <c r="G1134" s="314" t="s">
        <v>108</v>
      </c>
      <c r="H1134" s="314" t="s">
        <v>119</v>
      </c>
      <c r="I1134" s="314" t="s">
        <v>108</v>
      </c>
      <c r="J1134" s="314" t="s">
        <v>109</v>
      </c>
      <c r="K1134" s="314">
        <v>0</v>
      </c>
      <c r="L1134" s="314">
        <v>0</v>
      </c>
      <c r="M1134" s="315">
        <v>45145.1167361111</v>
      </c>
      <c r="N1134" s="314" t="s">
        <v>3966</v>
      </c>
      <c r="O1134" s="314" t="s">
        <v>3967</v>
      </c>
      <c r="P1134" s="314" t="s">
        <v>339</v>
      </c>
      <c r="Q1134" s="314" t="s">
        <v>123</v>
      </c>
      <c r="R1134" s="315">
        <v>45145.116724537</v>
      </c>
      <c r="S1134" s="314" t="s">
        <v>3966</v>
      </c>
      <c r="T1134" s="314" t="s">
        <v>3968</v>
      </c>
      <c r="U1134" s="314" t="s">
        <v>3968</v>
      </c>
      <c r="V1134" s="314" t="s">
        <v>114</v>
      </c>
      <c r="W1134" s="314"/>
      <c r="X1134" s="314" t="str">
        <f>VLOOKUP(D1134,代理总表!A:D,3,0)</f>
        <v>hugo</v>
      </c>
      <c r="Y1134" t="str">
        <f>VLOOKUP(D:D,代理总表!A:D,4,FALSE)</f>
        <v>SEO</v>
      </c>
      <c r="Z1134">
        <f t="shared" si="51"/>
        <v>0</v>
      </c>
      <c r="AA1134">
        <f t="shared" si="52"/>
        <v>2</v>
      </c>
      <c r="AB1134">
        <f t="shared" si="53"/>
        <v>1</v>
      </c>
    </row>
    <row r="1135" spans="1:28">
      <c r="A1135" s="314" t="s">
        <v>3969</v>
      </c>
      <c r="B1135" s="314" t="s">
        <v>3970</v>
      </c>
      <c r="C1135" s="314">
        <v>15044062120</v>
      </c>
      <c r="D1135" s="314" t="s">
        <v>1294</v>
      </c>
      <c r="E1135" s="314" t="s">
        <v>104</v>
      </c>
      <c r="F1135" s="314" t="s">
        <v>118</v>
      </c>
      <c r="G1135" s="314" t="s">
        <v>108</v>
      </c>
      <c r="H1135" s="314" t="s">
        <v>119</v>
      </c>
      <c r="I1135" s="314" t="s">
        <v>108</v>
      </c>
      <c r="J1135" s="314" t="s">
        <v>109</v>
      </c>
      <c r="K1135" s="314">
        <v>0</v>
      </c>
      <c r="L1135" s="314">
        <v>0</v>
      </c>
      <c r="M1135" s="315">
        <v>45145.1145601852</v>
      </c>
      <c r="N1135" s="314" t="s">
        <v>3971</v>
      </c>
      <c r="O1135" s="314" t="s">
        <v>3806</v>
      </c>
      <c r="P1135" s="314" t="s">
        <v>208</v>
      </c>
      <c r="Q1135" s="314" t="s">
        <v>123</v>
      </c>
      <c r="R1135" s="315">
        <v>45145.115162037</v>
      </c>
      <c r="S1135" s="314" t="s">
        <v>3971</v>
      </c>
      <c r="T1135" s="314" t="s">
        <v>256</v>
      </c>
      <c r="U1135" s="314" t="s">
        <v>256</v>
      </c>
      <c r="V1135" s="314" t="s">
        <v>114</v>
      </c>
      <c r="W1135" s="314"/>
      <c r="X1135" s="314" t="str">
        <f>VLOOKUP(D1135,代理总表!A:D,3,0)</f>
        <v>GT-骨头</v>
      </c>
      <c r="Y1135" t="str">
        <f>VLOOKUP(D:D,代理总表!A:D,4,FALSE)</f>
        <v>B直播gt6677</v>
      </c>
      <c r="Z1135">
        <f t="shared" si="51"/>
        <v>0</v>
      </c>
      <c r="AA1135">
        <f t="shared" si="52"/>
        <v>2</v>
      </c>
      <c r="AB1135">
        <f t="shared" si="53"/>
        <v>1</v>
      </c>
    </row>
    <row r="1136" spans="1:28">
      <c r="A1136" s="314" t="s">
        <v>3972</v>
      </c>
      <c r="B1136" s="314" t="s">
        <v>3973</v>
      </c>
      <c r="C1136" s="314">
        <v>528248254</v>
      </c>
      <c r="D1136" s="314" t="s">
        <v>333</v>
      </c>
      <c r="E1136" s="314" t="s">
        <v>117</v>
      </c>
      <c r="F1136" s="314" t="s">
        <v>144</v>
      </c>
      <c r="G1136" s="314" t="s">
        <v>106</v>
      </c>
      <c r="H1136" s="314" t="s">
        <v>107</v>
      </c>
      <c r="I1136" s="314" t="s">
        <v>108</v>
      </c>
      <c r="J1136" s="314" t="s">
        <v>120</v>
      </c>
      <c r="K1136" s="314">
        <v>400</v>
      </c>
      <c r="L1136" s="314">
        <v>4040000</v>
      </c>
      <c r="M1136" s="315">
        <v>45145.1145023148</v>
      </c>
      <c r="N1136" s="314" t="s">
        <v>3974</v>
      </c>
      <c r="O1136" s="314" t="s">
        <v>335</v>
      </c>
      <c r="P1136" s="314" t="s">
        <v>112</v>
      </c>
      <c r="Q1136" s="315">
        <v>45145.1219212963</v>
      </c>
      <c r="R1136" s="315">
        <v>45145.1227430556</v>
      </c>
      <c r="S1136" s="314" t="s">
        <v>3974</v>
      </c>
      <c r="T1136" s="314" t="s">
        <v>124</v>
      </c>
      <c r="U1136" s="314" t="s">
        <v>124</v>
      </c>
      <c r="V1136" s="314" t="s">
        <v>114</v>
      </c>
      <c r="W1136" s="314"/>
      <c r="X1136" s="314" t="e">
        <f>VLOOKUP(D1136,代理总表!A:D,3,0)</f>
        <v>#N/A</v>
      </c>
      <c r="Y1136" t="e">
        <f>VLOOKUP(D:D,代理总表!A:D,4,FALSE)</f>
        <v>#N/A</v>
      </c>
      <c r="Z1136">
        <f t="shared" si="51"/>
        <v>1</v>
      </c>
      <c r="AA1136">
        <f t="shared" si="52"/>
        <v>2</v>
      </c>
      <c r="AB1136">
        <f t="shared" si="53"/>
        <v>1</v>
      </c>
    </row>
    <row r="1137" spans="1:28">
      <c r="A1137" s="314" t="s">
        <v>3975</v>
      </c>
      <c r="B1137" s="314"/>
      <c r="C1137" s="314">
        <v>15160678137</v>
      </c>
      <c r="D1137" s="314" t="s">
        <v>294</v>
      </c>
      <c r="E1137" s="314" t="s">
        <v>104</v>
      </c>
      <c r="F1137" s="314" t="s">
        <v>149</v>
      </c>
      <c r="G1137" s="314" t="s">
        <v>108</v>
      </c>
      <c r="H1137" s="314" t="s">
        <v>119</v>
      </c>
      <c r="I1137" s="314" t="s">
        <v>108</v>
      </c>
      <c r="J1137" s="314" t="s">
        <v>109</v>
      </c>
      <c r="K1137" s="314">
        <v>0</v>
      </c>
      <c r="L1137" s="314">
        <v>0</v>
      </c>
      <c r="M1137" s="315">
        <v>45145.1132060185</v>
      </c>
      <c r="N1137" s="314" t="s">
        <v>3976</v>
      </c>
      <c r="O1137" s="314" t="s">
        <v>1951</v>
      </c>
      <c r="P1137" s="314" t="s">
        <v>112</v>
      </c>
      <c r="Q1137" s="314" t="s">
        <v>123</v>
      </c>
      <c r="R1137" s="315">
        <v>45145.170150463</v>
      </c>
      <c r="S1137" s="314" t="s">
        <v>3977</v>
      </c>
      <c r="T1137" s="314" t="s">
        <v>3978</v>
      </c>
      <c r="U1137" s="314" t="s">
        <v>3978</v>
      </c>
      <c r="V1137" s="314" t="s">
        <v>114</v>
      </c>
      <c r="W1137" s="314"/>
      <c r="X1137" s="314" t="str">
        <f>VLOOKUP(D1137,代理总表!A:D,3,0)</f>
        <v>DK</v>
      </c>
      <c r="Y1137" t="str">
        <f>VLOOKUP(D:D,代理总表!A:D,4,FALSE)</f>
        <v>SEO</v>
      </c>
      <c r="Z1137">
        <f t="shared" si="51"/>
        <v>0</v>
      </c>
      <c r="AA1137">
        <f t="shared" si="52"/>
        <v>2</v>
      </c>
      <c r="AB1137">
        <f t="shared" si="53"/>
        <v>1</v>
      </c>
    </row>
    <row r="1138" spans="1:28">
      <c r="A1138" s="314" t="s">
        <v>3979</v>
      </c>
      <c r="B1138" s="314"/>
      <c r="C1138" s="314"/>
      <c r="D1138" s="314" t="s">
        <v>103</v>
      </c>
      <c r="E1138" s="314" t="s">
        <v>104</v>
      </c>
      <c r="F1138" s="314" t="s">
        <v>118</v>
      </c>
      <c r="G1138" s="314" t="s">
        <v>108</v>
      </c>
      <c r="H1138" s="314" t="s">
        <v>119</v>
      </c>
      <c r="I1138" s="314" t="s">
        <v>108</v>
      </c>
      <c r="J1138" s="314" t="s">
        <v>109</v>
      </c>
      <c r="K1138" s="314">
        <v>0</v>
      </c>
      <c r="L1138" s="314">
        <v>0</v>
      </c>
      <c r="M1138" s="315">
        <v>45145.1131597222</v>
      </c>
      <c r="N1138" s="314" t="s">
        <v>3980</v>
      </c>
      <c r="O1138" s="314" t="s">
        <v>1922</v>
      </c>
      <c r="P1138" s="314" t="s">
        <v>339</v>
      </c>
      <c r="Q1138" s="314" t="s">
        <v>123</v>
      </c>
      <c r="R1138" s="315">
        <v>45145.1145486111</v>
      </c>
      <c r="S1138" s="314" t="s">
        <v>3980</v>
      </c>
      <c r="T1138" s="314" t="s">
        <v>2990</v>
      </c>
      <c r="U1138" s="314" t="s">
        <v>2990</v>
      </c>
      <c r="V1138" s="314" t="s">
        <v>114</v>
      </c>
      <c r="W1138" s="314"/>
      <c r="X1138" s="314" t="str">
        <f>VLOOKUP(D1138,代理总表!A:D,3,0)</f>
        <v>官网</v>
      </c>
      <c r="Y1138" t="str">
        <f>VLOOKUP(D:D,代理总表!A:D,4,FALSE)</f>
        <v>官网</v>
      </c>
      <c r="Z1138">
        <f t="shared" si="51"/>
        <v>0</v>
      </c>
      <c r="AA1138">
        <f t="shared" si="52"/>
        <v>2</v>
      </c>
      <c r="AB1138">
        <f t="shared" si="53"/>
        <v>1</v>
      </c>
    </row>
    <row r="1139" spans="1:28">
      <c r="A1139" s="314" t="s">
        <v>3981</v>
      </c>
      <c r="B1139" s="314"/>
      <c r="C1139" s="314"/>
      <c r="D1139" s="314" t="s">
        <v>116</v>
      </c>
      <c r="E1139" s="314" t="s">
        <v>117</v>
      </c>
      <c r="F1139" s="314" t="s">
        <v>118</v>
      </c>
      <c r="G1139" s="314" t="s">
        <v>108</v>
      </c>
      <c r="H1139" s="314" t="s">
        <v>119</v>
      </c>
      <c r="I1139" s="314" t="s">
        <v>108</v>
      </c>
      <c r="J1139" s="314" t="s">
        <v>120</v>
      </c>
      <c r="K1139" s="314">
        <v>0</v>
      </c>
      <c r="L1139" s="314">
        <v>0</v>
      </c>
      <c r="M1139" s="315">
        <v>45145.1127777778</v>
      </c>
      <c r="N1139" s="314" t="s">
        <v>3982</v>
      </c>
      <c r="O1139" s="314" t="s">
        <v>127</v>
      </c>
      <c r="P1139" s="314" t="s">
        <v>112</v>
      </c>
      <c r="Q1139" s="314" t="s">
        <v>123</v>
      </c>
      <c r="R1139" s="315">
        <v>45145.1127662037</v>
      </c>
      <c r="S1139" s="314" t="s">
        <v>3982</v>
      </c>
      <c r="T1139" s="314" t="s">
        <v>177</v>
      </c>
      <c r="U1139" s="314" t="s">
        <v>177</v>
      </c>
      <c r="V1139" s="314" t="s">
        <v>114</v>
      </c>
      <c r="W1139" s="314"/>
      <c r="X1139" s="314" t="str">
        <f>VLOOKUP(D1139,代理总表!A:D,3,0)</f>
        <v>外部代理总线</v>
      </c>
      <c r="Y1139" t="str">
        <f>VLOOKUP(D:D,代理总表!A:D,4,FALSE)</f>
        <v>外部代理总线zh0808</v>
      </c>
      <c r="Z1139">
        <f t="shared" si="51"/>
        <v>0</v>
      </c>
      <c r="AA1139">
        <f t="shared" si="52"/>
        <v>2</v>
      </c>
      <c r="AB1139">
        <f t="shared" si="53"/>
        <v>1</v>
      </c>
    </row>
    <row r="1140" spans="1:28">
      <c r="A1140" s="314" t="s">
        <v>3983</v>
      </c>
      <c r="B1140" s="314"/>
      <c r="C1140" s="314"/>
      <c r="D1140" s="314" t="s">
        <v>116</v>
      </c>
      <c r="E1140" s="314" t="s">
        <v>117</v>
      </c>
      <c r="F1140" s="314" t="s">
        <v>118</v>
      </c>
      <c r="G1140" s="314" t="s">
        <v>108</v>
      </c>
      <c r="H1140" s="314" t="s">
        <v>119</v>
      </c>
      <c r="I1140" s="314" t="s">
        <v>108</v>
      </c>
      <c r="J1140" s="314" t="s">
        <v>120</v>
      </c>
      <c r="K1140" s="314">
        <v>0</v>
      </c>
      <c r="L1140" s="314">
        <v>0</v>
      </c>
      <c r="M1140" s="315">
        <v>45145.1126388889</v>
      </c>
      <c r="N1140" s="314" t="s">
        <v>3984</v>
      </c>
      <c r="O1140" s="314" t="s">
        <v>122</v>
      </c>
      <c r="P1140" s="314" t="s">
        <v>112</v>
      </c>
      <c r="Q1140" s="314" t="s">
        <v>123</v>
      </c>
      <c r="R1140" s="315">
        <v>45145.1156828704</v>
      </c>
      <c r="S1140" s="314" t="s">
        <v>3984</v>
      </c>
      <c r="T1140" s="314" t="s">
        <v>1498</v>
      </c>
      <c r="U1140" s="314" t="s">
        <v>1498</v>
      </c>
      <c r="V1140" s="314" t="s">
        <v>114</v>
      </c>
      <c r="W1140" s="314"/>
      <c r="X1140" s="314" t="str">
        <f>VLOOKUP(D1140,代理总表!A:D,3,0)</f>
        <v>外部代理总线</v>
      </c>
      <c r="Y1140" t="str">
        <f>VLOOKUP(D:D,代理总表!A:D,4,FALSE)</f>
        <v>外部代理总线zh0808</v>
      </c>
      <c r="Z1140">
        <f t="shared" si="51"/>
        <v>0</v>
      </c>
      <c r="AA1140">
        <f t="shared" si="52"/>
        <v>2</v>
      </c>
      <c r="AB1140">
        <f t="shared" si="53"/>
        <v>1</v>
      </c>
    </row>
    <row r="1141" spans="1:28">
      <c r="A1141" s="314" t="s">
        <v>3985</v>
      </c>
      <c r="B1141" s="314"/>
      <c r="C1141" s="314">
        <v>889299463</v>
      </c>
      <c r="D1141" s="314" t="s">
        <v>116</v>
      </c>
      <c r="E1141" s="314" t="s">
        <v>117</v>
      </c>
      <c r="F1141" s="314" t="s">
        <v>118</v>
      </c>
      <c r="G1141" s="314" t="s">
        <v>108</v>
      </c>
      <c r="H1141" s="314" t="s">
        <v>119</v>
      </c>
      <c r="I1141" s="314" t="s">
        <v>108</v>
      </c>
      <c r="J1141" s="314" t="s">
        <v>120</v>
      </c>
      <c r="K1141" s="314">
        <v>0</v>
      </c>
      <c r="L1141" s="314">
        <v>0</v>
      </c>
      <c r="M1141" s="315">
        <v>45145.1114699074</v>
      </c>
      <c r="N1141" s="314" t="s">
        <v>3986</v>
      </c>
      <c r="O1141" s="314" t="s">
        <v>122</v>
      </c>
      <c r="P1141" s="314" t="s">
        <v>112</v>
      </c>
      <c r="Q1141" s="314" t="s">
        <v>123</v>
      </c>
      <c r="R1141" s="315">
        <v>45145.114212963</v>
      </c>
      <c r="S1141" s="314" t="s">
        <v>3986</v>
      </c>
      <c r="T1141" s="314" t="s">
        <v>124</v>
      </c>
      <c r="U1141" s="314" t="s">
        <v>124</v>
      </c>
      <c r="V1141" s="314" t="s">
        <v>114</v>
      </c>
      <c r="W1141" s="314"/>
      <c r="X1141" s="314" t="str">
        <f>VLOOKUP(D1141,代理总表!A:D,3,0)</f>
        <v>外部代理总线</v>
      </c>
      <c r="Y1141" t="str">
        <f>VLOOKUP(D:D,代理总表!A:D,4,FALSE)</f>
        <v>外部代理总线zh0808</v>
      </c>
      <c r="Z1141">
        <f t="shared" si="51"/>
        <v>0</v>
      </c>
      <c r="AA1141">
        <f t="shared" si="52"/>
        <v>2</v>
      </c>
      <c r="AB1141">
        <f t="shared" si="53"/>
        <v>1</v>
      </c>
    </row>
    <row r="1142" spans="1:28">
      <c r="A1142" s="314" t="s">
        <v>3987</v>
      </c>
      <c r="B1142" s="314"/>
      <c r="C1142" s="314"/>
      <c r="D1142" s="314" t="s">
        <v>3988</v>
      </c>
      <c r="E1142" s="314" t="s">
        <v>104</v>
      </c>
      <c r="F1142" s="314" t="s">
        <v>118</v>
      </c>
      <c r="G1142" s="314" t="s">
        <v>108</v>
      </c>
      <c r="H1142" s="314" t="s">
        <v>119</v>
      </c>
      <c r="I1142" s="314" t="s">
        <v>108</v>
      </c>
      <c r="J1142" s="314" t="s">
        <v>109</v>
      </c>
      <c r="K1142" s="314">
        <v>0</v>
      </c>
      <c r="L1142" s="314">
        <v>0</v>
      </c>
      <c r="M1142" s="315">
        <v>45145.1107986111</v>
      </c>
      <c r="N1142" s="314" t="s">
        <v>3989</v>
      </c>
      <c r="O1142" s="314" t="s">
        <v>3990</v>
      </c>
      <c r="P1142" s="314" t="s">
        <v>112</v>
      </c>
      <c r="Q1142" s="314" t="s">
        <v>123</v>
      </c>
      <c r="R1142" s="315">
        <v>45145.110787037</v>
      </c>
      <c r="S1142" s="314" t="s">
        <v>3989</v>
      </c>
      <c r="T1142" s="314" t="s">
        <v>256</v>
      </c>
      <c r="U1142" s="314" t="s">
        <v>256</v>
      </c>
      <c r="V1142" s="314" t="s">
        <v>114</v>
      </c>
      <c r="W1142" s="314"/>
      <c r="X1142" s="314" t="str">
        <f>VLOOKUP(D1142,代理总表!A:D,3,0)</f>
        <v>雨燕直播</v>
      </c>
      <c r="Y1142" t="str">
        <f>VLOOKUP(D:D,代理总表!A:D,4,FALSE)</f>
        <v>雨燕直播zzzb888</v>
      </c>
      <c r="Z1142">
        <f t="shared" si="51"/>
        <v>0</v>
      </c>
      <c r="AA1142">
        <f t="shared" si="52"/>
        <v>2</v>
      </c>
      <c r="AB1142">
        <f t="shared" si="53"/>
        <v>1</v>
      </c>
    </row>
    <row r="1143" spans="1:28">
      <c r="A1143" s="314" t="s">
        <v>3991</v>
      </c>
      <c r="B1143" s="314"/>
      <c r="C1143" s="314">
        <v>18325738394</v>
      </c>
      <c r="D1143" s="314" t="s">
        <v>375</v>
      </c>
      <c r="E1143" s="314" t="s">
        <v>104</v>
      </c>
      <c r="F1143" s="314" t="s">
        <v>118</v>
      </c>
      <c r="G1143" s="314" t="s">
        <v>108</v>
      </c>
      <c r="H1143" s="314" t="s">
        <v>119</v>
      </c>
      <c r="I1143" s="314" t="s">
        <v>108</v>
      </c>
      <c r="J1143" s="314" t="s">
        <v>109</v>
      </c>
      <c r="K1143" s="314">
        <v>0</v>
      </c>
      <c r="L1143" s="314">
        <v>0</v>
      </c>
      <c r="M1143" s="315">
        <v>45145.1106134259</v>
      </c>
      <c r="N1143" s="314" t="s">
        <v>3992</v>
      </c>
      <c r="O1143" s="314" t="s">
        <v>377</v>
      </c>
      <c r="P1143" s="314" t="s">
        <v>112</v>
      </c>
      <c r="Q1143" s="314" t="s">
        <v>123</v>
      </c>
      <c r="R1143" s="315">
        <v>45145.1212962963</v>
      </c>
      <c r="S1143" s="314" t="s">
        <v>3993</v>
      </c>
      <c r="T1143" s="314" t="s">
        <v>718</v>
      </c>
      <c r="U1143" s="314" t="s">
        <v>718</v>
      </c>
      <c r="V1143" s="314" t="s">
        <v>114</v>
      </c>
      <c r="W1143" s="314"/>
      <c r="X1143" s="314" t="e">
        <f>VLOOKUP(D1143,代理总表!A:D,3,0)</f>
        <v>#N/A</v>
      </c>
      <c r="Y1143" t="e">
        <f>VLOOKUP(D:D,代理总表!A:D,4,FALSE)</f>
        <v>#N/A</v>
      </c>
      <c r="Z1143">
        <f t="shared" si="51"/>
        <v>0</v>
      </c>
      <c r="AA1143">
        <f t="shared" si="52"/>
        <v>2</v>
      </c>
      <c r="AB1143">
        <f t="shared" si="53"/>
        <v>1</v>
      </c>
    </row>
    <row r="1144" spans="1:28">
      <c r="A1144" s="314" t="s">
        <v>3994</v>
      </c>
      <c r="B1144" s="314" t="s">
        <v>3995</v>
      </c>
      <c r="C1144" s="314">
        <v>15652458888</v>
      </c>
      <c r="D1144" s="314" t="s">
        <v>294</v>
      </c>
      <c r="E1144" s="314" t="s">
        <v>104</v>
      </c>
      <c r="F1144" s="314" t="s">
        <v>149</v>
      </c>
      <c r="G1144" s="314" t="s">
        <v>108</v>
      </c>
      <c r="H1144" s="314" t="s">
        <v>119</v>
      </c>
      <c r="I1144" s="314" t="s">
        <v>108</v>
      </c>
      <c r="J1144" s="314" t="s">
        <v>109</v>
      </c>
      <c r="K1144" s="314">
        <v>0</v>
      </c>
      <c r="L1144" s="314">
        <v>0</v>
      </c>
      <c r="M1144" s="315">
        <v>45145.1093287037</v>
      </c>
      <c r="N1144" s="314" t="s">
        <v>3996</v>
      </c>
      <c r="O1144" s="314" t="s">
        <v>1951</v>
      </c>
      <c r="P1144" s="314" t="s">
        <v>112</v>
      </c>
      <c r="Q1144" s="314" t="s">
        <v>123</v>
      </c>
      <c r="R1144" s="315">
        <v>45145.6172800926</v>
      </c>
      <c r="S1144" s="314" t="s">
        <v>3997</v>
      </c>
      <c r="T1144" s="314" t="s">
        <v>3998</v>
      </c>
      <c r="U1144" s="314" t="s">
        <v>3998</v>
      </c>
      <c r="V1144" s="314" t="s">
        <v>114</v>
      </c>
      <c r="W1144" s="314"/>
      <c r="X1144" s="314" t="str">
        <f>VLOOKUP(D1144,代理总表!A:D,3,0)</f>
        <v>DK</v>
      </c>
      <c r="Y1144" t="str">
        <f>VLOOKUP(D:D,代理总表!A:D,4,FALSE)</f>
        <v>SEO</v>
      </c>
      <c r="Z1144">
        <f t="shared" si="51"/>
        <v>0</v>
      </c>
      <c r="AA1144">
        <f t="shared" si="52"/>
        <v>2</v>
      </c>
      <c r="AB1144">
        <f t="shared" si="53"/>
        <v>1</v>
      </c>
    </row>
    <row r="1145" spans="1:28">
      <c r="A1145" s="314" t="s">
        <v>3999</v>
      </c>
      <c r="B1145" s="314" t="s">
        <v>4000</v>
      </c>
      <c r="C1145" s="314">
        <v>18085415726</v>
      </c>
      <c r="D1145" s="314" t="s">
        <v>2108</v>
      </c>
      <c r="E1145" s="314" t="s">
        <v>104</v>
      </c>
      <c r="F1145" s="314" t="s">
        <v>144</v>
      </c>
      <c r="G1145" s="314" t="s">
        <v>106</v>
      </c>
      <c r="H1145" s="314" t="s">
        <v>107</v>
      </c>
      <c r="I1145" s="314" t="s">
        <v>108</v>
      </c>
      <c r="J1145" s="314" t="s">
        <v>109</v>
      </c>
      <c r="K1145" s="314">
        <v>200</v>
      </c>
      <c r="L1145" s="314">
        <v>0</v>
      </c>
      <c r="M1145" s="315">
        <v>45145.1091319444</v>
      </c>
      <c r="N1145" s="314" t="s">
        <v>4001</v>
      </c>
      <c r="O1145" s="314" t="s">
        <v>3915</v>
      </c>
      <c r="P1145" s="314" t="s">
        <v>112</v>
      </c>
      <c r="Q1145" s="315">
        <v>45145.1142824074</v>
      </c>
      <c r="R1145" s="315">
        <v>45146.0126388889</v>
      </c>
      <c r="S1145" s="314" t="s">
        <v>4002</v>
      </c>
      <c r="T1145" s="314" t="s">
        <v>4003</v>
      </c>
      <c r="U1145" s="314" t="s">
        <v>2776</v>
      </c>
      <c r="V1145" s="314" t="s">
        <v>114</v>
      </c>
      <c r="W1145" s="314"/>
      <c r="X1145" s="314" t="str">
        <f>VLOOKUP(D1145,代理总表!A:D,3,0)</f>
        <v>雨燕直播</v>
      </c>
      <c r="Y1145" t="str">
        <f>VLOOKUP(D:D,代理总表!A:D,4,FALSE)</f>
        <v>雨燕直播zzzb888</v>
      </c>
      <c r="Z1145">
        <f t="shared" si="51"/>
        <v>1</v>
      </c>
      <c r="AA1145">
        <f t="shared" si="52"/>
        <v>2</v>
      </c>
      <c r="AB1145">
        <f t="shared" si="53"/>
        <v>1</v>
      </c>
    </row>
    <row r="1146" spans="1:28">
      <c r="A1146" s="314" t="s">
        <v>4004</v>
      </c>
      <c r="B1146" s="314" t="s">
        <v>4005</v>
      </c>
      <c r="C1146" s="314">
        <v>18576003449</v>
      </c>
      <c r="D1146" s="314" t="s">
        <v>2880</v>
      </c>
      <c r="E1146" s="314" t="s">
        <v>104</v>
      </c>
      <c r="F1146" s="314" t="s">
        <v>105</v>
      </c>
      <c r="G1146" s="314" t="s">
        <v>106</v>
      </c>
      <c r="H1146" s="314" t="s">
        <v>107</v>
      </c>
      <c r="I1146" s="314" t="s">
        <v>108</v>
      </c>
      <c r="J1146" s="314" t="s">
        <v>109</v>
      </c>
      <c r="K1146" s="314">
        <v>355.08</v>
      </c>
      <c r="L1146" s="314">
        <v>0.88</v>
      </c>
      <c r="M1146" s="315">
        <v>45145.1089583333</v>
      </c>
      <c r="N1146" s="314" t="s">
        <v>4006</v>
      </c>
      <c r="O1146" s="314" t="s">
        <v>1527</v>
      </c>
      <c r="P1146" s="314" t="s">
        <v>112</v>
      </c>
      <c r="Q1146" s="315">
        <v>45145.5713310185</v>
      </c>
      <c r="R1146" s="315">
        <v>45146.3303240741</v>
      </c>
      <c r="S1146" s="314" t="s">
        <v>4007</v>
      </c>
      <c r="T1146" s="314" t="s">
        <v>495</v>
      </c>
      <c r="U1146" s="314" t="s">
        <v>495</v>
      </c>
      <c r="V1146" s="314" t="s">
        <v>114</v>
      </c>
      <c r="W1146" s="314"/>
      <c r="X1146" s="314" t="str">
        <f>VLOOKUP(D1146,代理总表!A:D,3,0)</f>
        <v>GT-B直播</v>
      </c>
      <c r="Y1146" t="str">
        <f>VLOOKUP(D:D,代理总表!A:D,4,FALSE)</f>
        <v>B直播gt6688</v>
      </c>
      <c r="Z1146">
        <f t="shared" si="51"/>
        <v>1</v>
      </c>
      <c r="AA1146">
        <f t="shared" si="52"/>
        <v>2</v>
      </c>
      <c r="AB1146">
        <f t="shared" si="53"/>
        <v>1</v>
      </c>
    </row>
    <row r="1147" spans="1:28">
      <c r="A1147" s="314" t="s">
        <v>4008</v>
      </c>
      <c r="B1147" s="314" t="s">
        <v>4009</v>
      </c>
      <c r="C1147" s="314">
        <v>18238755101</v>
      </c>
      <c r="D1147" s="314" t="s">
        <v>594</v>
      </c>
      <c r="E1147" s="314" t="s">
        <v>104</v>
      </c>
      <c r="F1147" s="314" t="s">
        <v>1214</v>
      </c>
      <c r="G1147" s="314" t="s">
        <v>106</v>
      </c>
      <c r="H1147" s="314" t="s">
        <v>107</v>
      </c>
      <c r="I1147" s="314" t="s">
        <v>108</v>
      </c>
      <c r="J1147" s="314" t="s">
        <v>109</v>
      </c>
      <c r="K1147" s="314">
        <v>112.47</v>
      </c>
      <c r="L1147" s="314">
        <v>1.5</v>
      </c>
      <c r="M1147" s="315">
        <v>45145.1086689815</v>
      </c>
      <c r="N1147" s="314" t="s">
        <v>4010</v>
      </c>
      <c r="O1147" s="314" t="s">
        <v>988</v>
      </c>
      <c r="P1147" s="314" t="s">
        <v>161</v>
      </c>
      <c r="Q1147" s="315">
        <v>45145.1118865741</v>
      </c>
      <c r="R1147" s="315">
        <v>45146.1054282407</v>
      </c>
      <c r="S1147" s="314" t="s">
        <v>4011</v>
      </c>
      <c r="T1147" s="314" t="s">
        <v>2592</v>
      </c>
      <c r="U1147" s="314" t="s">
        <v>4012</v>
      </c>
      <c r="V1147" s="314" t="s">
        <v>114</v>
      </c>
      <c r="W1147" s="314"/>
      <c r="X1147" s="314" t="str">
        <f>VLOOKUP(D1147,代理总表!A:D,3,0)</f>
        <v>zed</v>
      </c>
      <c r="Y1147" t="str">
        <f>VLOOKUP(D:D,代理总表!A:D,4,FALSE)</f>
        <v>SEO</v>
      </c>
      <c r="Z1147">
        <f t="shared" si="51"/>
        <v>1</v>
      </c>
      <c r="AA1147">
        <f t="shared" si="52"/>
        <v>2</v>
      </c>
      <c r="AB1147">
        <f t="shared" si="53"/>
        <v>1</v>
      </c>
    </row>
    <row r="1148" spans="1:28">
      <c r="A1148" s="314" t="s">
        <v>4013</v>
      </c>
      <c r="B1148" s="314" t="s">
        <v>4014</v>
      </c>
      <c r="C1148" s="314">
        <v>15207279912</v>
      </c>
      <c r="D1148" s="314" t="s">
        <v>235</v>
      </c>
      <c r="E1148" s="314" t="s">
        <v>104</v>
      </c>
      <c r="F1148" s="314" t="s">
        <v>1214</v>
      </c>
      <c r="G1148" s="314" t="s">
        <v>106</v>
      </c>
      <c r="H1148" s="314" t="s">
        <v>107</v>
      </c>
      <c r="I1148" s="314" t="s">
        <v>108</v>
      </c>
      <c r="J1148" s="314" t="s">
        <v>109</v>
      </c>
      <c r="K1148" s="314">
        <v>100.15</v>
      </c>
      <c r="L1148" s="314">
        <v>100</v>
      </c>
      <c r="M1148" s="315">
        <v>45145.1066435185</v>
      </c>
      <c r="N1148" s="314" t="s">
        <v>4015</v>
      </c>
      <c r="O1148" s="314" t="s">
        <v>237</v>
      </c>
      <c r="P1148" s="314" t="s">
        <v>112</v>
      </c>
      <c r="Q1148" s="315">
        <v>45145.1202430556</v>
      </c>
      <c r="R1148" s="315">
        <v>45145.2854282407</v>
      </c>
      <c r="S1148" s="314" t="s">
        <v>4015</v>
      </c>
      <c r="T1148" s="314" t="s">
        <v>307</v>
      </c>
      <c r="U1148" s="314" t="s">
        <v>307</v>
      </c>
      <c r="V1148" s="314" t="s">
        <v>114</v>
      </c>
      <c r="W1148" s="314"/>
      <c r="X1148" s="314" t="str">
        <f>VLOOKUP(D1148,代理总表!A:D,3,0)</f>
        <v>aber</v>
      </c>
      <c r="Y1148" t="str">
        <f>VLOOKUP(D:D,代理总表!A:D,4,FALSE)</f>
        <v>SEO</v>
      </c>
      <c r="Z1148">
        <f t="shared" si="51"/>
        <v>1</v>
      </c>
      <c r="AA1148">
        <f t="shared" si="52"/>
        <v>2</v>
      </c>
      <c r="AB1148">
        <f t="shared" si="53"/>
        <v>1</v>
      </c>
    </row>
    <row r="1149" spans="1:28">
      <c r="A1149" s="314" t="s">
        <v>4016</v>
      </c>
      <c r="B1149" s="314"/>
      <c r="C1149" s="314">
        <v>975458902</v>
      </c>
      <c r="D1149" s="314" t="s">
        <v>116</v>
      </c>
      <c r="E1149" s="314" t="s">
        <v>117</v>
      </c>
      <c r="F1149" s="314" t="s">
        <v>118</v>
      </c>
      <c r="G1149" s="314" t="s">
        <v>108</v>
      </c>
      <c r="H1149" s="314" t="s">
        <v>119</v>
      </c>
      <c r="I1149" s="314" t="s">
        <v>108</v>
      </c>
      <c r="J1149" s="314" t="s">
        <v>120</v>
      </c>
      <c r="K1149" s="314">
        <v>0</v>
      </c>
      <c r="L1149" s="314">
        <v>0</v>
      </c>
      <c r="M1149" s="315">
        <v>45145.1056481482</v>
      </c>
      <c r="N1149" s="314" t="s">
        <v>4017</v>
      </c>
      <c r="O1149" s="314" t="s">
        <v>122</v>
      </c>
      <c r="P1149" s="314" t="s">
        <v>112</v>
      </c>
      <c r="Q1149" s="314" t="s">
        <v>123</v>
      </c>
      <c r="R1149" s="315">
        <v>45145.1112268519</v>
      </c>
      <c r="S1149" s="314" t="s">
        <v>4017</v>
      </c>
      <c r="T1149" s="314" t="s">
        <v>975</v>
      </c>
      <c r="U1149" s="314" t="s">
        <v>975</v>
      </c>
      <c r="V1149" s="314" t="s">
        <v>114</v>
      </c>
      <c r="W1149" s="314"/>
      <c r="X1149" s="314" t="str">
        <f>VLOOKUP(D1149,代理总表!A:D,3,0)</f>
        <v>外部代理总线</v>
      </c>
      <c r="Y1149" t="str">
        <f>VLOOKUP(D:D,代理总表!A:D,4,FALSE)</f>
        <v>外部代理总线zh0808</v>
      </c>
      <c r="Z1149">
        <f t="shared" si="51"/>
        <v>0</v>
      </c>
      <c r="AA1149">
        <f t="shared" si="52"/>
        <v>2</v>
      </c>
      <c r="AB1149">
        <f t="shared" si="53"/>
        <v>1</v>
      </c>
    </row>
    <row r="1150" spans="1:28">
      <c r="A1150" s="314" t="s">
        <v>4018</v>
      </c>
      <c r="B1150" s="314" t="s">
        <v>4019</v>
      </c>
      <c r="C1150" s="314">
        <v>961912301</v>
      </c>
      <c r="D1150" s="314" t="s">
        <v>116</v>
      </c>
      <c r="E1150" s="314" t="s">
        <v>117</v>
      </c>
      <c r="F1150" s="314" t="s">
        <v>105</v>
      </c>
      <c r="G1150" s="314" t="s">
        <v>106</v>
      </c>
      <c r="H1150" s="314" t="s">
        <v>107</v>
      </c>
      <c r="I1150" s="314" t="s">
        <v>108</v>
      </c>
      <c r="J1150" s="314" t="s">
        <v>120</v>
      </c>
      <c r="K1150" s="314">
        <v>500000</v>
      </c>
      <c r="L1150" s="314">
        <v>500000</v>
      </c>
      <c r="M1150" s="315">
        <v>45145.1050462963</v>
      </c>
      <c r="N1150" s="314" t="s">
        <v>4020</v>
      </c>
      <c r="O1150" s="314" t="s">
        <v>122</v>
      </c>
      <c r="P1150" s="314" t="s">
        <v>208</v>
      </c>
      <c r="Q1150" s="315">
        <v>45145.1149421296</v>
      </c>
      <c r="R1150" s="315">
        <v>45146.2911689815</v>
      </c>
      <c r="S1150" s="314" t="s">
        <v>4020</v>
      </c>
      <c r="T1150" s="314" t="s">
        <v>128</v>
      </c>
      <c r="U1150" s="314" t="s">
        <v>128</v>
      </c>
      <c r="V1150" s="314" t="s">
        <v>114</v>
      </c>
      <c r="W1150" s="314"/>
      <c r="X1150" s="314" t="str">
        <f>VLOOKUP(D1150,代理总表!A:D,3,0)</f>
        <v>外部代理总线</v>
      </c>
      <c r="Y1150" t="str">
        <f>VLOOKUP(D:D,代理总表!A:D,4,FALSE)</f>
        <v>外部代理总线zh0808</v>
      </c>
      <c r="Z1150">
        <f t="shared" si="51"/>
        <v>1</v>
      </c>
      <c r="AA1150">
        <f t="shared" si="52"/>
        <v>2</v>
      </c>
      <c r="AB1150">
        <f t="shared" si="53"/>
        <v>1</v>
      </c>
    </row>
    <row r="1151" spans="1:28">
      <c r="A1151" s="314" t="s">
        <v>4021</v>
      </c>
      <c r="B1151" s="314" t="s">
        <v>4022</v>
      </c>
      <c r="C1151" s="314">
        <v>19854456835</v>
      </c>
      <c r="D1151" s="314" t="s">
        <v>2208</v>
      </c>
      <c r="E1151" s="314" t="s">
        <v>104</v>
      </c>
      <c r="F1151" s="314" t="s">
        <v>118</v>
      </c>
      <c r="G1151" s="314" t="s">
        <v>108</v>
      </c>
      <c r="H1151" s="314" t="s">
        <v>119</v>
      </c>
      <c r="I1151" s="314" t="s">
        <v>108</v>
      </c>
      <c r="J1151" s="314" t="s">
        <v>109</v>
      </c>
      <c r="K1151" s="314">
        <v>0</v>
      </c>
      <c r="L1151" s="314">
        <v>0</v>
      </c>
      <c r="M1151" s="315">
        <v>45145.1045486111</v>
      </c>
      <c r="N1151" s="314" t="s">
        <v>4023</v>
      </c>
      <c r="O1151" s="314" t="s">
        <v>3054</v>
      </c>
      <c r="P1151" s="314" t="s">
        <v>112</v>
      </c>
      <c r="Q1151" s="314" t="s">
        <v>123</v>
      </c>
      <c r="R1151" s="315">
        <v>45145.8182407407</v>
      </c>
      <c r="S1151" s="314" t="s">
        <v>4024</v>
      </c>
      <c r="T1151" s="314" t="s">
        <v>4025</v>
      </c>
      <c r="U1151" s="314" t="s">
        <v>4025</v>
      </c>
      <c r="V1151" s="314" t="s">
        <v>114</v>
      </c>
      <c r="W1151" s="314"/>
      <c r="X1151" s="314" t="str">
        <f>VLOOKUP(D1151,代理总表!A:D,3,0)</f>
        <v>飞哥雨燕直播</v>
      </c>
      <c r="Y1151" t="str">
        <f>VLOOKUP(D:D,代理总表!A:D,4,FALSE)</f>
        <v>飞哥雨燕直播ffmk88</v>
      </c>
      <c r="Z1151">
        <f t="shared" si="51"/>
        <v>0</v>
      </c>
      <c r="AA1151">
        <f t="shared" si="52"/>
        <v>2</v>
      </c>
      <c r="AB1151">
        <f t="shared" si="53"/>
        <v>1</v>
      </c>
    </row>
    <row r="1152" spans="1:28">
      <c r="A1152" s="314" t="s">
        <v>4026</v>
      </c>
      <c r="B1152" s="314"/>
      <c r="C1152" s="314"/>
      <c r="D1152" s="314" t="s">
        <v>116</v>
      </c>
      <c r="E1152" s="314" t="s">
        <v>117</v>
      </c>
      <c r="F1152" s="314" t="s">
        <v>118</v>
      </c>
      <c r="G1152" s="314" t="s">
        <v>108</v>
      </c>
      <c r="H1152" s="314" t="s">
        <v>119</v>
      </c>
      <c r="I1152" s="314" t="s">
        <v>108</v>
      </c>
      <c r="J1152" s="314" t="s">
        <v>120</v>
      </c>
      <c r="K1152" s="314">
        <v>0</v>
      </c>
      <c r="L1152" s="314">
        <v>0</v>
      </c>
      <c r="M1152" s="315">
        <v>45145.1029282407</v>
      </c>
      <c r="N1152" s="314" t="s">
        <v>4027</v>
      </c>
      <c r="O1152" s="314" t="s">
        <v>122</v>
      </c>
      <c r="P1152" s="314" t="s">
        <v>112</v>
      </c>
      <c r="Q1152" s="314" t="s">
        <v>123</v>
      </c>
      <c r="R1152" s="315">
        <v>45145.1029282407</v>
      </c>
      <c r="S1152" s="314" t="s">
        <v>4027</v>
      </c>
      <c r="T1152" s="314" t="s">
        <v>907</v>
      </c>
      <c r="U1152" s="314" t="s">
        <v>907</v>
      </c>
      <c r="V1152" s="314" t="s">
        <v>114</v>
      </c>
      <c r="W1152" s="314"/>
      <c r="X1152" s="314" t="str">
        <f>VLOOKUP(D1152,代理总表!A:D,3,0)</f>
        <v>外部代理总线</v>
      </c>
      <c r="Y1152" t="str">
        <f>VLOOKUP(D:D,代理总表!A:D,4,FALSE)</f>
        <v>外部代理总线zh0808</v>
      </c>
      <c r="Z1152">
        <f t="shared" si="51"/>
        <v>0</v>
      </c>
      <c r="AA1152">
        <f t="shared" si="52"/>
        <v>2</v>
      </c>
      <c r="AB1152">
        <f t="shared" si="53"/>
        <v>1</v>
      </c>
    </row>
    <row r="1153" spans="1:28">
      <c r="A1153" s="314" t="s">
        <v>4028</v>
      </c>
      <c r="B1153" s="314" t="s">
        <v>4029</v>
      </c>
      <c r="C1153" s="314">
        <v>908923912</v>
      </c>
      <c r="D1153" s="314" t="s">
        <v>1894</v>
      </c>
      <c r="E1153" s="314" t="s">
        <v>1895</v>
      </c>
      <c r="F1153" s="314" t="s">
        <v>118</v>
      </c>
      <c r="G1153" s="314" t="s">
        <v>108</v>
      </c>
      <c r="H1153" s="314" t="s">
        <v>119</v>
      </c>
      <c r="I1153" s="314" t="s">
        <v>108</v>
      </c>
      <c r="J1153" s="314" t="s">
        <v>1896</v>
      </c>
      <c r="K1153" s="314">
        <v>0</v>
      </c>
      <c r="L1153" s="314">
        <v>0</v>
      </c>
      <c r="M1153" s="315">
        <v>45145.0991203704</v>
      </c>
      <c r="N1153" s="314" t="s">
        <v>4030</v>
      </c>
      <c r="O1153" s="314" t="s">
        <v>1898</v>
      </c>
      <c r="P1153" s="314" t="s">
        <v>112</v>
      </c>
      <c r="Q1153" s="314" t="s">
        <v>123</v>
      </c>
      <c r="R1153" s="315">
        <v>45145.0991087963</v>
      </c>
      <c r="S1153" s="314" t="s">
        <v>4030</v>
      </c>
      <c r="T1153" s="314" t="s">
        <v>1899</v>
      </c>
      <c r="U1153" s="314" t="s">
        <v>1899</v>
      </c>
      <c r="V1153" s="314" t="s">
        <v>114</v>
      </c>
      <c r="W1153" s="314"/>
      <c r="X1153" s="314" t="str">
        <f>VLOOKUP(D1153,代理总表!A:D,3,0)</f>
        <v>鲲鹏admin</v>
      </c>
      <c r="Y1153" t="str">
        <f>VLOOKUP(D:D,代理总表!A:D,4,FALSE)</f>
        <v>鲲鹏adminbtydl0057</v>
      </c>
      <c r="Z1153">
        <f t="shared" si="51"/>
        <v>0</v>
      </c>
      <c r="AA1153">
        <f t="shared" si="52"/>
        <v>2</v>
      </c>
      <c r="AB1153">
        <f t="shared" si="53"/>
        <v>1</v>
      </c>
    </row>
    <row r="1154" spans="1:28">
      <c r="A1154" s="314" t="s">
        <v>4031</v>
      </c>
      <c r="B1154" s="314" t="s">
        <v>4032</v>
      </c>
      <c r="C1154" s="314">
        <v>13428115755</v>
      </c>
      <c r="D1154" s="314" t="s">
        <v>2944</v>
      </c>
      <c r="E1154" s="314" t="s">
        <v>104</v>
      </c>
      <c r="F1154" s="314" t="s">
        <v>118</v>
      </c>
      <c r="G1154" s="314" t="s">
        <v>108</v>
      </c>
      <c r="H1154" s="314" t="s">
        <v>119</v>
      </c>
      <c r="I1154" s="314" t="s">
        <v>108</v>
      </c>
      <c r="J1154" s="314" t="s">
        <v>109</v>
      </c>
      <c r="K1154" s="314">
        <v>0</v>
      </c>
      <c r="L1154" s="314">
        <v>0</v>
      </c>
      <c r="M1154" s="315">
        <v>45145.0988078704</v>
      </c>
      <c r="N1154" s="314" t="s">
        <v>4033</v>
      </c>
      <c r="O1154" s="314" t="s">
        <v>4034</v>
      </c>
      <c r="P1154" s="314" t="s">
        <v>339</v>
      </c>
      <c r="Q1154" s="314" t="s">
        <v>123</v>
      </c>
      <c r="R1154" s="315">
        <v>45145.7020486111</v>
      </c>
      <c r="S1154" s="314" t="s">
        <v>4033</v>
      </c>
      <c r="T1154" s="314" t="s">
        <v>4035</v>
      </c>
      <c r="U1154" s="314" t="s">
        <v>4035</v>
      </c>
      <c r="V1154" s="314" t="s">
        <v>114</v>
      </c>
      <c r="W1154" s="314"/>
      <c r="X1154" s="314" t="str">
        <f>VLOOKUP(D1154,代理总表!A:D,3,0)</f>
        <v>外部代理总线</v>
      </c>
      <c r="Y1154" t="str">
        <f>VLOOKUP(D:D,代理总表!A:D,4,FALSE)</f>
        <v>外部代理总线btydl0056</v>
      </c>
      <c r="Z1154">
        <f t="shared" si="51"/>
        <v>0</v>
      </c>
      <c r="AA1154">
        <f t="shared" si="52"/>
        <v>2</v>
      </c>
      <c r="AB1154">
        <f t="shared" si="53"/>
        <v>1</v>
      </c>
    </row>
    <row r="1155" spans="1:28">
      <c r="A1155" s="314" t="s">
        <v>4036</v>
      </c>
      <c r="B1155" s="314" t="s">
        <v>4037</v>
      </c>
      <c r="C1155" s="314">
        <v>15881972661</v>
      </c>
      <c r="D1155" s="314" t="s">
        <v>294</v>
      </c>
      <c r="E1155" s="314" t="s">
        <v>104</v>
      </c>
      <c r="F1155" s="314" t="s">
        <v>181</v>
      </c>
      <c r="G1155" s="314" t="s">
        <v>106</v>
      </c>
      <c r="H1155" s="314" t="s">
        <v>107</v>
      </c>
      <c r="I1155" s="314" t="s">
        <v>108</v>
      </c>
      <c r="J1155" s="314" t="s">
        <v>109</v>
      </c>
      <c r="K1155" s="314">
        <v>0</v>
      </c>
      <c r="L1155" s="314">
        <v>200</v>
      </c>
      <c r="M1155" s="315">
        <v>45145.0977314815</v>
      </c>
      <c r="N1155" s="314" t="s">
        <v>4038</v>
      </c>
      <c r="O1155" s="314" t="s">
        <v>1951</v>
      </c>
      <c r="P1155" s="314" t="s">
        <v>112</v>
      </c>
      <c r="Q1155" s="315">
        <v>45145.1003935185</v>
      </c>
      <c r="R1155" s="315">
        <v>45146.0294675926</v>
      </c>
      <c r="S1155" s="314" t="s">
        <v>4039</v>
      </c>
      <c r="T1155" s="314" t="s">
        <v>599</v>
      </c>
      <c r="U1155" s="314" t="s">
        <v>4040</v>
      </c>
      <c r="V1155" s="314" t="s">
        <v>114</v>
      </c>
      <c r="W1155" s="314"/>
      <c r="X1155" s="314" t="str">
        <f>VLOOKUP(D1155,代理总表!A:D,3,0)</f>
        <v>DK</v>
      </c>
      <c r="Y1155" t="str">
        <f>VLOOKUP(D:D,代理总表!A:D,4,FALSE)</f>
        <v>SEO</v>
      </c>
      <c r="Z1155">
        <f t="shared" ref="Z1155:Z1218" si="54">IF(RIGHT(H1155,1)&gt;"0",1,0)</f>
        <v>1</v>
      </c>
      <c r="AA1155">
        <f t="shared" ref="AA1155:AA1218" si="55">HOUR(M1155)</f>
        <v>2</v>
      </c>
      <c r="AB1155">
        <f t="shared" ref="AB1155:AB1218" si="56">IF(AE1155=AF1155,1,0)</f>
        <v>1</v>
      </c>
    </row>
    <row r="1156" spans="1:28">
      <c r="A1156" s="314" t="s">
        <v>4041</v>
      </c>
      <c r="B1156" s="314"/>
      <c r="C1156" s="314"/>
      <c r="D1156" s="314" t="s">
        <v>137</v>
      </c>
      <c r="E1156" s="314" t="s">
        <v>117</v>
      </c>
      <c r="F1156" s="314" t="s">
        <v>118</v>
      </c>
      <c r="G1156" s="314" t="s">
        <v>108</v>
      </c>
      <c r="H1156" s="314" t="s">
        <v>119</v>
      </c>
      <c r="I1156" s="314" t="s">
        <v>108</v>
      </c>
      <c r="J1156" s="314" t="s">
        <v>120</v>
      </c>
      <c r="K1156" s="314">
        <v>0</v>
      </c>
      <c r="L1156" s="314">
        <v>0</v>
      </c>
      <c r="M1156" s="315">
        <v>45145.0967013889</v>
      </c>
      <c r="N1156" s="314" t="s">
        <v>4042</v>
      </c>
      <c r="O1156" s="314" t="s">
        <v>139</v>
      </c>
      <c r="P1156" s="314" t="s">
        <v>208</v>
      </c>
      <c r="Q1156" s="314" t="s">
        <v>123</v>
      </c>
      <c r="R1156" s="315">
        <v>45145.4572106482</v>
      </c>
      <c r="S1156" s="314" t="s">
        <v>4043</v>
      </c>
      <c r="T1156" s="314" t="s">
        <v>131</v>
      </c>
      <c r="U1156" s="314" t="s">
        <v>124</v>
      </c>
      <c r="V1156" s="314" t="s">
        <v>114</v>
      </c>
      <c r="W1156" s="314"/>
      <c r="X1156" s="314" t="str">
        <f>VLOOKUP(D1156,代理总表!A:D,3,0)</f>
        <v>雨燕直播-越</v>
      </c>
      <c r="Y1156" t="str">
        <f>VLOOKUP(D:D,代理总表!A:D,4,FALSE)</f>
        <v>雨燕直播-越ffvn66</v>
      </c>
      <c r="Z1156">
        <f t="shared" si="54"/>
        <v>0</v>
      </c>
      <c r="AA1156">
        <f t="shared" si="55"/>
        <v>2</v>
      </c>
      <c r="AB1156">
        <f t="shared" si="56"/>
        <v>1</v>
      </c>
    </row>
    <row r="1157" spans="1:28">
      <c r="A1157" s="314" t="s">
        <v>4044</v>
      </c>
      <c r="B1157" s="314" t="s">
        <v>4045</v>
      </c>
      <c r="C1157" s="314">
        <v>15078303545</v>
      </c>
      <c r="D1157" s="314" t="s">
        <v>148</v>
      </c>
      <c r="E1157" s="314" t="s">
        <v>104</v>
      </c>
      <c r="F1157" s="314" t="s">
        <v>181</v>
      </c>
      <c r="G1157" s="314" t="s">
        <v>106</v>
      </c>
      <c r="H1157" s="314" t="s">
        <v>107</v>
      </c>
      <c r="I1157" s="314" t="s">
        <v>108</v>
      </c>
      <c r="J1157" s="314" t="s">
        <v>109</v>
      </c>
      <c r="K1157" s="314">
        <v>100</v>
      </c>
      <c r="L1157" s="314">
        <v>0</v>
      </c>
      <c r="M1157" s="315">
        <v>45145.0955902778</v>
      </c>
      <c r="N1157" s="314" t="s">
        <v>4046</v>
      </c>
      <c r="O1157" s="314" t="s">
        <v>160</v>
      </c>
      <c r="P1157" s="314" t="s">
        <v>161</v>
      </c>
      <c r="Q1157" s="315">
        <v>45145.1097685185</v>
      </c>
      <c r="R1157" s="315">
        <v>45145.1733564815</v>
      </c>
      <c r="S1157" s="314" t="s">
        <v>4046</v>
      </c>
      <c r="T1157" s="314" t="s">
        <v>4047</v>
      </c>
      <c r="U1157" s="314" t="s">
        <v>4047</v>
      </c>
      <c r="V1157" s="314" t="s">
        <v>114</v>
      </c>
      <c r="W1157" s="314"/>
      <c r="X1157" s="314" t="str">
        <f>VLOOKUP(D1157,代理总表!A:D,3,0)</f>
        <v>martin</v>
      </c>
      <c r="Y1157" t="str">
        <f>VLOOKUP(D:D,代理总表!A:D,4,FALSE)</f>
        <v>SEO</v>
      </c>
      <c r="Z1157">
        <f t="shared" si="54"/>
        <v>1</v>
      </c>
      <c r="AA1157">
        <f t="shared" si="55"/>
        <v>2</v>
      </c>
      <c r="AB1157">
        <f t="shared" si="56"/>
        <v>1</v>
      </c>
    </row>
    <row r="1158" spans="1:28">
      <c r="A1158" s="314" t="s">
        <v>4048</v>
      </c>
      <c r="B1158" s="314"/>
      <c r="C1158" s="314">
        <v>820788227</v>
      </c>
      <c r="D1158" s="314" t="s">
        <v>1894</v>
      </c>
      <c r="E1158" s="314" t="s">
        <v>1895</v>
      </c>
      <c r="F1158" s="314" t="s">
        <v>118</v>
      </c>
      <c r="G1158" s="314" t="s">
        <v>108</v>
      </c>
      <c r="H1158" s="314" t="s">
        <v>119</v>
      </c>
      <c r="I1158" s="314" t="s">
        <v>108</v>
      </c>
      <c r="J1158" s="314" t="s">
        <v>1896</v>
      </c>
      <c r="K1158" s="314">
        <v>0</v>
      </c>
      <c r="L1158" s="314">
        <v>0</v>
      </c>
      <c r="M1158" s="315">
        <v>45145.0921875</v>
      </c>
      <c r="N1158" s="314" t="s">
        <v>4049</v>
      </c>
      <c r="O1158" s="314" t="s">
        <v>1898</v>
      </c>
      <c r="P1158" s="314" t="s">
        <v>112</v>
      </c>
      <c r="Q1158" s="314" t="s">
        <v>123</v>
      </c>
      <c r="R1158" s="315">
        <v>45145.0921875</v>
      </c>
      <c r="S1158" s="314" t="s">
        <v>4049</v>
      </c>
      <c r="T1158" s="314" t="s">
        <v>3822</v>
      </c>
      <c r="U1158" s="314" t="s">
        <v>3822</v>
      </c>
      <c r="V1158" s="314" t="s">
        <v>114</v>
      </c>
      <c r="W1158" s="314"/>
      <c r="X1158" s="314" t="str">
        <f>VLOOKUP(D1158,代理总表!A:D,3,0)</f>
        <v>鲲鹏admin</v>
      </c>
      <c r="Y1158" t="str">
        <f>VLOOKUP(D:D,代理总表!A:D,4,FALSE)</f>
        <v>鲲鹏adminbtydl0057</v>
      </c>
      <c r="Z1158">
        <f t="shared" si="54"/>
        <v>0</v>
      </c>
      <c r="AA1158">
        <f t="shared" si="55"/>
        <v>2</v>
      </c>
      <c r="AB1158">
        <f t="shared" si="56"/>
        <v>1</v>
      </c>
    </row>
    <row r="1159" spans="1:28">
      <c r="A1159" s="314" t="s">
        <v>4050</v>
      </c>
      <c r="B1159" s="314"/>
      <c r="C1159" s="314">
        <v>18815465885</v>
      </c>
      <c r="D1159" s="314" t="s">
        <v>235</v>
      </c>
      <c r="E1159" s="314" t="s">
        <v>104</v>
      </c>
      <c r="F1159" s="314" t="s">
        <v>149</v>
      </c>
      <c r="G1159" s="314" t="s">
        <v>108</v>
      </c>
      <c r="H1159" s="314" t="s">
        <v>119</v>
      </c>
      <c r="I1159" s="314" t="s">
        <v>108</v>
      </c>
      <c r="J1159" s="314" t="s">
        <v>109</v>
      </c>
      <c r="K1159" s="314">
        <v>0</v>
      </c>
      <c r="L1159" s="314">
        <v>0</v>
      </c>
      <c r="M1159" s="315">
        <v>45145.0918865741</v>
      </c>
      <c r="N1159" s="314" t="s">
        <v>4051</v>
      </c>
      <c r="O1159" s="314" t="s">
        <v>237</v>
      </c>
      <c r="P1159" s="314" t="s">
        <v>112</v>
      </c>
      <c r="Q1159" s="314" t="s">
        <v>123</v>
      </c>
      <c r="R1159" s="315">
        <v>45145.091875</v>
      </c>
      <c r="S1159" s="314" t="s">
        <v>4051</v>
      </c>
      <c r="T1159" s="314" t="s">
        <v>1013</v>
      </c>
      <c r="U1159" s="314" t="s">
        <v>1013</v>
      </c>
      <c r="V1159" s="314" t="s">
        <v>114</v>
      </c>
      <c r="W1159" s="314"/>
      <c r="X1159" s="314" t="str">
        <f>VLOOKUP(D1159,代理总表!A:D,3,0)</f>
        <v>aber</v>
      </c>
      <c r="Y1159" t="str">
        <f>VLOOKUP(D:D,代理总表!A:D,4,FALSE)</f>
        <v>SEO</v>
      </c>
      <c r="Z1159">
        <f t="shared" si="54"/>
        <v>0</v>
      </c>
      <c r="AA1159">
        <f t="shared" si="55"/>
        <v>2</v>
      </c>
      <c r="AB1159">
        <f t="shared" si="56"/>
        <v>1</v>
      </c>
    </row>
    <row r="1160" spans="1:28">
      <c r="A1160" s="314" t="s">
        <v>4052</v>
      </c>
      <c r="B1160" s="314" t="s">
        <v>4053</v>
      </c>
      <c r="C1160" s="314">
        <v>935410923</v>
      </c>
      <c r="D1160" s="314" t="s">
        <v>224</v>
      </c>
      <c r="E1160" s="314" t="s">
        <v>117</v>
      </c>
      <c r="F1160" s="314" t="s">
        <v>144</v>
      </c>
      <c r="G1160" s="314" t="s">
        <v>106</v>
      </c>
      <c r="H1160" s="314" t="s">
        <v>107</v>
      </c>
      <c r="I1160" s="314" t="s">
        <v>108</v>
      </c>
      <c r="J1160" s="314" t="s">
        <v>120</v>
      </c>
      <c r="K1160" s="314">
        <v>300000</v>
      </c>
      <c r="L1160" s="314">
        <v>1000000</v>
      </c>
      <c r="M1160" s="315">
        <v>45145.0917708333</v>
      </c>
      <c r="N1160" s="314" t="s">
        <v>4054</v>
      </c>
      <c r="O1160" s="314" t="s">
        <v>226</v>
      </c>
      <c r="P1160" s="314" t="s">
        <v>112</v>
      </c>
      <c r="Q1160" s="315">
        <v>45145.1586342593</v>
      </c>
      <c r="R1160" s="315">
        <v>45145.8199074074</v>
      </c>
      <c r="S1160" s="314" t="s">
        <v>4055</v>
      </c>
      <c r="T1160" s="314" t="s">
        <v>216</v>
      </c>
      <c r="U1160" s="314" t="s">
        <v>1072</v>
      </c>
      <c r="V1160" s="314" t="s">
        <v>114</v>
      </c>
      <c r="W1160" s="314"/>
      <c r="X1160" s="314" t="str">
        <f>VLOOKUP(D1160,代理总表!A:D,3,0)</f>
        <v>雨燕直播-越</v>
      </c>
      <c r="Y1160" t="str">
        <f>VLOOKUP(D:D,代理总表!A:D,4,FALSE)</f>
        <v>雨燕直播-越ffvn66</v>
      </c>
      <c r="Z1160">
        <f t="shared" si="54"/>
        <v>1</v>
      </c>
      <c r="AA1160">
        <f t="shared" si="55"/>
        <v>2</v>
      </c>
      <c r="AB1160">
        <f t="shared" si="56"/>
        <v>1</v>
      </c>
    </row>
    <row r="1161" spans="1:28">
      <c r="A1161" s="314" t="s">
        <v>4056</v>
      </c>
      <c r="B1161" s="314" t="s">
        <v>4057</v>
      </c>
      <c r="C1161" s="314">
        <v>15682315111</v>
      </c>
      <c r="D1161" s="314" t="s">
        <v>294</v>
      </c>
      <c r="E1161" s="314" t="s">
        <v>104</v>
      </c>
      <c r="F1161" s="314" t="s">
        <v>181</v>
      </c>
      <c r="G1161" s="314" t="s">
        <v>106</v>
      </c>
      <c r="H1161" s="314" t="s">
        <v>107</v>
      </c>
      <c r="I1161" s="314" t="s">
        <v>108</v>
      </c>
      <c r="J1161" s="314" t="s">
        <v>109</v>
      </c>
      <c r="K1161" s="314">
        <v>201.77</v>
      </c>
      <c r="L1161" s="314">
        <v>800</v>
      </c>
      <c r="M1161" s="315">
        <v>45145.0914814815</v>
      </c>
      <c r="N1161" s="314" t="s">
        <v>4058</v>
      </c>
      <c r="O1161" s="314" t="s">
        <v>1951</v>
      </c>
      <c r="P1161" s="314" t="s">
        <v>112</v>
      </c>
      <c r="Q1161" s="315">
        <v>45146.0690856481</v>
      </c>
      <c r="R1161" s="315">
        <v>45146.1950810185</v>
      </c>
      <c r="S1161" s="314" t="s">
        <v>4039</v>
      </c>
      <c r="T1161" s="314" t="s">
        <v>4059</v>
      </c>
      <c r="U1161" s="314" t="s">
        <v>4040</v>
      </c>
      <c r="V1161" s="314" t="s">
        <v>114</v>
      </c>
      <c r="W1161" s="314"/>
      <c r="X1161" s="314" t="str">
        <f>VLOOKUP(D1161,代理总表!A:D,3,0)</f>
        <v>DK</v>
      </c>
      <c r="Y1161" t="str">
        <f>VLOOKUP(D:D,代理总表!A:D,4,FALSE)</f>
        <v>SEO</v>
      </c>
      <c r="Z1161">
        <f t="shared" si="54"/>
        <v>1</v>
      </c>
      <c r="AA1161">
        <f t="shared" si="55"/>
        <v>2</v>
      </c>
      <c r="AB1161">
        <f t="shared" si="56"/>
        <v>1</v>
      </c>
    </row>
    <row r="1162" spans="1:28">
      <c r="A1162" s="314" t="s">
        <v>4060</v>
      </c>
      <c r="B1162" s="314" t="s">
        <v>4061</v>
      </c>
      <c r="C1162" s="314">
        <v>15501550512</v>
      </c>
      <c r="D1162" s="314" t="s">
        <v>594</v>
      </c>
      <c r="E1162" s="314" t="s">
        <v>104</v>
      </c>
      <c r="F1162" s="314" t="s">
        <v>181</v>
      </c>
      <c r="G1162" s="314" t="s">
        <v>106</v>
      </c>
      <c r="H1162" s="314" t="s">
        <v>107</v>
      </c>
      <c r="I1162" s="314" t="s">
        <v>108</v>
      </c>
      <c r="J1162" s="314" t="s">
        <v>109</v>
      </c>
      <c r="K1162" s="314">
        <v>100</v>
      </c>
      <c r="L1162" s="314">
        <v>200</v>
      </c>
      <c r="M1162" s="315">
        <v>45145.0906597222</v>
      </c>
      <c r="N1162" s="314" t="s">
        <v>4062</v>
      </c>
      <c r="O1162" s="314" t="s">
        <v>596</v>
      </c>
      <c r="P1162" s="314" t="s">
        <v>112</v>
      </c>
      <c r="Q1162" s="315">
        <v>45145.0942592593</v>
      </c>
      <c r="R1162" s="315">
        <v>45146.0186689815</v>
      </c>
      <c r="S1162" s="314" t="s">
        <v>4062</v>
      </c>
      <c r="T1162" s="314" t="s">
        <v>4063</v>
      </c>
      <c r="U1162" s="314" t="s">
        <v>4063</v>
      </c>
      <c r="V1162" s="314" t="s">
        <v>114</v>
      </c>
      <c r="W1162" s="314"/>
      <c r="X1162" s="314" t="str">
        <f>VLOOKUP(D1162,代理总表!A:D,3,0)</f>
        <v>zed</v>
      </c>
      <c r="Y1162" t="str">
        <f>VLOOKUP(D:D,代理总表!A:D,4,FALSE)</f>
        <v>SEO</v>
      </c>
      <c r="Z1162">
        <f t="shared" si="54"/>
        <v>1</v>
      </c>
      <c r="AA1162">
        <f t="shared" si="55"/>
        <v>2</v>
      </c>
      <c r="AB1162">
        <f t="shared" si="56"/>
        <v>1</v>
      </c>
    </row>
    <row r="1163" spans="1:28">
      <c r="A1163" s="314" t="s">
        <v>4064</v>
      </c>
      <c r="B1163" s="314"/>
      <c r="C1163" s="314"/>
      <c r="D1163" s="314" t="s">
        <v>240</v>
      </c>
      <c r="E1163" s="314" t="s">
        <v>104</v>
      </c>
      <c r="F1163" s="314" t="s">
        <v>149</v>
      </c>
      <c r="G1163" s="314" t="s">
        <v>108</v>
      </c>
      <c r="H1163" s="314" t="s">
        <v>119</v>
      </c>
      <c r="I1163" s="314" t="s">
        <v>108</v>
      </c>
      <c r="J1163" s="314" t="s">
        <v>109</v>
      </c>
      <c r="K1163" s="314">
        <v>0</v>
      </c>
      <c r="L1163" s="314">
        <v>0</v>
      </c>
      <c r="M1163" s="315">
        <v>45145.0902314815</v>
      </c>
      <c r="N1163" s="314" t="s">
        <v>2996</v>
      </c>
      <c r="O1163" s="314" t="s">
        <v>2997</v>
      </c>
      <c r="P1163" s="314" t="s">
        <v>112</v>
      </c>
      <c r="Q1163" s="314" t="s">
        <v>123</v>
      </c>
      <c r="R1163" s="315">
        <v>45145.091099537</v>
      </c>
      <c r="S1163" s="314" t="s">
        <v>2996</v>
      </c>
      <c r="T1163" s="314" t="s">
        <v>1172</v>
      </c>
      <c r="U1163" s="314" t="s">
        <v>1172</v>
      </c>
      <c r="V1163" s="314" t="s">
        <v>114</v>
      </c>
      <c r="W1163" s="314"/>
      <c r="X1163" s="314" t="str">
        <f>VLOOKUP(D1163,代理总表!A:D,3,0)</f>
        <v>SEO邀请</v>
      </c>
      <c r="Y1163" t="str">
        <f>VLOOKUP(D:D,代理总表!A:D,4,FALSE)</f>
        <v>SEO</v>
      </c>
      <c r="Z1163">
        <f t="shared" si="54"/>
        <v>0</v>
      </c>
      <c r="AA1163">
        <f t="shared" si="55"/>
        <v>2</v>
      </c>
      <c r="AB1163">
        <f t="shared" si="56"/>
        <v>1</v>
      </c>
    </row>
    <row r="1164" spans="1:28">
      <c r="A1164" s="314" t="s">
        <v>4065</v>
      </c>
      <c r="B1164" s="314" t="s">
        <v>4066</v>
      </c>
      <c r="C1164" s="314">
        <v>933348302</v>
      </c>
      <c r="D1164" s="314" t="s">
        <v>1894</v>
      </c>
      <c r="E1164" s="314" t="s">
        <v>1895</v>
      </c>
      <c r="F1164" s="314" t="s">
        <v>118</v>
      </c>
      <c r="G1164" s="314" t="s">
        <v>108</v>
      </c>
      <c r="H1164" s="314" t="s">
        <v>119</v>
      </c>
      <c r="I1164" s="314" t="s">
        <v>108</v>
      </c>
      <c r="J1164" s="314" t="s">
        <v>1896</v>
      </c>
      <c r="K1164" s="314">
        <v>0</v>
      </c>
      <c r="L1164" s="314">
        <v>0</v>
      </c>
      <c r="M1164" s="315">
        <v>45145.0898958333</v>
      </c>
      <c r="N1164" s="314" t="s">
        <v>4067</v>
      </c>
      <c r="O1164" s="314" t="s">
        <v>1898</v>
      </c>
      <c r="P1164" s="314" t="s">
        <v>161</v>
      </c>
      <c r="Q1164" s="314" t="s">
        <v>123</v>
      </c>
      <c r="R1164" s="315">
        <v>45145.0898842593</v>
      </c>
      <c r="S1164" s="314" t="s">
        <v>4067</v>
      </c>
      <c r="T1164" s="314" t="s">
        <v>3853</v>
      </c>
      <c r="U1164" s="314" t="s">
        <v>3853</v>
      </c>
      <c r="V1164" s="314" t="s">
        <v>114</v>
      </c>
      <c r="W1164" s="314"/>
      <c r="X1164" s="314" t="str">
        <f>VLOOKUP(D1164,代理总表!A:D,3,0)</f>
        <v>鲲鹏admin</v>
      </c>
      <c r="Y1164" t="str">
        <f>VLOOKUP(D:D,代理总表!A:D,4,FALSE)</f>
        <v>鲲鹏adminbtydl0057</v>
      </c>
      <c r="Z1164">
        <f t="shared" si="54"/>
        <v>0</v>
      </c>
      <c r="AA1164">
        <f t="shared" si="55"/>
        <v>2</v>
      </c>
      <c r="AB1164">
        <f t="shared" si="56"/>
        <v>1</v>
      </c>
    </row>
    <row r="1165" spans="1:28">
      <c r="A1165" s="314" t="s">
        <v>4068</v>
      </c>
      <c r="B1165" s="314"/>
      <c r="C1165" s="314"/>
      <c r="D1165" s="314" t="s">
        <v>550</v>
      </c>
      <c r="E1165" s="314" t="s">
        <v>117</v>
      </c>
      <c r="F1165" s="314" t="s">
        <v>118</v>
      </c>
      <c r="G1165" s="314" t="s">
        <v>108</v>
      </c>
      <c r="H1165" s="314" t="s">
        <v>119</v>
      </c>
      <c r="I1165" s="314" t="s">
        <v>108</v>
      </c>
      <c r="J1165" s="314" t="s">
        <v>120</v>
      </c>
      <c r="K1165" s="314">
        <v>0</v>
      </c>
      <c r="L1165" s="314">
        <v>0</v>
      </c>
      <c r="M1165" s="315">
        <v>45145.0890046296</v>
      </c>
      <c r="N1165" s="314" t="s">
        <v>4069</v>
      </c>
      <c r="O1165" s="314" t="s">
        <v>1134</v>
      </c>
      <c r="P1165" s="314" t="s">
        <v>112</v>
      </c>
      <c r="Q1165" s="314" t="s">
        <v>123</v>
      </c>
      <c r="R1165" s="315">
        <v>45145.0889930556</v>
      </c>
      <c r="S1165" s="314" t="s">
        <v>4069</v>
      </c>
      <c r="T1165" s="314" t="s">
        <v>131</v>
      </c>
      <c r="U1165" s="314" t="s">
        <v>131</v>
      </c>
      <c r="V1165" s="314" t="s">
        <v>114</v>
      </c>
      <c r="W1165" s="314"/>
      <c r="X1165" s="314" t="str">
        <f>VLOOKUP(D1165,代理总表!A:D,3,0)</f>
        <v>SOCO越南直播</v>
      </c>
      <c r="Y1165" t="str">
        <f>VLOOKUP(D:D,代理总表!A:D,4,FALSE)</f>
        <v>SOCO越南直播ffvn66</v>
      </c>
      <c r="Z1165">
        <f t="shared" si="54"/>
        <v>0</v>
      </c>
      <c r="AA1165">
        <f t="shared" si="55"/>
        <v>2</v>
      </c>
      <c r="AB1165">
        <f t="shared" si="56"/>
        <v>1</v>
      </c>
    </row>
    <row r="1166" spans="1:28">
      <c r="A1166" s="314" t="s">
        <v>4070</v>
      </c>
      <c r="B1166" s="314"/>
      <c r="C1166" s="314">
        <v>18828073087</v>
      </c>
      <c r="D1166" s="314" t="s">
        <v>4071</v>
      </c>
      <c r="E1166" s="314" t="s">
        <v>104</v>
      </c>
      <c r="F1166" s="314" t="s">
        <v>118</v>
      </c>
      <c r="G1166" s="314" t="s">
        <v>108</v>
      </c>
      <c r="H1166" s="314" t="s">
        <v>119</v>
      </c>
      <c r="I1166" s="314" t="s">
        <v>108</v>
      </c>
      <c r="J1166" s="314" t="s">
        <v>109</v>
      </c>
      <c r="K1166" s="314">
        <v>0</v>
      </c>
      <c r="L1166" s="314">
        <v>0</v>
      </c>
      <c r="M1166" s="315">
        <v>45145.0875810185</v>
      </c>
      <c r="N1166" s="314" t="s">
        <v>4072</v>
      </c>
      <c r="O1166" s="314" t="s">
        <v>4073</v>
      </c>
      <c r="P1166" s="314" t="s">
        <v>112</v>
      </c>
      <c r="Q1166" s="314" t="s">
        <v>123</v>
      </c>
      <c r="R1166" s="315">
        <v>45145.8203472222</v>
      </c>
      <c r="S1166" s="314" t="s">
        <v>4074</v>
      </c>
      <c r="T1166" s="314" t="s">
        <v>826</v>
      </c>
      <c r="U1166" s="314" t="s">
        <v>457</v>
      </c>
      <c r="V1166" s="314" t="s">
        <v>114</v>
      </c>
      <c r="W1166" s="314"/>
      <c r="X1166" s="314" t="str">
        <f>VLOOKUP(D1166,代理总表!A:D,3,0)</f>
        <v>GT-骨头</v>
      </c>
      <c r="Y1166" t="str">
        <f>VLOOKUP(D:D,代理总表!A:D,4,FALSE)</f>
        <v>GT-骨头gt6677</v>
      </c>
      <c r="Z1166">
        <f t="shared" si="54"/>
        <v>0</v>
      </c>
      <c r="AA1166">
        <f t="shared" si="55"/>
        <v>2</v>
      </c>
      <c r="AB1166">
        <f t="shared" si="56"/>
        <v>1</v>
      </c>
    </row>
    <row r="1167" spans="1:28">
      <c r="A1167" s="314" t="s">
        <v>4075</v>
      </c>
      <c r="B1167" s="314"/>
      <c r="C1167" s="314"/>
      <c r="D1167" s="314" t="s">
        <v>116</v>
      </c>
      <c r="E1167" s="314" t="s">
        <v>117</v>
      </c>
      <c r="F1167" s="314" t="s">
        <v>118</v>
      </c>
      <c r="G1167" s="314" t="s">
        <v>108</v>
      </c>
      <c r="H1167" s="314" t="s">
        <v>119</v>
      </c>
      <c r="I1167" s="314" t="s">
        <v>108</v>
      </c>
      <c r="J1167" s="314" t="s">
        <v>120</v>
      </c>
      <c r="K1167" s="314">
        <v>0</v>
      </c>
      <c r="L1167" s="314">
        <v>0</v>
      </c>
      <c r="M1167" s="315">
        <v>45145.087037037</v>
      </c>
      <c r="N1167" s="314" t="s">
        <v>4076</v>
      </c>
      <c r="O1167" s="314" t="s">
        <v>127</v>
      </c>
      <c r="P1167" s="314" t="s">
        <v>112</v>
      </c>
      <c r="Q1167" s="314" t="s">
        <v>123</v>
      </c>
      <c r="R1167" s="315">
        <v>45145.087025463</v>
      </c>
      <c r="S1167" s="314" t="s">
        <v>4076</v>
      </c>
      <c r="T1167" s="314" t="s">
        <v>177</v>
      </c>
      <c r="U1167" s="314" t="s">
        <v>177</v>
      </c>
      <c r="V1167" s="314" t="s">
        <v>114</v>
      </c>
      <c r="W1167" s="314"/>
      <c r="X1167" s="314" t="str">
        <f>VLOOKUP(D1167,代理总表!A:D,3,0)</f>
        <v>外部代理总线</v>
      </c>
      <c r="Y1167" t="str">
        <f>VLOOKUP(D:D,代理总表!A:D,4,FALSE)</f>
        <v>外部代理总线zh0808</v>
      </c>
      <c r="Z1167">
        <f t="shared" si="54"/>
        <v>0</v>
      </c>
      <c r="AA1167">
        <f t="shared" si="55"/>
        <v>2</v>
      </c>
      <c r="AB1167">
        <f t="shared" si="56"/>
        <v>1</v>
      </c>
    </row>
    <row r="1168" spans="1:28">
      <c r="A1168" s="314" t="s">
        <v>4077</v>
      </c>
      <c r="B1168" s="314"/>
      <c r="C1168" s="314">
        <v>15137498639</v>
      </c>
      <c r="D1168" s="314" t="s">
        <v>1109</v>
      </c>
      <c r="E1168" s="314" t="s">
        <v>104</v>
      </c>
      <c r="F1168" s="314" t="s">
        <v>118</v>
      </c>
      <c r="G1168" s="314" t="s">
        <v>108</v>
      </c>
      <c r="H1168" s="314" t="s">
        <v>119</v>
      </c>
      <c r="I1168" s="314" t="s">
        <v>108</v>
      </c>
      <c r="J1168" s="314" t="s">
        <v>109</v>
      </c>
      <c r="K1168" s="314">
        <v>0</v>
      </c>
      <c r="L1168" s="314">
        <v>0</v>
      </c>
      <c r="M1168" s="315">
        <v>45145.0859143519</v>
      </c>
      <c r="N1168" s="314" t="s">
        <v>4078</v>
      </c>
      <c r="O1168" s="314" t="s">
        <v>4079</v>
      </c>
      <c r="P1168" s="314" t="s">
        <v>161</v>
      </c>
      <c r="Q1168" s="314" t="s">
        <v>123</v>
      </c>
      <c r="R1168" s="315">
        <v>45145.0859143519</v>
      </c>
      <c r="S1168" s="314" t="s">
        <v>4078</v>
      </c>
      <c r="T1168" s="314" t="s">
        <v>1813</v>
      </c>
      <c r="U1168" s="314" t="s">
        <v>1813</v>
      </c>
      <c r="V1168" s="314" t="s">
        <v>114</v>
      </c>
      <c r="W1168" s="314"/>
      <c r="X1168" s="314" t="str">
        <f>VLOOKUP(D1168,代理总表!A:D,3,0)</f>
        <v>飞哥雨燕直播</v>
      </c>
      <c r="Y1168" t="str">
        <f>VLOOKUP(D:D,代理总表!A:D,4,FALSE)</f>
        <v>飞哥雨燕直播ffmk88</v>
      </c>
      <c r="Z1168">
        <f t="shared" si="54"/>
        <v>0</v>
      </c>
      <c r="AA1168">
        <f t="shared" si="55"/>
        <v>2</v>
      </c>
      <c r="AB1168">
        <f t="shared" si="56"/>
        <v>1</v>
      </c>
    </row>
    <row r="1169" spans="1:28">
      <c r="A1169" s="314" t="s">
        <v>4080</v>
      </c>
      <c r="B1169" s="314" t="s">
        <v>4081</v>
      </c>
      <c r="C1169" s="314">
        <v>975404434</v>
      </c>
      <c r="D1169" s="314" t="s">
        <v>137</v>
      </c>
      <c r="E1169" s="314" t="s">
        <v>117</v>
      </c>
      <c r="F1169" s="314" t="s">
        <v>144</v>
      </c>
      <c r="G1169" s="314" t="s">
        <v>106</v>
      </c>
      <c r="H1169" s="314" t="s">
        <v>107</v>
      </c>
      <c r="I1169" s="314" t="s">
        <v>108</v>
      </c>
      <c r="J1169" s="314" t="s">
        <v>120</v>
      </c>
      <c r="K1169" s="314">
        <v>120000</v>
      </c>
      <c r="L1169" s="314">
        <v>3000000</v>
      </c>
      <c r="M1169" s="315">
        <v>45145.0853703704</v>
      </c>
      <c r="N1169" s="314" t="s">
        <v>4082</v>
      </c>
      <c r="O1169" s="314" t="s">
        <v>139</v>
      </c>
      <c r="P1169" s="314" t="s">
        <v>112</v>
      </c>
      <c r="Q1169" s="315">
        <v>45145.1031828704</v>
      </c>
      <c r="R1169" s="315">
        <v>45146.3142592593</v>
      </c>
      <c r="S1169" s="314" t="s">
        <v>4083</v>
      </c>
      <c r="T1169" s="314" t="s">
        <v>124</v>
      </c>
      <c r="U1169" s="314" t="s">
        <v>124</v>
      </c>
      <c r="V1169" s="314" t="s">
        <v>114</v>
      </c>
      <c r="W1169" s="314"/>
      <c r="X1169" s="314" t="str">
        <f>VLOOKUP(D1169,代理总表!A:D,3,0)</f>
        <v>雨燕直播-越</v>
      </c>
      <c r="Y1169" t="str">
        <f>VLOOKUP(D:D,代理总表!A:D,4,FALSE)</f>
        <v>雨燕直播-越ffvn66</v>
      </c>
      <c r="Z1169">
        <f t="shared" si="54"/>
        <v>1</v>
      </c>
      <c r="AA1169">
        <f t="shared" si="55"/>
        <v>2</v>
      </c>
      <c r="AB1169">
        <f t="shared" si="56"/>
        <v>1</v>
      </c>
    </row>
    <row r="1170" spans="1:28">
      <c r="A1170" s="314" t="s">
        <v>4084</v>
      </c>
      <c r="B1170" s="314"/>
      <c r="C1170" s="314"/>
      <c r="D1170" s="314" t="s">
        <v>116</v>
      </c>
      <c r="E1170" s="314" t="s">
        <v>117</v>
      </c>
      <c r="F1170" s="314" t="s">
        <v>118</v>
      </c>
      <c r="G1170" s="314" t="s">
        <v>108</v>
      </c>
      <c r="H1170" s="314" t="s">
        <v>119</v>
      </c>
      <c r="I1170" s="314" t="s">
        <v>108</v>
      </c>
      <c r="J1170" s="314" t="s">
        <v>120</v>
      </c>
      <c r="K1170" s="314">
        <v>0</v>
      </c>
      <c r="L1170" s="314">
        <v>0</v>
      </c>
      <c r="M1170" s="315">
        <v>45145.0852546296</v>
      </c>
      <c r="N1170" s="314" t="s">
        <v>4085</v>
      </c>
      <c r="O1170" s="314" t="s">
        <v>122</v>
      </c>
      <c r="P1170" s="314" t="s">
        <v>112</v>
      </c>
      <c r="Q1170" s="314" t="s">
        <v>123</v>
      </c>
      <c r="R1170" s="315">
        <v>45145.0852546296</v>
      </c>
      <c r="S1170" s="314" t="s">
        <v>4085</v>
      </c>
      <c r="T1170" s="314" t="s">
        <v>548</v>
      </c>
      <c r="U1170" s="314" t="s">
        <v>548</v>
      </c>
      <c r="V1170" s="314" t="s">
        <v>114</v>
      </c>
      <c r="W1170" s="314"/>
      <c r="X1170" s="314" t="str">
        <f>VLOOKUP(D1170,代理总表!A:D,3,0)</f>
        <v>外部代理总线</v>
      </c>
      <c r="Y1170" t="str">
        <f>VLOOKUP(D:D,代理总表!A:D,4,FALSE)</f>
        <v>外部代理总线zh0808</v>
      </c>
      <c r="Z1170">
        <f t="shared" si="54"/>
        <v>0</v>
      </c>
      <c r="AA1170">
        <f t="shared" si="55"/>
        <v>2</v>
      </c>
      <c r="AB1170">
        <f t="shared" si="56"/>
        <v>1</v>
      </c>
    </row>
    <row r="1171" spans="1:28">
      <c r="A1171" s="314" t="s">
        <v>4086</v>
      </c>
      <c r="B1171" s="314" t="s">
        <v>4087</v>
      </c>
      <c r="C1171" s="314">
        <v>15133907882</v>
      </c>
      <c r="D1171" s="314" t="s">
        <v>205</v>
      </c>
      <c r="E1171" s="314" t="s">
        <v>104</v>
      </c>
      <c r="F1171" s="314" t="s">
        <v>1214</v>
      </c>
      <c r="G1171" s="314" t="s">
        <v>106</v>
      </c>
      <c r="H1171" s="314" t="s">
        <v>856</v>
      </c>
      <c r="I1171" s="314" t="s">
        <v>108</v>
      </c>
      <c r="J1171" s="314" t="s">
        <v>109</v>
      </c>
      <c r="K1171" s="314">
        <v>96</v>
      </c>
      <c r="L1171" s="314">
        <v>264</v>
      </c>
      <c r="M1171" s="315">
        <v>45145.0822916667</v>
      </c>
      <c r="N1171" s="314" t="s">
        <v>4088</v>
      </c>
      <c r="O1171" s="314" t="s">
        <v>207</v>
      </c>
      <c r="P1171" s="314" t="s">
        <v>161</v>
      </c>
      <c r="Q1171" s="315">
        <v>45145.3665972222</v>
      </c>
      <c r="R1171" s="315">
        <v>45146.3220601852</v>
      </c>
      <c r="S1171" s="314" t="s">
        <v>4088</v>
      </c>
      <c r="T1171" s="314" t="s">
        <v>4089</v>
      </c>
      <c r="U1171" s="314" t="s">
        <v>4089</v>
      </c>
      <c r="V1171" s="314" t="s">
        <v>114</v>
      </c>
      <c r="W1171" s="314"/>
      <c r="X1171" s="314" t="str">
        <f>VLOOKUP(D1171,代理总表!A:D,3,0)</f>
        <v>ben</v>
      </c>
      <c r="Y1171" t="str">
        <f>VLOOKUP(D:D,代理总表!A:D,4,FALSE)</f>
        <v>SEO</v>
      </c>
      <c r="Z1171">
        <f t="shared" si="54"/>
        <v>1</v>
      </c>
      <c r="AA1171">
        <f t="shared" si="55"/>
        <v>1</v>
      </c>
      <c r="AB1171">
        <f t="shared" si="56"/>
        <v>1</v>
      </c>
    </row>
    <row r="1172" spans="1:28">
      <c r="A1172" s="314" t="s">
        <v>4090</v>
      </c>
      <c r="B1172" s="314"/>
      <c r="C1172" s="314">
        <v>918684185</v>
      </c>
      <c r="D1172" s="314" t="s">
        <v>1894</v>
      </c>
      <c r="E1172" s="314" t="s">
        <v>1895</v>
      </c>
      <c r="F1172" s="314" t="s">
        <v>118</v>
      </c>
      <c r="G1172" s="314" t="s">
        <v>108</v>
      </c>
      <c r="H1172" s="314" t="s">
        <v>119</v>
      </c>
      <c r="I1172" s="314" t="s">
        <v>108</v>
      </c>
      <c r="J1172" s="314" t="s">
        <v>1896</v>
      </c>
      <c r="K1172" s="314">
        <v>0</v>
      </c>
      <c r="L1172" s="314">
        <v>0</v>
      </c>
      <c r="M1172" s="315">
        <v>45145.0821759259</v>
      </c>
      <c r="N1172" s="314" t="s">
        <v>4091</v>
      </c>
      <c r="O1172" s="314" t="s">
        <v>1898</v>
      </c>
      <c r="P1172" s="314" t="s">
        <v>112</v>
      </c>
      <c r="Q1172" s="314" t="s">
        <v>123</v>
      </c>
      <c r="R1172" s="315">
        <v>45145.0863773148</v>
      </c>
      <c r="S1172" s="314" t="s">
        <v>4091</v>
      </c>
      <c r="T1172" s="314" t="s">
        <v>1899</v>
      </c>
      <c r="U1172" s="314" t="s">
        <v>1899</v>
      </c>
      <c r="V1172" s="314" t="s">
        <v>114</v>
      </c>
      <c r="W1172" s="314"/>
      <c r="X1172" s="314" t="str">
        <f>VLOOKUP(D1172,代理总表!A:D,3,0)</f>
        <v>鲲鹏admin</v>
      </c>
      <c r="Y1172" t="str">
        <f>VLOOKUP(D:D,代理总表!A:D,4,FALSE)</f>
        <v>鲲鹏adminbtydl0057</v>
      </c>
      <c r="Z1172">
        <f t="shared" si="54"/>
        <v>0</v>
      </c>
      <c r="AA1172">
        <f t="shared" si="55"/>
        <v>1</v>
      </c>
      <c r="AB1172">
        <f t="shared" si="56"/>
        <v>1</v>
      </c>
    </row>
    <row r="1173" spans="1:28">
      <c r="A1173" s="314" t="s">
        <v>4092</v>
      </c>
      <c r="B1173" s="314" t="s">
        <v>4093</v>
      </c>
      <c r="C1173" s="314">
        <v>15599680289</v>
      </c>
      <c r="D1173" s="314" t="s">
        <v>148</v>
      </c>
      <c r="E1173" s="314" t="s">
        <v>104</v>
      </c>
      <c r="F1173" s="314" t="s">
        <v>181</v>
      </c>
      <c r="G1173" s="314" t="s">
        <v>106</v>
      </c>
      <c r="H1173" s="314" t="s">
        <v>107</v>
      </c>
      <c r="I1173" s="314" t="s">
        <v>108</v>
      </c>
      <c r="J1173" s="314" t="s">
        <v>109</v>
      </c>
      <c r="K1173" s="314">
        <v>100</v>
      </c>
      <c r="L1173" s="314">
        <v>0</v>
      </c>
      <c r="M1173" s="315">
        <v>45145.0812268518</v>
      </c>
      <c r="N1173" s="314" t="s">
        <v>4094</v>
      </c>
      <c r="O1173" s="314" t="s">
        <v>160</v>
      </c>
      <c r="P1173" s="314" t="s">
        <v>161</v>
      </c>
      <c r="Q1173" s="315">
        <v>45145.0860069444</v>
      </c>
      <c r="R1173" s="315">
        <v>45145.1231018519</v>
      </c>
      <c r="S1173" s="314" t="s">
        <v>4094</v>
      </c>
      <c r="T1173" s="314" t="s">
        <v>4095</v>
      </c>
      <c r="U1173" s="314" t="s">
        <v>4095</v>
      </c>
      <c r="V1173" s="314" t="s">
        <v>114</v>
      </c>
      <c r="W1173" s="314"/>
      <c r="X1173" s="314" t="str">
        <f>VLOOKUP(D1173,代理总表!A:D,3,0)</f>
        <v>martin</v>
      </c>
      <c r="Y1173" t="str">
        <f>VLOOKUP(D:D,代理总表!A:D,4,FALSE)</f>
        <v>SEO</v>
      </c>
      <c r="Z1173">
        <f t="shared" si="54"/>
        <v>1</v>
      </c>
      <c r="AA1173">
        <f t="shared" si="55"/>
        <v>1</v>
      </c>
      <c r="AB1173">
        <f t="shared" si="56"/>
        <v>1</v>
      </c>
    </row>
    <row r="1174" spans="1:28">
      <c r="A1174" s="314" t="s">
        <v>4096</v>
      </c>
      <c r="B1174" s="314" t="s">
        <v>4097</v>
      </c>
      <c r="C1174" s="314">
        <v>823509579</v>
      </c>
      <c r="D1174" s="314" t="s">
        <v>172</v>
      </c>
      <c r="E1174" s="314" t="s">
        <v>117</v>
      </c>
      <c r="F1174" s="314" t="s">
        <v>144</v>
      </c>
      <c r="G1174" s="314" t="s">
        <v>106</v>
      </c>
      <c r="H1174" s="314" t="s">
        <v>107</v>
      </c>
      <c r="I1174" s="314" t="s">
        <v>108</v>
      </c>
      <c r="J1174" s="314" t="s">
        <v>120</v>
      </c>
      <c r="K1174" s="314">
        <v>328000</v>
      </c>
      <c r="L1174" s="314">
        <v>300000</v>
      </c>
      <c r="M1174" s="315">
        <v>45145.0811921296</v>
      </c>
      <c r="N1174" s="314" t="s">
        <v>4098</v>
      </c>
      <c r="O1174" s="314" t="s">
        <v>881</v>
      </c>
      <c r="P1174" s="314" t="s">
        <v>112</v>
      </c>
      <c r="Q1174" s="315">
        <v>45145.0945023148</v>
      </c>
      <c r="R1174" s="315">
        <v>45146.0934953704</v>
      </c>
      <c r="S1174" s="314" t="s">
        <v>4098</v>
      </c>
      <c r="T1174" s="314" t="s">
        <v>176</v>
      </c>
      <c r="U1174" s="314" t="s">
        <v>176</v>
      </c>
      <c r="V1174" s="314" t="s">
        <v>114</v>
      </c>
      <c r="W1174" s="314"/>
      <c r="X1174" s="314" t="str">
        <f>VLOOKUP(D1174,代理总表!A:D,3,0)</f>
        <v>雨燕直播-越</v>
      </c>
      <c r="Y1174" t="str">
        <f>VLOOKUP(D:D,代理总表!A:D,4,FALSE)</f>
        <v>雨燕直播-越ffvn66</v>
      </c>
      <c r="Z1174">
        <f t="shared" si="54"/>
        <v>1</v>
      </c>
      <c r="AA1174">
        <f t="shared" si="55"/>
        <v>1</v>
      </c>
      <c r="AB1174">
        <f t="shared" si="56"/>
        <v>1</v>
      </c>
    </row>
    <row r="1175" spans="1:28">
      <c r="A1175" s="314" t="s">
        <v>4099</v>
      </c>
      <c r="B1175" s="314" t="s">
        <v>4100</v>
      </c>
      <c r="C1175" s="314">
        <v>18127377447</v>
      </c>
      <c r="D1175" s="314" t="s">
        <v>276</v>
      </c>
      <c r="E1175" s="314" t="s">
        <v>104</v>
      </c>
      <c r="F1175" s="314" t="s">
        <v>118</v>
      </c>
      <c r="G1175" s="314" t="s">
        <v>108</v>
      </c>
      <c r="H1175" s="314" t="s">
        <v>119</v>
      </c>
      <c r="I1175" s="314" t="s">
        <v>108</v>
      </c>
      <c r="J1175" s="314" t="s">
        <v>109</v>
      </c>
      <c r="K1175" s="314">
        <v>0</v>
      </c>
      <c r="L1175" s="314">
        <v>0</v>
      </c>
      <c r="M1175" s="315">
        <v>45145.0805439815</v>
      </c>
      <c r="N1175" s="314" t="s">
        <v>4101</v>
      </c>
      <c r="O1175" s="314" t="s">
        <v>4102</v>
      </c>
      <c r="P1175" s="314" t="s">
        <v>112</v>
      </c>
      <c r="Q1175" s="314" t="s">
        <v>123</v>
      </c>
      <c r="R1175" s="315">
        <v>45145.0869907407</v>
      </c>
      <c r="S1175" s="314" t="s">
        <v>4103</v>
      </c>
      <c r="T1175" s="314" t="s">
        <v>622</v>
      </c>
      <c r="U1175" s="314" t="s">
        <v>4104</v>
      </c>
      <c r="V1175" s="314" t="s">
        <v>114</v>
      </c>
      <c r="W1175" s="314" t="s">
        <v>4105</v>
      </c>
      <c r="X1175" s="314" t="str">
        <f>VLOOKUP(D1175,代理总表!A:D,3,0)</f>
        <v>飞哥雨燕直播</v>
      </c>
      <c r="Y1175" t="str">
        <f>VLOOKUP(D:D,代理总表!A:D,4,FALSE)</f>
        <v>飞哥雨燕直播ffmk88</v>
      </c>
      <c r="Z1175">
        <f t="shared" si="54"/>
        <v>0</v>
      </c>
      <c r="AA1175">
        <f t="shared" si="55"/>
        <v>1</v>
      </c>
      <c r="AB1175">
        <f t="shared" si="56"/>
        <v>1</v>
      </c>
    </row>
    <row r="1176" spans="1:28">
      <c r="A1176" s="314" t="s">
        <v>4106</v>
      </c>
      <c r="B1176" s="314"/>
      <c r="C1176" s="314"/>
      <c r="D1176" s="314" t="s">
        <v>609</v>
      </c>
      <c r="E1176" s="314" t="s">
        <v>104</v>
      </c>
      <c r="F1176" s="314" t="s">
        <v>118</v>
      </c>
      <c r="G1176" s="314" t="s">
        <v>108</v>
      </c>
      <c r="H1176" s="314" t="s">
        <v>119</v>
      </c>
      <c r="I1176" s="314" t="s">
        <v>108</v>
      </c>
      <c r="J1176" s="314" t="s">
        <v>109</v>
      </c>
      <c r="K1176" s="314">
        <v>0</v>
      </c>
      <c r="L1176" s="314">
        <v>0</v>
      </c>
      <c r="M1176" s="315">
        <v>45145.0803240741</v>
      </c>
      <c r="N1176" s="314" t="s">
        <v>4107</v>
      </c>
      <c r="O1176" s="314" t="s">
        <v>4108</v>
      </c>
      <c r="P1176" s="314" t="s">
        <v>208</v>
      </c>
      <c r="Q1176" s="314" t="s">
        <v>123</v>
      </c>
      <c r="R1176" s="315">
        <v>45145.5309953704</v>
      </c>
      <c r="S1176" s="314" t="s">
        <v>4109</v>
      </c>
      <c r="T1176" s="314" t="s">
        <v>849</v>
      </c>
      <c r="U1176" s="314" t="s">
        <v>849</v>
      </c>
      <c r="V1176" s="314" t="s">
        <v>114</v>
      </c>
      <c r="W1176" s="314"/>
      <c r="X1176" s="314" t="str">
        <f>VLOOKUP(D1176,代理总表!A:D,3,0)</f>
        <v>GT-B直播</v>
      </c>
      <c r="Y1176" t="str">
        <f>VLOOKUP(D:D,代理总表!A:D,4,FALSE)</f>
        <v>B直播gt6688</v>
      </c>
      <c r="Z1176">
        <f t="shared" si="54"/>
        <v>0</v>
      </c>
      <c r="AA1176">
        <f t="shared" si="55"/>
        <v>1</v>
      </c>
      <c r="AB1176">
        <f t="shared" si="56"/>
        <v>1</v>
      </c>
    </row>
    <row r="1177" spans="1:28">
      <c r="A1177" s="314" t="s">
        <v>4110</v>
      </c>
      <c r="B1177" s="314"/>
      <c r="C1177" s="314">
        <v>15859572672</v>
      </c>
      <c r="D1177" s="314" t="s">
        <v>180</v>
      </c>
      <c r="E1177" s="314" t="s">
        <v>104</v>
      </c>
      <c r="F1177" s="314" t="s">
        <v>149</v>
      </c>
      <c r="G1177" s="314" t="s">
        <v>108</v>
      </c>
      <c r="H1177" s="314" t="s">
        <v>119</v>
      </c>
      <c r="I1177" s="314" t="s">
        <v>108</v>
      </c>
      <c r="J1177" s="314" t="s">
        <v>109</v>
      </c>
      <c r="K1177" s="314">
        <v>0</v>
      </c>
      <c r="L1177" s="314">
        <v>0</v>
      </c>
      <c r="M1177" s="315">
        <v>45145.0798032407</v>
      </c>
      <c r="N1177" s="314" t="s">
        <v>4111</v>
      </c>
      <c r="O1177" s="314" t="s">
        <v>1199</v>
      </c>
      <c r="P1177" s="314" t="s">
        <v>112</v>
      </c>
      <c r="Q1177" s="314" t="s">
        <v>123</v>
      </c>
      <c r="R1177" s="315">
        <v>45145.0798032407</v>
      </c>
      <c r="S1177" s="314" t="s">
        <v>4111</v>
      </c>
      <c r="T1177" s="314" t="s">
        <v>1172</v>
      </c>
      <c r="U1177" s="314" t="s">
        <v>1172</v>
      </c>
      <c r="V1177" s="314" t="s">
        <v>114</v>
      </c>
      <c r="W1177" s="314"/>
      <c r="X1177" s="314" t="str">
        <f>VLOOKUP(D1177,代理总表!A:D,3,0)</f>
        <v>hugo</v>
      </c>
      <c r="Y1177" t="str">
        <f>VLOOKUP(D:D,代理总表!A:D,4,FALSE)</f>
        <v>SEO</v>
      </c>
      <c r="Z1177">
        <f t="shared" si="54"/>
        <v>0</v>
      </c>
      <c r="AA1177">
        <f t="shared" si="55"/>
        <v>1</v>
      </c>
      <c r="AB1177">
        <f t="shared" si="56"/>
        <v>1</v>
      </c>
    </row>
    <row r="1178" spans="1:28">
      <c r="A1178" s="314" t="s">
        <v>4112</v>
      </c>
      <c r="B1178" s="314"/>
      <c r="C1178" s="314"/>
      <c r="D1178" s="314" t="s">
        <v>249</v>
      </c>
      <c r="E1178" s="314" t="s">
        <v>104</v>
      </c>
      <c r="F1178" s="314" t="s">
        <v>118</v>
      </c>
      <c r="G1178" s="314" t="s">
        <v>108</v>
      </c>
      <c r="H1178" s="314" t="s">
        <v>119</v>
      </c>
      <c r="I1178" s="314" t="s">
        <v>108</v>
      </c>
      <c r="J1178" s="314" t="s">
        <v>109</v>
      </c>
      <c r="K1178" s="314">
        <v>0</v>
      </c>
      <c r="L1178" s="314">
        <v>0</v>
      </c>
      <c r="M1178" s="315">
        <v>45145.0786342593</v>
      </c>
      <c r="N1178" s="314" t="s">
        <v>4113</v>
      </c>
      <c r="O1178" s="314" t="s">
        <v>4114</v>
      </c>
      <c r="P1178" s="314" t="s">
        <v>112</v>
      </c>
      <c r="Q1178" s="314" t="s">
        <v>123</v>
      </c>
      <c r="R1178" s="315">
        <v>45145.0786342593</v>
      </c>
      <c r="S1178" s="314" t="s">
        <v>4113</v>
      </c>
      <c r="T1178" s="314" t="s">
        <v>4115</v>
      </c>
      <c r="U1178" s="314" t="s">
        <v>4115</v>
      </c>
      <c r="V1178" s="314" t="s">
        <v>114</v>
      </c>
      <c r="W1178" s="314"/>
      <c r="X1178" s="314" t="str">
        <f>VLOOKUP(D1178,代理总表!A:D,3,0)</f>
        <v>飞哥雨燕直播</v>
      </c>
      <c r="Y1178" t="str">
        <f>VLOOKUP(D:D,代理总表!A:D,4,FALSE)</f>
        <v>飞哥雨燕直播ffmk88</v>
      </c>
      <c r="Z1178">
        <f t="shared" si="54"/>
        <v>0</v>
      </c>
      <c r="AA1178">
        <f t="shared" si="55"/>
        <v>1</v>
      </c>
      <c r="AB1178">
        <f t="shared" si="56"/>
        <v>1</v>
      </c>
    </row>
    <row r="1179" spans="1:28">
      <c r="A1179" s="314" t="s">
        <v>4116</v>
      </c>
      <c r="B1179" s="314" t="s">
        <v>4117</v>
      </c>
      <c r="C1179" s="314">
        <v>18323759946</v>
      </c>
      <c r="D1179" s="314" t="s">
        <v>148</v>
      </c>
      <c r="E1179" s="314" t="s">
        <v>104</v>
      </c>
      <c r="F1179" s="314" t="s">
        <v>181</v>
      </c>
      <c r="G1179" s="314" t="s">
        <v>106</v>
      </c>
      <c r="H1179" s="314" t="s">
        <v>856</v>
      </c>
      <c r="I1179" s="314" t="s">
        <v>108</v>
      </c>
      <c r="J1179" s="314" t="s">
        <v>109</v>
      </c>
      <c r="K1179" s="314">
        <v>700</v>
      </c>
      <c r="L1179" s="314">
        <v>1000</v>
      </c>
      <c r="M1179" s="315">
        <v>45145.0780092593</v>
      </c>
      <c r="N1179" s="314" t="s">
        <v>4118</v>
      </c>
      <c r="O1179" s="314" t="s">
        <v>160</v>
      </c>
      <c r="P1179" s="314" t="s">
        <v>161</v>
      </c>
      <c r="Q1179" s="315">
        <v>45145.0832986111</v>
      </c>
      <c r="R1179" s="315">
        <v>45145.9483333333</v>
      </c>
      <c r="S1179" s="314" t="s">
        <v>4119</v>
      </c>
      <c r="T1179" s="314" t="s">
        <v>2456</v>
      </c>
      <c r="U1179" s="314" t="s">
        <v>299</v>
      </c>
      <c r="V1179" s="314" t="s">
        <v>114</v>
      </c>
      <c r="W1179" s="314"/>
      <c r="X1179" s="314" t="str">
        <f>VLOOKUP(D1179,代理总表!A:D,3,0)</f>
        <v>martin</v>
      </c>
      <c r="Y1179" t="str">
        <f>VLOOKUP(D:D,代理总表!A:D,4,FALSE)</f>
        <v>SEO</v>
      </c>
      <c r="Z1179">
        <f t="shared" si="54"/>
        <v>1</v>
      </c>
      <c r="AA1179">
        <f t="shared" si="55"/>
        <v>1</v>
      </c>
      <c r="AB1179">
        <f t="shared" si="56"/>
        <v>1</v>
      </c>
    </row>
    <row r="1180" spans="1:28">
      <c r="A1180" s="314" t="s">
        <v>4120</v>
      </c>
      <c r="B1180" s="314"/>
      <c r="C1180" s="314"/>
      <c r="D1180" s="314" t="s">
        <v>370</v>
      </c>
      <c r="E1180" s="314" t="s">
        <v>104</v>
      </c>
      <c r="F1180" s="314" t="s">
        <v>118</v>
      </c>
      <c r="G1180" s="314" t="s">
        <v>108</v>
      </c>
      <c r="H1180" s="314" t="s">
        <v>119</v>
      </c>
      <c r="I1180" s="314" t="s">
        <v>108</v>
      </c>
      <c r="J1180" s="314" t="s">
        <v>109</v>
      </c>
      <c r="K1180" s="314">
        <v>0</v>
      </c>
      <c r="L1180" s="314">
        <v>0</v>
      </c>
      <c r="M1180" s="315">
        <v>45145.0773611111</v>
      </c>
      <c r="N1180" s="314" t="s">
        <v>4121</v>
      </c>
      <c r="O1180" s="314" t="s">
        <v>813</v>
      </c>
      <c r="P1180" s="314" t="s">
        <v>112</v>
      </c>
      <c r="Q1180" s="314" t="s">
        <v>123</v>
      </c>
      <c r="R1180" s="315">
        <v>45145.0777314815</v>
      </c>
      <c r="S1180" s="314" t="s">
        <v>4121</v>
      </c>
      <c r="T1180" s="314" t="s">
        <v>4122</v>
      </c>
      <c r="U1180" s="314" t="s">
        <v>4122</v>
      </c>
      <c r="V1180" s="314" t="s">
        <v>114</v>
      </c>
      <c r="W1180" s="314"/>
      <c r="X1180" s="314" t="str">
        <f>VLOOKUP(D1180,代理总表!A:D,3,0)</f>
        <v>GT-骨头</v>
      </c>
      <c r="Y1180" t="str">
        <f>VLOOKUP(D:D,代理总表!A:D,4,FALSE)</f>
        <v>GT-骨头gt6677</v>
      </c>
      <c r="Z1180">
        <f t="shared" si="54"/>
        <v>0</v>
      </c>
      <c r="AA1180">
        <f t="shared" si="55"/>
        <v>1</v>
      </c>
      <c r="AB1180">
        <f t="shared" si="56"/>
        <v>1</v>
      </c>
    </row>
    <row r="1181" spans="1:28">
      <c r="A1181" s="314" t="s">
        <v>4123</v>
      </c>
      <c r="B1181" s="314"/>
      <c r="C1181" s="314"/>
      <c r="D1181" s="314" t="s">
        <v>116</v>
      </c>
      <c r="E1181" s="314" t="s">
        <v>117</v>
      </c>
      <c r="F1181" s="314" t="s">
        <v>118</v>
      </c>
      <c r="G1181" s="314" t="s">
        <v>108</v>
      </c>
      <c r="H1181" s="314" t="s">
        <v>119</v>
      </c>
      <c r="I1181" s="314" t="s">
        <v>108</v>
      </c>
      <c r="J1181" s="314" t="s">
        <v>120</v>
      </c>
      <c r="K1181" s="314">
        <v>0</v>
      </c>
      <c r="L1181" s="314">
        <v>0</v>
      </c>
      <c r="M1181" s="315">
        <v>45145.077025463</v>
      </c>
      <c r="N1181" s="314" t="s">
        <v>4124</v>
      </c>
      <c r="O1181" s="314" t="s">
        <v>122</v>
      </c>
      <c r="P1181" s="314" t="s">
        <v>112</v>
      </c>
      <c r="Q1181" s="314" t="s">
        <v>123</v>
      </c>
      <c r="R1181" s="315">
        <v>45145.0770138889</v>
      </c>
      <c r="S1181" s="314" t="s">
        <v>4124</v>
      </c>
      <c r="T1181" s="314" t="s">
        <v>131</v>
      </c>
      <c r="U1181" s="314" t="s">
        <v>131</v>
      </c>
      <c r="V1181" s="314" t="s">
        <v>114</v>
      </c>
      <c r="W1181" s="314"/>
      <c r="X1181" s="314" t="str">
        <f>VLOOKUP(D1181,代理总表!A:D,3,0)</f>
        <v>外部代理总线</v>
      </c>
      <c r="Y1181" t="str">
        <f>VLOOKUP(D:D,代理总表!A:D,4,FALSE)</f>
        <v>外部代理总线zh0808</v>
      </c>
      <c r="Z1181">
        <f t="shared" si="54"/>
        <v>0</v>
      </c>
      <c r="AA1181">
        <f t="shared" si="55"/>
        <v>1</v>
      </c>
      <c r="AB1181">
        <f t="shared" si="56"/>
        <v>1</v>
      </c>
    </row>
    <row r="1182" spans="1:28">
      <c r="A1182" s="314" t="s">
        <v>4125</v>
      </c>
      <c r="B1182" s="314"/>
      <c r="C1182" s="314"/>
      <c r="D1182" s="314" t="s">
        <v>550</v>
      </c>
      <c r="E1182" s="314" t="s">
        <v>117</v>
      </c>
      <c r="F1182" s="314" t="s">
        <v>118</v>
      </c>
      <c r="G1182" s="314" t="s">
        <v>108</v>
      </c>
      <c r="H1182" s="314" t="s">
        <v>119</v>
      </c>
      <c r="I1182" s="314" t="s">
        <v>108</v>
      </c>
      <c r="J1182" s="314" t="s">
        <v>120</v>
      </c>
      <c r="K1182" s="314">
        <v>0</v>
      </c>
      <c r="L1182" s="314">
        <v>0</v>
      </c>
      <c r="M1182" s="315">
        <v>45145.076875</v>
      </c>
      <c r="N1182" s="314" t="s">
        <v>4126</v>
      </c>
      <c r="O1182" s="314" t="s">
        <v>1134</v>
      </c>
      <c r="P1182" s="314" t="s">
        <v>112</v>
      </c>
      <c r="Q1182" s="314" t="s">
        <v>123</v>
      </c>
      <c r="R1182" s="315">
        <v>45145.0768634259</v>
      </c>
      <c r="S1182" s="314" t="s">
        <v>4126</v>
      </c>
      <c r="T1182" s="314" t="s">
        <v>801</v>
      </c>
      <c r="U1182" s="314" t="s">
        <v>801</v>
      </c>
      <c r="V1182" s="314" t="s">
        <v>114</v>
      </c>
      <c r="W1182" s="314"/>
      <c r="X1182" s="314" t="str">
        <f>VLOOKUP(D1182,代理总表!A:D,3,0)</f>
        <v>SOCO越南直播</v>
      </c>
      <c r="Y1182" t="str">
        <f>VLOOKUP(D:D,代理总表!A:D,4,FALSE)</f>
        <v>SOCO越南直播ffvn66</v>
      </c>
      <c r="Z1182">
        <f t="shared" si="54"/>
        <v>0</v>
      </c>
      <c r="AA1182">
        <f t="shared" si="55"/>
        <v>1</v>
      </c>
      <c r="AB1182">
        <f t="shared" si="56"/>
        <v>1</v>
      </c>
    </row>
    <row r="1183" spans="1:28">
      <c r="A1183" s="314" t="s">
        <v>4127</v>
      </c>
      <c r="B1183" s="314" t="s">
        <v>4128</v>
      </c>
      <c r="C1183" s="314">
        <v>559449419</v>
      </c>
      <c r="D1183" s="314" t="s">
        <v>224</v>
      </c>
      <c r="E1183" s="314" t="s">
        <v>117</v>
      </c>
      <c r="F1183" s="314" t="s">
        <v>144</v>
      </c>
      <c r="G1183" s="314" t="s">
        <v>106</v>
      </c>
      <c r="H1183" s="314" t="s">
        <v>107</v>
      </c>
      <c r="I1183" s="314" t="s">
        <v>108</v>
      </c>
      <c r="J1183" s="314" t="s">
        <v>120</v>
      </c>
      <c r="K1183" s="314">
        <v>500</v>
      </c>
      <c r="L1183" s="314">
        <v>1480000</v>
      </c>
      <c r="M1183" s="315">
        <v>45145.0762268519</v>
      </c>
      <c r="N1183" s="314" t="s">
        <v>4129</v>
      </c>
      <c r="O1183" s="314" t="s">
        <v>1817</v>
      </c>
      <c r="P1183" s="314" t="s">
        <v>339</v>
      </c>
      <c r="Q1183" s="315">
        <v>45145.081724537</v>
      </c>
      <c r="R1183" s="315">
        <v>45145.1728703704</v>
      </c>
      <c r="S1183" s="314" t="s">
        <v>4129</v>
      </c>
      <c r="T1183" s="314" t="s">
        <v>131</v>
      </c>
      <c r="U1183" s="314" t="s">
        <v>131</v>
      </c>
      <c r="V1183" s="314" t="s">
        <v>114</v>
      </c>
      <c r="W1183" s="314"/>
      <c r="X1183" s="314" t="str">
        <f>VLOOKUP(D1183,代理总表!A:D,3,0)</f>
        <v>雨燕直播-越</v>
      </c>
      <c r="Y1183" t="str">
        <f>VLOOKUP(D:D,代理总表!A:D,4,FALSE)</f>
        <v>雨燕直播-越ffvn66</v>
      </c>
      <c r="Z1183">
        <f t="shared" si="54"/>
        <v>1</v>
      </c>
      <c r="AA1183">
        <f t="shared" si="55"/>
        <v>1</v>
      </c>
      <c r="AB1183">
        <f t="shared" si="56"/>
        <v>1</v>
      </c>
    </row>
    <row r="1184" spans="1:28">
      <c r="A1184" s="314" t="s">
        <v>4130</v>
      </c>
      <c r="B1184" s="314" t="s">
        <v>4131</v>
      </c>
      <c r="C1184" s="314">
        <v>13142263888</v>
      </c>
      <c r="D1184" s="314" t="s">
        <v>103</v>
      </c>
      <c r="E1184" s="314" t="s">
        <v>104</v>
      </c>
      <c r="F1184" s="314" t="s">
        <v>144</v>
      </c>
      <c r="G1184" s="314" t="s">
        <v>106</v>
      </c>
      <c r="H1184" s="314" t="s">
        <v>107</v>
      </c>
      <c r="I1184" s="314" t="s">
        <v>108</v>
      </c>
      <c r="J1184" s="314" t="s">
        <v>109</v>
      </c>
      <c r="K1184" s="314">
        <v>1.6</v>
      </c>
      <c r="L1184" s="314">
        <v>3000</v>
      </c>
      <c r="M1184" s="315">
        <v>45145.0756828704</v>
      </c>
      <c r="N1184" s="314" t="s">
        <v>4132</v>
      </c>
      <c r="O1184" s="314" t="s">
        <v>2902</v>
      </c>
      <c r="P1184" s="314" t="s">
        <v>208</v>
      </c>
      <c r="Q1184" s="315">
        <v>45145.0814236111</v>
      </c>
      <c r="R1184" s="315">
        <v>45145.2324421296</v>
      </c>
      <c r="S1184" s="314" t="s">
        <v>4133</v>
      </c>
      <c r="T1184" s="314" t="s">
        <v>929</v>
      </c>
      <c r="U1184" s="314" t="s">
        <v>4134</v>
      </c>
      <c r="V1184" s="314" t="s">
        <v>114</v>
      </c>
      <c r="W1184" s="314"/>
      <c r="X1184" s="314" t="str">
        <f>VLOOKUP(D1184,代理总表!A:D,3,0)</f>
        <v>官网</v>
      </c>
      <c r="Y1184" t="str">
        <f>VLOOKUP(D:D,代理总表!A:D,4,FALSE)</f>
        <v>官网</v>
      </c>
      <c r="Z1184">
        <f t="shared" si="54"/>
        <v>1</v>
      </c>
      <c r="AA1184">
        <f t="shared" si="55"/>
        <v>1</v>
      </c>
      <c r="AB1184">
        <f t="shared" si="56"/>
        <v>1</v>
      </c>
    </row>
    <row r="1185" spans="1:28">
      <c r="A1185" s="314" t="s">
        <v>4135</v>
      </c>
      <c r="B1185" s="314" t="s">
        <v>4136</v>
      </c>
      <c r="C1185" s="314">
        <v>565146458</v>
      </c>
      <c r="D1185" s="314" t="s">
        <v>137</v>
      </c>
      <c r="E1185" s="314" t="s">
        <v>117</v>
      </c>
      <c r="F1185" s="314" t="s">
        <v>144</v>
      </c>
      <c r="G1185" s="314" t="s">
        <v>106</v>
      </c>
      <c r="H1185" s="314" t="s">
        <v>107</v>
      </c>
      <c r="I1185" s="314" t="s">
        <v>108</v>
      </c>
      <c r="J1185" s="314" t="s">
        <v>120</v>
      </c>
      <c r="K1185" s="314">
        <v>10712000</v>
      </c>
      <c r="L1185" s="314">
        <v>9000000</v>
      </c>
      <c r="M1185" s="315">
        <v>45145.0742939815</v>
      </c>
      <c r="N1185" s="314" t="s">
        <v>4137</v>
      </c>
      <c r="O1185" s="314" t="s">
        <v>139</v>
      </c>
      <c r="P1185" s="314" t="s">
        <v>112</v>
      </c>
      <c r="Q1185" s="315">
        <v>45145.7071759259</v>
      </c>
      <c r="R1185" s="315">
        <v>45146.3384375</v>
      </c>
      <c r="S1185" s="314" t="s">
        <v>4137</v>
      </c>
      <c r="T1185" s="314" t="s">
        <v>124</v>
      </c>
      <c r="U1185" s="314" t="s">
        <v>124</v>
      </c>
      <c r="V1185" s="314" t="s">
        <v>114</v>
      </c>
      <c r="W1185" s="314"/>
      <c r="X1185" s="314" t="str">
        <f>VLOOKUP(D1185,代理总表!A:D,3,0)</f>
        <v>雨燕直播-越</v>
      </c>
      <c r="Y1185" t="str">
        <f>VLOOKUP(D:D,代理总表!A:D,4,FALSE)</f>
        <v>雨燕直播-越ffvn66</v>
      </c>
      <c r="Z1185">
        <f t="shared" si="54"/>
        <v>1</v>
      </c>
      <c r="AA1185">
        <f t="shared" si="55"/>
        <v>1</v>
      </c>
      <c r="AB1185">
        <f t="shared" si="56"/>
        <v>1</v>
      </c>
    </row>
    <row r="1186" spans="1:28">
      <c r="A1186" s="314" t="s">
        <v>4138</v>
      </c>
      <c r="B1186" s="314"/>
      <c r="C1186" s="314">
        <v>13324074890</v>
      </c>
      <c r="D1186" s="314" t="s">
        <v>148</v>
      </c>
      <c r="E1186" s="314" t="s">
        <v>104</v>
      </c>
      <c r="F1186" s="314" t="s">
        <v>149</v>
      </c>
      <c r="G1186" s="314" t="s">
        <v>108</v>
      </c>
      <c r="H1186" s="314" t="s">
        <v>119</v>
      </c>
      <c r="I1186" s="314" t="s">
        <v>108</v>
      </c>
      <c r="J1186" s="314" t="s">
        <v>109</v>
      </c>
      <c r="K1186" s="314">
        <v>0</v>
      </c>
      <c r="L1186" s="314">
        <v>0</v>
      </c>
      <c r="M1186" s="315">
        <v>45145.0741666667</v>
      </c>
      <c r="N1186" s="314" t="s">
        <v>4139</v>
      </c>
      <c r="O1186" s="314" t="s">
        <v>585</v>
      </c>
      <c r="P1186" s="314" t="s">
        <v>112</v>
      </c>
      <c r="Q1186" s="314" t="s">
        <v>123</v>
      </c>
      <c r="R1186" s="315">
        <v>45145.8025</v>
      </c>
      <c r="S1186" s="314" t="s">
        <v>4140</v>
      </c>
      <c r="T1186" s="314" t="s">
        <v>1541</v>
      </c>
      <c r="U1186" s="314" t="s">
        <v>2456</v>
      </c>
      <c r="V1186" s="314" t="s">
        <v>114</v>
      </c>
      <c r="W1186" s="314"/>
      <c r="X1186" s="314" t="str">
        <f>VLOOKUP(D1186,代理总表!A:D,3,0)</f>
        <v>martin</v>
      </c>
      <c r="Y1186" t="str">
        <f>VLOOKUP(D:D,代理总表!A:D,4,FALSE)</f>
        <v>SEO</v>
      </c>
      <c r="Z1186">
        <f t="shared" si="54"/>
        <v>0</v>
      </c>
      <c r="AA1186">
        <f t="shared" si="55"/>
        <v>1</v>
      </c>
      <c r="AB1186">
        <f t="shared" si="56"/>
        <v>1</v>
      </c>
    </row>
    <row r="1187" spans="1:28">
      <c r="A1187" s="314" t="s">
        <v>4141</v>
      </c>
      <c r="B1187" s="314" t="s">
        <v>4142</v>
      </c>
      <c r="C1187" s="314">
        <v>964636353</v>
      </c>
      <c r="D1187" s="314" t="s">
        <v>651</v>
      </c>
      <c r="E1187" s="314" t="s">
        <v>117</v>
      </c>
      <c r="F1187" s="314" t="s">
        <v>118</v>
      </c>
      <c r="G1187" s="314" t="s">
        <v>108</v>
      </c>
      <c r="H1187" s="314" t="s">
        <v>119</v>
      </c>
      <c r="I1187" s="314" t="s">
        <v>108</v>
      </c>
      <c r="J1187" s="314" t="s">
        <v>120</v>
      </c>
      <c r="K1187" s="314">
        <v>0</v>
      </c>
      <c r="L1187" s="314">
        <v>0</v>
      </c>
      <c r="M1187" s="315">
        <v>45145.0732523148</v>
      </c>
      <c r="N1187" s="314" t="s">
        <v>4143</v>
      </c>
      <c r="O1187" s="314" t="s">
        <v>653</v>
      </c>
      <c r="P1187" s="314" t="s">
        <v>112</v>
      </c>
      <c r="Q1187" s="314" t="s">
        <v>123</v>
      </c>
      <c r="R1187" s="315">
        <v>45145.0843171296</v>
      </c>
      <c r="S1187" s="314" t="s">
        <v>4143</v>
      </c>
      <c r="T1187" s="314" t="s">
        <v>177</v>
      </c>
      <c r="U1187" s="314" t="s">
        <v>177</v>
      </c>
      <c r="V1187" s="314" t="s">
        <v>114</v>
      </c>
      <c r="W1187" s="314"/>
      <c r="X1187" s="314" t="str">
        <f>VLOOKUP(D1187,代理总表!A:D,3,0)</f>
        <v>雨燕直播-越</v>
      </c>
      <c r="Y1187" t="str">
        <f>VLOOKUP(D:D,代理总表!A:D,4,FALSE)</f>
        <v>雨燕直播-越ffvn66</v>
      </c>
      <c r="Z1187">
        <f t="shared" si="54"/>
        <v>0</v>
      </c>
      <c r="AA1187">
        <f t="shared" si="55"/>
        <v>1</v>
      </c>
      <c r="AB1187">
        <f t="shared" si="56"/>
        <v>1</v>
      </c>
    </row>
    <row r="1188" spans="1:28">
      <c r="A1188" s="314" t="s">
        <v>4144</v>
      </c>
      <c r="B1188" s="314" t="s">
        <v>4145</v>
      </c>
      <c r="C1188" s="314">
        <v>18687104706</v>
      </c>
      <c r="D1188" s="314" t="s">
        <v>2121</v>
      </c>
      <c r="E1188" s="314" t="s">
        <v>104</v>
      </c>
      <c r="F1188" s="314" t="s">
        <v>144</v>
      </c>
      <c r="G1188" s="314" t="s">
        <v>106</v>
      </c>
      <c r="H1188" s="314" t="s">
        <v>107</v>
      </c>
      <c r="I1188" s="314" t="s">
        <v>108</v>
      </c>
      <c r="J1188" s="314" t="s">
        <v>109</v>
      </c>
      <c r="K1188" s="314">
        <v>0</v>
      </c>
      <c r="L1188" s="314">
        <v>309.52</v>
      </c>
      <c r="M1188" s="315">
        <v>45145.0730902778</v>
      </c>
      <c r="N1188" s="314" t="s">
        <v>4146</v>
      </c>
      <c r="O1188" s="314" t="s">
        <v>4147</v>
      </c>
      <c r="P1188" s="314" t="s">
        <v>161</v>
      </c>
      <c r="Q1188" s="315">
        <v>45145.657337963</v>
      </c>
      <c r="R1188" s="315">
        <v>45146.2671064815</v>
      </c>
      <c r="S1188" s="314" t="s">
        <v>4146</v>
      </c>
      <c r="T1188" s="314" t="s">
        <v>238</v>
      </c>
      <c r="U1188" s="314" t="s">
        <v>238</v>
      </c>
      <c r="V1188" s="314" t="s">
        <v>114</v>
      </c>
      <c r="W1188" s="314"/>
      <c r="X1188" s="314" t="str">
        <f>VLOOKUP(D1188,代理总表!A:D,3,0)</f>
        <v>飞哥雨燕直播</v>
      </c>
      <c r="Y1188" t="str">
        <f>VLOOKUP(D:D,代理总表!A:D,4,FALSE)</f>
        <v>飞哥雨燕直播ffmk88</v>
      </c>
      <c r="Z1188">
        <f t="shared" si="54"/>
        <v>1</v>
      </c>
      <c r="AA1188">
        <f t="shared" si="55"/>
        <v>1</v>
      </c>
      <c r="AB1188">
        <f t="shared" si="56"/>
        <v>1</v>
      </c>
    </row>
    <row r="1189" spans="1:28">
      <c r="A1189" s="314" t="s">
        <v>4148</v>
      </c>
      <c r="B1189" s="314" t="s">
        <v>4149</v>
      </c>
      <c r="C1189" s="314">
        <v>369201896</v>
      </c>
      <c r="D1189" s="314" t="s">
        <v>116</v>
      </c>
      <c r="E1189" s="314" t="s">
        <v>117</v>
      </c>
      <c r="F1189" s="314" t="s">
        <v>118</v>
      </c>
      <c r="G1189" s="314" t="s">
        <v>108</v>
      </c>
      <c r="H1189" s="314" t="s">
        <v>119</v>
      </c>
      <c r="I1189" s="314" t="s">
        <v>108</v>
      </c>
      <c r="J1189" s="314" t="s">
        <v>120</v>
      </c>
      <c r="K1189" s="314">
        <v>0</v>
      </c>
      <c r="L1189" s="314">
        <v>0</v>
      </c>
      <c r="M1189" s="315">
        <v>45145.0719212963</v>
      </c>
      <c r="N1189" s="314" t="s">
        <v>4150</v>
      </c>
      <c r="O1189" s="314" t="s">
        <v>122</v>
      </c>
      <c r="P1189" s="314" t="s">
        <v>112</v>
      </c>
      <c r="Q1189" s="314" t="s">
        <v>123</v>
      </c>
      <c r="R1189" s="315">
        <v>45145.0719212963</v>
      </c>
      <c r="S1189" s="314" t="s">
        <v>4150</v>
      </c>
      <c r="T1189" s="314" t="s">
        <v>128</v>
      </c>
      <c r="U1189" s="314" t="s">
        <v>128</v>
      </c>
      <c r="V1189" s="314" t="s">
        <v>114</v>
      </c>
      <c r="W1189" s="314"/>
      <c r="X1189" s="314" t="str">
        <f>VLOOKUP(D1189,代理总表!A:D,3,0)</f>
        <v>外部代理总线</v>
      </c>
      <c r="Y1189" t="str">
        <f>VLOOKUP(D:D,代理总表!A:D,4,FALSE)</f>
        <v>外部代理总线zh0808</v>
      </c>
      <c r="Z1189">
        <f t="shared" si="54"/>
        <v>0</v>
      </c>
      <c r="AA1189">
        <f t="shared" si="55"/>
        <v>1</v>
      </c>
      <c r="AB1189">
        <f t="shared" si="56"/>
        <v>1</v>
      </c>
    </row>
    <row r="1190" spans="1:28">
      <c r="A1190" s="314" t="s">
        <v>4151</v>
      </c>
      <c r="B1190" s="314"/>
      <c r="C1190" s="314"/>
      <c r="D1190" s="314" t="s">
        <v>137</v>
      </c>
      <c r="E1190" s="314" t="s">
        <v>117</v>
      </c>
      <c r="F1190" s="314" t="s">
        <v>118</v>
      </c>
      <c r="G1190" s="314" t="s">
        <v>108</v>
      </c>
      <c r="H1190" s="314" t="s">
        <v>119</v>
      </c>
      <c r="I1190" s="314" t="s">
        <v>108</v>
      </c>
      <c r="J1190" s="314" t="s">
        <v>120</v>
      </c>
      <c r="K1190" s="314">
        <v>0</v>
      </c>
      <c r="L1190" s="314">
        <v>0</v>
      </c>
      <c r="M1190" s="315">
        <v>45145.0693171296</v>
      </c>
      <c r="N1190" s="314" t="s">
        <v>4152</v>
      </c>
      <c r="O1190" s="314" t="s">
        <v>710</v>
      </c>
      <c r="P1190" s="314" t="s">
        <v>339</v>
      </c>
      <c r="Q1190" s="314" t="s">
        <v>123</v>
      </c>
      <c r="R1190" s="315">
        <v>45145.0701851852</v>
      </c>
      <c r="S1190" s="314" t="s">
        <v>4152</v>
      </c>
      <c r="T1190" s="314" t="s">
        <v>4153</v>
      </c>
      <c r="U1190" s="314" t="s">
        <v>4153</v>
      </c>
      <c r="V1190" s="314" t="s">
        <v>114</v>
      </c>
      <c r="W1190" s="314"/>
      <c r="X1190" s="314" t="str">
        <f>VLOOKUP(D1190,代理总表!A:D,3,0)</f>
        <v>雨燕直播-越</v>
      </c>
      <c r="Y1190" t="str">
        <f>VLOOKUP(D:D,代理总表!A:D,4,FALSE)</f>
        <v>雨燕直播-越ffvn66</v>
      </c>
      <c r="Z1190">
        <f t="shared" si="54"/>
        <v>0</v>
      </c>
      <c r="AA1190">
        <f t="shared" si="55"/>
        <v>1</v>
      </c>
      <c r="AB1190">
        <f t="shared" si="56"/>
        <v>1</v>
      </c>
    </row>
    <row r="1191" spans="1:28">
      <c r="A1191" s="314" t="s">
        <v>4154</v>
      </c>
      <c r="B1191" s="314"/>
      <c r="C1191" s="314"/>
      <c r="D1191" s="314" t="s">
        <v>240</v>
      </c>
      <c r="E1191" s="314" t="s">
        <v>104</v>
      </c>
      <c r="F1191" s="314" t="s">
        <v>149</v>
      </c>
      <c r="G1191" s="314" t="s">
        <v>108</v>
      </c>
      <c r="H1191" s="314" t="s">
        <v>119</v>
      </c>
      <c r="I1191" s="314" t="s">
        <v>108</v>
      </c>
      <c r="J1191" s="314" t="s">
        <v>109</v>
      </c>
      <c r="K1191" s="314">
        <v>0</v>
      </c>
      <c r="L1191" s="314">
        <v>0</v>
      </c>
      <c r="M1191" s="315">
        <v>45145.0688194444</v>
      </c>
      <c r="N1191" s="314" t="s">
        <v>4155</v>
      </c>
      <c r="O1191" s="314" t="s">
        <v>344</v>
      </c>
      <c r="P1191" s="314" t="s">
        <v>112</v>
      </c>
      <c r="Q1191" s="314" t="s">
        <v>123</v>
      </c>
      <c r="R1191" s="315">
        <v>45145.0688078704</v>
      </c>
      <c r="S1191" s="314" t="s">
        <v>4155</v>
      </c>
      <c r="T1191" s="314" t="s">
        <v>1824</v>
      </c>
      <c r="U1191" s="314" t="s">
        <v>1824</v>
      </c>
      <c r="V1191" s="314" t="s">
        <v>114</v>
      </c>
      <c r="W1191" s="314"/>
      <c r="X1191" s="314" t="str">
        <f>VLOOKUP(D1191,代理总表!A:D,3,0)</f>
        <v>SEO邀请</v>
      </c>
      <c r="Y1191" t="str">
        <f>VLOOKUP(D:D,代理总表!A:D,4,FALSE)</f>
        <v>SEO</v>
      </c>
      <c r="Z1191">
        <f t="shared" si="54"/>
        <v>0</v>
      </c>
      <c r="AA1191">
        <f t="shared" si="55"/>
        <v>1</v>
      </c>
      <c r="AB1191">
        <f t="shared" si="56"/>
        <v>1</v>
      </c>
    </row>
    <row r="1192" spans="1:28">
      <c r="A1192" s="314" t="s">
        <v>4156</v>
      </c>
      <c r="B1192" s="314"/>
      <c r="C1192" s="314">
        <v>18731373392</v>
      </c>
      <c r="D1192" s="314" t="s">
        <v>1525</v>
      </c>
      <c r="E1192" s="314" t="s">
        <v>104</v>
      </c>
      <c r="F1192" s="314" t="s">
        <v>118</v>
      </c>
      <c r="G1192" s="314" t="s">
        <v>108</v>
      </c>
      <c r="H1192" s="314" t="s">
        <v>119</v>
      </c>
      <c r="I1192" s="314" t="s">
        <v>108</v>
      </c>
      <c r="J1192" s="314" t="s">
        <v>109</v>
      </c>
      <c r="K1192" s="314">
        <v>0</v>
      </c>
      <c r="L1192" s="314">
        <v>0</v>
      </c>
      <c r="M1192" s="315">
        <v>45145.0684375</v>
      </c>
      <c r="N1192" s="314" t="s">
        <v>4157</v>
      </c>
      <c r="O1192" s="314" t="s">
        <v>4158</v>
      </c>
      <c r="P1192" s="314" t="s">
        <v>339</v>
      </c>
      <c r="Q1192" s="314" t="s">
        <v>123</v>
      </c>
      <c r="R1192" s="315">
        <v>45145.0684375</v>
      </c>
      <c r="S1192" s="314" t="s">
        <v>4157</v>
      </c>
      <c r="T1192" s="314" t="s">
        <v>4159</v>
      </c>
      <c r="U1192" s="314" t="s">
        <v>4159</v>
      </c>
      <c r="V1192" s="314" t="s">
        <v>114</v>
      </c>
      <c r="W1192" s="314"/>
      <c r="X1192" s="314" t="str">
        <f>VLOOKUP(D1192,代理总表!A:D,3,0)</f>
        <v>GT-骨头</v>
      </c>
      <c r="Y1192" t="str">
        <f>VLOOKUP(D:D,代理总表!A:D,4,FALSE)</f>
        <v>B直播gt6677</v>
      </c>
      <c r="Z1192">
        <f t="shared" si="54"/>
        <v>0</v>
      </c>
      <c r="AA1192">
        <f t="shared" si="55"/>
        <v>1</v>
      </c>
      <c r="AB1192">
        <f t="shared" si="56"/>
        <v>1</v>
      </c>
    </row>
    <row r="1193" spans="1:28">
      <c r="A1193" s="314" t="s">
        <v>4160</v>
      </c>
      <c r="B1193" s="314" t="s">
        <v>4161</v>
      </c>
      <c r="C1193" s="314">
        <v>565430226</v>
      </c>
      <c r="D1193" s="314" t="s">
        <v>550</v>
      </c>
      <c r="E1193" s="314" t="s">
        <v>117</v>
      </c>
      <c r="F1193" s="314" t="s">
        <v>144</v>
      </c>
      <c r="G1193" s="314" t="s">
        <v>106</v>
      </c>
      <c r="H1193" s="314" t="s">
        <v>107</v>
      </c>
      <c r="I1193" s="314" t="s">
        <v>108</v>
      </c>
      <c r="J1193" s="314" t="s">
        <v>120</v>
      </c>
      <c r="K1193" s="314">
        <v>100000</v>
      </c>
      <c r="L1193" s="314">
        <v>60000</v>
      </c>
      <c r="M1193" s="315">
        <v>45145.0680439815</v>
      </c>
      <c r="N1193" s="314" t="s">
        <v>4162</v>
      </c>
      <c r="O1193" s="314" t="s">
        <v>603</v>
      </c>
      <c r="P1193" s="314" t="s">
        <v>208</v>
      </c>
      <c r="Q1193" s="315">
        <v>45145.6551967593</v>
      </c>
      <c r="R1193" s="315">
        <v>45145.9884375</v>
      </c>
      <c r="S1193" s="314" t="s">
        <v>4163</v>
      </c>
      <c r="T1193" s="314" t="s">
        <v>131</v>
      </c>
      <c r="U1193" s="314" t="s">
        <v>131</v>
      </c>
      <c r="V1193" s="314" t="s">
        <v>114</v>
      </c>
      <c r="W1193" s="314"/>
      <c r="X1193" s="314" t="str">
        <f>VLOOKUP(D1193,代理总表!A:D,3,0)</f>
        <v>SOCO越南直播</v>
      </c>
      <c r="Y1193" t="str">
        <f>VLOOKUP(D:D,代理总表!A:D,4,FALSE)</f>
        <v>SOCO越南直播ffvn66</v>
      </c>
      <c r="Z1193">
        <f t="shared" si="54"/>
        <v>1</v>
      </c>
      <c r="AA1193">
        <f t="shared" si="55"/>
        <v>1</v>
      </c>
      <c r="AB1193">
        <f t="shared" si="56"/>
        <v>1</v>
      </c>
    </row>
    <row r="1194" spans="1:28">
      <c r="A1194" s="314" t="s">
        <v>4164</v>
      </c>
      <c r="B1194" s="314"/>
      <c r="C1194" s="314"/>
      <c r="D1194" s="314" t="s">
        <v>394</v>
      </c>
      <c r="E1194" s="314" t="s">
        <v>117</v>
      </c>
      <c r="F1194" s="314" t="s">
        <v>118</v>
      </c>
      <c r="G1194" s="314" t="s">
        <v>108</v>
      </c>
      <c r="H1194" s="314" t="s">
        <v>119</v>
      </c>
      <c r="I1194" s="314" t="s">
        <v>108</v>
      </c>
      <c r="J1194" s="314" t="s">
        <v>120</v>
      </c>
      <c r="K1194" s="314">
        <v>0</v>
      </c>
      <c r="L1194" s="314">
        <v>0</v>
      </c>
      <c r="M1194" s="315">
        <v>45145.0680208333</v>
      </c>
      <c r="N1194" s="314" t="s">
        <v>4165</v>
      </c>
      <c r="O1194" s="314" t="s">
        <v>396</v>
      </c>
      <c r="P1194" s="314" t="s">
        <v>112</v>
      </c>
      <c r="Q1194" s="314" t="s">
        <v>123</v>
      </c>
      <c r="R1194" s="315">
        <v>45145.0680208333</v>
      </c>
      <c r="S1194" s="314" t="s">
        <v>4165</v>
      </c>
      <c r="T1194" s="314" t="s">
        <v>177</v>
      </c>
      <c r="U1194" s="314" t="s">
        <v>177</v>
      </c>
      <c r="V1194" s="314" t="s">
        <v>114</v>
      </c>
      <c r="W1194" s="314"/>
      <c r="X1194" s="314" t="str">
        <f>VLOOKUP(D1194,代理总表!A:D,3,0)</f>
        <v>外部代理总线</v>
      </c>
      <c r="Y1194" t="str">
        <f>VLOOKUP(D:D,代理总表!A:D,4,FALSE)</f>
        <v>外部代理总线zh0808</v>
      </c>
      <c r="Z1194">
        <f t="shared" si="54"/>
        <v>0</v>
      </c>
      <c r="AA1194">
        <f t="shared" si="55"/>
        <v>1</v>
      </c>
      <c r="AB1194">
        <f t="shared" si="56"/>
        <v>1</v>
      </c>
    </row>
    <row r="1195" spans="1:28">
      <c r="A1195" s="314" t="s">
        <v>4166</v>
      </c>
      <c r="B1195" s="314" t="s">
        <v>4167</v>
      </c>
      <c r="C1195" s="314">
        <v>846432223</v>
      </c>
      <c r="D1195" s="314" t="s">
        <v>224</v>
      </c>
      <c r="E1195" s="314" t="s">
        <v>117</v>
      </c>
      <c r="F1195" s="314" t="s">
        <v>144</v>
      </c>
      <c r="G1195" s="314" t="s">
        <v>106</v>
      </c>
      <c r="H1195" s="314" t="s">
        <v>107</v>
      </c>
      <c r="I1195" s="314" t="s">
        <v>108</v>
      </c>
      <c r="J1195" s="314" t="s">
        <v>120</v>
      </c>
      <c r="K1195" s="314">
        <v>180000</v>
      </c>
      <c r="L1195" s="314">
        <v>100000</v>
      </c>
      <c r="M1195" s="315">
        <v>45145.0677314815</v>
      </c>
      <c r="N1195" s="314" t="s">
        <v>4168</v>
      </c>
      <c r="O1195" s="314" t="s">
        <v>226</v>
      </c>
      <c r="P1195" s="314" t="s">
        <v>112</v>
      </c>
      <c r="Q1195" s="315">
        <v>45145.0795601852</v>
      </c>
      <c r="R1195" s="315">
        <v>45145.0677314815</v>
      </c>
      <c r="S1195" s="314" t="s">
        <v>4168</v>
      </c>
      <c r="T1195" s="314" t="s">
        <v>2649</v>
      </c>
      <c r="U1195" s="314" t="s">
        <v>2649</v>
      </c>
      <c r="V1195" s="314" t="s">
        <v>114</v>
      </c>
      <c r="W1195" s="314"/>
      <c r="X1195" s="314" t="str">
        <f>VLOOKUP(D1195,代理总表!A:D,3,0)</f>
        <v>雨燕直播-越</v>
      </c>
      <c r="Y1195" t="str">
        <f>VLOOKUP(D:D,代理总表!A:D,4,FALSE)</f>
        <v>雨燕直播-越ffvn66</v>
      </c>
      <c r="Z1195">
        <f t="shared" si="54"/>
        <v>1</v>
      </c>
      <c r="AA1195">
        <f t="shared" si="55"/>
        <v>1</v>
      </c>
      <c r="AB1195">
        <f t="shared" si="56"/>
        <v>1</v>
      </c>
    </row>
    <row r="1196" spans="1:28">
      <c r="A1196" s="314" t="s">
        <v>4169</v>
      </c>
      <c r="B1196" s="314" t="s">
        <v>4170</v>
      </c>
      <c r="C1196" s="314">
        <v>17774259964</v>
      </c>
      <c r="D1196" s="314" t="s">
        <v>754</v>
      </c>
      <c r="E1196" s="314" t="s">
        <v>104</v>
      </c>
      <c r="F1196" s="314" t="s">
        <v>149</v>
      </c>
      <c r="G1196" s="314" t="s">
        <v>108</v>
      </c>
      <c r="H1196" s="314" t="s">
        <v>119</v>
      </c>
      <c r="I1196" s="314" t="s">
        <v>108</v>
      </c>
      <c r="J1196" s="314" t="s">
        <v>109</v>
      </c>
      <c r="K1196" s="314">
        <v>0</v>
      </c>
      <c r="L1196" s="314">
        <v>0</v>
      </c>
      <c r="M1196" s="315">
        <v>45145.0675231482</v>
      </c>
      <c r="N1196" s="314" t="s">
        <v>4171</v>
      </c>
      <c r="O1196" s="314" t="s">
        <v>756</v>
      </c>
      <c r="P1196" s="314" t="s">
        <v>112</v>
      </c>
      <c r="Q1196" s="314" t="s">
        <v>123</v>
      </c>
      <c r="R1196" s="315">
        <v>45145.0868981481</v>
      </c>
      <c r="S1196" s="314" t="s">
        <v>4171</v>
      </c>
      <c r="T1196" s="314" t="s">
        <v>808</v>
      </c>
      <c r="U1196" s="314" t="s">
        <v>808</v>
      </c>
      <c r="V1196" s="314" t="s">
        <v>114</v>
      </c>
      <c r="W1196" s="314" t="s">
        <v>4172</v>
      </c>
      <c r="X1196" s="314" t="str">
        <f>VLOOKUP(D1196,代理总表!A:D,3,0)</f>
        <v>SEO掉线用户转线</v>
      </c>
      <c r="Y1196" t="str">
        <f>VLOOKUP(D:D,代理总表!A:D,4,FALSE)</f>
        <v>SEO</v>
      </c>
      <c r="Z1196">
        <f t="shared" si="54"/>
        <v>0</v>
      </c>
      <c r="AA1196">
        <f t="shared" si="55"/>
        <v>1</v>
      </c>
      <c r="AB1196">
        <f t="shared" si="56"/>
        <v>1</v>
      </c>
    </row>
    <row r="1197" spans="1:28">
      <c r="A1197" s="314" t="s">
        <v>4173</v>
      </c>
      <c r="B1197" s="314" t="s">
        <v>4174</v>
      </c>
      <c r="C1197" s="314">
        <v>15625756817</v>
      </c>
      <c r="D1197" s="314" t="s">
        <v>249</v>
      </c>
      <c r="E1197" s="314" t="s">
        <v>104</v>
      </c>
      <c r="F1197" s="314" t="s">
        <v>105</v>
      </c>
      <c r="G1197" s="314" t="s">
        <v>106</v>
      </c>
      <c r="H1197" s="314" t="s">
        <v>856</v>
      </c>
      <c r="I1197" s="314" t="s">
        <v>108</v>
      </c>
      <c r="J1197" s="314" t="s">
        <v>109</v>
      </c>
      <c r="K1197" s="314">
        <v>2600.11</v>
      </c>
      <c r="L1197" s="314">
        <v>3800</v>
      </c>
      <c r="M1197" s="315">
        <v>45145.067349537</v>
      </c>
      <c r="N1197" s="314" t="s">
        <v>4175</v>
      </c>
      <c r="O1197" s="314" t="s">
        <v>251</v>
      </c>
      <c r="P1197" s="314" t="s">
        <v>112</v>
      </c>
      <c r="Q1197" s="315">
        <v>45145.0861342593</v>
      </c>
      <c r="R1197" s="315">
        <v>45146.1701967593</v>
      </c>
      <c r="S1197" s="314" t="s">
        <v>4176</v>
      </c>
      <c r="T1197" s="314" t="s">
        <v>256</v>
      </c>
      <c r="U1197" s="314" t="s">
        <v>256</v>
      </c>
      <c r="V1197" s="314" t="s">
        <v>114</v>
      </c>
      <c r="W1197" s="314"/>
      <c r="X1197" s="314" t="str">
        <f>VLOOKUP(D1197,代理总表!A:D,3,0)</f>
        <v>飞哥雨燕直播</v>
      </c>
      <c r="Y1197" t="str">
        <f>VLOOKUP(D:D,代理总表!A:D,4,FALSE)</f>
        <v>飞哥雨燕直播ffmk88</v>
      </c>
      <c r="Z1197">
        <f t="shared" si="54"/>
        <v>1</v>
      </c>
      <c r="AA1197">
        <f t="shared" si="55"/>
        <v>1</v>
      </c>
      <c r="AB1197">
        <f t="shared" si="56"/>
        <v>1</v>
      </c>
    </row>
    <row r="1198" spans="1:28">
      <c r="A1198" s="314" t="s">
        <v>4177</v>
      </c>
      <c r="B1198" s="314"/>
      <c r="C1198" s="314">
        <v>961909015</v>
      </c>
      <c r="D1198" s="314" t="s">
        <v>197</v>
      </c>
      <c r="E1198" s="314" t="s">
        <v>117</v>
      </c>
      <c r="F1198" s="314" t="s">
        <v>118</v>
      </c>
      <c r="G1198" s="314" t="s">
        <v>108</v>
      </c>
      <c r="H1198" s="314" t="s">
        <v>119</v>
      </c>
      <c r="I1198" s="314" t="s">
        <v>108</v>
      </c>
      <c r="J1198" s="314" t="s">
        <v>120</v>
      </c>
      <c r="K1198" s="314">
        <v>0</v>
      </c>
      <c r="L1198" s="314">
        <v>0</v>
      </c>
      <c r="M1198" s="315">
        <v>45145.0667592593</v>
      </c>
      <c r="N1198" s="314" t="s">
        <v>4178</v>
      </c>
      <c r="O1198" s="314" t="s">
        <v>875</v>
      </c>
      <c r="P1198" s="314" t="s">
        <v>112</v>
      </c>
      <c r="Q1198" s="314" t="s">
        <v>123</v>
      </c>
      <c r="R1198" s="315">
        <v>45145.1337962963</v>
      </c>
      <c r="S1198" s="314" t="s">
        <v>4178</v>
      </c>
      <c r="T1198" s="314" t="s">
        <v>131</v>
      </c>
      <c r="U1198" s="314" t="s">
        <v>131</v>
      </c>
      <c r="V1198" s="314" t="s">
        <v>114</v>
      </c>
      <c r="W1198" s="314"/>
      <c r="X1198" s="314" t="str">
        <f>VLOOKUP(D1198,代理总表!A:D,3,0)</f>
        <v>雨燕直播-越</v>
      </c>
      <c r="Y1198" t="str">
        <f>VLOOKUP(D:D,代理总表!A:D,4,FALSE)</f>
        <v>雨燕直播-越ffvn66</v>
      </c>
      <c r="Z1198">
        <f t="shared" si="54"/>
        <v>0</v>
      </c>
      <c r="AA1198">
        <f t="shared" si="55"/>
        <v>1</v>
      </c>
      <c r="AB1198">
        <f t="shared" si="56"/>
        <v>1</v>
      </c>
    </row>
    <row r="1199" spans="1:28">
      <c r="A1199" s="314" t="s">
        <v>4179</v>
      </c>
      <c r="B1199" s="314"/>
      <c r="C1199" s="314"/>
      <c r="D1199" s="314" t="s">
        <v>116</v>
      </c>
      <c r="E1199" s="314" t="s">
        <v>117</v>
      </c>
      <c r="F1199" s="314" t="s">
        <v>118</v>
      </c>
      <c r="G1199" s="314" t="s">
        <v>108</v>
      </c>
      <c r="H1199" s="314" t="s">
        <v>119</v>
      </c>
      <c r="I1199" s="314" t="s">
        <v>108</v>
      </c>
      <c r="J1199" s="314" t="s">
        <v>120</v>
      </c>
      <c r="K1199" s="314">
        <v>0</v>
      </c>
      <c r="L1199" s="314">
        <v>0</v>
      </c>
      <c r="M1199" s="315">
        <v>45145.065474537</v>
      </c>
      <c r="N1199" s="314" t="s">
        <v>4180</v>
      </c>
      <c r="O1199" s="314" t="s">
        <v>122</v>
      </c>
      <c r="P1199" s="314" t="s">
        <v>112</v>
      </c>
      <c r="Q1199" s="314" t="s">
        <v>123</v>
      </c>
      <c r="R1199" s="315">
        <v>45145.0714930556</v>
      </c>
      <c r="S1199" s="314" t="s">
        <v>4180</v>
      </c>
      <c r="T1199" s="314" t="s">
        <v>907</v>
      </c>
      <c r="U1199" s="314" t="s">
        <v>907</v>
      </c>
      <c r="V1199" s="314" t="s">
        <v>114</v>
      </c>
      <c r="W1199" s="314"/>
      <c r="X1199" s="314" t="str">
        <f>VLOOKUP(D1199,代理总表!A:D,3,0)</f>
        <v>外部代理总线</v>
      </c>
      <c r="Y1199" t="str">
        <f>VLOOKUP(D:D,代理总表!A:D,4,FALSE)</f>
        <v>外部代理总线zh0808</v>
      </c>
      <c r="Z1199">
        <f t="shared" si="54"/>
        <v>0</v>
      </c>
      <c r="AA1199">
        <f t="shared" si="55"/>
        <v>1</v>
      </c>
      <c r="AB1199">
        <f t="shared" si="56"/>
        <v>1</v>
      </c>
    </row>
    <row r="1200" spans="1:28">
      <c r="A1200" s="314" t="s">
        <v>4181</v>
      </c>
      <c r="B1200" s="314" t="s">
        <v>4182</v>
      </c>
      <c r="C1200" s="314">
        <v>945807888</v>
      </c>
      <c r="D1200" s="314" t="s">
        <v>143</v>
      </c>
      <c r="E1200" s="314" t="s">
        <v>117</v>
      </c>
      <c r="F1200" s="314" t="s">
        <v>118</v>
      </c>
      <c r="G1200" s="314" t="s">
        <v>108</v>
      </c>
      <c r="H1200" s="314" t="s">
        <v>119</v>
      </c>
      <c r="I1200" s="314" t="s">
        <v>108</v>
      </c>
      <c r="J1200" s="314" t="s">
        <v>120</v>
      </c>
      <c r="K1200" s="314">
        <v>0</v>
      </c>
      <c r="L1200" s="314">
        <v>0</v>
      </c>
      <c r="M1200" s="315">
        <v>45145.0645138889</v>
      </c>
      <c r="N1200" s="314" t="s">
        <v>4183</v>
      </c>
      <c r="O1200" s="314" t="s">
        <v>1985</v>
      </c>
      <c r="P1200" s="314" t="s">
        <v>339</v>
      </c>
      <c r="Q1200" s="314" t="s">
        <v>123</v>
      </c>
      <c r="R1200" s="315">
        <v>45145.0645023148</v>
      </c>
      <c r="S1200" s="314" t="s">
        <v>4183</v>
      </c>
      <c r="T1200" s="314" t="s">
        <v>131</v>
      </c>
      <c r="U1200" s="314" t="s">
        <v>131</v>
      </c>
      <c r="V1200" s="314" t="s">
        <v>114</v>
      </c>
      <c r="W1200" s="314"/>
      <c r="X1200" s="314" t="str">
        <f>VLOOKUP(D1200,代理总表!A:D,3,0)</f>
        <v>雨燕直播-越</v>
      </c>
      <c r="Y1200" t="str">
        <f>VLOOKUP(D:D,代理总表!A:D,4,FALSE)</f>
        <v>雨燕直播-越ffvn66</v>
      </c>
      <c r="Z1200">
        <f t="shared" si="54"/>
        <v>0</v>
      </c>
      <c r="AA1200">
        <f t="shared" si="55"/>
        <v>1</v>
      </c>
      <c r="AB1200">
        <f t="shared" si="56"/>
        <v>1</v>
      </c>
    </row>
    <row r="1201" spans="1:28">
      <c r="A1201" s="314" t="s">
        <v>4184</v>
      </c>
      <c r="B1201" s="314"/>
      <c r="C1201" s="314">
        <v>926751636</v>
      </c>
      <c r="D1201" s="314" t="s">
        <v>2626</v>
      </c>
      <c r="E1201" s="314" t="s">
        <v>117</v>
      </c>
      <c r="F1201" s="314" t="s">
        <v>118</v>
      </c>
      <c r="G1201" s="314" t="s">
        <v>108</v>
      </c>
      <c r="H1201" s="314" t="s">
        <v>119</v>
      </c>
      <c r="I1201" s="314" t="s">
        <v>108</v>
      </c>
      <c r="J1201" s="314" t="s">
        <v>120</v>
      </c>
      <c r="K1201" s="314">
        <v>0</v>
      </c>
      <c r="L1201" s="314">
        <v>0</v>
      </c>
      <c r="M1201" s="315">
        <v>45145.0642824074</v>
      </c>
      <c r="N1201" s="314" t="s">
        <v>4185</v>
      </c>
      <c r="O1201" s="314" t="s">
        <v>2628</v>
      </c>
      <c r="P1201" s="314" t="s">
        <v>112</v>
      </c>
      <c r="Q1201" s="314" t="s">
        <v>123</v>
      </c>
      <c r="R1201" s="315">
        <v>45145.0642824074</v>
      </c>
      <c r="S1201" s="314" t="s">
        <v>4185</v>
      </c>
      <c r="T1201" s="314" t="s">
        <v>131</v>
      </c>
      <c r="U1201" s="314" t="s">
        <v>131</v>
      </c>
      <c r="V1201" s="314" t="s">
        <v>114</v>
      </c>
      <c r="W1201" s="314"/>
      <c r="X1201" s="314" t="str">
        <f>VLOOKUP(D1201,代理总表!A:D,3,0)</f>
        <v>SOCO越南直播</v>
      </c>
      <c r="Y1201" t="str">
        <f>VLOOKUP(D:D,代理总表!A:D,4,FALSE)</f>
        <v>SOCO越南直播ffvn66</v>
      </c>
      <c r="Z1201">
        <f t="shared" si="54"/>
        <v>0</v>
      </c>
      <c r="AA1201">
        <f t="shared" si="55"/>
        <v>1</v>
      </c>
      <c r="AB1201">
        <f t="shared" si="56"/>
        <v>1</v>
      </c>
    </row>
    <row r="1202" spans="1:28">
      <c r="A1202" s="314" t="s">
        <v>4186</v>
      </c>
      <c r="B1202" s="314"/>
      <c r="C1202" s="314">
        <v>18317865685</v>
      </c>
      <c r="D1202" s="314" t="s">
        <v>205</v>
      </c>
      <c r="E1202" s="314" t="s">
        <v>104</v>
      </c>
      <c r="F1202" s="314" t="s">
        <v>149</v>
      </c>
      <c r="G1202" s="314" t="s">
        <v>108</v>
      </c>
      <c r="H1202" s="314" t="s">
        <v>119</v>
      </c>
      <c r="I1202" s="314" t="s">
        <v>108</v>
      </c>
      <c r="J1202" s="314" t="s">
        <v>109</v>
      </c>
      <c r="K1202" s="314">
        <v>0</v>
      </c>
      <c r="L1202" s="314">
        <v>0</v>
      </c>
      <c r="M1202" s="315">
        <v>45145.0625578704</v>
      </c>
      <c r="N1202" s="314" t="s">
        <v>4187</v>
      </c>
      <c r="O1202" s="314" t="s">
        <v>207</v>
      </c>
      <c r="P1202" s="314" t="s">
        <v>161</v>
      </c>
      <c r="Q1202" s="314" t="s">
        <v>123</v>
      </c>
      <c r="R1202" s="315">
        <v>45145.0625462963</v>
      </c>
      <c r="S1202" s="314" t="s">
        <v>4187</v>
      </c>
      <c r="T1202" s="314" t="s">
        <v>4188</v>
      </c>
      <c r="U1202" s="314" t="s">
        <v>4188</v>
      </c>
      <c r="V1202" s="314" t="s">
        <v>114</v>
      </c>
      <c r="W1202" s="314"/>
      <c r="X1202" s="314" t="str">
        <f>VLOOKUP(D1202,代理总表!A:D,3,0)</f>
        <v>ben</v>
      </c>
      <c r="Y1202" t="str">
        <f>VLOOKUP(D:D,代理总表!A:D,4,FALSE)</f>
        <v>SEO</v>
      </c>
      <c r="Z1202">
        <f t="shared" si="54"/>
        <v>0</v>
      </c>
      <c r="AA1202">
        <f t="shared" si="55"/>
        <v>1</v>
      </c>
      <c r="AB1202">
        <f t="shared" si="56"/>
        <v>1</v>
      </c>
    </row>
    <row r="1203" spans="1:28">
      <c r="A1203" s="314" t="s">
        <v>4189</v>
      </c>
      <c r="B1203" s="314" t="s">
        <v>4190</v>
      </c>
      <c r="C1203" s="314">
        <v>15013502928</v>
      </c>
      <c r="D1203" s="314" t="s">
        <v>249</v>
      </c>
      <c r="E1203" s="314" t="s">
        <v>104</v>
      </c>
      <c r="F1203" s="314" t="s">
        <v>144</v>
      </c>
      <c r="G1203" s="314" t="s">
        <v>106</v>
      </c>
      <c r="H1203" s="314" t="s">
        <v>107</v>
      </c>
      <c r="I1203" s="314" t="s">
        <v>108</v>
      </c>
      <c r="J1203" s="314" t="s">
        <v>109</v>
      </c>
      <c r="K1203" s="314">
        <v>1000</v>
      </c>
      <c r="L1203" s="314">
        <v>0</v>
      </c>
      <c r="M1203" s="315">
        <v>45145.0612615741</v>
      </c>
      <c r="N1203" s="314" t="s">
        <v>4191</v>
      </c>
      <c r="O1203" s="314" t="s">
        <v>251</v>
      </c>
      <c r="P1203" s="314" t="s">
        <v>112</v>
      </c>
      <c r="Q1203" s="315">
        <v>45145.464375</v>
      </c>
      <c r="R1203" s="315">
        <v>45146.0577546296</v>
      </c>
      <c r="S1203" s="314" t="s">
        <v>4192</v>
      </c>
      <c r="T1203" s="314" t="s">
        <v>946</v>
      </c>
      <c r="U1203" s="314" t="s">
        <v>946</v>
      </c>
      <c r="V1203" s="314" t="s">
        <v>114</v>
      </c>
      <c r="W1203" s="314"/>
      <c r="X1203" s="314" t="str">
        <f>VLOOKUP(D1203,代理总表!A:D,3,0)</f>
        <v>飞哥雨燕直播</v>
      </c>
      <c r="Y1203" t="str">
        <f>VLOOKUP(D:D,代理总表!A:D,4,FALSE)</f>
        <v>飞哥雨燕直播ffmk88</v>
      </c>
      <c r="Z1203">
        <f t="shared" si="54"/>
        <v>1</v>
      </c>
      <c r="AA1203">
        <f t="shared" si="55"/>
        <v>1</v>
      </c>
      <c r="AB1203">
        <f t="shared" si="56"/>
        <v>1</v>
      </c>
    </row>
    <row r="1204" spans="1:28">
      <c r="A1204" s="314" t="s">
        <v>4193</v>
      </c>
      <c r="B1204" s="314"/>
      <c r="C1204" s="314">
        <v>15625538767</v>
      </c>
      <c r="D1204" s="314" t="s">
        <v>294</v>
      </c>
      <c r="E1204" s="314" t="s">
        <v>104</v>
      </c>
      <c r="F1204" s="314" t="s">
        <v>149</v>
      </c>
      <c r="G1204" s="314" t="s">
        <v>108</v>
      </c>
      <c r="H1204" s="314" t="s">
        <v>119</v>
      </c>
      <c r="I1204" s="314" t="s">
        <v>108</v>
      </c>
      <c r="J1204" s="314" t="s">
        <v>109</v>
      </c>
      <c r="K1204" s="314">
        <v>0</v>
      </c>
      <c r="L1204" s="314">
        <v>0</v>
      </c>
      <c r="M1204" s="315">
        <v>45145.0611921296</v>
      </c>
      <c r="N1204" s="314" t="s">
        <v>4194</v>
      </c>
      <c r="O1204" s="314" t="s">
        <v>1951</v>
      </c>
      <c r="P1204" s="314" t="s">
        <v>112</v>
      </c>
      <c r="Q1204" s="314" t="s">
        <v>123</v>
      </c>
      <c r="R1204" s="315">
        <v>45145.0611921296</v>
      </c>
      <c r="S1204" s="314" t="s">
        <v>4194</v>
      </c>
      <c r="T1204" s="314" t="s">
        <v>152</v>
      </c>
      <c r="U1204" s="314" t="s">
        <v>152</v>
      </c>
      <c r="V1204" s="314" t="s">
        <v>114</v>
      </c>
      <c r="W1204" s="314"/>
      <c r="X1204" s="314" t="str">
        <f>VLOOKUP(D1204,代理总表!A:D,3,0)</f>
        <v>DK</v>
      </c>
      <c r="Y1204" t="str">
        <f>VLOOKUP(D:D,代理总表!A:D,4,FALSE)</f>
        <v>SEO</v>
      </c>
      <c r="Z1204">
        <f t="shared" si="54"/>
        <v>0</v>
      </c>
      <c r="AA1204">
        <f t="shared" si="55"/>
        <v>1</v>
      </c>
      <c r="AB1204">
        <f t="shared" si="56"/>
        <v>1</v>
      </c>
    </row>
    <row r="1205" spans="1:28">
      <c r="A1205" s="314" t="s">
        <v>4195</v>
      </c>
      <c r="B1205" s="314" t="s">
        <v>4196</v>
      </c>
      <c r="C1205" s="314">
        <v>15200000400</v>
      </c>
      <c r="D1205" s="314" t="s">
        <v>103</v>
      </c>
      <c r="E1205" s="314" t="s">
        <v>104</v>
      </c>
      <c r="F1205" s="314" t="s">
        <v>105</v>
      </c>
      <c r="G1205" s="314" t="s">
        <v>106</v>
      </c>
      <c r="H1205" s="314" t="s">
        <v>107</v>
      </c>
      <c r="I1205" s="314" t="s">
        <v>108</v>
      </c>
      <c r="J1205" s="314" t="s">
        <v>109</v>
      </c>
      <c r="K1205" s="314">
        <v>100</v>
      </c>
      <c r="L1205" s="314">
        <v>100</v>
      </c>
      <c r="M1205" s="315">
        <v>45145.0607291667</v>
      </c>
      <c r="N1205" s="314" t="s">
        <v>4197</v>
      </c>
      <c r="O1205" s="314" t="s">
        <v>4198</v>
      </c>
      <c r="P1205" s="314" t="s">
        <v>161</v>
      </c>
      <c r="Q1205" s="315">
        <v>45145.0647453704</v>
      </c>
      <c r="R1205" s="315">
        <v>45146.327962963</v>
      </c>
      <c r="S1205" s="314" t="s">
        <v>4197</v>
      </c>
      <c r="T1205" s="314" t="s">
        <v>3213</v>
      </c>
      <c r="U1205" s="314" t="s">
        <v>3213</v>
      </c>
      <c r="V1205" s="314" t="s">
        <v>114</v>
      </c>
      <c r="W1205" s="314" t="s">
        <v>4105</v>
      </c>
      <c r="X1205" s="314" t="str">
        <f>VLOOKUP(D1205,代理总表!A:D,3,0)</f>
        <v>官网</v>
      </c>
      <c r="Y1205" t="str">
        <f>VLOOKUP(D:D,代理总表!A:D,4,FALSE)</f>
        <v>官网</v>
      </c>
      <c r="Z1205">
        <f t="shared" si="54"/>
        <v>1</v>
      </c>
      <c r="AA1205">
        <f t="shared" si="55"/>
        <v>1</v>
      </c>
      <c r="AB1205">
        <f t="shared" si="56"/>
        <v>1</v>
      </c>
    </row>
    <row r="1206" spans="1:28">
      <c r="A1206" s="314" t="s">
        <v>4199</v>
      </c>
      <c r="B1206" s="314"/>
      <c r="C1206" s="314"/>
      <c r="D1206" s="314" t="s">
        <v>103</v>
      </c>
      <c r="E1206" s="314" t="s">
        <v>104</v>
      </c>
      <c r="F1206" s="314" t="s">
        <v>118</v>
      </c>
      <c r="G1206" s="314" t="s">
        <v>108</v>
      </c>
      <c r="H1206" s="314" t="s">
        <v>119</v>
      </c>
      <c r="I1206" s="314" t="s">
        <v>108</v>
      </c>
      <c r="J1206" s="314" t="s">
        <v>109</v>
      </c>
      <c r="K1206" s="314">
        <v>0</v>
      </c>
      <c r="L1206" s="314">
        <v>0</v>
      </c>
      <c r="M1206" s="315">
        <v>45145.0586111111</v>
      </c>
      <c r="N1206" s="314" t="s">
        <v>4200</v>
      </c>
      <c r="O1206" s="314" t="s">
        <v>4201</v>
      </c>
      <c r="P1206" s="314" t="s">
        <v>208</v>
      </c>
      <c r="Q1206" s="314" t="s">
        <v>123</v>
      </c>
      <c r="R1206" s="315">
        <v>45145.0586111111</v>
      </c>
      <c r="S1206" s="314" t="s">
        <v>4200</v>
      </c>
      <c r="T1206" s="314" t="s">
        <v>849</v>
      </c>
      <c r="U1206" s="314" t="s">
        <v>849</v>
      </c>
      <c r="V1206" s="314" t="s">
        <v>114</v>
      </c>
      <c r="W1206" s="314"/>
      <c r="X1206" s="314" t="str">
        <f>VLOOKUP(D1206,代理总表!A:D,3,0)</f>
        <v>官网</v>
      </c>
      <c r="Y1206" t="str">
        <f>VLOOKUP(D:D,代理总表!A:D,4,FALSE)</f>
        <v>官网</v>
      </c>
      <c r="Z1206">
        <f t="shared" si="54"/>
        <v>0</v>
      </c>
      <c r="AA1206">
        <f t="shared" si="55"/>
        <v>1</v>
      </c>
      <c r="AB1206">
        <f t="shared" si="56"/>
        <v>1</v>
      </c>
    </row>
    <row r="1207" spans="1:28">
      <c r="A1207" s="314" t="s">
        <v>4202</v>
      </c>
      <c r="B1207" s="314"/>
      <c r="C1207" s="314"/>
      <c r="D1207" s="314" t="s">
        <v>550</v>
      </c>
      <c r="E1207" s="314" t="s">
        <v>117</v>
      </c>
      <c r="F1207" s="314" t="s">
        <v>118</v>
      </c>
      <c r="G1207" s="314" t="s">
        <v>108</v>
      </c>
      <c r="H1207" s="314" t="s">
        <v>119</v>
      </c>
      <c r="I1207" s="314" t="s">
        <v>108</v>
      </c>
      <c r="J1207" s="314" t="s">
        <v>120</v>
      </c>
      <c r="K1207" s="314">
        <v>0</v>
      </c>
      <c r="L1207" s="314">
        <v>0</v>
      </c>
      <c r="M1207" s="315">
        <v>45145.0584953704</v>
      </c>
      <c r="N1207" s="314" t="s">
        <v>4203</v>
      </c>
      <c r="O1207" s="314" t="s">
        <v>603</v>
      </c>
      <c r="P1207" s="314" t="s">
        <v>112</v>
      </c>
      <c r="Q1207" s="314" t="s">
        <v>123</v>
      </c>
      <c r="R1207" s="315">
        <v>45145.0754513889</v>
      </c>
      <c r="S1207" s="314" t="s">
        <v>4204</v>
      </c>
      <c r="T1207" s="314" t="s">
        <v>134</v>
      </c>
      <c r="U1207" s="314" t="s">
        <v>124</v>
      </c>
      <c r="V1207" s="314" t="s">
        <v>114</v>
      </c>
      <c r="W1207" s="314"/>
      <c r="X1207" s="314" t="str">
        <f>VLOOKUP(D1207,代理总表!A:D,3,0)</f>
        <v>SOCO越南直播</v>
      </c>
      <c r="Y1207" t="str">
        <f>VLOOKUP(D:D,代理总表!A:D,4,FALSE)</f>
        <v>SOCO越南直播ffvn66</v>
      </c>
      <c r="Z1207">
        <f t="shared" si="54"/>
        <v>0</v>
      </c>
      <c r="AA1207">
        <f t="shared" si="55"/>
        <v>1</v>
      </c>
      <c r="AB1207">
        <f t="shared" si="56"/>
        <v>1</v>
      </c>
    </row>
    <row r="1208" spans="1:28">
      <c r="A1208" s="314" t="s">
        <v>4205</v>
      </c>
      <c r="B1208" s="314"/>
      <c r="C1208" s="314"/>
      <c r="D1208" s="314" t="s">
        <v>651</v>
      </c>
      <c r="E1208" s="314" t="s">
        <v>117</v>
      </c>
      <c r="F1208" s="314" t="s">
        <v>118</v>
      </c>
      <c r="G1208" s="314" t="s">
        <v>108</v>
      </c>
      <c r="H1208" s="314" t="s">
        <v>119</v>
      </c>
      <c r="I1208" s="314" t="s">
        <v>108</v>
      </c>
      <c r="J1208" s="314" t="s">
        <v>120</v>
      </c>
      <c r="K1208" s="314">
        <v>0</v>
      </c>
      <c r="L1208" s="314">
        <v>0</v>
      </c>
      <c r="M1208" s="315">
        <v>45145.0582523148</v>
      </c>
      <c r="N1208" s="314" t="s">
        <v>4206</v>
      </c>
      <c r="O1208" s="314" t="s">
        <v>1794</v>
      </c>
      <c r="P1208" s="314" t="s">
        <v>339</v>
      </c>
      <c r="Q1208" s="314" t="s">
        <v>123</v>
      </c>
      <c r="R1208" s="315">
        <v>45145.0582523148</v>
      </c>
      <c r="S1208" s="314" t="s">
        <v>4206</v>
      </c>
      <c r="T1208" s="314" t="s">
        <v>124</v>
      </c>
      <c r="U1208" s="314" t="s">
        <v>124</v>
      </c>
      <c r="V1208" s="314" t="s">
        <v>114</v>
      </c>
      <c r="W1208" s="314"/>
      <c r="X1208" s="314" t="str">
        <f>VLOOKUP(D1208,代理总表!A:D,3,0)</f>
        <v>雨燕直播-越</v>
      </c>
      <c r="Y1208" t="str">
        <f>VLOOKUP(D:D,代理总表!A:D,4,FALSE)</f>
        <v>雨燕直播-越ffvn66</v>
      </c>
      <c r="Z1208">
        <f t="shared" si="54"/>
        <v>0</v>
      </c>
      <c r="AA1208">
        <f t="shared" si="55"/>
        <v>1</v>
      </c>
      <c r="AB1208">
        <f t="shared" si="56"/>
        <v>1</v>
      </c>
    </row>
    <row r="1209" spans="1:28">
      <c r="A1209" s="314" t="s">
        <v>4207</v>
      </c>
      <c r="B1209" s="314"/>
      <c r="C1209" s="314">
        <v>15524585062</v>
      </c>
      <c r="D1209" s="314" t="s">
        <v>4208</v>
      </c>
      <c r="E1209" s="314" t="s">
        <v>104</v>
      </c>
      <c r="F1209" s="314" t="s">
        <v>144</v>
      </c>
      <c r="G1209" s="314" t="s">
        <v>106</v>
      </c>
      <c r="H1209" s="314" t="s">
        <v>107</v>
      </c>
      <c r="I1209" s="314" t="s">
        <v>108</v>
      </c>
      <c r="J1209" s="314" t="s">
        <v>415</v>
      </c>
      <c r="K1209" s="314">
        <v>232.3</v>
      </c>
      <c r="L1209" s="314">
        <v>230</v>
      </c>
      <c r="M1209" s="315">
        <v>45145.0582060185</v>
      </c>
      <c r="N1209" s="314" t="s">
        <v>4209</v>
      </c>
      <c r="O1209" s="314" t="s">
        <v>4210</v>
      </c>
      <c r="P1209" s="314" t="s">
        <v>112</v>
      </c>
      <c r="Q1209" s="315">
        <v>45145.0830902778</v>
      </c>
      <c r="R1209" s="315">
        <v>45146.1781481481</v>
      </c>
      <c r="S1209" s="314" t="s">
        <v>4209</v>
      </c>
      <c r="T1209" s="314" t="s">
        <v>467</v>
      </c>
      <c r="U1209" s="314" t="s">
        <v>467</v>
      </c>
      <c r="V1209" s="314" t="s">
        <v>114</v>
      </c>
      <c r="W1209" s="314"/>
      <c r="X1209" s="314" t="e">
        <f>VLOOKUP(D1209,代理总表!A:D,3,0)</f>
        <v>#N/A</v>
      </c>
      <c r="Y1209" t="e">
        <f>VLOOKUP(D:D,代理总表!A:D,4,FALSE)</f>
        <v>#N/A</v>
      </c>
      <c r="Z1209">
        <f t="shared" si="54"/>
        <v>1</v>
      </c>
      <c r="AA1209">
        <f t="shared" si="55"/>
        <v>1</v>
      </c>
      <c r="AB1209">
        <f t="shared" si="56"/>
        <v>1</v>
      </c>
    </row>
    <row r="1210" spans="1:28">
      <c r="A1210" s="314" t="s">
        <v>4211</v>
      </c>
      <c r="B1210" s="314"/>
      <c r="C1210" s="314">
        <v>15655669110</v>
      </c>
      <c r="D1210" s="314" t="s">
        <v>148</v>
      </c>
      <c r="E1210" s="314" t="s">
        <v>104</v>
      </c>
      <c r="F1210" s="314" t="s">
        <v>149</v>
      </c>
      <c r="G1210" s="314" t="s">
        <v>108</v>
      </c>
      <c r="H1210" s="314" t="s">
        <v>119</v>
      </c>
      <c r="I1210" s="314" t="s">
        <v>108</v>
      </c>
      <c r="J1210" s="314" t="s">
        <v>109</v>
      </c>
      <c r="K1210" s="314">
        <v>0</v>
      </c>
      <c r="L1210" s="314">
        <v>0</v>
      </c>
      <c r="M1210" s="315">
        <v>45145.0579861111</v>
      </c>
      <c r="N1210" s="314" t="s">
        <v>4212</v>
      </c>
      <c r="O1210" s="314" t="s">
        <v>160</v>
      </c>
      <c r="P1210" s="314" t="s">
        <v>208</v>
      </c>
      <c r="Q1210" s="314" t="s">
        <v>123</v>
      </c>
      <c r="R1210" s="315">
        <v>45145.057974537</v>
      </c>
      <c r="S1210" s="314" t="s">
        <v>4212</v>
      </c>
      <c r="T1210" s="314" t="s">
        <v>4213</v>
      </c>
      <c r="U1210" s="314" t="s">
        <v>4213</v>
      </c>
      <c r="V1210" s="314" t="s">
        <v>114</v>
      </c>
      <c r="W1210" s="314"/>
      <c r="X1210" s="314" t="str">
        <f>VLOOKUP(D1210,代理总表!A:D,3,0)</f>
        <v>martin</v>
      </c>
      <c r="Y1210" t="str">
        <f>VLOOKUP(D:D,代理总表!A:D,4,FALSE)</f>
        <v>SEO</v>
      </c>
      <c r="Z1210">
        <f t="shared" si="54"/>
        <v>0</v>
      </c>
      <c r="AA1210">
        <f t="shared" si="55"/>
        <v>1</v>
      </c>
      <c r="AB1210">
        <f t="shared" si="56"/>
        <v>1</v>
      </c>
    </row>
    <row r="1211" spans="1:28">
      <c r="A1211" s="314" t="s">
        <v>4214</v>
      </c>
      <c r="B1211" s="314"/>
      <c r="C1211" s="314">
        <v>985538604</v>
      </c>
      <c r="D1211" s="314" t="s">
        <v>137</v>
      </c>
      <c r="E1211" s="314" t="s">
        <v>117</v>
      </c>
      <c r="F1211" s="314" t="s">
        <v>118</v>
      </c>
      <c r="G1211" s="314" t="s">
        <v>108</v>
      </c>
      <c r="H1211" s="314" t="s">
        <v>119</v>
      </c>
      <c r="I1211" s="314" t="s">
        <v>108</v>
      </c>
      <c r="J1211" s="314" t="s">
        <v>120</v>
      </c>
      <c r="K1211" s="314">
        <v>0</v>
      </c>
      <c r="L1211" s="314">
        <v>0</v>
      </c>
      <c r="M1211" s="315">
        <v>45145.0578125</v>
      </c>
      <c r="N1211" s="314" t="s">
        <v>4215</v>
      </c>
      <c r="O1211" s="314" t="s">
        <v>139</v>
      </c>
      <c r="P1211" s="314" t="s">
        <v>112</v>
      </c>
      <c r="Q1211" s="314" t="s">
        <v>123</v>
      </c>
      <c r="R1211" s="315">
        <v>45146.3522337963</v>
      </c>
      <c r="S1211" s="314" t="s">
        <v>4215</v>
      </c>
      <c r="T1211" s="314" t="s">
        <v>1226</v>
      </c>
      <c r="U1211" s="314" t="s">
        <v>1226</v>
      </c>
      <c r="V1211" s="314" t="s">
        <v>114</v>
      </c>
      <c r="W1211" s="314"/>
      <c r="X1211" s="314" t="str">
        <f>VLOOKUP(D1211,代理总表!A:D,3,0)</f>
        <v>雨燕直播-越</v>
      </c>
      <c r="Y1211" t="str">
        <f>VLOOKUP(D:D,代理总表!A:D,4,FALSE)</f>
        <v>雨燕直播-越ffvn66</v>
      </c>
      <c r="Z1211">
        <f t="shared" si="54"/>
        <v>0</v>
      </c>
      <c r="AA1211">
        <f t="shared" si="55"/>
        <v>1</v>
      </c>
      <c r="AB1211">
        <f t="shared" si="56"/>
        <v>1</v>
      </c>
    </row>
    <row r="1212" spans="1:28">
      <c r="A1212" s="314" t="s">
        <v>4216</v>
      </c>
      <c r="B1212" s="314" t="s">
        <v>4217</v>
      </c>
      <c r="C1212" s="314">
        <v>787782568</v>
      </c>
      <c r="D1212" s="314" t="s">
        <v>224</v>
      </c>
      <c r="E1212" s="314" t="s">
        <v>117</v>
      </c>
      <c r="F1212" s="314" t="s">
        <v>118</v>
      </c>
      <c r="G1212" s="314" t="s">
        <v>108</v>
      </c>
      <c r="H1212" s="314" t="s">
        <v>119</v>
      </c>
      <c r="I1212" s="314" t="s">
        <v>108</v>
      </c>
      <c r="J1212" s="314" t="s">
        <v>120</v>
      </c>
      <c r="K1212" s="314">
        <v>0</v>
      </c>
      <c r="L1212" s="314">
        <v>0</v>
      </c>
      <c r="M1212" s="315">
        <v>45145.0575694444</v>
      </c>
      <c r="N1212" s="314" t="s">
        <v>4218</v>
      </c>
      <c r="O1212" s="314" t="s">
        <v>226</v>
      </c>
      <c r="P1212" s="314" t="s">
        <v>112</v>
      </c>
      <c r="Q1212" s="314" t="s">
        <v>123</v>
      </c>
      <c r="R1212" s="315">
        <v>45145.0790625</v>
      </c>
      <c r="S1212" s="314" t="s">
        <v>4219</v>
      </c>
      <c r="T1212" s="314" t="s">
        <v>124</v>
      </c>
      <c r="U1212" s="314" t="s">
        <v>124</v>
      </c>
      <c r="V1212" s="314" t="s">
        <v>114</v>
      </c>
      <c r="W1212" s="314"/>
      <c r="X1212" s="314" t="str">
        <f>VLOOKUP(D1212,代理总表!A:D,3,0)</f>
        <v>雨燕直播-越</v>
      </c>
      <c r="Y1212" t="str">
        <f>VLOOKUP(D:D,代理总表!A:D,4,FALSE)</f>
        <v>雨燕直播-越ffvn66</v>
      </c>
      <c r="Z1212">
        <f t="shared" si="54"/>
        <v>0</v>
      </c>
      <c r="AA1212">
        <f t="shared" si="55"/>
        <v>1</v>
      </c>
      <c r="AB1212">
        <f t="shared" si="56"/>
        <v>1</v>
      </c>
    </row>
    <row r="1213" spans="1:28">
      <c r="A1213" s="314" t="s">
        <v>4220</v>
      </c>
      <c r="B1213" s="314" t="s">
        <v>4221</v>
      </c>
      <c r="C1213" s="314">
        <v>13427425585</v>
      </c>
      <c r="D1213" s="314" t="s">
        <v>594</v>
      </c>
      <c r="E1213" s="314" t="s">
        <v>104</v>
      </c>
      <c r="F1213" s="314" t="s">
        <v>181</v>
      </c>
      <c r="G1213" s="314" t="s">
        <v>106</v>
      </c>
      <c r="H1213" s="314" t="s">
        <v>107</v>
      </c>
      <c r="I1213" s="314" t="s">
        <v>108</v>
      </c>
      <c r="J1213" s="314" t="s">
        <v>109</v>
      </c>
      <c r="K1213" s="314">
        <v>100</v>
      </c>
      <c r="L1213" s="314">
        <v>0</v>
      </c>
      <c r="M1213" s="315">
        <v>45145.0566782407</v>
      </c>
      <c r="N1213" s="314" t="s">
        <v>4222</v>
      </c>
      <c r="O1213" s="314" t="s">
        <v>988</v>
      </c>
      <c r="P1213" s="314" t="s">
        <v>208</v>
      </c>
      <c r="Q1213" s="315">
        <v>45145.0643171296</v>
      </c>
      <c r="R1213" s="315">
        <v>45145.4514930556</v>
      </c>
      <c r="S1213" s="314" t="s">
        <v>4223</v>
      </c>
      <c r="T1213" s="314" t="s">
        <v>790</v>
      </c>
      <c r="U1213" s="314" t="s">
        <v>3134</v>
      </c>
      <c r="V1213" s="314" t="s">
        <v>114</v>
      </c>
      <c r="W1213" s="314"/>
      <c r="X1213" s="314" t="str">
        <f>VLOOKUP(D1213,代理总表!A:D,3,0)</f>
        <v>zed</v>
      </c>
      <c r="Y1213" t="str">
        <f>VLOOKUP(D:D,代理总表!A:D,4,FALSE)</f>
        <v>SEO</v>
      </c>
      <c r="Z1213">
        <f t="shared" si="54"/>
        <v>1</v>
      </c>
      <c r="AA1213">
        <f t="shared" si="55"/>
        <v>1</v>
      </c>
      <c r="AB1213">
        <f t="shared" si="56"/>
        <v>1</v>
      </c>
    </row>
    <row r="1214" spans="1:28">
      <c r="A1214" s="314" t="s">
        <v>4224</v>
      </c>
      <c r="B1214" s="314"/>
      <c r="C1214" s="314"/>
      <c r="D1214" s="314" t="s">
        <v>4225</v>
      </c>
      <c r="E1214" s="314" t="s">
        <v>117</v>
      </c>
      <c r="F1214" s="314" t="s">
        <v>118</v>
      </c>
      <c r="G1214" s="314" t="s">
        <v>108</v>
      </c>
      <c r="H1214" s="314" t="s">
        <v>119</v>
      </c>
      <c r="I1214" s="314" t="s">
        <v>108</v>
      </c>
      <c r="J1214" s="314" t="s">
        <v>120</v>
      </c>
      <c r="K1214" s="314">
        <v>0</v>
      </c>
      <c r="L1214" s="314">
        <v>0</v>
      </c>
      <c r="M1214" s="315">
        <v>45145.0565509259</v>
      </c>
      <c r="N1214" s="314" t="s">
        <v>4226</v>
      </c>
      <c r="O1214" s="314" t="s">
        <v>4227</v>
      </c>
      <c r="P1214" s="314" t="s">
        <v>161</v>
      </c>
      <c r="Q1214" s="314" t="s">
        <v>123</v>
      </c>
      <c r="R1214" s="315">
        <v>45145.0565509259</v>
      </c>
      <c r="S1214" s="314" t="s">
        <v>4226</v>
      </c>
      <c r="T1214" s="314" t="s">
        <v>124</v>
      </c>
      <c r="U1214" s="314" t="s">
        <v>124</v>
      </c>
      <c r="V1214" s="314" t="s">
        <v>114</v>
      </c>
      <c r="W1214" s="314"/>
      <c r="X1214" s="314" t="str">
        <f>VLOOKUP(D1214,代理总表!A:D,3,0)</f>
        <v>外部代理总线</v>
      </c>
      <c r="Y1214" t="str">
        <f>VLOOKUP(D:D,代理总表!A:D,4,FALSE)</f>
        <v>外部代理总线wbdl67</v>
      </c>
      <c r="Z1214">
        <f t="shared" si="54"/>
        <v>0</v>
      </c>
      <c r="AA1214">
        <f t="shared" si="55"/>
        <v>1</v>
      </c>
      <c r="AB1214">
        <f t="shared" si="56"/>
        <v>1</v>
      </c>
    </row>
    <row r="1215" spans="1:28">
      <c r="A1215" s="314" t="s">
        <v>4228</v>
      </c>
      <c r="B1215" s="314" t="s">
        <v>4229</v>
      </c>
      <c r="C1215" s="314">
        <v>17753852120</v>
      </c>
      <c r="D1215" s="314" t="s">
        <v>240</v>
      </c>
      <c r="E1215" s="314" t="s">
        <v>104</v>
      </c>
      <c r="F1215" s="314" t="s">
        <v>1214</v>
      </c>
      <c r="G1215" s="314" t="s">
        <v>106</v>
      </c>
      <c r="H1215" s="314" t="s">
        <v>107</v>
      </c>
      <c r="I1215" s="314" t="s">
        <v>108</v>
      </c>
      <c r="J1215" s="314" t="s">
        <v>109</v>
      </c>
      <c r="K1215" s="314">
        <v>200.09</v>
      </c>
      <c r="L1215" s="314">
        <v>100</v>
      </c>
      <c r="M1215" s="315">
        <v>45145.0564930556</v>
      </c>
      <c r="N1215" s="314" t="s">
        <v>4230</v>
      </c>
      <c r="O1215" s="314" t="s">
        <v>242</v>
      </c>
      <c r="P1215" s="314" t="s">
        <v>112</v>
      </c>
      <c r="Q1215" s="315">
        <v>45145.1266203704</v>
      </c>
      <c r="R1215" s="315">
        <v>45146.0772916667</v>
      </c>
      <c r="S1215" s="314" t="s">
        <v>4230</v>
      </c>
      <c r="T1215" s="314" t="s">
        <v>2947</v>
      </c>
      <c r="U1215" s="314" t="s">
        <v>2947</v>
      </c>
      <c r="V1215" s="314" t="s">
        <v>114</v>
      </c>
      <c r="W1215" s="314"/>
      <c r="X1215" s="314" t="str">
        <f>VLOOKUP(D1215,代理总表!A:D,3,0)</f>
        <v>SEO邀请</v>
      </c>
      <c r="Y1215" t="str">
        <f>VLOOKUP(D:D,代理总表!A:D,4,FALSE)</f>
        <v>SEO</v>
      </c>
      <c r="Z1215">
        <f t="shared" si="54"/>
        <v>1</v>
      </c>
      <c r="AA1215">
        <f t="shared" si="55"/>
        <v>1</v>
      </c>
      <c r="AB1215">
        <f t="shared" si="56"/>
        <v>1</v>
      </c>
    </row>
    <row r="1216" spans="1:28">
      <c r="A1216" s="314" t="s">
        <v>4231</v>
      </c>
      <c r="B1216" s="314"/>
      <c r="C1216" s="314"/>
      <c r="D1216" s="314" t="s">
        <v>370</v>
      </c>
      <c r="E1216" s="314" t="s">
        <v>104</v>
      </c>
      <c r="F1216" s="314" t="s">
        <v>118</v>
      </c>
      <c r="G1216" s="314" t="s">
        <v>108</v>
      </c>
      <c r="H1216" s="314" t="s">
        <v>119</v>
      </c>
      <c r="I1216" s="314" t="s">
        <v>108</v>
      </c>
      <c r="J1216" s="314" t="s">
        <v>109</v>
      </c>
      <c r="K1216" s="314">
        <v>0</v>
      </c>
      <c r="L1216" s="314">
        <v>0</v>
      </c>
      <c r="M1216" s="315">
        <v>45145.0563773148</v>
      </c>
      <c r="N1216" s="314" t="s">
        <v>4232</v>
      </c>
      <c r="O1216" s="314" t="s">
        <v>813</v>
      </c>
      <c r="P1216" s="314" t="s">
        <v>112</v>
      </c>
      <c r="Q1216" s="314" t="s">
        <v>123</v>
      </c>
      <c r="R1216" s="315">
        <v>45145.0596412037</v>
      </c>
      <c r="S1216" s="314" t="s">
        <v>4232</v>
      </c>
      <c r="T1216" s="314" t="s">
        <v>4233</v>
      </c>
      <c r="U1216" s="314" t="s">
        <v>4233</v>
      </c>
      <c r="V1216" s="314" t="s">
        <v>114</v>
      </c>
      <c r="W1216" s="314"/>
      <c r="X1216" s="314" t="str">
        <f>VLOOKUP(D1216,代理总表!A:D,3,0)</f>
        <v>GT-骨头</v>
      </c>
      <c r="Y1216" t="str">
        <f>VLOOKUP(D:D,代理总表!A:D,4,FALSE)</f>
        <v>GT-骨头gt6677</v>
      </c>
      <c r="Z1216">
        <f t="shared" si="54"/>
        <v>0</v>
      </c>
      <c r="AA1216">
        <f t="shared" si="55"/>
        <v>1</v>
      </c>
      <c r="AB1216">
        <f t="shared" si="56"/>
        <v>1</v>
      </c>
    </row>
    <row r="1217" spans="1:28">
      <c r="A1217" s="314" t="s">
        <v>4234</v>
      </c>
      <c r="B1217" s="314" t="s">
        <v>4235</v>
      </c>
      <c r="C1217" s="314">
        <v>934500002</v>
      </c>
      <c r="D1217" s="314" t="s">
        <v>197</v>
      </c>
      <c r="E1217" s="314" t="s">
        <v>117</v>
      </c>
      <c r="F1217" s="314" t="s">
        <v>118</v>
      </c>
      <c r="G1217" s="314" t="s">
        <v>108</v>
      </c>
      <c r="H1217" s="314" t="s">
        <v>119</v>
      </c>
      <c r="I1217" s="314" t="s">
        <v>108</v>
      </c>
      <c r="J1217" s="314" t="s">
        <v>120</v>
      </c>
      <c r="K1217" s="314">
        <v>0</v>
      </c>
      <c r="L1217" s="314">
        <v>0</v>
      </c>
      <c r="M1217" s="315">
        <v>45145.0563425926</v>
      </c>
      <c r="N1217" s="314" t="s">
        <v>4236</v>
      </c>
      <c r="O1217" s="314" t="s">
        <v>875</v>
      </c>
      <c r="P1217" s="314" t="s">
        <v>208</v>
      </c>
      <c r="Q1217" s="314" t="s">
        <v>123</v>
      </c>
      <c r="R1217" s="315">
        <v>45145.8057060185</v>
      </c>
      <c r="S1217" s="314" t="s">
        <v>4236</v>
      </c>
      <c r="T1217" s="314" t="s">
        <v>124</v>
      </c>
      <c r="U1217" s="314" t="s">
        <v>124</v>
      </c>
      <c r="V1217" s="314" t="s">
        <v>114</v>
      </c>
      <c r="W1217" s="314"/>
      <c r="X1217" s="314" t="str">
        <f>VLOOKUP(D1217,代理总表!A:D,3,0)</f>
        <v>雨燕直播-越</v>
      </c>
      <c r="Y1217" t="str">
        <f>VLOOKUP(D:D,代理总表!A:D,4,FALSE)</f>
        <v>雨燕直播-越ffvn66</v>
      </c>
      <c r="Z1217">
        <f t="shared" si="54"/>
        <v>0</v>
      </c>
      <c r="AA1217">
        <f t="shared" si="55"/>
        <v>1</v>
      </c>
      <c r="AB1217">
        <f t="shared" si="56"/>
        <v>1</v>
      </c>
    </row>
    <row r="1218" spans="1:28">
      <c r="A1218" s="314" t="s">
        <v>4237</v>
      </c>
      <c r="B1218" s="314"/>
      <c r="C1218" s="314">
        <v>384000232</v>
      </c>
      <c r="D1218" s="314" t="s">
        <v>116</v>
      </c>
      <c r="E1218" s="314" t="s">
        <v>117</v>
      </c>
      <c r="F1218" s="314" t="s">
        <v>118</v>
      </c>
      <c r="G1218" s="314" t="s">
        <v>108</v>
      </c>
      <c r="H1218" s="314" t="s">
        <v>119</v>
      </c>
      <c r="I1218" s="314" t="s">
        <v>108</v>
      </c>
      <c r="J1218" s="314" t="s">
        <v>120</v>
      </c>
      <c r="K1218" s="314">
        <v>0</v>
      </c>
      <c r="L1218" s="314">
        <v>0</v>
      </c>
      <c r="M1218" s="315">
        <v>45145.0563310185</v>
      </c>
      <c r="N1218" s="314" t="s">
        <v>4238</v>
      </c>
      <c r="O1218" s="314" t="s">
        <v>122</v>
      </c>
      <c r="P1218" s="314" t="s">
        <v>112</v>
      </c>
      <c r="Q1218" s="314" t="s">
        <v>123</v>
      </c>
      <c r="R1218" s="315">
        <v>45145.6927430556</v>
      </c>
      <c r="S1218" s="314" t="s">
        <v>4239</v>
      </c>
      <c r="T1218" s="314" t="s">
        <v>2629</v>
      </c>
      <c r="U1218" s="314" t="s">
        <v>177</v>
      </c>
      <c r="V1218" s="314" t="s">
        <v>114</v>
      </c>
      <c r="W1218" s="314"/>
      <c r="X1218" s="314" t="str">
        <f>VLOOKUP(D1218,代理总表!A:D,3,0)</f>
        <v>外部代理总线</v>
      </c>
      <c r="Y1218" t="str">
        <f>VLOOKUP(D:D,代理总表!A:D,4,FALSE)</f>
        <v>外部代理总线zh0808</v>
      </c>
      <c r="Z1218">
        <f t="shared" si="54"/>
        <v>0</v>
      </c>
      <c r="AA1218">
        <f t="shared" si="55"/>
        <v>1</v>
      </c>
      <c r="AB1218">
        <f t="shared" si="56"/>
        <v>1</v>
      </c>
    </row>
    <row r="1219" spans="1:28">
      <c r="A1219" s="314" t="s">
        <v>4240</v>
      </c>
      <c r="B1219" s="314"/>
      <c r="C1219" s="314"/>
      <c r="D1219" s="314" t="s">
        <v>103</v>
      </c>
      <c r="E1219" s="314" t="s">
        <v>104</v>
      </c>
      <c r="F1219" s="314" t="s">
        <v>118</v>
      </c>
      <c r="G1219" s="314" t="s">
        <v>108</v>
      </c>
      <c r="H1219" s="314" t="s">
        <v>119</v>
      </c>
      <c r="I1219" s="314" t="s">
        <v>108</v>
      </c>
      <c r="J1219" s="314" t="s">
        <v>109</v>
      </c>
      <c r="K1219" s="314">
        <v>0</v>
      </c>
      <c r="L1219" s="314">
        <v>0</v>
      </c>
      <c r="M1219" s="315">
        <v>45145.0549884259</v>
      </c>
      <c r="N1219" s="314" t="s">
        <v>4241</v>
      </c>
      <c r="O1219" s="314" t="s">
        <v>1838</v>
      </c>
      <c r="P1219" s="314" t="s">
        <v>112</v>
      </c>
      <c r="Q1219" s="314" t="s">
        <v>123</v>
      </c>
      <c r="R1219" s="314"/>
      <c r="S1219" s="314"/>
      <c r="T1219" s="314" t="s">
        <v>2027</v>
      </c>
      <c r="U1219" s="314"/>
      <c r="V1219" s="314" t="s">
        <v>114</v>
      </c>
      <c r="W1219" s="314"/>
      <c r="X1219" s="314" t="str">
        <f>VLOOKUP(D1219,代理总表!A:D,3,0)</f>
        <v>官网</v>
      </c>
      <c r="Y1219" t="str">
        <f>VLOOKUP(D:D,代理总表!A:D,4,FALSE)</f>
        <v>官网</v>
      </c>
      <c r="Z1219">
        <f t="shared" ref="Z1219:Z1282" si="57">IF(RIGHT(H1219,1)&gt;"0",1,0)</f>
        <v>0</v>
      </c>
      <c r="AA1219">
        <f t="shared" ref="AA1219:AA1282" si="58">HOUR(M1219)</f>
        <v>1</v>
      </c>
      <c r="AB1219">
        <f t="shared" ref="AB1219:AB1282" si="59">IF(AE1219=AF1219,1,0)</f>
        <v>1</v>
      </c>
    </row>
    <row r="1220" spans="1:28">
      <c r="A1220" s="314" t="s">
        <v>4242</v>
      </c>
      <c r="B1220" s="314"/>
      <c r="C1220" s="314">
        <v>866527571</v>
      </c>
      <c r="D1220" s="314" t="s">
        <v>116</v>
      </c>
      <c r="E1220" s="314" t="s">
        <v>117</v>
      </c>
      <c r="F1220" s="314" t="s">
        <v>118</v>
      </c>
      <c r="G1220" s="314" t="s">
        <v>108</v>
      </c>
      <c r="H1220" s="314" t="s">
        <v>119</v>
      </c>
      <c r="I1220" s="314" t="s">
        <v>108</v>
      </c>
      <c r="J1220" s="314" t="s">
        <v>120</v>
      </c>
      <c r="K1220" s="314">
        <v>0</v>
      </c>
      <c r="L1220" s="314">
        <v>0</v>
      </c>
      <c r="M1220" s="315">
        <v>45145.0549189815</v>
      </c>
      <c r="N1220" s="314" t="s">
        <v>4243</v>
      </c>
      <c r="O1220" s="314" t="s">
        <v>127</v>
      </c>
      <c r="P1220" s="314" t="s">
        <v>112</v>
      </c>
      <c r="Q1220" s="314" t="s">
        <v>123</v>
      </c>
      <c r="R1220" s="315">
        <v>45145.0549189815</v>
      </c>
      <c r="S1220" s="314" t="s">
        <v>4243</v>
      </c>
      <c r="T1220" s="314" t="s">
        <v>124</v>
      </c>
      <c r="U1220" s="314" t="s">
        <v>124</v>
      </c>
      <c r="V1220" s="314" t="s">
        <v>114</v>
      </c>
      <c r="W1220" s="314"/>
      <c r="X1220" s="314" t="str">
        <f>VLOOKUP(D1220,代理总表!A:D,3,0)</f>
        <v>外部代理总线</v>
      </c>
      <c r="Y1220" t="str">
        <f>VLOOKUP(D:D,代理总表!A:D,4,FALSE)</f>
        <v>外部代理总线zh0808</v>
      </c>
      <c r="Z1220">
        <f t="shared" si="57"/>
        <v>0</v>
      </c>
      <c r="AA1220">
        <f t="shared" si="58"/>
        <v>1</v>
      </c>
      <c r="AB1220">
        <f t="shared" si="59"/>
        <v>1</v>
      </c>
    </row>
    <row r="1221" spans="1:28">
      <c r="A1221" s="314" t="s">
        <v>4244</v>
      </c>
      <c r="B1221" s="314" t="s">
        <v>4245</v>
      </c>
      <c r="C1221" s="314">
        <v>832883668</v>
      </c>
      <c r="D1221" s="314" t="s">
        <v>137</v>
      </c>
      <c r="E1221" s="314" t="s">
        <v>117</v>
      </c>
      <c r="F1221" s="314" t="s">
        <v>144</v>
      </c>
      <c r="G1221" s="314" t="s">
        <v>106</v>
      </c>
      <c r="H1221" s="314" t="s">
        <v>107</v>
      </c>
      <c r="I1221" s="314" t="s">
        <v>108</v>
      </c>
      <c r="J1221" s="314" t="s">
        <v>120</v>
      </c>
      <c r="K1221" s="314">
        <v>300000</v>
      </c>
      <c r="L1221" s="314">
        <v>3180000</v>
      </c>
      <c r="M1221" s="315">
        <v>45145.054849537</v>
      </c>
      <c r="N1221" s="314" t="s">
        <v>4246</v>
      </c>
      <c r="O1221" s="314" t="s">
        <v>710</v>
      </c>
      <c r="P1221" s="314" t="s">
        <v>339</v>
      </c>
      <c r="Q1221" s="315">
        <v>45145.1168634259</v>
      </c>
      <c r="R1221" s="315">
        <v>45146.0745601852</v>
      </c>
      <c r="S1221" s="314" t="s">
        <v>4246</v>
      </c>
      <c r="T1221" s="314" t="s">
        <v>1086</v>
      </c>
      <c r="U1221" s="314" t="s">
        <v>1086</v>
      </c>
      <c r="V1221" s="314" t="s">
        <v>114</v>
      </c>
      <c r="W1221" s="314"/>
      <c r="X1221" s="314" t="str">
        <f>VLOOKUP(D1221,代理总表!A:D,3,0)</f>
        <v>雨燕直播-越</v>
      </c>
      <c r="Y1221" t="str">
        <f>VLOOKUP(D:D,代理总表!A:D,4,FALSE)</f>
        <v>雨燕直播-越ffvn66</v>
      </c>
      <c r="Z1221">
        <f t="shared" si="57"/>
        <v>1</v>
      </c>
      <c r="AA1221">
        <f t="shared" si="58"/>
        <v>1</v>
      </c>
      <c r="AB1221">
        <f t="shared" si="59"/>
        <v>1</v>
      </c>
    </row>
    <row r="1222" spans="1:28">
      <c r="A1222" s="314" t="s">
        <v>4247</v>
      </c>
      <c r="B1222" s="314" t="s">
        <v>4248</v>
      </c>
      <c r="C1222" s="314">
        <v>975230723</v>
      </c>
      <c r="D1222" s="314" t="s">
        <v>651</v>
      </c>
      <c r="E1222" s="314" t="s">
        <v>117</v>
      </c>
      <c r="F1222" s="314" t="s">
        <v>144</v>
      </c>
      <c r="G1222" s="314" t="s">
        <v>106</v>
      </c>
      <c r="H1222" s="314" t="s">
        <v>107</v>
      </c>
      <c r="I1222" s="314" t="s">
        <v>108</v>
      </c>
      <c r="J1222" s="314" t="s">
        <v>120</v>
      </c>
      <c r="K1222" s="314">
        <v>0</v>
      </c>
      <c r="L1222" s="314">
        <v>907200</v>
      </c>
      <c r="M1222" s="315">
        <v>45145.0543171296</v>
      </c>
      <c r="N1222" s="314" t="s">
        <v>4249</v>
      </c>
      <c r="O1222" s="314" t="s">
        <v>653</v>
      </c>
      <c r="P1222" s="314" t="s">
        <v>112</v>
      </c>
      <c r="Q1222" s="315">
        <v>45145.0645949074</v>
      </c>
      <c r="R1222" s="315">
        <v>45145.9509606482</v>
      </c>
      <c r="S1222" s="314" t="s">
        <v>4249</v>
      </c>
      <c r="T1222" s="314" t="s">
        <v>776</v>
      </c>
      <c r="U1222" s="314" t="s">
        <v>776</v>
      </c>
      <c r="V1222" s="314" t="s">
        <v>114</v>
      </c>
      <c r="W1222" s="314" t="s">
        <v>4250</v>
      </c>
      <c r="X1222" s="314" t="str">
        <f>VLOOKUP(D1222,代理总表!A:D,3,0)</f>
        <v>雨燕直播-越</v>
      </c>
      <c r="Y1222" t="str">
        <f>VLOOKUP(D:D,代理总表!A:D,4,FALSE)</f>
        <v>雨燕直播-越ffvn66</v>
      </c>
      <c r="Z1222">
        <f t="shared" si="57"/>
        <v>1</v>
      </c>
      <c r="AA1222">
        <f t="shared" si="58"/>
        <v>1</v>
      </c>
      <c r="AB1222">
        <f t="shared" si="59"/>
        <v>1</v>
      </c>
    </row>
    <row r="1223" spans="1:28">
      <c r="A1223" s="314" t="s">
        <v>4251</v>
      </c>
      <c r="B1223" s="314"/>
      <c r="C1223" s="314"/>
      <c r="D1223" s="314" t="s">
        <v>240</v>
      </c>
      <c r="E1223" s="314" t="s">
        <v>104</v>
      </c>
      <c r="F1223" s="314" t="s">
        <v>149</v>
      </c>
      <c r="G1223" s="314" t="s">
        <v>108</v>
      </c>
      <c r="H1223" s="314" t="s">
        <v>119</v>
      </c>
      <c r="I1223" s="314" t="s">
        <v>108</v>
      </c>
      <c r="J1223" s="314" t="s">
        <v>109</v>
      </c>
      <c r="K1223" s="314">
        <v>0</v>
      </c>
      <c r="L1223" s="314">
        <v>0</v>
      </c>
      <c r="M1223" s="315">
        <v>45145.0543055556</v>
      </c>
      <c r="N1223" s="314" t="s">
        <v>4230</v>
      </c>
      <c r="O1223" s="314" t="s">
        <v>242</v>
      </c>
      <c r="P1223" s="314" t="s">
        <v>112</v>
      </c>
      <c r="Q1223" s="314" t="s">
        <v>123</v>
      </c>
      <c r="R1223" s="315">
        <v>45145.0542939815</v>
      </c>
      <c r="S1223" s="314" t="s">
        <v>4230</v>
      </c>
      <c r="T1223" s="314" t="s">
        <v>2947</v>
      </c>
      <c r="U1223" s="314" t="s">
        <v>2947</v>
      </c>
      <c r="V1223" s="314" t="s">
        <v>114</v>
      </c>
      <c r="W1223" s="314"/>
      <c r="X1223" s="314" t="str">
        <f>VLOOKUP(D1223,代理总表!A:D,3,0)</f>
        <v>SEO邀请</v>
      </c>
      <c r="Y1223" t="str">
        <f>VLOOKUP(D:D,代理总表!A:D,4,FALSE)</f>
        <v>SEO</v>
      </c>
      <c r="Z1223">
        <f t="shared" si="57"/>
        <v>0</v>
      </c>
      <c r="AA1223">
        <f t="shared" si="58"/>
        <v>1</v>
      </c>
      <c r="AB1223">
        <f t="shared" si="59"/>
        <v>1</v>
      </c>
    </row>
    <row r="1224" spans="1:28">
      <c r="A1224" s="314" t="s">
        <v>4252</v>
      </c>
      <c r="B1224" s="314"/>
      <c r="C1224" s="314">
        <v>13560336326</v>
      </c>
      <c r="D1224" s="314" t="s">
        <v>1963</v>
      </c>
      <c r="E1224" s="314" t="s">
        <v>104</v>
      </c>
      <c r="F1224" s="314" t="s">
        <v>118</v>
      </c>
      <c r="G1224" s="314" t="s">
        <v>108</v>
      </c>
      <c r="H1224" s="314" t="s">
        <v>119</v>
      </c>
      <c r="I1224" s="314" t="s">
        <v>108</v>
      </c>
      <c r="J1224" s="314" t="s">
        <v>109</v>
      </c>
      <c r="K1224" s="314">
        <v>0</v>
      </c>
      <c r="L1224" s="314">
        <v>0</v>
      </c>
      <c r="M1224" s="315">
        <v>45145.054212963</v>
      </c>
      <c r="N1224" s="314" t="s">
        <v>4253</v>
      </c>
      <c r="O1224" s="314" t="s">
        <v>4254</v>
      </c>
      <c r="P1224" s="314" t="s">
        <v>112</v>
      </c>
      <c r="Q1224" s="314" t="s">
        <v>123</v>
      </c>
      <c r="R1224" s="315">
        <v>45145.054212963</v>
      </c>
      <c r="S1224" s="314" t="s">
        <v>4253</v>
      </c>
      <c r="T1224" s="314" t="s">
        <v>152</v>
      </c>
      <c r="U1224" s="314" t="s">
        <v>152</v>
      </c>
      <c r="V1224" s="314" t="s">
        <v>114</v>
      </c>
      <c r="W1224" s="314"/>
      <c r="X1224" s="314" t="str">
        <f>VLOOKUP(D1224,代理总表!A:D,3,0)</f>
        <v>GT-骨头</v>
      </c>
      <c r="Y1224" t="str">
        <f>VLOOKUP(D:D,代理总表!A:D,4,FALSE)</f>
        <v>B直播gt6677</v>
      </c>
      <c r="Z1224">
        <f t="shared" si="57"/>
        <v>0</v>
      </c>
      <c r="AA1224">
        <f t="shared" si="58"/>
        <v>1</v>
      </c>
      <c r="AB1224">
        <f t="shared" si="59"/>
        <v>1</v>
      </c>
    </row>
    <row r="1225" spans="1:28">
      <c r="A1225" s="314" t="s">
        <v>4255</v>
      </c>
      <c r="B1225" s="314"/>
      <c r="C1225" s="314"/>
      <c r="D1225" s="314" t="s">
        <v>249</v>
      </c>
      <c r="E1225" s="314" t="s">
        <v>104</v>
      </c>
      <c r="F1225" s="314" t="s">
        <v>118</v>
      </c>
      <c r="G1225" s="314" t="s">
        <v>108</v>
      </c>
      <c r="H1225" s="314" t="s">
        <v>119</v>
      </c>
      <c r="I1225" s="314" t="s">
        <v>108</v>
      </c>
      <c r="J1225" s="314" t="s">
        <v>109</v>
      </c>
      <c r="K1225" s="314">
        <v>0</v>
      </c>
      <c r="L1225" s="314">
        <v>0</v>
      </c>
      <c r="M1225" s="315">
        <v>45145.0539814815</v>
      </c>
      <c r="N1225" s="314" t="s">
        <v>4256</v>
      </c>
      <c r="O1225" s="314" t="s">
        <v>4114</v>
      </c>
      <c r="P1225" s="314" t="s">
        <v>112</v>
      </c>
      <c r="Q1225" s="314" t="s">
        <v>123</v>
      </c>
      <c r="R1225" s="315">
        <v>45145.5048611111</v>
      </c>
      <c r="S1225" s="314" t="s">
        <v>4256</v>
      </c>
      <c r="T1225" s="314" t="s">
        <v>1223</v>
      </c>
      <c r="U1225" s="314" t="s">
        <v>1223</v>
      </c>
      <c r="V1225" s="314" t="s">
        <v>114</v>
      </c>
      <c r="W1225" s="314"/>
      <c r="X1225" s="314" t="str">
        <f>VLOOKUP(D1225,代理总表!A:D,3,0)</f>
        <v>飞哥雨燕直播</v>
      </c>
      <c r="Y1225" t="str">
        <f>VLOOKUP(D:D,代理总表!A:D,4,FALSE)</f>
        <v>飞哥雨燕直播ffmk88</v>
      </c>
      <c r="Z1225">
        <f t="shared" si="57"/>
        <v>0</v>
      </c>
      <c r="AA1225">
        <f t="shared" si="58"/>
        <v>1</v>
      </c>
      <c r="AB1225">
        <f t="shared" si="59"/>
        <v>1</v>
      </c>
    </row>
    <row r="1226" spans="1:28">
      <c r="A1226" s="314" t="s">
        <v>4257</v>
      </c>
      <c r="B1226" s="314"/>
      <c r="C1226" s="314"/>
      <c r="D1226" s="314" t="s">
        <v>651</v>
      </c>
      <c r="E1226" s="314" t="s">
        <v>117</v>
      </c>
      <c r="F1226" s="314" t="s">
        <v>118</v>
      </c>
      <c r="G1226" s="314" t="s">
        <v>108</v>
      </c>
      <c r="H1226" s="314" t="s">
        <v>119</v>
      </c>
      <c r="I1226" s="314" t="s">
        <v>108</v>
      </c>
      <c r="J1226" s="314" t="s">
        <v>120</v>
      </c>
      <c r="K1226" s="314">
        <v>0</v>
      </c>
      <c r="L1226" s="314">
        <v>0</v>
      </c>
      <c r="M1226" s="315">
        <v>45145.0537731481</v>
      </c>
      <c r="N1226" s="314" t="s">
        <v>4258</v>
      </c>
      <c r="O1226" s="314" t="s">
        <v>653</v>
      </c>
      <c r="P1226" s="314" t="s">
        <v>112</v>
      </c>
      <c r="Q1226" s="314" t="s">
        <v>123</v>
      </c>
      <c r="R1226" s="315">
        <v>45145.0537731481</v>
      </c>
      <c r="S1226" s="314" t="s">
        <v>4258</v>
      </c>
      <c r="T1226" s="314" t="s">
        <v>131</v>
      </c>
      <c r="U1226" s="314" t="s">
        <v>131</v>
      </c>
      <c r="V1226" s="314" t="s">
        <v>114</v>
      </c>
      <c r="W1226" s="314"/>
      <c r="X1226" s="314" t="str">
        <f>VLOOKUP(D1226,代理总表!A:D,3,0)</f>
        <v>雨燕直播-越</v>
      </c>
      <c r="Y1226" t="str">
        <f>VLOOKUP(D:D,代理总表!A:D,4,FALSE)</f>
        <v>雨燕直播-越ffvn66</v>
      </c>
      <c r="Z1226">
        <f t="shared" si="57"/>
        <v>0</v>
      </c>
      <c r="AA1226">
        <f t="shared" si="58"/>
        <v>1</v>
      </c>
      <c r="AB1226">
        <f t="shared" si="59"/>
        <v>1</v>
      </c>
    </row>
    <row r="1227" spans="1:28">
      <c r="A1227" s="314" t="s">
        <v>4259</v>
      </c>
      <c r="B1227" s="314" t="s">
        <v>4260</v>
      </c>
      <c r="C1227" s="314">
        <v>987512117</v>
      </c>
      <c r="D1227" s="314" t="s">
        <v>143</v>
      </c>
      <c r="E1227" s="314" t="s">
        <v>117</v>
      </c>
      <c r="F1227" s="314" t="s">
        <v>118</v>
      </c>
      <c r="G1227" s="314" t="s">
        <v>108</v>
      </c>
      <c r="H1227" s="314" t="s">
        <v>119</v>
      </c>
      <c r="I1227" s="314" t="s">
        <v>108</v>
      </c>
      <c r="J1227" s="314" t="s">
        <v>120</v>
      </c>
      <c r="K1227" s="314">
        <v>0</v>
      </c>
      <c r="L1227" s="314">
        <v>0</v>
      </c>
      <c r="M1227" s="315">
        <v>45145.0537268519</v>
      </c>
      <c r="N1227" s="314" t="s">
        <v>4261</v>
      </c>
      <c r="O1227" s="314" t="s">
        <v>407</v>
      </c>
      <c r="P1227" s="314" t="s">
        <v>112</v>
      </c>
      <c r="Q1227" s="314" t="s">
        <v>123</v>
      </c>
      <c r="R1227" s="315">
        <v>45145.0661805556</v>
      </c>
      <c r="S1227" s="314" t="s">
        <v>4261</v>
      </c>
      <c r="T1227" s="314" t="s">
        <v>548</v>
      </c>
      <c r="U1227" s="314" t="s">
        <v>548</v>
      </c>
      <c r="V1227" s="314" t="s">
        <v>114</v>
      </c>
      <c r="W1227" s="314"/>
      <c r="X1227" s="314" t="str">
        <f>VLOOKUP(D1227,代理总表!A:D,3,0)</f>
        <v>雨燕直播-越</v>
      </c>
      <c r="Y1227" t="str">
        <f>VLOOKUP(D:D,代理总表!A:D,4,FALSE)</f>
        <v>雨燕直播-越ffvn66</v>
      </c>
      <c r="Z1227">
        <f t="shared" si="57"/>
        <v>0</v>
      </c>
      <c r="AA1227">
        <f t="shared" si="58"/>
        <v>1</v>
      </c>
      <c r="AB1227">
        <f t="shared" si="59"/>
        <v>1</v>
      </c>
    </row>
    <row r="1228" spans="1:28">
      <c r="A1228" s="314" t="s">
        <v>4262</v>
      </c>
      <c r="B1228" s="314" t="s">
        <v>4263</v>
      </c>
      <c r="C1228" s="314">
        <v>329284266</v>
      </c>
      <c r="D1228" s="314" t="s">
        <v>651</v>
      </c>
      <c r="E1228" s="314" t="s">
        <v>117</v>
      </c>
      <c r="F1228" s="314" t="s">
        <v>118</v>
      </c>
      <c r="G1228" s="314" t="s">
        <v>108</v>
      </c>
      <c r="H1228" s="314" t="s">
        <v>119</v>
      </c>
      <c r="I1228" s="314" t="s">
        <v>108</v>
      </c>
      <c r="J1228" s="314" t="s">
        <v>120</v>
      </c>
      <c r="K1228" s="314">
        <v>0</v>
      </c>
      <c r="L1228" s="314">
        <v>0</v>
      </c>
      <c r="M1228" s="315">
        <v>45145.0536226852</v>
      </c>
      <c r="N1228" s="314" t="s">
        <v>4264</v>
      </c>
      <c r="O1228" s="314" t="s">
        <v>653</v>
      </c>
      <c r="P1228" s="314" t="s">
        <v>112</v>
      </c>
      <c r="Q1228" s="314" t="s">
        <v>123</v>
      </c>
      <c r="R1228" s="315">
        <v>45145.0573148148</v>
      </c>
      <c r="S1228" s="314" t="s">
        <v>4264</v>
      </c>
      <c r="T1228" s="314" t="s">
        <v>128</v>
      </c>
      <c r="U1228" s="314" t="s">
        <v>128</v>
      </c>
      <c r="V1228" s="314" t="s">
        <v>114</v>
      </c>
      <c r="W1228" s="314"/>
      <c r="X1228" s="314" t="str">
        <f>VLOOKUP(D1228,代理总表!A:D,3,0)</f>
        <v>雨燕直播-越</v>
      </c>
      <c r="Y1228" t="str">
        <f>VLOOKUP(D:D,代理总表!A:D,4,FALSE)</f>
        <v>雨燕直播-越ffvn66</v>
      </c>
      <c r="Z1228">
        <f t="shared" si="57"/>
        <v>0</v>
      </c>
      <c r="AA1228">
        <f t="shared" si="58"/>
        <v>1</v>
      </c>
      <c r="AB1228">
        <f t="shared" si="59"/>
        <v>1</v>
      </c>
    </row>
    <row r="1229" spans="1:28">
      <c r="A1229" s="314" t="s">
        <v>4265</v>
      </c>
      <c r="B1229" s="314" t="s">
        <v>4266</v>
      </c>
      <c r="C1229" s="314">
        <v>986873229</v>
      </c>
      <c r="D1229" s="314" t="s">
        <v>143</v>
      </c>
      <c r="E1229" s="314" t="s">
        <v>117</v>
      </c>
      <c r="F1229" s="314" t="s">
        <v>144</v>
      </c>
      <c r="G1229" s="314" t="s">
        <v>106</v>
      </c>
      <c r="H1229" s="314" t="s">
        <v>107</v>
      </c>
      <c r="I1229" s="314" t="s">
        <v>108</v>
      </c>
      <c r="J1229" s="314" t="s">
        <v>120</v>
      </c>
      <c r="K1229" s="314">
        <v>1000000</v>
      </c>
      <c r="L1229" s="314">
        <v>0</v>
      </c>
      <c r="M1229" s="315">
        <v>45145.0511689815</v>
      </c>
      <c r="N1229" s="314" t="s">
        <v>874</v>
      </c>
      <c r="O1229" s="314" t="s">
        <v>407</v>
      </c>
      <c r="P1229" s="314" t="s">
        <v>112</v>
      </c>
      <c r="Q1229" s="315">
        <v>45145.0577083333</v>
      </c>
      <c r="R1229" s="315">
        <v>45145.4961805556</v>
      </c>
      <c r="S1229" s="314" t="s">
        <v>4267</v>
      </c>
      <c r="T1229" s="314" t="s">
        <v>849</v>
      </c>
      <c r="U1229" s="314" t="s">
        <v>849</v>
      </c>
      <c r="V1229" s="314" t="s">
        <v>114</v>
      </c>
      <c r="W1229" s="314"/>
      <c r="X1229" s="314" t="str">
        <f>VLOOKUP(D1229,代理总表!A:D,3,0)</f>
        <v>雨燕直播-越</v>
      </c>
      <c r="Y1229" t="str">
        <f>VLOOKUP(D:D,代理总表!A:D,4,FALSE)</f>
        <v>雨燕直播-越ffvn66</v>
      </c>
      <c r="Z1229">
        <f t="shared" si="57"/>
        <v>1</v>
      </c>
      <c r="AA1229">
        <f t="shared" si="58"/>
        <v>1</v>
      </c>
      <c r="AB1229">
        <f t="shared" si="59"/>
        <v>1</v>
      </c>
    </row>
    <row r="1230" spans="1:28">
      <c r="A1230" s="314" t="s">
        <v>4268</v>
      </c>
      <c r="B1230" s="314"/>
      <c r="C1230" s="314">
        <v>968241415</v>
      </c>
      <c r="D1230" s="314" t="s">
        <v>550</v>
      </c>
      <c r="E1230" s="314" t="s">
        <v>117</v>
      </c>
      <c r="F1230" s="314" t="s">
        <v>118</v>
      </c>
      <c r="G1230" s="314" t="s">
        <v>108</v>
      </c>
      <c r="H1230" s="314" t="s">
        <v>119</v>
      </c>
      <c r="I1230" s="314" t="s">
        <v>108</v>
      </c>
      <c r="J1230" s="314" t="s">
        <v>120</v>
      </c>
      <c r="K1230" s="314">
        <v>0</v>
      </c>
      <c r="L1230" s="314">
        <v>0</v>
      </c>
      <c r="M1230" s="315">
        <v>45145.0503009259</v>
      </c>
      <c r="N1230" s="314" t="s">
        <v>4269</v>
      </c>
      <c r="O1230" s="314" t="s">
        <v>603</v>
      </c>
      <c r="P1230" s="314" t="s">
        <v>112</v>
      </c>
      <c r="Q1230" s="314" t="s">
        <v>123</v>
      </c>
      <c r="R1230" s="315">
        <v>45145.0503009259</v>
      </c>
      <c r="S1230" s="314" t="s">
        <v>4269</v>
      </c>
      <c r="T1230" s="314" t="s">
        <v>131</v>
      </c>
      <c r="U1230" s="314" t="s">
        <v>131</v>
      </c>
      <c r="V1230" s="314" t="s">
        <v>114</v>
      </c>
      <c r="W1230" s="314"/>
      <c r="X1230" s="314" t="str">
        <f>VLOOKUP(D1230,代理总表!A:D,3,0)</f>
        <v>SOCO越南直播</v>
      </c>
      <c r="Y1230" t="str">
        <f>VLOOKUP(D:D,代理总表!A:D,4,FALSE)</f>
        <v>SOCO越南直播ffvn66</v>
      </c>
      <c r="Z1230">
        <f t="shared" si="57"/>
        <v>0</v>
      </c>
      <c r="AA1230">
        <f t="shared" si="58"/>
        <v>1</v>
      </c>
      <c r="AB1230">
        <f t="shared" si="59"/>
        <v>1</v>
      </c>
    </row>
    <row r="1231" spans="1:28">
      <c r="A1231" s="314" t="s">
        <v>4270</v>
      </c>
      <c r="B1231" s="314"/>
      <c r="C1231" s="314"/>
      <c r="D1231" s="314" t="s">
        <v>526</v>
      </c>
      <c r="E1231" s="314" t="s">
        <v>117</v>
      </c>
      <c r="F1231" s="314" t="s">
        <v>118</v>
      </c>
      <c r="G1231" s="314" t="s">
        <v>108</v>
      </c>
      <c r="H1231" s="314" t="s">
        <v>119</v>
      </c>
      <c r="I1231" s="314" t="s">
        <v>108</v>
      </c>
      <c r="J1231" s="314" t="s">
        <v>120</v>
      </c>
      <c r="K1231" s="314">
        <v>0</v>
      </c>
      <c r="L1231" s="314">
        <v>0</v>
      </c>
      <c r="M1231" s="315">
        <v>45145.0501157407</v>
      </c>
      <c r="N1231" s="314" t="s">
        <v>4271</v>
      </c>
      <c r="O1231" s="314" t="s">
        <v>528</v>
      </c>
      <c r="P1231" s="314" t="s">
        <v>112</v>
      </c>
      <c r="Q1231" s="314" t="s">
        <v>123</v>
      </c>
      <c r="R1231" s="315">
        <v>45145.4909027778</v>
      </c>
      <c r="S1231" s="314" t="s">
        <v>4271</v>
      </c>
      <c r="T1231" s="314" t="s">
        <v>124</v>
      </c>
      <c r="U1231" s="314" t="s">
        <v>124</v>
      </c>
      <c r="V1231" s="314" t="s">
        <v>114</v>
      </c>
      <c r="W1231" s="314"/>
      <c r="X1231" s="314" t="str">
        <f>VLOOKUP(D1231,代理总表!A:D,3,0)</f>
        <v>SOCO越南直播</v>
      </c>
      <c r="Y1231" t="str">
        <f>VLOOKUP(D:D,代理总表!A:D,4,FALSE)</f>
        <v>SOCO越南直播ffvn66</v>
      </c>
      <c r="Z1231">
        <f t="shared" si="57"/>
        <v>0</v>
      </c>
      <c r="AA1231">
        <f t="shared" si="58"/>
        <v>1</v>
      </c>
      <c r="AB1231">
        <f t="shared" si="59"/>
        <v>1</v>
      </c>
    </row>
    <row r="1232" spans="1:28">
      <c r="A1232" s="314" t="s">
        <v>4272</v>
      </c>
      <c r="B1232" s="314"/>
      <c r="C1232" s="314"/>
      <c r="D1232" s="314" t="s">
        <v>1894</v>
      </c>
      <c r="E1232" s="314" t="s">
        <v>1895</v>
      </c>
      <c r="F1232" s="314" t="s">
        <v>118</v>
      </c>
      <c r="G1232" s="314" t="s">
        <v>108</v>
      </c>
      <c r="H1232" s="314" t="s">
        <v>119</v>
      </c>
      <c r="I1232" s="314" t="s">
        <v>108</v>
      </c>
      <c r="J1232" s="314" t="s">
        <v>1896</v>
      </c>
      <c r="K1232" s="314">
        <v>0</v>
      </c>
      <c r="L1232" s="314">
        <v>0</v>
      </c>
      <c r="M1232" s="315">
        <v>45145.049212963</v>
      </c>
      <c r="N1232" s="314" t="s">
        <v>4273</v>
      </c>
      <c r="O1232" s="314" t="s">
        <v>1898</v>
      </c>
      <c r="P1232" s="314" t="s">
        <v>112</v>
      </c>
      <c r="Q1232" s="314" t="s">
        <v>123</v>
      </c>
      <c r="R1232" s="315">
        <v>45145.049212963</v>
      </c>
      <c r="S1232" s="314" t="s">
        <v>4273</v>
      </c>
      <c r="T1232" s="314" t="s">
        <v>1899</v>
      </c>
      <c r="U1232" s="314" t="s">
        <v>1899</v>
      </c>
      <c r="V1232" s="314" t="s">
        <v>114</v>
      </c>
      <c r="W1232" s="314"/>
      <c r="X1232" s="314" t="str">
        <f>VLOOKUP(D1232,代理总表!A:D,3,0)</f>
        <v>鲲鹏admin</v>
      </c>
      <c r="Y1232" t="str">
        <f>VLOOKUP(D:D,代理总表!A:D,4,FALSE)</f>
        <v>鲲鹏adminbtydl0057</v>
      </c>
      <c r="Z1232">
        <f t="shared" si="57"/>
        <v>0</v>
      </c>
      <c r="AA1232">
        <f t="shared" si="58"/>
        <v>1</v>
      </c>
      <c r="AB1232">
        <f t="shared" si="59"/>
        <v>1</v>
      </c>
    </row>
    <row r="1233" spans="1:28">
      <c r="A1233" s="314" t="s">
        <v>4274</v>
      </c>
      <c r="B1233" s="314"/>
      <c r="C1233" s="314"/>
      <c r="D1233" s="314" t="s">
        <v>1294</v>
      </c>
      <c r="E1233" s="314" t="s">
        <v>104</v>
      </c>
      <c r="F1233" s="314" t="s">
        <v>118</v>
      </c>
      <c r="G1233" s="314" t="s">
        <v>108</v>
      </c>
      <c r="H1233" s="314" t="s">
        <v>119</v>
      </c>
      <c r="I1233" s="314" t="s">
        <v>108</v>
      </c>
      <c r="J1233" s="314" t="s">
        <v>109</v>
      </c>
      <c r="K1233" s="314">
        <v>0</v>
      </c>
      <c r="L1233" s="314">
        <v>0</v>
      </c>
      <c r="M1233" s="315">
        <v>45145.0489583333</v>
      </c>
      <c r="N1233" s="314" t="s">
        <v>4275</v>
      </c>
      <c r="O1233" s="314" t="s">
        <v>1297</v>
      </c>
      <c r="P1233" s="314" t="s">
        <v>339</v>
      </c>
      <c r="Q1233" s="314" t="s">
        <v>123</v>
      </c>
      <c r="R1233" s="315">
        <v>45145.1310532407</v>
      </c>
      <c r="S1233" s="314" t="s">
        <v>4275</v>
      </c>
      <c r="T1233" s="314" t="s">
        <v>4276</v>
      </c>
      <c r="U1233" s="314" t="s">
        <v>4276</v>
      </c>
      <c r="V1233" s="314" t="s">
        <v>114</v>
      </c>
      <c r="W1233" s="314"/>
      <c r="X1233" s="314" t="str">
        <f>VLOOKUP(D1233,代理总表!A:D,3,0)</f>
        <v>GT-骨头</v>
      </c>
      <c r="Y1233" t="str">
        <f>VLOOKUP(D:D,代理总表!A:D,4,FALSE)</f>
        <v>B直播gt6677</v>
      </c>
      <c r="Z1233">
        <f t="shared" si="57"/>
        <v>0</v>
      </c>
      <c r="AA1233">
        <f t="shared" si="58"/>
        <v>1</v>
      </c>
      <c r="AB1233">
        <f t="shared" si="59"/>
        <v>1</v>
      </c>
    </row>
    <row r="1234" spans="1:28">
      <c r="A1234" s="314" t="s">
        <v>4277</v>
      </c>
      <c r="B1234" s="314"/>
      <c r="C1234" s="314">
        <v>326537702</v>
      </c>
      <c r="D1234" s="314" t="s">
        <v>2442</v>
      </c>
      <c r="E1234" s="314" t="s">
        <v>117</v>
      </c>
      <c r="F1234" s="314" t="s">
        <v>118</v>
      </c>
      <c r="G1234" s="314" t="s">
        <v>108</v>
      </c>
      <c r="H1234" s="314" t="s">
        <v>119</v>
      </c>
      <c r="I1234" s="314" t="s">
        <v>108</v>
      </c>
      <c r="J1234" s="314" t="s">
        <v>120</v>
      </c>
      <c r="K1234" s="314">
        <v>0</v>
      </c>
      <c r="L1234" s="314">
        <v>0</v>
      </c>
      <c r="M1234" s="315">
        <v>45145.0488541667</v>
      </c>
      <c r="N1234" s="314" t="s">
        <v>4278</v>
      </c>
      <c r="O1234" s="314" t="s">
        <v>4279</v>
      </c>
      <c r="P1234" s="314" t="s">
        <v>112</v>
      </c>
      <c r="Q1234" s="314" t="s">
        <v>123</v>
      </c>
      <c r="R1234" s="315">
        <v>45145.0624305556</v>
      </c>
      <c r="S1234" s="314" t="s">
        <v>4278</v>
      </c>
      <c r="T1234" s="314" t="s">
        <v>4280</v>
      </c>
      <c r="U1234" s="314" t="s">
        <v>4280</v>
      </c>
      <c r="V1234" s="314" t="s">
        <v>114</v>
      </c>
      <c r="W1234" s="314"/>
      <c r="X1234" s="314" t="str">
        <f>VLOOKUP(D1234,代理总表!A:D,3,0)</f>
        <v>SOCO越南直播</v>
      </c>
      <c r="Y1234" t="str">
        <f>VLOOKUP(D:D,代理总表!A:D,4,FALSE)</f>
        <v>SOCO越南直播ffvn66</v>
      </c>
      <c r="Z1234">
        <f t="shared" si="57"/>
        <v>0</v>
      </c>
      <c r="AA1234">
        <f t="shared" si="58"/>
        <v>1</v>
      </c>
      <c r="AB1234">
        <f t="shared" si="59"/>
        <v>1</v>
      </c>
    </row>
    <row r="1235" spans="1:28">
      <c r="A1235" s="314" t="s">
        <v>4281</v>
      </c>
      <c r="B1235" s="314" t="s">
        <v>4282</v>
      </c>
      <c r="C1235" s="314">
        <v>966751183</v>
      </c>
      <c r="D1235" s="314" t="s">
        <v>651</v>
      </c>
      <c r="E1235" s="314" t="s">
        <v>117</v>
      </c>
      <c r="F1235" s="314" t="s">
        <v>105</v>
      </c>
      <c r="G1235" s="314" t="s">
        <v>106</v>
      </c>
      <c r="H1235" s="314" t="s">
        <v>107</v>
      </c>
      <c r="I1235" s="314" t="s">
        <v>108</v>
      </c>
      <c r="J1235" s="314" t="s">
        <v>120</v>
      </c>
      <c r="K1235" s="314">
        <v>10000</v>
      </c>
      <c r="L1235" s="314">
        <v>200000</v>
      </c>
      <c r="M1235" s="315">
        <v>45145.0487152778</v>
      </c>
      <c r="N1235" s="314" t="s">
        <v>4283</v>
      </c>
      <c r="O1235" s="314" t="s">
        <v>653</v>
      </c>
      <c r="P1235" s="314" t="s">
        <v>112</v>
      </c>
      <c r="Q1235" s="315">
        <v>45145.0600810185</v>
      </c>
      <c r="R1235" s="315">
        <v>45146.1962037037</v>
      </c>
      <c r="S1235" s="314" t="s">
        <v>4283</v>
      </c>
      <c r="T1235" s="314" t="s">
        <v>124</v>
      </c>
      <c r="U1235" s="314" t="s">
        <v>124</v>
      </c>
      <c r="V1235" s="314" t="s">
        <v>114</v>
      </c>
      <c r="W1235" s="314"/>
      <c r="X1235" s="314" t="str">
        <f>VLOOKUP(D1235,代理总表!A:D,3,0)</f>
        <v>雨燕直播-越</v>
      </c>
      <c r="Y1235" t="str">
        <f>VLOOKUP(D:D,代理总表!A:D,4,FALSE)</f>
        <v>雨燕直播-越ffvn66</v>
      </c>
      <c r="Z1235">
        <f t="shared" si="57"/>
        <v>1</v>
      </c>
      <c r="AA1235">
        <f t="shared" si="58"/>
        <v>1</v>
      </c>
      <c r="AB1235">
        <f t="shared" si="59"/>
        <v>1</v>
      </c>
    </row>
    <row r="1236" spans="1:28">
      <c r="A1236" s="314" t="s">
        <v>4284</v>
      </c>
      <c r="B1236" s="314"/>
      <c r="C1236" s="314"/>
      <c r="D1236" s="314" t="s">
        <v>240</v>
      </c>
      <c r="E1236" s="314" t="s">
        <v>104</v>
      </c>
      <c r="F1236" s="314" t="s">
        <v>149</v>
      </c>
      <c r="G1236" s="314" t="s">
        <v>108</v>
      </c>
      <c r="H1236" s="314" t="s">
        <v>119</v>
      </c>
      <c r="I1236" s="314" t="s">
        <v>108</v>
      </c>
      <c r="J1236" s="314" t="s">
        <v>109</v>
      </c>
      <c r="K1236" s="314">
        <v>0</v>
      </c>
      <c r="L1236" s="314">
        <v>0</v>
      </c>
      <c r="M1236" s="315">
        <v>45145.048287037</v>
      </c>
      <c r="N1236" s="314" t="s">
        <v>2996</v>
      </c>
      <c r="O1236" s="314" t="s">
        <v>2997</v>
      </c>
      <c r="P1236" s="314" t="s">
        <v>112</v>
      </c>
      <c r="Q1236" s="314" t="s">
        <v>123</v>
      </c>
      <c r="R1236" s="315">
        <v>45145.048287037</v>
      </c>
      <c r="S1236" s="314" t="s">
        <v>2996</v>
      </c>
      <c r="T1236" s="314" t="s">
        <v>1172</v>
      </c>
      <c r="U1236" s="314" t="s">
        <v>1172</v>
      </c>
      <c r="V1236" s="314" t="s">
        <v>114</v>
      </c>
      <c r="W1236" s="314"/>
      <c r="X1236" s="314" t="str">
        <f>VLOOKUP(D1236,代理总表!A:D,3,0)</f>
        <v>SEO邀请</v>
      </c>
      <c r="Y1236" t="str">
        <f>VLOOKUP(D:D,代理总表!A:D,4,FALSE)</f>
        <v>SEO</v>
      </c>
      <c r="Z1236">
        <f t="shared" si="57"/>
        <v>0</v>
      </c>
      <c r="AA1236">
        <f t="shared" si="58"/>
        <v>1</v>
      </c>
      <c r="AB1236">
        <f t="shared" si="59"/>
        <v>1</v>
      </c>
    </row>
    <row r="1237" spans="1:28">
      <c r="A1237" s="314" t="s">
        <v>4285</v>
      </c>
      <c r="B1237" s="314"/>
      <c r="C1237" s="314"/>
      <c r="D1237" s="314" t="s">
        <v>805</v>
      </c>
      <c r="E1237" s="314" t="s">
        <v>104</v>
      </c>
      <c r="F1237" s="314" t="s">
        <v>118</v>
      </c>
      <c r="G1237" s="314" t="s">
        <v>108</v>
      </c>
      <c r="H1237" s="314" t="s">
        <v>119</v>
      </c>
      <c r="I1237" s="314" t="s">
        <v>108</v>
      </c>
      <c r="J1237" s="314" t="s">
        <v>109</v>
      </c>
      <c r="K1237" s="314">
        <v>0</v>
      </c>
      <c r="L1237" s="314">
        <v>0</v>
      </c>
      <c r="M1237" s="315">
        <v>45145.0480787037</v>
      </c>
      <c r="N1237" s="314" t="s">
        <v>4286</v>
      </c>
      <c r="O1237" s="314" t="s">
        <v>992</v>
      </c>
      <c r="P1237" s="314" t="s">
        <v>208</v>
      </c>
      <c r="Q1237" s="314" t="s">
        <v>123</v>
      </c>
      <c r="R1237" s="315">
        <v>45145.0480671296</v>
      </c>
      <c r="S1237" s="314" t="s">
        <v>4286</v>
      </c>
      <c r="T1237" s="314" t="s">
        <v>467</v>
      </c>
      <c r="U1237" s="314" t="s">
        <v>467</v>
      </c>
      <c r="V1237" s="314" t="s">
        <v>114</v>
      </c>
      <c r="W1237" s="314"/>
      <c r="X1237" s="314" t="str">
        <f>VLOOKUP(D1237,代理总表!A:D,3,0)</f>
        <v>飞哥雨燕直播</v>
      </c>
      <c r="Y1237" t="str">
        <f>VLOOKUP(D:D,代理总表!A:D,4,FALSE)</f>
        <v>飞哥雨燕直播ffmk88</v>
      </c>
      <c r="Z1237">
        <f t="shared" si="57"/>
        <v>0</v>
      </c>
      <c r="AA1237">
        <f t="shared" si="58"/>
        <v>1</v>
      </c>
      <c r="AB1237">
        <f t="shared" si="59"/>
        <v>1</v>
      </c>
    </row>
    <row r="1238" spans="1:28">
      <c r="A1238" s="314" t="s">
        <v>4287</v>
      </c>
      <c r="B1238" s="314" t="s">
        <v>4288</v>
      </c>
      <c r="C1238" s="314">
        <v>387900652</v>
      </c>
      <c r="D1238" s="314" t="s">
        <v>116</v>
      </c>
      <c r="E1238" s="314" t="s">
        <v>117</v>
      </c>
      <c r="F1238" s="314" t="s">
        <v>118</v>
      </c>
      <c r="G1238" s="314" t="s">
        <v>108</v>
      </c>
      <c r="H1238" s="314" t="s">
        <v>119</v>
      </c>
      <c r="I1238" s="314" t="s">
        <v>108</v>
      </c>
      <c r="J1238" s="314" t="s">
        <v>120</v>
      </c>
      <c r="K1238" s="314">
        <v>0</v>
      </c>
      <c r="L1238" s="314">
        <v>0</v>
      </c>
      <c r="M1238" s="315">
        <v>45145.0478819444</v>
      </c>
      <c r="N1238" s="314" t="s">
        <v>4289</v>
      </c>
      <c r="O1238" s="314" t="s">
        <v>122</v>
      </c>
      <c r="P1238" s="314" t="s">
        <v>112</v>
      </c>
      <c r="Q1238" s="314" t="s">
        <v>123</v>
      </c>
      <c r="R1238" s="315">
        <v>45145.590775463</v>
      </c>
      <c r="S1238" s="314" t="s">
        <v>4290</v>
      </c>
      <c r="T1238" s="314" t="s">
        <v>124</v>
      </c>
      <c r="U1238" s="314" t="s">
        <v>216</v>
      </c>
      <c r="V1238" s="314" t="s">
        <v>114</v>
      </c>
      <c r="W1238" s="314"/>
      <c r="X1238" s="314" t="str">
        <f>VLOOKUP(D1238,代理总表!A:D,3,0)</f>
        <v>外部代理总线</v>
      </c>
      <c r="Y1238" t="str">
        <f>VLOOKUP(D:D,代理总表!A:D,4,FALSE)</f>
        <v>外部代理总线zh0808</v>
      </c>
      <c r="Z1238">
        <f t="shared" si="57"/>
        <v>0</v>
      </c>
      <c r="AA1238">
        <f t="shared" si="58"/>
        <v>1</v>
      </c>
      <c r="AB1238">
        <f t="shared" si="59"/>
        <v>1</v>
      </c>
    </row>
    <row r="1239" spans="1:28">
      <c r="A1239" s="314" t="s">
        <v>4291</v>
      </c>
      <c r="B1239" s="314" t="s">
        <v>4292</v>
      </c>
      <c r="C1239" s="314">
        <v>15838866408</v>
      </c>
      <c r="D1239" s="314" t="s">
        <v>805</v>
      </c>
      <c r="E1239" s="314" t="s">
        <v>104</v>
      </c>
      <c r="F1239" s="314" t="s">
        <v>118</v>
      </c>
      <c r="G1239" s="314" t="s">
        <v>108</v>
      </c>
      <c r="H1239" s="314" t="s">
        <v>119</v>
      </c>
      <c r="I1239" s="314" t="s">
        <v>108</v>
      </c>
      <c r="J1239" s="314" t="s">
        <v>109</v>
      </c>
      <c r="K1239" s="314">
        <v>0</v>
      </c>
      <c r="L1239" s="314">
        <v>0</v>
      </c>
      <c r="M1239" s="315">
        <v>45145.0476388889</v>
      </c>
      <c r="N1239" s="314" t="s">
        <v>4293</v>
      </c>
      <c r="O1239" s="314" t="s">
        <v>992</v>
      </c>
      <c r="P1239" s="314" t="s">
        <v>208</v>
      </c>
      <c r="Q1239" s="314" t="s">
        <v>123</v>
      </c>
      <c r="R1239" s="315">
        <v>45145.5980555556</v>
      </c>
      <c r="S1239" s="314" t="s">
        <v>4294</v>
      </c>
      <c r="T1239" s="314" t="s">
        <v>4295</v>
      </c>
      <c r="U1239" s="314" t="s">
        <v>4295</v>
      </c>
      <c r="V1239" s="314" t="s">
        <v>114</v>
      </c>
      <c r="W1239" s="314"/>
      <c r="X1239" s="314" t="str">
        <f>VLOOKUP(D1239,代理总表!A:D,3,0)</f>
        <v>飞哥雨燕直播</v>
      </c>
      <c r="Y1239" t="str">
        <f>VLOOKUP(D:D,代理总表!A:D,4,FALSE)</f>
        <v>飞哥雨燕直播ffmk88</v>
      </c>
      <c r="Z1239">
        <f t="shared" si="57"/>
        <v>0</v>
      </c>
      <c r="AA1239">
        <f t="shared" si="58"/>
        <v>1</v>
      </c>
      <c r="AB1239">
        <f t="shared" si="59"/>
        <v>1</v>
      </c>
    </row>
    <row r="1240" spans="1:28">
      <c r="A1240" s="314" t="s">
        <v>4296</v>
      </c>
      <c r="B1240" s="314"/>
      <c r="C1240" s="314">
        <v>13726026619</v>
      </c>
      <c r="D1240" s="314" t="s">
        <v>259</v>
      </c>
      <c r="E1240" s="314" t="s">
        <v>104</v>
      </c>
      <c r="F1240" s="314" t="s">
        <v>149</v>
      </c>
      <c r="G1240" s="314" t="s">
        <v>108</v>
      </c>
      <c r="H1240" s="314" t="s">
        <v>119</v>
      </c>
      <c r="I1240" s="314" t="s">
        <v>108</v>
      </c>
      <c r="J1240" s="314" t="s">
        <v>109</v>
      </c>
      <c r="K1240" s="314">
        <v>0</v>
      </c>
      <c r="L1240" s="314">
        <v>0</v>
      </c>
      <c r="M1240" s="315">
        <v>45145.0466435185</v>
      </c>
      <c r="N1240" s="314" t="s">
        <v>4297</v>
      </c>
      <c r="O1240" s="314" t="s">
        <v>3441</v>
      </c>
      <c r="P1240" s="314" t="s">
        <v>112</v>
      </c>
      <c r="Q1240" s="314" t="s">
        <v>123</v>
      </c>
      <c r="R1240" s="315">
        <v>45145.4643171296</v>
      </c>
      <c r="S1240" s="314" t="s">
        <v>4297</v>
      </c>
      <c r="T1240" s="314" t="s">
        <v>4298</v>
      </c>
      <c r="U1240" s="314" t="s">
        <v>4298</v>
      </c>
      <c r="V1240" s="314" t="s">
        <v>114</v>
      </c>
      <c r="W1240" s="314"/>
      <c r="X1240" s="314" t="str">
        <f>VLOOKUP(D1240,代理总表!A:D,3,0)</f>
        <v>tony</v>
      </c>
      <c r="Y1240" t="str">
        <f>VLOOKUP(D:D,代理总表!A:D,4,FALSE)</f>
        <v>SEO</v>
      </c>
      <c r="Z1240">
        <f t="shared" si="57"/>
        <v>0</v>
      </c>
      <c r="AA1240">
        <f t="shared" si="58"/>
        <v>1</v>
      </c>
      <c r="AB1240">
        <f t="shared" si="59"/>
        <v>1</v>
      </c>
    </row>
    <row r="1241" spans="1:28">
      <c r="A1241" s="314" t="s">
        <v>4299</v>
      </c>
      <c r="B1241" s="314"/>
      <c r="C1241" s="314"/>
      <c r="D1241" s="314" t="s">
        <v>240</v>
      </c>
      <c r="E1241" s="314" t="s">
        <v>104</v>
      </c>
      <c r="F1241" s="314" t="s">
        <v>149</v>
      </c>
      <c r="G1241" s="314" t="s">
        <v>108</v>
      </c>
      <c r="H1241" s="314" t="s">
        <v>119</v>
      </c>
      <c r="I1241" s="314" t="s">
        <v>108</v>
      </c>
      <c r="J1241" s="314" t="s">
        <v>109</v>
      </c>
      <c r="K1241" s="314">
        <v>0</v>
      </c>
      <c r="L1241" s="314">
        <v>0</v>
      </c>
      <c r="M1241" s="315">
        <v>45145.0463888889</v>
      </c>
      <c r="N1241" s="314" t="s">
        <v>2996</v>
      </c>
      <c r="O1241" s="314" t="s">
        <v>2997</v>
      </c>
      <c r="P1241" s="314" t="s">
        <v>112</v>
      </c>
      <c r="Q1241" s="314" t="s">
        <v>123</v>
      </c>
      <c r="R1241" s="315">
        <v>45145.0471064815</v>
      </c>
      <c r="S1241" s="314" t="s">
        <v>2996</v>
      </c>
      <c r="T1241" s="314" t="s">
        <v>1172</v>
      </c>
      <c r="U1241" s="314" t="s">
        <v>1172</v>
      </c>
      <c r="V1241" s="314" t="s">
        <v>114</v>
      </c>
      <c r="W1241" s="314"/>
      <c r="X1241" s="314" t="str">
        <f>VLOOKUP(D1241,代理总表!A:D,3,0)</f>
        <v>SEO邀请</v>
      </c>
      <c r="Y1241" t="str">
        <f>VLOOKUP(D:D,代理总表!A:D,4,FALSE)</f>
        <v>SEO</v>
      </c>
      <c r="Z1241">
        <f t="shared" si="57"/>
        <v>0</v>
      </c>
      <c r="AA1241">
        <f t="shared" si="58"/>
        <v>1</v>
      </c>
      <c r="AB1241">
        <f t="shared" si="59"/>
        <v>1</v>
      </c>
    </row>
    <row r="1242" spans="1:28">
      <c r="A1242" s="314" t="s">
        <v>4300</v>
      </c>
      <c r="B1242" s="314"/>
      <c r="C1242" s="314">
        <v>17838301627</v>
      </c>
      <c r="D1242" s="314" t="s">
        <v>594</v>
      </c>
      <c r="E1242" s="314" t="s">
        <v>104</v>
      </c>
      <c r="F1242" s="314" t="s">
        <v>149</v>
      </c>
      <c r="G1242" s="314" t="s">
        <v>108</v>
      </c>
      <c r="H1242" s="314" t="s">
        <v>119</v>
      </c>
      <c r="I1242" s="314" t="s">
        <v>108</v>
      </c>
      <c r="J1242" s="314" t="s">
        <v>109</v>
      </c>
      <c r="K1242" s="314">
        <v>0</v>
      </c>
      <c r="L1242" s="314">
        <v>0</v>
      </c>
      <c r="M1242" s="315">
        <v>45145.0455208333</v>
      </c>
      <c r="N1242" s="314" t="s">
        <v>4301</v>
      </c>
      <c r="O1242" s="314" t="s">
        <v>988</v>
      </c>
      <c r="P1242" s="314" t="s">
        <v>161</v>
      </c>
      <c r="Q1242" s="314" t="s">
        <v>123</v>
      </c>
      <c r="R1242" s="315">
        <v>45145.0455092593</v>
      </c>
      <c r="S1242" s="314" t="s">
        <v>4301</v>
      </c>
      <c r="T1242" s="314" t="s">
        <v>4302</v>
      </c>
      <c r="U1242" s="314" t="s">
        <v>4302</v>
      </c>
      <c r="V1242" s="314" t="s">
        <v>114</v>
      </c>
      <c r="W1242" s="314"/>
      <c r="X1242" s="314" t="str">
        <f>VLOOKUP(D1242,代理总表!A:D,3,0)</f>
        <v>zed</v>
      </c>
      <c r="Y1242" t="str">
        <f>VLOOKUP(D:D,代理总表!A:D,4,FALSE)</f>
        <v>SEO</v>
      </c>
      <c r="Z1242">
        <f t="shared" si="57"/>
        <v>0</v>
      </c>
      <c r="AA1242">
        <f t="shared" si="58"/>
        <v>1</v>
      </c>
      <c r="AB1242">
        <f t="shared" si="59"/>
        <v>1</v>
      </c>
    </row>
    <row r="1243" spans="1:28">
      <c r="A1243" s="314" t="s">
        <v>4303</v>
      </c>
      <c r="B1243" s="314"/>
      <c r="C1243" s="314">
        <v>18876175672</v>
      </c>
      <c r="D1243" s="314" t="s">
        <v>103</v>
      </c>
      <c r="E1243" s="314" t="s">
        <v>104</v>
      </c>
      <c r="F1243" s="314" t="s">
        <v>118</v>
      </c>
      <c r="G1243" s="314" t="s">
        <v>108</v>
      </c>
      <c r="H1243" s="314" t="s">
        <v>119</v>
      </c>
      <c r="I1243" s="314" t="s">
        <v>108</v>
      </c>
      <c r="J1243" s="314" t="s">
        <v>109</v>
      </c>
      <c r="K1243" s="314">
        <v>0</v>
      </c>
      <c r="L1243" s="314">
        <v>0</v>
      </c>
      <c r="M1243" s="315">
        <v>45145.0450578704</v>
      </c>
      <c r="N1243" s="314" t="s">
        <v>4304</v>
      </c>
      <c r="O1243" s="314" t="s">
        <v>220</v>
      </c>
      <c r="P1243" s="314" t="s">
        <v>208</v>
      </c>
      <c r="Q1243" s="314" t="s">
        <v>123</v>
      </c>
      <c r="R1243" s="315">
        <v>45145.722650463</v>
      </c>
      <c r="S1243" s="314" t="s">
        <v>1879</v>
      </c>
      <c r="T1243" s="314" t="s">
        <v>4305</v>
      </c>
      <c r="U1243" s="314" t="s">
        <v>1881</v>
      </c>
      <c r="V1243" s="314" t="s">
        <v>114</v>
      </c>
      <c r="W1243" s="314"/>
      <c r="X1243" s="314" t="str">
        <f>VLOOKUP(D1243,代理总表!A:D,3,0)</f>
        <v>官网</v>
      </c>
      <c r="Y1243" t="str">
        <f>VLOOKUP(D:D,代理总表!A:D,4,FALSE)</f>
        <v>官网</v>
      </c>
      <c r="Z1243">
        <f t="shared" si="57"/>
        <v>0</v>
      </c>
      <c r="AA1243">
        <f t="shared" si="58"/>
        <v>1</v>
      </c>
      <c r="AB1243">
        <f t="shared" si="59"/>
        <v>1</v>
      </c>
    </row>
    <row r="1244" spans="1:28">
      <c r="A1244" s="314" t="s">
        <v>4306</v>
      </c>
      <c r="B1244" s="314"/>
      <c r="C1244" s="314"/>
      <c r="D1244" s="314" t="s">
        <v>116</v>
      </c>
      <c r="E1244" s="314" t="s">
        <v>117</v>
      </c>
      <c r="F1244" s="314" t="s">
        <v>118</v>
      </c>
      <c r="G1244" s="314" t="s">
        <v>108</v>
      </c>
      <c r="H1244" s="314" t="s">
        <v>119</v>
      </c>
      <c r="I1244" s="314" t="s">
        <v>108</v>
      </c>
      <c r="J1244" s="314" t="s">
        <v>120</v>
      </c>
      <c r="K1244" s="314">
        <v>0</v>
      </c>
      <c r="L1244" s="314">
        <v>0</v>
      </c>
      <c r="M1244" s="315">
        <v>45145.0434027778</v>
      </c>
      <c r="N1244" s="314" t="s">
        <v>4307</v>
      </c>
      <c r="O1244" s="314" t="s">
        <v>122</v>
      </c>
      <c r="P1244" s="314" t="s">
        <v>112</v>
      </c>
      <c r="Q1244" s="314" t="s">
        <v>123</v>
      </c>
      <c r="R1244" s="315">
        <v>45145.0433912037</v>
      </c>
      <c r="S1244" s="314" t="s">
        <v>4307</v>
      </c>
      <c r="T1244" s="314" t="s">
        <v>520</v>
      </c>
      <c r="U1244" s="314" t="s">
        <v>520</v>
      </c>
      <c r="V1244" s="314" t="s">
        <v>114</v>
      </c>
      <c r="W1244" s="314"/>
      <c r="X1244" s="314" t="str">
        <f>VLOOKUP(D1244,代理总表!A:D,3,0)</f>
        <v>外部代理总线</v>
      </c>
      <c r="Y1244" t="str">
        <f>VLOOKUP(D:D,代理总表!A:D,4,FALSE)</f>
        <v>外部代理总线zh0808</v>
      </c>
      <c r="Z1244">
        <f t="shared" si="57"/>
        <v>0</v>
      </c>
      <c r="AA1244">
        <f t="shared" si="58"/>
        <v>1</v>
      </c>
      <c r="AB1244">
        <f t="shared" si="59"/>
        <v>1</v>
      </c>
    </row>
    <row r="1245" spans="1:28">
      <c r="A1245" s="314" t="s">
        <v>4308</v>
      </c>
      <c r="B1245" s="314" t="s">
        <v>4309</v>
      </c>
      <c r="C1245" s="314">
        <v>909097413</v>
      </c>
      <c r="D1245" s="314" t="s">
        <v>137</v>
      </c>
      <c r="E1245" s="314" t="s">
        <v>117</v>
      </c>
      <c r="F1245" s="314" t="s">
        <v>118</v>
      </c>
      <c r="G1245" s="314" t="s">
        <v>108</v>
      </c>
      <c r="H1245" s="314" t="s">
        <v>119</v>
      </c>
      <c r="I1245" s="314" t="s">
        <v>108</v>
      </c>
      <c r="J1245" s="314" t="s">
        <v>120</v>
      </c>
      <c r="K1245" s="314">
        <v>0</v>
      </c>
      <c r="L1245" s="314">
        <v>0</v>
      </c>
      <c r="M1245" s="315">
        <v>45145.0432638889</v>
      </c>
      <c r="N1245" s="314" t="s">
        <v>4310</v>
      </c>
      <c r="O1245" s="314" t="s">
        <v>139</v>
      </c>
      <c r="P1245" s="314" t="s">
        <v>112</v>
      </c>
      <c r="Q1245" s="314" t="s">
        <v>123</v>
      </c>
      <c r="R1245" s="315">
        <v>45145.0432523148</v>
      </c>
      <c r="S1245" s="314" t="s">
        <v>4310</v>
      </c>
      <c r="T1245" s="314" t="s">
        <v>131</v>
      </c>
      <c r="U1245" s="314" t="s">
        <v>131</v>
      </c>
      <c r="V1245" s="314" t="s">
        <v>114</v>
      </c>
      <c r="W1245" s="314"/>
      <c r="X1245" s="314" t="str">
        <f>VLOOKUP(D1245,代理总表!A:D,3,0)</f>
        <v>雨燕直播-越</v>
      </c>
      <c r="Y1245" t="str">
        <f>VLOOKUP(D:D,代理总表!A:D,4,FALSE)</f>
        <v>雨燕直播-越ffvn66</v>
      </c>
      <c r="Z1245">
        <f t="shared" si="57"/>
        <v>0</v>
      </c>
      <c r="AA1245">
        <f t="shared" si="58"/>
        <v>1</v>
      </c>
      <c r="AB1245">
        <f t="shared" si="59"/>
        <v>1</v>
      </c>
    </row>
    <row r="1246" spans="1:28">
      <c r="A1246" s="314" t="s">
        <v>4311</v>
      </c>
      <c r="B1246" s="314"/>
      <c r="C1246" s="314"/>
      <c r="D1246" s="314" t="s">
        <v>651</v>
      </c>
      <c r="E1246" s="314" t="s">
        <v>104</v>
      </c>
      <c r="F1246" s="314" t="s">
        <v>118</v>
      </c>
      <c r="G1246" s="314" t="s">
        <v>108</v>
      </c>
      <c r="H1246" s="314" t="s">
        <v>119</v>
      </c>
      <c r="I1246" s="314" t="s">
        <v>108</v>
      </c>
      <c r="J1246" s="314" t="s">
        <v>109</v>
      </c>
      <c r="K1246" s="314">
        <v>0</v>
      </c>
      <c r="L1246" s="314">
        <v>0</v>
      </c>
      <c r="M1246" s="315">
        <v>45145.0432175926</v>
      </c>
      <c r="N1246" s="314" t="s">
        <v>4269</v>
      </c>
      <c r="O1246" s="314" t="s">
        <v>653</v>
      </c>
      <c r="P1246" s="314" t="s">
        <v>112</v>
      </c>
      <c r="Q1246" s="314" t="s">
        <v>123</v>
      </c>
      <c r="R1246" s="315">
        <v>45145.0432175926</v>
      </c>
      <c r="S1246" s="314" t="s">
        <v>4269</v>
      </c>
      <c r="T1246" s="314" t="s">
        <v>131</v>
      </c>
      <c r="U1246" s="314" t="s">
        <v>131</v>
      </c>
      <c r="V1246" s="314" t="s">
        <v>114</v>
      </c>
      <c r="W1246" s="314"/>
      <c r="X1246" s="314" t="str">
        <f>VLOOKUP(D1246,代理总表!A:D,3,0)</f>
        <v>雨燕直播-越</v>
      </c>
      <c r="Y1246" t="str">
        <f>VLOOKUP(D:D,代理总表!A:D,4,FALSE)</f>
        <v>雨燕直播-越ffvn66</v>
      </c>
      <c r="Z1246">
        <f t="shared" si="57"/>
        <v>0</v>
      </c>
      <c r="AA1246">
        <f t="shared" si="58"/>
        <v>1</v>
      </c>
      <c r="AB1246">
        <f t="shared" si="59"/>
        <v>1</v>
      </c>
    </row>
    <row r="1247" spans="1:28">
      <c r="A1247" s="314" t="s">
        <v>4312</v>
      </c>
      <c r="B1247" s="314"/>
      <c r="C1247" s="314"/>
      <c r="D1247" s="314" t="s">
        <v>172</v>
      </c>
      <c r="E1247" s="314" t="s">
        <v>117</v>
      </c>
      <c r="F1247" s="314" t="s">
        <v>118</v>
      </c>
      <c r="G1247" s="314" t="s">
        <v>108</v>
      </c>
      <c r="H1247" s="314" t="s">
        <v>119</v>
      </c>
      <c r="I1247" s="314" t="s">
        <v>108</v>
      </c>
      <c r="J1247" s="314" t="s">
        <v>120</v>
      </c>
      <c r="K1247" s="314">
        <v>0</v>
      </c>
      <c r="L1247" s="314">
        <v>0</v>
      </c>
      <c r="M1247" s="315">
        <v>45145.042962963</v>
      </c>
      <c r="N1247" s="314" t="s">
        <v>4313</v>
      </c>
      <c r="O1247" s="314" t="s">
        <v>1205</v>
      </c>
      <c r="P1247" s="314" t="s">
        <v>339</v>
      </c>
      <c r="Q1247" s="314" t="s">
        <v>123</v>
      </c>
      <c r="R1247" s="315">
        <v>45145.0432060185</v>
      </c>
      <c r="S1247" s="314" t="s">
        <v>4313</v>
      </c>
      <c r="T1247" s="314" t="s">
        <v>131</v>
      </c>
      <c r="U1247" s="314" t="s">
        <v>131</v>
      </c>
      <c r="V1247" s="314" t="s">
        <v>114</v>
      </c>
      <c r="W1247" s="314"/>
      <c r="X1247" s="314" t="str">
        <f>VLOOKUP(D1247,代理总表!A:D,3,0)</f>
        <v>雨燕直播-越</v>
      </c>
      <c r="Y1247" t="str">
        <f>VLOOKUP(D:D,代理总表!A:D,4,FALSE)</f>
        <v>雨燕直播-越ffvn66</v>
      </c>
      <c r="Z1247">
        <f t="shared" si="57"/>
        <v>0</v>
      </c>
      <c r="AA1247">
        <f t="shared" si="58"/>
        <v>1</v>
      </c>
      <c r="AB1247">
        <f t="shared" si="59"/>
        <v>1</v>
      </c>
    </row>
    <row r="1248" spans="1:28">
      <c r="A1248" s="314" t="s">
        <v>4314</v>
      </c>
      <c r="B1248" s="314"/>
      <c r="C1248" s="314"/>
      <c r="D1248" s="314" t="s">
        <v>240</v>
      </c>
      <c r="E1248" s="314" t="s">
        <v>104</v>
      </c>
      <c r="F1248" s="314" t="s">
        <v>149</v>
      </c>
      <c r="G1248" s="314" t="s">
        <v>108</v>
      </c>
      <c r="H1248" s="314" t="s">
        <v>119</v>
      </c>
      <c r="I1248" s="314" t="s">
        <v>108</v>
      </c>
      <c r="J1248" s="314" t="s">
        <v>109</v>
      </c>
      <c r="K1248" s="314">
        <v>0</v>
      </c>
      <c r="L1248" s="314">
        <v>0</v>
      </c>
      <c r="M1248" s="315">
        <v>45145.0420601852</v>
      </c>
      <c r="N1248" s="314" t="s">
        <v>4304</v>
      </c>
      <c r="O1248" s="314" t="s">
        <v>1878</v>
      </c>
      <c r="P1248" s="314" t="s">
        <v>112</v>
      </c>
      <c r="Q1248" s="314" t="s">
        <v>123</v>
      </c>
      <c r="R1248" s="315">
        <v>45145.0420486111</v>
      </c>
      <c r="S1248" s="314" t="s">
        <v>4304</v>
      </c>
      <c r="T1248" s="314" t="s">
        <v>4305</v>
      </c>
      <c r="U1248" s="314" t="s">
        <v>4305</v>
      </c>
      <c r="V1248" s="314" t="s">
        <v>114</v>
      </c>
      <c r="W1248" s="314"/>
      <c r="X1248" s="314" t="str">
        <f>VLOOKUP(D1248,代理总表!A:D,3,0)</f>
        <v>SEO邀请</v>
      </c>
      <c r="Y1248" t="str">
        <f>VLOOKUP(D:D,代理总表!A:D,4,FALSE)</f>
        <v>SEO</v>
      </c>
      <c r="Z1248">
        <f t="shared" si="57"/>
        <v>0</v>
      </c>
      <c r="AA1248">
        <f t="shared" si="58"/>
        <v>1</v>
      </c>
      <c r="AB1248">
        <f t="shared" si="59"/>
        <v>1</v>
      </c>
    </row>
    <row r="1249" spans="1:28">
      <c r="A1249" s="314" t="s">
        <v>4315</v>
      </c>
      <c r="B1249" s="314"/>
      <c r="C1249" s="314"/>
      <c r="D1249" s="314" t="s">
        <v>558</v>
      </c>
      <c r="E1249" s="314" t="s">
        <v>104</v>
      </c>
      <c r="F1249" s="314" t="s">
        <v>118</v>
      </c>
      <c r="G1249" s="314" t="s">
        <v>108</v>
      </c>
      <c r="H1249" s="314" t="s">
        <v>119</v>
      </c>
      <c r="I1249" s="314" t="s">
        <v>108</v>
      </c>
      <c r="J1249" s="314" t="s">
        <v>109</v>
      </c>
      <c r="K1249" s="314">
        <v>0</v>
      </c>
      <c r="L1249" s="314">
        <v>0</v>
      </c>
      <c r="M1249" s="315">
        <v>45145.0416666667</v>
      </c>
      <c r="N1249" s="314" t="s">
        <v>4316</v>
      </c>
      <c r="O1249" s="314" t="s">
        <v>560</v>
      </c>
      <c r="P1249" s="314" t="s">
        <v>208</v>
      </c>
      <c r="Q1249" s="314" t="s">
        <v>123</v>
      </c>
      <c r="R1249" s="315">
        <v>45145.1075694444</v>
      </c>
      <c r="S1249" s="314" t="s">
        <v>4316</v>
      </c>
      <c r="T1249" s="314" t="s">
        <v>1655</v>
      </c>
      <c r="U1249" s="314" t="s">
        <v>1655</v>
      </c>
      <c r="V1249" s="314" t="s">
        <v>114</v>
      </c>
      <c r="W1249" s="314"/>
      <c r="X1249" s="314" t="str">
        <f>VLOOKUP(D1249,代理总表!A:D,3,0)</f>
        <v>雨燕直播</v>
      </c>
      <c r="Y1249" t="str">
        <f>VLOOKUP(D:D,代理总表!A:D,4,FALSE)</f>
        <v>雨燕直播zzzb888</v>
      </c>
      <c r="Z1249">
        <f t="shared" si="57"/>
        <v>0</v>
      </c>
      <c r="AA1249">
        <f t="shared" si="58"/>
        <v>1</v>
      </c>
      <c r="AB1249">
        <f t="shared" si="59"/>
        <v>1</v>
      </c>
    </row>
    <row r="1250" spans="1:28">
      <c r="A1250" s="314" t="s">
        <v>4317</v>
      </c>
      <c r="B1250" s="314" t="s">
        <v>4318</v>
      </c>
      <c r="C1250" s="314">
        <v>336378900</v>
      </c>
      <c r="D1250" s="314" t="s">
        <v>172</v>
      </c>
      <c r="E1250" s="314" t="s">
        <v>117</v>
      </c>
      <c r="F1250" s="314" t="s">
        <v>118</v>
      </c>
      <c r="G1250" s="314" t="s">
        <v>108</v>
      </c>
      <c r="H1250" s="314" t="s">
        <v>119</v>
      </c>
      <c r="I1250" s="314" t="s">
        <v>108</v>
      </c>
      <c r="J1250" s="314" t="s">
        <v>120</v>
      </c>
      <c r="K1250" s="314">
        <v>0</v>
      </c>
      <c r="L1250" s="314">
        <v>0</v>
      </c>
      <c r="M1250" s="315">
        <v>45145.0416550926</v>
      </c>
      <c r="N1250" s="314" t="s">
        <v>4319</v>
      </c>
      <c r="O1250" s="314" t="s">
        <v>174</v>
      </c>
      <c r="P1250" s="314" t="s">
        <v>208</v>
      </c>
      <c r="Q1250" s="314" t="s">
        <v>123</v>
      </c>
      <c r="R1250" s="315">
        <v>45145.9540277778</v>
      </c>
      <c r="S1250" s="314" t="s">
        <v>4320</v>
      </c>
      <c r="T1250" s="314" t="s">
        <v>177</v>
      </c>
      <c r="U1250" s="314" t="s">
        <v>2629</v>
      </c>
      <c r="V1250" s="314" t="s">
        <v>114</v>
      </c>
      <c r="W1250" s="314"/>
      <c r="X1250" s="314" t="str">
        <f>VLOOKUP(D1250,代理总表!A:D,3,0)</f>
        <v>雨燕直播-越</v>
      </c>
      <c r="Y1250" t="str">
        <f>VLOOKUP(D:D,代理总表!A:D,4,FALSE)</f>
        <v>雨燕直播-越ffvn66</v>
      </c>
      <c r="Z1250">
        <f t="shared" si="57"/>
        <v>0</v>
      </c>
      <c r="AA1250">
        <f t="shared" si="58"/>
        <v>0</v>
      </c>
      <c r="AB1250">
        <f t="shared" si="59"/>
        <v>1</v>
      </c>
    </row>
    <row r="1251" spans="1:28">
      <c r="A1251" s="314" t="s">
        <v>4321</v>
      </c>
      <c r="B1251" s="314"/>
      <c r="C1251" s="314">
        <v>13805164926</v>
      </c>
      <c r="D1251" s="314" t="s">
        <v>294</v>
      </c>
      <c r="E1251" s="314" t="s">
        <v>104</v>
      </c>
      <c r="F1251" s="314" t="s">
        <v>149</v>
      </c>
      <c r="G1251" s="314" t="s">
        <v>108</v>
      </c>
      <c r="H1251" s="314" t="s">
        <v>119</v>
      </c>
      <c r="I1251" s="314" t="s">
        <v>108</v>
      </c>
      <c r="J1251" s="314" t="s">
        <v>109</v>
      </c>
      <c r="K1251" s="314">
        <v>0</v>
      </c>
      <c r="L1251" s="314">
        <v>0</v>
      </c>
      <c r="M1251" s="315">
        <v>45145.0403125</v>
      </c>
      <c r="N1251" s="314" t="s">
        <v>4322</v>
      </c>
      <c r="O1251" s="314" t="s">
        <v>1951</v>
      </c>
      <c r="P1251" s="314" t="s">
        <v>112</v>
      </c>
      <c r="Q1251" s="314" t="s">
        <v>123</v>
      </c>
      <c r="R1251" s="315">
        <v>45145.0403009259</v>
      </c>
      <c r="S1251" s="314" t="s">
        <v>4322</v>
      </c>
      <c r="T1251" s="314" t="s">
        <v>299</v>
      </c>
      <c r="U1251" s="314" t="s">
        <v>299</v>
      </c>
      <c r="V1251" s="314" t="s">
        <v>114</v>
      </c>
      <c r="W1251" s="314"/>
      <c r="X1251" s="314" t="str">
        <f>VLOOKUP(D1251,代理总表!A:D,3,0)</f>
        <v>DK</v>
      </c>
      <c r="Y1251" t="str">
        <f>VLOOKUP(D:D,代理总表!A:D,4,FALSE)</f>
        <v>SEO</v>
      </c>
      <c r="Z1251">
        <f t="shared" si="57"/>
        <v>0</v>
      </c>
      <c r="AA1251">
        <f t="shared" si="58"/>
        <v>0</v>
      </c>
      <c r="AB1251">
        <f t="shared" si="59"/>
        <v>1</v>
      </c>
    </row>
    <row r="1252" spans="1:28">
      <c r="A1252" s="314" t="s">
        <v>4323</v>
      </c>
      <c r="B1252" s="314" t="s">
        <v>4324</v>
      </c>
      <c r="C1252" s="314">
        <v>965409530</v>
      </c>
      <c r="D1252" s="314" t="s">
        <v>1317</v>
      </c>
      <c r="E1252" s="314" t="s">
        <v>117</v>
      </c>
      <c r="F1252" s="314" t="s">
        <v>118</v>
      </c>
      <c r="G1252" s="314" t="s">
        <v>108</v>
      </c>
      <c r="H1252" s="314" t="s">
        <v>119</v>
      </c>
      <c r="I1252" s="314" t="s">
        <v>108</v>
      </c>
      <c r="J1252" s="314" t="s">
        <v>120</v>
      </c>
      <c r="K1252" s="314">
        <v>0</v>
      </c>
      <c r="L1252" s="314">
        <v>0</v>
      </c>
      <c r="M1252" s="315">
        <v>45145.0392476852</v>
      </c>
      <c r="N1252" s="314" t="s">
        <v>4325</v>
      </c>
      <c r="O1252" s="314" t="s">
        <v>1319</v>
      </c>
      <c r="P1252" s="314" t="s">
        <v>112</v>
      </c>
      <c r="Q1252" s="314" t="s">
        <v>123</v>
      </c>
      <c r="R1252" s="315">
        <v>45145.0489699074</v>
      </c>
      <c r="S1252" s="314" t="s">
        <v>4325</v>
      </c>
      <c r="T1252" s="314" t="s">
        <v>216</v>
      </c>
      <c r="U1252" s="314" t="s">
        <v>216</v>
      </c>
      <c r="V1252" s="314" t="s">
        <v>114</v>
      </c>
      <c r="W1252" s="314"/>
      <c r="X1252" s="314" t="str">
        <f>VLOOKUP(D1252,代理总表!A:D,3,0)</f>
        <v>外部代理总线</v>
      </c>
      <c r="Y1252" t="str">
        <f>VLOOKUP(D:D,代理总表!A:D,4,FALSE)</f>
        <v>外部代理总线zh0808</v>
      </c>
      <c r="Z1252">
        <f t="shared" si="57"/>
        <v>0</v>
      </c>
      <c r="AA1252">
        <f t="shared" si="58"/>
        <v>0</v>
      </c>
      <c r="AB1252">
        <f t="shared" si="59"/>
        <v>1</v>
      </c>
    </row>
    <row r="1253" spans="1:28">
      <c r="A1253" s="314" t="s">
        <v>4326</v>
      </c>
      <c r="B1253" s="314"/>
      <c r="C1253" s="314"/>
      <c r="D1253" s="314" t="s">
        <v>1741</v>
      </c>
      <c r="E1253" s="314" t="s">
        <v>104</v>
      </c>
      <c r="F1253" s="314" t="s">
        <v>118</v>
      </c>
      <c r="G1253" s="314" t="s">
        <v>108</v>
      </c>
      <c r="H1253" s="314" t="s">
        <v>119</v>
      </c>
      <c r="I1253" s="314" t="s">
        <v>108</v>
      </c>
      <c r="J1253" s="314" t="s">
        <v>109</v>
      </c>
      <c r="K1253" s="314">
        <v>0</v>
      </c>
      <c r="L1253" s="314">
        <v>0</v>
      </c>
      <c r="M1253" s="315">
        <v>45145.0388078704</v>
      </c>
      <c r="N1253" s="314" t="s">
        <v>4327</v>
      </c>
      <c r="O1253" s="314" t="s">
        <v>4328</v>
      </c>
      <c r="P1253" s="314" t="s">
        <v>112</v>
      </c>
      <c r="Q1253" s="314" t="s">
        <v>123</v>
      </c>
      <c r="R1253" s="315">
        <v>45145.0408449074</v>
      </c>
      <c r="S1253" s="314" t="s">
        <v>4327</v>
      </c>
      <c r="T1253" s="314" t="s">
        <v>4329</v>
      </c>
      <c r="U1253" s="314" t="s">
        <v>4329</v>
      </c>
      <c r="V1253" s="314" t="s">
        <v>114</v>
      </c>
      <c r="W1253" s="314"/>
      <c r="X1253" s="314" t="str">
        <f>VLOOKUP(D1253,代理总表!A:D,3,0)</f>
        <v>飞哥雨燕直播</v>
      </c>
      <c r="Y1253" t="str">
        <f>VLOOKUP(D:D,代理总表!A:D,4,FALSE)</f>
        <v>飞哥雨燕直播ffmk88</v>
      </c>
      <c r="Z1253">
        <f t="shared" si="57"/>
        <v>0</v>
      </c>
      <c r="AA1253">
        <f t="shared" si="58"/>
        <v>0</v>
      </c>
      <c r="AB1253">
        <f t="shared" si="59"/>
        <v>1</v>
      </c>
    </row>
    <row r="1254" spans="1:28">
      <c r="A1254" s="314" t="s">
        <v>4330</v>
      </c>
      <c r="B1254" s="314"/>
      <c r="C1254" s="314"/>
      <c r="D1254" s="314" t="s">
        <v>558</v>
      </c>
      <c r="E1254" s="314" t="s">
        <v>104</v>
      </c>
      <c r="F1254" s="314" t="s">
        <v>118</v>
      </c>
      <c r="G1254" s="314" t="s">
        <v>108</v>
      </c>
      <c r="H1254" s="314" t="s">
        <v>119</v>
      </c>
      <c r="I1254" s="314" t="s">
        <v>108</v>
      </c>
      <c r="J1254" s="314" t="s">
        <v>109</v>
      </c>
      <c r="K1254" s="314">
        <v>0</v>
      </c>
      <c r="L1254" s="314">
        <v>0</v>
      </c>
      <c r="M1254" s="315">
        <v>45145.0384722222</v>
      </c>
      <c r="N1254" s="314" t="s">
        <v>4331</v>
      </c>
      <c r="O1254" s="314" t="s">
        <v>560</v>
      </c>
      <c r="P1254" s="314" t="s">
        <v>112</v>
      </c>
      <c r="Q1254" s="314" t="s">
        <v>123</v>
      </c>
      <c r="R1254" s="315">
        <v>45145.0384606481</v>
      </c>
      <c r="S1254" s="314" t="s">
        <v>4331</v>
      </c>
      <c r="T1254" s="314" t="s">
        <v>4332</v>
      </c>
      <c r="U1254" s="314" t="s">
        <v>4332</v>
      </c>
      <c r="V1254" s="314" t="s">
        <v>114</v>
      </c>
      <c r="W1254" s="314"/>
      <c r="X1254" s="314" t="str">
        <f>VLOOKUP(D1254,代理总表!A:D,3,0)</f>
        <v>雨燕直播</v>
      </c>
      <c r="Y1254" t="str">
        <f>VLOOKUP(D:D,代理总表!A:D,4,FALSE)</f>
        <v>雨燕直播zzzb888</v>
      </c>
      <c r="Z1254">
        <f t="shared" si="57"/>
        <v>0</v>
      </c>
      <c r="AA1254">
        <f t="shared" si="58"/>
        <v>0</v>
      </c>
      <c r="AB1254">
        <f t="shared" si="59"/>
        <v>1</v>
      </c>
    </row>
    <row r="1255" spans="1:28">
      <c r="A1255" s="314" t="s">
        <v>4333</v>
      </c>
      <c r="B1255" s="314" t="s">
        <v>4334</v>
      </c>
      <c r="C1255" s="314">
        <v>849165666</v>
      </c>
      <c r="D1255" s="314" t="s">
        <v>137</v>
      </c>
      <c r="E1255" s="314" t="s">
        <v>117</v>
      </c>
      <c r="F1255" s="314" t="s">
        <v>144</v>
      </c>
      <c r="G1255" s="314" t="s">
        <v>106</v>
      </c>
      <c r="H1255" s="314" t="s">
        <v>107</v>
      </c>
      <c r="I1255" s="314" t="s">
        <v>108</v>
      </c>
      <c r="J1255" s="314" t="s">
        <v>120</v>
      </c>
      <c r="K1255" s="314">
        <v>80000</v>
      </c>
      <c r="L1255" s="314">
        <v>100000</v>
      </c>
      <c r="M1255" s="315">
        <v>45145.0358796296</v>
      </c>
      <c r="N1255" s="314" t="s">
        <v>4335</v>
      </c>
      <c r="O1255" s="314" t="s">
        <v>139</v>
      </c>
      <c r="P1255" s="314" t="s">
        <v>112</v>
      </c>
      <c r="Q1255" s="315">
        <v>45145.0514814815</v>
      </c>
      <c r="R1255" s="315">
        <v>45146.1319444444</v>
      </c>
      <c r="S1255" s="314" t="s">
        <v>4335</v>
      </c>
      <c r="T1255" s="314" t="s">
        <v>177</v>
      </c>
      <c r="U1255" s="314" t="s">
        <v>177</v>
      </c>
      <c r="V1255" s="314" t="s">
        <v>114</v>
      </c>
      <c r="W1255" s="314"/>
      <c r="X1255" s="314" t="str">
        <f>VLOOKUP(D1255,代理总表!A:D,3,0)</f>
        <v>雨燕直播-越</v>
      </c>
      <c r="Y1255" t="str">
        <f>VLOOKUP(D:D,代理总表!A:D,4,FALSE)</f>
        <v>雨燕直播-越ffvn66</v>
      </c>
      <c r="Z1255">
        <f t="shared" si="57"/>
        <v>1</v>
      </c>
      <c r="AA1255">
        <f t="shared" si="58"/>
        <v>0</v>
      </c>
      <c r="AB1255">
        <f t="shared" si="59"/>
        <v>1</v>
      </c>
    </row>
    <row r="1256" spans="1:28">
      <c r="A1256" s="314" t="s">
        <v>4336</v>
      </c>
      <c r="B1256" s="314" t="s">
        <v>4337</v>
      </c>
      <c r="C1256" s="314">
        <v>15324096892</v>
      </c>
      <c r="D1256" s="314" t="s">
        <v>148</v>
      </c>
      <c r="E1256" s="314" t="s">
        <v>104</v>
      </c>
      <c r="F1256" s="314" t="s">
        <v>149</v>
      </c>
      <c r="G1256" s="314" t="s">
        <v>108</v>
      </c>
      <c r="H1256" s="314" t="s">
        <v>119</v>
      </c>
      <c r="I1256" s="314" t="s">
        <v>108</v>
      </c>
      <c r="J1256" s="314" t="s">
        <v>109</v>
      </c>
      <c r="K1256" s="314">
        <v>0</v>
      </c>
      <c r="L1256" s="314">
        <v>0</v>
      </c>
      <c r="M1256" s="315">
        <v>45145.035474537</v>
      </c>
      <c r="N1256" s="314" t="s">
        <v>4338</v>
      </c>
      <c r="O1256" s="314" t="s">
        <v>585</v>
      </c>
      <c r="P1256" s="314" t="s">
        <v>112</v>
      </c>
      <c r="Q1256" s="314" t="s">
        <v>123</v>
      </c>
      <c r="R1256" s="315">
        <v>45145.0378819444</v>
      </c>
      <c r="S1256" s="314" t="s">
        <v>4338</v>
      </c>
      <c r="T1256" s="314" t="s">
        <v>748</v>
      </c>
      <c r="U1256" s="314" t="s">
        <v>748</v>
      </c>
      <c r="V1256" s="314" t="s">
        <v>114</v>
      </c>
      <c r="W1256" s="314"/>
      <c r="X1256" s="314" t="str">
        <f>VLOOKUP(D1256,代理总表!A:D,3,0)</f>
        <v>martin</v>
      </c>
      <c r="Y1256" t="str">
        <f>VLOOKUP(D:D,代理总表!A:D,4,FALSE)</f>
        <v>SEO</v>
      </c>
      <c r="Z1256">
        <f t="shared" si="57"/>
        <v>0</v>
      </c>
      <c r="AA1256">
        <f t="shared" si="58"/>
        <v>0</v>
      </c>
      <c r="AB1256">
        <f t="shared" si="59"/>
        <v>1</v>
      </c>
    </row>
    <row r="1257" spans="1:28">
      <c r="A1257" s="314" t="s">
        <v>4339</v>
      </c>
      <c r="B1257" s="314" t="s">
        <v>4340</v>
      </c>
      <c r="C1257" s="314">
        <v>777538838</v>
      </c>
      <c r="D1257" s="314" t="s">
        <v>197</v>
      </c>
      <c r="E1257" s="314" t="s">
        <v>117</v>
      </c>
      <c r="F1257" s="314" t="s">
        <v>144</v>
      </c>
      <c r="G1257" s="314" t="s">
        <v>106</v>
      </c>
      <c r="H1257" s="314" t="s">
        <v>107</v>
      </c>
      <c r="I1257" s="314" t="s">
        <v>108</v>
      </c>
      <c r="J1257" s="314" t="s">
        <v>120</v>
      </c>
      <c r="K1257" s="314">
        <v>120000</v>
      </c>
      <c r="L1257" s="314">
        <v>1050000</v>
      </c>
      <c r="M1257" s="315">
        <v>45145.0353472222</v>
      </c>
      <c r="N1257" s="314" t="s">
        <v>4341</v>
      </c>
      <c r="O1257" s="314" t="s">
        <v>4342</v>
      </c>
      <c r="P1257" s="314" t="s">
        <v>339</v>
      </c>
      <c r="Q1257" s="315">
        <v>45145.6279050926</v>
      </c>
      <c r="R1257" s="315">
        <v>45145.9526967593</v>
      </c>
      <c r="S1257" s="314" t="s">
        <v>4341</v>
      </c>
      <c r="T1257" s="314" t="s">
        <v>140</v>
      </c>
      <c r="U1257" s="314" t="s">
        <v>140</v>
      </c>
      <c r="V1257" s="314" t="s">
        <v>114</v>
      </c>
      <c r="W1257" s="314" t="s">
        <v>4172</v>
      </c>
      <c r="X1257" s="314" t="str">
        <f>VLOOKUP(D1257,代理总表!A:D,3,0)</f>
        <v>雨燕直播-越</v>
      </c>
      <c r="Y1257" t="str">
        <f>VLOOKUP(D:D,代理总表!A:D,4,FALSE)</f>
        <v>雨燕直播-越ffvn66</v>
      </c>
      <c r="Z1257">
        <f t="shared" si="57"/>
        <v>1</v>
      </c>
      <c r="AA1257">
        <f t="shared" si="58"/>
        <v>0</v>
      </c>
      <c r="AB1257">
        <f t="shared" si="59"/>
        <v>1</v>
      </c>
    </row>
    <row r="1258" spans="1:28">
      <c r="A1258" s="314" t="s">
        <v>4343</v>
      </c>
      <c r="B1258" s="314"/>
      <c r="C1258" s="314">
        <v>985737930</v>
      </c>
      <c r="D1258" s="314" t="s">
        <v>224</v>
      </c>
      <c r="E1258" s="314" t="s">
        <v>117</v>
      </c>
      <c r="F1258" s="314" t="s">
        <v>118</v>
      </c>
      <c r="G1258" s="314" t="s">
        <v>108</v>
      </c>
      <c r="H1258" s="314" t="s">
        <v>119</v>
      </c>
      <c r="I1258" s="314" t="s">
        <v>108</v>
      </c>
      <c r="J1258" s="314" t="s">
        <v>120</v>
      </c>
      <c r="K1258" s="314">
        <v>0</v>
      </c>
      <c r="L1258" s="314">
        <v>0</v>
      </c>
      <c r="M1258" s="315">
        <v>45145.0353240741</v>
      </c>
      <c r="N1258" s="314" t="s">
        <v>4344</v>
      </c>
      <c r="O1258" s="314" t="s">
        <v>226</v>
      </c>
      <c r="P1258" s="314" t="s">
        <v>208</v>
      </c>
      <c r="Q1258" s="314" t="s">
        <v>123</v>
      </c>
      <c r="R1258" s="315">
        <v>45145.0353240741</v>
      </c>
      <c r="S1258" s="314" t="s">
        <v>4344</v>
      </c>
      <c r="T1258" s="314" t="s">
        <v>801</v>
      </c>
      <c r="U1258" s="314" t="s">
        <v>801</v>
      </c>
      <c r="V1258" s="314" t="s">
        <v>114</v>
      </c>
      <c r="W1258" s="314"/>
      <c r="X1258" s="314" t="str">
        <f>VLOOKUP(D1258,代理总表!A:D,3,0)</f>
        <v>雨燕直播-越</v>
      </c>
      <c r="Y1258" t="str">
        <f>VLOOKUP(D:D,代理总表!A:D,4,FALSE)</f>
        <v>雨燕直播-越ffvn66</v>
      </c>
      <c r="Z1258">
        <f t="shared" si="57"/>
        <v>0</v>
      </c>
      <c r="AA1258">
        <f t="shared" si="58"/>
        <v>0</v>
      </c>
      <c r="AB1258">
        <f t="shared" si="59"/>
        <v>1</v>
      </c>
    </row>
    <row r="1259" spans="1:28">
      <c r="A1259" s="314" t="s">
        <v>4345</v>
      </c>
      <c r="B1259" s="314"/>
      <c r="C1259" s="314">
        <v>973175712</v>
      </c>
      <c r="D1259" s="314" t="s">
        <v>172</v>
      </c>
      <c r="E1259" s="314" t="s">
        <v>117</v>
      </c>
      <c r="F1259" s="314" t="s">
        <v>118</v>
      </c>
      <c r="G1259" s="314" t="s">
        <v>108</v>
      </c>
      <c r="H1259" s="314" t="s">
        <v>119</v>
      </c>
      <c r="I1259" s="314" t="s">
        <v>108</v>
      </c>
      <c r="J1259" s="314" t="s">
        <v>120</v>
      </c>
      <c r="K1259" s="314">
        <v>0</v>
      </c>
      <c r="L1259" s="314">
        <v>0</v>
      </c>
      <c r="M1259" s="315">
        <v>45145.0345833333</v>
      </c>
      <c r="N1259" s="314" t="s">
        <v>4346</v>
      </c>
      <c r="O1259" s="314" t="s">
        <v>881</v>
      </c>
      <c r="P1259" s="314" t="s">
        <v>112</v>
      </c>
      <c r="Q1259" s="314" t="s">
        <v>123</v>
      </c>
      <c r="R1259" s="315">
        <v>45145.5623958333</v>
      </c>
      <c r="S1259" s="314" t="s">
        <v>4347</v>
      </c>
      <c r="T1259" s="314" t="s">
        <v>667</v>
      </c>
      <c r="U1259" s="314" t="s">
        <v>177</v>
      </c>
      <c r="V1259" s="314" t="s">
        <v>114</v>
      </c>
      <c r="W1259" s="314"/>
      <c r="X1259" s="314" t="str">
        <f>VLOOKUP(D1259,代理总表!A:D,3,0)</f>
        <v>雨燕直播-越</v>
      </c>
      <c r="Y1259" t="str">
        <f>VLOOKUP(D:D,代理总表!A:D,4,FALSE)</f>
        <v>雨燕直播-越ffvn66</v>
      </c>
      <c r="Z1259">
        <f t="shared" si="57"/>
        <v>0</v>
      </c>
      <c r="AA1259">
        <f t="shared" si="58"/>
        <v>0</v>
      </c>
      <c r="AB1259">
        <f t="shared" si="59"/>
        <v>1</v>
      </c>
    </row>
    <row r="1260" spans="1:28">
      <c r="A1260" s="314" t="s">
        <v>4348</v>
      </c>
      <c r="B1260" s="314"/>
      <c r="C1260" s="314">
        <v>933202115</v>
      </c>
      <c r="D1260" s="314" t="s">
        <v>197</v>
      </c>
      <c r="E1260" s="314" t="s">
        <v>117</v>
      </c>
      <c r="F1260" s="314" t="s">
        <v>118</v>
      </c>
      <c r="G1260" s="314" t="s">
        <v>108</v>
      </c>
      <c r="H1260" s="314" t="s">
        <v>119</v>
      </c>
      <c r="I1260" s="314" t="s">
        <v>108</v>
      </c>
      <c r="J1260" s="314" t="s">
        <v>120</v>
      </c>
      <c r="K1260" s="314">
        <v>0</v>
      </c>
      <c r="L1260" s="314">
        <v>0</v>
      </c>
      <c r="M1260" s="315">
        <v>45145.0340740741</v>
      </c>
      <c r="N1260" s="314" t="s">
        <v>4349</v>
      </c>
      <c r="O1260" s="314" t="s">
        <v>199</v>
      </c>
      <c r="P1260" s="314" t="s">
        <v>112</v>
      </c>
      <c r="Q1260" s="314" t="s">
        <v>123</v>
      </c>
      <c r="R1260" s="315">
        <v>45145.0351851852</v>
      </c>
      <c r="S1260" s="314" t="s">
        <v>4349</v>
      </c>
      <c r="T1260" s="314" t="s">
        <v>124</v>
      </c>
      <c r="U1260" s="314" t="s">
        <v>124</v>
      </c>
      <c r="V1260" s="314" t="s">
        <v>114</v>
      </c>
      <c r="W1260" s="314"/>
      <c r="X1260" s="314" t="str">
        <f>VLOOKUP(D1260,代理总表!A:D,3,0)</f>
        <v>雨燕直播-越</v>
      </c>
      <c r="Y1260" t="str">
        <f>VLOOKUP(D:D,代理总表!A:D,4,FALSE)</f>
        <v>雨燕直播-越ffvn66</v>
      </c>
      <c r="Z1260">
        <f t="shared" si="57"/>
        <v>0</v>
      </c>
      <c r="AA1260">
        <f t="shared" si="58"/>
        <v>0</v>
      </c>
      <c r="AB1260">
        <f t="shared" si="59"/>
        <v>1</v>
      </c>
    </row>
    <row r="1261" spans="1:28">
      <c r="A1261" s="314" t="s">
        <v>4350</v>
      </c>
      <c r="B1261" s="314"/>
      <c r="C1261" s="314">
        <v>17857021586</v>
      </c>
      <c r="D1261" s="314" t="s">
        <v>249</v>
      </c>
      <c r="E1261" s="314" t="s">
        <v>104</v>
      </c>
      <c r="F1261" s="314" t="s">
        <v>118</v>
      </c>
      <c r="G1261" s="314" t="s">
        <v>108</v>
      </c>
      <c r="H1261" s="314" t="s">
        <v>119</v>
      </c>
      <c r="I1261" s="314" t="s">
        <v>108</v>
      </c>
      <c r="J1261" s="314" t="s">
        <v>109</v>
      </c>
      <c r="K1261" s="314">
        <v>0</v>
      </c>
      <c r="L1261" s="314">
        <v>0</v>
      </c>
      <c r="M1261" s="315">
        <v>45145.0327083333</v>
      </c>
      <c r="N1261" s="314" t="s">
        <v>4351</v>
      </c>
      <c r="O1261" s="314" t="s">
        <v>4114</v>
      </c>
      <c r="P1261" s="314" t="s">
        <v>112</v>
      </c>
      <c r="Q1261" s="314" t="s">
        <v>123</v>
      </c>
      <c r="R1261" s="315">
        <v>45145.0345949074</v>
      </c>
      <c r="S1261" s="314" t="s">
        <v>4351</v>
      </c>
      <c r="T1261" s="314" t="s">
        <v>4352</v>
      </c>
      <c r="U1261" s="314" t="s">
        <v>4352</v>
      </c>
      <c r="V1261" s="314" t="s">
        <v>114</v>
      </c>
      <c r="W1261" s="314"/>
      <c r="X1261" s="314" t="str">
        <f>VLOOKUP(D1261,代理总表!A:D,3,0)</f>
        <v>飞哥雨燕直播</v>
      </c>
      <c r="Y1261" t="str">
        <f>VLOOKUP(D:D,代理总表!A:D,4,FALSE)</f>
        <v>飞哥雨燕直播ffmk88</v>
      </c>
      <c r="Z1261">
        <f t="shared" si="57"/>
        <v>0</v>
      </c>
      <c r="AA1261">
        <f t="shared" si="58"/>
        <v>0</v>
      </c>
      <c r="AB1261">
        <f t="shared" si="59"/>
        <v>1</v>
      </c>
    </row>
    <row r="1262" spans="1:28">
      <c r="A1262" s="314" t="s">
        <v>4353</v>
      </c>
      <c r="B1262" s="314"/>
      <c r="C1262" s="314"/>
      <c r="D1262" s="314" t="s">
        <v>172</v>
      </c>
      <c r="E1262" s="314" t="s">
        <v>117</v>
      </c>
      <c r="F1262" s="314" t="s">
        <v>118</v>
      </c>
      <c r="G1262" s="314" t="s">
        <v>108</v>
      </c>
      <c r="H1262" s="314" t="s">
        <v>119</v>
      </c>
      <c r="I1262" s="314" t="s">
        <v>108</v>
      </c>
      <c r="J1262" s="314" t="s">
        <v>120</v>
      </c>
      <c r="K1262" s="314">
        <v>0</v>
      </c>
      <c r="L1262" s="314">
        <v>0</v>
      </c>
      <c r="M1262" s="315">
        <v>45145.0323842593</v>
      </c>
      <c r="N1262" s="314" t="s">
        <v>4354</v>
      </c>
      <c r="O1262" s="314" t="s">
        <v>881</v>
      </c>
      <c r="P1262" s="314" t="s">
        <v>112</v>
      </c>
      <c r="Q1262" s="314" t="s">
        <v>123</v>
      </c>
      <c r="R1262" s="315">
        <v>45145.0335532407</v>
      </c>
      <c r="S1262" s="314" t="s">
        <v>4354</v>
      </c>
      <c r="T1262" s="314" t="s">
        <v>177</v>
      </c>
      <c r="U1262" s="314" t="s">
        <v>177</v>
      </c>
      <c r="V1262" s="314" t="s">
        <v>114</v>
      </c>
      <c r="W1262" s="314"/>
      <c r="X1262" s="314" t="str">
        <f>VLOOKUP(D1262,代理总表!A:D,3,0)</f>
        <v>雨燕直播-越</v>
      </c>
      <c r="Y1262" t="str">
        <f>VLOOKUP(D:D,代理总表!A:D,4,FALSE)</f>
        <v>雨燕直播-越ffvn66</v>
      </c>
      <c r="Z1262">
        <f t="shared" si="57"/>
        <v>0</v>
      </c>
      <c r="AA1262">
        <f t="shared" si="58"/>
        <v>0</v>
      </c>
      <c r="AB1262">
        <f t="shared" si="59"/>
        <v>1</v>
      </c>
    </row>
    <row r="1263" spans="1:28">
      <c r="A1263" s="314" t="s">
        <v>4355</v>
      </c>
      <c r="B1263" s="314"/>
      <c r="C1263" s="314"/>
      <c r="D1263" s="314" t="s">
        <v>1021</v>
      </c>
      <c r="E1263" s="314" t="s">
        <v>117</v>
      </c>
      <c r="F1263" s="314" t="s">
        <v>118</v>
      </c>
      <c r="G1263" s="314" t="s">
        <v>108</v>
      </c>
      <c r="H1263" s="314" t="s">
        <v>119</v>
      </c>
      <c r="I1263" s="314" t="s">
        <v>108</v>
      </c>
      <c r="J1263" s="314" t="s">
        <v>120</v>
      </c>
      <c r="K1263" s="314">
        <v>0</v>
      </c>
      <c r="L1263" s="314">
        <v>0</v>
      </c>
      <c r="M1263" s="315">
        <v>45145.0320949074</v>
      </c>
      <c r="N1263" s="314" t="s">
        <v>4356</v>
      </c>
      <c r="O1263" s="314" t="s">
        <v>2301</v>
      </c>
      <c r="P1263" s="314" t="s">
        <v>112</v>
      </c>
      <c r="Q1263" s="314" t="s">
        <v>123</v>
      </c>
      <c r="R1263" s="315">
        <v>45145.0505324074</v>
      </c>
      <c r="S1263" s="314" t="s">
        <v>4356</v>
      </c>
      <c r="T1263" s="314" t="s">
        <v>177</v>
      </c>
      <c r="U1263" s="314" t="s">
        <v>177</v>
      </c>
      <c r="V1263" s="314" t="s">
        <v>114</v>
      </c>
      <c r="W1263" s="314"/>
      <c r="X1263" s="314" t="str">
        <f>VLOOKUP(D1263,代理总表!A:D,3,0)</f>
        <v>SOCO越南直播</v>
      </c>
      <c r="Y1263" t="str">
        <f>VLOOKUP(D:D,代理总表!A:D,4,FALSE)</f>
        <v>SOCO越南直播ffvn66</v>
      </c>
      <c r="Z1263">
        <f t="shared" si="57"/>
        <v>0</v>
      </c>
      <c r="AA1263">
        <f t="shared" si="58"/>
        <v>0</v>
      </c>
      <c r="AB1263">
        <f t="shared" si="59"/>
        <v>1</v>
      </c>
    </row>
    <row r="1264" spans="1:28">
      <c r="A1264" s="314" t="s">
        <v>4357</v>
      </c>
      <c r="B1264" s="314"/>
      <c r="C1264" s="314">
        <v>941206944</v>
      </c>
      <c r="D1264" s="314" t="s">
        <v>116</v>
      </c>
      <c r="E1264" s="314" t="s">
        <v>117</v>
      </c>
      <c r="F1264" s="314" t="s">
        <v>118</v>
      </c>
      <c r="G1264" s="314" t="s">
        <v>108</v>
      </c>
      <c r="H1264" s="314" t="s">
        <v>119</v>
      </c>
      <c r="I1264" s="314" t="s">
        <v>108</v>
      </c>
      <c r="J1264" s="314" t="s">
        <v>120</v>
      </c>
      <c r="K1264" s="314">
        <v>0</v>
      </c>
      <c r="L1264" s="314">
        <v>0</v>
      </c>
      <c r="M1264" s="315">
        <v>45145.0318171296</v>
      </c>
      <c r="N1264" s="314" t="s">
        <v>4358</v>
      </c>
      <c r="O1264" s="314" t="s">
        <v>127</v>
      </c>
      <c r="P1264" s="314" t="s">
        <v>112</v>
      </c>
      <c r="Q1264" s="314" t="s">
        <v>123</v>
      </c>
      <c r="R1264" s="315">
        <v>45145.2994791667</v>
      </c>
      <c r="S1264" s="314" t="s">
        <v>4358</v>
      </c>
      <c r="T1264" s="314" t="s">
        <v>216</v>
      </c>
      <c r="U1264" s="314" t="s">
        <v>216</v>
      </c>
      <c r="V1264" s="314" t="s">
        <v>114</v>
      </c>
      <c r="W1264" s="314"/>
      <c r="X1264" s="314" t="str">
        <f>VLOOKUP(D1264,代理总表!A:D,3,0)</f>
        <v>外部代理总线</v>
      </c>
      <c r="Y1264" t="str">
        <f>VLOOKUP(D:D,代理总表!A:D,4,FALSE)</f>
        <v>外部代理总线zh0808</v>
      </c>
      <c r="Z1264">
        <f t="shared" si="57"/>
        <v>0</v>
      </c>
      <c r="AA1264">
        <f t="shared" si="58"/>
        <v>0</v>
      </c>
      <c r="AB1264">
        <f t="shared" si="59"/>
        <v>1</v>
      </c>
    </row>
    <row r="1265" spans="1:28">
      <c r="A1265" s="314" t="s">
        <v>4359</v>
      </c>
      <c r="B1265" s="314"/>
      <c r="C1265" s="314">
        <v>938148848</v>
      </c>
      <c r="D1265" s="314" t="s">
        <v>143</v>
      </c>
      <c r="E1265" s="314" t="s">
        <v>117</v>
      </c>
      <c r="F1265" s="314" t="s">
        <v>118</v>
      </c>
      <c r="G1265" s="314" t="s">
        <v>108</v>
      </c>
      <c r="H1265" s="314" t="s">
        <v>119</v>
      </c>
      <c r="I1265" s="314" t="s">
        <v>108</v>
      </c>
      <c r="J1265" s="314" t="s">
        <v>120</v>
      </c>
      <c r="K1265" s="314">
        <v>0</v>
      </c>
      <c r="L1265" s="314">
        <v>0</v>
      </c>
      <c r="M1265" s="315">
        <v>45145.0315046296</v>
      </c>
      <c r="N1265" s="314" t="s">
        <v>4360</v>
      </c>
      <c r="O1265" s="314" t="s">
        <v>407</v>
      </c>
      <c r="P1265" s="314" t="s">
        <v>112</v>
      </c>
      <c r="Q1265" s="314" t="s">
        <v>123</v>
      </c>
      <c r="R1265" s="315">
        <v>45145.0314930556</v>
      </c>
      <c r="S1265" s="314" t="s">
        <v>4360</v>
      </c>
      <c r="T1265" s="314" t="s">
        <v>131</v>
      </c>
      <c r="U1265" s="314" t="s">
        <v>131</v>
      </c>
      <c r="V1265" s="314" t="s">
        <v>114</v>
      </c>
      <c r="W1265" s="314"/>
      <c r="X1265" s="314" t="str">
        <f>VLOOKUP(D1265,代理总表!A:D,3,0)</f>
        <v>雨燕直播-越</v>
      </c>
      <c r="Y1265" t="str">
        <f>VLOOKUP(D:D,代理总表!A:D,4,FALSE)</f>
        <v>雨燕直播-越ffvn66</v>
      </c>
      <c r="Z1265">
        <f t="shared" si="57"/>
        <v>0</v>
      </c>
      <c r="AA1265">
        <f t="shared" si="58"/>
        <v>0</v>
      </c>
      <c r="AB1265">
        <f t="shared" si="59"/>
        <v>1</v>
      </c>
    </row>
    <row r="1266" spans="1:28">
      <c r="A1266" s="314" t="s">
        <v>4361</v>
      </c>
      <c r="B1266" s="314" t="s">
        <v>4362</v>
      </c>
      <c r="C1266" s="314">
        <v>368555432</v>
      </c>
      <c r="D1266" s="314" t="s">
        <v>116</v>
      </c>
      <c r="E1266" s="314" t="s">
        <v>117</v>
      </c>
      <c r="F1266" s="314" t="s">
        <v>118</v>
      </c>
      <c r="G1266" s="314" t="s">
        <v>108</v>
      </c>
      <c r="H1266" s="314" t="s">
        <v>119</v>
      </c>
      <c r="I1266" s="314" t="s">
        <v>108</v>
      </c>
      <c r="J1266" s="314" t="s">
        <v>120</v>
      </c>
      <c r="K1266" s="314">
        <v>0</v>
      </c>
      <c r="L1266" s="314">
        <v>0</v>
      </c>
      <c r="M1266" s="315">
        <v>45145.0312152778</v>
      </c>
      <c r="N1266" s="314" t="s">
        <v>4363</v>
      </c>
      <c r="O1266" s="314" t="s">
        <v>122</v>
      </c>
      <c r="P1266" s="314" t="s">
        <v>112</v>
      </c>
      <c r="Q1266" s="314" t="s">
        <v>123</v>
      </c>
      <c r="R1266" s="315">
        <v>45145.0312152778</v>
      </c>
      <c r="S1266" s="314" t="s">
        <v>4363</v>
      </c>
      <c r="T1266" s="314" t="s">
        <v>217</v>
      </c>
      <c r="U1266" s="314" t="s">
        <v>217</v>
      </c>
      <c r="V1266" s="314" t="s">
        <v>114</v>
      </c>
      <c r="W1266" s="314"/>
      <c r="X1266" s="314" t="str">
        <f>VLOOKUP(D1266,代理总表!A:D,3,0)</f>
        <v>外部代理总线</v>
      </c>
      <c r="Y1266" t="str">
        <f>VLOOKUP(D:D,代理总表!A:D,4,FALSE)</f>
        <v>外部代理总线zh0808</v>
      </c>
      <c r="Z1266">
        <f t="shared" si="57"/>
        <v>0</v>
      </c>
      <c r="AA1266">
        <f t="shared" si="58"/>
        <v>0</v>
      </c>
      <c r="AB1266">
        <f t="shared" si="59"/>
        <v>1</v>
      </c>
    </row>
    <row r="1267" spans="1:28">
      <c r="A1267" s="314" t="s">
        <v>4364</v>
      </c>
      <c r="B1267" s="314" t="s">
        <v>4365</v>
      </c>
      <c r="C1267" s="314">
        <v>13227970209</v>
      </c>
      <c r="D1267" s="314" t="s">
        <v>180</v>
      </c>
      <c r="E1267" s="314" t="s">
        <v>104</v>
      </c>
      <c r="F1267" s="314" t="s">
        <v>181</v>
      </c>
      <c r="G1267" s="314" t="s">
        <v>106</v>
      </c>
      <c r="H1267" s="314" t="s">
        <v>107</v>
      </c>
      <c r="I1267" s="314" t="s">
        <v>108</v>
      </c>
      <c r="J1267" s="314" t="s">
        <v>109</v>
      </c>
      <c r="K1267" s="314">
        <v>0</v>
      </c>
      <c r="L1267" s="314">
        <v>100</v>
      </c>
      <c r="M1267" s="315">
        <v>45145.0300925926</v>
      </c>
      <c r="N1267" s="314" t="s">
        <v>4366</v>
      </c>
      <c r="O1267" s="314" t="s">
        <v>1199</v>
      </c>
      <c r="P1267" s="314" t="s">
        <v>112</v>
      </c>
      <c r="Q1267" s="315">
        <v>45145.0318518519</v>
      </c>
      <c r="R1267" s="315">
        <v>45145.9814930556</v>
      </c>
      <c r="S1267" s="314" t="s">
        <v>4367</v>
      </c>
      <c r="T1267" s="314" t="s">
        <v>4368</v>
      </c>
      <c r="U1267" s="314" t="s">
        <v>472</v>
      </c>
      <c r="V1267" s="314" t="s">
        <v>114</v>
      </c>
      <c r="W1267" s="314"/>
      <c r="X1267" s="314" t="str">
        <f>VLOOKUP(D1267,代理总表!A:D,3,0)</f>
        <v>hugo</v>
      </c>
      <c r="Y1267" t="str">
        <f>VLOOKUP(D:D,代理总表!A:D,4,FALSE)</f>
        <v>SEO</v>
      </c>
      <c r="Z1267">
        <f t="shared" si="57"/>
        <v>1</v>
      </c>
      <c r="AA1267">
        <f t="shared" si="58"/>
        <v>0</v>
      </c>
      <c r="AB1267">
        <f t="shared" si="59"/>
        <v>1</v>
      </c>
    </row>
    <row r="1268" spans="1:28">
      <c r="A1268" s="314" t="s">
        <v>4369</v>
      </c>
      <c r="B1268" s="314"/>
      <c r="C1268" s="314">
        <v>364480702</v>
      </c>
      <c r="D1268" s="314" t="s">
        <v>550</v>
      </c>
      <c r="E1268" s="314" t="s">
        <v>117</v>
      </c>
      <c r="F1268" s="314" t="s">
        <v>118</v>
      </c>
      <c r="G1268" s="314" t="s">
        <v>108</v>
      </c>
      <c r="H1268" s="314" t="s">
        <v>119</v>
      </c>
      <c r="I1268" s="314" t="s">
        <v>108</v>
      </c>
      <c r="J1268" s="314" t="s">
        <v>120</v>
      </c>
      <c r="K1268" s="314">
        <v>0</v>
      </c>
      <c r="L1268" s="314">
        <v>0</v>
      </c>
      <c r="M1268" s="315">
        <v>45145.0300578704</v>
      </c>
      <c r="N1268" s="314" t="s">
        <v>4370</v>
      </c>
      <c r="O1268" s="314" t="s">
        <v>603</v>
      </c>
      <c r="P1268" s="314" t="s">
        <v>112</v>
      </c>
      <c r="Q1268" s="314" t="s">
        <v>123</v>
      </c>
      <c r="R1268" s="315">
        <v>45145.0345138889</v>
      </c>
      <c r="S1268" s="314" t="s">
        <v>4370</v>
      </c>
      <c r="T1268" s="314" t="s">
        <v>131</v>
      </c>
      <c r="U1268" s="314" t="s">
        <v>131</v>
      </c>
      <c r="V1268" s="314" t="s">
        <v>114</v>
      </c>
      <c r="W1268" s="314"/>
      <c r="X1268" s="314" t="str">
        <f>VLOOKUP(D1268,代理总表!A:D,3,0)</f>
        <v>SOCO越南直播</v>
      </c>
      <c r="Y1268" t="str">
        <f>VLOOKUP(D:D,代理总表!A:D,4,FALSE)</f>
        <v>SOCO越南直播ffvn66</v>
      </c>
      <c r="Z1268">
        <f t="shared" si="57"/>
        <v>0</v>
      </c>
      <c r="AA1268">
        <f t="shared" si="58"/>
        <v>0</v>
      </c>
      <c r="AB1268">
        <f t="shared" si="59"/>
        <v>1</v>
      </c>
    </row>
    <row r="1269" spans="1:28">
      <c r="A1269" s="314" t="s">
        <v>4371</v>
      </c>
      <c r="B1269" s="314"/>
      <c r="C1269" s="314"/>
      <c r="D1269" s="314" t="s">
        <v>505</v>
      </c>
      <c r="E1269" s="314" t="s">
        <v>117</v>
      </c>
      <c r="F1269" s="314" t="s">
        <v>118</v>
      </c>
      <c r="G1269" s="314" t="s">
        <v>108</v>
      </c>
      <c r="H1269" s="314" t="s">
        <v>119</v>
      </c>
      <c r="I1269" s="314" t="s">
        <v>108</v>
      </c>
      <c r="J1269" s="314" t="s">
        <v>120</v>
      </c>
      <c r="K1269" s="314">
        <v>0</v>
      </c>
      <c r="L1269" s="314">
        <v>0</v>
      </c>
      <c r="M1269" s="315">
        <v>45145.0299074074</v>
      </c>
      <c r="N1269" s="314" t="s">
        <v>4341</v>
      </c>
      <c r="O1269" s="314" t="s">
        <v>507</v>
      </c>
      <c r="P1269" s="314" t="s">
        <v>339</v>
      </c>
      <c r="Q1269" s="314" t="s">
        <v>123</v>
      </c>
      <c r="R1269" s="315">
        <v>45145.0299074074</v>
      </c>
      <c r="S1269" s="314" t="s">
        <v>4341</v>
      </c>
      <c r="T1269" s="314" t="s">
        <v>140</v>
      </c>
      <c r="U1269" s="314" t="s">
        <v>140</v>
      </c>
      <c r="V1269" s="314" t="s">
        <v>114</v>
      </c>
      <c r="W1269" s="314"/>
      <c r="X1269" s="314" t="str">
        <f>VLOOKUP(D1269,代理总表!A:D,3,0)</f>
        <v>SOCO越南直播</v>
      </c>
      <c r="Y1269" t="str">
        <f>VLOOKUP(D:D,代理总表!A:D,4,FALSE)</f>
        <v>SOCO越南直播ffvn66</v>
      </c>
      <c r="Z1269">
        <f t="shared" si="57"/>
        <v>0</v>
      </c>
      <c r="AA1269">
        <f t="shared" si="58"/>
        <v>0</v>
      </c>
      <c r="AB1269">
        <f t="shared" si="59"/>
        <v>1</v>
      </c>
    </row>
    <row r="1270" spans="1:28">
      <c r="A1270" s="314" t="s">
        <v>4372</v>
      </c>
      <c r="B1270" s="314" t="s">
        <v>4373</v>
      </c>
      <c r="C1270" s="314">
        <v>362933801</v>
      </c>
      <c r="D1270" s="314" t="s">
        <v>172</v>
      </c>
      <c r="E1270" s="314" t="s">
        <v>117</v>
      </c>
      <c r="F1270" s="314" t="s">
        <v>118</v>
      </c>
      <c r="G1270" s="314" t="s">
        <v>108</v>
      </c>
      <c r="H1270" s="314" t="s">
        <v>119</v>
      </c>
      <c r="I1270" s="314" t="s">
        <v>108</v>
      </c>
      <c r="J1270" s="314" t="s">
        <v>120</v>
      </c>
      <c r="K1270" s="314">
        <v>0</v>
      </c>
      <c r="L1270" s="314">
        <v>0</v>
      </c>
      <c r="M1270" s="315">
        <v>45145.0298726852</v>
      </c>
      <c r="N1270" s="314" t="s">
        <v>4374</v>
      </c>
      <c r="O1270" s="314" t="s">
        <v>881</v>
      </c>
      <c r="P1270" s="314" t="s">
        <v>112</v>
      </c>
      <c r="Q1270" s="314" t="s">
        <v>123</v>
      </c>
      <c r="R1270" s="315">
        <v>45145.944224537</v>
      </c>
      <c r="S1270" s="314" t="s">
        <v>4375</v>
      </c>
      <c r="T1270" s="314" t="s">
        <v>216</v>
      </c>
      <c r="U1270" s="314" t="s">
        <v>1086</v>
      </c>
      <c r="V1270" s="314" t="s">
        <v>114</v>
      </c>
      <c r="W1270" s="314"/>
      <c r="X1270" s="314" t="str">
        <f>VLOOKUP(D1270,代理总表!A:D,3,0)</f>
        <v>雨燕直播-越</v>
      </c>
      <c r="Y1270" t="str">
        <f>VLOOKUP(D:D,代理总表!A:D,4,FALSE)</f>
        <v>雨燕直播-越ffvn66</v>
      </c>
      <c r="Z1270">
        <f t="shared" si="57"/>
        <v>0</v>
      </c>
      <c r="AA1270">
        <f t="shared" si="58"/>
        <v>0</v>
      </c>
      <c r="AB1270">
        <f t="shared" si="59"/>
        <v>1</v>
      </c>
    </row>
    <row r="1271" spans="1:28">
      <c r="A1271" s="314" t="s">
        <v>4376</v>
      </c>
      <c r="B1271" s="314"/>
      <c r="C1271" s="314"/>
      <c r="D1271" s="314" t="s">
        <v>172</v>
      </c>
      <c r="E1271" s="314" t="s">
        <v>117</v>
      </c>
      <c r="F1271" s="314" t="s">
        <v>118</v>
      </c>
      <c r="G1271" s="314" t="s">
        <v>108</v>
      </c>
      <c r="H1271" s="314" t="s">
        <v>119</v>
      </c>
      <c r="I1271" s="314" t="s">
        <v>108</v>
      </c>
      <c r="J1271" s="314" t="s">
        <v>120</v>
      </c>
      <c r="K1271" s="314">
        <v>0</v>
      </c>
      <c r="L1271" s="314">
        <v>0</v>
      </c>
      <c r="M1271" s="315">
        <v>45145.0295717593</v>
      </c>
      <c r="N1271" s="314" t="s">
        <v>4377</v>
      </c>
      <c r="O1271" s="314" t="s">
        <v>193</v>
      </c>
      <c r="P1271" s="314" t="s">
        <v>112</v>
      </c>
      <c r="Q1271" s="314" t="s">
        <v>123</v>
      </c>
      <c r="R1271" s="315">
        <v>45145.0295717593</v>
      </c>
      <c r="S1271" s="314" t="s">
        <v>4377</v>
      </c>
      <c r="T1271" s="314" t="s">
        <v>124</v>
      </c>
      <c r="U1271" s="314" t="s">
        <v>124</v>
      </c>
      <c r="V1271" s="314" t="s">
        <v>114</v>
      </c>
      <c r="W1271" s="314"/>
      <c r="X1271" s="314" t="str">
        <f>VLOOKUP(D1271,代理总表!A:D,3,0)</f>
        <v>雨燕直播-越</v>
      </c>
      <c r="Y1271" t="str">
        <f>VLOOKUP(D:D,代理总表!A:D,4,FALSE)</f>
        <v>雨燕直播-越ffvn66</v>
      </c>
      <c r="Z1271">
        <f t="shared" si="57"/>
        <v>0</v>
      </c>
      <c r="AA1271">
        <f t="shared" si="58"/>
        <v>0</v>
      </c>
      <c r="AB1271">
        <f t="shared" si="59"/>
        <v>1</v>
      </c>
    </row>
    <row r="1272" spans="1:28">
      <c r="A1272" s="314" t="s">
        <v>4378</v>
      </c>
      <c r="B1272" s="314" t="s">
        <v>4379</v>
      </c>
      <c r="C1272" s="314">
        <v>388830898</v>
      </c>
      <c r="D1272" s="314" t="s">
        <v>137</v>
      </c>
      <c r="E1272" s="314" t="s">
        <v>117</v>
      </c>
      <c r="F1272" s="314" t="s">
        <v>144</v>
      </c>
      <c r="G1272" s="314" t="s">
        <v>106</v>
      </c>
      <c r="H1272" s="314" t="s">
        <v>107</v>
      </c>
      <c r="I1272" s="314" t="s">
        <v>108</v>
      </c>
      <c r="J1272" s="314" t="s">
        <v>120</v>
      </c>
      <c r="K1272" s="314">
        <v>80000</v>
      </c>
      <c r="L1272" s="314">
        <v>200000</v>
      </c>
      <c r="M1272" s="315">
        <v>45145.0294907407</v>
      </c>
      <c r="N1272" s="314" t="s">
        <v>4380</v>
      </c>
      <c r="O1272" s="314" t="s">
        <v>139</v>
      </c>
      <c r="P1272" s="314" t="s">
        <v>112</v>
      </c>
      <c r="Q1272" s="315">
        <v>45145.0427777778</v>
      </c>
      <c r="R1272" s="315">
        <v>45145.535474537</v>
      </c>
      <c r="S1272" s="314" t="s">
        <v>4381</v>
      </c>
      <c r="T1272" s="314" t="s">
        <v>124</v>
      </c>
      <c r="U1272" s="314" t="s">
        <v>124</v>
      </c>
      <c r="V1272" s="314" t="s">
        <v>114</v>
      </c>
      <c r="W1272" s="314"/>
      <c r="X1272" s="314" t="str">
        <f>VLOOKUP(D1272,代理总表!A:D,3,0)</f>
        <v>雨燕直播-越</v>
      </c>
      <c r="Y1272" t="str">
        <f>VLOOKUP(D:D,代理总表!A:D,4,FALSE)</f>
        <v>雨燕直播-越ffvn66</v>
      </c>
      <c r="Z1272">
        <f t="shared" si="57"/>
        <v>1</v>
      </c>
      <c r="AA1272">
        <f t="shared" si="58"/>
        <v>0</v>
      </c>
      <c r="AB1272">
        <f t="shared" si="59"/>
        <v>1</v>
      </c>
    </row>
    <row r="1273" spans="1:28">
      <c r="A1273" s="314" t="s">
        <v>4382</v>
      </c>
      <c r="B1273" s="314" t="s">
        <v>4383</v>
      </c>
      <c r="C1273" s="314">
        <v>18665707150</v>
      </c>
      <c r="D1273" s="314" t="s">
        <v>1109</v>
      </c>
      <c r="E1273" s="314" t="s">
        <v>104</v>
      </c>
      <c r="F1273" s="314" t="s">
        <v>144</v>
      </c>
      <c r="G1273" s="314" t="s">
        <v>106</v>
      </c>
      <c r="H1273" s="314" t="s">
        <v>107</v>
      </c>
      <c r="I1273" s="314" t="s">
        <v>108</v>
      </c>
      <c r="J1273" s="314" t="s">
        <v>109</v>
      </c>
      <c r="K1273" s="314">
        <v>200</v>
      </c>
      <c r="L1273" s="314">
        <v>2000</v>
      </c>
      <c r="M1273" s="315">
        <v>45145.0291782407</v>
      </c>
      <c r="N1273" s="314" t="s">
        <v>4384</v>
      </c>
      <c r="O1273" s="314" t="s">
        <v>4079</v>
      </c>
      <c r="P1273" s="314" t="s">
        <v>208</v>
      </c>
      <c r="Q1273" s="315">
        <v>45145.0559722222</v>
      </c>
      <c r="R1273" s="315">
        <v>45146.0195601852</v>
      </c>
      <c r="S1273" s="314" t="s">
        <v>4384</v>
      </c>
      <c r="T1273" s="314" t="s">
        <v>4385</v>
      </c>
      <c r="U1273" s="314" t="s">
        <v>4385</v>
      </c>
      <c r="V1273" s="314" t="s">
        <v>114</v>
      </c>
      <c r="W1273" s="314"/>
      <c r="X1273" s="314" t="str">
        <f>VLOOKUP(D1273,代理总表!A:D,3,0)</f>
        <v>飞哥雨燕直播</v>
      </c>
      <c r="Y1273" t="str">
        <f>VLOOKUP(D:D,代理总表!A:D,4,FALSE)</f>
        <v>飞哥雨燕直播ffmk88</v>
      </c>
      <c r="Z1273">
        <f t="shared" si="57"/>
        <v>1</v>
      </c>
      <c r="AA1273">
        <f t="shared" si="58"/>
        <v>0</v>
      </c>
      <c r="AB1273">
        <f t="shared" si="59"/>
        <v>1</v>
      </c>
    </row>
    <row r="1274" spans="1:28">
      <c r="A1274" s="314" t="s">
        <v>4386</v>
      </c>
      <c r="B1274" s="314"/>
      <c r="C1274" s="314">
        <v>15209800295</v>
      </c>
      <c r="D1274" s="314" t="s">
        <v>249</v>
      </c>
      <c r="E1274" s="314" t="s">
        <v>104</v>
      </c>
      <c r="F1274" s="314" t="s">
        <v>118</v>
      </c>
      <c r="G1274" s="314" t="s">
        <v>108</v>
      </c>
      <c r="H1274" s="314" t="s">
        <v>119</v>
      </c>
      <c r="I1274" s="314" t="s">
        <v>108</v>
      </c>
      <c r="J1274" s="314" t="s">
        <v>109</v>
      </c>
      <c r="K1274" s="314">
        <v>0</v>
      </c>
      <c r="L1274" s="314">
        <v>0</v>
      </c>
      <c r="M1274" s="315">
        <v>45145.0291550926</v>
      </c>
      <c r="N1274" s="314" t="s">
        <v>4387</v>
      </c>
      <c r="O1274" s="314" t="s">
        <v>251</v>
      </c>
      <c r="P1274" s="314" t="s">
        <v>208</v>
      </c>
      <c r="Q1274" s="314" t="s">
        <v>123</v>
      </c>
      <c r="R1274" s="315">
        <v>45146.0911574074</v>
      </c>
      <c r="S1274" s="314" t="s">
        <v>4388</v>
      </c>
      <c r="T1274" s="314" t="s">
        <v>736</v>
      </c>
      <c r="U1274" s="314" t="s">
        <v>736</v>
      </c>
      <c r="V1274" s="314" t="s">
        <v>114</v>
      </c>
      <c r="W1274" s="314"/>
      <c r="X1274" s="314" t="str">
        <f>VLOOKUP(D1274,代理总表!A:D,3,0)</f>
        <v>飞哥雨燕直播</v>
      </c>
      <c r="Y1274" t="str">
        <f>VLOOKUP(D:D,代理总表!A:D,4,FALSE)</f>
        <v>飞哥雨燕直播ffmk88</v>
      </c>
      <c r="Z1274">
        <f t="shared" si="57"/>
        <v>0</v>
      </c>
      <c r="AA1274">
        <f t="shared" si="58"/>
        <v>0</v>
      </c>
      <c r="AB1274">
        <f t="shared" si="59"/>
        <v>1</v>
      </c>
    </row>
    <row r="1275" spans="1:28">
      <c r="A1275" s="314" t="s">
        <v>4389</v>
      </c>
      <c r="B1275" s="314"/>
      <c r="C1275" s="314"/>
      <c r="D1275" s="314" t="s">
        <v>197</v>
      </c>
      <c r="E1275" s="314" t="s">
        <v>117</v>
      </c>
      <c r="F1275" s="314" t="s">
        <v>118</v>
      </c>
      <c r="G1275" s="314" t="s">
        <v>108</v>
      </c>
      <c r="H1275" s="314" t="s">
        <v>119</v>
      </c>
      <c r="I1275" s="314" t="s">
        <v>108</v>
      </c>
      <c r="J1275" s="314" t="s">
        <v>120</v>
      </c>
      <c r="K1275" s="314">
        <v>0</v>
      </c>
      <c r="L1275" s="314">
        <v>0</v>
      </c>
      <c r="M1275" s="315">
        <v>45145.028287037</v>
      </c>
      <c r="N1275" s="314" t="s">
        <v>4390</v>
      </c>
      <c r="O1275" s="314" t="s">
        <v>199</v>
      </c>
      <c r="P1275" s="314" t="s">
        <v>161</v>
      </c>
      <c r="Q1275" s="314" t="s">
        <v>123</v>
      </c>
      <c r="R1275" s="315">
        <v>45145.5840162037</v>
      </c>
      <c r="S1275" s="314" t="s">
        <v>4391</v>
      </c>
      <c r="T1275" s="314" t="s">
        <v>177</v>
      </c>
      <c r="U1275" s="314" t="s">
        <v>655</v>
      </c>
      <c r="V1275" s="314" t="s">
        <v>114</v>
      </c>
      <c r="W1275" s="314"/>
      <c r="X1275" s="314" t="str">
        <f>VLOOKUP(D1275,代理总表!A:D,3,0)</f>
        <v>雨燕直播-越</v>
      </c>
      <c r="Y1275" t="str">
        <f>VLOOKUP(D:D,代理总表!A:D,4,FALSE)</f>
        <v>雨燕直播-越ffvn66</v>
      </c>
      <c r="Z1275">
        <f t="shared" si="57"/>
        <v>0</v>
      </c>
      <c r="AA1275">
        <f t="shared" si="58"/>
        <v>0</v>
      </c>
      <c r="AB1275">
        <f t="shared" si="59"/>
        <v>1</v>
      </c>
    </row>
    <row r="1276" spans="1:28">
      <c r="A1276" s="314" t="s">
        <v>4392</v>
      </c>
      <c r="B1276" s="314"/>
      <c r="C1276" s="314"/>
      <c r="D1276" s="314" t="s">
        <v>2442</v>
      </c>
      <c r="E1276" s="314" t="s">
        <v>117</v>
      </c>
      <c r="F1276" s="314" t="s">
        <v>118</v>
      </c>
      <c r="G1276" s="314" t="s">
        <v>108</v>
      </c>
      <c r="H1276" s="314" t="s">
        <v>119</v>
      </c>
      <c r="I1276" s="314" t="s">
        <v>108</v>
      </c>
      <c r="J1276" s="314" t="s">
        <v>120</v>
      </c>
      <c r="K1276" s="314">
        <v>0</v>
      </c>
      <c r="L1276" s="314">
        <v>0</v>
      </c>
      <c r="M1276" s="315">
        <v>45145.0277199074</v>
      </c>
      <c r="N1276" s="314" t="s">
        <v>4393</v>
      </c>
      <c r="O1276" s="314" t="s">
        <v>4279</v>
      </c>
      <c r="P1276" s="314" t="s">
        <v>161</v>
      </c>
      <c r="Q1276" s="314" t="s">
        <v>123</v>
      </c>
      <c r="R1276" s="315">
        <v>45145.0532986111</v>
      </c>
      <c r="S1276" s="314" t="s">
        <v>4393</v>
      </c>
      <c r="T1276" s="314" t="s">
        <v>216</v>
      </c>
      <c r="U1276" s="314" t="s">
        <v>216</v>
      </c>
      <c r="V1276" s="314" t="s">
        <v>114</v>
      </c>
      <c r="W1276" s="314"/>
      <c r="X1276" s="314" t="str">
        <f>VLOOKUP(D1276,代理总表!A:D,3,0)</f>
        <v>SOCO越南直播</v>
      </c>
      <c r="Y1276" t="str">
        <f>VLOOKUP(D:D,代理总表!A:D,4,FALSE)</f>
        <v>SOCO越南直播ffvn66</v>
      </c>
      <c r="Z1276">
        <f t="shared" si="57"/>
        <v>0</v>
      </c>
      <c r="AA1276">
        <f t="shared" si="58"/>
        <v>0</v>
      </c>
      <c r="AB1276">
        <f t="shared" si="59"/>
        <v>1</v>
      </c>
    </row>
    <row r="1277" spans="1:28">
      <c r="A1277" s="314" t="s">
        <v>4394</v>
      </c>
      <c r="B1277" s="314"/>
      <c r="C1277" s="314">
        <v>912995478</v>
      </c>
      <c r="D1277" s="314" t="s">
        <v>143</v>
      </c>
      <c r="E1277" s="314" t="s">
        <v>117</v>
      </c>
      <c r="F1277" s="314" t="s">
        <v>118</v>
      </c>
      <c r="G1277" s="314" t="s">
        <v>108</v>
      </c>
      <c r="H1277" s="314" t="s">
        <v>119</v>
      </c>
      <c r="I1277" s="314" t="s">
        <v>108</v>
      </c>
      <c r="J1277" s="314" t="s">
        <v>120</v>
      </c>
      <c r="K1277" s="314">
        <v>0</v>
      </c>
      <c r="L1277" s="314">
        <v>0</v>
      </c>
      <c r="M1277" s="315">
        <v>45145.0271990741</v>
      </c>
      <c r="N1277" s="314" t="s">
        <v>4395</v>
      </c>
      <c r="O1277" s="314" t="s">
        <v>407</v>
      </c>
      <c r="P1277" s="314" t="s">
        <v>112</v>
      </c>
      <c r="Q1277" s="314" t="s">
        <v>123</v>
      </c>
      <c r="R1277" s="315">
        <v>45145.0271875</v>
      </c>
      <c r="S1277" s="314" t="s">
        <v>4395</v>
      </c>
      <c r="T1277" s="314" t="s">
        <v>2629</v>
      </c>
      <c r="U1277" s="314" t="s">
        <v>2629</v>
      </c>
      <c r="V1277" s="314" t="s">
        <v>114</v>
      </c>
      <c r="W1277" s="314"/>
      <c r="X1277" s="314" t="str">
        <f>VLOOKUP(D1277,代理总表!A:D,3,0)</f>
        <v>雨燕直播-越</v>
      </c>
      <c r="Y1277" t="str">
        <f>VLOOKUP(D:D,代理总表!A:D,4,FALSE)</f>
        <v>雨燕直播-越ffvn66</v>
      </c>
      <c r="Z1277">
        <f t="shared" si="57"/>
        <v>0</v>
      </c>
      <c r="AA1277">
        <f t="shared" si="58"/>
        <v>0</v>
      </c>
      <c r="AB1277">
        <f t="shared" si="59"/>
        <v>1</v>
      </c>
    </row>
    <row r="1278" spans="1:28">
      <c r="A1278" s="314" t="s">
        <v>4396</v>
      </c>
      <c r="B1278" s="314"/>
      <c r="C1278" s="314"/>
      <c r="D1278" s="314" t="s">
        <v>550</v>
      </c>
      <c r="E1278" s="314" t="s">
        <v>117</v>
      </c>
      <c r="F1278" s="314" t="s">
        <v>118</v>
      </c>
      <c r="G1278" s="314" t="s">
        <v>108</v>
      </c>
      <c r="H1278" s="314" t="s">
        <v>119</v>
      </c>
      <c r="I1278" s="314" t="s">
        <v>108</v>
      </c>
      <c r="J1278" s="314" t="s">
        <v>120</v>
      </c>
      <c r="K1278" s="314">
        <v>0</v>
      </c>
      <c r="L1278" s="314">
        <v>0</v>
      </c>
      <c r="M1278" s="315">
        <v>45145.0267013889</v>
      </c>
      <c r="N1278" s="314" t="s">
        <v>4341</v>
      </c>
      <c r="O1278" s="314" t="s">
        <v>552</v>
      </c>
      <c r="P1278" s="314" t="s">
        <v>339</v>
      </c>
      <c r="Q1278" s="314" t="s">
        <v>123</v>
      </c>
      <c r="R1278" s="315">
        <v>45145.0266898148</v>
      </c>
      <c r="S1278" s="314" t="s">
        <v>4341</v>
      </c>
      <c r="T1278" s="314" t="s">
        <v>140</v>
      </c>
      <c r="U1278" s="314" t="s">
        <v>140</v>
      </c>
      <c r="V1278" s="314" t="s">
        <v>114</v>
      </c>
      <c r="W1278" s="314"/>
      <c r="X1278" s="314" t="str">
        <f>VLOOKUP(D1278,代理总表!A:D,3,0)</f>
        <v>SOCO越南直播</v>
      </c>
      <c r="Y1278" t="str">
        <f>VLOOKUP(D:D,代理总表!A:D,4,FALSE)</f>
        <v>SOCO越南直播ffvn66</v>
      </c>
      <c r="Z1278">
        <f t="shared" si="57"/>
        <v>0</v>
      </c>
      <c r="AA1278">
        <f t="shared" si="58"/>
        <v>0</v>
      </c>
      <c r="AB1278">
        <f t="shared" si="59"/>
        <v>1</v>
      </c>
    </row>
    <row r="1279" spans="1:28">
      <c r="A1279" s="314" t="s">
        <v>4397</v>
      </c>
      <c r="B1279" s="314" t="s">
        <v>4398</v>
      </c>
      <c r="C1279" s="314">
        <v>17373407096</v>
      </c>
      <c r="D1279" s="314" t="s">
        <v>103</v>
      </c>
      <c r="E1279" s="314" t="s">
        <v>104</v>
      </c>
      <c r="F1279" s="314" t="s">
        <v>118</v>
      </c>
      <c r="G1279" s="314" t="s">
        <v>108</v>
      </c>
      <c r="H1279" s="314" t="s">
        <v>119</v>
      </c>
      <c r="I1279" s="314" t="s">
        <v>108</v>
      </c>
      <c r="J1279" s="314" t="s">
        <v>109</v>
      </c>
      <c r="K1279" s="314">
        <v>0</v>
      </c>
      <c r="L1279" s="314">
        <v>0</v>
      </c>
      <c r="M1279" s="315">
        <v>45145.0265625</v>
      </c>
      <c r="N1279" s="314" t="s">
        <v>4399</v>
      </c>
      <c r="O1279" s="314" t="s">
        <v>582</v>
      </c>
      <c r="P1279" s="314" t="s">
        <v>208</v>
      </c>
      <c r="Q1279" s="314" t="s">
        <v>123</v>
      </c>
      <c r="R1279" s="315">
        <v>45145.9967476852</v>
      </c>
      <c r="S1279" s="314" t="s">
        <v>4399</v>
      </c>
      <c r="T1279" s="314" t="s">
        <v>939</v>
      </c>
      <c r="U1279" s="314" t="s">
        <v>939</v>
      </c>
      <c r="V1279" s="314" t="s">
        <v>114</v>
      </c>
      <c r="W1279" s="314"/>
      <c r="X1279" s="314" t="str">
        <f>VLOOKUP(D1279,代理总表!A:D,3,0)</f>
        <v>官网</v>
      </c>
      <c r="Y1279" t="str">
        <f>VLOOKUP(D:D,代理总表!A:D,4,FALSE)</f>
        <v>官网</v>
      </c>
      <c r="Z1279">
        <f t="shared" si="57"/>
        <v>0</v>
      </c>
      <c r="AA1279">
        <f t="shared" si="58"/>
        <v>0</v>
      </c>
      <c r="AB1279">
        <f t="shared" si="59"/>
        <v>1</v>
      </c>
    </row>
    <row r="1280" spans="1:28">
      <c r="A1280" s="314" t="s">
        <v>4400</v>
      </c>
      <c r="B1280" s="314"/>
      <c r="C1280" s="314">
        <v>776854958</v>
      </c>
      <c r="D1280" s="314" t="s">
        <v>116</v>
      </c>
      <c r="E1280" s="314" t="s">
        <v>117</v>
      </c>
      <c r="F1280" s="314" t="s">
        <v>118</v>
      </c>
      <c r="G1280" s="314" t="s">
        <v>108</v>
      </c>
      <c r="H1280" s="314" t="s">
        <v>119</v>
      </c>
      <c r="I1280" s="314" t="s">
        <v>108</v>
      </c>
      <c r="J1280" s="314" t="s">
        <v>120</v>
      </c>
      <c r="K1280" s="314">
        <v>0</v>
      </c>
      <c r="L1280" s="314">
        <v>0</v>
      </c>
      <c r="M1280" s="315">
        <v>45145.0265509259</v>
      </c>
      <c r="N1280" s="314" t="s">
        <v>4401</v>
      </c>
      <c r="O1280" s="314" t="s">
        <v>122</v>
      </c>
      <c r="P1280" s="314" t="s">
        <v>161</v>
      </c>
      <c r="Q1280" s="314" t="s">
        <v>123</v>
      </c>
      <c r="R1280" s="315">
        <v>45145.0265509259</v>
      </c>
      <c r="S1280" s="314" t="s">
        <v>4401</v>
      </c>
      <c r="T1280" s="314" t="s">
        <v>177</v>
      </c>
      <c r="U1280" s="314" t="s">
        <v>177</v>
      </c>
      <c r="V1280" s="314" t="s">
        <v>114</v>
      </c>
      <c r="W1280" s="314"/>
      <c r="X1280" s="314" t="str">
        <f>VLOOKUP(D1280,代理总表!A:D,3,0)</f>
        <v>外部代理总线</v>
      </c>
      <c r="Y1280" t="str">
        <f>VLOOKUP(D:D,代理总表!A:D,4,FALSE)</f>
        <v>外部代理总线zh0808</v>
      </c>
      <c r="Z1280">
        <f t="shared" si="57"/>
        <v>0</v>
      </c>
      <c r="AA1280">
        <f t="shared" si="58"/>
        <v>0</v>
      </c>
      <c r="AB1280">
        <f t="shared" si="59"/>
        <v>1</v>
      </c>
    </row>
    <row r="1281" spans="1:28">
      <c r="A1281" s="314" t="s">
        <v>4402</v>
      </c>
      <c r="B1281" s="314" t="s">
        <v>4403</v>
      </c>
      <c r="C1281" s="314">
        <v>941849872</v>
      </c>
      <c r="D1281" s="314" t="s">
        <v>143</v>
      </c>
      <c r="E1281" s="314" t="s">
        <v>117</v>
      </c>
      <c r="F1281" s="314" t="s">
        <v>118</v>
      </c>
      <c r="G1281" s="314" t="s">
        <v>108</v>
      </c>
      <c r="H1281" s="314" t="s">
        <v>119</v>
      </c>
      <c r="I1281" s="314" t="s">
        <v>108</v>
      </c>
      <c r="J1281" s="314" t="s">
        <v>120</v>
      </c>
      <c r="K1281" s="314">
        <v>0</v>
      </c>
      <c r="L1281" s="314">
        <v>0</v>
      </c>
      <c r="M1281" s="315">
        <v>45145.0260648148</v>
      </c>
      <c r="N1281" s="314" t="s">
        <v>874</v>
      </c>
      <c r="O1281" s="314" t="s">
        <v>407</v>
      </c>
      <c r="P1281" s="314" t="s">
        <v>112</v>
      </c>
      <c r="Q1281" s="314" t="s">
        <v>123</v>
      </c>
      <c r="R1281" s="315">
        <v>45145.0260532407</v>
      </c>
      <c r="S1281" s="314" t="s">
        <v>874</v>
      </c>
      <c r="T1281" s="314" t="s">
        <v>849</v>
      </c>
      <c r="U1281" s="314" t="s">
        <v>849</v>
      </c>
      <c r="V1281" s="314" t="s">
        <v>114</v>
      </c>
      <c r="W1281" s="314"/>
      <c r="X1281" s="314" t="str">
        <f>VLOOKUP(D1281,代理总表!A:D,3,0)</f>
        <v>雨燕直播-越</v>
      </c>
      <c r="Y1281" t="str">
        <f>VLOOKUP(D:D,代理总表!A:D,4,FALSE)</f>
        <v>雨燕直播-越ffvn66</v>
      </c>
      <c r="Z1281">
        <f t="shared" si="57"/>
        <v>0</v>
      </c>
      <c r="AA1281">
        <f t="shared" si="58"/>
        <v>0</v>
      </c>
      <c r="AB1281">
        <f t="shared" si="59"/>
        <v>1</v>
      </c>
    </row>
    <row r="1282" spans="1:28">
      <c r="A1282" s="314" t="s">
        <v>4404</v>
      </c>
      <c r="B1282" s="314"/>
      <c r="C1282" s="314"/>
      <c r="D1282" s="314" t="s">
        <v>197</v>
      </c>
      <c r="E1282" s="314" t="s">
        <v>104</v>
      </c>
      <c r="F1282" s="314" t="s">
        <v>118</v>
      </c>
      <c r="G1282" s="314" t="s">
        <v>108</v>
      </c>
      <c r="H1282" s="314" t="s">
        <v>119</v>
      </c>
      <c r="I1282" s="314" t="s">
        <v>108</v>
      </c>
      <c r="J1282" s="314" t="s">
        <v>109</v>
      </c>
      <c r="K1282" s="314">
        <v>0</v>
      </c>
      <c r="L1282" s="314">
        <v>0</v>
      </c>
      <c r="M1282" s="315">
        <v>45145.0259722222</v>
      </c>
      <c r="N1282" s="314" t="s">
        <v>4405</v>
      </c>
      <c r="O1282" s="314" t="s">
        <v>4406</v>
      </c>
      <c r="P1282" s="314" t="s">
        <v>112</v>
      </c>
      <c r="Q1282" s="314" t="s">
        <v>123</v>
      </c>
      <c r="R1282" s="315">
        <v>45145.9712847222</v>
      </c>
      <c r="S1282" s="314" t="s">
        <v>4405</v>
      </c>
      <c r="T1282" s="314" t="s">
        <v>3370</v>
      </c>
      <c r="U1282" s="314" t="s">
        <v>3370</v>
      </c>
      <c r="V1282" s="314" t="s">
        <v>114</v>
      </c>
      <c r="W1282" s="314"/>
      <c r="X1282" s="314" t="str">
        <f>VLOOKUP(D1282,代理总表!A:D,3,0)</f>
        <v>雨燕直播-越</v>
      </c>
      <c r="Y1282" t="str">
        <f>VLOOKUP(D:D,代理总表!A:D,4,FALSE)</f>
        <v>雨燕直播-越ffvn66</v>
      </c>
      <c r="Z1282">
        <f t="shared" si="57"/>
        <v>0</v>
      </c>
      <c r="AA1282">
        <f t="shared" si="58"/>
        <v>0</v>
      </c>
      <c r="AB1282">
        <f t="shared" si="59"/>
        <v>1</v>
      </c>
    </row>
    <row r="1283" spans="1:28">
      <c r="A1283" s="314" t="s">
        <v>4407</v>
      </c>
      <c r="B1283" s="314"/>
      <c r="C1283" s="314"/>
      <c r="D1283" s="314" t="s">
        <v>137</v>
      </c>
      <c r="E1283" s="314" t="s">
        <v>117</v>
      </c>
      <c r="F1283" s="314" t="s">
        <v>118</v>
      </c>
      <c r="G1283" s="314" t="s">
        <v>108</v>
      </c>
      <c r="H1283" s="314" t="s">
        <v>119</v>
      </c>
      <c r="I1283" s="314" t="s">
        <v>108</v>
      </c>
      <c r="J1283" s="314" t="s">
        <v>120</v>
      </c>
      <c r="K1283" s="314">
        <v>0</v>
      </c>
      <c r="L1283" s="314">
        <v>0</v>
      </c>
      <c r="M1283" s="315">
        <v>45145.0252893519</v>
      </c>
      <c r="N1283" s="314" t="s">
        <v>4408</v>
      </c>
      <c r="O1283" s="314" t="s">
        <v>710</v>
      </c>
      <c r="P1283" s="314" t="s">
        <v>339</v>
      </c>
      <c r="Q1283" s="314" t="s">
        <v>123</v>
      </c>
      <c r="R1283" s="315">
        <v>45145.7034837963</v>
      </c>
      <c r="S1283" s="314" t="s">
        <v>4409</v>
      </c>
      <c r="T1283" s="314" t="s">
        <v>975</v>
      </c>
      <c r="U1283" s="314" t="s">
        <v>131</v>
      </c>
      <c r="V1283" s="314" t="s">
        <v>114</v>
      </c>
      <c r="W1283" s="314"/>
      <c r="X1283" s="314" t="str">
        <f>VLOOKUP(D1283,代理总表!A:D,3,0)</f>
        <v>雨燕直播-越</v>
      </c>
      <c r="Y1283" t="str">
        <f>VLOOKUP(D:D,代理总表!A:D,4,FALSE)</f>
        <v>雨燕直播-越ffvn66</v>
      </c>
      <c r="Z1283">
        <f t="shared" ref="Z1283:Z1346" si="60">IF(RIGHT(H1283,1)&gt;"0",1,0)</f>
        <v>0</v>
      </c>
      <c r="AA1283">
        <f t="shared" ref="AA1283:AA1346" si="61">HOUR(M1283)</f>
        <v>0</v>
      </c>
      <c r="AB1283">
        <f t="shared" ref="AB1283:AB1346" si="62">IF(AE1283=AF1283,1,0)</f>
        <v>1</v>
      </c>
    </row>
    <row r="1284" spans="1:28">
      <c r="A1284" s="314" t="s">
        <v>4410</v>
      </c>
      <c r="B1284" s="314" t="s">
        <v>4411</v>
      </c>
      <c r="C1284" s="314">
        <v>989589413</v>
      </c>
      <c r="D1284" s="314" t="s">
        <v>143</v>
      </c>
      <c r="E1284" s="314" t="s">
        <v>117</v>
      </c>
      <c r="F1284" s="314" t="s">
        <v>144</v>
      </c>
      <c r="G1284" s="314" t="s">
        <v>106</v>
      </c>
      <c r="H1284" s="314" t="s">
        <v>107</v>
      </c>
      <c r="I1284" s="314" t="s">
        <v>108</v>
      </c>
      <c r="J1284" s="314" t="s">
        <v>120</v>
      </c>
      <c r="K1284" s="314">
        <v>500000</v>
      </c>
      <c r="L1284" s="314">
        <v>0</v>
      </c>
      <c r="M1284" s="315">
        <v>45145.0251157407</v>
      </c>
      <c r="N1284" s="314" t="s">
        <v>4412</v>
      </c>
      <c r="O1284" s="314" t="s">
        <v>146</v>
      </c>
      <c r="P1284" s="314" t="s">
        <v>112</v>
      </c>
      <c r="Q1284" s="315">
        <v>45145.0390972222</v>
      </c>
      <c r="R1284" s="315">
        <v>45146.0883564815</v>
      </c>
      <c r="S1284" s="314" t="s">
        <v>4413</v>
      </c>
      <c r="T1284" s="314" t="s">
        <v>124</v>
      </c>
      <c r="U1284" s="314" t="s">
        <v>124</v>
      </c>
      <c r="V1284" s="314" t="s">
        <v>114</v>
      </c>
      <c r="W1284" s="314"/>
      <c r="X1284" s="314" t="str">
        <f>VLOOKUP(D1284,代理总表!A:D,3,0)</f>
        <v>雨燕直播-越</v>
      </c>
      <c r="Y1284" t="str">
        <f>VLOOKUP(D:D,代理总表!A:D,4,FALSE)</f>
        <v>雨燕直播-越ffvn66</v>
      </c>
      <c r="Z1284">
        <f t="shared" si="60"/>
        <v>1</v>
      </c>
      <c r="AA1284">
        <f t="shared" si="61"/>
        <v>0</v>
      </c>
      <c r="AB1284">
        <f t="shared" si="62"/>
        <v>1</v>
      </c>
    </row>
    <row r="1285" spans="1:28">
      <c r="A1285" s="314" t="s">
        <v>4414</v>
      </c>
      <c r="B1285" s="314"/>
      <c r="C1285" s="314">
        <v>965713043</v>
      </c>
      <c r="D1285" s="314" t="s">
        <v>137</v>
      </c>
      <c r="E1285" s="314" t="s">
        <v>117</v>
      </c>
      <c r="F1285" s="314" t="s">
        <v>118</v>
      </c>
      <c r="G1285" s="314" t="s">
        <v>108</v>
      </c>
      <c r="H1285" s="314" t="s">
        <v>119</v>
      </c>
      <c r="I1285" s="314" t="s">
        <v>108</v>
      </c>
      <c r="J1285" s="314" t="s">
        <v>120</v>
      </c>
      <c r="K1285" s="314">
        <v>0</v>
      </c>
      <c r="L1285" s="314">
        <v>0</v>
      </c>
      <c r="M1285" s="315">
        <v>45145.0250347222</v>
      </c>
      <c r="N1285" s="314" t="s">
        <v>4415</v>
      </c>
      <c r="O1285" s="314" t="s">
        <v>3042</v>
      </c>
      <c r="P1285" s="314" t="s">
        <v>112</v>
      </c>
      <c r="Q1285" s="314" t="s">
        <v>123</v>
      </c>
      <c r="R1285" s="315">
        <v>45145.0376851852</v>
      </c>
      <c r="S1285" s="314" t="s">
        <v>4415</v>
      </c>
      <c r="T1285" s="314" t="s">
        <v>177</v>
      </c>
      <c r="U1285" s="314" t="s">
        <v>177</v>
      </c>
      <c r="V1285" s="314" t="s">
        <v>114</v>
      </c>
      <c r="W1285" s="314"/>
      <c r="X1285" s="314" t="str">
        <f>VLOOKUP(D1285,代理总表!A:D,3,0)</f>
        <v>雨燕直播-越</v>
      </c>
      <c r="Y1285" t="str">
        <f>VLOOKUP(D:D,代理总表!A:D,4,FALSE)</f>
        <v>雨燕直播-越ffvn66</v>
      </c>
      <c r="Z1285">
        <f t="shared" si="60"/>
        <v>0</v>
      </c>
      <c r="AA1285">
        <f t="shared" si="61"/>
        <v>0</v>
      </c>
      <c r="AB1285">
        <f t="shared" si="62"/>
        <v>1</v>
      </c>
    </row>
    <row r="1286" spans="1:28">
      <c r="A1286" s="314" t="s">
        <v>4416</v>
      </c>
      <c r="B1286" s="314"/>
      <c r="C1286" s="314"/>
      <c r="D1286" s="314" t="s">
        <v>249</v>
      </c>
      <c r="E1286" s="314" t="s">
        <v>104</v>
      </c>
      <c r="F1286" s="314" t="s">
        <v>118</v>
      </c>
      <c r="G1286" s="314" t="s">
        <v>108</v>
      </c>
      <c r="H1286" s="314" t="s">
        <v>119</v>
      </c>
      <c r="I1286" s="314" t="s">
        <v>108</v>
      </c>
      <c r="J1286" s="314" t="s">
        <v>109</v>
      </c>
      <c r="K1286" s="314">
        <v>0</v>
      </c>
      <c r="L1286" s="314">
        <v>0</v>
      </c>
      <c r="M1286" s="315">
        <v>45145.0250115741</v>
      </c>
      <c r="N1286" s="314" t="s">
        <v>4417</v>
      </c>
      <c r="O1286" s="314" t="s">
        <v>4418</v>
      </c>
      <c r="P1286" s="314" t="s">
        <v>112</v>
      </c>
      <c r="Q1286" s="314" t="s">
        <v>123</v>
      </c>
      <c r="R1286" s="315">
        <v>45145.0250115741</v>
      </c>
      <c r="S1286" s="314" t="s">
        <v>4417</v>
      </c>
      <c r="T1286" s="314" t="s">
        <v>4419</v>
      </c>
      <c r="U1286" s="314" t="s">
        <v>4419</v>
      </c>
      <c r="V1286" s="314" t="s">
        <v>114</v>
      </c>
      <c r="W1286" s="314"/>
      <c r="X1286" s="314" t="str">
        <f>VLOOKUP(D1286,代理总表!A:D,3,0)</f>
        <v>飞哥雨燕直播</v>
      </c>
      <c r="Y1286" t="str">
        <f>VLOOKUP(D:D,代理总表!A:D,4,FALSE)</f>
        <v>飞哥雨燕直播ffmk88</v>
      </c>
      <c r="Z1286">
        <f t="shared" si="60"/>
        <v>0</v>
      </c>
      <c r="AA1286">
        <f t="shared" si="61"/>
        <v>0</v>
      </c>
      <c r="AB1286">
        <f t="shared" si="62"/>
        <v>1</v>
      </c>
    </row>
    <row r="1287" spans="1:28">
      <c r="A1287" s="314" t="s">
        <v>4420</v>
      </c>
      <c r="B1287" s="314" t="s">
        <v>4421</v>
      </c>
      <c r="C1287" s="314">
        <v>347215085</v>
      </c>
      <c r="D1287" s="314" t="s">
        <v>651</v>
      </c>
      <c r="E1287" s="314" t="s">
        <v>117</v>
      </c>
      <c r="F1287" s="314" t="s">
        <v>118</v>
      </c>
      <c r="G1287" s="314" t="s">
        <v>108</v>
      </c>
      <c r="H1287" s="314" t="s">
        <v>119</v>
      </c>
      <c r="I1287" s="314" t="s">
        <v>108</v>
      </c>
      <c r="J1287" s="314" t="s">
        <v>120</v>
      </c>
      <c r="K1287" s="314">
        <v>0</v>
      </c>
      <c r="L1287" s="314">
        <v>0</v>
      </c>
      <c r="M1287" s="315">
        <v>45145.0249768519</v>
      </c>
      <c r="N1287" s="314" t="s">
        <v>4422</v>
      </c>
      <c r="O1287" s="314" t="s">
        <v>653</v>
      </c>
      <c r="P1287" s="314" t="s">
        <v>112</v>
      </c>
      <c r="Q1287" s="314" t="s">
        <v>123</v>
      </c>
      <c r="R1287" s="315">
        <v>45145.0313194444</v>
      </c>
      <c r="S1287" s="314" t="s">
        <v>4422</v>
      </c>
      <c r="T1287" s="314" t="s">
        <v>1995</v>
      </c>
      <c r="U1287" s="314" t="s">
        <v>1995</v>
      </c>
      <c r="V1287" s="314" t="s">
        <v>114</v>
      </c>
      <c r="W1287" s="314"/>
      <c r="X1287" s="314" t="str">
        <f>VLOOKUP(D1287,代理总表!A:D,3,0)</f>
        <v>雨燕直播-越</v>
      </c>
      <c r="Y1287" t="str">
        <f>VLOOKUP(D:D,代理总表!A:D,4,FALSE)</f>
        <v>雨燕直播-越ffvn66</v>
      </c>
      <c r="Z1287">
        <f t="shared" si="60"/>
        <v>0</v>
      </c>
      <c r="AA1287">
        <f t="shared" si="61"/>
        <v>0</v>
      </c>
      <c r="AB1287">
        <f t="shared" si="62"/>
        <v>1</v>
      </c>
    </row>
    <row r="1288" spans="1:28">
      <c r="A1288" s="314" t="s">
        <v>4423</v>
      </c>
      <c r="B1288" s="314" t="s">
        <v>4424</v>
      </c>
      <c r="C1288" s="314">
        <v>332227719</v>
      </c>
      <c r="D1288" s="314" t="s">
        <v>143</v>
      </c>
      <c r="E1288" s="314" t="s">
        <v>117</v>
      </c>
      <c r="F1288" s="314" t="s">
        <v>144</v>
      </c>
      <c r="G1288" s="314" t="s">
        <v>106</v>
      </c>
      <c r="H1288" s="314" t="s">
        <v>107</v>
      </c>
      <c r="I1288" s="314" t="s">
        <v>108</v>
      </c>
      <c r="J1288" s="314" t="s">
        <v>120</v>
      </c>
      <c r="K1288" s="314">
        <v>100000</v>
      </c>
      <c r="L1288" s="314">
        <v>0</v>
      </c>
      <c r="M1288" s="315">
        <v>45145.0249189815</v>
      </c>
      <c r="N1288" s="314" t="s">
        <v>4425</v>
      </c>
      <c r="O1288" s="314" t="s">
        <v>407</v>
      </c>
      <c r="P1288" s="314" t="s">
        <v>112</v>
      </c>
      <c r="Q1288" s="315">
        <v>45145.5362152778</v>
      </c>
      <c r="R1288" s="315">
        <v>45145.8614814815</v>
      </c>
      <c r="S1288" s="314" t="s">
        <v>4426</v>
      </c>
      <c r="T1288" s="314" t="s">
        <v>124</v>
      </c>
      <c r="U1288" s="314" t="s">
        <v>177</v>
      </c>
      <c r="V1288" s="314" t="s">
        <v>114</v>
      </c>
      <c r="W1288" s="314"/>
      <c r="X1288" s="314" t="str">
        <f>VLOOKUP(D1288,代理总表!A:D,3,0)</f>
        <v>雨燕直播-越</v>
      </c>
      <c r="Y1288" t="str">
        <f>VLOOKUP(D:D,代理总表!A:D,4,FALSE)</f>
        <v>雨燕直播-越ffvn66</v>
      </c>
      <c r="Z1288">
        <f t="shared" si="60"/>
        <v>1</v>
      </c>
      <c r="AA1288">
        <f t="shared" si="61"/>
        <v>0</v>
      </c>
      <c r="AB1288">
        <f t="shared" si="62"/>
        <v>1</v>
      </c>
    </row>
    <row r="1289" spans="1:28">
      <c r="A1289" s="314" t="s">
        <v>4427</v>
      </c>
      <c r="B1289" s="314" t="s">
        <v>4428</v>
      </c>
      <c r="C1289" s="314">
        <v>15539153617</v>
      </c>
      <c r="D1289" s="314" t="s">
        <v>235</v>
      </c>
      <c r="E1289" s="314" t="s">
        <v>104</v>
      </c>
      <c r="F1289" s="314" t="s">
        <v>181</v>
      </c>
      <c r="G1289" s="314" t="s">
        <v>106</v>
      </c>
      <c r="H1289" s="314" t="s">
        <v>107</v>
      </c>
      <c r="I1289" s="314" t="s">
        <v>108</v>
      </c>
      <c r="J1289" s="314" t="s">
        <v>109</v>
      </c>
      <c r="K1289" s="314">
        <v>1.88</v>
      </c>
      <c r="L1289" s="314">
        <v>200</v>
      </c>
      <c r="M1289" s="315">
        <v>45145.0244444444</v>
      </c>
      <c r="N1289" s="314" t="s">
        <v>4429</v>
      </c>
      <c r="O1289" s="314" t="s">
        <v>628</v>
      </c>
      <c r="P1289" s="314" t="s">
        <v>112</v>
      </c>
      <c r="Q1289" s="315">
        <v>45145.0327199074</v>
      </c>
      <c r="R1289" s="315">
        <v>45145.4515856481</v>
      </c>
      <c r="S1289" s="314" t="s">
        <v>4429</v>
      </c>
      <c r="T1289" s="314" t="s">
        <v>1594</v>
      </c>
      <c r="U1289" s="314" t="s">
        <v>1594</v>
      </c>
      <c r="V1289" s="314" t="s">
        <v>114</v>
      </c>
      <c r="W1289" s="314"/>
      <c r="X1289" s="314" t="str">
        <f>VLOOKUP(D1289,代理总表!A:D,3,0)</f>
        <v>aber</v>
      </c>
      <c r="Y1289" t="str">
        <f>VLOOKUP(D:D,代理总表!A:D,4,FALSE)</f>
        <v>SEO</v>
      </c>
      <c r="Z1289">
        <f t="shared" si="60"/>
        <v>1</v>
      </c>
      <c r="AA1289">
        <f t="shared" si="61"/>
        <v>0</v>
      </c>
      <c r="AB1289">
        <f t="shared" si="62"/>
        <v>1</v>
      </c>
    </row>
    <row r="1290" spans="1:28">
      <c r="A1290" s="314" t="s">
        <v>4430</v>
      </c>
      <c r="B1290" s="314"/>
      <c r="C1290" s="314"/>
      <c r="D1290" s="314" t="s">
        <v>143</v>
      </c>
      <c r="E1290" s="314" t="s">
        <v>117</v>
      </c>
      <c r="F1290" s="314" t="s">
        <v>118</v>
      </c>
      <c r="G1290" s="314" t="s">
        <v>108</v>
      </c>
      <c r="H1290" s="314" t="s">
        <v>119</v>
      </c>
      <c r="I1290" s="314" t="s">
        <v>108</v>
      </c>
      <c r="J1290" s="314" t="s">
        <v>120</v>
      </c>
      <c r="K1290" s="314">
        <v>0</v>
      </c>
      <c r="L1290" s="314">
        <v>0</v>
      </c>
      <c r="M1290" s="315">
        <v>45145.0242939815</v>
      </c>
      <c r="N1290" s="314" t="s">
        <v>4431</v>
      </c>
      <c r="O1290" s="314" t="s">
        <v>146</v>
      </c>
      <c r="P1290" s="314" t="s">
        <v>112</v>
      </c>
      <c r="Q1290" s="314" t="s">
        <v>123</v>
      </c>
      <c r="R1290" s="315">
        <v>45145.0242939815</v>
      </c>
      <c r="S1290" s="314" t="s">
        <v>4431</v>
      </c>
      <c r="T1290" s="314" t="s">
        <v>775</v>
      </c>
      <c r="U1290" s="314" t="s">
        <v>775</v>
      </c>
      <c r="V1290" s="314" t="s">
        <v>114</v>
      </c>
      <c r="W1290" s="314"/>
      <c r="X1290" s="314" t="str">
        <f>VLOOKUP(D1290,代理总表!A:D,3,0)</f>
        <v>雨燕直播-越</v>
      </c>
      <c r="Y1290" t="str">
        <f>VLOOKUP(D:D,代理总表!A:D,4,FALSE)</f>
        <v>雨燕直播-越ffvn66</v>
      </c>
      <c r="Z1290">
        <f t="shared" si="60"/>
        <v>0</v>
      </c>
      <c r="AA1290">
        <f t="shared" si="61"/>
        <v>0</v>
      </c>
      <c r="AB1290">
        <f t="shared" si="62"/>
        <v>1</v>
      </c>
    </row>
    <row r="1291" spans="1:28">
      <c r="A1291" s="314" t="s">
        <v>4432</v>
      </c>
      <c r="B1291" s="314" t="s">
        <v>4433</v>
      </c>
      <c r="C1291" s="314">
        <v>965993966</v>
      </c>
      <c r="D1291" s="314" t="s">
        <v>143</v>
      </c>
      <c r="E1291" s="314" t="s">
        <v>117</v>
      </c>
      <c r="F1291" s="314" t="s">
        <v>118</v>
      </c>
      <c r="G1291" s="314" t="s">
        <v>108</v>
      </c>
      <c r="H1291" s="314" t="s">
        <v>119</v>
      </c>
      <c r="I1291" s="314" t="s">
        <v>108</v>
      </c>
      <c r="J1291" s="314" t="s">
        <v>120</v>
      </c>
      <c r="K1291" s="314">
        <v>0</v>
      </c>
      <c r="L1291" s="314">
        <v>0</v>
      </c>
      <c r="M1291" s="315">
        <v>45145.0240972222</v>
      </c>
      <c r="N1291" s="314" t="s">
        <v>4434</v>
      </c>
      <c r="O1291" s="314" t="s">
        <v>407</v>
      </c>
      <c r="P1291" s="314" t="s">
        <v>112</v>
      </c>
      <c r="Q1291" s="314" t="s">
        <v>123</v>
      </c>
      <c r="R1291" s="315">
        <v>45145.0948958333</v>
      </c>
      <c r="S1291" s="314" t="s">
        <v>4434</v>
      </c>
      <c r="T1291" s="314" t="s">
        <v>4435</v>
      </c>
      <c r="U1291" s="314" t="s">
        <v>4435</v>
      </c>
      <c r="V1291" s="314" t="s">
        <v>114</v>
      </c>
      <c r="W1291" s="314"/>
      <c r="X1291" s="314" t="str">
        <f>VLOOKUP(D1291,代理总表!A:D,3,0)</f>
        <v>雨燕直播-越</v>
      </c>
      <c r="Y1291" t="str">
        <f>VLOOKUP(D:D,代理总表!A:D,4,FALSE)</f>
        <v>雨燕直播-越ffvn66</v>
      </c>
      <c r="Z1291">
        <f t="shared" si="60"/>
        <v>0</v>
      </c>
      <c r="AA1291">
        <f t="shared" si="61"/>
        <v>0</v>
      </c>
      <c r="AB1291">
        <f t="shared" si="62"/>
        <v>1</v>
      </c>
    </row>
    <row r="1292" spans="1:28">
      <c r="A1292" s="314" t="s">
        <v>4436</v>
      </c>
      <c r="B1292" s="314" t="s">
        <v>4437</v>
      </c>
      <c r="C1292" s="314">
        <v>15838377758</v>
      </c>
      <c r="D1292" s="314" t="s">
        <v>249</v>
      </c>
      <c r="E1292" s="314" t="s">
        <v>104</v>
      </c>
      <c r="F1292" s="314" t="s">
        <v>118</v>
      </c>
      <c r="G1292" s="314" t="s">
        <v>108</v>
      </c>
      <c r="H1292" s="314" t="s">
        <v>119</v>
      </c>
      <c r="I1292" s="314" t="s">
        <v>108</v>
      </c>
      <c r="J1292" s="314" t="s">
        <v>109</v>
      </c>
      <c r="K1292" s="314">
        <v>0</v>
      </c>
      <c r="L1292" s="314">
        <v>0</v>
      </c>
      <c r="M1292" s="315">
        <v>45145.0238657407</v>
      </c>
      <c r="N1292" s="314" t="s">
        <v>4438</v>
      </c>
      <c r="O1292" s="314" t="s">
        <v>251</v>
      </c>
      <c r="P1292" s="314" t="s">
        <v>112</v>
      </c>
      <c r="Q1292" s="314" t="s">
        <v>123</v>
      </c>
      <c r="R1292" s="315">
        <v>45145.9535300926</v>
      </c>
      <c r="S1292" s="314" t="s">
        <v>4439</v>
      </c>
      <c r="T1292" s="314" t="s">
        <v>4440</v>
      </c>
      <c r="U1292" s="314" t="s">
        <v>4440</v>
      </c>
      <c r="V1292" s="314" t="s">
        <v>114</v>
      </c>
      <c r="W1292" s="314"/>
      <c r="X1292" s="314" t="str">
        <f>VLOOKUP(D1292,代理总表!A:D,3,0)</f>
        <v>飞哥雨燕直播</v>
      </c>
      <c r="Y1292" t="str">
        <f>VLOOKUP(D:D,代理总表!A:D,4,FALSE)</f>
        <v>飞哥雨燕直播ffmk88</v>
      </c>
      <c r="Z1292">
        <f t="shared" si="60"/>
        <v>0</v>
      </c>
      <c r="AA1292">
        <f t="shared" si="61"/>
        <v>0</v>
      </c>
      <c r="AB1292">
        <f t="shared" si="62"/>
        <v>1</v>
      </c>
    </row>
    <row r="1293" spans="1:28">
      <c r="A1293" s="314" t="s">
        <v>4441</v>
      </c>
      <c r="B1293" s="314"/>
      <c r="C1293" s="314"/>
      <c r="D1293" s="314" t="s">
        <v>651</v>
      </c>
      <c r="E1293" s="314" t="s">
        <v>117</v>
      </c>
      <c r="F1293" s="314" t="s">
        <v>118</v>
      </c>
      <c r="G1293" s="314" t="s">
        <v>108</v>
      </c>
      <c r="H1293" s="314" t="s">
        <v>119</v>
      </c>
      <c r="I1293" s="314" t="s">
        <v>108</v>
      </c>
      <c r="J1293" s="314" t="s">
        <v>120</v>
      </c>
      <c r="K1293" s="314">
        <v>0</v>
      </c>
      <c r="L1293" s="314">
        <v>0</v>
      </c>
      <c r="M1293" s="315">
        <v>45145.0238194444</v>
      </c>
      <c r="N1293" s="314" t="s">
        <v>4442</v>
      </c>
      <c r="O1293" s="314" t="s">
        <v>653</v>
      </c>
      <c r="P1293" s="314" t="s">
        <v>112</v>
      </c>
      <c r="Q1293" s="314" t="s">
        <v>123</v>
      </c>
      <c r="R1293" s="315">
        <v>45145.0238194444</v>
      </c>
      <c r="S1293" s="314" t="s">
        <v>4442</v>
      </c>
      <c r="T1293" s="314" t="s">
        <v>124</v>
      </c>
      <c r="U1293" s="314" t="s">
        <v>124</v>
      </c>
      <c r="V1293" s="314" t="s">
        <v>114</v>
      </c>
      <c r="W1293" s="314"/>
      <c r="X1293" s="314" t="str">
        <f>VLOOKUP(D1293,代理总表!A:D,3,0)</f>
        <v>雨燕直播-越</v>
      </c>
      <c r="Y1293" t="str">
        <f>VLOOKUP(D:D,代理总表!A:D,4,FALSE)</f>
        <v>雨燕直播-越ffvn66</v>
      </c>
      <c r="Z1293">
        <f t="shared" si="60"/>
        <v>0</v>
      </c>
      <c r="AA1293">
        <f t="shared" si="61"/>
        <v>0</v>
      </c>
      <c r="AB1293">
        <f t="shared" si="62"/>
        <v>1</v>
      </c>
    </row>
    <row r="1294" spans="1:28">
      <c r="A1294" s="314" t="s">
        <v>4443</v>
      </c>
      <c r="B1294" s="314"/>
      <c r="C1294" s="314"/>
      <c r="D1294" s="314" t="s">
        <v>116</v>
      </c>
      <c r="E1294" s="314" t="s">
        <v>117</v>
      </c>
      <c r="F1294" s="314" t="s">
        <v>118</v>
      </c>
      <c r="G1294" s="314" t="s">
        <v>108</v>
      </c>
      <c r="H1294" s="314" t="s">
        <v>119</v>
      </c>
      <c r="I1294" s="314" t="s">
        <v>108</v>
      </c>
      <c r="J1294" s="314" t="s">
        <v>120</v>
      </c>
      <c r="K1294" s="314">
        <v>0</v>
      </c>
      <c r="L1294" s="314">
        <v>0</v>
      </c>
      <c r="M1294" s="315">
        <v>45145.0227199074</v>
      </c>
      <c r="N1294" s="314" t="s">
        <v>4444</v>
      </c>
      <c r="O1294" s="314" t="s">
        <v>122</v>
      </c>
      <c r="P1294" s="314" t="s">
        <v>112</v>
      </c>
      <c r="Q1294" s="314" t="s">
        <v>123</v>
      </c>
      <c r="R1294" s="315">
        <v>45145.0227083333</v>
      </c>
      <c r="S1294" s="314" t="s">
        <v>4444</v>
      </c>
      <c r="T1294" s="314" t="s">
        <v>233</v>
      </c>
      <c r="U1294" s="314" t="s">
        <v>233</v>
      </c>
      <c r="V1294" s="314" t="s">
        <v>114</v>
      </c>
      <c r="W1294" s="314"/>
      <c r="X1294" s="314" t="str">
        <f>VLOOKUP(D1294,代理总表!A:D,3,0)</f>
        <v>外部代理总线</v>
      </c>
      <c r="Y1294" t="str">
        <f>VLOOKUP(D:D,代理总表!A:D,4,FALSE)</f>
        <v>外部代理总线zh0808</v>
      </c>
      <c r="Z1294">
        <f t="shared" si="60"/>
        <v>0</v>
      </c>
      <c r="AA1294">
        <f t="shared" si="61"/>
        <v>0</v>
      </c>
      <c r="AB1294">
        <f t="shared" si="62"/>
        <v>1</v>
      </c>
    </row>
    <row r="1295" spans="1:28">
      <c r="A1295" s="314" t="s">
        <v>4445</v>
      </c>
      <c r="B1295" s="314" t="s">
        <v>4446</v>
      </c>
      <c r="C1295" s="314">
        <v>18083747986</v>
      </c>
      <c r="D1295" s="314" t="s">
        <v>1525</v>
      </c>
      <c r="E1295" s="314" t="s">
        <v>104</v>
      </c>
      <c r="F1295" s="314" t="s">
        <v>144</v>
      </c>
      <c r="G1295" s="314" t="s">
        <v>106</v>
      </c>
      <c r="H1295" s="314" t="s">
        <v>107</v>
      </c>
      <c r="I1295" s="314" t="s">
        <v>108</v>
      </c>
      <c r="J1295" s="314" t="s">
        <v>109</v>
      </c>
      <c r="K1295" s="314">
        <v>28</v>
      </c>
      <c r="L1295" s="314">
        <v>200</v>
      </c>
      <c r="M1295" s="315">
        <v>45145.0221412037</v>
      </c>
      <c r="N1295" s="314" t="s">
        <v>4447</v>
      </c>
      <c r="O1295" s="314" t="s">
        <v>4448</v>
      </c>
      <c r="P1295" s="314" t="s">
        <v>112</v>
      </c>
      <c r="Q1295" s="315">
        <v>45145.0348148148</v>
      </c>
      <c r="R1295" s="315">
        <v>45145.3833101852</v>
      </c>
      <c r="S1295" s="314" t="s">
        <v>4449</v>
      </c>
      <c r="T1295" s="314" t="s">
        <v>299</v>
      </c>
      <c r="U1295" s="314" t="s">
        <v>299</v>
      </c>
      <c r="V1295" s="314" t="s">
        <v>114</v>
      </c>
      <c r="W1295" s="314"/>
      <c r="X1295" s="314" t="str">
        <f>VLOOKUP(D1295,代理总表!A:D,3,0)</f>
        <v>GT-骨头</v>
      </c>
      <c r="Y1295" t="str">
        <f>VLOOKUP(D:D,代理总表!A:D,4,FALSE)</f>
        <v>B直播gt6677</v>
      </c>
      <c r="Z1295">
        <f t="shared" si="60"/>
        <v>1</v>
      </c>
      <c r="AA1295">
        <f t="shared" si="61"/>
        <v>0</v>
      </c>
      <c r="AB1295">
        <f t="shared" si="62"/>
        <v>1</v>
      </c>
    </row>
    <row r="1296" spans="1:28">
      <c r="A1296" s="314" t="s">
        <v>4450</v>
      </c>
      <c r="B1296" s="314" t="s">
        <v>4451</v>
      </c>
      <c r="C1296" s="314">
        <v>15900361917</v>
      </c>
      <c r="D1296" s="314" t="s">
        <v>1109</v>
      </c>
      <c r="E1296" s="314" t="s">
        <v>104</v>
      </c>
      <c r="F1296" s="314" t="s">
        <v>144</v>
      </c>
      <c r="G1296" s="314" t="s">
        <v>106</v>
      </c>
      <c r="H1296" s="314" t="s">
        <v>107</v>
      </c>
      <c r="I1296" s="314" t="s">
        <v>108</v>
      </c>
      <c r="J1296" s="314" t="s">
        <v>109</v>
      </c>
      <c r="K1296" s="314">
        <v>100</v>
      </c>
      <c r="L1296" s="314">
        <v>1001</v>
      </c>
      <c r="M1296" s="315">
        <v>45145.0214351852</v>
      </c>
      <c r="N1296" s="314" t="s">
        <v>4452</v>
      </c>
      <c r="O1296" s="314" t="s">
        <v>4079</v>
      </c>
      <c r="P1296" s="314" t="s">
        <v>112</v>
      </c>
      <c r="Q1296" s="315">
        <v>45145.0304050926</v>
      </c>
      <c r="R1296" s="315">
        <v>45146.3454861111</v>
      </c>
      <c r="S1296" s="314" t="s">
        <v>4453</v>
      </c>
      <c r="T1296" s="314" t="s">
        <v>4454</v>
      </c>
      <c r="U1296" s="314" t="s">
        <v>4454</v>
      </c>
      <c r="V1296" s="314" t="s">
        <v>114</v>
      </c>
      <c r="W1296" s="314"/>
      <c r="X1296" s="314" t="str">
        <f>VLOOKUP(D1296,代理总表!A:D,3,0)</f>
        <v>飞哥雨燕直播</v>
      </c>
      <c r="Y1296" t="str">
        <f>VLOOKUP(D:D,代理总表!A:D,4,FALSE)</f>
        <v>飞哥雨燕直播ffmk88</v>
      </c>
      <c r="Z1296">
        <f t="shared" si="60"/>
        <v>1</v>
      </c>
      <c r="AA1296">
        <f t="shared" si="61"/>
        <v>0</v>
      </c>
      <c r="AB1296">
        <f t="shared" si="62"/>
        <v>1</v>
      </c>
    </row>
    <row r="1297" spans="1:28">
      <c r="A1297" s="314" t="s">
        <v>4455</v>
      </c>
      <c r="B1297" s="314" t="s">
        <v>4456</v>
      </c>
      <c r="C1297" s="314">
        <v>783293459</v>
      </c>
      <c r="D1297" s="314" t="s">
        <v>137</v>
      </c>
      <c r="E1297" s="314" t="s">
        <v>117</v>
      </c>
      <c r="F1297" s="314" t="s">
        <v>118</v>
      </c>
      <c r="G1297" s="314" t="s">
        <v>108</v>
      </c>
      <c r="H1297" s="314" t="s">
        <v>119</v>
      </c>
      <c r="I1297" s="314" t="s">
        <v>108</v>
      </c>
      <c r="J1297" s="314" t="s">
        <v>120</v>
      </c>
      <c r="K1297" s="314">
        <v>0</v>
      </c>
      <c r="L1297" s="314">
        <v>0</v>
      </c>
      <c r="M1297" s="315">
        <v>45145.021400463</v>
      </c>
      <c r="N1297" s="314" t="s">
        <v>4457</v>
      </c>
      <c r="O1297" s="314" t="s">
        <v>139</v>
      </c>
      <c r="P1297" s="314" t="s">
        <v>112</v>
      </c>
      <c r="Q1297" s="314" t="s">
        <v>123</v>
      </c>
      <c r="R1297" s="315">
        <v>45145.0213888889</v>
      </c>
      <c r="S1297" s="314" t="s">
        <v>4457</v>
      </c>
      <c r="T1297" s="314" t="s">
        <v>655</v>
      </c>
      <c r="U1297" s="314" t="s">
        <v>655</v>
      </c>
      <c r="V1297" s="314" t="s">
        <v>114</v>
      </c>
      <c r="W1297" s="314"/>
      <c r="X1297" s="314" t="str">
        <f>VLOOKUP(D1297,代理总表!A:D,3,0)</f>
        <v>雨燕直播-越</v>
      </c>
      <c r="Y1297" t="str">
        <f>VLOOKUP(D:D,代理总表!A:D,4,FALSE)</f>
        <v>雨燕直播-越ffvn66</v>
      </c>
      <c r="Z1297">
        <f t="shared" si="60"/>
        <v>0</v>
      </c>
      <c r="AA1297">
        <f t="shared" si="61"/>
        <v>0</v>
      </c>
      <c r="AB1297">
        <f t="shared" si="62"/>
        <v>1</v>
      </c>
    </row>
    <row r="1298" spans="1:28">
      <c r="A1298" s="314" t="s">
        <v>4458</v>
      </c>
      <c r="B1298" s="314"/>
      <c r="C1298" s="314"/>
      <c r="D1298" s="314" t="s">
        <v>197</v>
      </c>
      <c r="E1298" s="314" t="s">
        <v>117</v>
      </c>
      <c r="F1298" s="314" t="s">
        <v>118</v>
      </c>
      <c r="G1298" s="314" t="s">
        <v>108</v>
      </c>
      <c r="H1298" s="314" t="s">
        <v>119</v>
      </c>
      <c r="I1298" s="314" t="s">
        <v>108</v>
      </c>
      <c r="J1298" s="314" t="s">
        <v>120</v>
      </c>
      <c r="K1298" s="314">
        <v>0</v>
      </c>
      <c r="L1298" s="314">
        <v>0</v>
      </c>
      <c r="M1298" s="315">
        <v>45145.0213078704</v>
      </c>
      <c r="N1298" s="314" t="s">
        <v>4459</v>
      </c>
      <c r="O1298" s="314" t="s">
        <v>617</v>
      </c>
      <c r="P1298" s="314" t="s">
        <v>339</v>
      </c>
      <c r="Q1298" s="314" t="s">
        <v>123</v>
      </c>
      <c r="R1298" s="315">
        <v>45145.0215162037</v>
      </c>
      <c r="S1298" s="314" t="s">
        <v>4459</v>
      </c>
      <c r="T1298" s="314" t="s">
        <v>177</v>
      </c>
      <c r="U1298" s="314" t="s">
        <v>177</v>
      </c>
      <c r="V1298" s="314" t="s">
        <v>114</v>
      </c>
      <c r="W1298" s="314"/>
      <c r="X1298" s="314" t="str">
        <f>VLOOKUP(D1298,代理总表!A:D,3,0)</f>
        <v>雨燕直播-越</v>
      </c>
      <c r="Y1298" t="str">
        <f>VLOOKUP(D:D,代理总表!A:D,4,FALSE)</f>
        <v>雨燕直播-越ffvn66</v>
      </c>
      <c r="Z1298">
        <f t="shared" si="60"/>
        <v>0</v>
      </c>
      <c r="AA1298">
        <f t="shared" si="61"/>
        <v>0</v>
      </c>
      <c r="AB1298">
        <f t="shared" si="62"/>
        <v>1</v>
      </c>
    </row>
    <row r="1299" spans="1:28">
      <c r="A1299" s="314" t="s">
        <v>4460</v>
      </c>
      <c r="B1299" s="314"/>
      <c r="C1299" s="314"/>
      <c r="D1299" s="314" t="s">
        <v>137</v>
      </c>
      <c r="E1299" s="314" t="s">
        <v>117</v>
      </c>
      <c r="F1299" s="314" t="s">
        <v>118</v>
      </c>
      <c r="G1299" s="314" t="s">
        <v>108</v>
      </c>
      <c r="H1299" s="314" t="s">
        <v>119</v>
      </c>
      <c r="I1299" s="314" t="s">
        <v>108</v>
      </c>
      <c r="J1299" s="314" t="s">
        <v>120</v>
      </c>
      <c r="K1299" s="314">
        <v>0</v>
      </c>
      <c r="L1299" s="314">
        <v>0</v>
      </c>
      <c r="M1299" s="315">
        <v>45145.0199074074</v>
      </c>
      <c r="N1299" s="314" t="s">
        <v>4461</v>
      </c>
      <c r="O1299" s="314" t="s">
        <v>710</v>
      </c>
      <c r="P1299" s="314" t="s">
        <v>339</v>
      </c>
      <c r="Q1299" s="314" t="s">
        <v>123</v>
      </c>
      <c r="R1299" s="315">
        <v>45145.0208564815</v>
      </c>
      <c r="S1299" s="314" t="s">
        <v>4461</v>
      </c>
      <c r="T1299" s="314" t="s">
        <v>228</v>
      </c>
      <c r="U1299" s="314" t="s">
        <v>228</v>
      </c>
      <c r="V1299" s="314" t="s">
        <v>114</v>
      </c>
      <c r="W1299" s="314"/>
      <c r="X1299" s="314" t="str">
        <f>VLOOKUP(D1299,代理总表!A:D,3,0)</f>
        <v>雨燕直播-越</v>
      </c>
      <c r="Y1299" t="str">
        <f>VLOOKUP(D:D,代理总表!A:D,4,FALSE)</f>
        <v>雨燕直播-越ffvn66</v>
      </c>
      <c r="Z1299">
        <f t="shared" si="60"/>
        <v>0</v>
      </c>
      <c r="AA1299">
        <f t="shared" si="61"/>
        <v>0</v>
      </c>
      <c r="AB1299">
        <f t="shared" si="62"/>
        <v>1</v>
      </c>
    </row>
    <row r="1300" spans="1:28">
      <c r="A1300" s="314" t="s">
        <v>4462</v>
      </c>
      <c r="B1300" s="314" t="s">
        <v>4463</v>
      </c>
      <c r="C1300" s="314">
        <v>634310890</v>
      </c>
      <c r="D1300" s="314" t="s">
        <v>1894</v>
      </c>
      <c r="E1300" s="314" t="s">
        <v>1895</v>
      </c>
      <c r="F1300" s="314" t="s">
        <v>118</v>
      </c>
      <c r="G1300" s="314" t="s">
        <v>108</v>
      </c>
      <c r="H1300" s="314" t="s">
        <v>119</v>
      </c>
      <c r="I1300" s="314" t="s">
        <v>108</v>
      </c>
      <c r="J1300" s="314" t="s">
        <v>1896</v>
      </c>
      <c r="K1300" s="314">
        <v>0</v>
      </c>
      <c r="L1300" s="314">
        <v>0</v>
      </c>
      <c r="M1300" s="315">
        <v>45145.018912037</v>
      </c>
      <c r="N1300" s="314" t="s">
        <v>4464</v>
      </c>
      <c r="O1300" s="314" t="s">
        <v>1898</v>
      </c>
      <c r="P1300" s="314" t="s">
        <v>112</v>
      </c>
      <c r="Q1300" s="314" t="s">
        <v>123</v>
      </c>
      <c r="R1300" s="315">
        <v>45145.0201736111</v>
      </c>
      <c r="S1300" s="314" t="s">
        <v>4464</v>
      </c>
      <c r="T1300" s="314" t="s">
        <v>3822</v>
      </c>
      <c r="U1300" s="314" t="s">
        <v>3822</v>
      </c>
      <c r="V1300" s="314" t="s">
        <v>114</v>
      </c>
      <c r="W1300" s="314"/>
      <c r="X1300" s="314" t="str">
        <f>VLOOKUP(D1300,代理总表!A:D,3,0)</f>
        <v>鲲鹏admin</v>
      </c>
      <c r="Y1300" t="str">
        <f>VLOOKUP(D:D,代理总表!A:D,4,FALSE)</f>
        <v>鲲鹏adminbtydl0057</v>
      </c>
      <c r="Z1300">
        <f t="shared" si="60"/>
        <v>0</v>
      </c>
      <c r="AA1300">
        <f t="shared" si="61"/>
        <v>0</v>
      </c>
      <c r="AB1300">
        <f t="shared" si="62"/>
        <v>1</v>
      </c>
    </row>
    <row r="1301" spans="1:28">
      <c r="A1301" s="314" t="s">
        <v>4465</v>
      </c>
      <c r="B1301" s="314"/>
      <c r="C1301" s="314"/>
      <c r="D1301" s="314" t="s">
        <v>240</v>
      </c>
      <c r="E1301" s="314" t="s">
        <v>104</v>
      </c>
      <c r="F1301" s="314" t="s">
        <v>149</v>
      </c>
      <c r="G1301" s="314" t="s">
        <v>108</v>
      </c>
      <c r="H1301" s="314" t="s">
        <v>119</v>
      </c>
      <c r="I1301" s="314" t="s">
        <v>108</v>
      </c>
      <c r="J1301" s="314" t="s">
        <v>109</v>
      </c>
      <c r="K1301" s="314">
        <v>0</v>
      </c>
      <c r="L1301" s="314">
        <v>0</v>
      </c>
      <c r="M1301" s="315">
        <v>45145.0183912037</v>
      </c>
      <c r="N1301" s="314" t="s">
        <v>4466</v>
      </c>
      <c r="O1301" s="314" t="s">
        <v>4467</v>
      </c>
      <c r="P1301" s="314" t="s">
        <v>112</v>
      </c>
      <c r="Q1301" s="314" t="s">
        <v>123</v>
      </c>
      <c r="R1301" s="315">
        <v>45145.0183912037</v>
      </c>
      <c r="S1301" s="314" t="s">
        <v>4466</v>
      </c>
      <c r="T1301" s="314" t="s">
        <v>4468</v>
      </c>
      <c r="U1301" s="314" t="s">
        <v>4468</v>
      </c>
      <c r="V1301" s="314" t="s">
        <v>114</v>
      </c>
      <c r="W1301" s="314"/>
      <c r="X1301" s="314" t="str">
        <f>VLOOKUP(D1301,代理总表!A:D,3,0)</f>
        <v>SEO邀请</v>
      </c>
      <c r="Y1301" t="str">
        <f>VLOOKUP(D:D,代理总表!A:D,4,FALSE)</f>
        <v>SEO</v>
      </c>
      <c r="Z1301">
        <f t="shared" si="60"/>
        <v>0</v>
      </c>
      <c r="AA1301">
        <f t="shared" si="61"/>
        <v>0</v>
      </c>
      <c r="AB1301">
        <f t="shared" si="62"/>
        <v>1</v>
      </c>
    </row>
    <row r="1302" spans="1:28">
      <c r="A1302" s="314" t="s">
        <v>4469</v>
      </c>
      <c r="B1302" s="314" t="s">
        <v>4470</v>
      </c>
      <c r="C1302" s="314">
        <v>826822553</v>
      </c>
      <c r="D1302" s="314" t="s">
        <v>651</v>
      </c>
      <c r="E1302" s="314" t="s">
        <v>117</v>
      </c>
      <c r="F1302" s="314" t="s">
        <v>118</v>
      </c>
      <c r="G1302" s="314" t="s">
        <v>108</v>
      </c>
      <c r="H1302" s="314" t="s">
        <v>119</v>
      </c>
      <c r="I1302" s="314" t="s">
        <v>108</v>
      </c>
      <c r="J1302" s="314" t="s">
        <v>120</v>
      </c>
      <c r="K1302" s="314">
        <v>0</v>
      </c>
      <c r="L1302" s="314">
        <v>0</v>
      </c>
      <c r="M1302" s="315">
        <v>45145.0182986111</v>
      </c>
      <c r="N1302" s="314" t="s">
        <v>4471</v>
      </c>
      <c r="O1302" s="314" t="s">
        <v>653</v>
      </c>
      <c r="P1302" s="314" t="s">
        <v>112</v>
      </c>
      <c r="Q1302" s="314" t="s">
        <v>123</v>
      </c>
      <c r="R1302" s="315">
        <v>45145.0182986111</v>
      </c>
      <c r="S1302" s="314" t="s">
        <v>4471</v>
      </c>
      <c r="T1302" s="314" t="s">
        <v>2629</v>
      </c>
      <c r="U1302" s="314" t="s">
        <v>2629</v>
      </c>
      <c r="V1302" s="314" t="s">
        <v>114</v>
      </c>
      <c r="W1302" s="314"/>
      <c r="X1302" s="314" t="str">
        <f>VLOOKUP(D1302,代理总表!A:D,3,0)</f>
        <v>雨燕直播-越</v>
      </c>
      <c r="Y1302" t="str">
        <f>VLOOKUP(D:D,代理总表!A:D,4,FALSE)</f>
        <v>雨燕直播-越ffvn66</v>
      </c>
      <c r="Z1302">
        <f t="shared" si="60"/>
        <v>0</v>
      </c>
      <c r="AA1302">
        <f t="shared" si="61"/>
        <v>0</v>
      </c>
      <c r="AB1302">
        <f t="shared" si="62"/>
        <v>1</v>
      </c>
    </row>
    <row r="1303" spans="1:28">
      <c r="A1303" s="314" t="s">
        <v>4472</v>
      </c>
      <c r="B1303" s="314" t="s">
        <v>4473</v>
      </c>
      <c r="C1303" s="314">
        <v>923212348</v>
      </c>
      <c r="D1303" s="314" t="s">
        <v>137</v>
      </c>
      <c r="E1303" s="314" t="s">
        <v>117</v>
      </c>
      <c r="F1303" s="314" t="s">
        <v>118</v>
      </c>
      <c r="G1303" s="314" t="s">
        <v>108</v>
      </c>
      <c r="H1303" s="314" t="s">
        <v>119</v>
      </c>
      <c r="I1303" s="314" t="s">
        <v>108</v>
      </c>
      <c r="J1303" s="314" t="s">
        <v>120</v>
      </c>
      <c r="K1303" s="314">
        <v>0</v>
      </c>
      <c r="L1303" s="314">
        <v>0</v>
      </c>
      <c r="M1303" s="315">
        <v>45145.0178356481</v>
      </c>
      <c r="N1303" s="314" t="s">
        <v>4474</v>
      </c>
      <c r="O1303" s="314" t="s">
        <v>139</v>
      </c>
      <c r="P1303" s="314" t="s">
        <v>112</v>
      </c>
      <c r="Q1303" s="314" t="s">
        <v>123</v>
      </c>
      <c r="R1303" s="315">
        <v>45145.0178240741</v>
      </c>
      <c r="S1303" s="314" t="s">
        <v>4474</v>
      </c>
      <c r="T1303" s="314" t="s">
        <v>124</v>
      </c>
      <c r="U1303" s="314" t="s">
        <v>124</v>
      </c>
      <c r="V1303" s="314" t="s">
        <v>114</v>
      </c>
      <c r="W1303" s="314"/>
      <c r="X1303" s="314" t="str">
        <f>VLOOKUP(D1303,代理总表!A:D,3,0)</f>
        <v>雨燕直播-越</v>
      </c>
      <c r="Y1303" t="str">
        <f>VLOOKUP(D:D,代理总表!A:D,4,FALSE)</f>
        <v>雨燕直播-越ffvn66</v>
      </c>
      <c r="Z1303">
        <f t="shared" si="60"/>
        <v>0</v>
      </c>
      <c r="AA1303">
        <f t="shared" si="61"/>
        <v>0</v>
      </c>
      <c r="AB1303">
        <f t="shared" si="62"/>
        <v>1</v>
      </c>
    </row>
    <row r="1304" spans="1:28">
      <c r="A1304" s="314" t="s">
        <v>4475</v>
      </c>
      <c r="B1304" s="314" t="s">
        <v>4476</v>
      </c>
      <c r="C1304" s="314">
        <v>13713715064</v>
      </c>
      <c r="D1304" s="314" t="s">
        <v>2121</v>
      </c>
      <c r="E1304" s="314" t="s">
        <v>104</v>
      </c>
      <c r="F1304" s="314" t="s">
        <v>144</v>
      </c>
      <c r="G1304" s="314" t="s">
        <v>106</v>
      </c>
      <c r="H1304" s="314" t="s">
        <v>107</v>
      </c>
      <c r="I1304" s="314" t="s">
        <v>108</v>
      </c>
      <c r="J1304" s="314" t="s">
        <v>109</v>
      </c>
      <c r="K1304" s="314">
        <v>50</v>
      </c>
      <c r="L1304" s="314">
        <v>500</v>
      </c>
      <c r="M1304" s="315">
        <v>45145.0177430556</v>
      </c>
      <c r="N1304" s="314" t="s">
        <v>4477</v>
      </c>
      <c r="O1304" s="314" t="s">
        <v>3802</v>
      </c>
      <c r="P1304" s="314" t="s">
        <v>161</v>
      </c>
      <c r="Q1304" s="315">
        <v>45145.0212037037</v>
      </c>
      <c r="R1304" s="315">
        <v>45145.2796412037</v>
      </c>
      <c r="S1304" s="314" t="s">
        <v>4477</v>
      </c>
      <c r="T1304" s="314" t="s">
        <v>495</v>
      </c>
      <c r="U1304" s="314" t="s">
        <v>495</v>
      </c>
      <c r="V1304" s="314" t="s">
        <v>114</v>
      </c>
      <c r="W1304" s="314"/>
      <c r="X1304" s="314" t="str">
        <f>VLOOKUP(D1304,代理总表!A:D,3,0)</f>
        <v>飞哥雨燕直播</v>
      </c>
      <c r="Y1304" t="str">
        <f>VLOOKUP(D:D,代理总表!A:D,4,FALSE)</f>
        <v>飞哥雨燕直播ffmk88</v>
      </c>
      <c r="Z1304">
        <f t="shared" si="60"/>
        <v>1</v>
      </c>
      <c r="AA1304">
        <f t="shared" si="61"/>
        <v>0</v>
      </c>
      <c r="AB1304">
        <f t="shared" si="62"/>
        <v>1</v>
      </c>
    </row>
    <row r="1305" spans="1:28">
      <c r="A1305" s="314" t="s">
        <v>4478</v>
      </c>
      <c r="B1305" s="314"/>
      <c r="C1305" s="314"/>
      <c r="D1305" s="314" t="s">
        <v>116</v>
      </c>
      <c r="E1305" s="314" t="s">
        <v>117</v>
      </c>
      <c r="F1305" s="314" t="s">
        <v>118</v>
      </c>
      <c r="G1305" s="314" t="s">
        <v>108</v>
      </c>
      <c r="H1305" s="314" t="s">
        <v>119</v>
      </c>
      <c r="I1305" s="314" t="s">
        <v>108</v>
      </c>
      <c r="J1305" s="314" t="s">
        <v>120</v>
      </c>
      <c r="K1305" s="314">
        <v>0</v>
      </c>
      <c r="L1305" s="314">
        <v>0</v>
      </c>
      <c r="M1305" s="315">
        <v>45145.017349537</v>
      </c>
      <c r="N1305" s="314" t="s">
        <v>4479</v>
      </c>
      <c r="O1305" s="314" t="s">
        <v>122</v>
      </c>
      <c r="P1305" s="314" t="s">
        <v>112</v>
      </c>
      <c r="Q1305" s="314" t="s">
        <v>123</v>
      </c>
      <c r="R1305" s="315">
        <v>45145.1325925926</v>
      </c>
      <c r="S1305" s="314" t="s">
        <v>4479</v>
      </c>
      <c r="T1305" s="314" t="s">
        <v>2031</v>
      </c>
      <c r="U1305" s="314" t="s">
        <v>2031</v>
      </c>
      <c r="V1305" s="314" t="s">
        <v>114</v>
      </c>
      <c r="W1305" s="314"/>
      <c r="X1305" s="314" t="str">
        <f>VLOOKUP(D1305,代理总表!A:D,3,0)</f>
        <v>外部代理总线</v>
      </c>
      <c r="Y1305" t="str">
        <f>VLOOKUP(D:D,代理总表!A:D,4,FALSE)</f>
        <v>外部代理总线zh0808</v>
      </c>
      <c r="Z1305">
        <f t="shared" si="60"/>
        <v>0</v>
      </c>
      <c r="AA1305">
        <f t="shared" si="61"/>
        <v>0</v>
      </c>
      <c r="AB1305">
        <f t="shared" si="62"/>
        <v>1</v>
      </c>
    </row>
    <row r="1306" spans="1:28">
      <c r="A1306" s="314" t="s">
        <v>4480</v>
      </c>
      <c r="B1306" s="314" t="s">
        <v>4481</v>
      </c>
      <c r="C1306" s="314">
        <v>18944644666</v>
      </c>
      <c r="D1306" s="314" t="s">
        <v>180</v>
      </c>
      <c r="E1306" s="314" t="s">
        <v>104</v>
      </c>
      <c r="F1306" s="314" t="s">
        <v>149</v>
      </c>
      <c r="G1306" s="314" t="s">
        <v>108</v>
      </c>
      <c r="H1306" s="314" t="s">
        <v>119</v>
      </c>
      <c r="I1306" s="314" t="s">
        <v>108</v>
      </c>
      <c r="J1306" s="314" t="s">
        <v>109</v>
      </c>
      <c r="K1306" s="314">
        <v>0</v>
      </c>
      <c r="L1306" s="314">
        <v>0</v>
      </c>
      <c r="M1306" s="315">
        <v>45145.0172453704</v>
      </c>
      <c r="N1306" s="314" t="s">
        <v>4482</v>
      </c>
      <c r="O1306" s="314" t="s">
        <v>1199</v>
      </c>
      <c r="P1306" s="314" t="s">
        <v>112</v>
      </c>
      <c r="Q1306" s="314" t="s">
        <v>123</v>
      </c>
      <c r="R1306" s="315">
        <v>45145.0224884259</v>
      </c>
      <c r="S1306" s="314" t="s">
        <v>4482</v>
      </c>
      <c r="T1306" s="314" t="s">
        <v>4483</v>
      </c>
      <c r="U1306" s="314" t="s">
        <v>4483</v>
      </c>
      <c r="V1306" s="314" t="s">
        <v>114</v>
      </c>
      <c r="W1306" s="314"/>
      <c r="X1306" s="314" t="str">
        <f>VLOOKUP(D1306,代理总表!A:D,3,0)</f>
        <v>hugo</v>
      </c>
      <c r="Y1306" t="str">
        <f>VLOOKUP(D:D,代理总表!A:D,4,FALSE)</f>
        <v>SEO</v>
      </c>
      <c r="Z1306">
        <f t="shared" si="60"/>
        <v>0</v>
      </c>
      <c r="AA1306">
        <f t="shared" si="61"/>
        <v>0</v>
      </c>
      <c r="AB1306">
        <f t="shared" si="62"/>
        <v>1</v>
      </c>
    </row>
    <row r="1307" spans="1:28">
      <c r="A1307" s="314" t="s">
        <v>4484</v>
      </c>
      <c r="B1307" s="314" t="s">
        <v>4485</v>
      </c>
      <c r="C1307" s="314">
        <v>17508974133</v>
      </c>
      <c r="D1307" s="314" t="s">
        <v>235</v>
      </c>
      <c r="E1307" s="314" t="s">
        <v>104</v>
      </c>
      <c r="F1307" s="314" t="s">
        <v>181</v>
      </c>
      <c r="G1307" s="314" t="s">
        <v>106</v>
      </c>
      <c r="H1307" s="314" t="s">
        <v>107</v>
      </c>
      <c r="I1307" s="314" t="s">
        <v>108</v>
      </c>
      <c r="J1307" s="314" t="s">
        <v>109</v>
      </c>
      <c r="K1307" s="314">
        <v>800</v>
      </c>
      <c r="L1307" s="314">
        <v>300</v>
      </c>
      <c r="M1307" s="315">
        <v>45145.0163310185</v>
      </c>
      <c r="N1307" s="314" t="s">
        <v>4486</v>
      </c>
      <c r="O1307" s="314" t="s">
        <v>237</v>
      </c>
      <c r="P1307" s="314" t="s">
        <v>112</v>
      </c>
      <c r="Q1307" s="315">
        <v>45145.0215856481</v>
      </c>
      <c r="R1307" s="315">
        <v>45146.2919444444</v>
      </c>
      <c r="S1307" s="314" t="s">
        <v>4486</v>
      </c>
      <c r="T1307" s="314" t="s">
        <v>4487</v>
      </c>
      <c r="U1307" s="314" t="s">
        <v>4487</v>
      </c>
      <c r="V1307" s="314" t="s">
        <v>114</v>
      </c>
      <c r="W1307" s="314"/>
      <c r="X1307" s="314" t="str">
        <f>VLOOKUP(D1307,代理总表!A:D,3,0)</f>
        <v>aber</v>
      </c>
      <c r="Y1307" t="str">
        <f>VLOOKUP(D:D,代理总表!A:D,4,FALSE)</f>
        <v>SEO</v>
      </c>
      <c r="Z1307">
        <f t="shared" si="60"/>
        <v>1</v>
      </c>
      <c r="AA1307">
        <f t="shared" si="61"/>
        <v>0</v>
      </c>
      <c r="AB1307">
        <f t="shared" si="62"/>
        <v>1</v>
      </c>
    </row>
    <row r="1308" spans="1:28">
      <c r="A1308" s="314" t="s">
        <v>4488</v>
      </c>
      <c r="B1308" s="314"/>
      <c r="C1308" s="314">
        <v>377522204</v>
      </c>
      <c r="D1308" s="314" t="s">
        <v>1317</v>
      </c>
      <c r="E1308" s="314" t="s">
        <v>117</v>
      </c>
      <c r="F1308" s="314" t="s">
        <v>118</v>
      </c>
      <c r="G1308" s="314" t="s">
        <v>108</v>
      </c>
      <c r="H1308" s="314" t="s">
        <v>119</v>
      </c>
      <c r="I1308" s="314" t="s">
        <v>108</v>
      </c>
      <c r="J1308" s="314" t="s">
        <v>120</v>
      </c>
      <c r="K1308" s="314">
        <v>0</v>
      </c>
      <c r="L1308" s="314">
        <v>0</v>
      </c>
      <c r="M1308" s="315">
        <v>45145.0157638889</v>
      </c>
      <c r="N1308" s="314" t="s">
        <v>4489</v>
      </c>
      <c r="O1308" s="314" t="s">
        <v>1319</v>
      </c>
      <c r="P1308" s="314" t="s">
        <v>112</v>
      </c>
      <c r="Q1308" s="314" t="s">
        <v>123</v>
      </c>
      <c r="R1308" s="315">
        <v>45145.3148842593</v>
      </c>
      <c r="S1308" s="314" t="s">
        <v>4490</v>
      </c>
      <c r="T1308" s="314" t="s">
        <v>2127</v>
      </c>
      <c r="U1308" s="314" t="s">
        <v>177</v>
      </c>
      <c r="V1308" s="314" t="s">
        <v>114</v>
      </c>
      <c r="W1308" s="314"/>
      <c r="X1308" s="314" t="str">
        <f>VLOOKUP(D1308,代理总表!A:D,3,0)</f>
        <v>外部代理总线</v>
      </c>
      <c r="Y1308" t="str">
        <f>VLOOKUP(D:D,代理总表!A:D,4,FALSE)</f>
        <v>外部代理总线zh0808</v>
      </c>
      <c r="Z1308">
        <f t="shared" si="60"/>
        <v>0</v>
      </c>
      <c r="AA1308">
        <f t="shared" si="61"/>
        <v>0</v>
      </c>
      <c r="AB1308">
        <f t="shared" si="62"/>
        <v>1</v>
      </c>
    </row>
    <row r="1309" spans="1:28">
      <c r="A1309" s="314" t="s">
        <v>4491</v>
      </c>
      <c r="B1309" s="314"/>
      <c r="C1309" s="314"/>
      <c r="D1309" s="314" t="s">
        <v>143</v>
      </c>
      <c r="E1309" s="314" t="s">
        <v>117</v>
      </c>
      <c r="F1309" s="314" t="s">
        <v>118</v>
      </c>
      <c r="G1309" s="314" t="s">
        <v>108</v>
      </c>
      <c r="H1309" s="314" t="s">
        <v>119</v>
      </c>
      <c r="I1309" s="314" t="s">
        <v>108</v>
      </c>
      <c r="J1309" s="314" t="s">
        <v>120</v>
      </c>
      <c r="K1309" s="314">
        <v>0</v>
      </c>
      <c r="L1309" s="314">
        <v>0</v>
      </c>
      <c r="M1309" s="315">
        <v>45145.0156018519</v>
      </c>
      <c r="N1309" s="314" t="s">
        <v>4492</v>
      </c>
      <c r="O1309" s="314" t="s">
        <v>407</v>
      </c>
      <c r="P1309" s="314" t="s">
        <v>112</v>
      </c>
      <c r="Q1309" s="314" t="s">
        <v>123</v>
      </c>
      <c r="R1309" s="315">
        <v>45145.0247569444</v>
      </c>
      <c r="S1309" s="314" t="s">
        <v>4492</v>
      </c>
      <c r="T1309" s="314" t="s">
        <v>176</v>
      </c>
      <c r="U1309" s="314" t="s">
        <v>176</v>
      </c>
      <c r="V1309" s="314" t="s">
        <v>114</v>
      </c>
      <c r="W1309" s="314"/>
      <c r="X1309" s="314" t="str">
        <f>VLOOKUP(D1309,代理总表!A:D,3,0)</f>
        <v>雨燕直播-越</v>
      </c>
      <c r="Y1309" t="str">
        <f>VLOOKUP(D:D,代理总表!A:D,4,FALSE)</f>
        <v>雨燕直播-越ffvn66</v>
      </c>
      <c r="Z1309">
        <f t="shared" si="60"/>
        <v>0</v>
      </c>
      <c r="AA1309">
        <f t="shared" si="61"/>
        <v>0</v>
      </c>
      <c r="AB1309">
        <f t="shared" si="62"/>
        <v>1</v>
      </c>
    </row>
    <row r="1310" spans="1:28">
      <c r="A1310" s="314" t="s">
        <v>4493</v>
      </c>
      <c r="B1310" s="314"/>
      <c r="C1310" s="314"/>
      <c r="D1310" s="314" t="s">
        <v>1283</v>
      </c>
      <c r="E1310" s="314" t="s">
        <v>104</v>
      </c>
      <c r="F1310" s="314" t="s">
        <v>118</v>
      </c>
      <c r="G1310" s="314" t="s">
        <v>108</v>
      </c>
      <c r="H1310" s="314" t="s">
        <v>119</v>
      </c>
      <c r="I1310" s="314" t="s">
        <v>108</v>
      </c>
      <c r="J1310" s="314" t="s">
        <v>109</v>
      </c>
      <c r="K1310" s="314">
        <v>0</v>
      </c>
      <c r="L1310" s="314">
        <v>0</v>
      </c>
      <c r="M1310" s="315">
        <v>45145.0147916667</v>
      </c>
      <c r="N1310" s="314" t="s">
        <v>4494</v>
      </c>
      <c r="O1310" s="314" t="s">
        <v>4495</v>
      </c>
      <c r="P1310" s="314" t="s">
        <v>112</v>
      </c>
      <c r="Q1310" s="314" t="s">
        <v>123</v>
      </c>
      <c r="R1310" s="315">
        <v>45145.0147916667</v>
      </c>
      <c r="S1310" s="314" t="s">
        <v>4494</v>
      </c>
      <c r="T1310" s="314" t="s">
        <v>4047</v>
      </c>
      <c r="U1310" s="314" t="s">
        <v>4047</v>
      </c>
      <c r="V1310" s="314" t="s">
        <v>114</v>
      </c>
      <c r="W1310" s="314"/>
      <c r="X1310" s="314" t="str">
        <f>VLOOKUP(D1310,代理总表!A:D,3,0)</f>
        <v>GT-B直播</v>
      </c>
      <c r="Y1310" t="str">
        <f>VLOOKUP(D:D,代理总表!A:D,4,FALSE)</f>
        <v>B直播gt6688</v>
      </c>
      <c r="Z1310">
        <f t="shared" si="60"/>
        <v>0</v>
      </c>
      <c r="AA1310">
        <f t="shared" si="61"/>
        <v>0</v>
      </c>
      <c r="AB1310">
        <f t="shared" si="62"/>
        <v>1</v>
      </c>
    </row>
    <row r="1311" spans="1:28">
      <c r="A1311" s="314" t="s">
        <v>4496</v>
      </c>
      <c r="B1311" s="314"/>
      <c r="C1311" s="314"/>
      <c r="D1311" s="314" t="s">
        <v>197</v>
      </c>
      <c r="E1311" s="314" t="s">
        <v>117</v>
      </c>
      <c r="F1311" s="314" t="s">
        <v>118</v>
      </c>
      <c r="G1311" s="314" t="s">
        <v>108</v>
      </c>
      <c r="H1311" s="314" t="s">
        <v>119</v>
      </c>
      <c r="I1311" s="314" t="s">
        <v>108</v>
      </c>
      <c r="J1311" s="314" t="s">
        <v>120</v>
      </c>
      <c r="K1311" s="314">
        <v>0</v>
      </c>
      <c r="L1311" s="314">
        <v>0</v>
      </c>
      <c r="M1311" s="315">
        <v>45145.0140856481</v>
      </c>
      <c r="N1311" s="314" t="s">
        <v>337</v>
      </c>
      <c r="O1311" s="314" t="s">
        <v>4342</v>
      </c>
      <c r="P1311" s="314" t="s">
        <v>339</v>
      </c>
      <c r="Q1311" s="314" t="s">
        <v>123</v>
      </c>
      <c r="R1311" s="315">
        <v>45145.0154513889</v>
      </c>
      <c r="S1311" s="314" t="s">
        <v>4497</v>
      </c>
      <c r="T1311" s="314" t="s">
        <v>340</v>
      </c>
      <c r="U1311" s="314" t="s">
        <v>216</v>
      </c>
      <c r="V1311" s="314" t="s">
        <v>114</v>
      </c>
      <c r="W1311" s="314"/>
      <c r="X1311" s="314" t="str">
        <f>VLOOKUP(D1311,代理总表!A:D,3,0)</f>
        <v>雨燕直播-越</v>
      </c>
      <c r="Y1311" t="str">
        <f>VLOOKUP(D:D,代理总表!A:D,4,FALSE)</f>
        <v>雨燕直播-越ffvn66</v>
      </c>
      <c r="Z1311">
        <f t="shared" si="60"/>
        <v>0</v>
      </c>
      <c r="AA1311">
        <f t="shared" si="61"/>
        <v>0</v>
      </c>
      <c r="AB1311">
        <f t="shared" si="62"/>
        <v>1</v>
      </c>
    </row>
    <row r="1312" spans="1:28">
      <c r="A1312" s="314" t="s">
        <v>4498</v>
      </c>
      <c r="B1312" s="314" t="s">
        <v>4499</v>
      </c>
      <c r="C1312" s="314">
        <v>862842343</v>
      </c>
      <c r="D1312" s="314" t="s">
        <v>137</v>
      </c>
      <c r="E1312" s="314" t="s">
        <v>117</v>
      </c>
      <c r="F1312" s="314" t="s">
        <v>118</v>
      </c>
      <c r="G1312" s="314" t="s">
        <v>108</v>
      </c>
      <c r="H1312" s="314" t="s">
        <v>119</v>
      </c>
      <c r="I1312" s="314" t="s">
        <v>108</v>
      </c>
      <c r="J1312" s="314" t="s">
        <v>120</v>
      </c>
      <c r="K1312" s="314">
        <v>0</v>
      </c>
      <c r="L1312" s="314">
        <v>0</v>
      </c>
      <c r="M1312" s="315">
        <v>45145.0136111111</v>
      </c>
      <c r="N1312" s="314" t="s">
        <v>4500</v>
      </c>
      <c r="O1312" s="314" t="s">
        <v>139</v>
      </c>
      <c r="P1312" s="314" t="s">
        <v>112</v>
      </c>
      <c r="Q1312" s="314" t="s">
        <v>123</v>
      </c>
      <c r="R1312" s="315">
        <v>45145.0136111111</v>
      </c>
      <c r="S1312" s="314" t="s">
        <v>4500</v>
      </c>
      <c r="T1312" s="314" t="s">
        <v>656</v>
      </c>
      <c r="U1312" s="314" t="s">
        <v>656</v>
      </c>
      <c r="V1312" s="314" t="s">
        <v>114</v>
      </c>
      <c r="W1312" s="314"/>
      <c r="X1312" s="314" t="str">
        <f>VLOOKUP(D1312,代理总表!A:D,3,0)</f>
        <v>雨燕直播-越</v>
      </c>
      <c r="Y1312" t="str">
        <f>VLOOKUP(D:D,代理总表!A:D,4,FALSE)</f>
        <v>雨燕直播-越ffvn66</v>
      </c>
      <c r="Z1312">
        <f t="shared" si="60"/>
        <v>0</v>
      </c>
      <c r="AA1312">
        <f t="shared" si="61"/>
        <v>0</v>
      </c>
      <c r="AB1312">
        <f t="shared" si="62"/>
        <v>1</v>
      </c>
    </row>
    <row r="1313" spans="1:28">
      <c r="A1313" s="314" t="s">
        <v>4501</v>
      </c>
      <c r="B1313" s="314"/>
      <c r="C1313" s="314">
        <v>15802771623</v>
      </c>
      <c r="D1313" s="314" t="s">
        <v>148</v>
      </c>
      <c r="E1313" s="314" t="s">
        <v>104</v>
      </c>
      <c r="F1313" s="314" t="s">
        <v>149</v>
      </c>
      <c r="G1313" s="314" t="s">
        <v>108</v>
      </c>
      <c r="H1313" s="314" t="s">
        <v>119</v>
      </c>
      <c r="I1313" s="314" t="s">
        <v>108</v>
      </c>
      <c r="J1313" s="314" t="s">
        <v>109</v>
      </c>
      <c r="K1313" s="314">
        <v>0</v>
      </c>
      <c r="L1313" s="314">
        <v>0</v>
      </c>
      <c r="M1313" s="315">
        <v>45145.0133912037</v>
      </c>
      <c r="N1313" s="314" t="s">
        <v>4502</v>
      </c>
      <c r="O1313" s="314" t="s">
        <v>585</v>
      </c>
      <c r="P1313" s="314" t="s">
        <v>112</v>
      </c>
      <c r="Q1313" s="314" t="s">
        <v>123</v>
      </c>
      <c r="R1313" s="315">
        <v>45145.0133912037</v>
      </c>
      <c r="S1313" s="314" t="s">
        <v>4502</v>
      </c>
      <c r="T1313" s="314" t="s">
        <v>307</v>
      </c>
      <c r="U1313" s="314" t="s">
        <v>307</v>
      </c>
      <c r="V1313" s="314" t="s">
        <v>114</v>
      </c>
      <c r="W1313" s="314"/>
      <c r="X1313" s="314" t="str">
        <f>VLOOKUP(D1313,代理总表!A:D,3,0)</f>
        <v>martin</v>
      </c>
      <c r="Y1313" t="str">
        <f>VLOOKUP(D:D,代理总表!A:D,4,FALSE)</f>
        <v>SEO</v>
      </c>
      <c r="Z1313">
        <f t="shared" si="60"/>
        <v>0</v>
      </c>
      <c r="AA1313">
        <f t="shared" si="61"/>
        <v>0</v>
      </c>
      <c r="AB1313">
        <f t="shared" si="62"/>
        <v>1</v>
      </c>
    </row>
    <row r="1314" spans="1:28">
      <c r="A1314" s="314" t="s">
        <v>4503</v>
      </c>
      <c r="B1314" s="314"/>
      <c r="C1314" s="314"/>
      <c r="D1314" s="314" t="s">
        <v>143</v>
      </c>
      <c r="E1314" s="314" t="s">
        <v>117</v>
      </c>
      <c r="F1314" s="314" t="s">
        <v>118</v>
      </c>
      <c r="G1314" s="314" t="s">
        <v>108</v>
      </c>
      <c r="H1314" s="314" t="s">
        <v>119</v>
      </c>
      <c r="I1314" s="314" t="s">
        <v>108</v>
      </c>
      <c r="J1314" s="314" t="s">
        <v>120</v>
      </c>
      <c r="K1314" s="314">
        <v>0</v>
      </c>
      <c r="L1314" s="314">
        <v>0</v>
      </c>
      <c r="M1314" s="315">
        <v>45145.0129050926</v>
      </c>
      <c r="N1314" s="314" t="s">
        <v>4504</v>
      </c>
      <c r="O1314" s="314" t="s">
        <v>407</v>
      </c>
      <c r="P1314" s="314" t="s">
        <v>112</v>
      </c>
      <c r="Q1314" s="314" t="s">
        <v>123</v>
      </c>
      <c r="R1314" s="315">
        <v>45145.0399305556</v>
      </c>
      <c r="S1314" s="314" t="s">
        <v>4504</v>
      </c>
      <c r="T1314" s="314" t="s">
        <v>140</v>
      </c>
      <c r="U1314" s="314" t="s">
        <v>140</v>
      </c>
      <c r="V1314" s="314" t="s">
        <v>114</v>
      </c>
      <c r="W1314" s="314"/>
      <c r="X1314" s="314" t="str">
        <f>VLOOKUP(D1314,代理总表!A:D,3,0)</f>
        <v>雨燕直播-越</v>
      </c>
      <c r="Y1314" t="str">
        <f>VLOOKUP(D:D,代理总表!A:D,4,FALSE)</f>
        <v>雨燕直播-越ffvn66</v>
      </c>
      <c r="Z1314">
        <f t="shared" si="60"/>
        <v>0</v>
      </c>
      <c r="AA1314">
        <f t="shared" si="61"/>
        <v>0</v>
      </c>
      <c r="AB1314">
        <f t="shared" si="62"/>
        <v>1</v>
      </c>
    </row>
    <row r="1315" spans="1:28">
      <c r="A1315" s="314" t="s">
        <v>4505</v>
      </c>
      <c r="B1315" s="314"/>
      <c r="C1315" s="314"/>
      <c r="D1315" s="314" t="s">
        <v>522</v>
      </c>
      <c r="E1315" s="314" t="s">
        <v>117</v>
      </c>
      <c r="F1315" s="314" t="s">
        <v>118</v>
      </c>
      <c r="G1315" s="314" t="s">
        <v>108</v>
      </c>
      <c r="H1315" s="314" t="s">
        <v>119</v>
      </c>
      <c r="I1315" s="314" t="s">
        <v>108</v>
      </c>
      <c r="J1315" s="314" t="s">
        <v>120</v>
      </c>
      <c r="K1315" s="314">
        <v>0</v>
      </c>
      <c r="L1315" s="314">
        <v>0</v>
      </c>
      <c r="M1315" s="315">
        <v>45145.0127199074</v>
      </c>
      <c r="N1315" s="314" t="s">
        <v>4506</v>
      </c>
      <c r="O1315" s="314" t="s">
        <v>4507</v>
      </c>
      <c r="P1315" s="314" t="s">
        <v>339</v>
      </c>
      <c r="Q1315" s="314" t="s">
        <v>123</v>
      </c>
      <c r="R1315" s="315">
        <v>45145.0127199074</v>
      </c>
      <c r="S1315" s="314" t="s">
        <v>4506</v>
      </c>
      <c r="T1315" s="314" t="s">
        <v>124</v>
      </c>
      <c r="U1315" s="314" t="s">
        <v>124</v>
      </c>
      <c r="V1315" s="314" t="s">
        <v>114</v>
      </c>
      <c r="W1315" s="314"/>
      <c r="X1315" s="314" t="str">
        <f>VLOOKUP(D1315,代理总表!A:D,3,0)</f>
        <v>SOCO越南直播</v>
      </c>
      <c r="Y1315" t="str">
        <f>VLOOKUP(D:D,代理总表!A:D,4,FALSE)</f>
        <v>SOCO越南直播ffvn66</v>
      </c>
      <c r="Z1315">
        <f t="shared" si="60"/>
        <v>0</v>
      </c>
      <c r="AA1315">
        <f t="shared" si="61"/>
        <v>0</v>
      </c>
      <c r="AB1315">
        <f t="shared" si="62"/>
        <v>1</v>
      </c>
    </row>
    <row r="1316" spans="1:28">
      <c r="A1316" s="314" t="s">
        <v>4508</v>
      </c>
      <c r="B1316" s="314"/>
      <c r="C1316" s="314"/>
      <c r="D1316" s="314" t="s">
        <v>1513</v>
      </c>
      <c r="E1316" s="314" t="s">
        <v>104</v>
      </c>
      <c r="F1316" s="314" t="s">
        <v>118</v>
      </c>
      <c r="G1316" s="314" t="s">
        <v>108</v>
      </c>
      <c r="H1316" s="314" t="s">
        <v>119</v>
      </c>
      <c r="I1316" s="314" t="s">
        <v>108</v>
      </c>
      <c r="J1316" s="314" t="s">
        <v>109</v>
      </c>
      <c r="K1316" s="314">
        <v>0</v>
      </c>
      <c r="L1316" s="314">
        <v>0</v>
      </c>
      <c r="M1316" s="315">
        <v>45145.0126736111</v>
      </c>
      <c r="N1316" s="314" t="s">
        <v>4509</v>
      </c>
      <c r="O1316" s="314" t="s">
        <v>1515</v>
      </c>
      <c r="P1316" s="314" t="s">
        <v>112</v>
      </c>
      <c r="Q1316" s="314" t="s">
        <v>123</v>
      </c>
      <c r="R1316" s="315">
        <v>45145.013287037</v>
      </c>
      <c r="S1316" s="314" t="s">
        <v>4509</v>
      </c>
      <c r="T1316" s="314" t="s">
        <v>4510</v>
      </c>
      <c r="U1316" s="314" t="s">
        <v>4510</v>
      </c>
      <c r="V1316" s="314" t="s">
        <v>114</v>
      </c>
      <c r="W1316" s="314"/>
      <c r="X1316" s="314" t="str">
        <f>VLOOKUP(D1316,代理总表!A:D,3,0)</f>
        <v>GT-骨头</v>
      </c>
      <c r="Y1316" t="str">
        <f>VLOOKUP(D:D,代理总表!A:D,4,FALSE)</f>
        <v>GT-骨头gt6677</v>
      </c>
      <c r="Z1316">
        <f t="shared" si="60"/>
        <v>0</v>
      </c>
      <c r="AA1316">
        <f t="shared" si="61"/>
        <v>0</v>
      </c>
      <c r="AB1316">
        <f t="shared" si="62"/>
        <v>1</v>
      </c>
    </row>
    <row r="1317" spans="1:28">
      <c r="A1317" s="314" t="s">
        <v>4511</v>
      </c>
      <c r="B1317" s="314" t="s">
        <v>4512</v>
      </c>
      <c r="C1317" s="314">
        <v>919403858</v>
      </c>
      <c r="D1317" s="314" t="s">
        <v>651</v>
      </c>
      <c r="E1317" s="314" t="s">
        <v>117</v>
      </c>
      <c r="F1317" s="314" t="s">
        <v>144</v>
      </c>
      <c r="G1317" s="314" t="s">
        <v>106</v>
      </c>
      <c r="H1317" s="314" t="s">
        <v>107</v>
      </c>
      <c r="I1317" s="314" t="s">
        <v>108</v>
      </c>
      <c r="J1317" s="314" t="s">
        <v>120</v>
      </c>
      <c r="K1317" s="314">
        <v>1000000</v>
      </c>
      <c r="L1317" s="314">
        <v>0</v>
      </c>
      <c r="M1317" s="315">
        <v>45145.011712963</v>
      </c>
      <c r="N1317" s="314" t="s">
        <v>4513</v>
      </c>
      <c r="O1317" s="314" t="s">
        <v>653</v>
      </c>
      <c r="P1317" s="314" t="s">
        <v>112</v>
      </c>
      <c r="Q1317" s="315">
        <v>45146.3623958333</v>
      </c>
      <c r="R1317" s="315">
        <v>45146.3493634259</v>
      </c>
      <c r="S1317" s="314" t="s">
        <v>4514</v>
      </c>
      <c r="T1317" s="314" t="s">
        <v>124</v>
      </c>
      <c r="U1317" s="314" t="s">
        <v>124</v>
      </c>
      <c r="V1317" s="314" t="s">
        <v>114</v>
      </c>
      <c r="W1317" s="314"/>
      <c r="X1317" s="314" t="str">
        <f>VLOOKUP(D1317,代理总表!A:D,3,0)</f>
        <v>雨燕直播-越</v>
      </c>
      <c r="Y1317" t="str">
        <f>VLOOKUP(D:D,代理总表!A:D,4,FALSE)</f>
        <v>雨燕直播-越ffvn66</v>
      </c>
      <c r="Z1317">
        <f t="shared" si="60"/>
        <v>1</v>
      </c>
      <c r="AA1317">
        <f t="shared" si="61"/>
        <v>0</v>
      </c>
      <c r="AB1317">
        <f t="shared" si="62"/>
        <v>1</v>
      </c>
    </row>
    <row r="1318" spans="1:28">
      <c r="A1318" s="314" t="s">
        <v>4515</v>
      </c>
      <c r="B1318" s="314"/>
      <c r="C1318" s="314"/>
      <c r="D1318" s="314" t="s">
        <v>172</v>
      </c>
      <c r="E1318" s="314" t="s">
        <v>117</v>
      </c>
      <c r="F1318" s="314" t="s">
        <v>118</v>
      </c>
      <c r="G1318" s="314" t="s">
        <v>108</v>
      </c>
      <c r="H1318" s="314" t="s">
        <v>119</v>
      </c>
      <c r="I1318" s="314" t="s">
        <v>108</v>
      </c>
      <c r="J1318" s="314" t="s">
        <v>120</v>
      </c>
      <c r="K1318" s="314">
        <v>0</v>
      </c>
      <c r="L1318" s="314">
        <v>0</v>
      </c>
      <c r="M1318" s="315">
        <v>45145.010775463</v>
      </c>
      <c r="N1318" s="314" t="s">
        <v>4516</v>
      </c>
      <c r="O1318" s="314" t="s">
        <v>1205</v>
      </c>
      <c r="P1318" s="314" t="s">
        <v>339</v>
      </c>
      <c r="Q1318" s="314" t="s">
        <v>123</v>
      </c>
      <c r="R1318" s="315">
        <v>45145.0400578704</v>
      </c>
      <c r="S1318" s="314" t="s">
        <v>4516</v>
      </c>
      <c r="T1318" s="314" t="s">
        <v>124</v>
      </c>
      <c r="U1318" s="314" t="s">
        <v>124</v>
      </c>
      <c r="V1318" s="314" t="s">
        <v>114</v>
      </c>
      <c r="W1318" s="314"/>
      <c r="X1318" s="314" t="str">
        <f>VLOOKUP(D1318,代理总表!A:D,3,0)</f>
        <v>雨燕直播-越</v>
      </c>
      <c r="Y1318" t="str">
        <f>VLOOKUP(D:D,代理总表!A:D,4,FALSE)</f>
        <v>雨燕直播-越ffvn66</v>
      </c>
      <c r="Z1318">
        <f t="shared" si="60"/>
        <v>0</v>
      </c>
      <c r="AA1318">
        <f t="shared" si="61"/>
        <v>0</v>
      </c>
      <c r="AB1318">
        <f t="shared" si="62"/>
        <v>1</v>
      </c>
    </row>
    <row r="1319" spans="1:28">
      <c r="A1319" s="314" t="s">
        <v>4517</v>
      </c>
      <c r="B1319" s="314" t="s">
        <v>4518</v>
      </c>
      <c r="C1319" s="314">
        <v>911548063</v>
      </c>
      <c r="D1319" s="314" t="s">
        <v>137</v>
      </c>
      <c r="E1319" s="314" t="s">
        <v>117</v>
      </c>
      <c r="F1319" s="314" t="s">
        <v>118</v>
      </c>
      <c r="G1319" s="314" t="s">
        <v>108</v>
      </c>
      <c r="H1319" s="314" t="s">
        <v>119</v>
      </c>
      <c r="I1319" s="314" t="s">
        <v>108</v>
      </c>
      <c r="J1319" s="314" t="s">
        <v>120</v>
      </c>
      <c r="K1319" s="314">
        <v>0</v>
      </c>
      <c r="L1319" s="314">
        <v>0</v>
      </c>
      <c r="M1319" s="315">
        <v>45145.0105671296</v>
      </c>
      <c r="N1319" s="314" t="s">
        <v>4519</v>
      </c>
      <c r="O1319" s="314" t="s">
        <v>139</v>
      </c>
      <c r="P1319" s="314" t="s">
        <v>112</v>
      </c>
      <c r="Q1319" s="314" t="s">
        <v>123</v>
      </c>
      <c r="R1319" s="315">
        <v>45145.0178009259</v>
      </c>
      <c r="S1319" s="314" t="s">
        <v>4519</v>
      </c>
      <c r="T1319" s="314" t="s">
        <v>131</v>
      </c>
      <c r="U1319" s="314" t="s">
        <v>131</v>
      </c>
      <c r="V1319" s="314" t="s">
        <v>114</v>
      </c>
      <c r="W1319" s="314"/>
      <c r="X1319" s="314" t="str">
        <f>VLOOKUP(D1319,代理总表!A:D,3,0)</f>
        <v>雨燕直播-越</v>
      </c>
      <c r="Y1319" t="str">
        <f>VLOOKUP(D:D,代理总表!A:D,4,FALSE)</f>
        <v>雨燕直播-越ffvn66</v>
      </c>
      <c r="Z1319">
        <f t="shared" si="60"/>
        <v>0</v>
      </c>
      <c r="AA1319">
        <f t="shared" si="61"/>
        <v>0</v>
      </c>
      <c r="AB1319">
        <f t="shared" si="62"/>
        <v>1</v>
      </c>
    </row>
    <row r="1320" spans="1:28">
      <c r="A1320" s="314" t="s">
        <v>4520</v>
      </c>
      <c r="B1320" s="314"/>
      <c r="C1320" s="314"/>
      <c r="D1320" s="314" t="s">
        <v>172</v>
      </c>
      <c r="E1320" s="314" t="s">
        <v>117</v>
      </c>
      <c r="F1320" s="314" t="s">
        <v>118</v>
      </c>
      <c r="G1320" s="314" t="s">
        <v>108</v>
      </c>
      <c r="H1320" s="314" t="s">
        <v>119</v>
      </c>
      <c r="I1320" s="314" t="s">
        <v>108</v>
      </c>
      <c r="J1320" s="314" t="s">
        <v>120</v>
      </c>
      <c r="K1320" s="314">
        <v>0</v>
      </c>
      <c r="L1320" s="314">
        <v>0</v>
      </c>
      <c r="M1320" s="315">
        <v>45145.0103356481</v>
      </c>
      <c r="N1320" s="314" t="s">
        <v>4521</v>
      </c>
      <c r="O1320" s="314" t="s">
        <v>881</v>
      </c>
      <c r="P1320" s="314" t="s">
        <v>112</v>
      </c>
      <c r="Q1320" s="314" t="s">
        <v>123</v>
      </c>
      <c r="R1320" s="315">
        <v>45145.0162268519</v>
      </c>
      <c r="S1320" s="314" t="s">
        <v>4521</v>
      </c>
      <c r="T1320" s="314" t="s">
        <v>655</v>
      </c>
      <c r="U1320" s="314" t="s">
        <v>655</v>
      </c>
      <c r="V1320" s="314" t="s">
        <v>114</v>
      </c>
      <c r="W1320" s="314"/>
      <c r="X1320" s="314" t="str">
        <f>VLOOKUP(D1320,代理总表!A:D,3,0)</f>
        <v>雨燕直播-越</v>
      </c>
      <c r="Y1320" t="str">
        <f>VLOOKUP(D:D,代理总表!A:D,4,FALSE)</f>
        <v>雨燕直播-越ffvn66</v>
      </c>
      <c r="Z1320">
        <f t="shared" si="60"/>
        <v>0</v>
      </c>
      <c r="AA1320">
        <f t="shared" si="61"/>
        <v>0</v>
      </c>
      <c r="AB1320">
        <f t="shared" si="62"/>
        <v>1</v>
      </c>
    </row>
    <row r="1321" spans="1:28">
      <c r="A1321" s="314" t="s">
        <v>4522</v>
      </c>
      <c r="B1321" s="314" t="s">
        <v>4523</v>
      </c>
      <c r="C1321" s="314">
        <v>326693919</v>
      </c>
      <c r="D1321" s="314" t="s">
        <v>143</v>
      </c>
      <c r="E1321" s="314" t="s">
        <v>117</v>
      </c>
      <c r="F1321" s="314" t="s">
        <v>144</v>
      </c>
      <c r="G1321" s="314" t="s">
        <v>106</v>
      </c>
      <c r="H1321" s="314" t="s">
        <v>107</v>
      </c>
      <c r="I1321" s="314" t="s">
        <v>108</v>
      </c>
      <c r="J1321" s="314" t="s">
        <v>120</v>
      </c>
      <c r="K1321" s="314">
        <v>500000</v>
      </c>
      <c r="L1321" s="314">
        <v>0</v>
      </c>
      <c r="M1321" s="315">
        <v>45145.0098958333</v>
      </c>
      <c r="N1321" s="314" t="s">
        <v>4524</v>
      </c>
      <c r="O1321" s="314" t="s">
        <v>407</v>
      </c>
      <c r="P1321" s="314" t="s">
        <v>112</v>
      </c>
      <c r="Q1321" s="315">
        <v>45146.3298726852</v>
      </c>
      <c r="R1321" s="315">
        <v>45146.3446296296</v>
      </c>
      <c r="S1321" s="314" t="s">
        <v>4525</v>
      </c>
      <c r="T1321" s="314" t="s">
        <v>124</v>
      </c>
      <c r="U1321" s="314" t="s">
        <v>131</v>
      </c>
      <c r="V1321" s="314" t="s">
        <v>114</v>
      </c>
      <c r="W1321" s="314"/>
      <c r="X1321" s="314" t="str">
        <f>VLOOKUP(D1321,代理总表!A:D,3,0)</f>
        <v>雨燕直播-越</v>
      </c>
      <c r="Y1321" t="str">
        <f>VLOOKUP(D:D,代理总表!A:D,4,FALSE)</f>
        <v>雨燕直播-越ffvn66</v>
      </c>
      <c r="Z1321">
        <f t="shared" si="60"/>
        <v>1</v>
      </c>
      <c r="AA1321">
        <f t="shared" si="61"/>
        <v>0</v>
      </c>
      <c r="AB1321">
        <f t="shared" si="62"/>
        <v>1</v>
      </c>
    </row>
    <row r="1322" spans="1:28">
      <c r="A1322" s="314" t="s">
        <v>4526</v>
      </c>
      <c r="B1322" s="314" t="s">
        <v>4527</v>
      </c>
      <c r="C1322" s="314">
        <v>979960512</v>
      </c>
      <c r="D1322" s="314" t="s">
        <v>651</v>
      </c>
      <c r="E1322" s="314" t="s">
        <v>117</v>
      </c>
      <c r="F1322" s="314" t="s">
        <v>118</v>
      </c>
      <c r="G1322" s="314" t="s">
        <v>108</v>
      </c>
      <c r="H1322" s="314" t="s">
        <v>119</v>
      </c>
      <c r="I1322" s="314" t="s">
        <v>108</v>
      </c>
      <c r="J1322" s="314" t="s">
        <v>120</v>
      </c>
      <c r="K1322" s="314">
        <v>0</v>
      </c>
      <c r="L1322" s="314">
        <v>0</v>
      </c>
      <c r="M1322" s="315">
        <v>45145.0092592593</v>
      </c>
      <c r="N1322" s="314" t="s">
        <v>4528</v>
      </c>
      <c r="O1322" s="314" t="s">
        <v>653</v>
      </c>
      <c r="P1322" s="314" t="s">
        <v>112</v>
      </c>
      <c r="Q1322" s="314" t="s">
        <v>123</v>
      </c>
      <c r="R1322" s="315">
        <v>45145.0180787037</v>
      </c>
      <c r="S1322" s="314" t="s">
        <v>4528</v>
      </c>
      <c r="T1322" s="314" t="s">
        <v>131</v>
      </c>
      <c r="U1322" s="314" t="s">
        <v>131</v>
      </c>
      <c r="V1322" s="314" t="s">
        <v>114</v>
      </c>
      <c r="W1322" s="314"/>
      <c r="X1322" s="314" t="str">
        <f>VLOOKUP(D1322,代理总表!A:D,3,0)</f>
        <v>雨燕直播-越</v>
      </c>
      <c r="Y1322" t="str">
        <f>VLOOKUP(D:D,代理总表!A:D,4,FALSE)</f>
        <v>雨燕直播-越ffvn66</v>
      </c>
      <c r="Z1322">
        <f t="shared" si="60"/>
        <v>0</v>
      </c>
      <c r="AA1322">
        <f t="shared" si="61"/>
        <v>0</v>
      </c>
      <c r="AB1322">
        <f t="shared" si="62"/>
        <v>1</v>
      </c>
    </row>
    <row r="1323" spans="1:28">
      <c r="A1323" s="314" t="s">
        <v>4529</v>
      </c>
      <c r="B1323" s="314"/>
      <c r="C1323" s="314"/>
      <c r="D1323" s="314" t="s">
        <v>116</v>
      </c>
      <c r="E1323" s="314" t="s">
        <v>104</v>
      </c>
      <c r="F1323" s="314" t="s">
        <v>118</v>
      </c>
      <c r="G1323" s="314" t="s">
        <v>108</v>
      </c>
      <c r="H1323" s="314" t="s">
        <v>119</v>
      </c>
      <c r="I1323" s="314" t="s">
        <v>108</v>
      </c>
      <c r="J1323" s="314" t="s">
        <v>109</v>
      </c>
      <c r="K1323" s="314">
        <v>0</v>
      </c>
      <c r="L1323" s="314">
        <v>0</v>
      </c>
      <c r="M1323" s="315">
        <v>45145.0086805556</v>
      </c>
      <c r="N1323" s="314" t="s">
        <v>4530</v>
      </c>
      <c r="O1323" s="314" t="s">
        <v>122</v>
      </c>
      <c r="P1323" s="314" t="s">
        <v>112</v>
      </c>
      <c r="Q1323" s="314" t="s">
        <v>123</v>
      </c>
      <c r="R1323" s="315">
        <v>45145.0094907407</v>
      </c>
      <c r="S1323" s="314" t="s">
        <v>4530</v>
      </c>
      <c r="T1323" s="314" t="s">
        <v>4531</v>
      </c>
      <c r="U1323" s="314" t="s">
        <v>4531</v>
      </c>
      <c r="V1323" s="314" t="s">
        <v>114</v>
      </c>
      <c r="W1323" s="314"/>
      <c r="X1323" s="314" t="str">
        <f>VLOOKUP(D1323,代理总表!A:D,3,0)</f>
        <v>外部代理总线</v>
      </c>
      <c r="Y1323" t="str">
        <f>VLOOKUP(D:D,代理总表!A:D,4,FALSE)</f>
        <v>外部代理总线zh0808</v>
      </c>
      <c r="Z1323">
        <f t="shared" si="60"/>
        <v>0</v>
      </c>
      <c r="AA1323">
        <f t="shared" si="61"/>
        <v>0</v>
      </c>
      <c r="AB1323">
        <f t="shared" si="62"/>
        <v>1</v>
      </c>
    </row>
    <row r="1324" spans="1:28">
      <c r="A1324" s="314" t="s">
        <v>4532</v>
      </c>
      <c r="B1324" s="314" t="s">
        <v>4533</v>
      </c>
      <c r="C1324" s="314">
        <v>14745274413</v>
      </c>
      <c r="D1324" s="314" t="s">
        <v>805</v>
      </c>
      <c r="E1324" s="314" t="s">
        <v>104</v>
      </c>
      <c r="F1324" s="314" t="s">
        <v>144</v>
      </c>
      <c r="G1324" s="314" t="s">
        <v>106</v>
      </c>
      <c r="H1324" s="314" t="s">
        <v>107</v>
      </c>
      <c r="I1324" s="314" t="s">
        <v>108</v>
      </c>
      <c r="J1324" s="314" t="s">
        <v>109</v>
      </c>
      <c r="K1324" s="314">
        <v>300</v>
      </c>
      <c r="L1324" s="314">
        <v>0</v>
      </c>
      <c r="M1324" s="315">
        <v>45145.008587963</v>
      </c>
      <c r="N1324" s="314" t="s">
        <v>4534</v>
      </c>
      <c r="O1324" s="314" t="s">
        <v>1222</v>
      </c>
      <c r="P1324" s="314" t="s">
        <v>339</v>
      </c>
      <c r="Q1324" s="315">
        <v>45145.0352199074</v>
      </c>
      <c r="R1324" s="315">
        <v>45145.6747685185</v>
      </c>
      <c r="S1324" s="314" t="s">
        <v>4534</v>
      </c>
      <c r="T1324" s="314" t="s">
        <v>477</v>
      </c>
      <c r="U1324" s="314" t="s">
        <v>477</v>
      </c>
      <c r="V1324" s="314" t="s">
        <v>114</v>
      </c>
      <c r="W1324" s="314"/>
      <c r="X1324" s="314" t="str">
        <f>VLOOKUP(D1324,代理总表!A:D,3,0)</f>
        <v>飞哥雨燕直播</v>
      </c>
      <c r="Y1324" t="str">
        <f>VLOOKUP(D:D,代理总表!A:D,4,FALSE)</f>
        <v>飞哥雨燕直播ffmk88</v>
      </c>
      <c r="Z1324">
        <f t="shared" si="60"/>
        <v>1</v>
      </c>
      <c r="AA1324">
        <f t="shared" si="61"/>
        <v>0</v>
      </c>
      <c r="AB1324">
        <f t="shared" si="62"/>
        <v>1</v>
      </c>
    </row>
    <row r="1325" spans="1:28">
      <c r="A1325" s="314" t="s">
        <v>4535</v>
      </c>
      <c r="B1325" s="314" t="s">
        <v>4536</v>
      </c>
      <c r="C1325" s="314">
        <v>13660658615</v>
      </c>
      <c r="D1325" s="314" t="s">
        <v>148</v>
      </c>
      <c r="E1325" s="314" t="s">
        <v>104</v>
      </c>
      <c r="F1325" s="314" t="s">
        <v>181</v>
      </c>
      <c r="G1325" s="314" t="s">
        <v>106</v>
      </c>
      <c r="H1325" s="314" t="s">
        <v>107</v>
      </c>
      <c r="I1325" s="314" t="s">
        <v>108</v>
      </c>
      <c r="J1325" s="314" t="s">
        <v>109</v>
      </c>
      <c r="K1325" s="314">
        <v>112.45</v>
      </c>
      <c r="L1325" s="314">
        <v>200</v>
      </c>
      <c r="M1325" s="315">
        <v>45145.0079282407</v>
      </c>
      <c r="N1325" s="314" t="s">
        <v>4537</v>
      </c>
      <c r="O1325" s="314" t="s">
        <v>160</v>
      </c>
      <c r="P1325" s="314" t="s">
        <v>161</v>
      </c>
      <c r="Q1325" s="315">
        <v>45145.0302546296</v>
      </c>
      <c r="R1325" s="315">
        <v>45146.1719097222</v>
      </c>
      <c r="S1325" s="314" t="s">
        <v>4537</v>
      </c>
      <c r="T1325" s="314" t="s">
        <v>790</v>
      </c>
      <c r="U1325" s="314" t="s">
        <v>790</v>
      </c>
      <c r="V1325" s="314" t="s">
        <v>114</v>
      </c>
      <c r="W1325" s="314"/>
      <c r="X1325" s="314" t="str">
        <f>VLOOKUP(D1325,代理总表!A:D,3,0)</f>
        <v>martin</v>
      </c>
      <c r="Y1325" t="str">
        <f>VLOOKUP(D:D,代理总表!A:D,4,FALSE)</f>
        <v>SEO</v>
      </c>
      <c r="Z1325">
        <f t="shared" si="60"/>
        <v>1</v>
      </c>
      <c r="AA1325">
        <f t="shared" si="61"/>
        <v>0</v>
      </c>
      <c r="AB1325">
        <f t="shared" si="62"/>
        <v>1</v>
      </c>
    </row>
    <row r="1326" spans="1:28">
      <c r="A1326" s="314" t="s">
        <v>4538</v>
      </c>
      <c r="B1326" s="314"/>
      <c r="C1326" s="314">
        <v>13586117238</v>
      </c>
      <c r="D1326" s="314" t="s">
        <v>276</v>
      </c>
      <c r="E1326" s="314" t="s">
        <v>104</v>
      </c>
      <c r="F1326" s="314" t="s">
        <v>118</v>
      </c>
      <c r="G1326" s="314" t="s">
        <v>108</v>
      </c>
      <c r="H1326" s="314" t="s">
        <v>119</v>
      </c>
      <c r="I1326" s="314" t="s">
        <v>108</v>
      </c>
      <c r="J1326" s="314" t="s">
        <v>109</v>
      </c>
      <c r="K1326" s="314">
        <v>0</v>
      </c>
      <c r="L1326" s="314">
        <v>0</v>
      </c>
      <c r="M1326" s="315">
        <v>45145.0078356481</v>
      </c>
      <c r="N1326" s="314" t="s">
        <v>4539</v>
      </c>
      <c r="O1326" s="314" t="s">
        <v>4540</v>
      </c>
      <c r="P1326" s="314" t="s">
        <v>112</v>
      </c>
      <c r="Q1326" s="314" t="s">
        <v>123</v>
      </c>
      <c r="R1326" s="315">
        <v>45145.0094907407</v>
      </c>
      <c r="S1326" s="314" t="s">
        <v>4539</v>
      </c>
      <c r="T1326" s="314" t="s">
        <v>4541</v>
      </c>
      <c r="U1326" s="314" t="s">
        <v>4541</v>
      </c>
      <c r="V1326" s="314" t="s">
        <v>114</v>
      </c>
      <c r="W1326" s="314"/>
      <c r="X1326" s="314" t="str">
        <f>VLOOKUP(D1326,代理总表!A:D,3,0)</f>
        <v>飞哥雨燕直播</v>
      </c>
      <c r="Y1326" t="str">
        <f>VLOOKUP(D:D,代理总表!A:D,4,FALSE)</f>
        <v>飞哥雨燕直播ffmk88</v>
      </c>
      <c r="Z1326">
        <f t="shared" si="60"/>
        <v>0</v>
      </c>
      <c r="AA1326">
        <f t="shared" si="61"/>
        <v>0</v>
      </c>
      <c r="AB1326">
        <f t="shared" si="62"/>
        <v>1</v>
      </c>
    </row>
    <row r="1327" spans="1:28">
      <c r="A1327" s="314" t="s">
        <v>4542</v>
      </c>
      <c r="B1327" s="314"/>
      <c r="C1327" s="314"/>
      <c r="D1327" s="314" t="s">
        <v>197</v>
      </c>
      <c r="E1327" s="314" t="s">
        <v>117</v>
      </c>
      <c r="F1327" s="314" t="s">
        <v>118</v>
      </c>
      <c r="G1327" s="314" t="s">
        <v>108</v>
      </c>
      <c r="H1327" s="314" t="s">
        <v>119</v>
      </c>
      <c r="I1327" s="314" t="s">
        <v>108</v>
      </c>
      <c r="J1327" s="314" t="s">
        <v>120</v>
      </c>
      <c r="K1327" s="314">
        <v>0</v>
      </c>
      <c r="L1327" s="314">
        <v>0</v>
      </c>
      <c r="M1327" s="315">
        <v>45145.0077083333</v>
      </c>
      <c r="N1327" s="314" t="s">
        <v>4504</v>
      </c>
      <c r="O1327" s="314" t="s">
        <v>875</v>
      </c>
      <c r="P1327" s="314" t="s">
        <v>112</v>
      </c>
      <c r="Q1327" s="314" t="s">
        <v>123</v>
      </c>
      <c r="R1327" s="315">
        <v>45145.0077083333</v>
      </c>
      <c r="S1327" s="314" t="s">
        <v>4504</v>
      </c>
      <c r="T1327" s="314" t="s">
        <v>140</v>
      </c>
      <c r="U1327" s="314" t="s">
        <v>140</v>
      </c>
      <c r="V1327" s="314" t="s">
        <v>114</v>
      </c>
      <c r="W1327" s="314"/>
      <c r="X1327" s="314" t="str">
        <f>VLOOKUP(D1327,代理总表!A:D,3,0)</f>
        <v>雨燕直播-越</v>
      </c>
      <c r="Y1327" t="str">
        <f>VLOOKUP(D:D,代理总表!A:D,4,FALSE)</f>
        <v>雨燕直播-越ffvn66</v>
      </c>
      <c r="Z1327">
        <f t="shared" si="60"/>
        <v>0</v>
      </c>
      <c r="AA1327">
        <f t="shared" si="61"/>
        <v>0</v>
      </c>
      <c r="AB1327">
        <f t="shared" si="62"/>
        <v>1</v>
      </c>
    </row>
    <row r="1328" spans="1:28">
      <c r="A1328" s="314" t="s">
        <v>4543</v>
      </c>
      <c r="B1328" s="314"/>
      <c r="C1328" s="314"/>
      <c r="D1328" s="314" t="s">
        <v>651</v>
      </c>
      <c r="E1328" s="314" t="s">
        <v>117</v>
      </c>
      <c r="F1328" s="314" t="s">
        <v>118</v>
      </c>
      <c r="G1328" s="314" t="s">
        <v>108</v>
      </c>
      <c r="H1328" s="314" t="s">
        <v>119</v>
      </c>
      <c r="I1328" s="314" t="s">
        <v>108</v>
      </c>
      <c r="J1328" s="314" t="s">
        <v>120</v>
      </c>
      <c r="K1328" s="314">
        <v>0</v>
      </c>
      <c r="L1328" s="314">
        <v>0</v>
      </c>
      <c r="M1328" s="315">
        <v>45145.0076851852</v>
      </c>
      <c r="N1328" s="314" t="s">
        <v>4544</v>
      </c>
      <c r="O1328" s="314" t="s">
        <v>653</v>
      </c>
      <c r="P1328" s="314" t="s">
        <v>112</v>
      </c>
      <c r="Q1328" s="314" t="s">
        <v>123</v>
      </c>
      <c r="R1328" s="315">
        <v>45145.0076736111</v>
      </c>
      <c r="S1328" s="314" t="s">
        <v>4544</v>
      </c>
      <c r="T1328" s="314" t="s">
        <v>140</v>
      </c>
      <c r="U1328" s="314" t="s">
        <v>140</v>
      </c>
      <c r="V1328" s="314" t="s">
        <v>114</v>
      </c>
      <c r="W1328" s="314"/>
      <c r="X1328" s="314" t="str">
        <f>VLOOKUP(D1328,代理总表!A:D,3,0)</f>
        <v>雨燕直播-越</v>
      </c>
      <c r="Y1328" t="str">
        <f>VLOOKUP(D:D,代理总表!A:D,4,FALSE)</f>
        <v>雨燕直播-越ffvn66</v>
      </c>
      <c r="Z1328">
        <f t="shared" si="60"/>
        <v>0</v>
      </c>
      <c r="AA1328">
        <f t="shared" si="61"/>
        <v>0</v>
      </c>
      <c r="AB1328">
        <f t="shared" si="62"/>
        <v>1</v>
      </c>
    </row>
    <row r="1329" spans="1:28">
      <c r="A1329" s="314" t="s">
        <v>4545</v>
      </c>
      <c r="B1329" s="314"/>
      <c r="C1329" s="314">
        <v>386450072</v>
      </c>
      <c r="D1329" s="314" t="s">
        <v>116</v>
      </c>
      <c r="E1329" s="314" t="s">
        <v>117</v>
      </c>
      <c r="F1329" s="314" t="s">
        <v>118</v>
      </c>
      <c r="G1329" s="314" t="s">
        <v>108</v>
      </c>
      <c r="H1329" s="314" t="s">
        <v>119</v>
      </c>
      <c r="I1329" s="314" t="s">
        <v>108</v>
      </c>
      <c r="J1329" s="314" t="s">
        <v>120</v>
      </c>
      <c r="K1329" s="314">
        <v>0</v>
      </c>
      <c r="L1329" s="314">
        <v>0</v>
      </c>
      <c r="M1329" s="315">
        <v>45145.0075578704</v>
      </c>
      <c r="N1329" s="314" t="s">
        <v>4546</v>
      </c>
      <c r="O1329" s="314" t="s">
        <v>122</v>
      </c>
      <c r="P1329" s="314" t="s">
        <v>112</v>
      </c>
      <c r="Q1329" s="314" t="s">
        <v>123</v>
      </c>
      <c r="R1329" s="315">
        <v>45145.007974537</v>
      </c>
      <c r="S1329" s="314" t="s">
        <v>4546</v>
      </c>
      <c r="T1329" s="314" t="s">
        <v>124</v>
      </c>
      <c r="U1329" s="314" t="s">
        <v>124</v>
      </c>
      <c r="V1329" s="314" t="s">
        <v>114</v>
      </c>
      <c r="W1329" s="314"/>
      <c r="X1329" s="314" t="str">
        <f>VLOOKUP(D1329,代理总表!A:D,3,0)</f>
        <v>外部代理总线</v>
      </c>
      <c r="Y1329" t="str">
        <f>VLOOKUP(D:D,代理总表!A:D,4,FALSE)</f>
        <v>外部代理总线zh0808</v>
      </c>
      <c r="Z1329">
        <f t="shared" si="60"/>
        <v>0</v>
      </c>
      <c r="AA1329">
        <f t="shared" si="61"/>
        <v>0</v>
      </c>
      <c r="AB1329">
        <f t="shared" si="62"/>
        <v>1</v>
      </c>
    </row>
    <row r="1330" spans="1:28">
      <c r="A1330" s="314" t="s">
        <v>4547</v>
      </c>
      <c r="B1330" s="314"/>
      <c r="C1330" s="314"/>
      <c r="D1330" s="314" t="s">
        <v>197</v>
      </c>
      <c r="E1330" s="314" t="s">
        <v>117</v>
      </c>
      <c r="F1330" s="314" t="s">
        <v>118</v>
      </c>
      <c r="G1330" s="314" t="s">
        <v>108</v>
      </c>
      <c r="H1330" s="314" t="s">
        <v>119</v>
      </c>
      <c r="I1330" s="314" t="s">
        <v>108</v>
      </c>
      <c r="J1330" s="314" t="s">
        <v>120</v>
      </c>
      <c r="K1330" s="314">
        <v>0</v>
      </c>
      <c r="L1330" s="314">
        <v>0</v>
      </c>
      <c r="M1330" s="315">
        <v>45145.0068287037</v>
      </c>
      <c r="N1330" s="314" t="s">
        <v>4548</v>
      </c>
      <c r="O1330" s="314" t="s">
        <v>617</v>
      </c>
      <c r="P1330" s="314" t="s">
        <v>339</v>
      </c>
      <c r="Q1330" s="314" t="s">
        <v>123</v>
      </c>
      <c r="R1330" s="315">
        <v>45145.0070833333</v>
      </c>
      <c r="S1330" s="314" t="s">
        <v>4548</v>
      </c>
      <c r="T1330" s="314" t="s">
        <v>131</v>
      </c>
      <c r="U1330" s="314" t="s">
        <v>131</v>
      </c>
      <c r="V1330" s="314" t="s">
        <v>114</v>
      </c>
      <c r="W1330" s="314"/>
      <c r="X1330" s="314" t="str">
        <f>VLOOKUP(D1330,代理总表!A:D,3,0)</f>
        <v>雨燕直播-越</v>
      </c>
      <c r="Y1330" t="str">
        <f>VLOOKUP(D:D,代理总表!A:D,4,FALSE)</f>
        <v>雨燕直播-越ffvn66</v>
      </c>
      <c r="Z1330">
        <f t="shared" si="60"/>
        <v>0</v>
      </c>
      <c r="AA1330">
        <f t="shared" si="61"/>
        <v>0</v>
      </c>
      <c r="AB1330">
        <f t="shared" si="62"/>
        <v>1</v>
      </c>
    </row>
    <row r="1331" spans="1:28">
      <c r="A1331" s="314" t="s">
        <v>4549</v>
      </c>
      <c r="B1331" s="314" t="s">
        <v>4550</v>
      </c>
      <c r="C1331" s="314">
        <v>905932673</v>
      </c>
      <c r="D1331" s="314" t="s">
        <v>197</v>
      </c>
      <c r="E1331" s="314" t="s">
        <v>117</v>
      </c>
      <c r="F1331" s="314" t="s">
        <v>144</v>
      </c>
      <c r="G1331" s="314" t="s">
        <v>106</v>
      </c>
      <c r="H1331" s="314" t="s">
        <v>107</v>
      </c>
      <c r="I1331" s="314" t="s">
        <v>108</v>
      </c>
      <c r="J1331" s="314" t="s">
        <v>120</v>
      </c>
      <c r="K1331" s="314">
        <v>200000</v>
      </c>
      <c r="L1331" s="314">
        <v>100000</v>
      </c>
      <c r="M1331" s="315">
        <v>45145.0064583333</v>
      </c>
      <c r="N1331" s="314" t="s">
        <v>4551</v>
      </c>
      <c r="O1331" s="314" t="s">
        <v>875</v>
      </c>
      <c r="P1331" s="314" t="s">
        <v>112</v>
      </c>
      <c r="Q1331" s="315">
        <v>45145.0481712963</v>
      </c>
      <c r="R1331" s="315">
        <v>45146.0403356481</v>
      </c>
      <c r="S1331" s="314" t="s">
        <v>4551</v>
      </c>
      <c r="T1331" s="314" t="s">
        <v>131</v>
      </c>
      <c r="U1331" s="314" t="s">
        <v>131</v>
      </c>
      <c r="V1331" s="314" t="s">
        <v>114</v>
      </c>
      <c r="W1331" s="314"/>
      <c r="X1331" s="314" t="str">
        <f>VLOOKUP(D1331,代理总表!A:D,3,0)</f>
        <v>雨燕直播-越</v>
      </c>
      <c r="Y1331" t="str">
        <f>VLOOKUP(D:D,代理总表!A:D,4,FALSE)</f>
        <v>雨燕直播-越ffvn66</v>
      </c>
      <c r="Z1331">
        <f t="shared" si="60"/>
        <v>1</v>
      </c>
      <c r="AA1331">
        <f t="shared" si="61"/>
        <v>0</v>
      </c>
      <c r="AB1331">
        <f t="shared" si="62"/>
        <v>1</v>
      </c>
    </row>
    <row r="1332" spans="1:28">
      <c r="A1332" s="314" t="s">
        <v>4552</v>
      </c>
      <c r="B1332" s="314"/>
      <c r="C1332" s="314">
        <v>963995501</v>
      </c>
      <c r="D1332" s="314" t="s">
        <v>137</v>
      </c>
      <c r="E1332" s="314" t="s">
        <v>117</v>
      </c>
      <c r="F1332" s="314" t="s">
        <v>118</v>
      </c>
      <c r="G1332" s="314" t="s">
        <v>108</v>
      </c>
      <c r="H1332" s="314" t="s">
        <v>119</v>
      </c>
      <c r="I1332" s="314" t="s">
        <v>108</v>
      </c>
      <c r="J1332" s="314" t="s">
        <v>120</v>
      </c>
      <c r="K1332" s="314">
        <v>0</v>
      </c>
      <c r="L1332" s="314">
        <v>0</v>
      </c>
      <c r="M1332" s="315">
        <v>45145.0055208333</v>
      </c>
      <c r="N1332" s="314" t="s">
        <v>4553</v>
      </c>
      <c r="O1332" s="314" t="s">
        <v>139</v>
      </c>
      <c r="P1332" s="314" t="s">
        <v>112</v>
      </c>
      <c r="Q1332" s="314" t="s">
        <v>123</v>
      </c>
      <c r="R1332" s="315">
        <v>45145.0068981481</v>
      </c>
      <c r="S1332" s="314" t="s">
        <v>4553</v>
      </c>
      <c r="T1332" s="314" t="s">
        <v>2127</v>
      </c>
      <c r="U1332" s="314" t="s">
        <v>2127</v>
      </c>
      <c r="V1332" s="314" t="s">
        <v>114</v>
      </c>
      <c r="W1332" s="314"/>
      <c r="X1332" s="314" t="str">
        <f>VLOOKUP(D1332,代理总表!A:D,3,0)</f>
        <v>雨燕直播-越</v>
      </c>
      <c r="Y1332" t="str">
        <f>VLOOKUP(D:D,代理总表!A:D,4,FALSE)</f>
        <v>雨燕直播-越ffvn66</v>
      </c>
      <c r="Z1332">
        <f t="shared" si="60"/>
        <v>0</v>
      </c>
      <c r="AA1332">
        <f t="shared" si="61"/>
        <v>0</v>
      </c>
      <c r="AB1332">
        <f t="shared" si="62"/>
        <v>1</v>
      </c>
    </row>
    <row r="1333" spans="1:28">
      <c r="A1333" s="314" t="s">
        <v>4554</v>
      </c>
      <c r="B1333" s="314" t="s">
        <v>4555</v>
      </c>
      <c r="C1333" s="314">
        <v>345444448</v>
      </c>
      <c r="D1333" s="314" t="s">
        <v>1021</v>
      </c>
      <c r="E1333" s="314" t="s">
        <v>117</v>
      </c>
      <c r="F1333" s="314" t="s">
        <v>144</v>
      </c>
      <c r="G1333" s="314" t="s">
        <v>106</v>
      </c>
      <c r="H1333" s="314" t="s">
        <v>107</v>
      </c>
      <c r="I1333" s="314" t="s">
        <v>108</v>
      </c>
      <c r="J1333" s="314" t="s">
        <v>120</v>
      </c>
      <c r="K1333" s="314">
        <v>303000</v>
      </c>
      <c r="L1333" s="314">
        <v>300000</v>
      </c>
      <c r="M1333" s="315">
        <v>45145.0054513889</v>
      </c>
      <c r="N1333" s="314" t="s">
        <v>4556</v>
      </c>
      <c r="O1333" s="314" t="s">
        <v>2301</v>
      </c>
      <c r="P1333" s="314" t="s">
        <v>112</v>
      </c>
      <c r="Q1333" s="315">
        <v>45145.0136921296</v>
      </c>
      <c r="R1333" s="315">
        <v>45145.8238078704</v>
      </c>
      <c r="S1333" s="314" t="s">
        <v>4557</v>
      </c>
      <c r="T1333" s="314" t="s">
        <v>216</v>
      </c>
      <c r="U1333" s="314" t="s">
        <v>128</v>
      </c>
      <c r="V1333" s="314" t="s">
        <v>114</v>
      </c>
      <c r="W1333" s="314"/>
      <c r="X1333" s="314" t="str">
        <f>VLOOKUP(D1333,代理总表!A:D,3,0)</f>
        <v>SOCO越南直播</v>
      </c>
      <c r="Y1333" t="str">
        <f>VLOOKUP(D:D,代理总表!A:D,4,FALSE)</f>
        <v>SOCO越南直播ffvn66</v>
      </c>
      <c r="Z1333">
        <f t="shared" si="60"/>
        <v>1</v>
      </c>
      <c r="AA1333">
        <f t="shared" si="61"/>
        <v>0</v>
      </c>
      <c r="AB1333">
        <f t="shared" si="62"/>
        <v>1</v>
      </c>
    </row>
    <row r="1334" spans="1:28">
      <c r="A1334" s="314" t="s">
        <v>4558</v>
      </c>
      <c r="B1334" s="314" t="s">
        <v>4559</v>
      </c>
      <c r="C1334" s="314">
        <v>828037834</v>
      </c>
      <c r="D1334" s="314" t="s">
        <v>651</v>
      </c>
      <c r="E1334" s="314" t="s">
        <v>117</v>
      </c>
      <c r="F1334" s="314" t="s">
        <v>105</v>
      </c>
      <c r="G1334" s="314" t="s">
        <v>106</v>
      </c>
      <c r="H1334" s="314" t="s">
        <v>107</v>
      </c>
      <c r="I1334" s="314" t="s">
        <v>108</v>
      </c>
      <c r="J1334" s="314" t="s">
        <v>120</v>
      </c>
      <c r="K1334" s="314">
        <v>200780</v>
      </c>
      <c r="L1334" s="314">
        <v>1000000</v>
      </c>
      <c r="M1334" s="315">
        <v>45145.0053356482</v>
      </c>
      <c r="N1334" s="314" t="s">
        <v>4560</v>
      </c>
      <c r="O1334" s="314" t="s">
        <v>653</v>
      </c>
      <c r="P1334" s="314" t="s">
        <v>112</v>
      </c>
      <c r="Q1334" s="315">
        <v>45145.0295717593</v>
      </c>
      <c r="R1334" s="315">
        <v>45145.9729513889</v>
      </c>
      <c r="S1334" s="314" t="s">
        <v>4560</v>
      </c>
      <c r="T1334" s="314" t="s">
        <v>131</v>
      </c>
      <c r="U1334" s="314" t="s">
        <v>131</v>
      </c>
      <c r="V1334" s="314" t="s">
        <v>114</v>
      </c>
      <c r="W1334" s="314"/>
      <c r="X1334" s="314" t="str">
        <f>VLOOKUP(D1334,代理总表!A:D,3,0)</f>
        <v>雨燕直播-越</v>
      </c>
      <c r="Y1334" t="str">
        <f>VLOOKUP(D:D,代理总表!A:D,4,FALSE)</f>
        <v>雨燕直播-越ffvn66</v>
      </c>
      <c r="Z1334">
        <f t="shared" si="60"/>
        <v>1</v>
      </c>
      <c r="AA1334">
        <f t="shared" si="61"/>
        <v>0</v>
      </c>
      <c r="AB1334">
        <f t="shared" si="62"/>
        <v>1</v>
      </c>
    </row>
    <row r="1335" spans="1:28">
      <c r="A1335" s="314" t="s">
        <v>4561</v>
      </c>
      <c r="B1335" s="314" t="s">
        <v>4562</v>
      </c>
      <c r="C1335" s="314">
        <v>13955469852</v>
      </c>
      <c r="D1335" s="314" t="s">
        <v>805</v>
      </c>
      <c r="E1335" s="314" t="s">
        <v>104</v>
      </c>
      <c r="F1335" s="314" t="s">
        <v>144</v>
      </c>
      <c r="G1335" s="314" t="s">
        <v>106</v>
      </c>
      <c r="H1335" s="314" t="s">
        <v>107</v>
      </c>
      <c r="I1335" s="314" t="s">
        <v>108</v>
      </c>
      <c r="J1335" s="314" t="s">
        <v>109</v>
      </c>
      <c r="K1335" s="314">
        <v>100</v>
      </c>
      <c r="L1335" s="314">
        <v>100</v>
      </c>
      <c r="M1335" s="315">
        <v>45145.0052199074</v>
      </c>
      <c r="N1335" s="314" t="s">
        <v>4563</v>
      </c>
      <c r="O1335" s="314" t="s">
        <v>1222</v>
      </c>
      <c r="P1335" s="314" t="s">
        <v>339</v>
      </c>
      <c r="Q1335" s="315">
        <v>45145.9299074074</v>
      </c>
      <c r="R1335" s="315">
        <v>45146.1084490741</v>
      </c>
      <c r="S1335" s="314" t="s">
        <v>4563</v>
      </c>
      <c r="T1335" s="314" t="s">
        <v>4564</v>
      </c>
      <c r="U1335" s="314" t="s">
        <v>4564</v>
      </c>
      <c r="V1335" s="314" t="s">
        <v>114</v>
      </c>
      <c r="W1335" s="314"/>
      <c r="X1335" s="314" t="str">
        <f>VLOOKUP(D1335,代理总表!A:D,3,0)</f>
        <v>飞哥雨燕直播</v>
      </c>
      <c r="Y1335" t="str">
        <f>VLOOKUP(D:D,代理总表!A:D,4,FALSE)</f>
        <v>飞哥雨燕直播ffmk88</v>
      </c>
      <c r="Z1335">
        <f t="shared" si="60"/>
        <v>1</v>
      </c>
      <c r="AA1335">
        <f t="shared" si="61"/>
        <v>0</v>
      </c>
      <c r="AB1335">
        <f t="shared" si="62"/>
        <v>1</v>
      </c>
    </row>
    <row r="1336" spans="1:28">
      <c r="A1336" s="314" t="s">
        <v>4565</v>
      </c>
      <c r="B1336" s="314" t="s">
        <v>4566</v>
      </c>
      <c r="C1336" s="314">
        <v>18125098755</v>
      </c>
      <c r="D1336" s="314" t="s">
        <v>1513</v>
      </c>
      <c r="E1336" s="314" t="s">
        <v>104</v>
      </c>
      <c r="F1336" s="314" t="s">
        <v>105</v>
      </c>
      <c r="G1336" s="314" t="s">
        <v>106</v>
      </c>
      <c r="H1336" s="314" t="s">
        <v>856</v>
      </c>
      <c r="I1336" s="314" t="s">
        <v>108</v>
      </c>
      <c r="J1336" s="314" t="s">
        <v>109</v>
      </c>
      <c r="K1336" s="314">
        <v>4500.7</v>
      </c>
      <c r="L1336" s="314">
        <v>6550</v>
      </c>
      <c r="M1336" s="315">
        <v>45145.0044328704</v>
      </c>
      <c r="N1336" s="314" t="s">
        <v>4567</v>
      </c>
      <c r="O1336" s="314" t="s">
        <v>1515</v>
      </c>
      <c r="P1336" s="314" t="s">
        <v>161</v>
      </c>
      <c r="Q1336" s="315">
        <v>45145.4174768518</v>
      </c>
      <c r="R1336" s="315">
        <v>45146.3413657407</v>
      </c>
      <c r="S1336" s="314" t="s">
        <v>4568</v>
      </c>
      <c r="T1336" s="314" t="s">
        <v>4569</v>
      </c>
      <c r="U1336" s="314" t="s">
        <v>4569</v>
      </c>
      <c r="V1336" s="314" t="s">
        <v>114</v>
      </c>
      <c r="W1336" s="314"/>
      <c r="X1336" s="314" t="str">
        <f>VLOOKUP(D1336,代理总表!A:D,3,0)</f>
        <v>GT-骨头</v>
      </c>
      <c r="Y1336" t="str">
        <f>VLOOKUP(D:D,代理总表!A:D,4,FALSE)</f>
        <v>GT-骨头gt6677</v>
      </c>
      <c r="Z1336">
        <f t="shared" si="60"/>
        <v>1</v>
      </c>
      <c r="AA1336">
        <f t="shared" si="61"/>
        <v>0</v>
      </c>
      <c r="AB1336">
        <f t="shared" si="62"/>
        <v>1</v>
      </c>
    </row>
    <row r="1337" spans="1:28">
      <c r="A1337" s="314" t="s">
        <v>4570</v>
      </c>
      <c r="B1337" s="314"/>
      <c r="C1337" s="314">
        <v>15900202710</v>
      </c>
      <c r="D1337" s="314" t="s">
        <v>276</v>
      </c>
      <c r="E1337" s="314" t="s">
        <v>104</v>
      </c>
      <c r="F1337" s="314" t="s">
        <v>118</v>
      </c>
      <c r="G1337" s="314" t="s">
        <v>108</v>
      </c>
      <c r="H1337" s="314" t="s">
        <v>119</v>
      </c>
      <c r="I1337" s="314" t="s">
        <v>108</v>
      </c>
      <c r="J1337" s="314" t="s">
        <v>109</v>
      </c>
      <c r="K1337" s="314">
        <v>0</v>
      </c>
      <c r="L1337" s="314">
        <v>0</v>
      </c>
      <c r="M1337" s="315">
        <v>45145.003912037</v>
      </c>
      <c r="N1337" s="314" t="s">
        <v>4571</v>
      </c>
      <c r="O1337" s="314" t="s">
        <v>4102</v>
      </c>
      <c r="P1337" s="314" t="s">
        <v>112</v>
      </c>
      <c r="Q1337" s="314" t="s">
        <v>123</v>
      </c>
      <c r="R1337" s="315">
        <v>45145.1117939815</v>
      </c>
      <c r="S1337" s="314" t="s">
        <v>4571</v>
      </c>
      <c r="T1337" s="314" t="s">
        <v>4572</v>
      </c>
      <c r="U1337" s="314" t="s">
        <v>4572</v>
      </c>
      <c r="V1337" s="314" t="s">
        <v>114</v>
      </c>
      <c r="W1337" s="314"/>
      <c r="X1337" s="314" t="str">
        <f>VLOOKUP(D1337,代理总表!A:D,3,0)</f>
        <v>飞哥雨燕直播</v>
      </c>
      <c r="Y1337" t="str">
        <f>VLOOKUP(D:D,代理总表!A:D,4,FALSE)</f>
        <v>飞哥雨燕直播ffmk88</v>
      </c>
      <c r="Z1337">
        <f t="shared" si="60"/>
        <v>0</v>
      </c>
      <c r="AA1337">
        <f t="shared" si="61"/>
        <v>0</v>
      </c>
      <c r="AB1337">
        <f t="shared" si="62"/>
        <v>1</v>
      </c>
    </row>
    <row r="1338" spans="1:28">
      <c r="A1338" s="314" t="s">
        <v>4573</v>
      </c>
      <c r="B1338" s="314" t="s">
        <v>4574</v>
      </c>
      <c r="C1338" s="314">
        <v>393055539</v>
      </c>
      <c r="D1338" s="314" t="s">
        <v>197</v>
      </c>
      <c r="E1338" s="314" t="s">
        <v>117</v>
      </c>
      <c r="F1338" s="314" t="s">
        <v>118</v>
      </c>
      <c r="G1338" s="314" t="s">
        <v>108</v>
      </c>
      <c r="H1338" s="314" t="s">
        <v>119</v>
      </c>
      <c r="I1338" s="314" t="s">
        <v>108</v>
      </c>
      <c r="J1338" s="314" t="s">
        <v>120</v>
      </c>
      <c r="K1338" s="314">
        <v>0</v>
      </c>
      <c r="L1338" s="314">
        <v>0</v>
      </c>
      <c r="M1338" s="315">
        <v>45145.0036689815</v>
      </c>
      <c r="N1338" s="314" t="s">
        <v>4575</v>
      </c>
      <c r="O1338" s="314" t="s">
        <v>875</v>
      </c>
      <c r="P1338" s="314" t="s">
        <v>112</v>
      </c>
      <c r="Q1338" s="314" t="s">
        <v>123</v>
      </c>
      <c r="R1338" s="315">
        <v>45145.0036574074</v>
      </c>
      <c r="S1338" s="314" t="s">
        <v>4575</v>
      </c>
      <c r="T1338" s="314" t="s">
        <v>1995</v>
      </c>
      <c r="U1338" s="314" t="s">
        <v>1995</v>
      </c>
      <c r="V1338" s="314" t="s">
        <v>114</v>
      </c>
      <c r="W1338" s="314"/>
      <c r="X1338" s="314" t="str">
        <f>VLOOKUP(D1338,代理总表!A:D,3,0)</f>
        <v>雨燕直播-越</v>
      </c>
      <c r="Y1338" t="str">
        <f>VLOOKUP(D:D,代理总表!A:D,4,FALSE)</f>
        <v>雨燕直播-越ffvn66</v>
      </c>
      <c r="Z1338">
        <f t="shared" si="60"/>
        <v>0</v>
      </c>
      <c r="AA1338">
        <f t="shared" si="61"/>
        <v>0</v>
      </c>
      <c r="AB1338">
        <f t="shared" si="62"/>
        <v>1</v>
      </c>
    </row>
    <row r="1339" spans="1:28">
      <c r="A1339" s="314" t="s">
        <v>4576</v>
      </c>
      <c r="B1339" s="314" t="s">
        <v>4577</v>
      </c>
      <c r="C1339" s="314">
        <v>912059717</v>
      </c>
      <c r="D1339" s="314" t="s">
        <v>651</v>
      </c>
      <c r="E1339" s="314" t="s">
        <v>117</v>
      </c>
      <c r="F1339" s="314" t="s">
        <v>118</v>
      </c>
      <c r="G1339" s="314" t="s">
        <v>108</v>
      </c>
      <c r="H1339" s="314" t="s">
        <v>119</v>
      </c>
      <c r="I1339" s="314" t="s">
        <v>108</v>
      </c>
      <c r="J1339" s="314" t="s">
        <v>120</v>
      </c>
      <c r="K1339" s="314">
        <v>0</v>
      </c>
      <c r="L1339" s="314">
        <v>0</v>
      </c>
      <c r="M1339" s="315">
        <v>45145.0035069444</v>
      </c>
      <c r="N1339" s="314" t="s">
        <v>4578</v>
      </c>
      <c r="O1339" s="314" t="s">
        <v>653</v>
      </c>
      <c r="P1339" s="314" t="s">
        <v>161</v>
      </c>
      <c r="Q1339" s="314" t="s">
        <v>123</v>
      </c>
      <c r="R1339" s="315">
        <v>45145.0595601852</v>
      </c>
      <c r="S1339" s="314" t="s">
        <v>4578</v>
      </c>
      <c r="T1339" s="314" t="s">
        <v>1995</v>
      </c>
      <c r="U1339" s="314" t="s">
        <v>1995</v>
      </c>
      <c r="V1339" s="314" t="s">
        <v>114</v>
      </c>
      <c r="W1339" s="314"/>
      <c r="X1339" s="314" t="str">
        <f>VLOOKUP(D1339,代理总表!A:D,3,0)</f>
        <v>雨燕直播-越</v>
      </c>
      <c r="Y1339" t="str">
        <f>VLOOKUP(D:D,代理总表!A:D,4,FALSE)</f>
        <v>雨燕直播-越ffvn66</v>
      </c>
      <c r="Z1339">
        <f t="shared" si="60"/>
        <v>0</v>
      </c>
      <c r="AA1339">
        <f t="shared" si="61"/>
        <v>0</v>
      </c>
      <c r="AB1339">
        <f t="shared" si="62"/>
        <v>1</v>
      </c>
    </row>
    <row r="1340" spans="1:28">
      <c r="A1340" s="314" t="s">
        <v>4579</v>
      </c>
      <c r="B1340" s="314"/>
      <c r="C1340" s="314"/>
      <c r="D1340" s="314" t="s">
        <v>143</v>
      </c>
      <c r="E1340" s="314" t="s">
        <v>117</v>
      </c>
      <c r="F1340" s="314" t="s">
        <v>118</v>
      </c>
      <c r="G1340" s="314" t="s">
        <v>108</v>
      </c>
      <c r="H1340" s="314" t="s">
        <v>119</v>
      </c>
      <c r="I1340" s="314" t="s">
        <v>108</v>
      </c>
      <c r="J1340" s="314" t="s">
        <v>120</v>
      </c>
      <c r="K1340" s="314">
        <v>0</v>
      </c>
      <c r="L1340" s="314">
        <v>0</v>
      </c>
      <c r="M1340" s="315">
        <v>45145.0033912037</v>
      </c>
      <c r="N1340" s="314" t="s">
        <v>4580</v>
      </c>
      <c r="O1340" s="314" t="s">
        <v>407</v>
      </c>
      <c r="P1340" s="314" t="s">
        <v>112</v>
      </c>
      <c r="Q1340" s="314" t="s">
        <v>123</v>
      </c>
      <c r="R1340" s="315">
        <v>45145.0033912037</v>
      </c>
      <c r="S1340" s="314" t="s">
        <v>4580</v>
      </c>
      <c r="T1340" s="314" t="s">
        <v>177</v>
      </c>
      <c r="U1340" s="314" t="s">
        <v>177</v>
      </c>
      <c r="V1340" s="314" t="s">
        <v>114</v>
      </c>
      <c r="W1340" s="314"/>
      <c r="X1340" s="314" t="str">
        <f>VLOOKUP(D1340,代理总表!A:D,3,0)</f>
        <v>雨燕直播-越</v>
      </c>
      <c r="Y1340" t="str">
        <f>VLOOKUP(D:D,代理总表!A:D,4,FALSE)</f>
        <v>雨燕直播-越ffvn66</v>
      </c>
      <c r="Z1340">
        <f t="shared" si="60"/>
        <v>0</v>
      </c>
      <c r="AA1340">
        <f t="shared" si="61"/>
        <v>0</v>
      </c>
      <c r="AB1340">
        <f t="shared" si="62"/>
        <v>1</v>
      </c>
    </row>
    <row r="1341" spans="1:28">
      <c r="A1341" s="314" t="s">
        <v>4581</v>
      </c>
      <c r="B1341" s="314"/>
      <c r="C1341" s="314">
        <v>18446403450</v>
      </c>
      <c r="D1341" s="314" t="s">
        <v>4582</v>
      </c>
      <c r="E1341" s="314" t="s">
        <v>104</v>
      </c>
      <c r="F1341" s="314" t="s">
        <v>118</v>
      </c>
      <c r="G1341" s="314" t="s">
        <v>108</v>
      </c>
      <c r="H1341" s="314" t="s">
        <v>119</v>
      </c>
      <c r="I1341" s="314" t="s">
        <v>108</v>
      </c>
      <c r="J1341" s="314" t="s">
        <v>415</v>
      </c>
      <c r="K1341" s="314">
        <v>0</v>
      </c>
      <c r="L1341" s="314">
        <v>0</v>
      </c>
      <c r="M1341" s="315">
        <v>45145.0030208333</v>
      </c>
      <c r="N1341" s="314" t="s">
        <v>4583</v>
      </c>
      <c r="O1341" s="314" t="s">
        <v>4584</v>
      </c>
      <c r="P1341" s="314" t="s">
        <v>339</v>
      </c>
      <c r="Q1341" s="314" t="s">
        <v>123</v>
      </c>
      <c r="R1341" s="315">
        <v>45145.8953125</v>
      </c>
      <c r="S1341" s="314" t="s">
        <v>4583</v>
      </c>
      <c r="T1341" s="314" t="s">
        <v>693</v>
      </c>
      <c r="U1341" s="314" t="s">
        <v>693</v>
      </c>
      <c r="V1341" s="314" t="s">
        <v>114</v>
      </c>
      <c r="W1341" s="314"/>
      <c r="X1341" s="314" t="e">
        <f>VLOOKUP(D1341,代理总表!A:D,3,0)</f>
        <v>#N/A</v>
      </c>
      <c r="Y1341" t="e">
        <f>VLOOKUP(D:D,代理总表!A:D,4,FALSE)</f>
        <v>#N/A</v>
      </c>
      <c r="Z1341">
        <f t="shared" si="60"/>
        <v>0</v>
      </c>
      <c r="AA1341">
        <f t="shared" si="61"/>
        <v>0</v>
      </c>
      <c r="AB1341">
        <f t="shared" si="62"/>
        <v>1</v>
      </c>
    </row>
    <row r="1342" spans="1:28">
      <c r="A1342" s="314" t="s">
        <v>4585</v>
      </c>
      <c r="B1342" s="314" t="s">
        <v>4586</v>
      </c>
      <c r="C1342" s="314">
        <v>367830278</v>
      </c>
      <c r="D1342" s="314" t="s">
        <v>143</v>
      </c>
      <c r="E1342" s="314" t="s">
        <v>117</v>
      </c>
      <c r="F1342" s="314" t="s">
        <v>144</v>
      </c>
      <c r="G1342" s="314" t="s">
        <v>106</v>
      </c>
      <c r="H1342" s="314" t="s">
        <v>107</v>
      </c>
      <c r="I1342" s="314" t="s">
        <v>108</v>
      </c>
      <c r="J1342" s="314" t="s">
        <v>120</v>
      </c>
      <c r="K1342" s="314">
        <v>5732860</v>
      </c>
      <c r="L1342" s="314">
        <v>4150000</v>
      </c>
      <c r="M1342" s="315">
        <v>45145.0028240741</v>
      </c>
      <c r="N1342" s="314" t="s">
        <v>4587</v>
      </c>
      <c r="O1342" s="314" t="s">
        <v>407</v>
      </c>
      <c r="P1342" s="314" t="s">
        <v>112</v>
      </c>
      <c r="Q1342" s="315">
        <v>45145.0150925926</v>
      </c>
      <c r="R1342" s="315">
        <v>45145.9062847222</v>
      </c>
      <c r="S1342" s="314" t="s">
        <v>4588</v>
      </c>
      <c r="T1342" s="314" t="s">
        <v>131</v>
      </c>
      <c r="U1342" s="314" t="s">
        <v>1383</v>
      </c>
      <c r="V1342" s="314" t="s">
        <v>114</v>
      </c>
      <c r="W1342" s="314"/>
      <c r="X1342" s="314" t="str">
        <f>VLOOKUP(D1342,代理总表!A:D,3,0)</f>
        <v>雨燕直播-越</v>
      </c>
      <c r="Y1342" t="str">
        <f>VLOOKUP(D:D,代理总表!A:D,4,FALSE)</f>
        <v>雨燕直播-越ffvn66</v>
      </c>
      <c r="Z1342">
        <f t="shared" si="60"/>
        <v>1</v>
      </c>
      <c r="AA1342">
        <f t="shared" si="61"/>
        <v>0</v>
      </c>
      <c r="AB1342">
        <f t="shared" si="62"/>
        <v>1</v>
      </c>
    </row>
    <row r="1343" spans="1:28">
      <c r="A1343" s="314" t="s">
        <v>4589</v>
      </c>
      <c r="B1343" s="314" t="s">
        <v>4590</v>
      </c>
      <c r="C1343" s="314">
        <v>827939524</v>
      </c>
      <c r="D1343" s="314" t="s">
        <v>651</v>
      </c>
      <c r="E1343" s="314" t="s">
        <v>117</v>
      </c>
      <c r="F1343" s="314" t="s">
        <v>118</v>
      </c>
      <c r="G1343" s="314" t="s">
        <v>108</v>
      </c>
      <c r="H1343" s="314" t="s">
        <v>119</v>
      </c>
      <c r="I1343" s="314" t="s">
        <v>108</v>
      </c>
      <c r="J1343" s="314" t="s">
        <v>120</v>
      </c>
      <c r="K1343" s="314">
        <v>0</v>
      </c>
      <c r="L1343" s="314">
        <v>0</v>
      </c>
      <c r="M1343" s="315">
        <v>45145.0021759259</v>
      </c>
      <c r="N1343" s="314" t="s">
        <v>4591</v>
      </c>
      <c r="O1343" s="314" t="s">
        <v>653</v>
      </c>
      <c r="P1343" s="314" t="s">
        <v>112</v>
      </c>
      <c r="Q1343" s="314" t="s">
        <v>123</v>
      </c>
      <c r="R1343" s="315">
        <v>45145.043912037</v>
      </c>
      <c r="S1343" s="314" t="s">
        <v>4591</v>
      </c>
      <c r="T1343" s="314" t="s">
        <v>131</v>
      </c>
      <c r="U1343" s="314" t="s">
        <v>131</v>
      </c>
      <c r="V1343" s="314" t="s">
        <v>114</v>
      </c>
      <c r="W1343" s="314"/>
      <c r="X1343" s="314" t="str">
        <f>VLOOKUP(D1343,代理总表!A:D,3,0)</f>
        <v>雨燕直播-越</v>
      </c>
      <c r="Y1343" t="str">
        <f>VLOOKUP(D:D,代理总表!A:D,4,FALSE)</f>
        <v>雨燕直播-越ffvn66</v>
      </c>
      <c r="Z1343">
        <f t="shared" si="60"/>
        <v>0</v>
      </c>
      <c r="AA1343">
        <f t="shared" si="61"/>
        <v>0</v>
      </c>
      <c r="AB1343">
        <f t="shared" si="62"/>
        <v>1</v>
      </c>
    </row>
    <row r="1344" spans="1:28">
      <c r="A1344" s="314" t="s">
        <v>4592</v>
      </c>
      <c r="B1344" s="314" t="s">
        <v>4593</v>
      </c>
      <c r="C1344" s="314">
        <v>18607266509</v>
      </c>
      <c r="D1344" s="314" t="s">
        <v>249</v>
      </c>
      <c r="E1344" s="314" t="s">
        <v>104</v>
      </c>
      <c r="F1344" s="314" t="s">
        <v>144</v>
      </c>
      <c r="G1344" s="314" t="s">
        <v>106</v>
      </c>
      <c r="H1344" s="314" t="s">
        <v>107</v>
      </c>
      <c r="I1344" s="314" t="s">
        <v>108</v>
      </c>
      <c r="J1344" s="314" t="s">
        <v>109</v>
      </c>
      <c r="K1344" s="314">
        <v>300</v>
      </c>
      <c r="L1344" s="314">
        <v>0</v>
      </c>
      <c r="M1344" s="315">
        <v>45145.0019560185</v>
      </c>
      <c r="N1344" s="314" t="s">
        <v>4594</v>
      </c>
      <c r="O1344" s="314" t="s">
        <v>251</v>
      </c>
      <c r="P1344" s="314" t="s">
        <v>161</v>
      </c>
      <c r="Q1344" s="315">
        <v>45145.0481481481</v>
      </c>
      <c r="R1344" s="315">
        <v>45145.0556597222</v>
      </c>
      <c r="S1344" s="314" t="s">
        <v>4594</v>
      </c>
      <c r="T1344" s="314" t="s">
        <v>4595</v>
      </c>
      <c r="U1344" s="314" t="s">
        <v>4595</v>
      </c>
      <c r="V1344" s="314" t="s">
        <v>114</v>
      </c>
      <c r="W1344" s="314"/>
      <c r="X1344" s="314" t="str">
        <f>VLOOKUP(D1344,代理总表!A:D,3,0)</f>
        <v>飞哥雨燕直播</v>
      </c>
      <c r="Y1344" t="str">
        <f>VLOOKUP(D:D,代理总表!A:D,4,FALSE)</f>
        <v>飞哥雨燕直播ffmk88</v>
      </c>
      <c r="Z1344">
        <f t="shared" si="60"/>
        <v>1</v>
      </c>
      <c r="AA1344">
        <f t="shared" si="61"/>
        <v>0</v>
      </c>
      <c r="AB1344">
        <f t="shared" si="62"/>
        <v>1</v>
      </c>
    </row>
    <row r="1345" spans="1:28">
      <c r="A1345" s="314" t="s">
        <v>4596</v>
      </c>
      <c r="B1345" s="314"/>
      <c r="C1345" s="314"/>
      <c r="D1345" s="314" t="s">
        <v>1109</v>
      </c>
      <c r="E1345" s="314" t="s">
        <v>104</v>
      </c>
      <c r="F1345" s="314" t="s">
        <v>118</v>
      </c>
      <c r="G1345" s="314" t="s">
        <v>108</v>
      </c>
      <c r="H1345" s="314" t="s">
        <v>119</v>
      </c>
      <c r="I1345" s="314" t="s">
        <v>108</v>
      </c>
      <c r="J1345" s="314" t="s">
        <v>109</v>
      </c>
      <c r="K1345" s="314">
        <v>0</v>
      </c>
      <c r="L1345" s="314">
        <v>0</v>
      </c>
      <c r="M1345" s="315">
        <v>45145.0018634259</v>
      </c>
      <c r="N1345" s="314" t="s">
        <v>4597</v>
      </c>
      <c r="O1345" s="314" t="s">
        <v>4079</v>
      </c>
      <c r="P1345" s="314" t="s">
        <v>208</v>
      </c>
      <c r="Q1345" s="314" t="s">
        <v>123</v>
      </c>
      <c r="R1345" s="315">
        <v>45145.0018634259</v>
      </c>
      <c r="S1345" s="314" t="s">
        <v>4597</v>
      </c>
      <c r="T1345" s="314" t="s">
        <v>4598</v>
      </c>
      <c r="U1345" s="314" t="s">
        <v>4598</v>
      </c>
      <c r="V1345" s="314" t="s">
        <v>114</v>
      </c>
      <c r="W1345" s="314"/>
      <c r="X1345" s="314" t="str">
        <f>VLOOKUP(D1345,代理总表!A:D,3,0)</f>
        <v>飞哥雨燕直播</v>
      </c>
      <c r="Y1345" t="str">
        <f>VLOOKUP(D:D,代理总表!A:D,4,FALSE)</f>
        <v>飞哥雨燕直播ffmk88</v>
      </c>
      <c r="Z1345">
        <f t="shared" si="60"/>
        <v>0</v>
      </c>
      <c r="AA1345">
        <f t="shared" si="61"/>
        <v>0</v>
      </c>
      <c r="AB1345">
        <f t="shared" si="62"/>
        <v>1</v>
      </c>
    </row>
    <row r="1346" spans="1:28">
      <c r="A1346" s="314" t="s">
        <v>4599</v>
      </c>
      <c r="B1346" s="314" t="s">
        <v>4600</v>
      </c>
      <c r="C1346" s="314">
        <v>528248401</v>
      </c>
      <c r="D1346" s="314" t="s">
        <v>333</v>
      </c>
      <c r="E1346" s="314" t="s">
        <v>117</v>
      </c>
      <c r="F1346" s="314" t="s">
        <v>144</v>
      </c>
      <c r="G1346" s="314" t="s">
        <v>106</v>
      </c>
      <c r="H1346" s="314" t="s">
        <v>107</v>
      </c>
      <c r="I1346" s="314" t="s">
        <v>108</v>
      </c>
      <c r="J1346" s="314" t="s">
        <v>120</v>
      </c>
      <c r="K1346" s="314">
        <v>600</v>
      </c>
      <c r="L1346" s="314">
        <v>4540000</v>
      </c>
      <c r="M1346" s="315">
        <v>45145.001412037</v>
      </c>
      <c r="N1346" s="314" t="s">
        <v>4601</v>
      </c>
      <c r="O1346" s="314" t="s">
        <v>335</v>
      </c>
      <c r="P1346" s="314" t="s">
        <v>112</v>
      </c>
      <c r="Q1346" s="315">
        <v>45145.0111226852</v>
      </c>
      <c r="R1346" s="315">
        <v>45145.0089351852</v>
      </c>
      <c r="S1346" s="314" t="s">
        <v>4602</v>
      </c>
      <c r="T1346" s="314" t="s">
        <v>124</v>
      </c>
      <c r="U1346" s="314" t="s">
        <v>124</v>
      </c>
      <c r="V1346" s="314" t="s">
        <v>114</v>
      </c>
      <c r="W1346" s="314"/>
      <c r="X1346" s="314" t="e">
        <f>VLOOKUP(D1346,代理总表!A:D,3,0)</f>
        <v>#N/A</v>
      </c>
      <c r="Y1346" t="e">
        <f>VLOOKUP(D:D,代理总表!A:D,4,FALSE)</f>
        <v>#N/A</v>
      </c>
      <c r="Z1346">
        <f t="shared" si="60"/>
        <v>1</v>
      </c>
      <c r="AA1346">
        <f t="shared" si="61"/>
        <v>0</v>
      </c>
      <c r="AB1346">
        <f t="shared" si="62"/>
        <v>1</v>
      </c>
    </row>
    <row r="1347" spans="1:28">
      <c r="A1347" s="314" t="s">
        <v>4603</v>
      </c>
      <c r="B1347" s="314" t="s">
        <v>4604</v>
      </c>
      <c r="C1347" s="314">
        <v>388768543</v>
      </c>
      <c r="D1347" s="314" t="s">
        <v>116</v>
      </c>
      <c r="E1347" s="314" t="s">
        <v>117</v>
      </c>
      <c r="F1347" s="314" t="s">
        <v>118</v>
      </c>
      <c r="G1347" s="314" t="s">
        <v>108</v>
      </c>
      <c r="H1347" s="314" t="s">
        <v>119</v>
      </c>
      <c r="I1347" s="314" t="s">
        <v>108</v>
      </c>
      <c r="J1347" s="314" t="s">
        <v>120</v>
      </c>
      <c r="K1347" s="314">
        <v>0</v>
      </c>
      <c r="L1347" s="314">
        <v>0</v>
      </c>
      <c r="M1347" s="315">
        <v>45145.0012615741</v>
      </c>
      <c r="N1347" s="314" t="s">
        <v>4605</v>
      </c>
      <c r="O1347" s="314" t="s">
        <v>127</v>
      </c>
      <c r="P1347" s="314" t="s">
        <v>112</v>
      </c>
      <c r="Q1347" s="314" t="s">
        <v>123</v>
      </c>
      <c r="R1347" s="315">
        <v>45145.0012615741</v>
      </c>
      <c r="S1347" s="314" t="s">
        <v>4605</v>
      </c>
      <c r="T1347" s="314" t="s">
        <v>128</v>
      </c>
      <c r="U1347" s="314" t="s">
        <v>128</v>
      </c>
      <c r="V1347" s="314" t="s">
        <v>114</v>
      </c>
      <c r="W1347" s="314"/>
      <c r="X1347" s="314" t="str">
        <f>VLOOKUP(D1347,代理总表!A:D,3,0)</f>
        <v>外部代理总线</v>
      </c>
      <c r="Y1347" t="str">
        <f>VLOOKUP(D:D,代理总表!A:D,4,FALSE)</f>
        <v>外部代理总线zh0808</v>
      </c>
      <c r="Z1347">
        <f>IF(RIGHT(H1347,1)&gt;"0",1,0)</f>
        <v>0</v>
      </c>
      <c r="AA1347">
        <f>HOUR(M1347)</f>
        <v>0</v>
      </c>
      <c r="AB1347">
        <f>IF(AE1347=AF1347,1,0)</f>
        <v>1</v>
      </c>
    </row>
    <row r="1348" spans="1:28">
      <c r="A1348" s="314" t="s">
        <v>4606</v>
      </c>
      <c r="B1348" s="314"/>
      <c r="C1348" s="314"/>
      <c r="D1348" s="314" t="s">
        <v>197</v>
      </c>
      <c r="E1348" s="314" t="s">
        <v>104</v>
      </c>
      <c r="F1348" s="314" t="s">
        <v>118</v>
      </c>
      <c r="G1348" s="314" t="s">
        <v>108</v>
      </c>
      <c r="H1348" s="314" t="s">
        <v>119</v>
      </c>
      <c r="I1348" s="314" t="s">
        <v>108</v>
      </c>
      <c r="J1348" s="314" t="s">
        <v>109</v>
      </c>
      <c r="K1348" s="314">
        <v>0</v>
      </c>
      <c r="L1348" s="314">
        <v>0</v>
      </c>
      <c r="M1348" s="315">
        <v>45145.0009837963</v>
      </c>
      <c r="N1348" s="314" t="s">
        <v>4607</v>
      </c>
      <c r="O1348" s="314" t="s">
        <v>199</v>
      </c>
      <c r="P1348" s="314" t="s">
        <v>112</v>
      </c>
      <c r="Q1348" s="314" t="s">
        <v>123</v>
      </c>
      <c r="R1348" s="315">
        <v>45145.0017708333</v>
      </c>
      <c r="S1348" s="314" t="s">
        <v>4607</v>
      </c>
      <c r="T1348" s="314" t="s">
        <v>2127</v>
      </c>
      <c r="U1348" s="314" t="s">
        <v>2127</v>
      </c>
      <c r="V1348" s="314" t="s">
        <v>114</v>
      </c>
      <c r="W1348" s="314"/>
      <c r="X1348" s="314" t="str">
        <f>VLOOKUP(D1348,代理总表!A:D,3,0)</f>
        <v>雨燕直播-越</v>
      </c>
      <c r="Y1348" t="str">
        <f>VLOOKUP(D:D,代理总表!A:D,4,FALSE)</f>
        <v>雨燕直播-越ffvn66</v>
      </c>
      <c r="Z1348">
        <f>IF(RIGHT(H1348,1)&gt;"0",1,0)</f>
        <v>0</v>
      </c>
      <c r="AA1348">
        <f>HOUR(M1348)</f>
        <v>0</v>
      </c>
      <c r="AB1348">
        <f>IF(AE1348=AF1348,1,0)</f>
        <v>1</v>
      </c>
    </row>
    <row r="1349" spans="1:28">
      <c r="A1349" s="314" t="s">
        <v>4608</v>
      </c>
      <c r="B1349" s="314" t="s">
        <v>4609</v>
      </c>
      <c r="C1349" s="314">
        <v>396708616</v>
      </c>
      <c r="D1349" s="314" t="s">
        <v>116</v>
      </c>
      <c r="E1349" s="314" t="s">
        <v>117</v>
      </c>
      <c r="F1349" s="314" t="s">
        <v>118</v>
      </c>
      <c r="G1349" s="314" t="s">
        <v>108</v>
      </c>
      <c r="H1349" s="314" t="s">
        <v>119</v>
      </c>
      <c r="I1349" s="314" t="s">
        <v>108</v>
      </c>
      <c r="J1349" s="314" t="s">
        <v>120</v>
      </c>
      <c r="K1349" s="314">
        <v>0</v>
      </c>
      <c r="L1349" s="314">
        <v>0</v>
      </c>
      <c r="M1349" s="315">
        <v>45145.0006944444</v>
      </c>
      <c r="N1349" s="314" t="s">
        <v>4610</v>
      </c>
      <c r="O1349" s="314" t="s">
        <v>122</v>
      </c>
      <c r="P1349" s="314" t="s">
        <v>112</v>
      </c>
      <c r="Q1349" s="314" t="s">
        <v>123</v>
      </c>
      <c r="R1349" s="315">
        <v>45145.0040277778</v>
      </c>
      <c r="S1349" s="314" t="s">
        <v>4610</v>
      </c>
      <c r="T1349" s="314" t="s">
        <v>124</v>
      </c>
      <c r="U1349" s="314" t="s">
        <v>124</v>
      </c>
      <c r="V1349" s="314" t="s">
        <v>114</v>
      </c>
      <c r="W1349" s="314"/>
      <c r="X1349" s="314" t="str">
        <f>VLOOKUP(D1349,代理总表!A:D,3,0)</f>
        <v>外部代理总线</v>
      </c>
      <c r="Y1349" t="str">
        <f>VLOOKUP(D:D,代理总表!A:D,4,FALSE)</f>
        <v>外部代理总线zh0808</v>
      </c>
      <c r="Z1349">
        <f>IF(RIGHT(H1349,1)&gt;"0",1,0)</f>
        <v>0</v>
      </c>
      <c r="AA1349">
        <f>HOUR(M1349)</f>
        <v>0</v>
      </c>
      <c r="AB1349">
        <f>IF(AE1349=AF1349,1,0)</f>
        <v>1</v>
      </c>
    </row>
    <row r="1350" spans="1:28">
      <c r="A1350" s="314" t="s">
        <v>4611</v>
      </c>
      <c r="B1350" s="314" t="s">
        <v>4612</v>
      </c>
      <c r="C1350" s="314">
        <v>588268819</v>
      </c>
      <c r="D1350" s="314" t="s">
        <v>116</v>
      </c>
      <c r="E1350" s="314" t="s">
        <v>117</v>
      </c>
      <c r="F1350" s="314" t="s">
        <v>118</v>
      </c>
      <c r="G1350" s="314" t="s">
        <v>108</v>
      </c>
      <c r="H1350" s="314" t="s">
        <v>119</v>
      </c>
      <c r="I1350" s="314" t="s">
        <v>108</v>
      </c>
      <c r="J1350" s="314" t="s">
        <v>120</v>
      </c>
      <c r="K1350" s="314">
        <v>0</v>
      </c>
      <c r="L1350" s="314">
        <v>0</v>
      </c>
      <c r="M1350" s="315">
        <v>45145.0006134259</v>
      </c>
      <c r="N1350" s="314" t="s">
        <v>4613</v>
      </c>
      <c r="O1350" s="314" t="s">
        <v>122</v>
      </c>
      <c r="P1350" s="314" t="s">
        <v>112</v>
      </c>
      <c r="Q1350" s="314" t="s">
        <v>123</v>
      </c>
      <c r="R1350" s="315">
        <v>45145.0028819444</v>
      </c>
      <c r="S1350" s="314" t="s">
        <v>4613</v>
      </c>
      <c r="T1350" s="314" t="s">
        <v>216</v>
      </c>
      <c r="U1350" s="314" t="s">
        <v>216</v>
      </c>
      <c r="V1350" s="314" t="s">
        <v>114</v>
      </c>
      <c r="W1350" s="314"/>
      <c r="X1350" s="314" t="str">
        <f>VLOOKUP(D1350,代理总表!A:D,3,0)</f>
        <v>外部代理总线</v>
      </c>
      <c r="Y1350" t="str">
        <f>VLOOKUP(D:D,代理总表!A:D,4,FALSE)</f>
        <v>外部代理总线zh0808</v>
      </c>
      <c r="Z1350">
        <f>IF(RIGHT(H1350,1)&gt;"0",1,0)</f>
        <v>0</v>
      </c>
      <c r="AA1350">
        <f>HOUR(M1350)</f>
        <v>0</v>
      </c>
      <c r="AB1350">
        <f>IF(AE1350=AF1350,1,0)</f>
        <v>1</v>
      </c>
    </row>
    <row r="1351" spans="1:28">
      <c r="A1351" s="314" t="s">
        <v>4614</v>
      </c>
      <c r="B1351" s="314" t="s">
        <v>4615</v>
      </c>
      <c r="C1351" s="314">
        <v>946506501</v>
      </c>
      <c r="D1351" s="314" t="s">
        <v>651</v>
      </c>
      <c r="E1351" s="314" t="s">
        <v>117</v>
      </c>
      <c r="F1351" s="314" t="s">
        <v>118</v>
      </c>
      <c r="G1351" s="314" t="s">
        <v>108</v>
      </c>
      <c r="H1351" s="314" t="s">
        <v>119</v>
      </c>
      <c r="I1351" s="314" t="s">
        <v>108</v>
      </c>
      <c r="J1351" s="314" t="s">
        <v>120</v>
      </c>
      <c r="K1351" s="314">
        <v>0</v>
      </c>
      <c r="L1351" s="314">
        <v>0</v>
      </c>
      <c r="M1351" s="315">
        <v>45145.0002430556</v>
      </c>
      <c r="N1351" s="314" t="s">
        <v>4616</v>
      </c>
      <c r="O1351" s="314" t="s">
        <v>653</v>
      </c>
      <c r="P1351" s="314" t="s">
        <v>112</v>
      </c>
      <c r="Q1351" s="314" t="s">
        <v>123</v>
      </c>
      <c r="R1351" s="315">
        <v>45145.7409375</v>
      </c>
      <c r="S1351" s="314" t="s">
        <v>4616</v>
      </c>
      <c r="T1351" s="314" t="s">
        <v>2031</v>
      </c>
      <c r="U1351" s="314" t="s">
        <v>2031</v>
      </c>
      <c r="V1351" s="314" t="s">
        <v>114</v>
      </c>
      <c r="W1351" s="314"/>
      <c r="X1351" s="314" t="str">
        <f>VLOOKUP(D1351,代理总表!A:D,3,0)</f>
        <v>雨燕直播-越</v>
      </c>
      <c r="Y1351" t="str">
        <f>VLOOKUP(D:D,代理总表!A:D,4,FALSE)</f>
        <v>雨燕直播-越ffvn66</v>
      </c>
      <c r="Z1351">
        <f>IF(RIGHT(H1351,1)&gt;"0",1,0)</f>
        <v>0</v>
      </c>
      <c r="AA1351">
        <f>HOUR(M1351)</f>
        <v>0</v>
      </c>
      <c r="AB1351">
        <f>IF(AE1351=AF1351,1,0)</f>
        <v>1</v>
      </c>
    </row>
  </sheetData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00000"/>
  </sheetPr>
  <dimension ref="A1:O12152"/>
  <sheetViews>
    <sheetView tabSelected="1" workbookViewId="0">
      <selection activeCell="K465" sqref="K465"/>
    </sheetView>
  </sheetViews>
  <sheetFormatPr defaultColWidth="8.875" defaultRowHeight="13.5"/>
  <cols>
    <col min="2" max="2" width="11.5083333333333" customWidth="1"/>
    <col min="3" max="4" width="18.25" customWidth="1"/>
    <col min="6" max="6" width="12.25"/>
    <col min="7" max="7" width="16.25" customWidth="1"/>
    <col min="11" max="11" width="24.875" customWidth="1"/>
    <col min="13" max="13" width="9.125"/>
    <col min="14" max="14" width="11.5083333333333"/>
    <col min="15" max="15" width="10.375"/>
  </cols>
  <sheetData>
    <row r="1" spans="1:15">
      <c r="A1" t="s">
        <v>4617</v>
      </c>
      <c r="B1" t="s">
        <v>4618</v>
      </c>
      <c r="C1" t="s">
        <v>85</v>
      </c>
      <c r="D1" t="s">
        <v>4619</v>
      </c>
      <c r="E1" t="s">
        <v>4620</v>
      </c>
      <c r="F1" t="s">
        <v>82</v>
      </c>
      <c r="G1" t="s">
        <v>4621</v>
      </c>
      <c r="H1" t="s">
        <v>96</v>
      </c>
      <c r="I1" s="317" t="s">
        <v>4622</v>
      </c>
      <c r="J1" t="s">
        <v>4623</v>
      </c>
      <c r="K1" t="s">
        <v>8</v>
      </c>
      <c r="N1" t="s">
        <v>85</v>
      </c>
      <c r="O1" t="s">
        <v>89</v>
      </c>
    </row>
    <row r="2" spans="1:15">
      <c r="A2" s="314" t="s">
        <v>331</v>
      </c>
      <c r="B2" s="314" t="s">
        <v>333</v>
      </c>
      <c r="C2" s="315">
        <v>45145.9741666667</v>
      </c>
      <c r="D2" s="315">
        <v>45145.9885300926</v>
      </c>
      <c r="E2" s="314" t="s">
        <v>4624</v>
      </c>
      <c r="F2" s="314" t="s">
        <v>120</v>
      </c>
      <c r="G2" s="316">
        <v>11000000</v>
      </c>
      <c r="H2" t="e">
        <f>VLOOKUP(B:B,代理总表!A:D,3,FALSE)</f>
        <v>#N/A</v>
      </c>
      <c r="I2" t="e">
        <f>VLOOKUP(B:B,代理总表!A:D,4,FALSE)</f>
        <v>#N/A</v>
      </c>
      <c r="J2">
        <f>HOUR(D2)</f>
        <v>23</v>
      </c>
      <c r="K2">
        <f>IF(N2=O2,1,0)</f>
        <v>1</v>
      </c>
      <c r="N2" s="318">
        <f t="shared" ref="N2:N65" si="0">INT(C2)</f>
        <v>45145</v>
      </c>
      <c r="O2" s="318">
        <f t="shared" ref="O2:O65" si="1">INT(D2)</f>
        <v>45145</v>
      </c>
    </row>
    <row r="3" spans="1:15">
      <c r="A3" s="314" t="s">
        <v>308</v>
      </c>
      <c r="B3" s="314" t="s">
        <v>224</v>
      </c>
      <c r="C3" s="315">
        <v>45145.9776851852</v>
      </c>
      <c r="D3" s="315">
        <v>45145.9858101852</v>
      </c>
      <c r="E3" s="314" t="s">
        <v>4624</v>
      </c>
      <c r="F3" s="314" t="s">
        <v>120</v>
      </c>
      <c r="G3" s="316">
        <v>100000</v>
      </c>
      <c r="H3" t="str">
        <f>VLOOKUP(B:B,代理总表!A:D,3,FALSE)</f>
        <v>雨燕直播-越</v>
      </c>
      <c r="I3" t="str">
        <f>VLOOKUP(B:B,代理总表!A:D,4,FALSE)</f>
        <v>雨燕直播-越ffvn66</v>
      </c>
      <c r="J3">
        <f t="shared" ref="J3:J66" si="2">HOUR(D3)</f>
        <v>23</v>
      </c>
      <c r="K3">
        <f t="shared" ref="K3:K66" si="3">IF(N3=O3,1,0)</f>
        <v>1</v>
      </c>
      <c r="N3" s="318">
        <f t="shared" si="0"/>
        <v>45145</v>
      </c>
      <c r="O3" s="318">
        <f t="shared" si="1"/>
        <v>45145</v>
      </c>
    </row>
    <row r="4" spans="1:15">
      <c r="A4" s="314" t="s">
        <v>432</v>
      </c>
      <c r="B4" s="314" t="s">
        <v>240</v>
      </c>
      <c r="C4" s="315">
        <v>45145.9605902778</v>
      </c>
      <c r="D4" s="315">
        <v>45145.9823032407</v>
      </c>
      <c r="E4" s="314" t="s">
        <v>4624</v>
      </c>
      <c r="F4" s="314" t="s">
        <v>109</v>
      </c>
      <c r="G4" s="316">
        <v>200</v>
      </c>
      <c r="H4" t="str">
        <f>VLOOKUP(B:B,代理总表!A:D,3,FALSE)</f>
        <v>SEO邀请</v>
      </c>
      <c r="I4" t="str">
        <f>VLOOKUP(B:B,代理总表!A:D,4,FALSE)</f>
        <v>SEO</v>
      </c>
      <c r="J4">
        <f t="shared" si="2"/>
        <v>23</v>
      </c>
      <c r="K4">
        <f t="shared" si="3"/>
        <v>1</v>
      </c>
      <c r="N4" s="318">
        <f t="shared" si="0"/>
        <v>45145</v>
      </c>
      <c r="O4" s="318">
        <f t="shared" si="1"/>
        <v>45145</v>
      </c>
    </row>
    <row r="5" spans="1:15">
      <c r="A5" s="314" t="s">
        <v>4625</v>
      </c>
      <c r="B5" s="314" t="s">
        <v>116</v>
      </c>
      <c r="C5" s="315">
        <v>45059.989849537</v>
      </c>
      <c r="D5" s="315">
        <v>45145.9796296296</v>
      </c>
      <c r="E5" s="314" t="s">
        <v>4624</v>
      </c>
      <c r="F5" s="314" t="s">
        <v>120</v>
      </c>
      <c r="G5" s="316">
        <v>4000000</v>
      </c>
      <c r="H5" t="str">
        <f>VLOOKUP(B:B,代理总表!A:D,3,FALSE)</f>
        <v>外部代理总线</v>
      </c>
      <c r="I5" t="str">
        <f>VLOOKUP(B:B,代理总表!A:D,4,FALSE)</f>
        <v>外部代理总线zh0808</v>
      </c>
      <c r="J5">
        <f t="shared" si="2"/>
        <v>23</v>
      </c>
      <c r="K5">
        <f t="shared" si="3"/>
        <v>0</v>
      </c>
      <c r="N5" s="318">
        <f t="shared" si="0"/>
        <v>45059</v>
      </c>
      <c r="O5" s="318">
        <f t="shared" si="1"/>
        <v>45145</v>
      </c>
    </row>
    <row r="6" spans="1:15">
      <c r="A6" s="314" t="s">
        <v>4626</v>
      </c>
      <c r="B6" s="314" t="s">
        <v>4627</v>
      </c>
      <c r="C6" s="315">
        <v>44772.9830787037</v>
      </c>
      <c r="D6" s="315">
        <v>45145.9799305556</v>
      </c>
      <c r="E6" s="314" t="s">
        <v>4624</v>
      </c>
      <c r="F6" s="314" t="s">
        <v>109</v>
      </c>
      <c r="G6" s="316">
        <v>100</v>
      </c>
      <c r="H6" t="str">
        <f>VLOOKUP(B:B,代理总表!A:D,3,FALSE)</f>
        <v>martin</v>
      </c>
      <c r="I6" t="str">
        <f>VLOOKUP(B:B,代理总表!A:D,4,FALSE)</f>
        <v>SEO</v>
      </c>
      <c r="J6">
        <f t="shared" si="2"/>
        <v>23</v>
      </c>
      <c r="K6">
        <f t="shared" si="3"/>
        <v>0</v>
      </c>
      <c r="N6" s="318">
        <f t="shared" si="0"/>
        <v>44772</v>
      </c>
      <c r="O6" s="318">
        <f t="shared" si="1"/>
        <v>45145</v>
      </c>
    </row>
    <row r="7" spans="1:15">
      <c r="A7" s="314" t="s">
        <v>392</v>
      </c>
      <c r="B7" s="314" t="s">
        <v>394</v>
      </c>
      <c r="C7" s="315">
        <v>45145.9651157407</v>
      </c>
      <c r="D7" s="315">
        <v>45145.974849537</v>
      </c>
      <c r="E7" s="314" t="s">
        <v>4624</v>
      </c>
      <c r="F7" s="314" t="s">
        <v>120</v>
      </c>
      <c r="G7" s="316">
        <v>200000</v>
      </c>
      <c r="H7" t="str">
        <f>VLOOKUP(B:B,代理总表!A:D,3,FALSE)</f>
        <v>外部代理总线</v>
      </c>
      <c r="I7" t="str">
        <f>VLOOKUP(B:B,代理总表!A:D,4,FALSE)</f>
        <v>外部代理总线zh0808</v>
      </c>
      <c r="J7">
        <f t="shared" si="2"/>
        <v>23</v>
      </c>
      <c r="K7">
        <f t="shared" si="3"/>
        <v>1</v>
      </c>
      <c r="N7" s="318">
        <f t="shared" si="0"/>
        <v>45145</v>
      </c>
      <c r="O7" s="318">
        <f t="shared" si="1"/>
        <v>45145</v>
      </c>
    </row>
    <row r="8" spans="1:15">
      <c r="A8" s="314" t="s">
        <v>381</v>
      </c>
      <c r="B8" s="314" t="s">
        <v>103</v>
      </c>
      <c r="C8" s="315">
        <v>45145.967025463</v>
      </c>
      <c r="D8" s="315">
        <v>45145.9725</v>
      </c>
      <c r="E8" s="314" t="s">
        <v>4624</v>
      </c>
      <c r="F8" s="314" t="s">
        <v>109</v>
      </c>
      <c r="G8" s="316">
        <v>100</v>
      </c>
      <c r="H8" t="str">
        <f>VLOOKUP(B:B,代理总表!A:D,3,FALSE)</f>
        <v>官网</v>
      </c>
      <c r="I8" t="str">
        <f>VLOOKUP(B:B,代理总表!A:D,4,FALSE)</f>
        <v>官网</v>
      </c>
      <c r="J8">
        <f t="shared" si="2"/>
        <v>23</v>
      </c>
      <c r="K8">
        <f t="shared" si="3"/>
        <v>1</v>
      </c>
      <c r="N8" s="318">
        <f t="shared" si="0"/>
        <v>45145</v>
      </c>
      <c r="O8" s="318">
        <f t="shared" si="1"/>
        <v>45145</v>
      </c>
    </row>
    <row r="9" spans="1:15">
      <c r="A9" s="314" t="s">
        <v>408</v>
      </c>
      <c r="B9" s="314" t="s">
        <v>410</v>
      </c>
      <c r="C9" s="315">
        <v>45145.9630671296</v>
      </c>
      <c r="D9" s="315">
        <v>45145.9687384259</v>
      </c>
      <c r="E9" s="314" t="s">
        <v>4624</v>
      </c>
      <c r="F9" s="314" t="s">
        <v>120</v>
      </c>
      <c r="G9" s="316">
        <v>300000</v>
      </c>
      <c r="H9" t="str">
        <f>VLOOKUP(B:B,代理总表!A:D,3,FALSE)</f>
        <v>外代-越</v>
      </c>
      <c r="I9" t="str">
        <f>VLOOKUP(B:B,代理总表!A:D,4,FALSE)</f>
        <v>外代-越btydl072</v>
      </c>
      <c r="J9">
        <f t="shared" si="2"/>
        <v>23</v>
      </c>
      <c r="K9">
        <f t="shared" si="3"/>
        <v>1</v>
      </c>
      <c r="N9" s="318">
        <f t="shared" si="0"/>
        <v>45145</v>
      </c>
      <c r="O9" s="318">
        <f t="shared" si="1"/>
        <v>45145</v>
      </c>
    </row>
    <row r="10" spans="1:15">
      <c r="A10" s="314" t="s">
        <v>737</v>
      </c>
      <c r="B10" s="314" t="s">
        <v>197</v>
      </c>
      <c r="C10" s="315">
        <v>45145.9163425926</v>
      </c>
      <c r="D10" s="315">
        <v>45145.9656365741</v>
      </c>
      <c r="E10" s="314" t="s">
        <v>4624</v>
      </c>
      <c r="F10" s="314" t="s">
        <v>120</v>
      </c>
      <c r="G10" s="316">
        <v>800000</v>
      </c>
      <c r="H10" t="str">
        <f>VLOOKUP(B:B,代理总表!A:D,3,FALSE)</f>
        <v>雨燕直播-越</v>
      </c>
      <c r="I10" t="str">
        <f>VLOOKUP(B:B,代理总表!A:D,4,FALSE)</f>
        <v>雨燕直播-越ffvn66</v>
      </c>
      <c r="J10">
        <f t="shared" si="2"/>
        <v>23</v>
      </c>
      <c r="K10">
        <f t="shared" si="3"/>
        <v>1</v>
      </c>
      <c r="N10" s="318">
        <f t="shared" si="0"/>
        <v>45145</v>
      </c>
      <c r="O10" s="318">
        <f t="shared" si="1"/>
        <v>45145</v>
      </c>
    </row>
    <row r="11" spans="1:15">
      <c r="A11" s="314" t="s">
        <v>719</v>
      </c>
      <c r="B11" s="314" t="s">
        <v>143</v>
      </c>
      <c r="C11" s="315">
        <v>45145.9178819444</v>
      </c>
      <c r="D11" s="315">
        <v>45145.9634027778</v>
      </c>
      <c r="E11" s="314" t="s">
        <v>4624</v>
      </c>
      <c r="F11" s="314" t="s">
        <v>120</v>
      </c>
      <c r="G11" s="316">
        <v>500000</v>
      </c>
      <c r="H11" t="str">
        <f>VLOOKUP(B:B,代理总表!A:D,3,FALSE)</f>
        <v>雨燕直播-越</v>
      </c>
      <c r="I11" t="str">
        <f>VLOOKUP(B:B,代理总表!A:D,4,FALSE)</f>
        <v>雨燕直播-越ffvn66</v>
      </c>
      <c r="J11">
        <f t="shared" si="2"/>
        <v>23</v>
      </c>
      <c r="K11">
        <f t="shared" si="3"/>
        <v>1</v>
      </c>
      <c r="N11" s="318">
        <f t="shared" si="0"/>
        <v>45145</v>
      </c>
      <c r="O11" s="318">
        <f t="shared" si="1"/>
        <v>45145</v>
      </c>
    </row>
    <row r="12" spans="1:15">
      <c r="A12" s="314" t="s">
        <v>1207</v>
      </c>
      <c r="B12" s="314" t="s">
        <v>249</v>
      </c>
      <c r="C12" s="315">
        <v>45145.8303587963</v>
      </c>
      <c r="D12" s="315">
        <v>45145.9611458333</v>
      </c>
      <c r="E12" s="314" t="s">
        <v>4624</v>
      </c>
      <c r="F12" s="314" t="s">
        <v>109</v>
      </c>
      <c r="G12" s="314">
        <v>1088</v>
      </c>
      <c r="H12" t="str">
        <f>VLOOKUP(B:B,代理总表!A:D,3,FALSE)</f>
        <v>飞哥雨燕直播</v>
      </c>
      <c r="I12" t="str">
        <f>VLOOKUP(B:B,代理总表!A:D,4,FALSE)</f>
        <v>飞哥雨燕直播ffmk88</v>
      </c>
      <c r="J12">
        <f t="shared" si="2"/>
        <v>23</v>
      </c>
      <c r="K12">
        <f t="shared" si="3"/>
        <v>1</v>
      </c>
      <c r="N12" s="318">
        <f t="shared" si="0"/>
        <v>45145</v>
      </c>
      <c r="O12" s="318">
        <f t="shared" si="1"/>
        <v>45145</v>
      </c>
    </row>
    <row r="13" spans="1:15">
      <c r="A13" s="314" t="s">
        <v>4628</v>
      </c>
      <c r="B13" s="314" t="s">
        <v>276</v>
      </c>
      <c r="C13" s="315">
        <v>44689.0732407407</v>
      </c>
      <c r="D13" s="315">
        <v>45145.9606597222</v>
      </c>
      <c r="E13" s="314" t="s">
        <v>4624</v>
      </c>
      <c r="F13" s="314" t="s">
        <v>109</v>
      </c>
      <c r="G13" s="316">
        <v>200</v>
      </c>
      <c r="H13" t="str">
        <f>VLOOKUP(B:B,代理总表!A:D,3,FALSE)</f>
        <v>飞哥雨燕直播</v>
      </c>
      <c r="I13" t="str">
        <f>VLOOKUP(B:B,代理总表!A:D,4,FALSE)</f>
        <v>飞哥雨燕直播ffmk88</v>
      </c>
      <c r="J13">
        <f t="shared" si="2"/>
        <v>23</v>
      </c>
      <c r="K13">
        <f t="shared" si="3"/>
        <v>0</v>
      </c>
      <c r="N13" s="318">
        <f t="shared" si="0"/>
        <v>44689</v>
      </c>
      <c r="O13" s="318">
        <f t="shared" si="1"/>
        <v>45145</v>
      </c>
    </row>
    <row r="14" spans="1:15">
      <c r="A14" s="314" t="s">
        <v>483</v>
      </c>
      <c r="B14" s="314" t="s">
        <v>485</v>
      </c>
      <c r="C14" s="315">
        <v>45145.9496527778</v>
      </c>
      <c r="D14" s="315">
        <v>45145.9533217593</v>
      </c>
      <c r="E14" s="314" t="s">
        <v>4624</v>
      </c>
      <c r="F14" s="314" t="s">
        <v>109</v>
      </c>
      <c r="G14" s="316">
        <v>2000</v>
      </c>
      <c r="H14" t="str">
        <f>VLOOKUP(B:B,代理总表!A:D,3,FALSE)</f>
        <v>paddy</v>
      </c>
      <c r="I14" t="str">
        <f>VLOOKUP(B:B,代理总表!A:D,4,FALSE)</f>
        <v>SEO</v>
      </c>
      <c r="J14">
        <f t="shared" si="2"/>
        <v>22</v>
      </c>
      <c r="K14">
        <f t="shared" si="3"/>
        <v>1</v>
      </c>
      <c r="N14" s="318">
        <f t="shared" si="0"/>
        <v>45145</v>
      </c>
      <c r="O14" s="318">
        <f t="shared" si="1"/>
        <v>45145</v>
      </c>
    </row>
    <row r="15" spans="1:15">
      <c r="A15" s="314" t="s">
        <v>534</v>
      </c>
      <c r="B15" s="314" t="s">
        <v>536</v>
      </c>
      <c r="C15" s="315">
        <v>45145.9414930556</v>
      </c>
      <c r="D15" s="315">
        <v>45145.9615162037</v>
      </c>
      <c r="E15" s="314" t="s">
        <v>4624</v>
      </c>
      <c r="F15" s="314" t="s">
        <v>120</v>
      </c>
      <c r="G15" s="316">
        <v>3600000</v>
      </c>
      <c r="H15" t="e">
        <f>VLOOKUP(B:B,代理总表!A:D,3,FALSE)</f>
        <v>#N/A</v>
      </c>
      <c r="I15" t="e">
        <f>VLOOKUP(B:B,代理总表!A:D,4,FALSE)</f>
        <v>#N/A</v>
      </c>
      <c r="J15">
        <f t="shared" si="2"/>
        <v>23</v>
      </c>
      <c r="K15">
        <f t="shared" si="3"/>
        <v>1</v>
      </c>
      <c r="N15" s="318">
        <f t="shared" si="0"/>
        <v>45145</v>
      </c>
      <c r="O15" s="318">
        <f t="shared" si="1"/>
        <v>45145</v>
      </c>
    </row>
    <row r="16" spans="1:15">
      <c r="A16" s="314" t="s">
        <v>516</v>
      </c>
      <c r="B16" s="314" t="s">
        <v>505</v>
      </c>
      <c r="C16" s="315">
        <v>45145.94375</v>
      </c>
      <c r="D16" s="315">
        <v>45145.951087963</v>
      </c>
      <c r="E16" s="314" t="s">
        <v>4624</v>
      </c>
      <c r="F16" s="314" t="s">
        <v>120</v>
      </c>
      <c r="G16" s="316">
        <v>400000</v>
      </c>
      <c r="H16" t="str">
        <f>VLOOKUP(B:B,代理总表!A:D,3,FALSE)</f>
        <v>SOCO越南直播</v>
      </c>
      <c r="I16" t="str">
        <f>VLOOKUP(B:B,代理总表!A:D,4,FALSE)</f>
        <v>SOCO越南直播ffvn66</v>
      </c>
      <c r="J16">
        <f t="shared" si="2"/>
        <v>22</v>
      </c>
      <c r="K16">
        <f t="shared" si="3"/>
        <v>1</v>
      </c>
      <c r="N16" s="318">
        <f t="shared" si="0"/>
        <v>45145</v>
      </c>
      <c r="O16" s="318">
        <f t="shared" si="1"/>
        <v>45145</v>
      </c>
    </row>
    <row r="17" spans="1:15">
      <c r="A17" s="314" t="s">
        <v>971</v>
      </c>
      <c r="B17" s="314" t="s">
        <v>224</v>
      </c>
      <c r="C17" s="315">
        <v>45145.8728472222</v>
      </c>
      <c r="D17" s="315">
        <v>45145.9505902778</v>
      </c>
      <c r="E17" s="314" t="s">
        <v>4624</v>
      </c>
      <c r="F17" s="314" t="s">
        <v>120</v>
      </c>
      <c r="G17" s="316">
        <v>200000</v>
      </c>
      <c r="H17" t="str">
        <f>VLOOKUP(B:B,代理总表!A:D,3,FALSE)</f>
        <v>雨燕直播-越</v>
      </c>
      <c r="I17" t="str">
        <f>VLOOKUP(B:B,代理总表!A:D,4,FALSE)</f>
        <v>雨燕直播-越ffvn66</v>
      </c>
      <c r="J17">
        <f t="shared" si="2"/>
        <v>22</v>
      </c>
      <c r="K17">
        <f t="shared" si="3"/>
        <v>1</v>
      </c>
      <c r="N17" s="318">
        <f t="shared" si="0"/>
        <v>45145</v>
      </c>
      <c r="O17" s="318">
        <f t="shared" si="1"/>
        <v>45145</v>
      </c>
    </row>
    <row r="18" spans="1:15">
      <c r="A18" s="314" t="s">
        <v>525</v>
      </c>
      <c r="B18" s="314" t="s">
        <v>526</v>
      </c>
      <c r="C18" s="315">
        <v>45145.9429050926</v>
      </c>
      <c r="D18" s="315">
        <v>45145.9521180556</v>
      </c>
      <c r="E18" s="314" t="s">
        <v>4624</v>
      </c>
      <c r="F18" s="314" t="s">
        <v>120</v>
      </c>
      <c r="G18" s="316">
        <v>2000000</v>
      </c>
      <c r="H18" t="str">
        <f>VLOOKUP(B:B,代理总表!A:D,3,FALSE)</f>
        <v>SOCO越南直播</v>
      </c>
      <c r="I18" t="str">
        <f>VLOOKUP(B:B,代理总表!A:D,4,FALSE)</f>
        <v>SOCO越南直播ffvn66</v>
      </c>
      <c r="J18">
        <f t="shared" si="2"/>
        <v>22</v>
      </c>
      <c r="K18">
        <f t="shared" si="3"/>
        <v>1</v>
      </c>
      <c r="N18" s="318">
        <f t="shared" si="0"/>
        <v>45145</v>
      </c>
      <c r="O18" s="318">
        <f t="shared" si="1"/>
        <v>45145</v>
      </c>
    </row>
    <row r="19" spans="1:15">
      <c r="A19" s="314" t="s">
        <v>2542</v>
      </c>
      <c r="B19" s="314" t="s">
        <v>197</v>
      </c>
      <c r="C19" s="315">
        <v>45145.6183101852</v>
      </c>
      <c r="D19" s="315">
        <v>45145.9526273148</v>
      </c>
      <c r="E19" s="314" t="s">
        <v>4624</v>
      </c>
      <c r="F19" s="314" t="s">
        <v>120</v>
      </c>
      <c r="G19" s="316">
        <v>4000000</v>
      </c>
      <c r="H19" t="str">
        <f>VLOOKUP(B:B,代理总表!A:D,3,FALSE)</f>
        <v>雨燕直播-越</v>
      </c>
      <c r="I19" t="str">
        <f>VLOOKUP(B:B,代理总表!A:D,4,FALSE)</f>
        <v>雨燕直播-越ffvn66</v>
      </c>
      <c r="J19">
        <f t="shared" si="2"/>
        <v>22</v>
      </c>
      <c r="K19">
        <f t="shared" si="3"/>
        <v>1</v>
      </c>
      <c r="N19" s="318">
        <f t="shared" si="0"/>
        <v>45145</v>
      </c>
      <c r="O19" s="318">
        <f t="shared" si="1"/>
        <v>45145</v>
      </c>
    </row>
    <row r="20" spans="1:15">
      <c r="A20" s="314" t="s">
        <v>549</v>
      </c>
      <c r="B20" s="314" t="s">
        <v>550</v>
      </c>
      <c r="C20" s="315">
        <v>45145.9407523148</v>
      </c>
      <c r="D20" s="315">
        <v>45145.9868981481</v>
      </c>
      <c r="E20" s="314" t="s">
        <v>4624</v>
      </c>
      <c r="F20" s="314" t="s">
        <v>120</v>
      </c>
      <c r="G20" s="314">
        <v>2276287.08</v>
      </c>
      <c r="H20" t="str">
        <f>VLOOKUP(B:B,代理总表!A:D,3,FALSE)</f>
        <v>SOCO越南直播</v>
      </c>
      <c r="I20" t="str">
        <f>VLOOKUP(B:B,代理总表!A:D,4,FALSE)</f>
        <v>SOCO越南直播ffvn66</v>
      </c>
      <c r="J20">
        <f t="shared" si="2"/>
        <v>23</v>
      </c>
      <c r="K20">
        <f t="shared" si="3"/>
        <v>1</v>
      </c>
      <c r="N20" s="318">
        <f t="shared" si="0"/>
        <v>45145</v>
      </c>
      <c r="O20" s="318">
        <f t="shared" si="1"/>
        <v>45145</v>
      </c>
    </row>
    <row r="21" spans="1:15">
      <c r="A21" s="314" t="s">
        <v>663</v>
      </c>
      <c r="B21" s="314" t="s">
        <v>116</v>
      </c>
      <c r="C21" s="315">
        <v>45145.9248842593</v>
      </c>
      <c r="D21" s="315">
        <v>45145.973287037</v>
      </c>
      <c r="E21" s="314" t="s">
        <v>4624</v>
      </c>
      <c r="F21" s="314" t="s">
        <v>120</v>
      </c>
      <c r="G21" s="316">
        <v>3000000</v>
      </c>
      <c r="H21" t="str">
        <f>VLOOKUP(B:B,代理总表!A:D,3,FALSE)</f>
        <v>外部代理总线</v>
      </c>
      <c r="I21" t="str">
        <f>VLOOKUP(B:B,代理总表!A:D,4,FALSE)</f>
        <v>外部代理总线zh0808</v>
      </c>
      <c r="J21">
        <f t="shared" si="2"/>
        <v>23</v>
      </c>
      <c r="K21">
        <f t="shared" si="3"/>
        <v>1</v>
      </c>
      <c r="N21" s="318">
        <f t="shared" si="0"/>
        <v>45145</v>
      </c>
      <c r="O21" s="318">
        <f t="shared" si="1"/>
        <v>45145</v>
      </c>
    </row>
    <row r="22" spans="1:15">
      <c r="A22" s="314" t="s">
        <v>3022</v>
      </c>
      <c r="B22" s="314" t="s">
        <v>197</v>
      </c>
      <c r="C22" s="315">
        <v>45145.5056712963</v>
      </c>
      <c r="D22" s="315">
        <v>45145.9427199074</v>
      </c>
      <c r="E22" s="314" t="s">
        <v>4624</v>
      </c>
      <c r="F22" s="314" t="s">
        <v>120</v>
      </c>
      <c r="G22" s="316">
        <v>500000</v>
      </c>
      <c r="H22" t="str">
        <f>VLOOKUP(B:B,代理总表!A:D,3,FALSE)</f>
        <v>雨燕直播-越</v>
      </c>
      <c r="I22" t="str">
        <f>VLOOKUP(B:B,代理总表!A:D,4,FALSE)</f>
        <v>雨燕直播-越ffvn66</v>
      </c>
      <c r="J22">
        <f t="shared" si="2"/>
        <v>22</v>
      </c>
      <c r="K22">
        <f t="shared" si="3"/>
        <v>1</v>
      </c>
      <c r="N22" s="318">
        <f t="shared" si="0"/>
        <v>45145</v>
      </c>
      <c r="O22" s="318">
        <f t="shared" si="1"/>
        <v>45145</v>
      </c>
    </row>
    <row r="23" spans="1:15">
      <c r="A23" s="314" t="s">
        <v>4629</v>
      </c>
      <c r="B23" s="314" t="s">
        <v>180</v>
      </c>
      <c r="C23" s="315">
        <v>45012.0850462963</v>
      </c>
      <c r="D23" s="315">
        <v>45145.9434259259</v>
      </c>
      <c r="E23" s="314" t="s">
        <v>4624</v>
      </c>
      <c r="F23" s="314" t="s">
        <v>109</v>
      </c>
      <c r="G23" s="316">
        <v>8000</v>
      </c>
      <c r="H23" t="str">
        <f>VLOOKUP(B:B,代理总表!A:D,3,FALSE)</f>
        <v>hugo</v>
      </c>
      <c r="I23" t="str">
        <f>VLOOKUP(B:B,代理总表!A:D,4,FALSE)</f>
        <v>SEO</v>
      </c>
      <c r="J23">
        <f t="shared" si="2"/>
        <v>22</v>
      </c>
      <c r="K23">
        <f t="shared" si="3"/>
        <v>0</v>
      </c>
      <c r="N23" s="318">
        <f t="shared" si="0"/>
        <v>45012</v>
      </c>
      <c r="O23" s="318">
        <f t="shared" si="1"/>
        <v>45145</v>
      </c>
    </row>
    <row r="24" spans="1:15">
      <c r="A24" s="314" t="s">
        <v>612</v>
      </c>
      <c r="B24" s="314" t="s">
        <v>137</v>
      </c>
      <c r="C24" s="315">
        <v>45145.9312962963</v>
      </c>
      <c r="D24" s="315">
        <v>45145.9474074074</v>
      </c>
      <c r="E24" s="314" t="s">
        <v>4624</v>
      </c>
      <c r="F24" s="314" t="s">
        <v>120</v>
      </c>
      <c r="G24" s="316">
        <v>8000000</v>
      </c>
      <c r="H24" t="str">
        <f>VLOOKUP(B:B,代理总表!A:D,3,FALSE)</f>
        <v>雨燕直播-越</v>
      </c>
      <c r="I24" t="str">
        <f>VLOOKUP(B:B,代理总表!A:D,4,FALSE)</f>
        <v>雨燕直播-越ffvn66</v>
      </c>
      <c r="J24">
        <f t="shared" si="2"/>
        <v>22</v>
      </c>
      <c r="K24">
        <f t="shared" si="3"/>
        <v>1</v>
      </c>
      <c r="N24" s="318">
        <f t="shared" si="0"/>
        <v>45145</v>
      </c>
      <c r="O24" s="318">
        <f t="shared" si="1"/>
        <v>45145</v>
      </c>
    </row>
    <row r="25" spans="1:15">
      <c r="A25" s="314" t="s">
        <v>1029</v>
      </c>
      <c r="B25" s="314" t="s">
        <v>651</v>
      </c>
      <c r="C25" s="315">
        <v>45145.8645717593</v>
      </c>
      <c r="D25" s="315">
        <v>45145.9427314815</v>
      </c>
      <c r="E25" s="314" t="s">
        <v>4624</v>
      </c>
      <c r="F25" s="314" t="s">
        <v>120</v>
      </c>
      <c r="G25" s="316">
        <v>1000000</v>
      </c>
      <c r="H25" t="str">
        <f>VLOOKUP(B:B,代理总表!A:D,3,FALSE)</f>
        <v>雨燕直播-越</v>
      </c>
      <c r="I25" t="str">
        <f>VLOOKUP(B:B,代理总表!A:D,4,FALSE)</f>
        <v>雨燕直播-越ffvn66</v>
      </c>
      <c r="J25">
        <f t="shared" si="2"/>
        <v>22</v>
      </c>
      <c r="K25">
        <f t="shared" si="3"/>
        <v>1</v>
      </c>
      <c r="N25" s="318">
        <f t="shared" si="0"/>
        <v>45145</v>
      </c>
      <c r="O25" s="318">
        <f t="shared" si="1"/>
        <v>45145</v>
      </c>
    </row>
    <row r="26" spans="1:15">
      <c r="A26" s="314" t="s">
        <v>701</v>
      </c>
      <c r="B26" s="314" t="s">
        <v>651</v>
      </c>
      <c r="C26" s="315">
        <v>45145.9204976852</v>
      </c>
      <c r="D26" s="315">
        <v>45145.9426388889</v>
      </c>
      <c r="E26" s="314" t="s">
        <v>4624</v>
      </c>
      <c r="F26" s="314" t="s">
        <v>120</v>
      </c>
      <c r="G26" s="316">
        <v>800000</v>
      </c>
      <c r="H26" t="str">
        <f>VLOOKUP(B:B,代理总表!A:D,3,FALSE)</f>
        <v>雨燕直播-越</v>
      </c>
      <c r="I26" t="str">
        <f>VLOOKUP(B:B,代理总表!A:D,4,FALSE)</f>
        <v>雨燕直播-越ffvn66</v>
      </c>
      <c r="J26">
        <f t="shared" si="2"/>
        <v>22</v>
      </c>
      <c r="K26">
        <f t="shared" si="3"/>
        <v>1</v>
      </c>
      <c r="N26" s="318">
        <f t="shared" si="0"/>
        <v>45145</v>
      </c>
      <c r="O26" s="318">
        <f t="shared" si="1"/>
        <v>45145</v>
      </c>
    </row>
    <row r="27" spans="1:15">
      <c r="A27" s="314" t="s">
        <v>4630</v>
      </c>
      <c r="B27" s="314" t="s">
        <v>235</v>
      </c>
      <c r="C27" s="315">
        <v>45143.8543287037</v>
      </c>
      <c r="D27" s="315">
        <v>45145.9434027778</v>
      </c>
      <c r="E27" s="314" t="s">
        <v>4624</v>
      </c>
      <c r="F27" s="314" t="s">
        <v>109</v>
      </c>
      <c r="G27" s="314">
        <v>1041</v>
      </c>
      <c r="H27" t="str">
        <f>VLOOKUP(B:B,代理总表!A:D,3,FALSE)</f>
        <v>aber</v>
      </c>
      <c r="I27" t="str">
        <f>VLOOKUP(B:B,代理总表!A:D,4,FALSE)</f>
        <v>SEO</v>
      </c>
      <c r="J27">
        <f t="shared" si="2"/>
        <v>22</v>
      </c>
      <c r="K27">
        <f t="shared" si="3"/>
        <v>0</v>
      </c>
      <c r="N27" s="318">
        <f t="shared" si="0"/>
        <v>45143</v>
      </c>
      <c r="O27" s="318">
        <f t="shared" si="1"/>
        <v>45145</v>
      </c>
    </row>
    <row r="28" spans="1:15">
      <c r="A28" s="314" t="s">
        <v>600</v>
      </c>
      <c r="B28" s="314" t="s">
        <v>550</v>
      </c>
      <c r="C28" s="315">
        <v>45145.9321064815</v>
      </c>
      <c r="D28" s="315">
        <v>45145.9365277778</v>
      </c>
      <c r="E28" s="314" t="s">
        <v>4624</v>
      </c>
      <c r="F28" s="314" t="s">
        <v>120</v>
      </c>
      <c r="G28" s="316">
        <v>500000</v>
      </c>
      <c r="H28" t="str">
        <f>VLOOKUP(B:B,代理总表!A:D,3,FALSE)</f>
        <v>SOCO越南直播</v>
      </c>
      <c r="I28" t="str">
        <f>VLOOKUP(B:B,代理总表!A:D,4,FALSE)</f>
        <v>SOCO越南直播ffvn66</v>
      </c>
      <c r="J28">
        <f t="shared" si="2"/>
        <v>22</v>
      </c>
      <c r="K28">
        <f t="shared" si="3"/>
        <v>1</v>
      </c>
      <c r="N28" s="318">
        <f t="shared" si="0"/>
        <v>45145</v>
      </c>
      <c r="O28" s="318">
        <f t="shared" si="1"/>
        <v>45145</v>
      </c>
    </row>
    <row r="29" spans="1:15">
      <c r="A29" s="314" t="s">
        <v>771</v>
      </c>
      <c r="B29" s="314" t="s">
        <v>137</v>
      </c>
      <c r="C29" s="315">
        <v>45145.9117708333</v>
      </c>
      <c r="D29" s="315">
        <v>45145.9371990741</v>
      </c>
      <c r="E29" s="314" t="s">
        <v>4624</v>
      </c>
      <c r="F29" s="314" t="s">
        <v>120</v>
      </c>
      <c r="G29" s="316">
        <v>200000</v>
      </c>
      <c r="H29" t="str">
        <f>VLOOKUP(B:B,代理总表!A:D,3,FALSE)</f>
        <v>雨燕直播-越</v>
      </c>
      <c r="I29" t="str">
        <f>VLOOKUP(B:B,代理总表!A:D,4,FALSE)</f>
        <v>雨燕直播-越ffvn66</v>
      </c>
      <c r="J29">
        <f t="shared" si="2"/>
        <v>22</v>
      </c>
      <c r="K29">
        <f t="shared" si="3"/>
        <v>1</v>
      </c>
      <c r="N29" s="318">
        <f t="shared" si="0"/>
        <v>45145</v>
      </c>
      <c r="O29" s="318">
        <f t="shared" si="1"/>
        <v>45145</v>
      </c>
    </row>
    <row r="30" spans="1:15">
      <c r="A30" s="314" t="s">
        <v>900</v>
      </c>
      <c r="B30" s="314" t="s">
        <v>197</v>
      </c>
      <c r="C30" s="315">
        <v>45145.8890856481</v>
      </c>
      <c r="D30" s="315">
        <v>45145.9352314815</v>
      </c>
      <c r="E30" s="314" t="s">
        <v>4624</v>
      </c>
      <c r="F30" s="314" t="s">
        <v>120</v>
      </c>
      <c r="G30" s="316">
        <v>500000</v>
      </c>
      <c r="H30" t="str">
        <f>VLOOKUP(B:B,代理总表!A:D,3,FALSE)</f>
        <v>雨燕直播-越</v>
      </c>
      <c r="I30" t="str">
        <f>VLOOKUP(B:B,代理总表!A:D,4,FALSE)</f>
        <v>雨燕直播-越ffvn66</v>
      </c>
      <c r="J30">
        <f t="shared" si="2"/>
        <v>22</v>
      </c>
      <c r="K30">
        <f t="shared" si="3"/>
        <v>1</v>
      </c>
      <c r="N30" s="318">
        <f t="shared" si="0"/>
        <v>45145</v>
      </c>
      <c r="O30" s="318">
        <f t="shared" si="1"/>
        <v>45145</v>
      </c>
    </row>
    <row r="31" spans="1:15">
      <c r="A31" s="314" t="s">
        <v>1230</v>
      </c>
      <c r="B31" s="314" t="s">
        <v>445</v>
      </c>
      <c r="C31" s="315">
        <v>45145.8287731481</v>
      </c>
      <c r="D31" s="315">
        <v>45145.9334606481</v>
      </c>
      <c r="E31" s="314" t="s">
        <v>4624</v>
      </c>
      <c r="F31" s="314" t="s">
        <v>120</v>
      </c>
      <c r="G31" s="316">
        <v>100000</v>
      </c>
      <c r="H31" t="str">
        <f>VLOOKUP(B:B,代理总表!A:D,3,FALSE)</f>
        <v>SOCO越南直播</v>
      </c>
      <c r="I31" t="str">
        <f>VLOOKUP(B:B,代理总表!A:D,4,FALSE)</f>
        <v>SOCO越南直播ffvn66</v>
      </c>
      <c r="J31">
        <f t="shared" si="2"/>
        <v>22</v>
      </c>
      <c r="K31">
        <f t="shared" si="3"/>
        <v>1</v>
      </c>
      <c r="N31" s="318">
        <f t="shared" si="0"/>
        <v>45145</v>
      </c>
      <c r="O31" s="318">
        <f t="shared" si="1"/>
        <v>45145</v>
      </c>
    </row>
    <row r="32" spans="1:15">
      <c r="A32" s="314" t="s">
        <v>633</v>
      </c>
      <c r="B32" s="314" t="s">
        <v>635</v>
      </c>
      <c r="C32" s="315">
        <v>45145.928125</v>
      </c>
      <c r="D32" s="315">
        <v>45145.9326041667</v>
      </c>
      <c r="E32" s="314" t="s">
        <v>4624</v>
      </c>
      <c r="F32" s="314" t="s">
        <v>120</v>
      </c>
      <c r="G32" s="316">
        <v>100000</v>
      </c>
      <c r="H32" t="str">
        <f>VLOOKUP(B:B,代理总表!A:D,3,FALSE)</f>
        <v>外部代理总线</v>
      </c>
      <c r="I32" t="str">
        <f>VLOOKUP(B:B,代理总表!A:D,4,FALSE)</f>
        <v>外部代理总线zh0808</v>
      </c>
      <c r="J32">
        <f t="shared" si="2"/>
        <v>22</v>
      </c>
      <c r="K32">
        <f t="shared" si="3"/>
        <v>1</v>
      </c>
      <c r="N32" s="318">
        <f t="shared" si="0"/>
        <v>45145</v>
      </c>
      <c r="O32" s="318">
        <f t="shared" si="1"/>
        <v>45145</v>
      </c>
    </row>
    <row r="33" spans="1:15">
      <c r="A33" s="314" t="s">
        <v>732</v>
      </c>
      <c r="B33" s="314" t="s">
        <v>249</v>
      </c>
      <c r="C33" s="315">
        <v>45145.917037037</v>
      </c>
      <c r="D33" s="315">
        <v>45145.9315162037</v>
      </c>
      <c r="E33" s="314" t="s">
        <v>4624</v>
      </c>
      <c r="F33" s="314" t="s">
        <v>109</v>
      </c>
      <c r="G33" s="316">
        <v>300</v>
      </c>
      <c r="H33" t="str">
        <f>VLOOKUP(B:B,代理总表!A:D,3,FALSE)</f>
        <v>飞哥雨燕直播</v>
      </c>
      <c r="I33" t="str">
        <f>VLOOKUP(B:B,代理总表!A:D,4,FALSE)</f>
        <v>飞哥雨燕直播ffmk88</v>
      </c>
      <c r="J33">
        <f t="shared" si="2"/>
        <v>22</v>
      </c>
      <c r="K33">
        <f t="shared" si="3"/>
        <v>1</v>
      </c>
      <c r="N33" s="318">
        <f t="shared" si="0"/>
        <v>45145</v>
      </c>
      <c r="O33" s="318">
        <f t="shared" si="1"/>
        <v>45145</v>
      </c>
    </row>
    <row r="34" spans="1:15">
      <c r="A34" s="314" t="s">
        <v>4561</v>
      </c>
      <c r="B34" s="314" t="s">
        <v>805</v>
      </c>
      <c r="C34" s="315">
        <v>45145.0052199074</v>
      </c>
      <c r="D34" s="315">
        <v>45145.9299074074</v>
      </c>
      <c r="E34" s="314" t="s">
        <v>4624</v>
      </c>
      <c r="F34" s="314" t="s">
        <v>109</v>
      </c>
      <c r="G34" s="316">
        <v>100</v>
      </c>
      <c r="H34" t="str">
        <f>VLOOKUP(B:B,代理总表!A:D,3,FALSE)</f>
        <v>飞哥雨燕直播</v>
      </c>
      <c r="I34" t="str">
        <f>VLOOKUP(B:B,代理总表!A:D,4,FALSE)</f>
        <v>飞哥雨燕直播ffmk88</v>
      </c>
      <c r="J34">
        <f t="shared" si="2"/>
        <v>22</v>
      </c>
      <c r="K34">
        <f t="shared" si="3"/>
        <v>1</v>
      </c>
      <c r="N34" s="318">
        <f t="shared" si="0"/>
        <v>45145</v>
      </c>
      <c r="O34" s="318">
        <f t="shared" si="1"/>
        <v>45145</v>
      </c>
    </row>
    <row r="35" spans="1:15">
      <c r="A35" s="314" t="s">
        <v>4631</v>
      </c>
      <c r="B35" s="314" t="s">
        <v>1109</v>
      </c>
      <c r="C35" s="315">
        <v>45144.9740740741</v>
      </c>
      <c r="D35" s="315">
        <v>45145.7172337963</v>
      </c>
      <c r="E35" s="314" t="s">
        <v>4624</v>
      </c>
      <c r="F35" s="314" t="s">
        <v>109</v>
      </c>
      <c r="G35" s="316">
        <v>300</v>
      </c>
      <c r="H35" t="str">
        <f>VLOOKUP(B:B,代理总表!A:D,3,FALSE)</f>
        <v>飞哥雨燕直播</v>
      </c>
      <c r="I35" t="str">
        <f>VLOOKUP(B:B,代理总表!A:D,4,FALSE)</f>
        <v>飞哥雨燕直播ffmk88</v>
      </c>
      <c r="J35">
        <f t="shared" si="2"/>
        <v>17</v>
      </c>
      <c r="K35">
        <f t="shared" si="3"/>
        <v>0</v>
      </c>
      <c r="N35" s="318">
        <f t="shared" si="0"/>
        <v>45144</v>
      </c>
      <c r="O35" s="318">
        <f t="shared" si="1"/>
        <v>45145</v>
      </c>
    </row>
    <row r="36" spans="1:15">
      <c r="A36" s="314" t="s">
        <v>777</v>
      </c>
      <c r="B36" s="314" t="s">
        <v>778</v>
      </c>
      <c r="C36" s="315">
        <v>45145.911724537</v>
      </c>
      <c r="D36" s="315">
        <v>45145.9328703704</v>
      </c>
      <c r="E36" s="314" t="s">
        <v>4624</v>
      </c>
      <c r="F36" s="314" t="s">
        <v>415</v>
      </c>
      <c r="G36" s="316">
        <v>880</v>
      </c>
      <c r="H36" t="e">
        <f>VLOOKUP(B:B,代理总表!A:D,3,FALSE)</f>
        <v>#N/A</v>
      </c>
      <c r="I36" t="e">
        <f>VLOOKUP(B:B,代理总表!A:D,4,FALSE)</f>
        <v>#N/A</v>
      </c>
      <c r="J36">
        <f t="shared" si="2"/>
        <v>22</v>
      </c>
      <c r="K36">
        <f t="shared" si="3"/>
        <v>1</v>
      </c>
      <c r="N36" s="318">
        <f t="shared" si="0"/>
        <v>45145</v>
      </c>
      <c r="O36" s="318">
        <f t="shared" si="1"/>
        <v>45145</v>
      </c>
    </row>
    <row r="37" spans="1:15">
      <c r="A37" s="314" t="s">
        <v>1093</v>
      </c>
      <c r="B37" s="314" t="s">
        <v>197</v>
      </c>
      <c r="C37" s="315">
        <v>45145.8510069444</v>
      </c>
      <c r="D37" s="315">
        <v>45145.9302430556</v>
      </c>
      <c r="E37" s="314" t="s">
        <v>4624</v>
      </c>
      <c r="F37" s="314" t="s">
        <v>120</v>
      </c>
      <c r="G37" s="316">
        <v>15000000</v>
      </c>
      <c r="H37" t="str">
        <f>VLOOKUP(B:B,代理总表!A:D,3,FALSE)</f>
        <v>雨燕直播-越</v>
      </c>
      <c r="I37" t="str">
        <f>VLOOKUP(B:B,代理总表!A:D,4,FALSE)</f>
        <v>雨燕直播-越ffvn66</v>
      </c>
      <c r="J37">
        <f t="shared" si="2"/>
        <v>22</v>
      </c>
      <c r="K37">
        <f t="shared" si="3"/>
        <v>1</v>
      </c>
      <c r="N37" s="318">
        <f t="shared" si="0"/>
        <v>45145</v>
      </c>
      <c r="O37" s="318">
        <f t="shared" si="1"/>
        <v>45145</v>
      </c>
    </row>
    <row r="38" spans="1:15">
      <c r="A38" s="314" t="s">
        <v>752</v>
      </c>
      <c r="B38" s="314" t="s">
        <v>754</v>
      </c>
      <c r="C38" s="315">
        <v>45145.9134259259</v>
      </c>
      <c r="D38" s="315">
        <v>45145.9248032407</v>
      </c>
      <c r="E38" s="314" t="s">
        <v>4624</v>
      </c>
      <c r="F38" s="314" t="s">
        <v>109</v>
      </c>
      <c r="G38" s="316">
        <v>100</v>
      </c>
      <c r="H38" t="str">
        <f>VLOOKUP(B:B,代理总表!A:D,3,FALSE)</f>
        <v>SEO掉线用户转线</v>
      </c>
      <c r="I38" t="str">
        <f>VLOOKUP(B:B,代理总表!A:D,4,FALSE)</f>
        <v>SEO</v>
      </c>
      <c r="J38">
        <f t="shared" si="2"/>
        <v>22</v>
      </c>
      <c r="K38">
        <f t="shared" si="3"/>
        <v>1</v>
      </c>
      <c r="N38" s="318">
        <f t="shared" si="0"/>
        <v>45145</v>
      </c>
      <c r="O38" s="318">
        <f t="shared" si="1"/>
        <v>45145</v>
      </c>
    </row>
    <row r="39" spans="1:15">
      <c r="A39" s="314" t="s">
        <v>4632</v>
      </c>
      <c r="B39" s="314" t="s">
        <v>3232</v>
      </c>
      <c r="C39" s="315">
        <v>44987.8061805556</v>
      </c>
      <c r="D39" s="315">
        <v>45145.9363773148</v>
      </c>
      <c r="E39" s="314" t="s">
        <v>4624</v>
      </c>
      <c r="F39" s="314" t="s">
        <v>109</v>
      </c>
      <c r="G39" s="314">
        <v>502</v>
      </c>
      <c r="H39" t="str">
        <f>VLOOKUP(B:B,代理总表!A:D,3,FALSE)</f>
        <v>小Peter</v>
      </c>
      <c r="I39" t="str">
        <f>VLOOKUP(B:B,代理总表!A:D,4,FALSE)</f>
        <v>小Peterbtydl0020</v>
      </c>
      <c r="J39">
        <f t="shared" si="2"/>
        <v>22</v>
      </c>
      <c r="K39">
        <f t="shared" si="3"/>
        <v>0</v>
      </c>
      <c r="N39" s="318">
        <f t="shared" si="0"/>
        <v>44987</v>
      </c>
      <c r="O39" s="318">
        <f t="shared" si="1"/>
        <v>45145</v>
      </c>
    </row>
    <row r="40" spans="1:15">
      <c r="A40" s="314" t="s">
        <v>4633</v>
      </c>
      <c r="B40" s="314" t="s">
        <v>197</v>
      </c>
      <c r="C40" s="315">
        <v>45132.7402199074</v>
      </c>
      <c r="D40" s="315">
        <v>45145.9257523148</v>
      </c>
      <c r="E40" s="314" t="s">
        <v>4624</v>
      </c>
      <c r="F40" s="314" t="s">
        <v>120</v>
      </c>
      <c r="G40" s="316">
        <v>6000000</v>
      </c>
      <c r="H40" t="str">
        <f>VLOOKUP(B:B,代理总表!A:D,3,FALSE)</f>
        <v>雨燕直播-越</v>
      </c>
      <c r="I40" t="str">
        <f>VLOOKUP(B:B,代理总表!A:D,4,FALSE)</f>
        <v>雨燕直播-越ffvn66</v>
      </c>
      <c r="J40">
        <f t="shared" si="2"/>
        <v>22</v>
      </c>
      <c r="K40">
        <f t="shared" si="3"/>
        <v>0</v>
      </c>
      <c r="N40" s="318">
        <f t="shared" si="0"/>
        <v>45132</v>
      </c>
      <c r="O40" s="318">
        <f t="shared" si="1"/>
        <v>45145</v>
      </c>
    </row>
    <row r="41" spans="1:15">
      <c r="A41" s="314" t="s">
        <v>4634</v>
      </c>
      <c r="B41" s="314" t="s">
        <v>754</v>
      </c>
      <c r="C41" s="315">
        <v>45143.8528472222</v>
      </c>
      <c r="D41" s="315">
        <v>45145.9234722222</v>
      </c>
      <c r="E41" s="314" t="s">
        <v>4624</v>
      </c>
      <c r="F41" s="314" t="s">
        <v>109</v>
      </c>
      <c r="G41" s="316">
        <v>500</v>
      </c>
      <c r="H41" t="str">
        <f>VLOOKUP(B:B,代理总表!A:D,3,FALSE)</f>
        <v>SEO掉线用户转线</v>
      </c>
      <c r="I41" t="str">
        <f>VLOOKUP(B:B,代理总表!A:D,4,FALSE)</f>
        <v>SEO</v>
      </c>
      <c r="J41">
        <f t="shared" si="2"/>
        <v>22</v>
      </c>
      <c r="K41">
        <f t="shared" si="3"/>
        <v>0</v>
      </c>
      <c r="N41" s="318">
        <f t="shared" si="0"/>
        <v>45143</v>
      </c>
      <c r="O41" s="318">
        <f t="shared" si="1"/>
        <v>45145</v>
      </c>
    </row>
    <row r="42" spans="1:15">
      <c r="A42" s="314" t="s">
        <v>4635</v>
      </c>
      <c r="B42" s="314" t="s">
        <v>505</v>
      </c>
      <c r="C42" s="315">
        <v>44811.9899074074</v>
      </c>
      <c r="D42" s="315">
        <v>45145.9236574074</v>
      </c>
      <c r="E42" s="314" t="s">
        <v>4624</v>
      </c>
      <c r="F42" s="314" t="s">
        <v>120</v>
      </c>
      <c r="G42" s="316">
        <v>100000</v>
      </c>
      <c r="H42" t="str">
        <f>VLOOKUP(B:B,代理总表!A:D,3,FALSE)</f>
        <v>SOCO越南直播</v>
      </c>
      <c r="I42" t="str">
        <f>VLOOKUP(B:B,代理总表!A:D,4,FALSE)</f>
        <v>SOCO越南直播ffvn66</v>
      </c>
      <c r="J42">
        <f t="shared" si="2"/>
        <v>22</v>
      </c>
      <c r="K42">
        <f t="shared" si="3"/>
        <v>0</v>
      </c>
      <c r="N42" s="318">
        <f t="shared" si="0"/>
        <v>44811</v>
      </c>
      <c r="O42" s="318">
        <f t="shared" si="1"/>
        <v>45145</v>
      </c>
    </row>
    <row r="43" spans="1:15">
      <c r="A43" s="314" t="s">
        <v>4636</v>
      </c>
      <c r="B43" s="314" t="s">
        <v>651</v>
      </c>
      <c r="C43" s="315">
        <v>45138.7889930556</v>
      </c>
      <c r="D43" s="315">
        <v>45145.922962963</v>
      </c>
      <c r="E43" s="314" t="s">
        <v>4624</v>
      </c>
      <c r="F43" s="314" t="s">
        <v>120</v>
      </c>
      <c r="G43" s="316">
        <v>100000</v>
      </c>
      <c r="H43" t="str">
        <f>VLOOKUP(B:B,代理总表!A:D,3,FALSE)</f>
        <v>雨燕直播-越</v>
      </c>
      <c r="I43" t="str">
        <f>VLOOKUP(B:B,代理总表!A:D,4,FALSE)</f>
        <v>雨燕直播-越ffvn66</v>
      </c>
      <c r="J43">
        <f t="shared" si="2"/>
        <v>22</v>
      </c>
      <c r="K43">
        <f t="shared" si="3"/>
        <v>0</v>
      </c>
      <c r="N43" s="318">
        <f t="shared" si="0"/>
        <v>45138</v>
      </c>
      <c r="O43" s="318">
        <f t="shared" si="1"/>
        <v>45145</v>
      </c>
    </row>
    <row r="44" spans="1:15">
      <c r="A44" s="314" t="s">
        <v>764</v>
      </c>
      <c r="B44" s="314" t="s">
        <v>148</v>
      </c>
      <c r="C44" s="315">
        <v>45145.9125925926</v>
      </c>
      <c r="D44" s="315">
        <v>45145.9270486111</v>
      </c>
      <c r="E44" s="314" t="s">
        <v>4624</v>
      </c>
      <c r="F44" s="314" t="s">
        <v>109</v>
      </c>
      <c r="G44" s="316">
        <v>1000</v>
      </c>
      <c r="H44" t="str">
        <f>VLOOKUP(B:B,代理总表!A:D,3,FALSE)</f>
        <v>martin</v>
      </c>
      <c r="I44" t="str">
        <f>VLOOKUP(B:B,代理总表!A:D,4,FALSE)</f>
        <v>SEO</v>
      </c>
      <c r="J44">
        <f t="shared" si="2"/>
        <v>22</v>
      </c>
      <c r="K44">
        <f t="shared" si="3"/>
        <v>1</v>
      </c>
      <c r="N44" s="318">
        <f t="shared" si="0"/>
        <v>45145</v>
      </c>
      <c r="O44" s="318">
        <f t="shared" si="1"/>
        <v>45145</v>
      </c>
    </row>
    <row r="45" spans="1:15">
      <c r="A45" s="314" t="s">
        <v>854</v>
      </c>
      <c r="B45" s="314" t="s">
        <v>855</v>
      </c>
      <c r="C45" s="315">
        <v>45145.8993634259</v>
      </c>
      <c r="D45" s="315">
        <v>45145.918287037</v>
      </c>
      <c r="E45" s="314" t="s">
        <v>4624</v>
      </c>
      <c r="F45" s="314" t="s">
        <v>415</v>
      </c>
      <c r="G45" s="314">
        <v>886</v>
      </c>
      <c r="H45" t="e">
        <f>VLOOKUP(B:B,代理总表!A:D,3,FALSE)</f>
        <v>#N/A</v>
      </c>
      <c r="I45" t="e">
        <f>VLOOKUP(B:B,代理总表!A:D,4,FALSE)</f>
        <v>#N/A</v>
      </c>
      <c r="J45">
        <f t="shared" si="2"/>
        <v>22</v>
      </c>
      <c r="K45">
        <f t="shared" si="3"/>
        <v>1</v>
      </c>
      <c r="N45" s="318">
        <f t="shared" si="0"/>
        <v>45145</v>
      </c>
      <c r="O45" s="318">
        <f t="shared" si="1"/>
        <v>45145</v>
      </c>
    </row>
    <row r="46" spans="1:15">
      <c r="A46" s="314" t="s">
        <v>4637</v>
      </c>
      <c r="B46" s="314" t="s">
        <v>754</v>
      </c>
      <c r="C46" s="315">
        <v>45140.8559953704</v>
      </c>
      <c r="D46" s="315">
        <v>45145.9140740741</v>
      </c>
      <c r="E46" s="314" t="s">
        <v>4624</v>
      </c>
      <c r="F46" s="314" t="s">
        <v>109</v>
      </c>
      <c r="G46" s="316">
        <v>100</v>
      </c>
      <c r="H46" t="str">
        <f>VLOOKUP(B:B,代理总表!A:D,3,FALSE)</f>
        <v>SEO掉线用户转线</v>
      </c>
      <c r="I46" t="str">
        <f>VLOOKUP(B:B,代理总表!A:D,4,FALSE)</f>
        <v>SEO</v>
      </c>
      <c r="J46">
        <f t="shared" si="2"/>
        <v>21</v>
      </c>
      <c r="K46">
        <f t="shared" si="3"/>
        <v>0</v>
      </c>
      <c r="N46" s="318">
        <f t="shared" si="0"/>
        <v>45140</v>
      </c>
      <c r="O46" s="318">
        <f t="shared" si="1"/>
        <v>45145</v>
      </c>
    </row>
    <row r="47" spans="1:15">
      <c r="A47" s="314" t="s">
        <v>2757</v>
      </c>
      <c r="B47" s="314" t="s">
        <v>505</v>
      </c>
      <c r="C47" s="315">
        <v>45145.5665393519</v>
      </c>
      <c r="D47" s="315">
        <v>45145.9103125</v>
      </c>
      <c r="E47" s="314" t="s">
        <v>4624</v>
      </c>
      <c r="F47" s="314" t="s">
        <v>120</v>
      </c>
      <c r="G47" s="316">
        <v>200000</v>
      </c>
      <c r="H47" t="str">
        <f>VLOOKUP(B:B,代理总表!A:D,3,FALSE)</f>
        <v>SOCO越南直播</v>
      </c>
      <c r="I47" t="str">
        <f>VLOOKUP(B:B,代理总表!A:D,4,FALSE)</f>
        <v>SOCO越南直播ffvn66</v>
      </c>
      <c r="J47">
        <f t="shared" si="2"/>
        <v>21</v>
      </c>
      <c r="K47">
        <f t="shared" si="3"/>
        <v>1</v>
      </c>
      <c r="N47" s="318">
        <f t="shared" si="0"/>
        <v>45145</v>
      </c>
      <c r="O47" s="318">
        <f t="shared" si="1"/>
        <v>45145</v>
      </c>
    </row>
    <row r="48" spans="1:15">
      <c r="A48" s="314" t="s">
        <v>838</v>
      </c>
      <c r="B48" s="314" t="s">
        <v>651</v>
      </c>
      <c r="C48" s="315">
        <v>45145.901412037</v>
      </c>
      <c r="D48" s="315">
        <v>45145.9114699074</v>
      </c>
      <c r="E48" s="314" t="s">
        <v>4624</v>
      </c>
      <c r="F48" s="314" t="s">
        <v>120</v>
      </c>
      <c r="G48" s="316">
        <v>1000000</v>
      </c>
      <c r="H48" t="str">
        <f>VLOOKUP(B:B,代理总表!A:D,3,FALSE)</f>
        <v>雨燕直播-越</v>
      </c>
      <c r="I48" t="str">
        <f>VLOOKUP(B:B,代理总表!A:D,4,FALSE)</f>
        <v>雨燕直播-越ffvn66</v>
      </c>
      <c r="J48">
        <f t="shared" si="2"/>
        <v>21</v>
      </c>
      <c r="K48">
        <f t="shared" si="3"/>
        <v>1</v>
      </c>
      <c r="N48" s="318">
        <f t="shared" si="0"/>
        <v>45145</v>
      </c>
      <c r="O48" s="318">
        <f t="shared" si="1"/>
        <v>45145</v>
      </c>
    </row>
    <row r="49" spans="1:15">
      <c r="A49" s="314" t="s">
        <v>1065</v>
      </c>
      <c r="B49" s="314" t="s">
        <v>103</v>
      </c>
      <c r="C49" s="315">
        <v>45145.8555324074</v>
      </c>
      <c r="D49" s="315">
        <v>45145.9085763889</v>
      </c>
      <c r="E49" s="314" t="s">
        <v>4624</v>
      </c>
      <c r="F49" s="314" t="s">
        <v>120</v>
      </c>
      <c r="G49" s="316">
        <v>50000</v>
      </c>
      <c r="H49" t="str">
        <f>VLOOKUP(B:B,代理总表!A:D,3,FALSE)</f>
        <v>官网</v>
      </c>
      <c r="I49" t="str">
        <f>VLOOKUP(B:B,代理总表!A:D,4,FALSE)</f>
        <v>官网</v>
      </c>
      <c r="J49">
        <f t="shared" si="2"/>
        <v>21</v>
      </c>
      <c r="K49">
        <f t="shared" si="3"/>
        <v>1</v>
      </c>
      <c r="N49" s="318">
        <f t="shared" si="0"/>
        <v>45145</v>
      </c>
      <c r="O49" s="318">
        <f t="shared" si="1"/>
        <v>45145</v>
      </c>
    </row>
    <row r="50" spans="1:15">
      <c r="A50" s="314" t="s">
        <v>872</v>
      </c>
      <c r="B50" s="314" t="s">
        <v>197</v>
      </c>
      <c r="C50" s="315">
        <v>45145.8946875</v>
      </c>
      <c r="D50" s="315">
        <v>45145.9026388889</v>
      </c>
      <c r="E50" s="314" t="s">
        <v>4624</v>
      </c>
      <c r="F50" s="314" t="s">
        <v>120</v>
      </c>
      <c r="G50" s="316">
        <v>200000</v>
      </c>
      <c r="H50" t="str">
        <f>VLOOKUP(B:B,代理总表!A:D,3,FALSE)</f>
        <v>雨燕直播-越</v>
      </c>
      <c r="I50" t="str">
        <f>VLOOKUP(B:B,代理总表!A:D,4,FALSE)</f>
        <v>雨燕直播-越ffvn66</v>
      </c>
      <c r="J50">
        <f t="shared" si="2"/>
        <v>21</v>
      </c>
      <c r="K50">
        <f t="shared" si="3"/>
        <v>1</v>
      </c>
      <c r="N50" s="318">
        <f t="shared" si="0"/>
        <v>45145</v>
      </c>
      <c r="O50" s="318">
        <f t="shared" si="1"/>
        <v>45145</v>
      </c>
    </row>
    <row r="51" spans="1:15">
      <c r="A51" s="314" t="s">
        <v>1348</v>
      </c>
      <c r="B51" s="314" t="s">
        <v>143</v>
      </c>
      <c r="C51" s="315">
        <v>45145.8073611111</v>
      </c>
      <c r="D51" s="315">
        <v>45145.9063310185</v>
      </c>
      <c r="E51" s="314" t="s">
        <v>4624</v>
      </c>
      <c r="F51" s="314" t="s">
        <v>120</v>
      </c>
      <c r="G51" s="316">
        <v>450000</v>
      </c>
      <c r="H51" t="str">
        <f>VLOOKUP(B:B,代理总表!A:D,3,FALSE)</f>
        <v>雨燕直播-越</v>
      </c>
      <c r="I51" t="str">
        <f>VLOOKUP(B:B,代理总表!A:D,4,FALSE)</f>
        <v>雨燕直播-越ffvn66</v>
      </c>
      <c r="J51">
        <f t="shared" si="2"/>
        <v>21</v>
      </c>
      <c r="K51">
        <f t="shared" si="3"/>
        <v>1</v>
      </c>
      <c r="N51" s="318">
        <f t="shared" si="0"/>
        <v>45145</v>
      </c>
      <c r="O51" s="318">
        <f t="shared" si="1"/>
        <v>45145</v>
      </c>
    </row>
    <row r="52" spans="1:15">
      <c r="A52" s="314" t="s">
        <v>2298</v>
      </c>
      <c r="B52" s="314" t="s">
        <v>1021</v>
      </c>
      <c r="C52" s="315">
        <v>45145.6612615741</v>
      </c>
      <c r="D52" s="315">
        <v>45145.9012847222</v>
      </c>
      <c r="E52" s="314" t="s">
        <v>4624</v>
      </c>
      <c r="F52" s="314" t="s">
        <v>120</v>
      </c>
      <c r="G52" s="316">
        <v>10000000</v>
      </c>
      <c r="H52" t="str">
        <f>VLOOKUP(B:B,代理总表!A:D,3,FALSE)</f>
        <v>SOCO越南直播</v>
      </c>
      <c r="I52" t="str">
        <f>VLOOKUP(B:B,代理总表!A:D,4,FALSE)</f>
        <v>SOCO越南直播ffvn66</v>
      </c>
      <c r="J52">
        <f t="shared" si="2"/>
        <v>21</v>
      </c>
      <c r="K52">
        <f t="shared" si="3"/>
        <v>1</v>
      </c>
      <c r="N52" s="318">
        <f t="shared" si="0"/>
        <v>45145</v>
      </c>
      <c r="O52" s="318">
        <f t="shared" si="1"/>
        <v>45145</v>
      </c>
    </row>
    <row r="53" spans="1:15">
      <c r="A53" s="314" t="s">
        <v>999</v>
      </c>
      <c r="B53" s="314" t="s">
        <v>276</v>
      </c>
      <c r="C53" s="315">
        <v>45145.8700578704</v>
      </c>
      <c r="D53" s="315">
        <v>45145.9024189815</v>
      </c>
      <c r="E53" s="314" t="s">
        <v>4624</v>
      </c>
      <c r="F53" s="314" t="s">
        <v>109</v>
      </c>
      <c r="G53" s="316">
        <v>200</v>
      </c>
      <c r="H53" t="str">
        <f>VLOOKUP(B:B,代理总表!A:D,3,FALSE)</f>
        <v>飞哥雨燕直播</v>
      </c>
      <c r="I53" t="str">
        <f>VLOOKUP(B:B,代理总表!A:D,4,FALSE)</f>
        <v>飞哥雨燕直播ffmk88</v>
      </c>
      <c r="J53">
        <f t="shared" si="2"/>
        <v>21</v>
      </c>
      <c r="K53">
        <f t="shared" si="3"/>
        <v>1</v>
      </c>
      <c r="N53" s="318">
        <f t="shared" si="0"/>
        <v>45145</v>
      </c>
      <c r="O53" s="318">
        <f t="shared" si="1"/>
        <v>45145</v>
      </c>
    </row>
    <row r="54" spans="1:15">
      <c r="A54" s="314" t="s">
        <v>956</v>
      </c>
      <c r="B54" s="314" t="s">
        <v>205</v>
      </c>
      <c r="C54" s="315">
        <v>45145.8766782407</v>
      </c>
      <c r="D54" s="315">
        <v>45145.8989351852</v>
      </c>
      <c r="E54" s="314" t="s">
        <v>4624</v>
      </c>
      <c r="F54" s="314" t="s">
        <v>109</v>
      </c>
      <c r="G54" s="316">
        <v>500</v>
      </c>
      <c r="H54" t="str">
        <f>VLOOKUP(B:B,代理总表!A:D,3,FALSE)</f>
        <v>ben</v>
      </c>
      <c r="I54" t="str">
        <f>VLOOKUP(B:B,代理总表!A:D,4,FALSE)</f>
        <v>SEO</v>
      </c>
      <c r="J54">
        <f t="shared" si="2"/>
        <v>21</v>
      </c>
      <c r="K54">
        <f t="shared" si="3"/>
        <v>1</v>
      </c>
      <c r="N54" s="318">
        <f t="shared" si="0"/>
        <v>45145</v>
      </c>
      <c r="O54" s="318">
        <f t="shared" si="1"/>
        <v>45145</v>
      </c>
    </row>
    <row r="55" spans="1:15">
      <c r="A55" s="314" t="s">
        <v>4638</v>
      </c>
      <c r="B55" s="314" t="s">
        <v>205</v>
      </c>
      <c r="C55" s="315">
        <v>45056.8458912037</v>
      </c>
      <c r="D55" s="315">
        <v>45145.8971990741</v>
      </c>
      <c r="E55" s="314" t="s">
        <v>4624</v>
      </c>
      <c r="F55" s="314" t="s">
        <v>109</v>
      </c>
      <c r="G55" s="316">
        <v>100</v>
      </c>
      <c r="H55" t="str">
        <f>VLOOKUP(B:B,代理总表!A:D,3,FALSE)</f>
        <v>ben</v>
      </c>
      <c r="I55" t="str">
        <f>VLOOKUP(B:B,代理总表!A:D,4,FALSE)</f>
        <v>SEO</v>
      </c>
      <c r="J55">
        <f t="shared" si="2"/>
        <v>21</v>
      </c>
      <c r="K55">
        <f t="shared" si="3"/>
        <v>0</v>
      </c>
      <c r="N55" s="318">
        <f t="shared" si="0"/>
        <v>45056</v>
      </c>
      <c r="O55" s="318">
        <f t="shared" si="1"/>
        <v>45145</v>
      </c>
    </row>
    <row r="56" spans="1:15">
      <c r="A56" s="314" t="s">
        <v>1148</v>
      </c>
      <c r="B56" s="314" t="s">
        <v>1150</v>
      </c>
      <c r="C56" s="315">
        <v>45145.8401967593</v>
      </c>
      <c r="D56" s="315">
        <v>45145.893125</v>
      </c>
      <c r="E56" s="314" t="s">
        <v>4624</v>
      </c>
      <c r="F56" s="314" t="s">
        <v>120</v>
      </c>
      <c r="G56" s="316">
        <v>50000</v>
      </c>
      <c r="H56" t="e">
        <f>VLOOKUP(B:B,代理总表!A:D,3,FALSE)</f>
        <v>#N/A</v>
      </c>
      <c r="I56" t="e">
        <f>VLOOKUP(B:B,代理总表!A:D,4,FALSE)</f>
        <v>#N/A</v>
      </c>
      <c r="J56">
        <f t="shared" si="2"/>
        <v>21</v>
      </c>
      <c r="K56">
        <f t="shared" si="3"/>
        <v>1</v>
      </c>
      <c r="N56" s="318">
        <f t="shared" si="0"/>
        <v>45145</v>
      </c>
      <c r="O56" s="318">
        <f t="shared" si="1"/>
        <v>45145</v>
      </c>
    </row>
    <row r="57" spans="1:15">
      <c r="A57" s="314" t="s">
        <v>925</v>
      </c>
      <c r="B57" s="314" t="s">
        <v>259</v>
      </c>
      <c r="C57" s="315">
        <v>45145.8814814815</v>
      </c>
      <c r="D57" s="315">
        <v>45145.8877893519</v>
      </c>
      <c r="E57" s="314" t="s">
        <v>4624</v>
      </c>
      <c r="F57" s="314" t="s">
        <v>109</v>
      </c>
      <c r="G57" s="316">
        <v>500</v>
      </c>
      <c r="H57" t="str">
        <f>VLOOKUP(B:B,代理总表!A:D,3,FALSE)</f>
        <v>tony</v>
      </c>
      <c r="I57" t="str">
        <f>VLOOKUP(B:B,代理总表!A:D,4,FALSE)</f>
        <v>SEO</v>
      </c>
      <c r="J57">
        <f t="shared" si="2"/>
        <v>21</v>
      </c>
      <c r="K57">
        <f t="shared" si="3"/>
        <v>1</v>
      </c>
      <c r="N57" s="318">
        <f t="shared" si="0"/>
        <v>45145</v>
      </c>
      <c r="O57" s="318">
        <f t="shared" si="1"/>
        <v>45145</v>
      </c>
    </row>
    <row r="58" spans="1:15">
      <c r="A58" s="314" t="s">
        <v>911</v>
      </c>
      <c r="B58" s="314" t="s">
        <v>594</v>
      </c>
      <c r="C58" s="315">
        <v>45145.8841666667</v>
      </c>
      <c r="D58" s="315">
        <v>45145.8870601852</v>
      </c>
      <c r="E58" s="314" t="s">
        <v>4624</v>
      </c>
      <c r="F58" s="314" t="s">
        <v>109</v>
      </c>
      <c r="G58" s="316">
        <v>100</v>
      </c>
      <c r="H58" t="str">
        <f>VLOOKUP(B:B,代理总表!A:D,3,FALSE)</f>
        <v>zed</v>
      </c>
      <c r="I58" t="str">
        <f>VLOOKUP(B:B,代理总表!A:D,4,FALSE)</f>
        <v>SEO</v>
      </c>
      <c r="J58">
        <f t="shared" si="2"/>
        <v>21</v>
      </c>
      <c r="K58">
        <f t="shared" si="3"/>
        <v>1</v>
      </c>
      <c r="N58" s="318">
        <f t="shared" si="0"/>
        <v>45145</v>
      </c>
      <c r="O58" s="318">
        <f t="shared" si="1"/>
        <v>45145</v>
      </c>
    </row>
    <row r="59" spans="1:15">
      <c r="A59" s="314" t="s">
        <v>994</v>
      </c>
      <c r="B59" s="314" t="s">
        <v>651</v>
      </c>
      <c r="C59" s="315">
        <v>45145.8703472222</v>
      </c>
      <c r="D59" s="315">
        <v>45145.8884722222</v>
      </c>
      <c r="E59" s="314" t="s">
        <v>4624</v>
      </c>
      <c r="F59" s="314" t="s">
        <v>120</v>
      </c>
      <c r="G59" s="316">
        <v>100000</v>
      </c>
      <c r="H59" t="str">
        <f>VLOOKUP(B:B,代理总表!A:D,3,FALSE)</f>
        <v>雨燕直播-越</v>
      </c>
      <c r="I59" t="str">
        <f>VLOOKUP(B:B,代理总表!A:D,4,FALSE)</f>
        <v>雨燕直播-越ffvn66</v>
      </c>
      <c r="J59">
        <f t="shared" si="2"/>
        <v>21</v>
      </c>
      <c r="K59">
        <f t="shared" si="3"/>
        <v>1</v>
      </c>
      <c r="N59" s="318">
        <f t="shared" si="0"/>
        <v>45145</v>
      </c>
      <c r="O59" s="318">
        <f t="shared" si="1"/>
        <v>45145</v>
      </c>
    </row>
    <row r="60" spans="1:15">
      <c r="A60" s="314" t="s">
        <v>1433</v>
      </c>
      <c r="B60" s="314" t="s">
        <v>1150</v>
      </c>
      <c r="C60" s="315">
        <v>45145.7963888889</v>
      </c>
      <c r="D60" s="315">
        <v>45145.8851851852</v>
      </c>
      <c r="E60" s="314" t="s">
        <v>4624</v>
      </c>
      <c r="F60" s="314" t="s">
        <v>120</v>
      </c>
      <c r="G60" s="316">
        <v>50000</v>
      </c>
      <c r="H60" t="e">
        <f>VLOOKUP(B:B,代理总表!A:D,3,FALSE)</f>
        <v>#N/A</v>
      </c>
      <c r="I60" t="e">
        <f>VLOOKUP(B:B,代理总表!A:D,4,FALSE)</f>
        <v>#N/A</v>
      </c>
      <c r="J60">
        <f t="shared" si="2"/>
        <v>21</v>
      </c>
      <c r="K60">
        <f t="shared" si="3"/>
        <v>1</v>
      </c>
      <c r="N60" s="318">
        <f t="shared" si="0"/>
        <v>45145</v>
      </c>
      <c r="O60" s="318">
        <f t="shared" si="1"/>
        <v>45145</v>
      </c>
    </row>
    <row r="61" spans="1:15">
      <c r="A61" s="314" t="s">
        <v>4639</v>
      </c>
      <c r="B61" s="314" t="s">
        <v>4640</v>
      </c>
      <c r="C61" s="315">
        <v>45142.6516666667</v>
      </c>
      <c r="D61" s="315">
        <v>45145.8853935185</v>
      </c>
      <c r="E61" s="314" t="s">
        <v>4624</v>
      </c>
      <c r="F61" s="314" t="s">
        <v>120</v>
      </c>
      <c r="G61" s="316">
        <v>500000</v>
      </c>
      <c r="H61" t="str">
        <f>VLOOKUP(B:B,代理总表!A:D,3,FALSE)</f>
        <v>SOCO越南直播</v>
      </c>
      <c r="I61" t="str">
        <f>VLOOKUP(B:B,代理总表!A:D,4,FALSE)</f>
        <v>SOCO越南直播ffvn66</v>
      </c>
      <c r="J61">
        <f t="shared" si="2"/>
        <v>21</v>
      </c>
      <c r="K61">
        <f t="shared" si="3"/>
        <v>0</v>
      </c>
      <c r="N61" s="318">
        <f t="shared" si="0"/>
        <v>45142</v>
      </c>
      <c r="O61" s="318">
        <f t="shared" si="1"/>
        <v>45145</v>
      </c>
    </row>
    <row r="62" spans="1:15">
      <c r="A62" s="314" t="s">
        <v>1117</v>
      </c>
      <c r="B62" s="314" t="s">
        <v>103</v>
      </c>
      <c r="C62" s="315">
        <v>45145.8473148148</v>
      </c>
      <c r="D62" s="315">
        <v>45145.8890509259</v>
      </c>
      <c r="E62" s="314" t="s">
        <v>4624</v>
      </c>
      <c r="F62" s="314" t="s">
        <v>109</v>
      </c>
      <c r="G62" s="316">
        <v>500</v>
      </c>
      <c r="H62" t="str">
        <f>VLOOKUP(B:B,代理总表!A:D,3,FALSE)</f>
        <v>官网</v>
      </c>
      <c r="I62" t="str">
        <f>VLOOKUP(B:B,代理总表!A:D,4,FALSE)</f>
        <v>官网</v>
      </c>
      <c r="J62">
        <f t="shared" si="2"/>
        <v>21</v>
      </c>
      <c r="K62">
        <f t="shared" si="3"/>
        <v>1</v>
      </c>
      <c r="N62" s="318">
        <f t="shared" si="0"/>
        <v>45145</v>
      </c>
      <c r="O62" s="318">
        <f t="shared" si="1"/>
        <v>45145</v>
      </c>
    </row>
    <row r="63" spans="1:15">
      <c r="A63" s="314" t="s">
        <v>4641</v>
      </c>
      <c r="B63" s="314" t="s">
        <v>143</v>
      </c>
      <c r="C63" s="315">
        <v>45135.8670486111</v>
      </c>
      <c r="D63" s="315">
        <v>45145.8769097222</v>
      </c>
      <c r="E63" s="314" t="s">
        <v>4624</v>
      </c>
      <c r="F63" s="314" t="s">
        <v>120</v>
      </c>
      <c r="G63" s="316">
        <v>2500000</v>
      </c>
      <c r="H63" t="str">
        <f>VLOOKUP(B:B,代理总表!A:D,3,FALSE)</f>
        <v>雨燕直播-越</v>
      </c>
      <c r="I63" t="str">
        <f>VLOOKUP(B:B,代理总表!A:D,4,FALSE)</f>
        <v>雨燕直播-越ffvn66</v>
      </c>
      <c r="J63">
        <f t="shared" si="2"/>
        <v>21</v>
      </c>
      <c r="K63">
        <f t="shared" si="3"/>
        <v>0</v>
      </c>
      <c r="N63" s="318">
        <f t="shared" si="0"/>
        <v>45135</v>
      </c>
      <c r="O63" s="318">
        <f t="shared" si="1"/>
        <v>45145</v>
      </c>
    </row>
    <row r="64" spans="1:15">
      <c r="A64" s="314" t="s">
        <v>1006</v>
      </c>
      <c r="B64" s="314" t="s">
        <v>172</v>
      </c>
      <c r="C64" s="315">
        <v>45145.8699421296</v>
      </c>
      <c r="D64" s="315">
        <v>45145.8782060185</v>
      </c>
      <c r="E64" s="314" t="s">
        <v>4624</v>
      </c>
      <c r="F64" s="314" t="s">
        <v>120</v>
      </c>
      <c r="G64" s="316">
        <v>1000000</v>
      </c>
      <c r="H64" t="str">
        <f>VLOOKUP(B:B,代理总表!A:D,3,FALSE)</f>
        <v>雨燕直播-越</v>
      </c>
      <c r="I64" t="str">
        <f>VLOOKUP(B:B,代理总表!A:D,4,FALSE)</f>
        <v>雨燕直播-越ffvn66</v>
      </c>
      <c r="J64">
        <f t="shared" si="2"/>
        <v>21</v>
      </c>
      <c r="K64">
        <f t="shared" si="3"/>
        <v>1</v>
      </c>
      <c r="N64" s="318">
        <f t="shared" si="0"/>
        <v>45145</v>
      </c>
      <c r="O64" s="318">
        <f t="shared" si="1"/>
        <v>45145</v>
      </c>
    </row>
    <row r="65" spans="1:15">
      <c r="A65" s="314" t="s">
        <v>1112</v>
      </c>
      <c r="B65" s="314" t="s">
        <v>454</v>
      </c>
      <c r="C65" s="315">
        <v>45145.8483217593</v>
      </c>
      <c r="D65" s="315">
        <v>45145.8816203704</v>
      </c>
      <c r="E65" s="314" t="s">
        <v>4624</v>
      </c>
      <c r="F65" s="314" t="s">
        <v>109</v>
      </c>
      <c r="G65" s="316">
        <v>400</v>
      </c>
      <c r="H65" t="str">
        <f>VLOOKUP(B:B,代理总表!A:D,3,FALSE)</f>
        <v>雨燕直播</v>
      </c>
      <c r="I65" t="str">
        <f>VLOOKUP(B:B,代理总表!A:D,4,FALSE)</f>
        <v>雨燕直播zzzb888</v>
      </c>
      <c r="J65">
        <f t="shared" si="2"/>
        <v>21</v>
      </c>
      <c r="K65">
        <f t="shared" si="3"/>
        <v>1</v>
      </c>
      <c r="N65" s="318">
        <f t="shared" si="0"/>
        <v>45145</v>
      </c>
      <c r="O65" s="318">
        <f t="shared" si="1"/>
        <v>45145</v>
      </c>
    </row>
    <row r="66" spans="1:15">
      <c r="A66" s="314" t="s">
        <v>4642</v>
      </c>
      <c r="B66" s="314" t="s">
        <v>197</v>
      </c>
      <c r="C66" s="315">
        <v>45121.5681597222</v>
      </c>
      <c r="D66" s="315">
        <v>45145.8767592593</v>
      </c>
      <c r="E66" s="314" t="s">
        <v>4624</v>
      </c>
      <c r="F66" s="314" t="s">
        <v>120</v>
      </c>
      <c r="G66" s="316">
        <v>200000</v>
      </c>
      <c r="H66" t="str">
        <f>VLOOKUP(B:B,代理总表!A:D,3,FALSE)</f>
        <v>雨燕直播-越</v>
      </c>
      <c r="I66" t="str">
        <f>VLOOKUP(B:B,代理总表!A:D,4,FALSE)</f>
        <v>雨燕直播-越ffvn66</v>
      </c>
      <c r="J66">
        <f t="shared" si="2"/>
        <v>21</v>
      </c>
      <c r="K66">
        <f t="shared" si="3"/>
        <v>0</v>
      </c>
      <c r="N66" s="318">
        <f t="shared" ref="N66:N129" si="4">INT(C66)</f>
        <v>45121</v>
      </c>
      <c r="O66" s="318">
        <f t="shared" ref="O66:O129" si="5">INT(D66)</f>
        <v>45145</v>
      </c>
    </row>
    <row r="67" spans="1:15">
      <c r="A67" s="314" t="s">
        <v>1015</v>
      </c>
      <c r="B67" s="314" t="s">
        <v>1017</v>
      </c>
      <c r="C67" s="315">
        <v>45145.8682175926</v>
      </c>
      <c r="D67" s="315">
        <v>45145.8853240741</v>
      </c>
      <c r="E67" s="314" t="s">
        <v>4624</v>
      </c>
      <c r="F67" s="314" t="s">
        <v>120</v>
      </c>
      <c r="G67" s="316">
        <v>3560000</v>
      </c>
      <c r="H67" t="e">
        <f>VLOOKUP(B:B,代理总表!A:D,3,FALSE)</f>
        <v>#N/A</v>
      </c>
      <c r="I67" t="e">
        <f>VLOOKUP(B:B,代理总表!A:D,4,FALSE)</f>
        <v>#N/A</v>
      </c>
      <c r="J67">
        <f t="shared" ref="J67:J130" si="6">HOUR(D67)</f>
        <v>21</v>
      </c>
      <c r="K67">
        <f t="shared" ref="K67:K130" si="7">IF(N67=O67,1,0)</f>
        <v>1</v>
      </c>
      <c r="N67" s="318">
        <f t="shared" si="4"/>
        <v>45145</v>
      </c>
      <c r="O67" s="318">
        <f t="shared" si="5"/>
        <v>45145</v>
      </c>
    </row>
    <row r="68" spans="1:15">
      <c r="A68" s="314" t="s">
        <v>4643</v>
      </c>
      <c r="B68" s="314" t="s">
        <v>148</v>
      </c>
      <c r="C68" s="315">
        <v>45143.8956481482</v>
      </c>
      <c r="D68" s="315">
        <v>45145.8720138889</v>
      </c>
      <c r="E68" s="314" t="s">
        <v>4624</v>
      </c>
      <c r="F68" s="314" t="s">
        <v>109</v>
      </c>
      <c r="G68" s="316">
        <v>200</v>
      </c>
      <c r="H68" t="str">
        <f>VLOOKUP(B:B,代理总表!A:D,3,FALSE)</f>
        <v>martin</v>
      </c>
      <c r="I68" t="str">
        <f>VLOOKUP(B:B,代理总表!A:D,4,FALSE)</f>
        <v>SEO</v>
      </c>
      <c r="J68">
        <f t="shared" si="6"/>
        <v>20</v>
      </c>
      <c r="K68">
        <f t="shared" si="7"/>
        <v>0</v>
      </c>
      <c r="N68" s="318">
        <f t="shared" si="4"/>
        <v>45143</v>
      </c>
      <c r="O68" s="318">
        <f t="shared" si="5"/>
        <v>45145</v>
      </c>
    </row>
    <row r="69" spans="1:15">
      <c r="A69" s="314" t="s">
        <v>1038</v>
      </c>
      <c r="B69" s="314" t="s">
        <v>137</v>
      </c>
      <c r="C69" s="315">
        <v>45145.8643518519</v>
      </c>
      <c r="D69" s="315">
        <v>45145.8728472222</v>
      </c>
      <c r="E69" s="314" t="s">
        <v>4624</v>
      </c>
      <c r="F69" s="314" t="s">
        <v>120</v>
      </c>
      <c r="G69" s="316">
        <v>50000</v>
      </c>
      <c r="H69" t="str">
        <f>VLOOKUP(B:B,代理总表!A:D,3,FALSE)</f>
        <v>雨燕直播-越</v>
      </c>
      <c r="I69" t="str">
        <f>VLOOKUP(B:B,代理总表!A:D,4,FALSE)</f>
        <v>雨燕直播-越ffvn66</v>
      </c>
      <c r="J69">
        <f t="shared" si="6"/>
        <v>20</v>
      </c>
      <c r="K69">
        <f t="shared" si="7"/>
        <v>1</v>
      </c>
      <c r="N69" s="318">
        <f t="shared" si="4"/>
        <v>45145</v>
      </c>
      <c r="O69" s="318">
        <f t="shared" si="5"/>
        <v>45145</v>
      </c>
    </row>
    <row r="70" spans="1:15">
      <c r="A70" s="314" t="s">
        <v>1263</v>
      </c>
      <c r="B70" s="314" t="s">
        <v>1265</v>
      </c>
      <c r="C70" s="315">
        <v>45145.8217013889</v>
      </c>
      <c r="D70" s="315">
        <v>45145.8692939815</v>
      </c>
      <c r="E70" s="314" t="s">
        <v>4624</v>
      </c>
      <c r="F70" s="314" t="s">
        <v>120</v>
      </c>
      <c r="G70" s="316">
        <v>11000000</v>
      </c>
      <c r="H70" t="e">
        <f>VLOOKUP(B:B,代理总表!A:D,3,FALSE)</f>
        <v>#N/A</v>
      </c>
      <c r="I70" t="e">
        <f>VLOOKUP(B:B,代理总表!A:D,4,FALSE)</f>
        <v>#N/A</v>
      </c>
      <c r="J70">
        <f t="shared" si="6"/>
        <v>20</v>
      </c>
      <c r="K70">
        <f t="shared" si="7"/>
        <v>1</v>
      </c>
      <c r="N70" s="318">
        <f t="shared" si="4"/>
        <v>45145</v>
      </c>
      <c r="O70" s="318">
        <f t="shared" si="5"/>
        <v>45145</v>
      </c>
    </row>
    <row r="71" spans="1:15">
      <c r="A71" s="314" t="s">
        <v>1060</v>
      </c>
      <c r="B71" s="314" t="s">
        <v>1062</v>
      </c>
      <c r="C71" s="315">
        <v>45145.8579050926</v>
      </c>
      <c r="D71" s="315">
        <v>45145.8686342593</v>
      </c>
      <c r="E71" s="314" t="s">
        <v>4624</v>
      </c>
      <c r="F71" s="314" t="s">
        <v>120</v>
      </c>
      <c r="G71" s="316">
        <v>50000</v>
      </c>
      <c r="H71" t="str">
        <f>VLOOKUP(B:B,代理总表!A:D,3,FALSE)</f>
        <v>外代-越</v>
      </c>
      <c r="I71" t="str">
        <f>VLOOKUP(B:B,代理总表!A:D,4,FALSE)</f>
        <v>外代-越btydl072</v>
      </c>
      <c r="J71">
        <f t="shared" si="6"/>
        <v>20</v>
      </c>
      <c r="K71">
        <f t="shared" si="7"/>
        <v>1</v>
      </c>
      <c r="N71" s="318">
        <f t="shared" si="4"/>
        <v>45145</v>
      </c>
      <c r="O71" s="318">
        <f t="shared" si="5"/>
        <v>45145</v>
      </c>
    </row>
    <row r="72" spans="1:15">
      <c r="A72" s="314" t="s">
        <v>1157</v>
      </c>
      <c r="B72" s="314" t="s">
        <v>137</v>
      </c>
      <c r="C72" s="315">
        <v>45145.8383912037</v>
      </c>
      <c r="D72" s="315">
        <v>45145.8653472222</v>
      </c>
      <c r="E72" s="314" t="s">
        <v>4624</v>
      </c>
      <c r="F72" s="314" t="s">
        <v>120</v>
      </c>
      <c r="G72" s="316">
        <v>1000000</v>
      </c>
      <c r="H72" t="str">
        <f>VLOOKUP(B:B,代理总表!A:D,3,FALSE)</f>
        <v>雨燕直播-越</v>
      </c>
      <c r="I72" t="str">
        <f>VLOOKUP(B:B,代理总表!A:D,4,FALSE)</f>
        <v>雨燕直播-越ffvn66</v>
      </c>
      <c r="J72">
        <f t="shared" si="6"/>
        <v>20</v>
      </c>
      <c r="K72">
        <f t="shared" si="7"/>
        <v>1</v>
      </c>
      <c r="N72" s="318">
        <f t="shared" si="4"/>
        <v>45145</v>
      </c>
      <c r="O72" s="318">
        <f t="shared" si="5"/>
        <v>45145</v>
      </c>
    </row>
    <row r="73" spans="1:15">
      <c r="A73" s="314" t="s">
        <v>1089</v>
      </c>
      <c r="B73" s="314" t="s">
        <v>370</v>
      </c>
      <c r="C73" s="315">
        <v>45145.8510648148</v>
      </c>
      <c r="D73" s="315">
        <v>45145.8621527778</v>
      </c>
      <c r="E73" s="314" t="s">
        <v>4624</v>
      </c>
      <c r="F73" s="314" t="s">
        <v>109</v>
      </c>
      <c r="G73" s="316">
        <v>100</v>
      </c>
      <c r="H73" t="str">
        <f>VLOOKUP(B:B,代理总表!A:D,3,FALSE)</f>
        <v>GT-骨头</v>
      </c>
      <c r="I73" t="str">
        <f>VLOOKUP(B:B,代理总表!A:D,4,FALSE)</f>
        <v>GT-骨头gt6677</v>
      </c>
      <c r="J73">
        <f t="shared" si="6"/>
        <v>20</v>
      </c>
      <c r="K73">
        <f t="shared" si="7"/>
        <v>1</v>
      </c>
      <c r="N73" s="318">
        <f t="shared" si="4"/>
        <v>45145</v>
      </c>
      <c r="O73" s="318">
        <f t="shared" si="5"/>
        <v>45145</v>
      </c>
    </row>
    <row r="74" spans="1:15">
      <c r="A74" s="314" t="s">
        <v>4644</v>
      </c>
      <c r="B74" s="314" t="s">
        <v>754</v>
      </c>
      <c r="C74" s="315">
        <v>45139.5294907407</v>
      </c>
      <c r="D74" s="315">
        <v>45145.8615162037</v>
      </c>
      <c r="E74" s="314" t="s">
        <v>4624</v>
      </c>
      <c r="F74" s="314" t="s">
        <v>109</v>
      </c>
      <c r="G74" s="316">
        <v>100</v>
      </c>
      <c r="H74" t="str">
        <f>VLOOKUP(B:B,代理总表!A:D,3,FALSE)</f>
        <v>SEO掉线用户转线</v>
      </c>
      <c r="I74" t="str">
        <f>VLOOKUP(B:B,代理总表!A:D,4,FALSE)</f>
        <v>SEO</v>
      </c>
      <c r="J74">
        <f t="shared" si="6"/>
        <v>20</v>
      </c>
      <c r="K74">
        <f t="shared" si="7"/>
        <v>0</v>
      </c>
      <c r="N74" s="318">
        <f t="shared" si="4"/>
        <v>45139</v>
      </c>
      <c r="O74" s="318">
        <f t="shared" si="5"/>
        <v>45145</v>
      </c>
    </row>
    <row r="75" spans="1:15">
      <c r="A75" s="314" t="s">
        <v>1238</v>
      </c>
      <c r="B75" s="314" t="s">
        <v>116</v>
      </c>
      <c r="C75" s="315">
        <v>45145.8268865741</v>
      </c>
      <c r="D75" s="315">
        <v>45145.8599537037</v>
      </c>
      <c r="E75" s="314" t="s">
        <v>4624</v>
      </c>
      <c r="F75" s="314" t="s">
        <v>120</v>
      </c>
      <c r="G75" s="316">
        <v>1000000</v>
      </c>
      <c r="H75" t="str">
        <f>VLOOKUP(B:B,代理总表!A:D,3,FALSE)</f>
        <v>外部代理总线</v>
      </c>
      <c r="I75" t="str">
        <f>VLOOKUP(B:B,代理总表!A:D,4,FALSE)</f>
        <v>外部代理总线zh0808</v>
      </c>
      <c r="J75">
        <f t="shared" si="6"/>
        <v>20</v>
      </c>
      <c r="K75">
        <f t="shared" si="7"/>
        <v>1</v>
      </c>
      <c r="N75" s="318">
        <f t="shared" si="4"/>
        <v>45145</v>
      </c>
      <c r="O75" s="318">
        <f t="shared" si="5"/>
        <v>45145</v>
      </c>
    </row>
    <row r="76" spans="1:15">
      <c r="A76" s="314" t="s">
        <v>1183</v>
      </c>
      <c r="B76" s="314" t="s">
        <v>1109</v>
      </c>
      <c r="C76" s="315">
        <v>45145.8359606481</v>
      </c>
      <c r="D76" s="315">
        <v>45145.8609722222</v>
      </c>
      <c r="E76" s="314" t="s">
        <v>4624</v>
      </c>
      <c r="F76" s="314" t="s">
        <v>109</v>
      </c>
      <c r="G76" s="316">
        <v>300</v>
      </c>
      <c r="H76" t="str">
        <f>VLOOKUP(B:B,代理总表!A:D,3,FALSE)</f>
        <v>飞哥雨燕直播</v>
      </c>
      <c r="I76" t="str">
        <f>VLOOKUP(B:B,代理总表!A:D,4,FALSE)</f>
        <v>飞哥雨燕直播ffmk88</v>
      </c>
      <c r="J76">
        <f t="shared" si="6"/>
        <v>20</v>
      </c>
      <c r="K76">
        <f t="shared" si="7"/>
        <v>1</v>
      </c>
      <c r="N76" s="318">
        <f t="shared" si="4"/>
        <v>45145</v>
      </c>
      <c r="O76" s="318">
        <f t="shared" si="5"/>
        <v>45145</v>
      </c>
    </row>
    <row r="77" spans="1:15">
      <c r="A77" s="314" t="s">
        <v>1144</v>
      </c>
      <c r="B77" s="314" t="s">
        <v>137</v>
      </c>
      <c r="C77" s="315">
        <v>45145.8420949074</v>
      </c>
      <c r="D77" s="315">
        <v>45145.8539583333</v>
      </c>
      <c r="E77" s="314" t="s">
        <v>4624</v>
      </c>
      <c r="F77" s="314" t="s">
        <v>120</v>
      </c>
      <c r="G77" s="316">
        <v>200000</v>
      </c>
      <c r="H77" t="str">
        <f>VLOOKUP(B:B,代理总表!A:D,3,FALSE)</f>
        <v>雨燕直播-越</v>
      </c>
      <c r="I77" t="str">
        <f>VLOOKUP(B:B,代理总表!A:D,4,FALSE)</f>
        <v>雨燕直播-越ffvn66</v>
      </c>
      <c r="J77">
        <f t="shared" si="6"/>
        <v>20</v>
      </c>
      <c r="K77">
        <f t="shared" si="7"/>
        <v>1</v>
      </c>
      <c r="N77" s="318">
        <f t="shared" si="4"/>
        <v>45145</v>
      </c>
      <c r="O77" s="318">
        <f t="shared" si="5"/>
        <v>45145</v>
      </c>
    </row>
    <row r="78" spans="1:15">
      <c r="A78" s="314" t="s">
        <v>1321</v>
      </c>
      <c r="B78" s="314" t="s">
        <v>143</v>
      </c>
      <c r="C78" s="315">
        <v>45145.8135300926</v>
      </c>
      <c r="D78" s="315">
        <v>45145.8492939815</v>
      </c>
      <c r="E78" s="314" t="s">
        <v>4624</v>
      </c>
      <c r="F78" s="314" t="s">
        <v>120</v>
      </c>
      <c r="G78" s="316">
        <v>400000</v>
      </c>
      <c r="H78" t="str">
        <f>VLOOKUP(B:B,代理总表!A:D,3,FALSE)</f>
        <v>雨燕直播-越</v>
      </c>
      <c r="I78" t="str">
        <f>VLOOKUP(B:B,代理总表!A:D,4,FALSE)</f>
        <v>雨燕直播-越ffvn66</v>
      </c>
      <c r="J78">
        <f t="shared" si="6"/>
        <v>20</v>
      </c>
      <c r="K78">
        <f t="shared" si="7"/>
        <v>1</v>
      </c>
      <c r="N78" s="318">
        <f t="shared" si="4"/>
        <v>45145</v>
      </c>
      <c r="O78" s="318">
        <f t="shared" si="5"/>
        <v>45145</v>
      </c>
    </row>
    <row r="79" spans="1:15">
      <c r="A79" s="314" t="s">
        <v>1640</v>
      </c>
      <c r="B79" s="314" t="s">
        <v>651</v>
      </c>
      <c r="C79" s="315">
        <v>45145.7664351852</v>
      </c>
      <c r="D79" s="315">
        <v>45145.8495023148</v>
      </c>
      <c r="E79" s="314" t="s">
        <v>4624</v>
      </c>
      <c r="F79" s="314" t="s">
        <v>120</v>
      </c>
      <c r="G79" s="316">
        <v>500000</v>
      </c>
      <c r="H79" t="str">
        <f>VLOOKUP(B:B,代理总表!A:D,3,FALSE)</f>
        <v>雨燕直播-越</v>
      </c>
      <c r="I79" t="str">
        <f>VLOOKUP(B:B,代理总表!A:D,4,FALSE)</f>
        <v>雨燕直播-越ffvn66</v>
      </c>
      <c r="J79">
        <f t="shared" si="6"/>
        <v>20</v>
      </c>
      <c r="K79">
        <f t="shared" si="7"/>
        <v>1</v>
      </c>
      <c r="N79" s="318">
        <f t="shared" si="4"/>
        <v>45145</v>
      </c>
      <c r="O79" s="318">
        <f t="shared" si="5"/>
        <v>45145</v>
      </c>
    </row>
    <row r="80" spans="1:15">
      <c r="A80" s="314" t="s">
        <v>4645</v>
      </c>
      <c r="B80" s="314" t="s">
        <v>197</v>
      </c>
      <c r="C80" s="315">
        <v>45144.3724652778</v>
      </c>
      <c r="D80" s="315">
        <v>45145.84625</v>
      </c>
      <c r="E80" s="314" t="s">
        <v>4624</v>
      </c>
      <c r="F80" s="314" t="s">
        <v>120</v>
      </c>
      <c r="G80" s="316">
        <v>200000</v>
      </c>
      <c r="H80" t="str">
        <f>VLOOKUP(B:B,代理总表!A:D,3,FALSE)</f>
        <v>雨燕直播-越</v>
      </c>
      <c r="I80" t="str">
        <f>VLOOKUP(B:B,代理总表!A:D,4,FALSE)</f>
        <v>雨燕直播-越ffvn66</v>
      </c>
      <c r="J80">
        <f t="shared" si="6"/>
        <v>20</v>
      </c>
      <c r="K80">
        <f t="shared" si="7"/>
        <v>0</v>
      </c>
      <c r="N80" s="318">
        <f t="shared" si="4"/>
        <v>45144</v>
      </c>
      <c r="O80" s="318">
        <f t="shared" si="5"/>
        <v>45145</v>
      </c>
    </row>
    <row r="81" spans="1:15">
      <c r="A81" s="314" t="s">
        <v>1189</v>
      </c>
      <c r="B81" s="314" t="s">
        <v>143</v>
      </c>
      <c r="C81" s="315">
        <v>45145.8344675926</v>
      </c>
      <c r="D81" s="315">
        <v>45145.8461226852</v>
      </c>
      <c r="E81" s="314" t="s">
        <v>4624</v>
      </c>
      <c r="F81" s="314" t="s">
        <v>120</v>
      </c>
      <c r="G81" s="316">
        <v>100000</v>
      </c>
      <c r="H81" t="str">
        <f>VLOOKUP(B:B,代理总表!A:D,3,FALSE)</f>
        <v>雨燕直播-越</v>
      </c>
      <c r="I81" t="str">
        <f>VLOOKUP(B:B,代理总表!A:D,4,FALSE)</f>
        <v>雨燕直播-越ffvn66</v>
      </c>
      <c r="J81">
        <f t="shared" si="6"/>
        <v>20</v>
      </c>
      <c r="K81">
        <f t="shared" si="7"/>
        <v>1</v>
      </c>
      <c r="N81" s="318">
        <f t="shared" si="4"/>
        <v>45145</v>
      </c>
      <c r="O81" s="318">
        <f t="shared" si="5"/>
        <v>45145</v>
      </c>
    </row>
    <row r="82" spans="1:15">
      <c r="A82" s="314" t="s">
        <v>1173</v>
      </c>
      <c r="B82" s="314" t="s">
        <v>1175</v>
      </c>
      <c r="C82" s="315">
        <v>45145.8367939815</v>
      </c>
      <c r="D82" s="315">
        <v>45145.8466898148</v>
      </c>
      <c r="E82" s="314" t="s">
        <v>4624</v>
      </c>
      <c r="F82" s="314" t="s">
        <v>109</v>
      </c>
      <c r="G82" s="316">
        <v>1000</v>
      </c>
      <c r="H82" t="str">
        <f>VLOOKUP(B:B,代理总表!A:D,3,FALSE)</f>
        <v>duobo</v>
      </c>
      <c r="I82" t="str">
        <f>VLOOKUP(B:B,代理总表!A:D,4,FALSE)</f>
        <v>SEO</v>
      </c>
      <c r="J82">
        <f t="shared" si="6"/>
        <v>20</v>
      </c>
      <c r="K82">
        <f t="shared" si="7"/>
        <v>1</v>
      </c>
      <c r="N82" s="318">
        <f t="shared" si="4"/>
        <v>45145</v>
      </c>
      <c r="O82" s="318">
        <f t="shared" si="5"/>
        <v>45145</v>
      </c>
    </row>
    <row r="83" spans="1:15">
      <c r="A83" s="314" t="s">
        <v>1543</v>
      </c>
      <c r="B83" s="314" t="s">
        <v>1544</v>
      </c>
      <c r="C83" s="315">
        <v>45145.7836226852</v>
      </c>
      <c r="D83" s="315">
        <v>45145.8474884259</v>
      </c>
      <c r="E83" s="314" t="s">
        <v>4624</v>
      </c>
      <c r="F83" s="314" t="s">
        <v>415</v>
      </c>
      <c r="G83" s="316">
        <v>760</v>
      </c>
      <c r="H83" t="e">
        <f>VLOOKUP(B:B,代理总表!A:D,3,FALSE)</f>
        <v>#N/A</v>
      </c>
      <c r="I83" t="e">
        <f>VLOOKUP(B:B,代理总表!A:D,4,FALSE)</f>
        <v>#N/A</v>
      </c>
      <c r="J83">
        <f t="shared" si="6"/>
        <v>20</v>
      </c>
      <c r="K83">
        <f t="shared" si="7"/>
        <v>1</v>
      </c>
      <c r="N83" s="318">
        <f t="shared" si="4"/>
        <v>45145</v>
      </c>
      <c r="O83" s="318">
        <f t="shared" si="5"/>
        <v>45145</v>
      </c>
    </row>
    <row r="84" spans="1:15">
      <c r="A84" s="314" t="s">
        <v>1330</v>
      </c>
      <c r="B84" s="314" t="s">
        <v>137</v>
      </c>
      <c r="C84" s="315">
        <v>45145.8101967593</v>
      </c>
      <c r="D84" s="315">
        <v>45145.844525463</v>
      </c>
      <c r="E84" s="314" t="s">
        <v>4624</v>
      </c>
      <c r="F84" s="314" t="s">
        <v>120</v>
      </c>
      <c r="G84" s="316">
        <v>100000</v>
      </c>
      <c r="H84" t="str">
        <f>VLOOKUP(B:B,代理总表!A:D,3,FALSE)</f>
        <v>雨燕直播-越</v>
      </c>
      <c r="I84" t="str">
        <f>VLOOKUP(B:B,代理总表!A:D,4,FALSE)</f>
        <v>雨燕直播-越ffvn66</v>
      </c>
      <c r="J84">
        <f t="shared" si="6"/>
        <v>20</v>
      </c>
      <c r="K84">
        <f t="shared" si="7"/>
        <v>1</v>
      </c>
      <c r="N84" s="318">
        <f t="shared" si="4"/>
        <v>45145</v>
      </c>
      <c r="O84" s="318">
        <f t="shared" si="5"/>
        <v>45145</v>
      </c>
    </row>
    <row r="85" spans="1:15">
      <c r="A85" s="314" t="s">
        <v>1192</v>
      </c>
      <c r="B85" s="314" t="s">
        <v>172</v>
      </c>
      <c r="C85" s="315">
        <v>45145.8325347222</v>
      </c>
      <c r="D85" s="315">
        <v>45145.8424305556</v>
      </c>
      <c r="E85" s="314" t="s">
        <v>4624</v>
      </c>
      <c r="F85" s="314" t="s">
        <v>120</v>
      </c>
      <c r="G85" s="316">
        <v>200000</v>
      </c>
      <c r="H85" t="str">
        <f>VLOOKUP(B:B,代理总表!A:D,3,FALSE)</f>
        <v>雨燕直播-越</v>
      </c>
      <c r="I85" t="str">
        <f>VLOOKUP(B:B,代理总表!A:D,4,FALSE)</f>
        <v>雨燕直播-越ffvn66</v>
      </c>
      <c r="J85">
        <f t="shared" si="6"/>
        <v>20</v>
      </c>
      <c r="K85">
        <f t="shared" si="7"/>
        <v>1</v>
      </c>
      <c r="N85" s="318">
        <f t="shared" si="4"/>
        <v>45145</v>
      </c>
      <c r="O85" s="318">
        <f t="shared" si="5"/>
        <v>45145</v>
      </c>
    </row>
    <row r="86" spans="1:15">
      <c r="A86" s="314" t="s">
        <v>4646</v>
      </c>
      <c r="B86" s="314" t="s">
        <v>550</v>
      </c>
      <c r="C86" s="315">
        <v>45144.3503935185</v>
      </c>
      <c r="D86" s="315">
        <v>45145.8402199074</v>
      </c>
      <c r="E86" s="314" t="s">
        <v>4624</v>
      </c>
      <c r="F86" s="314" t="s">
        <v>120</v>
      </c>
      <c r="G86" s="316">
        <v>100000</v>
      </c>
      <c r="H86" t="str">
        <f>VLOOKUP(B:B,代理总表!A:D,3,FALSE)</f>
        <v>SOCO越南直播</v>
      </c>
      <c r="I86" t="str">
        <f>VLOOKUP(B:B,代理总表!A:D,4,FALSE)</f>
        <v>SOCO越南直播ffvn66</v>
      </c>
      <c r="J86">
        <f t="shared" si="6"/>
        <v>20</v>
      </c>
      <c r="K86">
        <f t="shared" si="7"/>
        <v>0</v>
      </c>
      <c r="N86" s="318">
        <f t="shared" si="4"/>
        <v>45144</v>
      </c>
      <c r="O86" s="318">
        <f t="shared" si="5"/>
        <v>45145</v>
      </c>
    </row>
    <row r="87" spans="1:15">
      <c r="A87" s="314" t="s">
        <v>4647</v>
      </c>
      <c r="B87" s="314" t="s">
        <v>651</v>
      </c>
      <c r="C87" s="315">
        <v>45140.8995138889</v>
      </c>
      <c r="D87" s="315">
        <v>45145.8423032407</v>
      </c>
      <c r="E87" s="314" t="s">
        <v>4624</v>
      </c>
      <c r="F87" s="314" t="s">
        <v>120</v>
      </c>
      <c r="G87" s="316">
        <v>100000</v>
      </c>
      <c r="H87" t="str">
        <f>VLOOKUP(B:B,代理总表!A:D,3,FALSE)</f>
        <v>雨燕直播-越</v>
      </c>
      <c r="I87" t="str">
        <f>VLOOKUP(B:B,代理总表!A:D,4,FALSE)</f>
        <v>雨燕直播-越ffvn66</v>
      </c>
      <c r="J87">
        <f t="shared" si="6"/>
        <v>20</v>
      </c>
      <c r="K87">
        <f t="shared" si="7"/>
        <v>0</v>
      </c>
      <c r="N87" s="318">
        <f t="shared" si="4"/>
        <v>45140</v>
      </c>
      <c r="O87" s="318">
        <f t="shared" si="5"/>
        <v>45145</v>
      </c>
    </row>
    <row r="88" spans="1:15">
      <c r="A88" s="314" t="s">
        <v>4648</v>
      </c>
      <c r="B88" s="314" t="s">
        <v>197</v>
      </c>
      <c r="C88" s="315">
        <v>45142.8586458333</v>
      </c>
      <c r="D88" s="315">
        <v>45145.834849537</v>
      </c>
      <c r="E88" s="314" t="s">
        <v>4624</v>
      </c>
      <c r="F88" s="314" t="s">
        <v>120</v>
      </c>
      <c r="G88" s="316">
        <v>150000</v>
      </c>
      <c r="H88" t="str">
        <f>VLOOKUP(B:B,代理总表!A:D,3,FALSE)</f>
        <v>雨燕直播-越</v>
      </c>
      <c r="I88" t="str">
        <f>VLOOKUP(B:B,代理总表!A:D,4,FALSE)</f>
        <v>雨燕直播-越ffvn66</v>
      </c>
      <c r="J88">
        <f t="shared" si="6"/>
        <v>20</v>
      </c>
      <c r="K88">
        <f t="shared" si="7"/>
        <v>0</v>
      </c>
      <c r="N88" s="318">
        <f t="shared" si="4"/>
        <v>45142</v>
      </c>
      <c r="O88" s="318">
        <f t="shared" si="5"/>
        <v>45145</v>
      </c>
    </row>
    <row r="89" spans="1:15">
      <c r="A89" s="314" t="s">
        <v>1212</v>
      </c>
      <c r="B89" s="314" t="s">
        <v>294</v>
      </c>
      <c r="C89" s="315">
        <v>45145.8301851852</v>
      </c>
      <c r="D89" s="315">
        <v>45145.8391550926</v>
      </c>
      <c r="E89" s="314" t="s">
        <v>4624</v>
      </c>
      <c r="F89" s="314" t="s">
        <v>109</v>
      </c>
      <c r="G89" s="316">
        <v>450</v>
      </c>
      <c r="H89" t="str">
        <f>VLOOKUP(B:B,代理总表!A:D,3,FALSE)</f>
        <v>DK</v>
      </c>
      <c r="I89" t="str">
        <f>VLOOKUP(B:B,代理总表!A:D,4,FALSE)</f>
        <v>SEO</v>
      </c>
      <c r="J89">
        <f t="shared" si="6"/>
        <v>20</v>
      </c>
      <c r="K89">
        <f t="shared" si="7"/>
        <v>1</v>
      </c>
      <c r="N89" s="318">
        <f t="shared" si="4"/>
        <v>45145</v>
      </c>
      <c r="O89" s="318">
        <f t="shared" si="5"/>
        <v>45145</v>
      </c>
    </row>
    <row r="90" spans="1:15">
      <c r="A90" s="314" t="s">
        <v>4649</v>
      </c>
      <c r="B90" s="314" t="s">
        <v>137</v>
      </c>
      <c r="C90" s="315">
        <v>45131.715</v>
      </c>
      <c r="D90" s="315">
        <v>45145.8348842593</v>
      </c>
      <c r="E90" s="314" t="s">
        <v>4624</v>
      </c>
      <c r="F90" s="314" t="s">
        <v>120</v>
      </c>
      <c r="G90" s="316">
        <v>1000000</v>
      </c>
      <c r="H90" t="str">
        <f>VLOOKUP(B:B,代理总表!A:D,3,FALSE)</f>
        <v>雨燕直播-越</v>
      </c>
      <c r="I90" t="str">
        <f>VLOOKUP(B:B,代理总表!A:D,4,FALSE)</f>
        <v>雨燕直播-越ffvn66</v>
      </c>
      <c r="J90">
        <f t="shared" si="6"/>
        <v>20</v>
      </c>
      <c r="K90">
        <f t="shared" si="7"/>
        <v>0</v>
      </c>
      <c r="N90" s="318">
        <f t="shared" si="4"/>
        <v>45131</v>
      </c>
      <c r="O90" s="318">
        <f t="shared" si="5"/>
        <v>45145</v>
      </c>
    </row>
    <row r="91" spans="1:15">
      <c r="A91" s="314" t="s">
        <v>1242</v>
      </c>
      <c r="B91" s="314" t="s">
        <v>103</v>
      </c>
      <c r="C91" s="315">
        <v>45145.8264467593</v>
      </c>
      <c r="D91" s="315">
        <v>45145.8316435185</v>
      </c>
      <c r="E91" s="314" t="s">
        <v>4624</v>
      </c>
      <c r="F91" s="314" t="s">
        <v>109</v>
      </c>
      <c r="G91" s="316">
        <v>200</v>
      </c>
      <c r="H91" t="str">
        <f>VLOOKUP(B:B,代理总表!A:D,3,FALSE)</f>
        <v>官网</v>
      </c>
      <c r="I91" t="str">
        <f>VLOOKUP(B:B,代理总表!A:D,4,FALSE)</f>
        <v>官网</v>
      </c>
      <c r="J91">
        <f t="shared" si="6"/>
        <v>19</v>
      </c>
      <c r="K91">
        <f t="shared" si="7"/>
        <v>1</v>
      </c>
      <c r="N91" s="318">
        <f t="shared" si="4"/>
        <v>45145</v>
      </c>
      <c r="O91" s="318">
        <f t="shared" si="5"/>
        <v>45145</v>
      </c>
    </row>
    <row r="92" spans="1:15">
      <c r="A92" s="314" t="s">
        <v>1315</v>
      </c>
      <c r="B92" s="314" t="s">
        <v>1317</v>
      </c>
      <c r="C92" s="315">
        <v>45145.8139351852</v>
      </c>
      <c r="D92" s="315">
        <v>45145.8316550926</v>
      </c>
      <c r="E92" s="314" t="s">
        <v>4624</v>
      </c>
      <c r="F92" s="314" t="s">
        <v>120</v>
      </c>
      <c r="G92" s="316">
        <v>100000</v>
      </c>
      <c r="H92" t="str">
        <f>VLOOKUP(B:B,代理总表!A:D,3,FALSE)</f>
        <v>外部代理总线</v>
      </c>
      <c r="I92" t="str">
        <f>VLOOKUP(B:B,代理总表!A:D,4,FALSE)</f>
        <v>外部代理总线zh0808</v>
      </c>
      <c r="J92">
        <f t="shared" si="6"/>
        <v>19</v>
      </c>
      <c r="K92">
        <f t="shared" si="7"/>
        <v>1</v>
      </c>
      <c r="N92" s="318">
        <f t="shared" si="4"/>
        <v>45145</v>
      </c>
      <c r="O92" s="318">
        <f t="shared" si="5"/>
        <v>45145</v>
      </c>
    </row>
    <row r="93" spans="1:15">
      <c r="A93" s="314" t="s">
        <v>4650</v>
      </c>
      <c r="B93" s="314" t="s">
        <v>754</v>
      </c>
      <c r="C93" s="315">
        <v>45143.6290972222</v>
      </c>
      <c r="D93" s="315">
        <v>45145.8295023148</v>
      </c>
      <c r="E93" s="314" t="s">
        <v>4624</v>
      </c>
      <c r="F93" s="314" t="s">
        <v>109</v>
      </c>
      <c r="G93" s="316">
        <v>10000</v>
      </c>
      <c r="H93" t="str">
        <f>VLOOKUP(B:B,代理总表!A:D,3,FALSE)</f>
        <v>SEO掉线用户转线</v>
      </c>
      <c r="I93" t="str">
        <f>VLOOKUP(B:B,代理总表!A:D,4,FALSE)</f>
        <v>SEO</v>
      </c>
      <c r="J93">
        <f t="shared" si="6"/>
        <v>19</v>
      </c>
      <c r="K93">
        <f t="shared" si="7"/>
        <v>0</v>
      </c>
      <c r="N93" s="318">
        <f t="shared" si="4"/>
        <v>45143</v>
      </c>
      <c r="O93" s="318">
        <f t="shared" si="5"/>
        <v>45145</v>
      </c>
    </row>
    <row r="94" spans="1:15">
      <c r="A94" s="314" t="s">
        <v>1731</v>
      </c>
      <c r="B94" s="314" t="s">
        <v>148</v>
      </c>
      <c r="C94" s="315">
        <v>45145.7484027778</v>
      </c>
      <c r="D94" s="315">
        <v>45145.8293402778</v>
      </c>
      <c r="E94" s="314" t="s">
        <v>4624</v>
      </c>
      <c r="F94" s="314" t="s">
        <v>109</v>
      </c>
      <c r="G94" s="316">
        <v>200</v>
      </c>
      <c r="H94" t="str">
        <f>VLOOKUP(B:B,代理总表!A:D,3,FALSE)</f>
        <v>martin</v>
      </c>
      <c r="I94" t="str">
        <f>VLOOKUP(B:B,代理总表!A:D,4,FALSE)</f>
        <v>SEO</v>
      </c>
      <c r="J94">
        <f t="shared" si="6"/>
        <v>19</v>
      </c>
      <c r="K94">
        <f t="shared" si="7"/>
        <v>1</v>
      </c>
      <c r="N94" s="318">
        <f t="shared" si="4"/>
        <v>45145</v>
      </c>
      <c r="O94" s="318">
        <f t="shared" si="5"/>
        <v>45145</v>
      </c>
    </row>
    <row r="95" spans="1:15">
      <c r="A95" s="314" t="s">
        <v>1299</v>
      </c>
      <c r="B95" s="314" t="s">
        <v>285</v>
      </c>
      <c r="C95" s="315">
        <v>45145.8165393519</v>
      </c>
      <c r="D95" s="315">
        <v>45145.8274652778</v>
      </c>
      <c r="E95" s="314" t="s">
        <v>4624</v>
      </c>
      <c r="F95" s="314" t="s">
        <v>109</v>
      </c>
      <c r="G95" s="316">
        <v>300</v>
      </c>
      <c r="H95" t="str">
        <f>VLOOKUP(B:B,代理总表!A:D,3,FALSE)</f>
        <v>雨燕直播</v>
      </c>
      <c r="I95" t="str">
        <f>VLOOKUP(B:B,代理总表!A:D,4,FALSE)</f>
        <v>雨燕直播zzzb888</v>
      </c>
      <c r="J95">
        <f t="shared" si="6"/>
        <v>19</v>
      </c>
      <c r="K95">
        <f t="shared" si="7"/>
        <v>1</v>
      </c>
      <c r="N95" s="318">
        <f t="shared" si="4"/>
        <v>45145</v>
      </c>
      <c r="O95" s="318">
        <f t="shared" si="5"/>
        <v>45145</v>
      </c>
    </row>
    <row r="96" spans="1:15">
      <c r="A96" s="314" t="s">
        <v>1537</v>
      </c>
      <c r="B96" s="314" t="s">
        <v>103</v>
      </c>
      <c r="C96" s="315">
        <v>45145.7836574074</v>
      </c>
      <c r="D96" s="315">
        <v>45145.8261689815</v>
      </c>
      <c r="E96" s="314" t="s">
        <v>4624</v>
      </c>
      <c r="F96" s="314" t="s">
        <v>109</v>
      </c>
      <c r="G96" s="316">
        <v>500</v>
      </c>
      <c r="H96" t="str">
        <f>VLOOKUP(B:B,代理总表!A:D,3,FALSE)</f>
        <v>官网</v>
      </c>
      <c r="I96" t="str">
        <f>VLOOKUP(B:B,代理总表!A:D,4,FALSE)</f>
        <v>官网</v>
      </c>
      <c r="J96">
        <f t="shared" si="6"/>
        <v>19</v>
      </c>
      <c r="K96">
        <f t="shared" si="7"/>
        <v>1</v>
      </c>
      <c r="N96" s="318">
        <f t="shared" si="4"/>
        <v>45145</v>
      </c>
      <c r="O96" s="318">
        <f t="shared" si="5"/>
        <v>45145</v>
      </c>
    </row>
    <row r="97" spans="1:15">
      <c r="A97" s="314" t="s">
        <v>3596</v>
      </c>
      <c r="B97" s="314" t="s">
        <v>1317</v>
      </c>
      <c r="C97" s="315">
        <v>45145.3441898148</v>
      </c>
      <c r="D97" s="315">
        <v>45145.8277314815</v>
      </c>
      <c r="E97" s="314" t="s">
        <v>4624</v>
      </c>
      <c r="F97" s="314" t="s">
        <v>120</v>
      </c>
      <c r="G97" s="316">
        <v>300000</v>
      </c>
      <c r="H97" t="str">
        <f>VLOOKUP(B:B,代理总表!A:D,3,FALSE)</f>
        <v>外部代理总线</v>
      </c>
      <c r="I97" t="str">
        <f>VLOOKUP(B:B,代理总表!A:D,4,FALSE)</f>
        <v>外部代理总线zh0808</v>
      </c>
      <c r="J97">
        <f t="shared" si="6"/>
        <v>19</v>
      </c>
      <c r="K97">
        <f t="shared" si="7"/>
        <v>1</v>
      </c>
      <c r="N97" s="318">
        <f t="shared" si="4"/>
        <v>45145</v>
      </c>
      <c r="O97" s="318">
        <f t="shared" si="5"/>
        <v>45145</v>
      </c>
    </row>
    <row r="98" spans="1:15">
      <c r="A98" s="314" t="s">
        <v>1271</v>
      </c>
      <c r="B98" s="314" t="s">
        <v>1273</v>
      </c>
      <c r="C98" s="315">
        <v>45145.8208680556</v>
      </c>
      <c r="D98" s="315">
        <v>45145.8463657407</v>
      </c>
      <c r="E98" s="314" t="s">
        <v>4624</v>
      </c>
      <c r="F98" s="314" t="s">
        <v>120</v>
      </c>
      <c r="G98" s="316">
        <v>2000000</v>
      </c>
      <c r="H98" t="str">
        <f>VLOOKUP(B:B,代理总表!A:D,3,FALSE)</f>
        <v>酷币</v>
      </c>
      <c r="I98" t="str">
        <f>VLOOKUP(B:B,代理总表!A:D,4,FALSE)</f>
        <v>酷币btydl0032</v>
      </c>
      <c r="J98">
        <f t="shared" si="6"/>
        <v>20</v>
      </c>
      <c r="K98">
        <f t="shared" si="7"/>
        <v>1</v>
      </c>
      <c r="N98" s="318">
        <f t="shared" si="4"/>
        <v>45145</v>
      </c>
      <c r="O98" s="318">
        <f t="shared" si="5"/>
        <v>45145</v>
      </c>
    </row>
    <row r="99" spans="1:15">
      <c r="A99" s="314" t="s">
        <v>1306</v>
      </c>
      <c r="B99" s="314" t="s">
        <v>454</v>
      </c>
      <c r="C99" s="315">
        <v>45145.8157060185</v>
      </c>
      <c r="D99" s="315">
        <v>45145.8234143518</v>
      </c>
      <c r="E99" s="314" t="s">
        <v>4624</v>
      </c>
      <c r="F99" s="314" t="s">
        <v>109</v>
      </c>
      <c r="G99" s="316">
        <v>300</v>
      </c>
      <c r="H99" t="str">
        <f>VLOOKUP(B:B,代理总表!A:D,3,FALSE)</f>
        <v>雨燕直播</v>
      </c>
      <c r="I99" t="str">
        <f>VLOOKUP(B:B,代理总表!A:D,4,FALSE)</f>
        <v>雨燕直播zzzb888</v>
      </c>
      <c r="J99">
        <f t="shared" si="6"/>
        <v>19</v>
      </c>
      <c r="K99">
        <f t="shared" si="7"/>
        <v>1</v>
      </c>
      <c r="N99" s="318">
        <f t="shared" si="4"/>
        <v>45145</v>
      </c>
      <c r="O99" s="318">
        <f t="shared" si="5"/>
        <v>45145</v>
      </c>
    </row>
    <row r="100" spans="1:15">
      <c r="A100" s="314" t="s">
        <v>1550</v>
      </c>
      <c r="B100" s="314" t="s">
        <v>249</v>
      </c>
      <c r="C100" s="315">
        <v>45145.7831134259</v>
      </c>
      <c r="D100" s="315">
        <v>45145.8207523148</v>
      </c>
      <c r="E100" s="314" t="s">
        <v>4624</v>
      </c>
      <c r="F100" s="314" t="s">
        <v>109</v>
      </c>
      <c r="G100" s="314">
        <v>333</v>
      </c>
      <c r="H100" t="str">
        <f>VLOOKUP(B:B,代理总表!A:D,3,FALSE)</f>
        <v>飞哥雨燕直播</v>
      </c>
      <c r="I100" t="str">
        <f>VLOOKUP(B:B,代理总表!A:D,4,FALSE)</f>
        <v>飞哥雨燕直播ffmk88</v>
      </c>
      <c r="J100">
        <f t="shared" si="6"/>
        <v>19</v>
      </c>
      <c r="K100">
        <f t="shared" si="7"/>
        <v>1</v>
      </c>
      <c r="N100" s="318">
        <f t="shared" si="4"/>
        <v>45145</v>
      </c>
      <c r="O100" s="318">
        <f t="shared" si="5"/>
        <v>45145</v>
      </c>
    </row>
    <row r="101" spans="1:15">
      <c r="A101" s="314" t="s">
        <v>1351</v>
      </c>
      <c r="B101" s="314" t="s">
        <v>137</v>
      </c>
      <c r="C101" s="315">
        <v>45145.806087963</v>
      </c>
      <c r="D101" s="315">
        <v>45145.820462963</v>
      </c>
      <c r="E101" s="314" t="s">
        <v>4624</v>
      </c>
      <c r="F101" s="314" t="s">
        <v>120</v>
      </c>
      <c r="G101" s="316">
        <v>500000</v>
      </c>
      <c r="H101" t="str">
        <f>VLOOKUP(B:B,代理总表!A:D,3,FALSE)</f>
        <v>雨燕直播-越</v>
      </c>
      <c r="I101" t="str">
        <f>VLOOKUP(B:B,代理总表!A:D,4,FALSE)</f>
        <v>雨燕直播-越ffvn66</v>
      </c>
      <c r="J101">
        <f t="shared" si="6"/>
        <v>19</v>
      </c>
      <c r="K101">
        <f t="shared" si="7"/>
        <v>1</v>
      </c>
      <c r="N101" s="318">
        <f t="shared" si="4"/>
        <v>45145</v>
      </c>
      <c r="O101" s="318">
        <f t="shared" si="5"/>
        <v>45145</v>
      </c>
    </row>
    <row r="102" spans="1:15">
      <c r="A102" s="314" t="s">
        <v>4651</v>
      </c>
      <c r="B102" s="314" t="s">
        <v>550</v>
      </c>
      <c r="C102" s="315">
        <v>45025.0526273148</v>
      </c>
      <c r="D102" s="315">
        <v>45145.8195949074</v>
      </c>
      <c r="E102" s="314" t="s">
        <v>4624</v>
      </c>
      <c r="F102" s="314" t="s">
        <v>120</v>
      </c>
      <c r="G102" s="316">
        <v>500000</v>
      </c>
      <c r="H102" t="str">
        <f>VLOOKUP(B:B,代理总表!A:D,3,FALSE)</f>
        <v>SOCO越南直播</v>
      </c>
      <c r="I102" t="str">
        <f>VLOOKUP(B:B,代理总表!A:D,4,FALSE)</f>
        <v>SOCO越南直播ffvn66</v>
      </c>
      <c r="J102">
        <f t="shared" si="6"/>
        <v>19</v>
      </c>
      <c r="K102">
        <f t="shared" si="7"/>
        <v>0</v>
      </c>
      <c r="N102" s="318">
        <f t="shared" si="4"/>
        <v>45025</v>
      </c>
      <c r="O102" s="318">
        <f t="shared" si="5"/>
        <v>45145</v>
      </c>
    </row>
    <row r="103" spans="1:15">
      <c r="A103" s="314" t="s">
        <v>4652</v>
      </c>
      <c r="B103" s="314" t="s">
        <v>558</v>
      </c>
      <c r="C103" s="315">
        <v>45122.0066898148</v>
      </c>
      <c r="D103" s="315">
        <v>45145.8169444444</v>
      </c>
      <c r="E103" s="314" t="s">
        <v>4624</v>
      </c>
      <c r="F103" s="314" t="s">
        <v>109</v>
      </c>
      <c r="G103" s="316">
        <v>100</v>
      </c>
      <c r="H103" t="str">
        <f>VLOOKUP(B:B,代理总表!A:D,3,FALSE)</f>
        <v>雨燕直播</v>
      </c>
      <c r="I103" t="str">
        <f>VLOOKUP(B:B,代理总表!A:D,4,FALSE)</f>
        <v>雨燕直播zzzb888</v>
      </c>
      <c r="J103">
        <f t="shared" si="6"/>
        <v>19</v>
      </c>
      <c r="K103">
        <f t="shared" si="7"/>
        <v>0</v>
      </c>
      <c r="N103" s="318">
        <f t="shared" si="4"/>
        <v>45122</v>
      </c>
      <c r="O103" s="318">
        <f t="shared" si="5"/>
        <v>45145</v>
      </c>
    </row>
    <row r="104" spans="1:15">
      <c r="A104" s="314" t="s">
        <v>1358</v>
      </c>
      <c r="B104" s="314" t="s">
        <v>1109</v>
      </c>
      <c r="C104" s="315">
        <v>45145.8054976852</v>
      </c>
      <c r="D104" s="315">
        <v>45145.8144791667</v>
      </c>
      <c r="E104" s="314" t="s">
        <v>4624</v>
      </c>
      <c r="F104" s="314" t="s">
        <v>109</v>
      </c>
      <c r="G104" s="316">
        <v>200</v>
      </c>
      <c r="H104" t="str">
        <f>VLOOKUP(B:B,代理总表!A:D,3,FALSE)</f>
        <v>飞哥雨燕直播</v>
      </c>
      <c r="I104" t="str">
        <f>VLOOKUP(B:B,代理总表!A:D,4,FALSE)</f>
        <v>飞哥雨燕直播ffmk88</v>
      </c>
      <c r="J104">
        <f t="shared" si="6"/>
        <v>19</v>
      </c>
      <c r="K104">
        <f t="shared" si="7"/>
        <v>1</v>
      </c>
      <c r="N104" s="318">
        <f t="shared" si="4"/>
        <v>45145</v>
      </c>
      <c r="O104" s="318">
        <f t="shared" si="5"/>
        <v>45145</v>
      </c>
    </row>
    <row r="105" spans="1:15">
      <c r="A105" s="314" t="s">
        <v>4653</v>
      </c>
      <c r="B105" s="314" t="s">
        <v>550</v>
      </c>
      <c r="C105" s="315">
        <v>45031.6092708333</v>
      </c>
      <c r="D105" s="315">
        <v>45145.8129861111</v>
      </c>
      <c r="E105" s="314" t="s">
        <v>4624</v>
      </c>
      <c r="F105" s="314" t="s">
        <v>120</v>
      </c>
      <c r="G105" s="316">
        <v>1000000</v>
      </c>
      <c r="H105" t="str">
        <f>VLOOKUP(B:B,代理总表!A:D,3,FALSE)</f>
        <v>SOCO越南直播</v>
      </c>
      <c r="I105" t="str">
        <f>VLOOKUP(B:B,代理总表!A:D,4,FALSE)</f>
        <v>SOCO越南直播ffvn66</v>
      </c>
      <c r="J105">
        <f t="shared" si="6"/>
        <v>19</v>
      </c>
      <c r="K105">
        <f t="shared" si="7"/>
        <v>0</v>
      </c>
      <c r="N105" s="318">
        <f t="shared" si="4"/>
        <v>45031</v>
      </c>
      <c r="O105" s="318">
        <f t="shared" si="5"/>
        <v>45145</v>
      </c>
    </row>
    <row r="106" spans="1:15">
      <c r="A106" s="314" t="s">
        <v>4654</v>
      </c>
      <c r="B106" s="314" t="s">
        <v>4655</v>
      </c>
      <c r="C106" s="315">
        <v>44671.8970138889</v>
      </c>
      <c r="D106" s="315">
        <v>45145.8111226852</v>
      </c>
      <c r="E106" s="314" t="s">
        <v>4624</v>
      </c>
      <c r="F106" s="314" t="s">
        <v>109</v>
      </c>
      <c r="G106" s="316">
        <v>100</v>
      </c>
      <c r="H106" t="str">
        <f>VLOOKUP(B:B,代理总表!A:D,3,FALSE)</f>
        <v>GT-B直播</v>
      </c>
      <c r="I106" t="str">
        <f>VLOOKUP(B:B,代理总表!A:D,4,FALSE)</f>
        <v>B直播gt6688</v>
      </c>
      <c r="J106">
        <f t="shared" si="6"/>
        <v>19</v>
      </c>
      <c r="K106">
        <f t="shared" si="7"/>
        <v>0</v>
      </c>
      <c r="N106" s="318">
        <f t="shared" si="4"/>
        <v>44671</v>
      </c>
      <c r="O106" s="318">
        <f t="shared" si="5"/>
        <v>45145</v>
      </c>
    </row>
    <row r="107" spans="1:15">
      <c r="A107" s="314" t="s">
        <v>1355</v>
      </c>
      <c r="B107" s="314" t="s">
        <v>148</v>
      </c>
      <c r="C107" s="315">
        <v>45145.8058796296</v>
      </c>
      <c r="D107" s="315">
        <v>45145.8110300926</v>
      </c>
      <c r="E107" s="314" t="s">
        <v>4624</v>
      </c>
      <c r="F107" s="314" t="s">
        <v>109</v>
      </c>
      <c r="G107" s="316">
        <v>350</v>
      </c>
      <c r="H107" t="str">
        <f>VLOOKUP(B:B,代理总表!A:D,3,FALSE)</f>
        <v>martin</v>
      </c>
      <c r="I107" t="str">
        <f>VLOOKUP(B:B,代理总表!A:D,4,FALSE)</f>
        <v>SEO</v>
      </c>
      <c r="J107">
        <f t="shared" si="6"/>
        <v>19</v>
      </c>
      <c r="K107">
        <f t="shared" si="7"/>
        <v>1</v>
      </c>
      <c r="N107" s="318">
        <f t="shared" si="4"/>
        <v>45145</v>
      </c>
      <c r="O107" s="318">
        <f t="shared" si="5"/>
        <v>45145</v>
      </c>
    </row>
    <row r="108" spans="1:15">
      <c r="A108" s="314" t="s">
        <v>1369</v>
      </c>
      <c r="B108" s="314" t="s">
        <v>594</v>
      </c>
      <c r="C108" s="315">
        <v>45145.803912037</v>
      </c>
      <c r="D108" s="315">
        <v>45145.8092939815</v>
      </c>
      <c r="E108" s="314" t="s">
        <v>4624</v>
      </c>
      <c r="F108" s="314" t="s">
        <v>109</v>
      </c>
      <c r="G108" s="316">
        <v>200</v>
      </c>
      <c r="H108" t="str">
        <f>VLOOKUP(B:B,代理总表!A:D,3,FALSE)</f>
        <v>zed</v>
      </c>
      <c r="I108" t="str">
        <f>VLOOKUP(B:B,代理总表!A:D,4,FALSE)</f>
        <v>SEO</v>
      </c>
      <c r="J108">
        <f t="shared" si="6"/>
        <v>19</v>
      </c>
      <c r="K108">
        <f t="shared" si="7"/>
        <v>1</v>
      </c>
      <c r="N108" s="318">
        <f t="shared" si="4"/>
        <v>45145</v>
      </c>
      <c r="O108" s="318">
        <f t="shared" si="5"/>
        <v>45145</v>
      </c>
    </row>
    <row r="109" spans="1:15">
      <c r="A109" s="314" t="s">
        <v>1494</v>
      </c>
      <c r="B109" s="314" t="s">
        <v>137</v>
      </c>
      <c r="C109" s="315">
        <v>45145.7889814815</v>
      </c>
      <c r="D109" s="315">
        <v>45145.8147685185</v>
      </c>
      <c r="E109" s="314" t="s">
        <v>4624</v>
      </c>
      <c r="F109" s="314" t="s">
        <v>120</v>
      </c>
      <c r="G109" s="316">
        <v>300000</v>
      </c>
      <c r="H109" t="str">
        <f>VLOOKUP(B:B,代理总表!A:D,3,FALSE)</f>
        <v>雨燕直播-越</v>
      </c>
      <c r="I109" t="str">
        <f>VLOOKUP(B:B,代理总表!A:D,4,FALSE)</f>
        <v>雨燕直播-越ffvn66</v>
      </c>
      <c r="J109">
        <f t="shared" si="6"/>
        <v>19</v>
      </c>
      <c r="K109">
        <f t="shared" si="7"/>
        <v>1</v>
      </c>
      <c r="N109" s="318">
        <f t="shared" si="4"/>
        <v>45145</v>
      </c>
      <c r="O109" s="318">
        <f t="shared" si="5"/>
        <v>45145</v>
      </c>
    </row>
    <row r="110" spans="1:15">
      <c r="A110" s="314" t="s">
        <v>1386</v>
      </c>
      <c r="B110" s="314" t="s">
        <v>148</v>
      </c>
      <c r="C110" s="315">
        <v>45145.8016435185</v>
      </c>
      <c r="D110" s="315">
        <v>45145.8091319444</v>
      </c>
      <c r="E110" s="314" t="s">
        <v>4624</v>
      </c>
      <c r="F110" s="314" t="s">
        <v>109</v>
      </c>
      <c r="G110" s="316">
        <v>100</v>
      </c>
      <c r="H110" t="str">
        <f>VLOOKUP(B:B,代理总表!A:D,3,FALSE)</f>
        <v>martin</v>
      </c>
      <c r="I110" t="str">
        <f>VLOOKUP(B:B,代理总表!A:D,4,FALSE)</f>
        <v>SEO</v>
      </c>
      <c r="J110">
        <f t="shared" si="6"/>
        <v>19</v>
      </c>
      <c r="K110">
        <f t="shared" si="7"/>
        <v>1</v>
      </c>
      <c r="N110" s="318">
        <f t="shared" si="4"/>
        <v>45145</v>
      </c>
      <c r="O110" s="318">
        <f t="shared" si="5"/>
        <v>45145</v>
      </c>
    </row>
    <row r="111" spans="1:15">
      <c r="A111" s="314" t="s">
        <v>1635</v>
      </c>
      <c r="B111" s="314" t="s">
        <v>1637</v>
      </c>
      <c r="C111" s="315">
        <v>45145.7667592593</v>
      </c>
      <c r="D111" s="315">
        <v>45145.8115856481</v>
      </c>
      <c r="E111" s="314" t="s">
        <v>4624</v>
      </c>
      <c r="F111" s="314" t="s">
        <v>120</v>
      </c>
      <c r="G111" s="316">
        <v>200000</v>
      </c>
      <c r="H111" t="str">
        <f>VLOOKUP(B:B,代理总表!A:D,3,FALSE)</f>
        <v>外部代理总线</v>
      </c>
      <c r="I111" t="str">
        <f>VLOOKUP(B:B,代理总表!A:D,4,FALSE)</f>
        <v>外部代理总线zh0808</v>
      </c>
      <c r="J111">
        <f t="shared" si="6"/>
        <v>19</v>
      </c>
      <c r="K111">
        <f t="shared" si="7"/>
        <v>1</v>
      </c>
      <c r="N111" s="318">
        <f t="shared" si="4"/>
        <v>45145</v>
      </c>
      <c r="O111" s="318">
        <f t="shared" si="5"/>
        <v>45145</v>
      </c>
    </row>
    <row r="112" spans="1:15">
      <c r="A112" s="314" t="s">
        <v>4656</v>
      </c>
      <c r="B112" s="314" t="s">
        <v>137</v>
      </c>
      <c r="C112" s="315">
        <v>45144.4826736111</v>
      </c>
      <c r="D112" s="315">
        <v>45145.8109490741</v>
      </c>
      <c r="E112" s="314" t="s">
        <v>4624</v>
      </c>
      <c r="F112" s="314" t="s">
        <v>120</v>
      </c>
      <c r="G112" s="316">
        <v>300000</v>
      </c>
      <c r="H112" t="str">
        <f>VLOOKUP(B:B,代理总表!A:D,3,FALSE)</f>
        <v>雨燕直播-越</v>
      </c>
      <c r="I112" t="str">
        <f>VLOOKUP(B:B,代理总表!A:D,4,FALSE)</f>
        <v>雨燕直播-越ffvn66</v>
      </c>
      <c r="J112">
        <f t="shared" si="6"/>
        <v>19</v>
      </c>
      <c r="K112">
        <f t="shared" si="7"/>
        <v>0</v>
      </c>
      <c r="N112" s="318">
        <f t="shared" si="4"/>
        <v>45144</v>
      </c>
      <c r="O112" s="318">
        <f t="shared" si="5"/>
        <v>45145</v>
      </c>
    </row>
    <row r="113" spans="1:15">
      <c r="A113" s="314" t="s">
        <v>1451</v>
      </c>
      <c r="B113" s="314" t="s">
        <v>137</v>
      </c>
      <c r="C113" s="315">
        <v>45145.7942476852</v>
      </c>
      <c r="D113" s="315">
        <v>45145.8099305556</v>
      </c>
      <c r="E113" s="314" t="s">
        <v>4624</v>
      </c>
      <c r="F113" s="314" t="s">
        <v>120</v>
      </c>
      <c r="G113" s="316">
        <v>2500000</v>
      </c>
      <c r="H113" t="str">
        <f>VLOOKUP(B:B,代理总表!A:D,3,FALSE)</f>
        <v>雨燕直播-越</v>
      </c>
      <c r="I113" t="str">
        <f>VLOOKUP(B:B,代理总表!A:D,4,FALSE)</f>
        <v>雨燕直播-越ffvn66</v>
      </c>
      <c r="J113">
        <f t="shared" si="6"/>
        <v>19</v>
      </c>
      <c r="K113">
        <f t="shared" si="7"/>
        <v>1</v>
      </c>
      <c r="N113" s="318">
        <f t="shared" si="4"/>
        <v>45145</v>
      </c>
      <c r="O113" s="318">
        <f t="shared" si="5"/>
        <v>45145</v>
      </c>
    </row>
    <row r="114" spans="1:15">
      <c r="A114" s="314" t="s">
        <v>1379</v>
      </c>
      <c r="B114" s="314" t="s">
        <v>116</v>
      </c>
      <c r="C114" s="315">
        <v>45145.8029166667</v>
      </c>
      <c r="D114" s="315">
        <v>45145.8103587963</v>
      </c>
      <c r="E114" s="314" t="s">
        <v>4624</v>
      </c>
      <c r="F114" s="314" t="s">
        <v>120</v>
      </c>
      <c r="G114" s="316">
        <v>10000000</v>
      </c>
      <c r="H114" t="str">
        <f>VLOOKUP(B:B,代理总表!A:D,3,FALSE)</f>
        <v>外部代理总线</v>
      </c>
      <c r="I114" t="str">
        <f>VLOOKUP(B:B,代理总表!A:D,4,FALSE)</f>
        <v>外部代理总线zh0808</v>
      </c>
      <c r="J114">
        <f t="shared" si="6"/>
        <v>19</v>
      </c>
      <c r="K114">
        <f t="shared" si="7"/>
        <v>1</v>
      </c>
      <c r="N114" s="318">
        <f t="shared" si="4"/>
        <v>45145</v>
      </c>
      <c r="O114" s="318">
        <f t="shared" si="5"/>
        <v>45145</v>
      </c>
    </row>
    <row r="115" spans="1:15">
      <c r="A115" s="314" t="s">
        <v>1410</v>
      </c>
      <c r="B115" s="314" t="s">
        <v>805</v>
      </c>
      <c r="C115" s="315">
        <v>45145.7993171296</v>
      </c>
      <c r="D115" s="315">
        <v>45145.8047685185</v>
      </c>
      <c r="E115" s="314" t="s">
        <v>4624</v>
      </c>
      <c r="F115" s="314" t="s">
        <v>109</v>
      </c>
      <c r="G115" s="316">
        <v>100</v>
      </c>
      <c r="H115" t="str">
        <f>VLOOKUP(B:B,代理总表!A:D,3,FALSE)</f>
        <v>飞哥雨燕直播</v>
      </c>
      <c r="I115" t="str">
        <f>VLOOKUP(B:B,代理总表!A:D,4,FALSE)</f>
        <v>飞哥雨燕直播ffmk88</v>
      </c>
      <c r="J115">
        <f t="shared" si="6"/>
        <v>19</v>
      </c>
      <c r="K115">
        <f t="shared" si="7"/>
        <v>1</v>
      </c>
      <c r="N115" s="318">
        <f t="shared" si="4"/>
        <v>45145</v>
      </c>
      <c r="O115" s="318">
        <f t="shared" si="5"/>
        <v>45145</v>
      </c>
    </row>
    <row r="116" spans="1:15">
      <c r="A116" s="314" t="s">
        <v>4657</v>
      </c>
      <c r="B116" s="314" t="s">
        <v>564</v>
      </c>
      <c r="C116" s="315">
        <v>45135.7961342593</v>
      </c>
      <c r="D116" s="315">
        <v>45145.8049537037</v>
      </c>
      <c r="E116" s="314" t="s">
        <v>4624</v>
      </c>
      <c r="F116" s="314" t="s">
        <v>120</v>
      </c>
      <c r="G116" s="316">
        <v>1000000</v>
      </c>
      <c r="H116" t="e">
        <f>VLOOKUP(B:B,代理总表!A:D,3,FALSE)</f>
        <v>#N/A</v>
      </c>
      <c r="I116" t="e">
        <f>VLOOKUP(B:B,代理总表!A:D,4,FALSE)</f>
        <v>#N/A</v>
      </c>
      <c r="J116">
        <f t="shared" si="6"/>
        <v>19</v>
      </c>
      <c r="K116">
        <f t="shared" si="7"/>
        <v>0</v>
      </c>
      <c r="N116" s="318">
        <f t="shared" si="4"/>
        <v>45135</v>
      </c>
      <c r="O116" s="318">
        <f t="shared" si="5"/>
        <v>45145</v>
      </c>
    </row>
    <row r="117" spans="1:15">
      <c r="A117" s="314" t="s">
        <v>1429</v>
      </c>
      <c r="B117" s="314" t="s">
        <v>148</v>
      </c>
      <c r="C117" s="315">
        <v>45145.7969560185</v>
      </c>
      <c r="D117" s="315">
        <v>45145.8042476852</v>
      </c>
      <c r="E117" s="314" t="s">
        <v>4624</v>
      </c>
      <c r="F117" s="314" t="s">
        <v>109</v>
      </c>
      <c r="G117" s="314">
        <v>102</v>
      </c>
      <c r="H117" t="str">
        <f>VLOOKUP(B:B,代理总表!A:D,3,FALSE)</f>
        <v>martin</v>
      </c>
      <c r="I117" t="str">
        <f>VLOOKUP(B:B,代理总表!A:D,4,FALSE)</f>
        <v>SEO</v>
      </c>
      <c r="J117">
        <f t="shared" si="6"/>
        <v>19</v>
      </c>
      <c r="K117">
        <f t="shared" si="7"/>
        <v>1</v>
      </c>
      <c r="N117" s="318">
        <f t="shared" si="4"/>
        <v>45145</v>
      </c>
      <c r="O117" s="318">
        <f t="shared" si="5"/>
        <v>45145</v>
      </c>
    </row>
    <row r="118" spans="1:15">
      <c r="A118" s="314" t="s">
        <v>4658</v>
      </c>
      <c r="B118" s="314" t="s">
        <v>1021</v>
      </c>
      <c r="C118" s="315">
        <v>44798.0598032407</v>
      </c>
      <c r="D118" s="315">
        <v>45145.8028587963</v>
      </c>
      <c r="E118" s="314" t="s">
        <v>4624</v>
      </c>
      <c r="F118" s="314" t="s">
        <v>120</v>
      </c>
      <c r="G118" s="316">
        <v>200000</v>
      </c>
      <c r="H118" t="str">
        <f>VLOOKUP(B:B,代理总表!A:D,3,FALSE)</f>
        <v>SOCO越南直播</v>
      </c>
      <c r="I118" t="str">
        <f>VLOOKUP(B:B,代理总表!A:D,4,FALSE)</f>
        <v>SOCO越南直播ffvn66</v>
      </c>
      <c r="J118">
        <f t="shared" si="6"/>
        <v>19</v>
      </c>
      <c r="K118">
        <f t="shared" si="7"/>
        <v>0</v>
      </c>
      <c r="N118" s="318">
        <f t="shared" si="4"/>
        <v>44798</v>
      </c>
      <c r="O118" s="318">
        <f t="shared" si="5"/>
        <v>45145</v>
      </c>
    </row>
    <row r="119" spans="1:15">
      <c r="A119" s="314" t="s">
        <v>1476</v>
      </c>
      <c r="B119" s="314" t="s">
        <v>197</v>
      </c>
      <c r="C119" s="315">
        <v>45145.7900462963</v>
      </c>
      <c r="D119" s="315">
        <v>45145.8003819444</v>
      </c>
      <c r="E119" s="314" t="s">
        <v>4624</v>
      </c>
      <c r="F119" s="314" t="s">
        <v>120</v>
      </c>
      <c r="G119" s="316">
        <v>100000</v>
      </c>
      <c r="H119" t="str">
        <f>VLOOKUP(B:B,代理总表!A:D,3,FALSE)</f>
        <v>雨燕直播-越</v>
      </c>
      <c r="I119" t="str">
        <f>VLOOKUP(B:B,代理总表!A:D,4,FALSE)</f>
        <v>雨燕直播-越ffvn66</v>
      </c>
      <c r="J119">
        <f t="shared" si="6"/>
        <v>19</v>
      </c>
      <c r="K119">
        <f t="shared" si="7"/>
        <v>1</v>
      </c>
      <c r="N119" s="318">
        <f t="shared" si="4"/>
        <v>45145</v>
      </c>
      <c r="O119" s="318">
        <f t="shared" si="5"/>
        <v>45145</v>
      </c>
    </row>
    <row r="120" spans="1:15">
      <c r="A120" s="314" t="s">
        <v>2421</v>
      </c>
      <c r="B120" s="314" t="s">
        <v>450</v>
      </c>
      <c r="C120" s="315">
        <v>45145.6467592593</v>
      </c>
      <c r="D120" s="315">
        <v>45145.7993865741</v>
      </c>
      <c r="E120" s="314" t="s">
        <v>4624</v>
      </c>
      <c r="F120" s="314" t="s">
        <v>109</v>
      </c>
      <c r="G120" s="316">
        <v>500</v>
      </c>
      <c r="H120" t="str">
        <f>VLOOKUP(B:B,代理总表!A:D,3,FALSE)</f>
        <v>外部代理总线</v>
      </c>
      <c r="I120" t="str">
        <f>VLOOKUP(B:B,代理总表!A:D,4,FALSE)</f>
        <v>外部代理总线zh0808</v>
      </c>
      <c r="J120">
        <f t="shared" si="6"/>
        <v>19</v>
      </c>
      <c r="K120">
        <f t="shared" si="7"/>
        <v>1</v>
      </c>
      <c r="N120" s="318">
        <f t="shared" si="4"/>
        <v>45145</v>
      </c>
      <c r="O120" s="318">
        <f t="shared" si="5"/>
        <v>45145</v>
      </c>
    </row>
    <row r="121" spans="1:15">
      <c r="A121" s="314" t="s">
        <v>1651</v>
      </c>
      <c r="B121" s="314" t="s">
        <v>1652</v>
      </c>
      <c r="C121" s="315">
        <v>45145.7633796296</v>
      </c>
      <c r="D121" s="315">
        <v>45145.8003009259</v>
      </c>
      <c r="E121" s="314" t="s">
        <v>4624</v>
      </c>
      <c r="F121" s="314" t="s">
        <v>415</v>
      </c>
      <c r="G121" s="316">
        <v>300</v>
      </c>
      <c r="H121" t="e">
        <f>VLOOKUP(B:B,代理总表!A:D,3,FALSE)</f>
        <v>#N/A</v>
      </c>
      <c r="I121" t="e">
        <f>VLOOKUP(B:B,代理总表!A:D,4,FALSE)</f>
        <v>#N/A</v>
      </c>
      <c r="J121">
        <f t="shared" si="6"/>
        <v>19</v>
      </c>
      <c r="K121">
        <f t="shared" si="7"/>
        <v>1</v>
      </c>
      <c r="N121" s="318">
        <f t="shared" si="4"/>
        <v>45145</v>
      </c>
      <c r="O121" s="318">
        <f t="shared" si="5"/>
        <v>45145</v>
      </c>
    </row>
    <row r="122" spans="1:15">
      <c r="A122" s="314" t="s">
        <v>4659</v>
      </c>
      <c r="B122" s="314" t="s">
        <v>550</v>
      </c>
      <c r="C122" s="315">
        <v>44846.5596527778</v>
      </c>
      <c r="D122" s="315">
        <v>45145.7968865741</v>
      </c>
      <c r="E122" s="314" t="s">
        <v>4624</v>
      </c>
      <c r="F122" s="314" t="s">
        <v>120</v>
      </c>
      <c r="G122" s="316">
        <v>2000000</v>
      </c>
      <c r="H122" t="str">
        <f>VLOOKUP(B:B,代理总表!A:D,3,FALSE)</f>
        <v>SOCO越南直播</v>
      </c>
      <c r="I122" t="str">
        <f>VLOOKUP(B:B,代理总表!A:D,4,FALSE)</f>
        <v>SOCO越南直播ffvn66</v>
      </c>
      <c r="J122">
        <f t="shared" si="6"/>
        <v>19</v>
      </c>
      <c r="K122">
        <f t="shared" si="7"/>
        <v>0</v>
      </c>
      <c r="N122" s="318">
        <f t="shared" si="4"/>
        <v>44846</v>
      </c>
      <c r="O122" s="318">
        <f t="shared" si="5"/>
        <v>45145</v>
      </c>
    </row>
    <row r="123" spans="1:15">
      <c r="A123" s="314" t="s">
        <v>1466</v>
      </c>
      <c r="B123" s="314" t="s">
        <v>1468</v>
      </c>
      <c r="C123" s="315">
        <v>45145.7922916667</v>
      </c>
      <c r="D123" s="315">
        <v>45145.7973842593</v>
      </c>
      <c r="E123" s="314" t="s">
        <v>4624</v>
      </c>
      <c r="F123" s="314" t="s">
        <v>109</v>
      </c>
      <c r="G123" s="316">
        <v>2000</v>
      </c>
      <c r="H123" t="str">
        <f>VLOOKUP(B:B,代理总表!A:D,3,FALSE)</f>
        <v>paddy</v>
      </c>
      <c r="I123" t="str">
        <f>VLOOKUP(B:B,代理总表!A:D,4,FALSE)</f>
        <v>SEO</v>
      </c>
      <c r="J123">
        <f t="shared" si="6"/>
        <v>19</v>
      </c>
      <c r="K123">
        <f t="shared" si="7"/>
        <v>1</v>
      </c>
      <c r="N123" s="318">
        <f t="shared" si="4"/>
        <v>45145</v>
      </c>
      <c r="O123" s="318">
        <f t="shared" si="5"/>
        <v>45145</v>
      </c>
    </row>
    <row r="124" spans="1:15">
      <c r="A124" s="314" t="s">
        <v>1529</v>
      </c>
      <c r="B124" s="314" t="s">
        <v>1017</v>
      </c>
      <c r="C124" s="315">
        <v>45145.7853587963</v>
      </c>
      <c r="D124" s="315">
        <v>45145.7886921296</v>
      </c>
      <c r="E124" s="314" t="s">
        <v>4624</v>
      </c>
      <c r="F124" s="314" t="s">
        <v>120</v>
      </c>
      <c r="G124" s="316">
        <v>1800000</v>
      </c>
      <c r="H124" t="e">
        <f>VLOOKUP(B:B,代理总表!A:D,3,FALSE)</f>
        <v>#N/A</v>
      </c>
      <c r="I124" t="e">
        <f>VLOOKUP(B:B,代理总表!A:D,4,FALSE)</f>
        <v>#N/A</v>
      </c>
      <c r="J124">
        <f t="shared" si="6"/>
        <v>18</v>
      </c>
      <c r="K124">
        <f t="shared" si="7"/>
        <v>1</v>
      </c>
      <c r="N124" s="318">
        <f t="shared" si="4"/>
        <v>45145</v>
      </c>
      <c r="O124" s="318">
        <f t="shared" si="5"/>
        <v>45145</v>
      </c>
    </row>
    <row r="125" spans="1:15">
      <c r="A125" s="314" t="s">
        <v>4660</v>
      </c>
      <c r="B125" s="314" t="s">
        <v>172</v>
      </c>
      <c r="C125" s="315">
        <v>45140.6991319444</v>
      </c>
      <c r="D125" s="315">
        <v>45145.7854861111</v>
      </c>
      <c r="E125" s="314" t="s">
        <v>4624</v>
      </c>
      <c r="F125" s="314" t="s">
        <v>120</v>
      </c>
      <c r="G125" s="316">
        <v>50000</v>
      </c>
      <c r="H125" t="str">
        <f>VLOOKUP(B:B,代理总表!A:D,3,FALSE)</f>
        <v>雨燕直播-越</v>
      </c>
      <c r="I125" t="str">
        <f>VLOOKUP(B:B,代理总表!A:D,4,FALSE)</f>
        <v>雨燕直播-越ffvn66</v>
      </c>
      <c r="J125">
        <f t="shared" si="6"/>
        <v>18</v>
      </c>
      <c r="K125">
        <f t="shared" si="7"/>
        <v>0</v>
      </c>
      <c r="N125" s="318">
        <f t="shared" si="4"/>
        <v>45140</v>
      </c>
      <c r="O125" s="318">
        <f t="shared" si="5"/>
        <v>45145</v>
      </c>
    </row>
    <row r="126" spans="1:15">
      <c r="A126" s="314" t="s">
        <v>1580</v>
      </c>
      <c r="B126" s="314" t="s">
        <v>148</v>
      </c>
      <c r="C126" s="315">
        <v>45145.7761226852</v>
      </c>
      <c r="D126" s="315">
        <v>45145.780474537</v>
      </c>
      <c r="E126" s="314" t="s">
        <v>4624</v>
      </c>
      <c r="F126" s="314" t="s">
        <v>109</v>
      </c>
      <c r="G126" s="316">
        <v>2000</v>
      </c>
      <c r="H126" t="str">
        <f>VLOOKUP(B:B,代理总表!A:D,3,FALSE)</f>
        <v>martin</v>
      </c>
      <c r="I126" t="str">
        <f>VLOOKUP(B:B,代理总表!A:D,4,FALSE)</f>
        <v>SEO</v>
      </c>
      <c r="J126">
        <f t="shared" si="6"/>
        <v>18</v>
      </c>
      <c r="K126">
        <f t="shared" si="7"/>
        <v>1</v>
      </c>
      <c r="N126" s="318">
        <f t="shared" si="4"/>
        <v>45145</v>
      </c>
      <c r="O126" s="318">
        <f t="shared" si="5"/>
        <v>45145</v>
      </c>
    </row>
    <row r="127" spans="1:15">
      <c r="A127" s="314" t="s">
        <v>2402</v>
      </c>
      <c r="B127" s="314" t="s">
        <v>148</v>
      </c>
      <c r="C127" s="315">
        <v>45145.6482291667</v>
      </c>
      <c r="D127" s="315">
        <v>45145.7782291667</v>
      </c>
      <c r="E127" s="314" t="s">
        <v>4624</v>
      </c>
      <c r="F127" s="314" t="s">
        <v>109</v>
      </c>
      <c r="G127" s="316">
        <v>1100</v>
      </c>
      <c r="H127" t="str">
        <f>VLOOKUP(B:B,代理总表!A:D,3,FALSE)</f>
        <v>martin</v>
      </c>
      <c r="I127" t="str">
        <f>VLOOKUP(B:B,代理总表!A:D,4,FALSE)</f>
        <v>SEO</v>
      </c>
      <c r="J127">
        <f t="shared" si="6"/>
        <v>18</v>
      </c>
      <c r="K127">
        <f t="shared" si="7"/>
        <v>1</v>
      </c>
      <c r="N127" s="318">
        <f t="shared" si="4"/>
        <v>45145</v>
      </c>
      <c r="O127" s="318">
        <f t="shared" si="5"/>
        <v>45145</v>
      </c>
    </row>
    <row r="128" spans="1:15">
      <c r="A128" s="314" t="s">
        <v>1693</v>
      </c>
      <c r="B128" s="314" t="s">
        <v>197</v>
      </c>
      <c r="C128" s="315">
        <v>45145.7576736111</v>
      </c>
      <c r="D128" s="315">
        <v>45145.7779282407</v>
      </c>
      <c r="E128" s="314" t="s">
        <v>4624</v>
      </c>
      <c r="F128" s="314" t="s">
        <v>120</v>
      </c>
      <c r="G128" s="316">
        <v>500000</v>
      </c>
      <c r="H128" t="str">
        <f>VLOOKUP(B:B,代理总表!A:D,3,FALSE)</f>
        <v>雨燕直播-越</v>
      </c>
      <c r="I128" t="str">
        <f>VLOOKUP(B:B,代理总表!A:D,4,FALSE)</f>
        <v>雨燕直播-越ffvn66</v>
      </c>
      <c r="J128">
        <f t="shared" si="6"/>
        <v>18</v>
      </c>
      <c r="K128">
        <f t="shared" si="7"/>
        <v>1</v>
      </c>
      <c r="N128" s="318">
        <f t="shared" si="4"/>
        <v>45145</v>
      </c>
      <c r="O128" s="318">
        <f t="shared" si="5"/>
        <v>45145</v>
      </c>
    </row>
    <row r="129" spans="1:15">
      <c r="A129" s="314" t="s">
        <v>1631</v>
      </c>
      <c r="B129" s="314" t="s">
        <v>197</v>
      </c>
      <c r="C129" s="315">
        <v>45145.7673842593</v>
      </c>
      <c r="D129" s="315">
        <v>45145.7779282407</v>
      </c>
      <c r="E129" s="314" t="s">
        <v>4624</v>
      </c>
      <c r="F129" s="314" t="s">
        <v>120</v>
      </c>
      <c r="G129" s="316">
        <v>2000000</v>
      </c>
      <c r="H129" t="str">
        <f>VLOOKUP(B:B,代理总表!A:D,3,FALSE)</f>
        <v>雨燕直播-越</v>
      </c>
      <c r="I129" t="str">
        <f>VLOOKUP(B:B,代理总表!A:D,4,FALSE)</f>
        <v>雨燕直播-越ffvn66</v>
      </c>
      <c r="J129">
        <f t="shared" si="6"/>
        <v>18</v>
      </c>
      <c r="K129">
        <f t="shared" si="7"/>
        <v>1</v>
      </c>
      <c r="N129" s="318">
        <f t="shared" si="4"/>
        <v>45145</v>
      </c>
      <c r="O129" s="318">
        <f t="shared" si="5"/>
        <v>45145</v>
      </c>
    </row>
    <row r="130" spans="1:15">
      <c r="A130" s="314" t="s">
        <v>1961</v>
      </c>
      <c r="B130" s="314" t="s">
        <v>1963</v>
      </c>
      <c r="C130" s="315">
        <v>45145.7089236111</v>
      </c>
      <c r="D130" s="315">
        <v>45145.7749421296</v>
      </c>
      <c r="E130" s="314" t="s">
        <v>4624</v>
      </c>
      <c r="F130" s="314" t="s">
        <v>109</v>
      </c>
      <c r="G130" s="314">
        <v>502</v>
      </c>
      <c r="H130" t="str">
        <f>VLOOKUP(B:B,代理总表!A:D,3,FALSE)</f>
        <v>GT-骨头</v>
      </c>
      <c r="I130" t="str">
        <f>VLOOKUP(B:B,代理总表!A:D,4,FALSE)</f>
        <v>B直播gt6677</v>
      </c>
      <c r="J130">
        <f t="shared" si="6"/>
        <v>18</v>
      </c>
      <c r="K130">
        <f t="shared" si="7"/>
        <v>1</v>
      </c>
      <c r="N130" s="318">
        <f t="shared" ref="N130:N193" si="8">INT(C130)</f>
        <v>45145</v>
      </c>
      <c r="O130" s="318">
        <f t="shared" ref="O130:O193" si="9">INT(D130)</f>
        <v>45145</v>
      </c>
    </row>
    <row r="131" spans="1:15">
      <c r="A131" s="314" t="s">
        <v>1621</v>
      </c>
      <c r="B131" s="314" t="s">
        <v>454</v>
      </c>
      <c r="C131" s="315">
        <v>45145.7685185185</v>
      </c>
      <c r="D131" s="315">
        <v>45145.774224537</v>
      </c>
      <c r="E131" s="314" t="s">
        <v>4624</v>
      </c>
      <c r="F131" s="314" t="s">
        <v>109</v>
      </c>
      <c r="G131" s="316">
        <v>200</v>
      </c>
      <c r="H131" t="str">
        <f>VLOOKUP(B:B,代理总表!A:D,3,FALSE)</f>
        <v>雨燕直播</v>
      </c>
      <c r="I131" t="str">
        <f>VLOOKUP(B:B,代理总表!A:D,4,FALSE)</f>
        <v>雨燕直播zzzb888</v>
      </c>
      <c r="J131">
        <f t="shared" ref="J131:J194" si="10">HOUR(D131)</f>
        <v>18</v>
      </c>
      <c r="K131">
        <f t="shared" ref="K131:K194" si="11">IF(N131=O131,1,0)</f>
        <v>1</v>
      </c>
      <c r="N131" s="318">
        <f t="shared" si="8"/>
        <v>45145</v>
      </c>
      <c r="O131" s="318">
        <f t="shared" si="9"/>
        <v>45145</v>
      </c>
    </row>
    <row r="132" spans="1:15">
      <c r="A132" s="314" t="s">
        <v>1684</v>
      </c>
      <c r="B132" s="314" t="s">
        <v>143</v>
      </c>
      <c r="C132" s="315">
        <v>45145.7590162037</v>
      </c>
      <c r="D132" s="315">
        <v>45145.7702430556</v>
      </c>
      <c r="E132" s="314" t="s">
        <v>4624</v>
      </c>
      <c r="F132" s="314" t="s">
        <v>120</v>
      </c>
      <c r="G132" s="316">
        <v>100000</v>
      </c>
      <c r="H132" t="str">
        <f>VLOOKUP(B:B,代理总表!A:D,3,FALSE)</f>
        <v>雨燕直播-越</v>
      </c>
      <c r="I132" t="str">
        <f>VLOOKUP(B:B,代理总表!A:D,4,FALSE)</f>
        <v>雨燕直播-越ffvn66</v>
      </c>
      <c r="J132">
        <f t="shared" si="10"/>
        <v>18</v>
      </c>
      <c r="K132">
        <f t="shared" si="11"/>
        <v>1</v>
      </c>
      <c r="N132" s="318">
        <f t="shared" si="8"/>
        <v>45145</v>
      </c>
      <c r="O132" s="318">
        <f t="shared" si="9"/>
        <v>45145</v>
      </c>
    </row>
    <row r="133" spans="1:15">
      <c r="A133" s="314" t="s">
        <v>1842</v>
      </c>
      <c r="B133" s="314" t="s">
        <v>333</v>
      </c>
      <c r="C133" s="315">
        <v>45145.7240740741</v>
      </c>
      <c r="D133" s="315">
        <v>45145.7697337963</v>
      </c>
      <c r="E133" s="314" t="s">
        <v>4624</v>
      </c>
      <c r="F133" s="314" t="s">
        <v>120</v>
      </c>
      <c r="G133" s="316">
        <v>3800000</v>
      </c>
      <c r="H133" t="e">
        <f>VLOOKUP(B:B,代理总表!A:D,3,FALSE)</f>
        <v>#N/A</v>
      </c>
      <c r="I133" t="e">
        <f>VLOOKUP(B:B,代理总表!A:D,4,FALSE)</f>
        <v>#N/A</v>
      </c>
      <c r="J133">
        <f t="shared" si="10"/>
        <v>18</v>
      </c>
      <c r="K133">
        <f t="shared" si="11"/>
        <v>1</v>
      </c>
      <c r="N133" s="318">
        <f t="shared" si="8"/>
        <v>45145</v>
      </c>
      <c r="O133" s="318">
        <f t="shared" si="9"/>
        <v>45145</v>
      </c>
    </row>
    <row r="134" spans="1:15">
      <c r="A134" s="314" t="s">
        <v>1665</v>
      </c>
      <c r="B134" s="314" t="s">
        <v>276</v>
      </c>
      <c r="C134" s="315">
        <v>45145.7627083333</v>
      </c>
      <c r="D134" s="315">
        <v>45145.7691435185</v>
      </c>
      <c r="E134" s="314" t="s">
        <v>4624</v>
      </c>
      <c r="F134" s="314" t="s">
        <v>109</v>
      </c>
      <c r="G134" s="316">
        <v>500</v>
      </c>
      <c r="H134" t="str">
        <f>VLOOKUP(B:B,代理总表!A:D,3,FALSE)</f>
        <v>飞哥雨燕直播</v>
      </c>
      <c r="I134" t="str">
        <f>VLOOKUP(B:B,代理总表!A:D,4,FALSE)</f>
        <v>飞哥雨燕直播ffmk88</v>
      </c>
      <c r="J134">
        <f t="shared" si="10"/>
        <v>18</v>
      </c>
      <c r="K134">
        <f t="shared" si="11"/>
        <v>1</v>
      </c>
      <c r="N134" s="318">
        <f t="shared" si="8"/>
        <v>45145</v>
      </c>
      <c r="O134" s="318">
        <f t="shared" si="9"/>
        <v>45145</v>
      </c>
    </row>
    <row r="135" spans="1:15">
      <c r="A135" s="314" t="s">
        <v>1657</v>
      </c>
      <c r="B135" s="314" t="s">
        <v>522</v>
      </c>
      <c r="C135" s="315">
        <v>45145.762962963</v>
      </c>
      <c r="D135" s="315">
        <v>45145.7668865741</v>
      </c>
      <c r="E135" s="314" t="s">
        <v>4624</v>
      </c>
      <c r="F135" s="314" t="s">
        <v>120</v>
      </c>
      <c r="G135" s="316">
        <v>100000</v>
      </c>
      <c r="H135" t="str">
        <f>VLOOKUP(B:B,代理总表!A:D,3,FALSE)</f>
        <v>SOCO越南直播</v>
      </c>
      <c r="I135" t="str">
        <f>VLOOKUP(B:B,代理总表!A:D,4,FALSE)</f>
        <v>SOCO越南直播ffvn66</v>
      </c>
      <c r="J135">
        <f t="shared" si="10"/>
        <v>18</v>
      </c>
      <c r="K135">
        <f t="shared" si="11"/>
        <v>1</v>
      </c>
      <c r="N135" s="318">
        <f t="shared" si="8"/>
        <v>45145</v>
      </c>
      <c r="O135" s="318">
        <f t="shared" si="9"/>
        <v>45145</v>
      </c>
    </row>
    <row r="136" spans="1:15">
      <c r="A136" s="314" t="s">
        <v>1673</v>
      </c>
      <c r="B136" s="314" t="s">
        <v>1109</v>
      </c>
      <c r="C136" s="315">
        <v>45145.7606944444</v>
      </c>
      <c r="D136" s="315">
        <v>45145.7654282407</v>
      </c>
      <c r="E136" s="314" t="s">
        <v>4624</v>
      </c>
      <c r="F136" s="314" t="s">
        <v>109</v>
      </c>
      <c r="G136" s="316">
        <v>500</v>
      </c>
      <c r="H136" t="str">
        <f>VLOOKUP(B:B,代理总表!A:D,3,FALSE)</f>
        <v>飞哥雨燕直播</v>
      </c>
      <c r="I136" t="str">
        <f>VLOOKUP(B:B,代理总表!A:D,4,FALSE)</f>
        <v>飞哥雨燕直播ffmk88</v>
      </c>
      <c r="J136">
        <f t="shared" si="10"/>
        <v>18</v>
      </c>
      <c r="K136">
        <f t="shared" si="11"/>
        <v>1</v>
      </c>
      <c r="N136" s="318">
        <f t="shared" si="8"/>
        <v>45145</v>
      </c>
      <c r="O136" s="318">
        <f t="shared" si="9"/>
        <v>45145</v>
      </c>
    </row>
    <row r="137" spans="1:15">
      <c r="A137" s="314" t="s">
        <v>4661</v>
      </c>
      <c r="B137" s="314" t="s">
        <v>754</v>
      </c>
      <c r="C137" s="315">
        <v>45143.6840972222</v>
      </c>
      <c r="D137" s="315">
        <v>45145.7602199074</v>
      </c>
      <c r="E137" s="314" t="s">
        <v>4624</v>
      </c>
      <c r="F137" s="314" t="s">
        <v>109</v>
      </c>
      <c r="G137" s="316">
        <v>200</v>
      </c>
      <c r="H137" t="str">
        <f>VLOOKUP(B:B,代理总表!A:D,3,FALSE)</f>
        <v>SEO掉线用户转线</v>
      </c>
      <c r="I137" t="str">
        <f>VLOOKUP(B:B,代理总表!A:D,4,FALSE)</f>
        <v>SEO</v>
      </c>
      <c r="J137">
        <f t="shared" si="10"/>
        <v>18</v>
      </c>
      <c r="K137">
        <f t="shared" si="11"/>
        <v>0</v>
      </c>
      <c r="N137" s="318">
        <f t="shared" si="8"/>
        <v>45143</v>
      </c>
      <c r="O137" s="318">
        <f t="shared" si="9"/>
        <v>45145</v>
      </c>
    </row>
    <row r="138" spans="1:15">
      <c r="A138" s="314" t="s">
        <v>1739</v>
      </c>
      <c r="B138" s="314" t="s">
        <v>1741</v>
      </c>
      <c r="C138" s="315">
        <v>45145.7456481481</v>
      </c>
      <c r="D138" s="315">
        <v>45145.7608333333</v>
      </c>
      <c r="E138" s="314" t="s">
        <v>4624</v>
      </c>
      <c r="F138" s="314" t="s">
        <v>109</v>
      </c>
      <c r="G138" s="316">
        <v>100</v>
      </c>
      <c r="H138" t="str">
        <f>VLOOKUP(B:B,代理总表!A:D,3,FALSE)</f>
        <v>飞哥雨燕直播</v>
      </c>
      <c r="I138" t="str">
        <f>VLOOKUP(B:B,代理总表!A:D,4,FALSE)</f>
        <v>飞哥雨燕直播ffmk88</v>
      </c>
      <c r="J138">
        <f t="shared" si="10"/>
        <v>18</v>
      </c>
      <c r="K138">
        <f t="shared" si="11"/>
        <v>1</v>
      </c>
      <c r="N138" s="318">
        <f t="shared" si="8"/>
        <v>45145</v>
      </c>
      <c r="O138" s="318">
        <f t="shared" si="9"/>
        <v>45145</v>
      </c>
    </row>
    <row r="139" spans="1:15">
      <c r="A139" s="314" t="s">
        <v>1721</v>
      </c>
      <c r="B139" s="314" t="s">
        <v>172</v>
      </c>
      <c r="C139" s="315">
        <v>45145.7518287037</v>
      </c>
      <c r="D139" s="315">
        <v>45145.7595833333</v>
      </c>
      <c r="E139" s="314" t="s">
        <v>4624</v>
      </c>
      <c r="F139" s="314" t="s">
        <v>120</v>
      </c>
      <c r="G139" s="316">
        <v>800000</v>
      </c>
      <c r="H139" t="str">
        <f>VLOOKUP(B:B,代理总表!A:D,3,FALSE)</f>
        <v>雨燕直播-越</v>
      </c>
      <c r="I139" t="str">
        <f>VLOOKUP(B:B,代理总表!A:D,4,FALSE)</f>
        <v>雨燕直播-越ffvn66</v>
      </c>
      <c r="J139">
        <f t="shared" si="10"/>
        <v>18</v>
      </c>
      <c r="K139">
        <f t="shared" si="11"/>
        <v>1</v>
      </c>
      <c r="N139" s="318">
        <f t="shared" si="8"/>
        <v>45145</v>
      </c>
      <c r="O139" s="318">
        <f t="shared" si="9"/>
        <v>45145</v>
      </c>
    </row>
    <row r="140" spans="1:15">
      <c r="A140" s="314" t="s">
        <v>4662</v>
      </c>
      <c r="B140" s="314" t="s">
        <v>550</v>
      </c>
      <c r="C140" s="315">
        <v>45058.4887962963</v>
      </c>
      <c r="D140" s="315">
        <v>45145.7599768518</v>
      </c>
      <c r="E140" s="314" t="s">
        <v>4624</v>
      </c>
      <c r="F140" s="314" t="s">
        <v>120</v>
      </c>
      <c r="G140" s="316">
        <v>200000</v>
      </c>
      <c r="H140" t="str">
        <f>VLOOKUP(B:B,代理总表!A:D,3,FALSE)</f>
        <v>SOCO越南直播</v>
      </c>
      <c r="I140" t="str">
        <f>VLOOKUP(B:B,代理总表!A:D,4,FALSE)</f>
        <v>SOCO越南直播ffvn66</v>
      </c>
      <c r="J140">
        <f t="shared" si="10"/>
        <v>18</v>
      </c>
      <c r="K140">
        <f t="shared" si="11"/>
        <v>0</v>
      </c>
      <c r="N140" s="318">
        <f t="shared" si="8"/>
        <v>45058</v>
      </c>
      <c r="O140" s="318">
        <f t="shared" si="9"/>
        <v>45145</v>
      </c>
    </row>
    <row r="141" spans="1:15">
      <c r="A141" s="314" t="s">
        <v>1787</v>
      </c>
      <c r="B141" s="314" t="s">
        <v>197</v>
      </c>
      <c r="C141" s="315">
        <v>45145.7356712963</v>
      </c>
      <c r="D141" s="315">
        <v>45145.7612037037</v>
      </c>
      <c r="E141" s="314" t="s">
        <v>4624</v>
      </c>
      <c r="F141" s="314" t="s">
        <v>120</v>
      </c>
      <c r="G141" s="316">
        <v>100000</v>
      </c>
      <c r="H141" t="str">
        <f>VLOOKUP(B:B,代理总表!A:D,3,FALSE)</f>
        <v>雨燕直播-越</v>
      </c>
      <c r="I141" t="str">
        <f>VLOOKUP(B:B,代理总表!A:D,4,FALSE)</f>
        <v>雨燕直播-越ffvn66</v>
      </c>
      <c r="J141">
        <f t="shared" si="10"/>
        <v>18</v>
      </c>
      <c r="K141">
        <f t="shared" si="11"/>
        <v>1</v>
      </c>
      <c r="N141" s="318">
        <f t="shared" si="8"/>
        <v>45145</v>
      </c>
      <c r="O141" s="318">
        <f t="shared" si="9"/>
        <v>45145</v>
      </c>
    </row>
    <row r="142" spans="1:15">
      <c r="A142" s="314" t="s">
        <v>3569</v>
      </c>
      <c r="B142" s="314" t="s">
        <v>180</v>
      </c>
      <c r="C142" s="315">
        <v>45145.363587963</v>
      </c>
      <c r="D142" s="315">
        <v>45145.7664699074</v>
      </c>
      <c r="E142" s="314" t="s">
        <v>4624</v>
      </c>
      <c r="F142" s="314" t="s">
        <v>109</v>
      </c>
      <c r="G142" s="316">
        <v>500</v>
      </c>
      <c r="H142" t="str">
        <f>VLOOKUP(B:B,代理总表!A:D,3,FALSE)</f>
        <v>hugo</v>
      </c>
      <c r="I142" t="str">
        <f>VLOOKUP(B:B,代理总表!A:D,4,FALSE)</f>
        <v>SEO</v>
      </c>
      <c r="J142">
        <f t="shared" si="10"/>
        <v>18</v>
      </c>
      <c r="K142">
        <f t="shared" si="11"/>
        <v>1</v>
      </c>
      <c r="N142" s="318">
        <f t="shared" si="8"/>
        <v>45145</v>
      </c>
      <c r="O142" s="318">
        <f t="shared" si="9"/>
        <v>45145</v>
      </c>
    </row>
    <row r="143" spans="1:15">
      <c r="A143" s="314" t="s">
        <v>4663</v>
      </c>
      <c r="B143" s="314" t="s">
        <v>550</v>
      </c>
      <c r="C143" s="315">
        <v>44833.8483796296</v>
      </c>
      <c r="D143" s="315">
        <v>45145.7535532407</v>
      </c>
      <c r="E143" s="314" t="s">
        <v>4624</v>
      </c>
      <c r="F143" s="314" t="s">
        <v>120</v>
      </c>
      <c r="G143" s="316">
        <v>982000</v>
      </c>
      <c r="H143" t="str">
        <f>VLOOKUP(B:B,代理总表!A:D,3,FALSE)</f>
        <v>SOCO越南直播</v>
      </c>
      <c r="I143" t="str">
        <f>VLOOKUP(B:B,代理总表!A:D,4,FALSE)</f>
        <v>SOCO越南直播ffvn66</v>
      </c>
      <c r="J143">
        <f t="shared" si="10"/>
        <v>18</v>
      </c>
      <c r="K143">
        <f t="shared" si="11"/>
        <v>0</v>
      </c>
      <c r="N143" s="318">
        <f t="shared" si="8"/>
        <v>44833</v>
      </c>
      <c r="O143" s="318">
        <f t="shared" si="9"/>
        <v>45145</v>
      </c>
    </row>
    <row r="144" spans="1:15">
      <c r="A144" s="314" t="s">
        <v>1773</v>
      </c>
      <c r="B144" s="314" t="s">
        <v>805</v>
      </c>
      <c r="C144" s="315">
        <v>45145.7384490741</v>
      </c>
      <c r="D144" s="315">
        <v>45145.7525578704</v>
      </c>
      <c r="E144" s="314" t="s">
        <v>4624</v>
      </c>
      <c r="F144" s="314" t="s">
        <v>109</v>
      </c>
      <c r="G144" s="316">
        <v>100</v>
      </c>
      <c r="H144" t="str">
        <f>VLOOKUP(B:B,代理总表!A:D,3,FALSE)</f>
        <v>飞哥雨燕直播</v>
      </c>
      <c r="I144" t="str">
        <f>VLOOKUP(B:B,代理总表!A:D,4,FALSE)</f>
        <v>飞哥雨燕直播ffmk88</v>
      </c>
      <c r="J144">
        <f t="shared" si="10"/>
        <v>18</v>
      </c>
      <c r="K144">
        <f t="shared" si="11"/>
        <v>1</v>
      </c>
      <c r="N144" s="318">
        <f t="shared" si="8"/>
        <v>45145</v>
      </c>
      <c r="O144" s="318">
        <f t="shared" si="9"/>
        <v>45145</v>
      </c>
    </row>
    <row r="145" spans="1:15">
      <c r="A145" s="314" t="s">
        <v>1744</v>
      </c>
      <c r="B145" s="314" t="s">
        <v>276</v>
      </c>
      <c r="C145" s="315">
        <v>45145.745625</v>
      </c>
      <c r="D145" s="315">
        <v>45145.7553472222</v>
      </c>
      <c r="E145" s="314" t="s">
        <v>4624</v>
      </c>
      <c r="F145" s="314" t="s">
        <v>109</v>
      </c>
      <c r="G145" s="316">
        <v>500</v>
      </c>
      <c r="H145" t="str">
        <f>VLOOKUP(B:B,代理总表!A:D,3,FALSE)</f>
        <v>飞哥雨燕直播</v>
      </c>
      <c r="I145" t="str">
        <f>VLOOKUP(B:B,代理总表!A:D,4,FALSE)</f>
        <v>飞哥雨燕直播ffmk88</v>
      </c>
      <c r="J145">
        <f t="shared" si="10"/>
        <v>18</v>
      </c>
      <c r="K145">
        <f t="shared" si="11"/>
        <v>1</v>
      </c>
      <c r="N145" s="318">
        <f t="shared" si="8"/>
        <v>45145</v>
      </c>
      <c r="O145" s="318">
        <f t="shared" si="9"/>
        <v>45145</v>
      </c>
    </row>
    <row r="146" spans="1:15">
      <c r="A146" s="314" t="s">
        <v>2128</v>
      </c>
      <c r="B146" s="314" t="s">
        <v>137</v>
      </c>
      <c r="C146" s="315">
        <v>45145.6858101852</v>
      </c>
      <c r="D146" s="315">
        <v>45145.754224537</v>
      </c>
      <c r="E146" s="314" t="s">
        <v>4624</v>
      </c>
      <c r="F146" s="314" t="s">
        <v>120</v>
      </c>
      <c r="G146" s="316">
        <v>100000</v>
      </c>
      <c r="H146" t="str">
        <f>VLOOKUP(B:B,代理总表!A:D,3,FALSE)</f>
        <v>雨燕直播-越</v>
      </c>
      <c r="I146" t="str">
        <f>VLOOKUP(B:B,代理总表!A:D,4,FALSE)</f>
        <v>雨燕直播-越ffvn66</v>
      </c>
      <c r="J146">
        <f t="shared" si="10"/>
        <v>18</v>
      </c>
      <c r="K146">
        <f t="shared" si="11"/>
        <v>1</v>
      </c>
      <c r="N146" s="318">
        <f t="shared" si="8"/>
        <v>45145</v>
      </c>
      <c r="O146" s="318">
        <f t="shared" si="9"/>
        <v>45145</v>
      </c>
    </row>
    <row r="147" spans="1:15">
      <c r="A147" s="314" t="s">
        <v>4664</v>
      </c>
      <c r="B147" s="314" t="s">
        <v>1021</v>
      </c>
      <c r="C147" s="315">
        <v>44893.9074652778</v>
      </c>
      <c r="D147" s="315">
        <v>45145.7512037037</v>
      </c>
      <c r="E147" s="314" t="s">
        <v>4624</v>
      </c>
      <c r="F147" s="314" t="s">
        <v>120</v>
      </c>
      <c r="G147" s="316">
        <v>1000000</v>
      </c>
      <c r="H147" t="str">
        <f>VLOOKUP(B:B,代理总表!A:D,3,FALSE)</f>
        <v>SOCO越南直播</v>
      </c>
      <c r="I147" t="str">
        <f>VLOOKUP(B:B,代理总表!A:D,4,FALSE)</f>
        <v>SOCO越南直播ffvn66</v>
      </c>
      <c r="J147">
        <f t="shared" si="10"/>
        <v>18</v>
      </c>
      <c r="K147">
        <f t="shared" si="11"/>
        <v>0</v>
      </c>
      <c r="N147" s="318">
        <f t="shared" si="8"/>
        <v>44893</v>
      </c>
      <c r="O147" s="318">
        <f t="shared" si="9"/>
        <v>45145</v>
      </c>
    </row>
    <row r="148" spans="1:15">
      <c r="A148" s="314" t="s">
        <v>1798</v>
      </c>
      <c r="B148" s="314" t="s">
        <v>148</v>
      </c>
      <c r="C148" s="315">
        <v>45145.7324189815</v>
      </c>
      <c r="D148" s="315">
        <v>45145.7505555556</v>
      </c>
      <c r="E148" s="314" t="s">
        <v>4624</v>
      </c>
      <c r="F148" s="314" t="s">
        <v>109</v>
      </c>
      <c r="G148" s="316">
        <v>100</v>
      </c>
      <c r="H148" t="str">
        <f>VLOOKUP(B:B,代理总表!A:D,3,FALSE)</f>
        <v>martin</v>
      </c>
      <c r="I148" t="str">
        <f>VLOOKUP(B:B,代理总表!A:D,4,FALSE)</f>
        <v>SEO</v>
      </c>
      <c r="J148">
        <f t="shared" si="10"/>
        <v>18</v>
      </c>
      <c r="K148">
        <f t="shared" si="11"/>
        <v>1</v>
      </c>
      <c r="N148" s="318">
        <f t="shared" si="8"/>
        <v>45145</v>
      </c>
      <c r="O148" s="318">
        <f t="shared" si="9"/>
        <v>45145</v>
      </c>
    </row>
    <row r="149" spans="1:15">
      <c r="A149" s="314" t="s">
        <v>1751</v>
      </c>
      <c r="B149" s="314" t="s">
        <v>1150</v>
      </c>
      <c r="C149" s="315">
        <v>45145.7435763889</v>
      </c>
      <c r="D149" s="315">
        <v>45145.7513310185</v>
      </c>
      <c r="E149" s="314" t="s">
        <v>4624</v>
      </c>
      <c r="F149" s="314" t="s">
        <v>120</v>
      </c>
      <c r="G149" s="316">
        <v>50000</v>
      </c>
      <c r="H149" t="e">
        <f>VLOOKUP(B:B,代理总表!A:D,3,FALSE)</f>
        <v>#N/A</v>
      </c>
      <c r="I149" t="e">
        <f>VLOOKUP(B:B,代理总表!A:D,4,FALSE)</f>
        <v>#N/A</v>
      </c>
      <c r="J149">
        <f t="shared" si="10"/>
        <v>18</v>
      </c>
      <c r="K149">
        <f t="shared" si="11"/>
        <v>1</v>
      </c>
      <c r="N149" s="318">
        <f t="shared" si="8"/>
        <v>45145</v>
      </c>
      <c r="O149" s="318">
        <f t="shared" si="9"/>
        <v>45145</v>
      </c>
    </row>
    <row r="150" spans="1:15">
      <c r="A150" s="314" t="s">
        <v>1748</v>
      </c>
      <c r="B150" s="314" t="s">
        <v>1150</v>
      </c>
      <c r="C150" s="315">
        <v>45145.7443634259</v>
      </c>
      <c r="D150" s="315">
        <v>45145.7502083333</v>
      </c>
      <c r="E150" s="314" t="s">
        <v>4624</v>
      </c>
      <c r="F150" s="314" t="s">
        <v>120</v>
      </c>
      <c r="G150" s="316">
        <v>50000</v>
      </c>
      <c r="H150" t="e">
        <f>VLOOKUP(B:B,代理总表!A:D,3,FALSE)</f>
        <v>#N/A</v>
      </c>
      <c r="I150" t="e">
        <f>VLOOKUP(B:B,代理总表!A:D,4,FALSE)</f>
        <v>#N/A</v>
      </c>
      <c r="J150">
        <f t="shared" si="10"/>
        <v>18</v>
      </c>
      <c r="K150">
        <f t="shared" si="11"/>
        <v>1</v>
      </c>
      <c r="N150" s="318">
        <f t="shared" si="8"/>
        <v>45145</v>
      </c>
      <c r="O150" s="318">
        <f t="shared" si="9"/>
        <v>45145</v>
      </c>
    </row>
    <row r="151" spans="1:15">
      <c r="A151" s="314" t="s">
        <v>1976</v>
      </c>
      <c r="B151" s="314" t="s">
        <v>143</v>
      </c>
      <c r="C151" s="315">
        <v>45145.7064236111</v>
      </c>
      <c r="D151" s="315">
        <v>45145.7561805556</v>
      </c>
      <c r="E151" s="314" t="s">
        <v>4624</v>
      </c>
      <c r="F151" s="314" t="s">
        <v>120</v>
      </c>
      <c r="G151" s="316">
        <v>15000000</v>
      </c>
      <c r="H151" t="str">
        <f>VLOOKUP(B:B,代理总表!A:D,3,FALSE)</f>
        <v>雨燕直播-越</v>
      </c>
      <c r="I151" t="str">
        <f>VLOOKUP(B:B,代理总表!A:D,4,FALSE)</f>
        <v>雨燕直播-越ffvn66</v>
      </c>
      <c r="J151">
        <f t="shared" si="10"/>
        <v>18</v>
      </c>
      <c r="K151">
        <f t="shared" si="11"/>
        <v>1</v>
      </c>
      <c r="N151" s="318">
        <f t="shared" si="8"/>
        <v>45145</v>
      </c>
      <c r="O151" s="318">
        <f t="shared" si="9"/>
        <v>45145</v>
      </c>
    </row>
    <row r="152" spans="1:15">
      <c r="A152" s="314" t="s">
        <v>4665</v>
      </c>
      <c r="B152" s="314" t="s">
        <v>197</v>
      </c>
      <c r="C152" s="315">
        <v>45144.806712963</v>
      </c>
      <c r="D152" s="315">
        <v>45145.7529282407</v>
      </c>
      <c r="E152" s="314" t="s">
        <v>4624</v>
      </c>
      <c r="F152" s="314" t="s">
        <v>120</v>
      </c>
      <c r="G152" s="316">
        <v>500000</v>
      </c>
      <c r="H152" t="str">
        <f>VLOOKUP(B:B,代理总表!A:D,3,FALSE)</f>
        <v>雨燕直播-越</v>
      </c>
      <c r="I152" t="str">
        <f>VLOOKUP(B:B,代理总表!A:D,4,FALSE)</f>
        <v>雨燕直播-越ffvn66</v>
      </c>
      <c r="J152">
        <f t="shared" si="10"/>
        <v>18</v>
      </c>
      <c r="K152">
        <f t="shared" si="11"/>
        <v>0</v>
      </c>
      <c r="N152" s="318">
        <f t="shared" si="8"/>
        <v>45144</v>
      </c>
      <c r="O152" s="318">
        <f t="shared" si="9"/>
        <v>45145</v>
      </c>
    </row>
    <row r="153" spans="1:15">
      <c r="A153" s="314" t="s">
        <v>4666</v>
      </c>
      <c r="B153" s="314" t="s">
        <v>1021</v>
      </c>
      <c r="C153" s="315">
        <v>45143.5059143519</v>
      </c>
      <c r="D153" s="315">
        <v>45145.744525463</v>
      </c>
      <c r="E153" s="314" t="s">
        <v>4624</v>
      </c>
      <c r="F153" s="314" t="s">
        <v>120</v>
      </c>
      <c r="G153" s="316">
        <v>100000</v>
      </c>
      <c r="H153" t="str">
        <f>VLOOKUP(B:B,代理总表!A:D,3,FALSE)</f>
        <v>SOCO越南直播</v>
      </c>
      <c r="I153" t="str">
        <f>VLOOKUP(B:B,代理总表!A:D,4,FALSE)</f>
        <v>SOCO越南直播ffvn66</v>
      </c>
      <c r="J153">
        <f t="shared" si="10"/>
        <v>17</v>
      </c>
      <c r="K153">
        <f t="shared" si="11"/>
        <v>0</v>
      </c>
      <c r="N153" s="318">
        <f t="shared" si="8"/>
        <v>45143</v>
      </c>
      <c r="O153" s="318">
        <f t="shared" si="9"/>
        <v>45145</v>
      </c>
    </row>
    <row r="154" spans="1:15">
      <c r="A154" s="314" t="s">
        <v>1764</v>
      </c>
      <c r="B154" s="314" t="s">
        <v>197</v>
      </c>
      <c r="C154" s="315">
        <v>45145.7411342593</v>
      </c>
      <c r="D154" s="315">
        <v>45145.7435763889</v>
      </c>
      <c r="E154" s="314" t="s">
        <v>4624</v>
      </c>
      <c r="F154" s="314" t="s">
        <v>120</v>
      </c>
      <c r="G154" s="316">
        <v>8000000</v>
      </c>
      <c r="H154" t="str">
        <f>VLOOKUP(B:B,代理总表!A:D,3,FALSE)</f>
        <v>雨燕直播-越</v>
      </c>
      <c r="I154" t="str">
        <f>VLOOKUP(B:B,代理总表!A:D,4,FALSE)</f>
        <v>雨燕直播-越ffvn66</v>
      </c>
      <c r="J154">
        <f t="shared" si="10"/>
        <v>17</v>
      </c>
      <c r="K154">
        <f t="shared" si="11"/>
        <v>1</v>
      </c>
      <c r="N154" s="318">
        <f t="shared" si="8"/>
        <v>45145</v>
      </c>
      <c r="O154" s="318">
        <f t="shared" si="9"/>
        <v>45145</v>
      </c>
    </row>
    <row r="155" spans="1:15">
      <c r="A155" s="314" t="s">
        <v>4667</v>
      </c>
      <c r="B155" s="314" t="s">
        <v>2108</v>
      </c>
      <c r="C155" s="315">
        <v>45116.8473958333</v>
      </c>
      <c r="D155" s="315">
        <v>45145.7415972222</v>
      </c>
      <c r="E155" s="314" t="s">
        <v>4624</v>
      </c>
      <c r="F155" s="314" t="s">
        <v>109</v>
      </c>
      <c r="G155" s="316">
        <v>200</v>
      </c>
      <c r="H155" t="str">
        <f>VLOOKUP(B:B,代理总表!A:D,3,FALSE)</f>
        <v>雨燕直播</v>
      </c>
      <c r="I155" t="str">
        <f>VLOOKUP(B:B,代理总表!A:D,4,FALSE)</f>
        <v>雨燕直播zzzb888</v>
      </c>
      <c r="J155">
        <f t="shared" si="10"/>
        <v>17</v>
      </c>
      <c r="K155">
        <f t="shared" si="11"/>
        <v>0</v>
      </c>
      <c r="N155" s="318">
        <f t="shared" si="8"/>
        <v>45116</v>
      </c>
      <c r="O155" s="318">
        <f t="shared" si="9"/>
        <v>45145</v>
      </c>
    </row>
    <row r="156" spans="1:15">
      <c r="A156" s="314" t="s">
        <v>4668</v>
      </c>
      <c r="B156" s="314" t="s">
        <v>1963</v>
      </c>
      <c r="C156" s="315">
        <v>45144.9211458333</v>
      </c>
      <c r="D156" s="315">
        <v>45145.7400925926</v>
      </c>
      <c r="E156" s="314" t="s">
        <v>4624</v>
      </c>
      <c r="F156" s="314" t="s">
        <v>109</v>
      </c>
      <c r="G156" s="316">
        <v>200</v>
      </c>
      <c r="H156" t="str">
        <f>VLOOKUP(B:B,代理总表!A:D,3,FALSE)</f>
        <v>GT-骨头</v>
      </c>
      <c r="I156" t="str">
        <f>VLOOKUP(B:B,代理总表!A:D,4,FALSE)</f>
        <v>B直播gt6677</v>
      </c>
      <c r="J156">
        <f t="shared" si="10"/>
        <v>17</v>
      </c>
      <c r="K156">
        <f t="shared" si="11"/>
        <v>0</v>
      </c>
      <c r="N156" s="318">
        <f t="shared" si="8"/>
        <v>45144</v>
      </c>
      <c r="O156" s="318">
        <f t="shared" si="9"/>
        <v>45145</v>
      </c>
    </row>
    <row r="157" spans="1:15">
      <c r="A157" s="314" t="s">
        <v>1795</v>
      </c>
      <c r="B157" s="314" t="s">
        <v>143</v>
      </c>
      <c r="C157" s="315">
        <v>45145.7328240741</v>
      </c>
      <c r="D157" s="315">
        <v>45145.7379398148</v>
      </c>
      <c r="E157" s="314" t="s">
        <v>4624</v>
      </c>
      <c r="F157" s="314" t="s">
        <v>120</v>
      </c>
      <c r="G157" s="316">
        <v>1300000</v>
      </c>
      <c r="H157" t="str">
        <f>VLOOKUP(B:B,代理总表!A:D,3,FALSE)</f>
        <v>雨燕直播-越</v>
      </c>
      <c r="I157" t="str">
        <f>VLOOKUP(B:B,代理总表!A:D,4,FALSE)</f>
        <v>雨燕直播-越ffvn66</v>
      </c>
      <c r="J157">
        <f t="shared" si="10"/>
        <v>17</v>
      </c>
      <c r="K157">
        <f t="shared" si="11"/>
        <v>1</v>
      </c>
      <c r="N157" s="318">
        <f t="shared" si="8"/>
        <v>45145</v>
      </c>
      <c r="O157" s="318">
        <f t="shared" si="9"/>
        <v>45145</v>
      </c>
    </row>
    <row r="158" spans="1:15">
      <c r="A158" s="314" t="s">
        <v>1814</v>
      </c>
      <c r="B158" s="314" t="s">
        <v>224</v>
      </c>
      <c r="C158" s="315">
        <v>45145.7288310185</v>
      </c>
      <c r="D158" s="315">
        <v>45145.7387384259</v>
      </c>
      <c r="E158" s="314" t="s">
        <v>4624</v>
      </c>
      <c r="F158" s="314" t="s">
        <v>120</v>
      </c>
      <c r="G158" s="316">
        <v>15000000</v>
      </c>
      <c r="H158" t="str">
        <f>VLOOKUP(B:B,代理总表!A:D,3,FALSE)</f>
        <v>雨燕直播-越</v>
      </c>
      <c r="I158" t="str">
        <f>VLOOKUP(B:B,代理总表!A:D,4,FALSE)</f>
        <v>雨燕直播-越ffvn66</v>
      </c>
      <c r="J158">
        <f t="shared" si="10"/>
        <v>17</v>
      </c>
      <c r="K158">
        <f t="shared" si="11"/>
        <v>1</v>
      </c>
      <c r="N158" s="318">
        <f t="shared" si="8"/>
        <v>45145</v>
      </c>
      <c r="O158" s="318">
        <f t="shared" si="9"/>
        <v>45145</v>
      </c>
    </row>
    <row r="159" spans="1:15">
      <c r="A159" s="314" t="s">
        <v>4669</v>
      </c>
      <c r="B159" s="314" t="s">
        <v>526</v>
      </c>
      <c r="C159" s="315">
        <v>45126.9745949074</v>
      </c>
      <c r="D159" s="315">
        <v>45145.7370486111</v>
      </c>
      <c r="E159" s="314" t="s">
        <v>4624</v>
      </c>
      <c r="F159" s="314" t="s">
        <v>120</v>
      </c>
      <c r="G159" s="316">
        <v>200000</v>
      </c>
      <c r="H159" t="str">
        <f>VLOOKUP(B:B,代理总表!A:D,3,FALSE)</f>
        <v>SOCO越南直播</v>
      </c>
      <c r="I159" t="str">
        <f>VLOOKUP(B:B,代理总表!A:D,4,FALSE)</f>
        <v>SOCO越南直播ffvn66</v>
      </c>
      <c r="J159">
        <f t="shared" si="10"/>
        <v>17</v>
      </c>
      <c r="K159">
        <f t="shared" si="11"/>
        <v>0</v>
      </c>
      <c r="N159" s="318">
        <f t="shared" si="8"/>
        <v>45126</v>
      </c>
      <c r="O159" s="318">
        <f t="shared" si="9"/>
        <v>45145</v>
      </c>
    </row>
    <row r="160" spans="1:15">
      <c r="A160" s="314" t="s">
        <v>1854</v>
      </c>
      <c r="B160" s="314" t="s">
        <v>1856</v>
      </c>
      <c r="C160" s="315">
        <v>45145.7224189815</v>
      </c>
      <c r="D160" s="315">
        <v>45145.736875</v>
      </c>
      <c r="E160" s="314" t="s">
        <v>4624</v>
      </c>
      <c r="F160" s="314" t="s">
        <v>109</v>
      </c>
      <c r="G160" s="316">
        <v>5000</v>
      </c>
      <c r="H160" t="str">
        <f>VLOOKUP(B:B,代理总表!A:D,3,FALSE)</f>
        <v>外部代理总线</v>
      </c>
      <c r="I160" t="str">
        <f>VLOOKUP(B:B,代理总表!A:D,4,FALSE)</f>
        <v>外部代理总线zhaoshang</v>
      </c>
      <c r="J160">
        <f t="shared" si="10"/>
        <v>17</v>
      </c>
      <c r="K160">
        <f t="shared" si="11"/>
        <v>1</v>
      </c>
      <c r="N160" s="318">
        <f t="shared" si="8"/>
        <v>45145</v>
      </c>
      <c r="O160" s="318">
        <f t="shared" si="9"/>
        <v>45145</v>
      </c>
    </row>
    <row r="161" spans="1:15">
      <c r="A161" s="314" t="s">
        <v>4670</v>
      </c>
      <c r="B161" s="314" t="s">
        <v>4671</v>
      </c>
      <c r="C161" s="315">
        <v>45115.7069907407</v>
      </c>
      <c r="D161" s="315">
        <v>45145.7328935185</v>
      </c>
      <c r="E161" s="314" t="s">
        <v>4624</v>
      </c>
      <c r="F161" s="314" t="s">
        <v>109</v>
      </c>
      <c r="G161" s="316">
        <v>100</v>
      </c>
      <c r="H161" t="str">
        <f>VLOOKUP(B:B,代理总表!A:D,3,FALSE)</f>
        <v>小Peter</v>
      </c>
      <c r="I161" t="str">
        <f>VLOOKUP(B:B,代理总表!A:D,4,FALSE)</f>
        <v>小Peterbtydl0022</v>
      </c>
      <c r="J161">
        <f t="shared" si="10"/>
        <v>17</v>
      </c>
      <c r="K161">
        <f t="shared" si="11"/>
        <v>0</v>
      </c>
      <c r="N161" s="318">
        <f t="shared" si="8"/>
        <v>45115</v>
      </c>
      <c r="O161" s="318">
        <f t="shared" si="9"/>
        <v>45145</v>
      </c>
    </row>
    <row r="162" spans="1:15">
      <c r="A162" s="314" t="s">
        <v>4672</v>
      </c>
      <c r="B162" s="314" t="s">
        <v>137</v>
      </c>
      <c r="C162" s="315">
        <v>45144.4867708333</v>
      </c>
      <c r="D162" s="315">
        <v>45145.7314236111</v>
      </c>
      <c r="E162" s="314" t="s">
        <v>4624</v>
      </c>
      <c r="F162" s="314" t="s">
        <v>120</v>
      </c>
      <c r="G162" s="316">
        <v>3500000</v>
      </c>
      <c r="H162" t="str">
        <f>VLOOKUP(B:B,代理总表!A:D,3,FALSE)</f>
        <v>雨燕直播-越</v>
      </c>
      <c r="I162" t="str">
        <f>VLOOKUP(B:B,代理总表!A:D,4,FALSE)</f>
        <v>雨燕直播-越ffvn66</v>
      </c>
      <c r="J162">
        <f t="shared" si="10"/>
        <v>17</v>
      </c>
      <c r="K162">
        <f t="shared" si="11"/>
        <v>0</v>
      </c>
      <c r="N162" s="318">
        <f t="shared" si="8"/>
        <v>45144</v>
      </c>
      <c r="O162" s="318">
        <f t="shared" si="9"/>
        <v>45145</v>
      </c>
    </row>
    <row r="163" spans="1:15">
      <c r="A163" s="314" t="s">
        <v>1845</v>
      </c>
      <c r="B163" s="314" t="s">
        <v>1847</v>
      </c>
      <c r="C163" s="315">
        <v>45145.7237615741</v>
      </c>
      <c r="D163" s="315">
        <v>45145.7311805556</v>
      </c>
      <c r="E163" s="314" t="s">
        <v>4624</v>
      </c>
      <c r="F163" s="314" t="s">
        <v>120</v>
      </c>
      <c r="G163" s="316">
        <v>3700000</v>
      </c>
      <c r="H163" t="e">
        <f>VLOOKUP(B:B,代理总表!A:D,3,FALSE)</f>
        <v>#N/A</v>
      </c>
      <c r="I163" t="e">
        <f>VLOOKUP(B:B,代理总表!A:D,4,FALSE)</f>
        <v>#N/A</v>
      </c>
      <c r="J163">
        <f t="shared" si="10"/>
        <v>17</v>
      </c>
      <c r="K163">
        <f t="shared" si="11"/>
        <v>1</v>
      </c>
      <c r="N163" s="318">
        <f t="shared" si="8"/>
        <v>45145</v>
      </c>
      <c r="O163" s="318">
        <f t="shared" si="9"/>
        <v>45145</v>
      </c>
    </row>
    <row r="164" spans="1:15">
      <c r="A164" s="314" t="s">
        <v>2005</v>
      </c>
      <c r="B164" s="314" t="s">
        <v>805</v>
      </c>
      <c r="C164" s="315">
        <v>45145.7012268519</v>
      </c>
      <c r="D164" s="315">
        <v>45145.7301041667</v>
      </c>
      <c r="E164" s="314" t="s">
        <v>4624</v>
      </c>
      <c r="F164" s="314" t="s">
        <v>109</v>
      </c>
      <c r="G164" s="316">
        <v>300</v>
      </c>
      <c r="H164" t="str">
        <f>VLOOKUP(B:B,代理总表!A:D,3,FALSE)</f>
        <v>飞哥雨燕直播</v>
      </c>
      <c r="I164" t="str">
        <f>VLOOKUP(B:B,代理总表!A:D,4,FALSE)</f>
        <v>飞哥雨燕直播ffmk88</v>
      </c>
      <c r="J164">
        <f t="shared" si="10"/>
        <v>17</v>
      </c>
      <c r="K164">
        <f t="shared" si="11"/>
        <v>1</v>
      </c>
      <c r="N164" s="318">
        <f t="shared" si="8"/>
        <v>45145</v>
      </c>
      <c r="O164" s="318">
        <f t="shared" si="9"/>
        <v>45145</v>
      </c>
    </row>
    <row r="165" spans="1:15">
      <c r="A165" s="314" t="s">
        <v>1882</v>
      </c>
      <c r="B165" s="314" t="s">
        <v>103</v>
      </c>
      <c r="C165" s="315">
        <v>45145.7181828704</v>
      </c>
      <c r="D165" s="315">
        <v>45145.7295949074</v>
      </c>
      <c r="E165" s="314" t="s">
        <v>4624</v>
      </c>
      <c r="F165" s="314" t="s">
        <v>109</v>
      </c>
      <c r="G165" s="316">
        <v>1300</v>
      </c>
      <c r="H165" t="str">
        <f>VLOOKUP(B:B,代理总表!A:D,3,FALSE)</f>
        <v>官网</v>
      </c>
      <c r="I165" t="str">
        <f>VLOOKUP(B:B,代理总表!A:D,4,FALSE)</f>
        <v>官网</v>
      </c>
      <c r="J165">
        <f t="shared" si="10"/>
        <v>17</v>
      </c>
      <c r="K165">
        <f t="shared" si="11"/>
        <v>1</v>
      </c>
      <c r="N165" s="318">
        <f t="shared" si="8"/>
        <v>45145</v>
      </c>
      <c r="O165" s="318">
        <f t="shared" si="9"/>
        <v>45145</v>
      </c>
    </row>
    <row r="166" spans="1:15">
      <c r="A166" s="314" t="s">
        <v>2405</v>
      </c>
      <c r="B166" s="314" t="s">
        <v>148</v>
      </c>
      <c r="C166" s="315">
        <v>45145.6481944444</v>
      </c>
      <c r="D166" s="315">
        <v>45145.7276851852</v>
      </c>
      <c r="E166" s="314" t="s">
        <v>4624</v>
      </c>
      <c r="F166" s="314" t="s">
        <v>109</v>
      </c>
      <c r="G166" s="314">
        <v>502</v>
      </c>
      <c r="H166" t="str">
        <f>VLOOKUP(B:B,代理总表!A:D,3,FALSE)</f>
        <v>martin</v>
      </c>
      <c r="I166" t="str">
        <f>VLOOKUP(B:B,代理总表!A:D,4,FALSE)</f>
        <v>SEO</v>
      </c>
      <c r="J166">
        <f t="shared" si="10"/>
        <v>17</v>
      </c>
      <c r="K166">
        <f t="shared" si="11"/>
        <v>1</v>
      </c>
      <c r="N166" s="318">
        <f t="shared" si="8"/>
        <v>45145</v>
      </c>
      <c r="O166" s="318">
        <f t="shared" si="9"/>
        <v>45145</v>
      </c>
    </row>
    <row r="167" spans="1:15">
      <c r="A167" s="314" t="s">
        <v>2068</v>
      </c>
      <c r="B167" s="314" t="s">
        <v>143</v>
      </c>
      <c r="C167" s="315">
        <v>45145.6933101852</v>
      </c>
      <c r="D167" s="315">
        <v>45145.7310069444</v>
      </c>
      <c r="E167" s="314" t="s">
        <v>4624</v>
      </c>
      <c r="F167" s="314" t="s">
        <v>120</v>
      </c>
      <c r="G167" s="316">
        <v>9000000</v>
      </c>
      <c r="H167" t="str">
        <f>VLOOKUP(B:B,代理总表!A:D,3,FALSE)</f>
        <v>雨燕直播-越</v>
      </c>
      <c r="I167" t="str">
        <f>VLOOKUP(B:B,代理总表!A:D,4,FALSE)</f>
        <v>雨燕直播-越ffvn66</v>
      </c>
      <c r="J167">
        <f t="shared" si="10"/>
        <v>17</v>
      </c>
      <c r="K167">
        <f t="shared" si="11"/>
        <v>1</v>
      </c>
      <c r="N167" s="318">
        <f t="shared" si="8"/>
        <v>45145</v>
      </c>
      <c r="O167" s="318">
        <f t="shared" si="9"/>
        <v>45145</v>
      </c>
    </row>
    <row r="168" spans="1:15">
      <c r="A168" s="314" t="s">
        <v>1939</v>
      </c>
      <c r="B168" s="314" t="s">
        <v>1525</v>
      </c>
      <c r="C168" s="315">
        <v>45145.7115162037</v>
      </c>
      <c r="D168" s="315">
        <v>45145.7259606481</v>
      </c>
      <c r="E168" s="314" t="s">
        <v>4624</v>
      </c>
      <c r="F168" s="314" t="s">
        <v>109</v>
      </c>
      <c r="G168" s="316">
        <v>100</v>
      </c>
      <c r="H168" t="str">
        <f>VLOOKUP(B:B,代理总表!A:D,3,FALSE)</f>
        <v>GT-骨头</v>
      </c>
      <c r="I168" t="str">
        <f>VLOOKUP(B:B,代理总表!A:D,4,FALSE)</f>
        <v>B直播gt6677</v>
      </c>
      <c r="J168">
        <f t="shared" si="10"/>
        <v>17</v>
      </c>
      <c r="K168">
        <f t="shared" si="11"/>
        <v>1</v>
      </c>
      <c r="N168" s="318">
        <f t="shared" si="8"/>
        <v>45145</v>
      </c>
      <c r="O168" s="318">
        <f t="shared" si="9"/>
        <v>45145</v>
      </c>
    </row>
    <row r="169" spans="1:15">
      <c r="A169" s="314" t="s">
        <v>2038</v>
      </c>
      <c r="B169" s="314" t="s">
        <v>651</v>
      </c>
      <c r="C169" s="315">
        <v>45145.6980671296</v>
      </c>
      <c r="D169" s="315">
        <v>45145.7251388889</v>
      </c>
      <c r="E169" s="314" t="s">
        <v>4624</v>
      </c>
      <c r="F169" s="314" t="s">
        <v>120</v>
      </c>
      <c r="G169" s="316">
        <v>200000</v>
      </c>
      <c r="H169" t="str">
        <f>VLOOKUP(B:B,代理总表!A:D,3,FALSE)</f>
        <v>雨燕直播-越</v>
      </c>
      <c r="I169" t="str">
        <f>VLOOKUP(B:B,代理总表!A:D,4,FALSE)</f>
        <v>雨燕直播-越ffvn66</v>
      </c>
      <c r="J169">
        <f t="shared" si="10"/>
        <v>17</v>
      </c>
      <c r="K169">
        <f t="shared" si="11"/>
        <v>1</v>
      </c>
      <c r="N169" s="318">
        <f t="shared" si="8"/>
        <v>45145</v>
      </c>
      <c r="O169" s="318">
        <f t="shared" si="9"/>
        <v>45145</v>
      </c>
    </row>
    <row r="170" spans="1:15">
      <c r="A170" s="314" t="s">
        <v>1912</v>
      </c>
      <c r="B170" s="314" t="s">
        <v>760</v>
      </c>
      <c r="C170" s="315">
        <v>45145.7152430556</v>
      </c>
      <c r="D170" s="315">
        <v>45145.7246180556</v>
      </c>
      <c r="E170" s="314" t="s">
        <v>4624</v>
      </c>
      <c r="F170" s="314" t="s">
        <v>109</v>
      </c>
      <c r="G170" s="316">
        <v>2000</v>
      </c>
      <c r="H170" t="str">
        <f>VLOOKUP(B:B,代理总表!A:D,3,FALSE)</f>
        <v>GT-骨头</v>
      </c>
      <c r="I170" t="str">
        <f>VLOOKUP(B:B,代理总表!A:D,4,FALSE)</f>
        <v>B直播gt6677</v>
      </c>
      <c r="J170">
        <f t="shared" si="10"/>
        <v>17</v>
      </c>
      <c r="K170">
        <f t="shared" si="11"/>
        <v>1</v>
      </c>
      <c r="N170" s="318">
        <f t="shared" si="8"/>
        <v>45145</v>
      </c>
      <c r="O170" s="318">
        <f t="shared" si="9"/>
        <v>45145</v>
      </c>
    </row>
    <row r="171" spans="1:15">
      <c r="A171" s="314" t="s">
        <v>4673</v>
      </c>
      <c r="B171" s="314" t="s">
        <v>197</v>
      </c>
      <c r="C171" s="315">
        <v>45126.0736689815</v>
      </c>
      <c r="D171" s="315">
        <v>45145.7232638889</v>
      </c>
      <c r="E171" s="314" t="s">
        <v>4624</v>
      </c>
      <c r="F171" s="314" t="s">
        <v>120</v>
      </c>
      <c r="G171" s="316">
        <v>100000</v>
      </c>
      <c r="H171" t="str">
        <f>VLOOKUP(B:B,代理总表!A:D,3,FALSE)</f>
        <v>雨燕直播-越</v>
      </c>
      <c r="I171" t="str">
        <f>VLOOKUP(B:B,代理总表!A:D,4,FALSE)</f>
        <v>雨燕直播-越ffvn66</v>
      </c>
      <c r="J171">
        <f t="shared" si="10"/>
        <v>17</v>
      </c>
      <c r="K171">
        <f t="shared" si="11"/>
        <v>0</v>
      </c>
      <c r="N171" s="318">
        <f t="shared" si="8"/>
        <v>45126</v>
      </c>
      <c r="O171" s="318">
        <f t="shared" si="9"/>
        <v>45145</v>
      </c>
    </row>
    <row r="172" spans="1:15">
      <c r="A172" s="314" t="s">
        <v>1885</v>
      </c>
      <c r="B172" s="314" t="s">
        <v>1887</v>
      </c>
      <c r="C172" s="315">
        <v>45145.717662037</v>
      </c>
      <c r="D172" s="315">
        <v>45145.7214583333</v>
      </c>
      <c r="E172" s="314" t="s">
        <v>4624</v>
      </c>
      <c r="F172" s="314" t="s">
        <v>109</v>
      </c>
      <c r="G172" s="316">
        <v>500</v>
      </c>
      <c r="H172" t="str">
        <f>VLOOKUP(B:B,代理总表!A:D,3,FALSE)</f>
        <v>袋鼠</v>
      </c>
      <c r="I172" t="str">
        <f>VLOOKUP(B:B,代理总表!A:D,4,FALSE)</f>
        <v>袋鼠btydl0099</v>
      </c>
      <c r="J172">
        <f t="shared" si="10"/>
        <v>17</v>
      </c>
      <c r="K172">
        <f t="shared" si="11"/>
        <v>1</v>
      </c>
      <c r="N172" s="318">
        <f t="shared" si="8"/>
        <v>45145</v>
      </c>
      <c r="O172" s="318">
        <f t="shared" si="9"/>
        <v>45145</v>
      </c>
    </row>
    <row r="173" spans="1:15">
      <c r="A173" s="314" t="s">
        <v>2599</v>
      </c>
      <c r="B173" s="314" t="s">
        <v>1847</v>
      </c>
      <c r="C173" s="315">
        <v>45145.60125</v>
      </c>
      <c r="D173" s="315">
        <v>45145.7199537037</v>
      </c>
      <c r="E173" s="314" t="s">
        <v>4624</v>
      </c>
      <c r="F173" s="314" t="s">
        <v>120</v>
      </c>
      <c r="G173" s="316">
        <v>1800000</v>
      </c>
      <c r="H173" t="e">
        <f>VLOOKUP(B:B,代理总表!A:D,3,FALSE)</f>
        <v>#N/A</v>
      </c>
      <c r="I173" t="e">
        <f>VLOOKUP(B:B,代理总表!A:D,4,FALSE)</f>
        <v>#N/A</v>
      </c>
      <c r="J173">
        <f t="shared" si="10"/>
        <v>17</v>
      </c>
      <c r="K173">
        <f t="shared" si="11"/>
        <v>1</v>
      </c>
      <c r="N173" s="318">
        <f t="shared" si="8"/>
        <v>45145</v>
      </c>
      <c r="O173" s="318">
        <f t="shared" si="9"/>
        <v>45145</v>
      </c>
    </row>
    <row r="174" spans="1:15">
      <c r="A174" s="314" t="s">
        <v>1918</v>
      </c>
      <c r="B174" s="314" t="s">
        <v>103</v>
      </c>
      <c r="C174" s="315">
        <v>45145.7151967593</v>
      </c>
      <c r="D174" s="315">
        <v>45145.7187152778</v>
      </c>
      <c r="E174" s="314" t="s">
        <v>4624</v>
      </c>
      <c r="F174" s="314" t="s">
        <v>109</v>
      </c>
      <c r="G174" s="316">
        <v>100</v>
      </c>
      <c r="H174" t="str">
        <f>VLOOKUP(B:B,代理总表!A:D,3,FALSE)</f>
        <v>官网</v>
      </c>
      <c r="I174" t="str">
        <f>VLOOKUP(B:B,代理总表!A:D,4,FALSE)</f>
        <v>官网</v>
      </c>
      <c r="J174">
        <f t="shared" si="10"/>
        <v>17</v>
      </c>
      <c r="K174">
        <f t="shared" si="11"/>
        <v>1</v>
      </c>
      <c r="N174" s="318">
        <f t="shared" si="8"/>
        <v>45145</v>
      </c>
      <c r="O174" s="318">
        <f t="shared" si="9"/>
        <v>45145</v>
      </c>
    </row>
    <row r="175" spans="1:15">
      <c r="A175" s="314" t="s">
        <v>4674</v>
      </c>
      <c r="B175" s="314" t="s">
        <v>1021</v>
      </c>
      <c r="C175" s="315">
        <v>45029.0225925926</v>
      </c>
      <c r="D175" s="315">
        <v>45145.7426851852</v>
      </c>
      <c r="E175" s="314" t="s">
        <v>4624</v>
      </c>
      <c r="F175" s="314" t="s">
        <v>120</v>
      </c>
      <c r="G175" s="316">
        <v>300000</v>
      </c>
      <c r="H175" t="str">
        <f>VLOOKUP(B:B,代理总表!A:D,3,FALSE)</f>
        <v>SOCO越南直播</v>
      </c>
      <c r="I175" t="str">
        <f>VLOOKUP(B:B,代理总表!A:D,4,FALSE)</f>
        <v>SOCO越南直播ffvn66</v>
      </c>
      <c r="J175">
        <f t="shared" si="10"/>
        <v>17</v>
      </c>
      <c r="K175">
        <f t="shared" si="11"/>
        <v>0</v>
      </c>
      <c r="N175" s="318">
        <f t="shared" si="8"/>
        <v>45029</v>
      </c>
      <c r="O175" s="318">
        <f t="shared" si="9"/>
        <v>45145</v>
      </c>
    </row>
    <row r="176" spans="1:15">
      <c r="A176" s="314" t="s">
        <v>1986</v>
      </c>
      <c r="B176" s="314" t="s">
        <v>224</v>
      </c>
      <c r="C176" s="315">
        <v>45145.7042361111</v>
      </c>
      <c r="D176" s="315">
        <v>45145.7127546296</v>
      </c>
      <c r="E176" s="314" t="s">
        <v>4624</v>
      </c>
      <c r="F176" s="314" t="s">
        <v>120</v>
      </c>
      <c r="G176" s="316">
        <v>100000</v>
      </c>
      <c r="H176" t="str">
        <f>VLOOKUP(B:B,代理总表!A:D,3,FALSE)</f>
        <v>雨燕直播-越</v>
      </c>
      <c r="I176" t="str">
        <f>VLOOKUP(B:B,代理总表!A:D,4,FALSE)</f>
        <v>雨燕直播-越ffvn66</v>
      </c>
      <c r="J176">
        <f t="shared" si="10"/>
        <v>17</v>
      </c>
      <c r="K176">
        <f t="shared" si="11"/>
        <v>1</v>
      </c>
      <c r="N176" s="318">
        <f t="shared" si="8"/>
        <v>45145</v>
      </c>
      <c r="O176" s="318">
        <f t="shared" si="9"/>
        <v>45145</v>
      </c>
    </row>
    <row r="177" spans="1:15">
      <c r="A177" s="314" t="s">
        <v>2426</v>
      </c>
      <c r="B177" s="314" t="s">
        <v>148</v>
      </c>
      <c r="C177" s="315">
        <v>45145.6464814815</v>
      </c>
      <c r="D177" s="315">
        <v>45145.708275463</v>
      </c>
      <c r="E177" s="314" t="s">
        <v>4624</v>
      </c>
      <c r="F177" s="314" t="s">
        <v>109</v>
      </c>
      <c r="G177" s="316">
        <v>100</v>
      </c>
      <c r="H177" t="str">
        <f>VLOOKUP(B:B,代理总表!A:D,3,FALSE)</f>
        <v>martin</v>
      </c>
      <c r="I177" t="str">
        <f>VLOOKUP(B:B,代理总表!A:D,4,FALSE)</f>
        <v>SEO</v>
      </c>
      <c r="J177">
        <f t="shared" si="10"/>
        <v>16</v>
      </c>
      <c r="K177">
        <f t="shared" si="11"/>
        <v>1</v>
      </c>
      <c r="N177" s="318">
        <f t="shared" si="8"/>
        <v>45145</v>
      </c>
      <c r="O177" s="318">
        <f t="shared" si="9"/>
        <v>45145</v>
      </c>
    </row>
    <row r="178" spans="1:15">
      <c r="A178" s="314" t="s">
        <v>2150</v>
      </c>
      <c r="B178" s="314" t="s">
        <v>137</v>
      </c>
      <c r="C178" s="315">
        <v>45145.6822337963</v>
      </c>
      <c r="D178" s="315">
        <v>45145.7119212963</v>
      </c>
      <c r="E178" s="314" t="s">
        <v>4624</v>
      </c>
      <c r="F178" s="314" t="s">
        <v>120</v>
      </c>
      <c r="G178" s="316">
        <v>100000</v>
      </c>
      <c r="H178" t="str">
        <f>VLOOKUP(B:B,代理总表!A:D,3,FALSE)</f>
        <v>雨燕直播-越</v>
      </c>
      <c r="I178" t="str">
        <f>VLOOKUP(B:B,代理总表!A:D,4,FALSE)</f>
        <v>雨燕直播-越ffvn66</v>
      </c>
      <c r="J178">
        <f t="shared" si="10"/>
        <v>17</v>
      </c>
      <c r="K178">
        <f t="shared" si="11"/>
        <v>1</v>
      </c>
      <c r="N178" s="318">
        <f t="shared" si="8"/>
        <v>45145</v>
      </c>
      <c r="O178" s="318">
        <f t="shared" si="9"/>
        <v>45145</v>
      </c>
    </row>
    <row r="179" spans="1:15">
      <c r="A179" s="314" t="s">
        <v>4135</v>
      </c>
      <c r="B179" s="314" t="s">
        <v>137</v>
      </c>
      <c r="C179" s="315">
        <v>45145.0742939815</v>
      </c>
      <c r="D179" s="315">
        <v>45145.7071759259</v>
      </c>
      <c r="E179" s="314" t="s">
        <v>4624</v>
      </c>
      <c r="F179" s="314" t="s">
        <v>120</v>
      </c>
      <c r="G179" s="316">
        <v>500000</v>
      </c>
      <c r="H179" t="str">
        <f>VLOOKUP(B:B,代理总表!A:D,3,FALSE)</f>
        <v>雨燕直播-越</v>
      </c>
      <c r="I179" t="str">
        <f>VLOOKUP(B:B,代理总表!A:D,4,FALSE)</f>
        <v>雨燕直播-越ffvn66</v>
      </c>
      <c r="J179">
        <f t="shared" si="10"/>
        <v>16</v>
      </c>
      <c r="K179">
        <f t="shared" si="11"/>
        <v>1</v>
      </c>
      <c r="N179" s="318">
        <f t="shared" si="8"/>
        <v>45145</v>
      </c>
      <c r="O179" s="318">
        <f t="shared" si="9"/>
        <v>45145</v>
      </c>
    </row>
    <row r="180" spans="1:15">
      <c r="A180" s="314" t="s">
        <v>2063</v>
      </c>
      <c r="B180" s="314" t="s">
        <v>2065</v>
      </c>
      <c r="C180" s="315">
        <v>45145.6935763889</v>
      </c>
      <c r="D180" s="315">
        <v>45145.7053009259</v>
      </c>
      <c r="E180" s="314" t="s">
        <v>4624</v>
      </c>
      <c r="F180" s="314" t="s">
        <v>120</v>
      </c>
      <c r="G180" s="316">
        <v>500000</v>
      </c>
      <c r="H180" t="str">
        <f>VLOOKUP(B:B,代理总表!A:D,3,FALSE)</f>
        <v>外部代理总线</v>
      </c>
      <c r="I180" t="str">
        <f>VLOOKUP(B:B,代理总表!A:D,4,FALSE)</f>
        <v>外部代理总线zh0808</v>
      </c>
      <c r="J180">
        <f t="shared" si="10"/>
        <v>16</v>
      </c>
      <c r="K180">
        <f t="shared" si="11"/>
        <v>1</v>
      </c>
      <c r="N180" s="318">
        <f t="shared" si="8"/>
        <v>45145</v>
      </c>
      <c r="O180" s="318">
        <f t="shared" si="9"/>
        <v>45145</v>
      </c>
    </row>
    <row r="181" spans="1:15">
      <c r="A181" s="314" t="s">
        <v>4675</v>
      </c>
      <c r="B181" s="314" t="s">
        <v>754</v>
      </c>
      <c r="C181" s="315">
        <v>45137.7400578704</v>
      </c>
      <c r="D181" s="315">
        <v>45145.7057407407</v>
      </c>
      <c r="E181" s="314" t="s">
        <v>4624</v>
      </c>
      <c r="F181" s="314" t="s">
        <v>109</v>
      </c>
      <c r="G181" s="316">
        <v>180</v>
      </c>
      <c r="H181" t="str">
        <f>VLOOKUP(B:B,代理总表!A:D,3,FALSE)</f>
        <v>SEO掉线用户转线</v>
      </c>
      <c r="I181" t="str">
        <f>VLOOKUP(B:B,代理总表!A:D,4,FALSE)</f>
        <v>SEO</v>
      </c>
      <c r="J181">
        <f t="shared" si="10"/>
        <v>16</v>
      </c>
      <c r="K181">
        <f t="shared" si="11"/>
        <v>0</v>
      </c>
      <c r="N181" s="318">
        <f t="shared" si="8"/>
        <v>45137</v>
      </c>
      <c r="O181" s="318">
        <f t="shared" si="9"/>
        <v>45145</v>
      </c>
    </row>
    <row r="182" spans="1:15">
      <c r="A182" s="314" t="s">
        <v>4676</v>
      </c>
      <c r="B182" s="314" t="s">
        <v>754</v>
      </c>
      <c r="C182" s="315">
        <v>45143.6698148148</v>
      </c>
      <c r="D182" s="315">
        <v>45145.7068171296</v>
      </c>
      <c r="E182" s="314" t="s">
        <v>4624</v>
      </c>
      <c r="F182" s="314" t="s">
        <v>109</v>
      </c>
      <c r="G182" s="316">
        <v>100</v>
      </c>
      <c r="H182" t="str">
        <f>VLOOKUP(B:B,代理总表!A:D,3,FALSE)</f>
        <v>SEO掉线用户转线</v>
      </c>
      <c r="I182" t="str">
        <f>VLOOKUP(B:B,代理总表!A:D,4,FALSE)</f>
        <v>SEO</v>
      </c>
      <c r="J182">
        <f t="shared" si="10"/>
        <v>16</v>
      </c>
      <c r="K182">
        <f t="shared" si="11"/>
        <v>0</v>
      </c>
      <c r="N182" s="318">
        <f t="shared" si="8"/>
        <v>45143</v>
      </c>
      <c r="O182" s="318">
        <f t="shared" si="9"/>
        <v>45145</v>
      </c>
    </row>
    <row r="183" spans="1:15">
      <c r="A183" s="314" t="s">
        <v>4677</v>
      </c>
      <c r="B183" s="314" t="s">
        <v>235</v>
      </c>
      <c r="C183" s="315">
        <v>45138.9806134259</v>
      </c>
      <c r="D183" s="315">
        <v>45145.704375</v>
      </c>
      <c r="E183" s="314" t="s">
        <v>4624</v>
      </c>
      <c r="F183" s="314" t="s">
        <v>109</v>
      </c>
      <c r="G183" s="316">
        <v>1000</v>
      </c>
      <c r="H183" t="str">
        <f>VLOOKUP(B:B,代理总表!A:D,3,FALSE)</f>
        <v>aber</v>
      </c>
      <c r="I183" t="str">
        <f>VLOOKUP(B:B,代理总表!A:D,4,FALSE)</f>
        <v>SEO</v>
      </c>
      <c r="J183">
        <f t="shared" si="10"/>
        <v>16</v>
      </c>
      <c r="K183">
        <f t="shared" si="11"/>
        <v>0</v>
      </c>
      <c r="N183" s="318">
        <f t="shared" si="8"/>
        <v>45138</v>
      </c>
      <c r="O183" s="318">
        <f t="shared" si="9"/>
        <v>45145</v>
      </c>
    </row>
    <row r="184" spans="1:15">
      <c r="A184" s="314" t="s">
        <v>2018</v>
      </c>
      <c r="B184" s="314" t="s">
        <v>2020</v>
      </c>
      <c r="C184" s="315">
        <v>45145.6999884259</v>
      </c>
      <c r="D184" s="315">
        <v>45145.7031365741</v>
      </c>
      <c r="E184" s="314" t="s">
        <v>4624</v>
      </c>
      <c r="F184" s="314" t="s">
        <v>120</v>
      </c>
      <c r="G184" s="316">
        <v>2500000</v>
      </c>
      <c r="H184" t="str">
        <f>VLOOKUP(B:B,代理总表!A:D,3,FALSE)</f>
        <v>外部代理总线</v>
      </c>
      <c r="I184" t="str">
        <f>VLOOKUP(B:B,代理总表!A:D,4,FALSE)</f>
        <v>外部代理总线zhaoshang</v>
      </c>
      <c r="J184">
        <f t="shared" si="10"/>
        <v>16</v>
      </c>
      <c r="K184">
        <f t="shared" si="11"/>
        <v>1</v>
      </c>
      <c r="N184" s="318">
        <f t="shared" si="8"/>
        <v>45145</v>
      </c>
      <c r="O184" s="318">
        <f t="shared" si="9"/>
        <v>45145</v>
      </c>
    </row>
    <row r="185" spans="1:15">
      <c r="A185" s="314" t="s">
        <v>2079</v>
      </c>
      <c r="B185" s="314" t="s">
        <v>137</v>
      </c>
      <c r="C185" s="315">
        <v>45145.6905902778</v>
      </c>
      <c r="D185" s="315">
        <v>45145.7059837963</v>
      </c>
      <c r="E185" s="314" t="s">
        <v>4624</v>
      </c>
      <c r="F185" s="314" t="s">
        <v>120</v>
      </c>
      <c r="G185" s="316">
        <v>500000</v>
      </c>
      <c r="H185" t="str">
        <f>VLOOKUP(B:B,代理总表!A:D,3,FALSE)</f>
        <v>雨燕直播-越</v>
      </c>
      <c r="I185" t="str">
        <f>VLOOKUP(B:B,代理总表!A:D,4,FALSE)</f>
        <v>雨燕直播-越ffvn66</v>
      </c>
      <c r="J185">
        <f t="shared" si="10"/>
        <v>16</v>
      </c>
      <c r="K185">
        <f t="shared" si="11"/>
        <v>1</v>
      </c>
      <c r="N185" s="318">
        <f t="shared" si="8"/>
        <v>45145</v>
      </c>
      <c r="O185" s="318">
        <f t="shared" si="9"/>
        <v>45145</v>
      </c>
    </row>
    <row r="186" spans="1:15">
      <c r="A186" s="314" t="s">
        <v>2052</v>
      </c>
      <c r="B186" s="314" t="s">
        <v>103</v>
      </c>
      <c r="C186" s="315">
        <v>45145.6961805556</v>
      </c>
      <c r="D186" s="315">
        <v>45145.7017824074</v>
      </c>
      <c r="E186" s="314" t="s">
        <v>4624</v>
      </c>
      <c r="F186" s="314" t="s">
        <v>109</v>
      </c>
      <c r="G186" s="316">
        <v>100</v>
      </c>
      <c r="H186" t="str">
        <f>VLOOKUP(B:B,代理总表!A:D,3,FALSE)</f>
        <v>官网</v>
      </c>
      <c r="I186" t="str">
        <f>VLOOKUP(B:B,代理总表!A:D,4,FALSE)</f>
        <v>官网</v>
      </c>
      <c r="J186">
        <f t="shared" si="10"/>
        <v>16</v>
      </c>
      <c r="K186">
        <f t="shared" si="11"/>
        <v>1</v>
      </c>
      <c r="N186" s="318">
        <f t="shared" si="8"/>
        <v>45145</v>
      </c>
      <c r="O186" s="318">
        <f t="shared" si="9"/>
        <v>45145</v>
      </c>
    </row>
    <row r="187" spans="1:15">
      <c r="A187" s="314" t="s">
        <v>2097</v>
      </c>
      <c r="B187" s="314" t="s">
        <v>1109</v>
      </c>
      <c r="C187" s="315">
        <v>45145.6895023148</v>
      </c>
      <c r="D187" s="315">
        <v>45145.7003935185</v>
      </c>
      <c r="E187" s="314" t="s">
        <v>4624</v>
      </c>
      <c r="F187" s="314" t="s">
        <v>109</v>
      </c>
      <c r="G187" s="316">
        <v>300</v>
      </c>
      <c r="H187" t="str">
        <f>VLOOKUP(B:B,代理总表!A:D,3,FALSE)</f>
        <v>飞哥雨燕直播</v>
      </c>
      <c r="I187" t="str">
        <f>VLOOKUP(B:B,代理总表!A:D,4,FALSE)</f>
        <v>飞哥雨燕直播ffmk88</v>
      </c>
      <c r="J187">
        <f t="shared" si="10"/>
        <v>16</v>
      </c>
      <c r="K187">
        <f t="shared" si="11"/>
        <v>1</v>
      </c>
      <c r="N187" s="318">
        <f t="shared" si="8"/>
        <v>45145</v>
      </c>
      <c r="O187" s="318">
        <f t="shared" si="9"/>
        <v>45145</v>
      </c>
    </row>
    <row r="188" spans="1:15">
      <c r="A188" s="314" t="s">
        <v>4678</v>
      </c>
      <c r="B188" s="314" t="s">
        <v>754</v>
      </c>
      <c r="C188" s="315">
        <v>45143.6858449074</v>
      </c>
      <c r="D188" s="315">
        <v>45145.7011574074</v>
      </c>
      <c r="E188" s="314" t="s">
        <v>4624</v>
      </c>
      <c r="F188" s="314" t="s">
        <v>109</v>
      </c>
      <c r="G188" s="316">
        <v>480</v>
      </c>
      <c r="H188" t="str">
        <f>VLOOKUP(B:B,代理总表!A:D,3,FALSE)</f>
        <v>SEO掉线用户转线</v>
      </c>
      <c r="I188" t="str">
        <f>VLOOKUP(B:B,代理总表!A:D,4,FALSE)</f>
        <v>SEO</v>
      </c>
      <c r="J188">
        <f t="shared" si="10"/>
        <v>16</v>
      </c>
      <c r="K188">
        <f t="shared" si="11"/>
        <v>0</v>
      </c>
      <c r="N188" s="318">
        <f t="shared" si="8"/>
        <v>45143</v>
      </c>
      <c r="O188" s="318">
        <f t="shared" si="9"/>
        <v>45145</v>
      </c>
    </row>
    <row r="189" spans="1:15">
      <c r="A189" s="314" t="s">
        <v>2119</v>
      </c>
      <c r="B189" s="314" t="s">
        <v>2121</v>
      </c>
      <c r="C189" s="315">
        <v>45145.6867476852</v>
      </c>
      <c r="D189" s="315">
        <v>45145.6997685185</v>
      </c>
      <c r="E189" s="314" t="s">
        <v>4624</v>
      </c>
      <c r="F189" s="314" t="s">
        <v>109</v>
      </c>
      <c r="G189" s="316">
        <v>200</v>
      </c>
      <c r="H189" t="str">
        <f>VLOOKUP(B:B,代理总表!A:D,3,FALSE)</f>
        <v>飞哥雨燕直播</v>
      </c>
      <c r="I189" t="str">
        <f>VLOOKUP(B:B,代理总表!A:D,4,FALSE)</f>
        <v>飞哥雨燕直播ffmk88</v>
      </c>
      <c r="J189">
        <f t="shared" si="10"/>
        <v>16</v>
      </c>
      <c r="K189">
        <f t="shared" si="11"/>
        <v>1</v>
      </c>
      <c r="N189" s="318">
        <f t="shared" si="8"/>
        <v>45145</v>
      </c>
      <c r="O189" s="318">
        <f t="shared" si="9"/>
        <v>45145</v>
      </c>
    </row>
    <row r="190" spans="1:15">
      <c r="A190" s="314" t="s">
        <v>4679</v>
      </c>
      <c r="B190" s="314" t="s">
        <v>249</v>
      </c>
      <c r="C190" s="315">
        <v>45144.8185763889</v>
      </c>
      <c r="D190" s="315">
        <v>45145.698912037</v>
      </c>
      <c r="E190" s="314" t="s">
        <v>4624</v>
      </c>
      <c r="F190" s="314" t="s">
        <v>109</v>
      </c>
      <c r="G190" s="314">
        <v>1042</v>
      </c>
      <c r="H190" t="str">
        <f>VLOOKUP(B:B,代理总表!A:D,3,FALSE)</f>
        <v>飞哥雨燕直播</v>
      </c>
      <c r="I190" t="str">
        <f>VLOOKUP(B:B,代理总表!A:D,4,FALSE)</f>
        <v>飞哥雨燕直播ffmk88</v>
      </c>
      <c r="J190">
        <f t="shared" si="10"/>
        <v>16</v>
      </c>
      <c r="K190">
        <f t="shared" si="11"/>
        <v>0</v>
      </c>
      <c r="N190" s="318">
        <f t="shared" si="8"/>
        <v>45144</v>
      </c>
      <c r="O190" s="318">
        <f t="shared" si="9"/>
        <v>45145</v>
      </c>
    </row>
    <row r="191" spans="1:15">
      <c r="A191" s="314" t="s">
        <v>2131</v>
      </c>
      <c r="B191" s="314" t="s">
        <v>205</v>
      </c>
      <c r="C191" s="315">
        <v>45145.6853240741</v>
      </c>
      <c r="D191" s="315">
        <v>45145.7009143519</v>
      </c>
      <c r="E191" s="314" t="s">
        <v>4624</v>
      </c>
      <c r="F191" s="314" t="s">
        <v>109</v>
      </c>
      <c r="G191" s="314">
        <v>105</v>
      </c>
      <c r="H191" t="str">
        <f>VLOOKUP(B:B,代理总表!A:D,3,FALSE)</f>
        <v>ben</v>
      </c>
      <c r="I191" t="str">
        <f>VLOOKUP(B:B,代理总表!A:D,4,FALSE)</f>
        <v>SEO</v>
      </c>
      <c r="J191">
        <f t="shared" si="10"/>
        <v>16</v>
      </c>
      <c r="K191">
        <f t="shared" si="11"/>
        <v>1</v>
      </c>
      <c r="N191" s="318">
        <f t="shared" si="8"/>
        <v>45145</v>
      </c>
      <c r="O191" s="318">
        <f t="shared" si="9"/>
        <v>45145</v>
      </c>
    </row>
    <row r="192" spans="1:15">
      <c r="A192" s="314" t="s">
        <v>2113</v>
      </c>
      <c r="B192" s="314" t="s">
        <v>445</v>
      </c>
      <c r="C192" s="315">
        <v>45145.687662037</v>
      </c>
      <c r="D192" s="315">
        <v>45145.6971759259</v>
      </c>
      <c r="E192" s="314" t="s">
        <v>4624</v>
      </c>
      <c r="F192" s="314" t="s">
        <v>120</v>
      </c>
      <c r="G192" s="316">
        <v>500000</v>
      </c>
      <c r="H192" t="str">
        <f>VLOOKUP(B:B,代理总表!A:D,3,FALSE)</f>
        <v>SOCO越南直播</v>
      </c>
      <c r="I192" t="str">
        <f>VLOOKUP(B:B,代理总表!A:D,4,FALSE)</f>
        <v>SOCO越南直播ffvn66</v>
      </c>
      <c r="J192">
        <f t="shared" si="10"/>
        <v>16</v>
      </c>
      <c r="K192">
        <f t="shared" si="11"/>
        <v>1</v>
      </c>
      <c r="N192" s="318">
        <f t="shared" si="8"/>
        <v>45145</v>
      </c>
      <c r="O192" s="318">
        <f t="shared" si="9"/>
        <v>45145</v>
      </c>
    </row>
    <row r="193" spans="1:15">
      <c r="A193" s="314" t="s">
        <v>2373</v>
      </c>
      <c r="B193" s="314" t="s">
        <v>249</v>
      </c>
      <c r="C193" s="315">
        <v>45145.652337963</v>
      </c>
      <c r="D193" s="315">
        <v>45145.7053703704</v>
      </c>
      <c r="E193" s="314" t="s">
        <v>4624</v>
      </c>
      <c r="F193" s="314" t="s">
        <v>109</v>
      </c>
      <c r="G193" s="316">
        <v>200</v>
      </c>
      <c r="H193" t="str">
        <f>VLOOKUP(B:B,代理总表!A:D,3,FALSE)</f>
        <v>飞哥雨燕直播</v>
      </c>
      <c r="I193" t="str">
        <f>VLOOKUP(B:B,代理总表!A:D,4,FALSE)</f>
        <v>飞哥雨燕直播ffmk88</v>
      </c>
      <c r="J193">
        <f t="shared" si="10"/>
        <v>16</v>
      </c>
      <c r="K193">
        <f t="shared" si="11"/>
        <v>1</v>
      </c>
      <c r="N193" s="318">
        <f t="shared" si="8"/>
        <v>45145</v>
      </c>
      <c r="O193" s="318">
        <f t="shared" si="9"/>
        <v>45145</v>
      </c>
    </row>
    <row r="194" spans="1:15">
      <c r="A194" s="314" t="s">
        <v>4680</v>
      </c>
      <c r="B194" s="314" t="s">
        <v>205</v>
      </c>
      <c r="C194" s="315">
        <v>45066.9533912037</v>
      </c>
      <c r="D194" s="315">
        <v>45145.697962963</v>
      </c>
      <c r="E194" s="314" t="s">
        <v>4624</v>
      </c>
      <c r="F194" s="314" t="s">
        <v>109</v>
      </c>
      <c r="G194" s="316">
        <v>300</v>
      </c>
      <c r="H194" t="str">
        <f>VLOOKUP(B:B,代理总表!A:D,3,FALSE)</f>
        <v>ben</v>
      </c>
      <c r="I194" t="str">
        <f>VLOOKUP(B:B,代理总表!A:D,4,FALSE)</f>
        <v>SEO</v>
      </c>
      <c r="J194">
        <f t="shared" si="10"/>
        <v>16</v>
      </c>
      <c r="K194">
        <f t="shared" si="11"/>
        <v>0</v>
      </c>
      <c r="N194" s="318">
        <f t="shared" ref="N194:N257" si="12">INT(C194)</f>
        <v>45066</v>
      </c>
      <c r="O194" s="318">
        <f t="shared" ref="O194:O257" si="13">INT(D194)</f>
        <v>45145</v>
      </c>
    </row>
    <row r="195" spans="1:15">
      <c r="A195" s="314" t="s">
        <v>2168</v>
      </c>
      <c r="B195" s="314" t="s">
        <v>172</v>
      </c>
      <c r="C195" s="315">
        <v>45145.6798148148</v>
      </c>
      <c r="D195" s="315">
        <v>45145.6941203704</v>
      </c>
      <c r="E195" s="314" t="s">
        <v>4624</v>
      </c>
      <c r="F195" s="314" t="s">
        <v>120</v>
      </c>
      <c r="G195" s="316">
        <v>1000000</v>
      </c>
      <c r="H195" t="str">
        <f>VLOOKUP(B:B,代理总表!A:D,3,FALSE)</f>
        <v>雨燕直播-越</v>
      </c>
      <c r="I195" t="str">
        <f>VLOOKUP(B:B,代理总表!A:D,4,FALSE)</f>
        <v>雨燕直播-越ffvn66</v>
      </c>
      <c r="J195">
        <f t="shared" ref="J195:J258" si="14">HOUR(D195)</f>
        <v>16</v>
      </c>
      <c r="K195">
        <f t="shared" ref="K195:K258" si="15">IF(N195=O195,1,0)</f>
        <v>1</v>
      </c>
      <c r="N195" s="318">
        <f t="shared" si="12"/>
        <v>45145</v>
      </c>
      <c r="O195" s="318">
        <f t="shared" si="13"/>
        <v>45145</v>
      </c>
    </row>
    <row r="196" spans="1:15">
      <c r="A196" s="314" t="s">
        <v>2311</v>
      </c>
      <c r="B196" s="314" t="s">
        <v>143</v>
      </c>
      <c r="C196" s="315">
        <v>45145.6604398148</v>
      </c>
      <c r="D196" s="315">
        <v>45145.690787037</v>
      </c>
      <c r="E196" s="314" t="s">
        <v>4624</v>
      </c>
      <c r="F196" s="314" t="s">
        <v>120</v>
      </c>
      <c r="G196" s="316">
        <v>200000</v>
      </c>
      <c r="H196" t="str">
        <f>VLOOKUP(B:B,代理总表!A:D,3,FALSE)</f>
        <v>雨燕直播-越</v>
      </c>
      <c r="I196" t="str">
        <f>VLOOKUP(B:B,代理总表!A:D,4,FALSE)</f>
        <v>雨燕直播-越ffvn66</v>
      </c>
      <c r="J196">
        <f t="shared" si="14"/>
        <v>16</v>
      </c>
      <c r="K196">
        <f t="shared" si="15"/>
        <v>1</v>
      </c>
      <c r="N196" s="318">
        <f t="shared" si="12"/>
        <v>45145</v>
      </c>
      <c r="O196" s="318">
        <f t="shared" si="13"/>
        <v>45145</v>
      </c>
    </row>
    <row r="197" spans="1:15">
      <c r="A197" s="314" t="s">
        <v>2214</v>
      </c>
      <c r="B197" s="314" t="s">
        <v>249</v>
      </c>
      <c r="C197" s="315">
        <v>45145.6750810185</v>
      </c>
      <c r="D197" s="315">
        <v>45145.6893518519</v>
      </c>
      <c r="E197" s="314" t="s">
        <v>4624</v>
      </c>
      <c r="F197" s="314" t="s">
        <v>109</v>
      </c>
      <c r="G197" s="316">
        <v>200</v>
      </c>
      <c r="H197" t="str">
        <f>VLOOKUP(B:B,代理总表!A:D,3,FALSE)</f>
        <v>飞哥雨燕直播</v>
      </c>
      <c r="I197" t="str">
        <f>VLOOKUP(B:B,代理总表!A:D,4,FALSE)</f>
        <v>飞哥雨燕直播ffmk88</v>
      </c>
      <c r="J197">
        <f t="shared" si="14"/>
        <v>16</v>
      </c>
      <c r="K197">
        <f t="shared" si="15"/>
        <v>1</v>
      </c>
      <c r="N197" s="318">
        <f t="shared" si="12"/>
        <v>45145</v>
      </c>
      <c r="O197" s="318">
        <f t="shared" si="13"/>
        <v>45145</v>
      </c>
    </row>
    <row r="198" spans="1:15">
      <c r="A198" s="314" t="s">
        <v>2164</v>
      </c>
      <c r="B198" s="314" t="s">
        <v>103</v>
      </c>
      <c r="C198" s="315">
        <v>45145.6802199074</v>
      </c>
      <c r="D198" s="315">
        <v>45145.6868402778</v>
      </c>
      <c r="E198" s="314" t="s">
        <v>4624</v>
      </c>
      <c r="F198" s="314" t="s">
        <v>109</v>
      </c>
      <c r="G198" s="316">
        <v>200</v>
      </c>
      <c r="H198" t="str">
        <f>VLOOKUP(B:B,代理总表!A:D,3,FALSE)</f>
        <v>官网</v>
      </c>
      <c r="I198" t="str">
        <f>VLOOKUP(B:B,代理总表!A:D,4,FALSE)</f>
        <v>官网</v>
      </c>
      <c r="J198">
        <f t="shared" si="14"/>
        <v>16</v>
      </c>
      <c r="K198">
        <f t="shared" si="15"/>
        <v>1</v>
      </c>
      <c r="N198" s="318">
        <f t="shared" si="12"/>
        <v>45145</v>
      </c>
      <c r="O198" s="318">
        <f t="shared" si="13"/>
        <v>45145</v>
      </c>
    </row>
    <row r="199" spans="1:15">
      <c r="A199" s="314" t="s">
        <v>2222</v>
      </c>
      <c r="B199" s="314" t="s">
        <v>148</v>
      </c>
      <c r="C199" s="315">
        <v>45145.6744097222</v>
      </c>
      <c r="D199" s="315">
        <v>45145.6869328704</v>
      </c>
      <c r="E199" s="314" t="s">
        <v>4624</v>
      </c>
      <c r="F199" s="314" t="s">
        <v>109</v>
      </c>
      <c r="G199" s="316">
        <v>500</v>
      </c>
      <c r="H199" t="str">
        <f>VLOOKUP(B:B,代理总表!A:D,3,FALSE)</f>
        <v>martin</v>
      </c>
      <c r="I199" t="str">
        <f>VLOOKUP(B:B,代理总表!A:D,4,FALSE)</f>
        <v>SEO</v>
      </c>
      <c r="J199">
        <f t="shared" si="14"/>
        <v>16</v>
      </c>
      <c r="K199">
        <f t="shared" si="15"/>
        <v>1</v>
      </c>
      <c r="N199" s="318">
        <f t="shared" si="12"/>
        <v>45145</v>
      </c>
      <c r="O199" s="318">
        <f t="shared" si="13"/>
        <v>45145</v>
      </c>
    </row>
    <row r="200" spans="1:15">
      <c r="A200" s="314" t="s">
        <v>2196</v>
      </c>
      <c r="B200" s="314" t="s">
        <v>805</v>
      </c>
      <c r="C200" s="315">
        <v>45145.676099537</v>
      </c>
      <c r="D200" s="315">
        <v>45145.6938425926</v>
      </c>
      <c r="E200" s="314" t="s">
        <v>4624</v>
      </c>
      <c r="F200" s="314" t="s">
        <v>109</v>
      </c>
      <c r="G200" s="316">
        <v>300</v>
      </c>
      <c r="H200" t="str">
        <f>VLOOKUP(B:B,代理总表!A:D,3,FALSE)</f>
        <v>飞哥雨燕直播</v>
      </c>
      <c r="I200" t="str">
        <f>VLOOKUP(B:B,代理总表!A:D,4,FALSE)</f>
        <v>飞哥雨燕直播ffmk88</v>
      </c>
      <c r="J200">
        <f t="shared" si="14"/>
        <v>16</v>
      </c>
      <c r="K200">
        <f t="shared" si="15"/>
        <v>1</v>
      </c>
      <c r="N200" s="318">
        <f t="shared" si="12"/>
        <v>45145</v>
      </c>
      <c r="O200" s="318">
        <f t="shared" si="13"/>
        <v>45145</v>
      </c>
    </row>
    <row r="201" spans="1:15">
      <c r="A201" s="314" t="s">
        <v>2171</v>
      </c>
      <c r="B201" s="314" t="s">
        <v>1741</v>
      </c>
      <c r="C201" s="315">
        <v>45145.6797453704</v>
      </c>
      <c r="D201" s="315">
        <v>45145.6820949074</v>
      </c>
      <c r="E201" s="314" t="s">
        <v>4624</v>
      </c>
      <c r="F201" s="314" t="s">
        <v>109</v>
      </c>
      <c r="G201" s="316">
        <v>500</v>
      </c>
      <c r="H201" t="str">
        <f>VLOOKUP(B:B,代理总表!A:D,3,FALSE)</f>
        <v>飞哥雨燕直播</v>
      </c>
      <c r="I201" t="str">
        <f>VLOOKUP(B:B,代理总表!A:D,4,FALSE)</f>
        <v>飞哥雨燕直播ffmk88</v>
      </c>
      <c r="J201">
        <f t="shared" si="14"/>
        <v>16</v>
      </c>
      <c r="K201">
        <f t="shared" si="15"/>
        <v>1</v>
      </c>
      <c r="N201" s="318">
        <f t="shared" si="12"/>
        <v>45145</v>
      </c>
      <c r="O201" s="318">
        <f t="shared" si="13"/>
        <v>45145</v>
      </c>
    </row>
    <row r="202" spans="1:15">
      <c r="A202" s="314" t="s">
        <v>2232</v>
      </c>
      <c r="B202" s="314" t="s">
        <v>594</v>
      </c>
      <c r="C202" s="315">
        <v>45145.6716435185</v>
      </c>
      <c r="D202" s="315">
        <v>45145.6814351852</v>
      </c>
      <c r="E202" s="314" t="s">
        <v>4624</v>
      </c>
      <c r="F202" s="314" t="s">
        <v>109</v>
      </c>
      <c r="G202" s="316">
        <v>200</v>
      </c>
      <c r="H202" t="str">
        <f>VLOOKUP(B:B,代理总表!A:D,3,FALSE)</f>
        <v>zed</v>
      </c>
      <c r="I202" t="str">
        <f>VLOOKUP(B:B,代理总表!A:D,4,FALSE)</f>
        <v>SEO</v>
      </c>
      <c r="J202">
        <f t="shared" si="14"/>
        <v>16</v>
      </c>
      <c r="K202">
        <f t="shared" si="15"/>
        <v>1</v>
      </c>
      <c r="N202" s="318">
        <f t="shared" si="12"/>
        <v>45145</v>
      </c>
      <c r="O202" s="318">
        <f t="shared" si="13"/>
        <v>45145</v>
      </c>
    </row>
    <row r="203" spans="1:15">
      <c r="A203" s="314" t="s">
        <v>2382</v>
      </c>
      <c r="B203" s="314" t="s">
        <v>1336</v>
      </c>
      <c r="C203" s="315">
        <v>45145.6512384259</v>
      </c>
      <c r="D203" s="315">
        <v>45145.6816898148</v>
      </c>
      <c r="E203" s="314" t="s">
        <v>4624</v>
      </c>
      <c r="F203" s="314" t="s">
        <v>109</v>
      </c>
      <c r="G203" s="314">
        <v>1088</v>
      </c>
      <c r="H203" t="str">
        <f>VLOOKUP(B:B,代理总表!A:D,3,FALSE)</f>
        <v>飞哥雨燕直播</v>
      </c>
      <c r="I203" t="str">
        <f>VLOOKUP(B:B,代理总表!A:D,4,FALSE)</f>
        <v>飞哥雨燕直播ffmk88</v>
      </c>
      <c r="J203">
        <f t="shared" si="14"/>
        <v>16</v>
      </c>
      <c r="K203">
        <f t="shared" si="15"/>
        <v>1</v>
      </c>
      <c r="N203" s="318">
        <f t="shared" si="12"/>
        <v>45145</v>
      </c>
      <c r="O203" s="318">
        <f t="shared" si="13"/>
        <v>45145</v>
      </c>
    </row>
    <row r="204" spans="1:15">
      <c r="A204" s="314" t="s">
        <v>2293</v>
      </c>
      <c r="B204" s="314" t="s">
        <v>137</v>
      </c>
      <c r="C204" s="315">
        <v>45145.6613657407</v>
      </c>
      <c r="D204" s="315">
        <v>45145.6835416667</v>
      </c>
      <c r="E204" s="314" t="s">
        <v>4624</v>
      </c>
      <c r="F204" s="314" t="s">
        <v>120</v>
      </c>
      <c r="G204" s="316">
        <v>800000</v>
      </c>
      <c r="H204" t="str">
        <f>VLOOKUP(B:B,代理总表!A:D,3,FALSE)</f>
        <v>雨燕直播-越</v>
      </c>
      <c r="I204" t="str">
        <f>VLOOKUP(B:B,代理总表!A:D,4,FALSE)</f>
        <v>雨燕直播-越ffvn66</v>
      </c>
      <c r="J204">
        <f t="shared" si="14"/>
        <v>16</v>
      </c>
      <c r="K204">
        <f t="shared" si="15"/>
        <v>1</v>
      </c>
      <c r="N204" s="318">
        <f t="shared" si="12"/>
        <v>45145</v>
      </c>
      <c r="O204" s="318">
        <f t="shared" si="13"/>
        <v>45145</v>
      </c>
    </row>
    <row r="205" spans="1:15">
      <c r="A205" s="314" t="s">
        <v>2670</v>
      </c>
      <c r="B205" s="314" t="s">
        <v>276</v>
      </c>
      <c r="C205" s="315">
        <v>45145.5849537037</v>
      </c>
      <c r="D205" s="315">
        <v>45145.6781712963</v>
      </c>
      <c r="E205" s="314" t="s">
        <v>4624</v>
      </c>
      <c r="F205" s="314" t="s">
        <v>109</v>
      </c>
      <c r="G205" s="316">
        <v>300</v>
      </c>
      <c r="H205" t="str">
        <f>VLOOKUP(B:B,代理总表!A:D,3,FALSE)</f>
        <v>飞哥雨燕直播</v>
      </c>
      <c r="I205" t="str">
        <f>VLOOKUP(B:B,代理总表!A:D,4,FALSE)</f>
        <v>飞哥雨燕直播ffmk88</v>
      </c>
      <c r="J205">
        <f t="shared" si="14"/>
        <v>16</v>
      </c>
      <c r="K205">
        <f t="shared" si="15"/>
        <v>1</v>
      </c>
      <c r="N205" s="318">
        <f t="shared" si="12"/>
        <v>45145</v>
      </c>
      <c r="O205" s="318">
        <f t="shared" si="13"/>
        <v>45145</v>
      </c>
    </row>
    <row r="206" spans="1:15">
      <c r="A206" s="314" t="s">
        <v>2256</v>
      </c>
      <c r="B206" s="314" t="s">
        <v>137</v>
      </c>
      <c r="C206" s="315">
        <v>45145.6670949074</v>
      </c>
      <c r="D206" s="315">
        <v>45145.6857638889</v>
      </c>
      <c r="E206" s="314" t="s">
        <v>4624</v>
      </c>
      <c r="F206" s="314" t="s">
        <v>120</v>
      </c>
      <c r="G206" s="316">
        <v>5000000</v>
      </c>
      <c r="H206" t="str">
        <f>VLOOKUP(B:B,代理总表!A:D,3,FALSE)</f>
        <v>雨燕直播-越</v>
      </c>
      <c r="I206" t="str">
        <f>VLOOKUP(B:B,代理总表!A:D,4,FALSE)</f>
        <v>雨燕直播-越ffvn66</v>
      </c>
      <c r="J206">
        <f t="shared" si="14"/>
        <v>16</v>
      </c>
      <c r="K206">
        <f t="shared" si="15"/>
        <v>1</v>
      </c>
      <c r="N206" s="318">
        <f t="shared" si="12"/>
        <v>45145</v>
      </c>
      <c r="O206" s="318">
        <f t="shared" si="13"/>
        <v>45145</v>
      </c>
    </row>
    <row r="207" spans="1:15">
      <c r="A207" s="314" t="s">
        <v>4681</v>
      </c>
      <c r="B207" s="314" t="s">
        <v>1317</v>
      </c>
      <c r="C207" s="315">
        <v>45142.9506828704</v>
      </c>
      <c r="D207" s="315">
        <v>45145.6752199074</v>
      </c>
      <c r="E207" s="314" t="s">
        <v>4624</v>
      </c>
      <c r="F207" s="314" t="s">
        <v>120</v>
      </c>
      <c r="G207" s="316">
        <v>50000</v>
      </c>
      <c r="H207" t="str">
        <f>VLOOKUP(B:B,代理总表!A:D,3,FALSE)</f>
        <v>外部代理总线</v>
      </c>
      <c r="I207" t="str">
        <f>VLOOKUP(B:B,代理总表!A:D,4,FALSE)</f>
        <v>外部代理总线zh0808</v>
      </c>
      <c r="J207">
        <f t="shared" si="14"/>
        <v>16</v>
      </c>
      <c r="K207">
        <f t="shared" si="15"/>
        <v>0</v>
      </c>
      <c r="N207" s="318">
        <f t="shared" si="12"/>
        <v>45142</v>
      </c>
      <c r="O207" s="318">
        <f t="shared" si="13"/>
        <v>45145</v>
      </c>
    </row>
    <row r="208" spans="1:15">
      <c r="A208" s="314" t="s">
        <v>2246</v>
      </c>
      <c r="B208" s="314" t="s">
        <v>143</v>
      </c>
      <c r="C208" s="315">
        <v>45145.668912037</v>
      </c>
      <c r="D208" s="315">
        <v>45145.6778356481</v>
      </c>
      <c r="E208" s="314" t="s">
        <v>4624</v>
      </c>
      <c r="F208" s="314" t="s">
        <v>120</v>
      </c>
      <c r="G208" s="316">
        <v>500000</v>
      </c>
      <c r="H208" t="str">
        <f>VLOOKUP(B:B,代理总表!A:D,3,FALSE)</f>
        <v>雨燕直播-越</v>
      </c>
      <c r="I208" t="str">
        <f>VLOOKUP(B:B,代理总表!A:D,4,FALSE)</f>
        <v>雨燕直播-越ffvn66</v>
      </c>
      <c r="J208">
        <f t="shared" si="14"/>
        <v>16</v>
      </c>
      <c r="K208">
        <f t="shared" si="15"/>
        <v>1</v>
      </c>
      <c r="N208" s="318">
        <f t="shared" si="12"/>
        <v>45145</v>
      </c>
      <c r="O208" s="318">
        <f t="shared" si="13"/>
        <v>45145</v>
      </c>
    </row>
    <row r="209" spans="1:15">
      <c r="A209" s="314" t="s">
        <v>2345</v>
      </c>
      <c r="B209" s="314" t="s">
        <v>224</v>
      </c>
      <c r="C209" s="315">
        <v>45145.6558333333</v>
      </c>
      <c r="D209" s="315">
        <v>45145.674525463</v>
      </c>
      <c r="E209" s="314" t="s">
        <v>4624</v>
      </c>
      <c r="F209" s="314" t="s">
        <v>120</v>
      </c>
      <c r="G209" s="316">
        <v>500000</v>
      </c>
      <c r="H209" t="str">
        <f>VLOOKUP(B:B,代理总表!A:D,3,FALSE)</f>
        <v>雨燕直播-越</v>
      </c>
      <c r="I209" t="str">
        <f>VLOOKUP(B:B,代理总表!A:D,4,FALSE)</f>
        <v>雨燕直播-越ffvn66</v>
      </c>
      <c r="J209">
        <f t="shared" si="14"/>
        <v>16</v>
      </c>
      <c r="K209">
        <f t="shared" si="15"/>
        <v>1</v>
      </c>
      <c r="N209" s="318">
        <f t="shared" si="12"/>
        <v>45145</v>
      </c>
      <c r="O209" s="318">
        <f t="shared" si="13"/>
        <v>45145</v>
      </c>
    </row>
    <row r="210" spans="1:15">
      <c r="A210" s="314" t="s">
        <v>2260</v>
      </c>
      <c r="B210" s="314" t="s">
        <v>137</v>
      </c>
      <c r="C210" s="315">
        <v>45145.6670138889</v>
      </c>
      <c r="D210" s="315">
        <v>45145.6761111111</v>
      </c>
      <c r="E210" s="314" t="s">
        <v>4624</v>
      </c>
      <c r="F210" s="314" t="s">
        <v>120</v>
      </c>
      <c r="G210" s="316">
        <v>800000</v>
      </c>
      <c r="H210" t="str">
        <f>VLOOKUP(B:B,代理总表!A:D,3,FALSE)</f>
        <v>雨燕直播-越</v>
      </c>
      <c r="I210" t="str">
        <f>VLOOKUP(B:B,代理总表!A:D,4,FALSE)</f>
        <v>雨燕直播-越ffvn66</v>
      </c>
      <c r="J210">
        <f t="shared" si="14"/>
        <v>16</v>
      </c>
      <c r="K210">
        <f t="shared" si="15"/>
        <v>1</v>
      </c>
      <c r="N210" s="318">
        <f t="shared" si="12"/>
        <v>45145</v>
      </c>
      <c r="O210" s="318">
        <f t="shared" si="13"/>
        <v>45145</v>
      </c>
    </row>
    <row r="211" spans="1:15">
      <c r="A211" s="314" t="s">
        <v>2264</v>
      </c>
      <c r="B211" s="314" t="s">
        <v>143</v>
      </c>
      <c r="C211" s="315">
        <v>45145.665474537</v>
      </c>
      <c r="D211" s="315">
        <v>45145.6727662037</v>
      </c>
      <c r="E211" s="314" t="s">
        <v>4624</v>
      </c>
      <c r="F211" s="314" t="s">
        <v>120</v>
      </c>
      <c r="G211" s="316">
        <v>500000</v>
      </c>
      <c r="H211" t="str">
        <f>VLOOKUP(B:B,代理总表!A:D,3,FALSE)</f>
        <v>雨燕直播-越</v>
      </c>
      <c r="I211" t="str">
        <f>VLOOKUP(B:B,代理总表!A:D,4,FALSE)</f>
        <v>雨燕直播-越ffvn66</v>
      </c>
      <c r="J211">
        <f t="shared" si="14"/>
        <v>16</v>
      </c>
      <c r="K211">
        <f t="shared" si="15"/>
        <v>1</v>
      </c>
      <c r="N211" s="318">
        <f t="shared" si="12"/>
        <v>45145</v>
      </c>
      <c r="O211" s="318">
        <f t="shared" si="13"/>
        <v>45145</v>
      </c>
    </row>
    <row r="212" spans="1:15">
      <c r="A212" s="314" t="s">
        <v>2275</v>
      </c>
      <c r="B212" s="314" t="s">
        <v>197</v>
      </c>
      <c r="C212" s="315">
        <v>45145.6647800926</v>
      </c>
      <c r="D212" s="315">
        <v>45145.6750694444</v>
      </c>
      <c r="E212" s="314" t="s">
        <v>4624</v>
      </c>
      <c r="F212" s="314" t="s">
        <v>120</v>
      </c>
      <c r="G212" s="316">
        <v>500000</v>
      </c>
      <c r="H212" t="str">
        <f>VLOOKUP(B:B,代理总表!A:D,3,FALSE)</f>
        <v>雨燕直播-越</v>
      </c>
      <c r="I212" t="str">
        <f>VLOOKUP(B:B,代理总表!A:D,4,FALSE)</f>
        <v>雨燕直播-越ffvn66</v>
      </c>
      <c r="J212">
        <f t="shared" si="14"/>
        <v>16</v>
      </c>
      <c r="K212">
        <f t="shared" si="15"/>
        <v>1</v>
      </c>
      <c r="N212" s="318">
        <f t="shared" si="12"/>
        <v>45145</v>
      </c>
      <c r="O212" s="318">
        <f t="shared" si="13"/>
        <v>45145</v>
      </c>
    </row>
    <row r="213" spans="1:15">
      <c r="A213" s="314" t="s">
        <v>2499</v>
      </c>
      <c r="B213" s="314" t="s">
        <v>240</v>
      </c>
      <c r="C213" s="315">
        <v>45145.6284027778</v>
      </c>
      <c r="D213" s="315">
        <v>45145.6727893519</v>
      </c>
      <c r="E213" s="314" t="s">
        <v>4624</v>
      </c>
      <c r="F213" s="314" t="s">
        <v>109</v>
      </c>
      <c r="G213" s="316">
        <v>300</v>
      </c>
      <c r="H213" t="str">
        <f>VLOOKUP(B:B,代理总表!A:D,3,FALSE)</f>
        <v>SEO邀请</v>
      </c>
      <c r="I213" t="str">
        <f>VLOOKUP(B:B,代理总表!A:D,4,FALSE)</f>
        <v>SEO</v>
      </c>
      <c r="J213">
        <f t="shared" si="14"/>
        <v>16</v>
      </c>
      <c r="K213">
        <f t="shared" si="15"/>
        <v>1</v>
      </c>
      <c r="N213" s="318">
        <f t="shared" si="12"/>
        <v>45145</v>
      </c>
      <c r="O213" s="318">
        <f t="shared" si="13"/>
        <v>45145</v>
      </c>
    </row>
    <row r="214" spans="1:15">
      <c r="A214" s="314" t="s">
        <v>2436</v>
      </c>
      <c r="B214" s="314" t="s">
        <v>1513</v>
      </c>
      <c r="C214" s="315">
        <v>45145.644537037</v>
      </c>
      <c r="D214" s="315">
        <v>45145.6700925926</v>
      </c>
      <c r="E214" s="314" t="s">
        <v>4624</v>
      </c>
      <c r="F214" s="314" t="s">
        <v>109</v>
      </c>
      <c r="G214" s="316">
        <v>100</v>
      </c>
      <c r="H214" t="str">
        <f>VLOOKUP(B:B,代理总表!A:D,3,FALSE)</f>
        <v>GT-骨头</v>
      </c>
      <c r="I214" t="str">
        <f>VLOOKUP(B:B,代理总表!A:D,4,FALSE)</f>
        <v>GT-骨头gt6677</v>
      </c>
      <c r="J214">
        <f t="shared" si="14"/>
        <v>16</v>
      </c>
      <c r="K214">
        <f t="shared" si="15"/>
        <v>1</v>
      </c>
      <c r="N214" s="318">
        <f t="shared" si="12"/>
        <v>45145</v>
      </c>
      <c r="O214" s="318">
        <f t="shared" si="13"/>
        <v>45145</v>
      </c>
    </row>
    <row r="215" spans="1:15">
      <c r="A215" s="314" t="s">
        <v>2307</v>
      </c>
      <c r="B215" s="314" t="s">
        <v>224</v>
      </c>
      <c r="C215" s="315">
        <v>45145.6604398148</v>
      </c>
      <c r="D215" s="315">
        <v>45145.6667708333</v>
      </c>
      <c r="E215" s="314" t="s">
        <v>4624</v>
      </c>
      <c r="F215" s="314" t="s">
        <v>120</v>
      </c>
      <c r="G215" s="316">
        <v>300000</v>
      </c>
      <c r="H215" t="str">
        <f>VLOOKUP(B:B,代理总表!A:D,3,FALSE)</f>
        <v>雨燕直播-越</v>
      </c>
      <c r="I215" t="str">
        <f>VLOOKUP(B:B,代理总表!A:D,4,FALSE)</f>
        <v>雨燕直播-越ffvn66</v>
      </c>
      <c r="J215">
        <f t="shared" si="14"/>
        <v>16</v>
      </c>
      <c r="K215">
        <f t="shared" si="15"/>
        <v>1</v>
      </c>
      <c r="N215" s="318">
        <f t="shared" si="12"/>
        <v>45145</v>
      </c>
      <c r="O215" s="318">
        <f t="shared" si="13"/>
        <v>45145</v>
      </c>
    </row>
    <row r="216" spans="1:15">
      <c r="A216" s="314" t="s">
        <v>2333</v>
      </c>
      <c r="B216" s="314" t="s">
        <v>224</v>
      </c>
      <c r="C216" s="315">
        <v>45145.6571759259</v>
      </c>
      <c r="D216" s="315">
        <v>45145.6689583333</v>
      </c>
      <c r="E216" s="314" t="s">
        <v>4624</v>
      </c>
      <c r="F216" s="314" t="s">
        <v>120</v>
      </c>
      <c r="G216" s="316">
        <v>500000</v>
      </c>
      <c r="H216" t="str">
        <f>VLOOKUP(B:B,代理总表!A:D,3,FALSE)</f>
        <v>雨燕直播-越</v>
      </c>
      <c r="I216" t="str">
        <f>VLOOKUP(B:B,代理总表!A:D,4,FALSE)</f>
        <v>雨燕直播-越ffvn66</v>
      </c>
      <c r="J216">
        <f t="shared" si="14"/>
        <v>16</v>
      </c>
      <c r="K216">
        <f t="shared" si="15"/>
        <v>1</v>
      </c>
      <c r="N216" s="318">
        <f t="shared" si="12"/>
        <v>45145</v>
      </c>
      <c r="O216" s="318">
        <f t="shared" si="13"/>
        <v>45145</v>
      </c>
    </row>
    <row r="217" spans="1:15">
      <c r="A217" s="314" t="s">
        <v>2686</v>
      </c>
      <c r="B217" s="314" t="s">
        <v>148</v>
      </c>
      <c r="C217" s="315">
        <v>45145.5816782407</v>
      </c>
      <c r="D217" s="315">
        <v>45145.6619560185</v>
      </c>
      <c r="E217" s="314" t="s">
        <v>4624</v>
      </c>
      <c r="F217" s="314" t="s">
        <v>109</v>
      </c>
      <c r="G217" s="316">
        <v>1000</v>
      </c>
      <c r="H217" t="str">
        <f>VLOOKUP(B:B,代理总表!A:D,3,FALSE)</f>
        <v>martin</v>
      </c>
      <c r="I217" t="str">
        <f>VLOOKUP(B:B,代理总表!A:D,4,FALSE)</f>
        <v>SEO</v>
      </c>
      <c r="J217">
        <f t="shared" si="14"/>
        <v>15</v>
      </c>
      <c r="K217">
        <f t="shared" si="15"/>
        <v>1</v>
      </c>
      <c r="N217" s="318">
        <f t="shared" si="12"/>
        <v>45145</v>
      </c>
      <c r="O217" s="318">
        <f t="shared" si="13"/>
        <v>45145</v>
      </c>
    </row>
    <row r="218" spans="1:15">
      <c r="A218" s="314" t="s">
        <v>2337</v>
      </c>
      <c r="B218" s="314" t="s">
        <v>2339</v>
      </c>
      <c r="C218" s="315">
        <v>45145.65625</v>
      </c>
      <c r="D218" s="315">
        <v>45145.660474537</v>
      </c>
      <c r="E218" s="314" t="s">
        <v>4624</v>
      </c>
      <c r="F218" s="314" t="s">
        <v>120</v>
      </c>
      <c r="G218" s="316">
        <v>2800000</v>
      </c>
      <c r="H218" t="str">
        <f>VLOOKUP(B:B,代理总表!A:D,3,FALSE)</f>
        <v>外部代理总线</v>
      </c>
      <c r="I218" t="str">
        <f>VLOOKUP(B:B,代理总表!A:D,4,FALSE)</f>
        <v>外部代理总线zhaoshang</v>
      </c>
      <c r="J218">
        <f t="shared" si="14"/>
        <v>15</v>
      </c>
      <c r="K218">
        <f t="shared" si="15"/>
        <v>1</v>
      </c>
      <c r="N218" s="318">
        <f t="shared" si="12"/>
        <v>45145</v>
      </c>
      <c r="O218" s="318">
        <f t="shared" si="13"/>
        <v>45145</v>
      </c>
    </row>
    <row r="219" spans="1:15">
      <c r="A219" s="314" t="s">
        <v>2364</v>
      </c>
      <c r="B219" s="314" t="s">
        <v>2366</v>
      </c>
      <c r="C219" s="315">
        <v>45145.6534953704</v>
      </c>
      <c r="D219" s="315">
        <v>45145.6599652778</v>
      </c>
      <c r="E219" s="314" t="s">
        <v>4624</v>
      </c>
      <c r="F219" s="314" t="s">
        <v>120</v>
      </c>
      <c r="G219" s="316">
        <v>1800000</v>
      </c>
      <c r="H219" t="e">
        <f>VLOOKUP(B:B,代理总表!A:D,3,FALSE)</f>
        <v>#N/A</v>
      </c>
      <c r="I219" t="e">
        <f>VLOOKUP(B:B,代理总表!A:D,4,FALSE)</f>
        <v>#N/A</v>
      </c>
      <c r="J219">
        <f t="shared" si="14"/>
        <v>15</v>
      </c>
      <c r="K219">
        <f t="shared" si="15"/>
        <v>1</v>
      </c>
      <c r="N219" s="318">
        <f t="shared" si="12"/>
        <v>45145</v>
      </c>
      <c r="O219" s="318">
        <f t="shared" si="13"/>
        <v>45145</v>
      </c>
    </row>
    <row r="220" spans="1:15">
      <c r="A220" s="314" t="s">
        <v>2358</v>
      </c>
      <c r="B220" s="314" t="s">
        <v>143</v>
      </c>
      <c r="C220" s="315">
        <v>45145.653900463</v>
      </c>
      <c r="D220" s="315">
        <v>45145.6600578704</v>
      </c>
      <c r="E220" s="314" t="s">
        <v>4624</v>
      </c>
      <c r="F220" s="314" t="s">
        <v>120</v>
      </c>
      <c r="G220" s="316">
        <v>200000</v>
      </c>
      <c r="H220" t="str">
        <f>VLOOKUP(B:B,代理总表!A:D,3,FALSE)</f>
        <v>雨燕直播-越</v>
      </c>
      <c r="I220" t="str">
        <f>VLOOKUP(B:B,代理总表!A:D,4,FALSE)</f>
        <v>雨燕直播-越ffvn66</v>
      </c>
      <c r="J220">
        <f t="shared" si="14"/>
        <v>15</v>
      </c>
      <c r="K220">
        <f t="shared" si="15"/>
        <v>1</v>
      </c>
      <c r="N220" s="318">
        <f t="shared" si="12"/>
        <v>45145</v>
      </c>
      <c r="O220" s="318">
        <f t="shared" si="13"/>
        <v>45145</v>
      </c>
    </row>
    <row r="221" spans="1:15">
      <c r="A221" s="314" t="s">
        <v>4144</v>
      </c>
      <c r="B221" s="314" t="s">
        <v>2121</v>
      </c>
      <c r="C221" s="315">
        <v>45145.0730902778</v>
      </c>
      <c r="D221" s="315">
        <v>45145.657337963</v>
      </c>
      <c r="E221" s="314" t="s">
        <v>4624</v>
      </c>
      <c r="F221" s="314" t="s">
        <v>109</v>
      </c>
      <c r="G221" s="316">
        <v>300</v>
      </c>
      <c r="H221" t="str">
        <f>VLOOKUP(B:B,代理总表!A:D,3,FALSE)</f>
        <v>飞哥雨燕直播</v>
      </c>
      <c r="I221" t="str">
        <f>VLOOKUP(B:B,代理总表!A:D,4,FALSE)</f>
        <v>飞哥雨燕直播ffmk88</v>
      </c>
      <c r="J221">
        <f t="shared" si="14"/>
        <v>15</v>
      </c>
      <c r="K221">
        <f t="shared" si="15"/>
        <v>1</v>
      </c>
      <c r="N221" s="318">
        <f t="shared" si="12"/>
        <v>45145</v>
      </c>
      <c r="O221" s="318">
        <f t="shared" si="13"/>
        <v>45145</v>
      </c>
    </row>
    <row r="222" spans="1:15">
      <c r="A222" s="314" t="s">
        <v>4682</v>
      </c>
      <c r="B222" s="314" t="s">
        <v>137</v>
      </c>
      <c r="C222" s="315">
        <v>45120.0386111111</v>
      </c>
      <c r="D222" s="315">
        <v>45145.6590625</v>
      </c>
      <c r="E222" s="314" t="s">
        <v>4624</v>
      </c>
      <c r="F222" s="314" t="s">
        <v>120</v>
      </c>
      <c r="G222" s="316">
        <v>100000</v>
      </c>
      <c r="H222" t="str">
        <f>VLOOKUP(B:B,代理总表!A:D,3,FALSE)</f>
        <v>雨燕直播-越</v>
      </c>
      <c r="I222" t="str">
        <f>VLOOKUP(B:B,代理总表!A:D,4,FALSE)</f>
        <v>雨燕直播-越ffvn66</v>
      </c>
      <c r="J222">
        <f t="shared" si="14"/>
        <v>15</v>
      </c>
      <c r="K222">
        <f t="shared" si="15"/>
        <v>0</v>
      </c>
      <c r="N222" s="318">
        <f t="shared" si="12"/>
        <v>45120</v>
      </c>
      <c r="O222" s="318">
        <f t="shared" si="13"/>
        <v>45145</v>
      </c>
    </row>
    <row r="223" spans="1:15">
      <c r="A223" s="314" t="s">
        <v>4683</v>
      </c>
      <c r="B223" s="314" t="s">
        <v>805</v>
      </c>
      <c r="C223" s="315">
        <v>45143.7537384259</v>
      </c>
      <c r="D223" s="315">
        <v>45145.6571180556</v>
      </c>
      <c r="E223" s="314" t="s">
        <v>4624</v>
      </c>
      <c r="F223" s="314" t="s">
        <v>109</v>
      </c>
      <c r="G223" s="316">
        <v>200</v>
      </c>
      <c r="H223" t="str">
        <f>VLOOKUP(B:B,代理总表!A:D,3,FALSE)</f>
        <v>飞哥雨燕直播</v>
      </c>
      <c r="I223" t="str">
        <f>VLOOKUP(B:B,代理总表!A:D,4,FALSE)</f>
        <v>飞哥雨燕直播ffmk88</v>
      </c>
      <c r="J223">
        <f t="shared" si="14"/>
        <v>15</v>
      </c>
      <c r="K223">
        <f t="shared" si="15"/>
        <v>0</v>
      </c>
      <c r="N223" s="318">
        <f t="shared" si="12"/>
        <v>45143</v>
      </c>
      <c r="O223" s="318">
        <f t="shared" si="13"/>
        <v>45145</v>
      </c>
    </row>
    <row r="224" spans="1:15">
      <c r="A224" s="314" t="s">
        <v>4684</v>
      </c>
      <c r="B224" s="314" t="s">
        <v>1336</v>
      </c>
      <c r="C224" s="315">
        <v>45144.9379282407</v>
      </c>
      <c r="D224" s="315">
        <v>45145.6603356482</v>
      </c>
      <c r="E224" s="314" t="s">
        <v>4624</v>
      </c>
      <c r="F224" s="314" t="s">
        <v>109</v>
      </c>
      <c r="G224" s="316">
        <v>500</v>
      </c>
      <c r="H224" t="str">
        <f>VLOOKUP(B:B,代理总表!A:D,3,FALSE)</f>
        <v>飞哥雨燕直播</v>
      </c>
      <c r="I224" t="str">
        <f>VLOOKUP(B:B,代理总表!A:D,4,FALSE)</f>
        <v>飞哥雨燕直播ffmk88</v>
      </c>
      <c r="J224">
        <f t="shared" si="14"/>
        <v>15</v>
      </c>
      <c r="K224">
        <f t="shared" si="15"/>
        <v>0</v>
      </c>
      <c r="N224" s="318">
        <f t="shared" si="12"/>
        <v>45144</v>
      </c>
      <c r="O224" s="318">
        <f t="shared" si="13"/>
        <v>45145</v>
      </c>
    </row>
    <row r="225" spans="1:15">
      <c r="A225" s="314" t="s">
        <v>2523</v>
      </c>
      <c r="B225" s="314" t="s">
        <v>450</v>
      </c>
      <c r="C225" s="315">
        <v>45145.6233796296</v>
      </c>
      <c r="D225" s="315">
        <v>45145.6566319444</v>
      </c>
      <c r="E225" s="314" t="s">
        <v>4624</v>
      </c>
      <c r="F225" s="314" t="s">
        <v>109</v>
      </c>
      <c r="G225" s="314">
        <v>1001</v>
      </c>
      <c r="H225" t="str">
        <f>VLOOKUP(B:B,代理总表!A:D,3,FALSE)</f>
        <v>外部代理总线</v>
      </c>
      <c r="I225" t="str">
        <f>VLOOKUP(B:B,代理总表!A:D,4,FALSE)</f>
        <v>外部代理总线zh0808</v>
      </c>
      <c r="J225">
        <f t="shared" si="14"/>
        <v>15</v>
      </c>
      <c r="K225">
        <f t="shared" si="15"/>
        <v>1</v>
      </c>
      <c r="N225" s="318">
        <f t="shared" si="12"/>
        <v>45145</v>
      </c>
      <c r="O225" s="318">
        <f t="shared" si="13"/>
        <v>45145</v>
      </c>
    </row>
    <row r="226" spans="1:15">
      <c r="A226" s="314" t="s">
        <v>4685</v>
      </c>
      <c r="B226" s="314" t="s">
        <v>1737</v>
      </c>
      <c r="C226" s="315">
        <v>45142.9626967593</v>
      </c>
      <c r="D226" s="315">
        <v>45145.6572106481</v>
      </c>
      <c r="E226" s="314" t="s">
        <v>4624</v>
      </c>
      <c r="F226" s="314" t="s">
        <v>109</v>
      </c>
      <c r="G226" s="316">
        <v>500</v>
      </c>
      <c r="H226" t="str">
        <f>VLOOKUP(B:B,代理总表!A:D,3,FALSE)</f>
        <v>Admin邀请</v>
      </c>
      <c r="I226" t="str">
        <f>VLOOKUP(B:B,代理总表!A:D,4,FALSE)</f>
        <v>官网</v>
      </c>
      <c r="J226">
        <f t="shared" si="14"/>
        <v>15</v>
      </c>
      <c r="K226">
        <f t="shared" si="15"/>
        <v>0</v>
      </c>
      <c r="N226" s="318">
        <f t="shared" si="12"/>
        <v>45142</v>
      </c>
      <c r="O226" s="318">
        <f t="shared" si="13"/>
        <v>45145</v>
      </c>
    </row>
    <row r="227" spans="1:15">
      <c r="A227" s="314" t="s">
        <v>2390</v>
      </c>
      <c r="B227" s="314" t="s">
        <v>197</v>
      </c>
      <c r="C227" s="315">
        <v>45145.650787037</v>
      </c>
      <c r="D227" s="315">
        <v>45145.6538541667</v>
      </c>
      <c r="E227" s="314" t="s">
        <v>4624</v>
      </c>
      <c r="F227" s="314" t="s">
        <v>120</v>
      </c>
      <c r="G227" s="316">
        <v>1000000</v>
      </c>
      <c r="H227" t="str">
        <f>VLOOKUP(B:B,代理总表!A:D,3,FALSE)</f>
        <v>雨燕直播-越</v>
      </c>
      <c r="I227" t="str">
        <f>VLOOKUP(B:B,代理总表!A:D,4,FALSE)</f>
        <v>雨燕直播-越ffvn66</v>
      </c>
      <c r="J227">
        <f t="shared" si="14"/>
        <v>15</v>
      </c>
      <c r="K227">
        <f t="shared" si="15"/>
        <v>1</v>
      </c>
      <c r="N227" s="318">
        <f t="shared" si="12"/>
        <v>45145</v>
      </c>
      <c r="O227" s="318">
        <f t="shared" si="13"/>
        <v>45145</v>
      </c>
    </row>
    <row r="228" spans="1:15">
      <c r="A228" s="314" t="s">
        <v>4160</v>
      </c>
      <c r="B228" s="314" t="s">
        <v>550</v>
      </c>
      <c r="C228" s="315">
        <v>45145.0680439815</v>
      </c>
      <c r="D228" s="315">
        <v>45145.6551967593</v>
      </c>
      <c r="E228" s="314" t="s">
        <v>4624</v>
      </c>
      <c r="F228" s="314" t="s">
        <v>120</v>
      </c>
      <c r="G228" s="316">
        <v>60000</v>
      </c>
      <c r="H228" t="str">
        <f>VLOOKUP(B:B,代理总表!A:D,3,FALSE)</f>
        <v>SOCO越南直播</v>
      </c>
      <c r="I228" t="str">
        <f>VLOOKUP(B:B,代理总表!A:D,4,FALSE)</f>
        <v>SOCO越南直播ffvn66</v>
      </c>
      <c r="J228">
        <f t="shared" si="14"/>
        <v>15</v>
      </c>
      <c r="K228">
        <f t="shared" si="15"/>
        <v>1</v>
      </c>
      <c r="N228" s="318">
        <f t="shared" si="12"/>
        <v>45145</v>
      </c>
      <c r="O228" s="318">
        <f t="shared" si="13"/>
        <v>45145</v>
      </c>
    </row>
    <row r="229" spans="1:15">
      <c r="A229" s="314" t="s">
        <v>2412</v>
      </c>
      <c r="B229" s="314" t="s">
        <v>445</v>
      </c>
      <c r="C229" s="315">
        <v>45145.6474768519</v>
      </c>
      <c r="D229" s="315">
        <v>45145.6544560185</v>
      </c>
      <c r="E229" s="314" t="s">
        <v>4624</v>
      </c>
      <c r="F229" s="314" t="s">
        <v>120</v>
      </c>
      <c r="G229" s="316">
        <v>150000</v>
      </c>
      <c r="H229" t="str">
        <f>VLOOKUP(B:B,代理总表!A:D,3,FALSE)</f>
        <v>SOCO越南直播</v>
      </c>
      <c r="I229" t="str">
        <f>VLOOKUP(B:B,代理总表!A:D,4,FALSE)</f>
        <v>SOCO越南直播ffvn66</v>
      </c>
      <c r="J229">
        <f t="shared" si="14"/>
        <v>15</v>
      </c>
      <c r="K229">
        <f t="shared" si="15"/>
        <v>1</v>
      </c>
      <c r="N229" s="318">
        <f t="shared" si="12"/>
        <v>45145</v>
      </c>
      <c r="O229" s="318">
        <f t="shared" si="13"/>
        <v>45145</v>
      </c>
    </row>
    <row r="230" spans="1:15">
      <c r="A230" s="314" t="s">
        <v>3616</v>
      </c>
      <c r="B230" s="314" t="s">
        <v>197</v>
      </c>
      <c r="C230" s="315">
        <v>45145.3184375</v>
      </c>
      <c r="D230" s="315">
        <v>45145.6506018518</v>
      </c>
      <c r="E230" s="314" t="s">
        <v>4624</v>
      </c>
      <c r="F230" s="314" t="s">
        <v>120</v>
      </c>
      <c r="G230" s="316">
        <v>4000000</v>
      </c>
      <c r="H230" t="str">
        <f>VLOOKUP(B:B,代理总表!A:D,3,FALSE)</f>
        <v>雨燕直播-越</v>
      </c>
      <c r="I230" t="str">
        <f>VLOOKUP(B:B,代理总表!A:D,4,FALSE)</f>
        <v>雨燕直播-越ffvn66</v>
      </c>
      <c r="J230">
        <f t="shared" si="14"/>
        <v>15</v>
      </c>
      <c r="K230">
        <f t="shared" si="15"/>
        <v>1</v>
      </c>
      <c r="N230" s="318">
        <f t="shared" si="12"/>
        <v>45145</v>
      </c>
      <c r="O230" s="318">
        <f t="shared" si="13"/>
        <v>45145</v>
      </c>
    </row>
    <row r="231" spans="1:15">
      <c r="A231" s="314" t="s">
        <v>2452</v>
      </c>
      <c r="B231" s="314" t="s">
        <v>370</v>
      </c>
      <c r="C231" s="315">
        <v>45145.6421064815</v>
      </c>
      <c r="D231" s="315">
        <v>45145.6459606482</v>
      </c>
      <c r="E231" s="314" t="s">
        <v>4624</v>
      </c>
      <c r="F231" s="314" t="s">
        <v>109</v>
      </c>
      <c r="G231" s="316">
        <v>100</v>
      </c>
      <c r="H231" t="str">
        <f>VLOOKUP(B:B,代理总表!A:D,3,FALSE)</f>
        <v>GT-骨头</v>
      </c>
      <c r="I231" t="str">
        <f>VLOOKUP(B:B,代理总表!A:D,4,FALSE)</f>
        <v>GT-骨头gt6677</v>
      </c>
      <c r="J231">
        <f t="shared" si="14"/>
        <v>15</v>
      </c>
      <c r="K231">
        <f t="shared" si="15"/>
        <v>1</v>
      </c>
      <c r="N231" s="318">
        <f t="shared" si="12"/>
        <v>45145</v>
      </c>
      <c r="O231" s="318">
        <f t="shared" si="13"/>
        <v>45145</v>
      </c>
    </row>
    <row r="232" spans="1:15">
      <c r="A232" s="314" t="s">
        <v>4686</v>
      </c>
      <c r="B232" s="314" t="s">
        <v>587</v>
      </c>
      <c r="C232" s="315">
        <v>44704.8254166667</v>
      </c>
      <c r="D232" s="315">
        <v>45145.6467592593</v>
      </c>
      <c r="E232" s="314" t="s">
        <v>4624</v>
      </c>
      <c r="F232" s="314" t="s">
        <v>109</v>
      </c>
      <c r="G232" s="316">
        <v>100</v>
      </c>
      <c r="H232" t="str">
        <f>VLOOKUP(B:B,代理总表!A:D,3,FALSE)</f>
        <v>飞哥雨燕直播</v>
      </c>
      <c r="I232" t="str">
        <f>VLOOKUP(B:B,代理总表!A:D,4,FALSE)</f>
        <v>飞哥雨燕直播ffmk88</v>
      </c>
      <c r="J232">
        <f t="shared" si="14"/>
        <v>15</v>
      </c>
      <c r="K232">
        <f t="shared" si="15"/>
        <v>0</v>
      </c>
      <c r="N232" s="318">
        <f t="shared" si="12"/>
        <v>44704</v>
      </c>
      <c r="O232" s="318">
        <f t="shared" si="13"/>
        <v>45145</v>
      </c>
    </row>
    <row r="233" spans="1:15">
      <c r="A233" s="314" t="s">
        <v>2460</v>
      </c>
      <c r="B233" s="314" t="s">
        <v>224</v>
      </c>
      <c r="C233" s="315">
        <v>45145.6392476852</v>
      </c>
      <c r="D233" s="315">
        <v>45145.6444907407</v>
      </c>
      <c r="E233" s="314" t="s">
        <v>4624</v>
      </c>
      <c r="F233" s="314" t="s">
        <v>120</v>
      </c>
      <c r="G233" s="316">
        <v>1000000</v>
      </c>
      <c r="H233" t="str">
        <f>VLOOKUP(B:B,代理总表!A:D,3,FALSE)</f>
        <v>雨燕直播-越</v>
      </c>
      <c r="I233" t="str">
        <f>VLOOKUP(B:B,代理总表!A:D,4,FALSE)</f>
        <v>雨燕直播-越ffvn66</v>
      </c>
      <c r="J233">
        <f t="shared" si="14"/>
        <v>15</v>
      </c>
      <c r="K233">
        <f t="shared" si="15"/>
        <v>1</v>
      </c>
      <c r="N233" s="318">
        <f t="shared" si="12"/>
        <v>45145</v>
      </c>
      <c r="O233" s="318">
        <f t="shared" si="13"/>
        <v>45145</v>
      </c>
    </row>
    <row r="234" spans="1:15">
      <c r="A234" s="314" t="s">
        <v>2477</v>
      </c>
      <c r="B234" s="314" t="s">
        <v>235</v>
      </c>
      <c r="C234" s="315">
        <v>45145.6359259259</v>
      </c>
      <c r="D234" s="315">
        <v>45145.6458217593</v>
      </c>
      <c r="E234" s="314" t="s">
        <v>4624</v>
      </c>
      <c r="F234" s="314" t="s">
        <v>109</v>
      </c>
      <c r="G234" s="316">
        <v>200</v>
      </c>
      <c r="H234" t="str">
        <f>VLOOKUP(B:B,代理总表!A:D,3,FALSE)</f>
        <v>aber</v>
      </c>
      <c r="I234" t="str">
        <f>VLOOKUP(B:B,代理总表!A:D,4,FALSE)</f>
        <v>SEO</v>
      </c>
      <c r="J234">
        <f t="shared" si="14"/>
        <v>15</v>
      </c>
      <c r="K234">
        <f t="shared" si="15"/>
        <v>1</v>
      </c>
      <c r="N234" s="318">
        <f t="shared" si="12"/>
        <v>45145</v>
      </c>
      <c r="O234" s="318">
        <f t="shared" si="13"/>
        <v>45145</v>
      </c>
    </row>
    <row r="235" spans="1:15">
      <c r="A235" s="314" t="s">
        <v>2574</v>
      </c>
      <c r="B235" s="314" t="s">
        <v>197</v>
      </c>
      <c r="C235" s="315">
        <v>45145.6100578704</v>
      </c>
      <c r="D235" s="315">
        <v>45145.6412384259</v>
      </c>
      <c r="E235" s="314" t="s">
        <v>4624</v>
      </c>
      <c r="F235" s="314" t="s">
        <v>120</v>
      </c>
      <c r="G235" s="316">
        <v>5000000</v>
      </c>
      <c r="H235" t="str">
        <f>VLOOKUP(B:B,代理总表!A:D,3,FALSE)</f>
        <v>雨燕直播-越</v>
      </c>
      <c r="I235" t="str">
        <f>VLOOKUP(B:B,代理总表!A:D,4,FALSE)</f>
        <v>雨燕直播-越ffvn66</v>
      </c>
      <c r="J235">
        <f t="shared" si="14"/>
        <v>15</v>
      </c>
      <c r="K235">
        <f t="shared" si="15"/>
        <v>1</v>
      </c>
      <c r="N235" s="318">
        <f t="shared" si="12"/>
        <v>45145</v>
      </c>
      <c r="O235" s="318">
        <f t="shared" si="13"/>
        <v>45145</v>
      </c>
    </row>
    <row r="236" spans="1:15">
      <c r="A236" s="314" t="s">
        <v>4687</v>
      </c>
      <c r="B236" s="314" t="s">
        <v>754</v>
      </c>
      <c r="C236" s="315">
        <v>45143.1552777778</v>
      </c>
      <c r="D236" s="315">
        <v>45145.6400462963</v>
      </c>
      <c r="E236" s="314" t="s">
        <v>4624</v>
      </c>
      <c r="F236" s="314" t="s">
        <v>109</v>
      </c>
      <c r="G236" s="316">
        <v>100</v>
      </c>
      <c r="H236" t="str">
        <f>VLOOKUP(B:B,代理总表!A:D,3,FALSE)</f>
        <v>SEO掉线用户转线</v>
      </c>
      <c r="I236" t="str">
        <f>VLOOKUP(B:B,代理总表!A:D,4,FALSE)</f>
        <v>SEO</v>
      </c>
      <c r="J236">
        <f t="shared" si="14"/>
        <v>15</v>
      </c>
      <c r="K236">
        <f t="shared" si="15"/>
        <v>0</v>
      </c>
      <c r="N236" s="318">
        <f t="shared" si="12"/>
        <v>45143</v>
      </c>
      <c r="O236" s="318">
        <f t="shared" si="13"/>
        <v>45145</v>
      </c>
    </row>
    <row r="237" spans="1:15">
      <c r="A237" s="314" t="s">
        <v>2562</v>
      </c>
      <c r="B237" s="314" t="s">
        <v>1406</v>
      </c>
      <c r="C237" s="315">
        <v>45145.6121759259</v>
      </c>
      <c r="D237" s="315">
        <v>45145.6399537037</v>
      </c>
      <c r="E237" s="314" t="s">
        <v>4624</v>
      </c>
      <c r="F237" s="314" t="s">
        <v>109</v>
      </c>
      <c r="G237" s="316">
        <v>1000</v>
      </c>
      <c r="H237" t="str">
        <f>VLOOKUP(B:B,代理总表!A:D,3,FALSE)</f>
        <v>原电销使用</v>
      </c>
      <c r="I237" t="str">
        <f>VLOOKUP(B:B,代理总表!A:D,4,FALSE)</f>
        <v>原电销使用</v>
      </c>
      <c r="J237">
        <f t="shared" si="14"/>
        <v>15</v>
      </c>
      <c r="K237">
        <f t="shared" si="15"/>
        <v>1</v>
      </c>
      <c r="N237" s="318">
        <f t="shared" si="12"/>
        <v>45145</v>
      </c>
      <c r="O237" s="318">
        <f t="shared" si="13"/>
        <v>45145</v>
      </c>
    </row>
    <row r="238" spans="1:15">
      <c r="A238" s="314" t="s">
        <v>3015</v>
      </c>
      <c r="B238" s="314" t="s">
        <v>143</v>
      </c>
      <c r="C238" s="315">
        <v>45145.5074768519</v>
      </c>
      <c r="D238" s="315">
        <v>45145.6363657407</v>
      </c>
      <c r="E238" s="314" t="s">
        <v>4624</v>
      </c>
      <c r="F238" s="314" t="s">
        <v>120</v>
      </c>
      <c r="G238" s="316">
        <v>250000</v>
      </c>
      <c r="H238" t="str">
        <f>VLOOKUP(B:B,代理总表!A:D,3,FALSE)</f>
        <v>雨燕直播-越</v>
      </c>
      <c r="I238" t="str">
        <f>VLOOKUP(B:B,代理总表!A:D,4,FALSE)</f>
        <v>雨燕直播-越ffvn66</v>
      </c>
      <c r="J238">
        <f t="shared" si="14"/>
        <v>15</v>
      </c>
      <c r="K238">
        <f t="shared" si="15"/>
        <v>1</v>
      </c>
      <c r="N238" s="318">
        <f t="shared" si="12"/>
        <v>45145</v>
      </c>
      <c r="O238" s="318">
        <f t="shared" si="13"/>
        <v>45145</v>
      </c>
    </row>
    <row r="239" spans="1:15">
      <c r="A239" s="314" t="s">
        <v>3323</v>
      </c>
      <c r="B239" s="314" t="s">
        <v>526</v>
      </c>
      <c r="C239" s="315">
        <v>45145.4443171296</v>
      </c>
      <c r="D239" s="315">
        <v>45145.6373958333</v>
      </c>
      <c r="E239" s="314" t="s">
        <v>4624</v>
      </c>
      <c r="F239" s="314" t="s">
        <v>120</v>
      </c>
      <c r="G239" s="316">
        <v>100000</v>
      </c>
      <c r="H239" t="str">
        <f>VLOOKUP(B:B,代理总表!A:D,3,FALSE)</f>
        <v>SOCO越南直播</v>
      </c>
      <c r="I239" t="str">
        <f>VLOOKUP(B:B,代理总表!A:D,4,FALSE)</f>
        <v>SOCO越南直播ffvn66</v>
      </c>
      <c r="J239">
        <f t="shared" si="14"/>
        <v>15</v>
      </c>
      <c r="K239">
        <f t="shared" si="15"/>
        <v>1</v>
      </c>
      <c r="N239" s="318">
        <f t="shared" si="12"/>
        <v>45145</v>
      </c>
      <c r="O239" s="318">
        <f t="shared" si="13"/>
        <v>45145</v>
      </c>
    </row>
    <row r="240" spans="1:15">
      <c r="A240" s="314" t="s">
        <v>3285</v>
      </c>
      <c r="B240" s="314" t="s">
        <v>1513</v>
      </c>
      <c r="C240" s="315">
        <v>45145.453287037</v>
      </c>
      <c r="D240" s="315">
        <v>45145.6346412037</v>
      </c>
      <c r="E240" s="314" t="s">
        <v>4624</v>
      </c>
      <c r="F240" s="314" t="s">
        <v>109</v>
      </c>
      <c r="G240" s="316">
        <v>450</v>
      </c>
      <c r="H240" t="str">
        <f>VLOOKUP(B:B,代理总表!A:D,3,FALSE)</f>
        <v>GT-骨头</v>
      </c>
      <c r="I240" t="str">
        <f>VLOOKUP(B:B,代理总表!A:D,4,FALSE)</f>
        <v>GT-骨头gt6677</v>
      </c>
      <c r="J240">
        <f t="shared" si="14"/>
        <v>15</v>
      </c>
      <c r="K240">
        <f t="shared" si="15"/>
        <v>1</v>
      </c>
      <c r="N240" s="318">
        <f t="shared" si="12"/>
        <v>45145</v>
      </c>
      <c r="O240" s="318">
        <f t="shared" si="13"/>
        <v>45145</v>
      </c>
    </row>
    <row r="241" spans="1:15">
      <c r="A241" s="314" t="s">
        <v>2510</v>
      </c>
      <c r="B241" s="314" t="s">
        <v>143</v>
      </c>
      <c r="C241" s="315">
        <v>45145.6269097222</v>
      </c>
      <c r="D241" s="315">
        <v>45145.6389583333</v>
      </c>
      <c r="E241" s="314" t="s">
        <v>4624</v>
      </c>
      <c r="F241" s="314" t="s">
        <v>120</v>
      </c>
      <c r="G241" s="316">
        <v>1000000</v>
      </c>
      <c r="H241" t="str">
        <f>VLOOKUP(B:B,代理总表!A:D,3,FALSE)</f>
        <v>雨燕直播-越</v>
      </c>
      <c r="I241" t="str">
        <f>VLOOKUP(B:B,代理总表!A:D,4,FALSE)</f>
        <v>雨燕直播-越ffvn66</v>
      </c>
      <c r="J241">
        <f t="shared" si="14"/>
        <v>15</v>
      </c>
      <c r="K241">
        <f t="shared" si="15"/>
        <v>1</v>
      </c>
      <c r="N241" s="318">
        <f t="shared" si="12"/>
        <v>45145</v>
      </c>
      <c r="O241" s="318">
        <f t="shared" si="13"/>
        <v>45145</v>
      </c>
    </row>
    <row r="242" spans="1:15">
      <c r="A242" s="314" t="s">
        <v>3277</v>
      </c>
      <c r="B242" s="314" t="s">
        <v>172</v>
      </c>
      <c r="C242" s="315">
        <v>45145.4546527778</v>
      </c>
      <c r="D242" s="315">
        <v>45145.647974537</v>
      </c>
      <c r="E242" s="314" t="s">
        <v>4624</v>
      </c>
      <c r="F242" s="314" t="s">
        <v>120</v>
      </c>
      <c r="G242" s="316">
        <v>500000</v>
      </c>
      <c r="H242" t="str">
        <f>VLOOKUP(B:B,代理总表!A:D,3,FALSE)</f>
        <v>雨燕直播-越</v>
      </c>
      <c r="I242" t="str">
        <f>VLOOKUP(B:B,代理总表!A:D,4,FALSE)</f>
        <v>雨燕直播-越ffvn66</v>
      </c>
      <c r="J242">
        <f t="shared" si="14"/>
        <v>15</v>
      </c>
      <c r="K242">
        <f t="shared" si="15"/>
        <v>1</v>
      </c>
      <c r="N242" s="318">
        <f t="shared" si="12"/>
        <v>45145</v>
      </c>
      <c r="O242" s="318">
        <f t="shared" si="13"/>
        <v>45145</v>
      </c>
    </row>
    <row r="243" spans="1:15">
      <c r="A243" s="314" t="s">
        <v>4688</v>
      </c>
      <c r="B243" s="314" t="s">
        <v>4627</v>
      </c>
      <c r="C243" s="315">
        <v>44836.1379282407</v>
      </c>
      <c r="D243" s="315">
        <v>45145.6375810185</v>
      </c>
      <c r="E243" s="314" t="s">
        <v>4624</v>
      </c>
      <c r="F243" s="314" t="s">
        <v>109</v>
      </c>
      <c r="G243" s="316">
        <v>2000</v>
      </c>
      <c r="H243" t="str">
        <f>VLOOKUP(B:B,代理总表!A:D,3,FALSE)</f>
        <v>martin</v>
      </c>
      <c r="I243" t="str">
        <f>VLOOKUP(B:B,代理总表!A:D,4,FALSE)</f>
        <v>SEO</v>
      </c>
      <c r="J243">
        <f t="shared" si="14"/>
        <v>15</v>
      </c>
      <c r="K243">
        <f t="shared" si="15"/>
        <v>0</v>
      </c>
      <c r="N243" s="318">
        <f t="shared" si="12"/>
        <v>44836</v>
      </c>
      <c r="O243" s="318">
        <f t="shared" si="13"/>
        <v>45145</v>
      </c>
    </row>
    <row r="244" spans="1:15">
      <c r="A244" s="314" t="s">
        <v>2507</v>
      </c>
      <c r="B244" s="314" t="s">
        <v>143</v>
      </c>
      <c r="C244" s="315">
        <v>45145.6269907407</v>
      </c>
      <c r="D244" s="315">
        <v>45145.6362268518</v>
      </c>
      <c r="E244" s="314" t="s">
        <v>4624</v>
      </c>
      <c r="F244" s="314" t="s">
        <v>120</v>
      </c>
      <c r="G244" s="316">
        <v>100000</v>
      </c>
      <c r="H244" t="str">
        <f>VLOOKUP(B:B,代理总表!A:D,3,FALSE)</f>
        <v>雨燕直播-越</v>
      </c>
      <c r="I244" t="str">
        <f>VLOOKUP(B:B,代理总表!A:D,4,FALSE)</f>
        <v>雨燕直播-越ffvn66</v>
      </c>
      <c r="J244">
        <f t="shared" si="14"/>
        <v>15</v>
      </c>
      <c r="K244">
        <f t="shared" si="15"/>
        <v>1</v>
      </c>
      <c r="N244" s="318">
        <f t="shared" si="12"/>
        <v>45145</v>
      </c>
      <c r="O244" s="318">
        <f t="shared" si="13"/>
        <v>45145</v>
      </c>
    </row>
    <row r="245" spans="1:15">
      <c r="A245" s="314" t="s">
        <v>4689</v>
      </c>
      <c r="B245" s="314" t="s">
        <v>805</v>
      </c>
      <c r="C245" s="315">
        <v>45144.9892592593</v>
      </c>
      <c r="D245" s="315">
        <v>45145.6299189815</v>
      </c>
      <c r="E245" s="314" t="s">
        <v>4624</v>
      </c>
      <c r="F245" s="314" t="s">
        <v>109</v>
      </c>
      <c r="G245" s="316">
        <v>300</v>
      </c>
      <c r="H245" t="str">
        <f>VLOOKUP(B:B,代理总表!A:D,3,FALSE)</f>
        <v>飞哥雨燕直播</v>
      </c>
      <c r="I245" t="str">
        <f>VLOOKUP(B:B,代理总表!A:D,4,FALSE)</f>
        <v>飞哥雨燕直播ffmk88</v>
      </c>
      <c r="J245">
        <f t="shared" si="14"/>
        <v>15</v>
      </c>
      <c r="K245">
        <f t="shared" si="15"/>
        <v>0</v>
      </c>
      <c r="N245" s="318">
        <f t="shared" si="12"/>
        <v>45144</v>
      </c>
      <c r="O245" s="318">
        <f t="shared" si="13"/>
        <v>45145</v>
      </c>
    </row>
    <row r="246" spans="1:15">
      <c r="A246" s="314" t="s">
        <v>2855</v>
      </c>
      <c r="B246" s="314" t="s">
        <v>143</v>
      </c>
      <c r="C246" s="315">
        <v>45145.5473842593</v>
      </c>
      <c r="D246" s="315">
        <v>45145.6299537037</v>
      </c>
      <c r="E246" s="314" t="s">
        <v>4624</v>
      </c>
      <c r="F246" s="314" t="s">
        <v>120</v>
      </c>
      <c r="G246" s="316">
        <v>200000</v>
      </c>
      <c r="H246" t="str">
        <f>VLOOKUP(B:B,代理总表!A:D,3,FALSE)</f>
        <v>雨燕直播-越</v>
      </c>
      <c r="I246" t="str">
        <f>VLOOKUP(B:B,代理总表!A:D,4,FALSE)</f>
        <v>雨燕直播-越ffvn66</v>
      </c>
      <c r="J246">
        <f t="shared" si="14"/>
        <v>15</v>
      </c>
      <c r="K246">
        <f t="shared" si="15"/>
        <v>1</v>
      </c>
      <c r="N246" s="318">
        <f t="shared" si="12"/>
        <v>45145</v>
      </c>
      <c r="O246" s="318">
        <f t="shared" si="13"/>
        <v>45145</v>
      </c>
    </row>
    <row r="247" spans="1:15">
      <c r="A247" s="314" t="s">
        <v>2790</v>
      </c>
      <c r="B247" s="314" t="s">
        <v>143</v>
      </c>
      <c r="C247" s="315">
        <v>45145.5589583333</v>
      </c>
      <c r="D247" s="315">
        <v>45145.6286805556</v>
      </c>
      <c r="E247" s="314" t="s">
        <v>4624</v>
      </c>
      <c r="F247" s="314" t="s">
        <v>120</v>
      </c>
      <c r="G247" s="316">
        <v>10000000</v>
      </c>
      <c r="H247" t="str">
        <f>VLOOKUP(B:B,代理总表!A:D,3,FALSE)</f>
        <v>雨燕直播-越</v>
      </c>
      <c r="I247" t="str">
        <f>VLOOKUP(B:B,代理总表!A:D,4,FALSE)</f>
        <v>雨燕直播-越ffvn66</v>
      </c>
      <c r="J247">
        <f t="shared" si="14"/>
        <v>15</v>
      </c>
      <c r="K247">
        <f t="shared" si="15"/>
        <v>1</v>
      </c>
      <c r="N247" s="318">
        <f t="shared" si="12"/>
        <v>45145</v>
      </c>
      <c r="O247" s="318">
        <f t="shared" si="13"/>
        <v>45145</v>
      </c>
    </row>
    <row r="248" spans="1:15">
      <c r="A248" s="314" t="s">
        <v>4690</v>
      </c>
      <c r="B248" s="314" t="s">
        <v>505</v>
      </c>
      <c r="C248" s="315">
        <v>45019.9678935185</v>
      </c>
      <c r="D248" s="315">
        <v>45145.6270486111</v>
      </c>
      <c r="E248" s="314" t="s">
        <v>4624</v>
      </c>
      <c r="F248" s="314" t="s">
        <v>120</v>
      </c>
      <c r="G248" s="316">
        <v>500000</v>
      </c>
      <c r="H248" t="str">
        <f>VLOOKUP(B:B,代理总表!A:D,3,FALSE)</f>
        <v>SOCO越南直播</v>
      </c>
      <c r="I248" t="str">
        <f>VLOOKUP(B:B,代理总表!A:D,4,FALSE)</f>
        <v>SOCO越南直播ffvn66</v>
      </c>
      <c r="J248">
        <f t="shared" si="14"/>
        <v>15</v>
      </c>
      <c r="K248">
        <f t="shared" si="15"/>
        <v>0</v>
      </c>
      <c r="N248" s="318">
        <f t="shared" si="12"/>
        <v>45019</v>
      </c>
      <c r="O248" s="318">
        <f t="shared" si="13"/>
        <v>45145</v>
      </c>
    </row>
    <row r="249" spans="1:15">
      <c r="A249" s="314" t="s">
        <v>4691</v>
      </c>
      <c r="B249" s="314" t="s">
        <v>754</v>
      </c>
      <c r="C249" s="315">
        <v>45143.497974537</v>
      </c>
      <c r="D249" s="315">
        <v>45145.6287384259</v>
      </c>
      <c r="E249" s="314" t="s">
        <v>4624</v>
      </c>
      <c r="F249" s="314" t="s">
        <v>109</v>
      </c>
      <c r="G249" s="316">
        <v>300</v>
      </c>
      <c r="H249" t="str">
        <f>VLOOKUP(B:B,代理总表!A:D,3,FALSE)</f>
        <v>SEO掉线用户转线</v>
      </c>
      <c r="I249" t="str">
        <f>VLOOKUP(B:B,代理总表!A:D,4,FALSE)</f>
        <v>SEO</v>
      </c>
      <c r="J249">
        <f t="shared" si="14"/>
        <v>15</v>
      </c>
      <c r="K249">
        <f t="shared" si="15"/>
        <v>0</v>
      </c>
      <c r="N249" s="318">
        <f t="shared" si="12"/>
        <v>45143</v>
      </c>
      <c r="O249" s="318">
        <f t="shared" si="13"/>
        <v>45145</v>
      </c>
    </row>
    <row r="250" spans="1:15">
      <c r="A250" s="314" t="s">
        <v>4339</v>
      </c>
      <c r="B250" s="314" t="s">
        <v>197</v>
      </c>
      <c r="C250" s="315">
        <v>45145.0353472222</v>
      </c>
      <c r="D250" s="315">
        <v>45145.6279050926</v>
      </c>
      <c r="E250" s="314" t="s">
        <v>4624</v>
      </c>
      <c r="F250" s="314" t="s">
        <v>120</v>
      </c>
      <c r="G250" s="316">
        <v>1050000</v>
      </c>
      <c r="H250" t="str">
        <f>VLOOKUP(B:B,代理总表!A:D,3,FALSE)</f>
        <v>雨燕直播-越</v>
      </c>
      <c r="I250" t="str">
        <f>VLOOKUP(B:B,代理总表!A:D,4,FALSE)</f>
        <v>雨燕直播-越ffvn66</v>
      </c>
      <c r="J250">
        <f t="shared" si="14"/>
        <v>15</v>
      </c>
      <c r="K250">
        <f t="shared" si="15"/>
        <v>1</v>
      </c>
      <c r="N250" s="318">
        <f t="shared" si="12"/>
        <v>45145</v>
      </c>
      <c r="O250" s="318">
        <f t="shared" si="13"/>
        <v>45145</v>
      </c>
    </row>
    <row r="251" spans="1:15">
      <c r="A251" s="314" t="s">
        <v>4692</v>
      </c>
      <c r="B251" s="314" t="s">
        <v>180</v>
      </c>
      <c r="C251" s="315">
        <v>45144.6542013889</v>
      </c>
      <c r="D251" s="315">
        <v>45145.6359722222</v>
      </c>
      <c r="E251" s="314" t="s">
        <v>4624</v>
      </c>
      <c r="F251" s="314" t="s">
        <v>109</v>
      </c>
      <c r="G251" s="316">
        <v>500</v>
      </c>
      <c r="H251" t="str">
        <f>VLOOKUP(B:B,代理总表!A:D,3,FALSE)</f>
        <v>hugo</v>
      </c>
      <c r="I251" t="str">
        <f>VLOOKUP(B:B,代理总表!A:D,4,FALSE)</f>
        <v>SEO</v>
      </c>
      <c r="J251">
        <f t="shared" si="14"/>
        <v>15</v>
      </c>
      <c r="K251">
        <f t="shared" si="15"/>
        <v>0</v>
      </c>
      <c r="N251" s="318">
        <f t="shared" si="12"/>
        <v>45144</v>
      </c>
      <c r="O251" s="318">
        <f t="shared" si="13"/>
        <v>45145</v>
      </c>
    </row>
    <row r="252" spans="1:15">
      <c r="A252" s="314" t="s">
        <v>2577</v>
      </c>
      <c r="B252" s="314" t="s">
        <v>1283</v>
      </c>
      <c r="C252" s="315">
        <v>45145.6097916667</v>
      </c>
      <c r="D252" s="315">
        <v>45145.6234606481</v>
      </c>
      <c r="E252" s="314" t="s">
        <v>4624</v>
      </c>
      <c r="F252" s="314" t="s">
        <v>109</v>
      </c>
      <c r="G252" s="316">
        <v>1000</v>
      </c>
      <c r="H252" t="str">
        <f>VLOOKUP(B:B,代理总表!A:D,3,FALSE)</f>
        <v>GT-B直播</v>
      </c>
      <c r="I252" t="str">
        <f>VLOOKUP(B:B,代理总表!A:D,4,FALSE)</f>
        <v>B直播gt6688</v>
      </c>
      <c r="J252">
        <f t="shared" si="14"/>
        <v>14</v>
      </c>
      <c r="K252">
        <f t="shared" si="15"/>
        <v>1</v>
      </c>
      <c r="N252" s="318">
        <f t="shared" si="12"/>
        <v>45145</v>
      </c>
      <c r="O252" s="318">
        <f t="shared" si="13"/>
        <v>45145</v>
      </c>
    </row>
    <row r="253" spans="1:15">
      <c r="A253" s="314" t="s">
        <v>2567</v>
      </c>
      <c r="B253" s="314" t="s">
        <v>143</v>
      </c>
      <c r="C253" s="315">
        <v>45145.6105324074</v>
      </c>
      <c r="D253" s="315">
        <v>45145.6296527778</v>
      </c>
      <c r="E253" s="314" t="s">
        <v>4624</v>
      </c>
      <c r="F253" s="314" t="s">
        <v>120</v>
      </c>
      <c r="G253" s="316">
        <v>800000</v>
      </c>
      <c r="H253" t="str">
        <f>VLOOKUP(B:B,代理总表!A:D,3,FALSE)</f>
        <v>雨燕直播-越</v>
      </c>
      <c r="I253" t="str">
        <f>VLOOKUP(B:B,代理总表!A:D,4,FALSE)</f>
        <v>雨燕直播-越ffvn66</v>
      </c>
      <c r="J253">
        <f t="shared" si="14"/>
        <v>15</v>
      </c>
      <c r="K253">
        <f t="shared" si="15"/>
        <v>1</v>
      </c>
      <c r="N253" s="318">
        <f t="shared" si="12"/>
        <v>45145</v>
      </c>
      <c r="O253" s="318">
        <f t="shared" si="13"/>
        <v>45145</v>
      </c>
    </row>
    <row r="254" spans="1:15">
      <c r="A254" s="314" t="s">
        <v>2551</v>
      </c>
      <c r="B254" s="314" t="s">
        <v>294</v>
      </c>
      <c r="C254" s="315">
        <v>45145.6147685185</v>
      </c>
      <c r="D254" s="315">
        <v>45145.6240856481</v>
      </c>
      <c r="E254" s="314" t="s">
        <v>4624</v>
      </c>
      <c r="F254" s="314" t="s">
        <v>109</v>
      </c>
      <c r="G254" s="316">
        <v>200</v>
      </c>
      <c r="H254" t="str">
        <f>VLOOKUP(B:B,代理总表!A:D,3,FALSE)</f>
        <v>DK</v>
      </c>
      <c r="I254" t="str">
        <f>VLOOKUP(B:B,代理总表!A:D,4,FALSE)</f>
        <v>SEO</v>
      </c>
      <c r="J254">
        <f t="shared" si="14"/>
        <v>14</v>
      </c>
      <c r="K254">
        <f t="shared" si="15"/>
        <v>1</v>
      </c>
      <c r="N254" s="318">
        <f t="shared" si="12"/>
        <v>45145</v>
      </c>
      <c r="O254" s="318">
        <f t="shared" si="13"/>
        <v>45145</v>
      </c>
    </row>
    <row r="255" spans="1:15">
      <c r="A255" s="314" t="s">
        <v>3026</v>
      </c>
      <c r="B255" s="314" t="s">
        <v>103</v>
      </c>
      <c r="C255" s="315">
        <v>45145.5056134259</v>
      </c>
      <c r="D255" s="315">
        <v>45145.623125</v>
      </c>
      <c r="E255" s="314" t="s">
        <v>4624</v>
      </c>
      <c r="F255" s="314" t="s">
        <v>120</v>
      </c>
      <c r="G255" s="316">
        <v>150000</v>
      </c>
      <c r="H255" t="str">
        <f>VLOOKUP(B:B,代理总表!A:D,3,FALSE)</f>
        <v>官网</v>
      </c>
      <c r="I255" t="str">
        <f>VLOOKUP(B:B,代理总表!A:D,4,FALSE)</f>
        <v>官网</v>
      </c>
      <c r="J255">
        <f t="shared" si="14"/>
        <v>14</v>
      </c>
      <c r="K255">
        <f t="shared" si="15"/>
        <v>1</v>
      </c>
      <c r="N255" s="318">
        <f t="shared" si="12"/>
        <v>45145</v>
      </c>
      <c r="O255" s="318">
        <f t="shared" si="13"/>
        <v>45145</v>
      </c>
    </row>
    <row r="256" spans="1:15">
      <c r="A256" s="314" t="s">
        <v>4693</v>
      </c>
      <c r="B256" s="314" t="s">
        <v>103</v>
      </c>
      <c r="C256" s="315">
        <v>45144.8555324074</v>
      </c>
      <c r="D256" s="315">
        <v>45145.6258912037</v>
      </c>
      <c r="E256" s="314" t="s">
        <v>4624</v>
      </c>
      <c r="F256" s="314" t="s">
        <v>109</v>
      </c>
      <c r="G256" s="316">
        <v>200</v>
      </c>
      <c r="H256" t="str">
        <f>VLOOKUP(B:B,代理总表!A:D,3,FALSE)</f>
        <v>官网</v>
      </c>
      <c r="I256" t="str">
        <f>VLOOKUP(B:B,代理总表!A:D,4,FALSE)</f>
        <v>官网</v>
      </c>
      <c r="J256">
        <f t="shared" si="14"/>
        <v>15</v>
      </c>
      <c r="K256">
        <f t="shared" si="15"/>
        <v>0</v>
      </c>
      <c r="N256" s="318">
        <f t="shared" si="12"/>
        <v>45144</v>
      </c>
      <c r="O256" s="318">
        <f t="shared" si="13"/>
        <v>45145</v>
      </c>
    </row>
    <row r="257" spans="1:15">
      <c r="A257" s="314" t="s">
        <v>4694</v>
      </c>
      <c r="B257" s="314" t="s">
        <v>754</v>
      </c>
      <c r="C257" s="315">
        <v>45142.6214467593</v>
      </c>
      <c r="D257" s="315">
        <v>45145.6206481481</v>
      </c>
      <c r="E257" s="314" t="s">
        <v>4624</v>
      </c>
      <c r="F257" s="314" t="s">
        <v>109</v>
      </c>
      <c r="G257" s="316">
        <v>100</v>
      </c>
      <c r="H257" t="str">
        <f>VLOOKUP(B:B,代理总表!A:D,3,FALSE)</f>
        <v>SEO掉线用户转线</v>
      </c>
      <c r="I257" t="str">
        <f>VLOOKUP(B:B,代理总表!A:D,4,FALSE)</f>
        <v>SEO</v>
      </c>
      <c r="J257">
        <f t="shared" si="14"/>
        <v>14</v>
      </c>
      <c r="K257">
        <f t="shared" si="15"/>
        <v>0</v>
      </c>
      <c r="N257" s="318">
        <f t="shared" si="12"/>
        <v>45142</v>
      </c>
      <c r="O257" s="318">
        <f t="shared" si="13"/>
        <v>45145</v>
      </c>
    </row>
    <row r="258" spans="1:15">
      <c r="A258" s="314" t="s">
        <v>2619</v>
      </c>
      <c r="B258" s="314" t="s">
        <v>116</v>
      </c>
      <c r="C258" s="315">
        <v>45145.5997916667</v>
      </c>
      <c r="D258" s="315">
        <v>45145.6209143518</v>
      </c>
      <c r="E258" s="314" t="s">
        <v>4624</v>
      </c>
      <c r="F258" s="314" t="s">
        <v>120</v>
      </c>
      <c r="G258" s="316">
        <v>50000</v>
      </c>
      <c r="H258" t="str">
        <f>VLOOKUP(B:B,代理总表!A:D,3,FALSE)</f>
        <v>外部代理总线</v>
      </c>
      <c r="I258" t="str">
        <f>VLOOKUP(B:B,代理总表!A:D,4,FALSE)</f>
        <v>外部代理总线zh0808</v>
      </c>
      <c r="J258">
        <f t="shared" si="14"/>
        <v>14</v>
      </c>
      <c r="K258">
        <f t="shared" si="15"/>
        <v>1</v>
      </c>
      <c r="N258" s="318">
        <f t="shared" ref="N258:N321" si="16">INT(C258)</f>
        <v>45145</v>
      </c>
      <c r="O258" s="318">
        <f t="shared" ref="O258:O321" si="17">INT(D258)</f>
        <v>45145</v>
      </c>
    </row>
    <row r="259" spans="1:15">
      <c r="A259" s="314" t="s">
        <v>2701</v>
      </c>
      <c r="B259" s="314" t="s">
        <v>522</v>
      </c>
      <c r="C259" s="315">
        <v>45145.5805092593</v>
      </c>
      <c r="D259" s="315">
        <v>45145.6153356481</v>
      </c>
      <c r="E259" s="314" t="s">
        <v>4624</v>
      </c>
      <c r="F259" s="314" t="s">
        <v>120</v>
      </c>
      <c r="G259" s="316">
        <v>50000</v>
      </c>
      <c r="H259" t="str">
        <f>VLOOKUP(B:B,代理总表!A:D,3,FALSE)</f>
        <v>SOCO越南直播</v>
      </c>
      <c r="I259" t="str">
        <f>VLOOKUP(B:B,代理总表!A:D,4,FALSE)</f>
        <v>SOCO越南直播ffvn66</v>
      </c>
      <c r="J259">
        <f t="shared" ref="J259:J322" si="18">HOUR(D259)</f>
        <v>14</v>
      </c>
      <c r="K259">
        <f t="shared" ref="K259:K322" si="19">IF(N259=O259,1,0)</f>
        <v>1</v>
      </c>
      <c r="N259" s="318">
        <f t="shared" si="16"/>
        <v>45145</v>
      </c>
      <c r="O259" s="318">
        <f t="shared" si="17"/>
        <v>45145</v>
      </c>
    </row>
    <row r="260" spans="1:15">
      <c r="A260" s="314" t="s">
        <v>2593</v>
      </c>
      <c r="B260" s="314" t="s">
        <v>224</v>
      </c>
      <c r="C260" s="315">
        <v>45145.6017824074</v>
      </c>
      <c r="D260" s="315">
        <v>45145.6097916667</v>
      </c>
      <c r="E260" s="314" t="s">
        <v>4624</v>
      </c>
      <c r="F260" s="314" t="s">
        <v>120</v>
      </c>
      <c r="G260" s="316">
        <v>50000</v>
      </c>
      <c r="H260" t="str">
        <f>VLOOKUP(B:B,代理总表!A:D,3,FALSE)</f>
        <v>雨燕直播-越</v>
      </c>
      <c r="I260" t="str">
        <f>VLOOKUP(B:B,代理总表!A:D,4,FALSE)</f>
        <v>雨燕直播-越ffvn66</v>
      </c>
      <c r="J260">
        <f t="shared" si="18"/>
        <v>14</v>
      </c>
      <c r="K260">
        <f t="shared" si="19"/>
        <v>1</v>
      </c>
      <c r="N260" s="318">
        <f t="shared" si="16"/>
        <v>45145</v>
      </c>
      <c r="O260" s="318">
        <f t="shared" si="17"/>
        <v>45145</v>
      </c>
    </row>
    <row r="261" spans="1:15">
      <c r="A261" s="314" t="s">
        <v>4695</v>
      </c>
      <c r="B261" s="314" t="s">
        <v>172</v>
      </c>
      <c r="C261" s="315">
        <v>45141.6627430556</v>
      </c>
      <c r="D261" s="315">
        <v>45145.6092476852</v>
      </c>
      <c r="E261" s="314" t="s">
        <v>4624</v>
      </c>
      <c r="F261" s="314" t="s">
        <v>120</v>
      </c>
      <c r="G261" s="316">
        <v>10000000</v>
      </c>
      <c r="H261" t="str">
        <f>VLOOKUP(B:B,代理总表!A:D,3,FALSE)</f>
        <v>雨燕直播-越</v>
      </c>
      <c r="I261" t="str">
        <f>VLOOKUP(B:B,代理总表!A:D,4,FALSE)</f>
        <v>雨燕直播-越ffvn66</v>
      </c>
      <c r="J261">
        <f t="shared" si="18"/>
        <v>14</v>
      </c>
      <c r="K261">
        <f t="shared" si="19"/>
        <v>0</v>
      </c>
      <c r="N261" s="318">
        <f t="shared" si="16"/>
        <v>45141</v>
      </c>
      <c r="O261" s="318">
        <f t="shared" si="17"/>
        <v>45145</v>
      </c>
    </row>
    <row r="262" spans="1:15">
      <c r="A262" s="314" t="s">
        <v>4696</v>
      </c>
      <c r="B262" s="314" t="s">
        <v>137</v>
      </c>
      <c r="C262" s="315">
        <v>45144.7436805556</v>
      </c>
      <c r="D262" s="315">
        <v>45145.6058101852</v>
      </c>
      <c r="E262" s="314" t="s">
        <v>4624</v>
      </c>
      <c r="F262" s="314" t="s">
        <v>120</v>
      </c>
      <c r="G262" s="316">
        <v>50000</v>
      </c>
      <c r="H262" t="str">
        <f>VLOOKUP(B:B,代理总表!A:D,3,FALSE)</f>
        <v>雨燕直播-越</v>
      </c>
      <c r="I262" t="str">
        <f>VLOOKUP(B:B,代理总表!A:D,4,FALSE)</f>
        <v>雨燕直播-越ffvn66</v>
      </c>
      <c r="J262">
        <f t="shared" si="18"/>
        <v>14</v>
      </c>
      <c r="K262">
        <f t="shared" si="19"/>
        <v>0</v>
      </c>
      <c r="N262" s="318">
        <f t="shared" si="16"/>
        <v>45144</v>
      </c>
      <c r="O262" s="318">
        <f t="shared" si="17"/>
        <v>45145</v>
      </c>
    </row>
    <row r="263" spans="1:15">
      <c r="A263" s="314" t="s">
        <v>2638</v>
      </c>
      <c r="B263" s="314" t="s">
        <v>2640</v>
      </c>
      <c r="C263" s="315">
        <v>45145.5970486111</v>
      </c>
      <c r="D263" s="315">
        <v>45145.6047916667</v>
      </c>
      <c r="E263" s="314" t="s">
        <v>4624</v>
      </c>
      <c r="F263" s="314" t="s">
        <v>120</v>
      </c>
      <c r="G263" s="316">
        <v>2500000</v>
      </c>
      <c r="H263" t="str">
        <f>VLOOKUP(B:B,代理总表!A:D,3,FALSE)</f>
        <v>外部代理总线</v>
      </c>
      <c r="I263" t="str">
        <f>VLOOKUP(B:B,代理总表!A:D,4,FALSE)</f>
        <v>外部代理总线zhaoshang</v>
      </c>
      <c r="J263">
        <f t="shared" si="18"/>
        <v>14</v>
      </c>
      <c r="K263">
        <f t="shared" si="19"/>
        <v>1</v>
      </c>
      <c r="N263" s="318">
        <f t="shared" si="16"/>
        <v>45145</v>
      </c>
      <c r="O263" s="318">
        <f t="shared" si="17"/>
        <v>45145</v>
      </c>
    </row>
    <row r="264" spans="1:15">
      <c r="A264" s="314" t="s">
        <v>4697</v>
      </c>
      <c r="B264" s="314" t="s">
        <v>1109</v>
      </c>
      <c r="C264" s="315">
        <v>44717.7617013889</v>
      </c>
      <c r="D264" s="315">
        <v>45145.6028009259</v>
      </c>
      <c r="E264" s="314" t="s">
        <v>4624</v>
      </c>
      <c r="F264" s="314" t="s">
        <v>109</v>
      </c>
      <c r="G264" s="316">
        <v>500</v>
      </c>
      <c r="H264" t="str">
        <f>VLOOKUP(B:B,代理总表!A:D,3,FALSE)</f>
        <v>飞哥雨燕直播</v>
      </c>
      <c r="I264" t="str">
        <f>VLOOKUP(B:B,代理总表!A:D,4,FALSE)</f>
        <v>飞哥雨燕直播ffmk88</v>
      </c>
      <c r="J264">
        <f t="shared" si="18"/>
        <v>14</v>
      </c>
      <c r="K264">
        <f t="shared" si="19"/>
        <v>0</v>
      </c>
      <c r="N264" s="318">
        <f t="shared" si="16"/>
        <v>44717</v>
      </c>
      <c r="O264" s="318">
        <f t="shared" si="17"/>
        <v>45145</v>
      </c>
    </row>
    <row r="265" spans="1:15">
      <c r="A265" s="314" t="s">
        <v>4698</v>
      </c>
      <c r="B265" s="314" t="s">
        <v>445</v>
      </c>
      <c r="C265" s="315">
        <v>45144.6137384259</v>
      </c>
      <c r="D265" s="315">
        <v>45145.5966898148</v>
      </c>
      <c r="E265" s="314" t="s">
        <v>4624</v>
      </c>
      <c r="F265" s="314" t="s">
        <v>120</v>
      </c>
      <c r="G265" s="316">
        <v>1500000</v>
      </c>
      <c r="H265" t="str">
        <f>VLOOKUP(B:B,代理总表!A:D,3,FALSE)</f>
        <v>SOCO越南直播</v>
      </c>
      <c r="I265" t="str">
        <f>VLOOKUP(B:B,代理总表!A:D,4,FALSE)</f>
        <v>SOCO越南直播ffvn66</v>
      </c>
      <c r="J265">
        <f t="shared" si="18"/>
        <v>14</v>
      </c>
      <c r="K265">
        <f t="shared" si="19"/>
        <v>0</v>
      </c>
      <c r="N265" s="318">
        <f t="shared" si="16"/>
        <v>45144</v>
      </c>
      <c r="O265" s="318">
        <f t="shared" si="17"/>
        <v>45145</v>
      </c>
    </row>
    <row r="266" spans="1:15">
      <c r="A266" s="314" t="s">
        <v>4699</v>
      </c>
      <c r="B266" s="314" t="s">
        <v>505</v>
      </c>
      <c r="C266" s="315">
        <v>44987.2210648148</v>
      </c>
      <c r="D266" s="315">
        <v>45145.596087963</v>
      </c>
      <c r="E266" s="314" t="s">
        <v>4624</v>
      </c>
      <c r="F266" s="314" t="s">
        <v>120</v>
      </c>
      <c r="G266" s="316">
        <v>100000</v>
      </c>
      <c r="H266" t="str">
        <f>VLOOKUP(B:B,代理总表!A:D,3,FALSE)</f>
        <v>SOCO越南直播</v>
      </c>
      <c r="I266" t="str">
        <f>VLOOKUP(B:B,代理总表!A:D,4,FALSE)</f>
        <v>SOCO越南直播ffvn66</v>
      </c>
      <c r="J266">
        <f t="shared" si="18"/>
        <v>14</v>
      </c>
      <c r="K266">
        <f t="shared" si="19"/>
        <v>0</v>
      </c>
      <c r="N266" s="318">
        <f t="shared" si="16"/>
        <v>44987</v>
      </c>
      <c r="O266" s="318">
        <f t="shared" si="17"/>
        <v>45145</v>
      </c>
    </row>
    <row r="267" spans="1:15">
      <c r="A267" s="314" t="s">
        <v>3926</v>
      </c>
      <c r="B267" s="314" t="s">
        <v>635</v>
      </c>
      <c r="C267" s="315">
        <v>45145.1306712963</v>
      </c>
      <c r="D267" s="315">
        <v>45145.5960532407</v>
      </c>
      <c r="E267" s="314" t="s">
        <v>4624</v>
      </c>
      <c r="F267" s="314" t="s">
        <v>120</v>
      </c>
      <c r="G267" s="316">
        <v>100000</v>
      </c>
      <c r="H267" t="str">
        <f>VLOOKUP(B:B,代理总表!A:D,3,FALSE)</f>
        <v>外部代理总线</v>
      </c>
      <c r="I267" t="str">
        <f>VLOOKUP(B:B,代理总表!A:D,4,FALSE)</f>
        <v>外部代理总线zh0808</v>
      </c>
      <c r="J267">
        <f t="shared" si="18"/>
        <v>14</v>
      </c>
      <c r="K267">
        <f t="shared" si="19"/>
        <v>1</v>
      </c>
      <c r="N267" s="318">
        <f t="shared" si="16"/>
        <v>45145</v>
      </c>
      <c r="O267" s="318">
        <f t="shared" si="17"/>
        <v>45145</v>
      </c>
    </row>
    <row r="268" spans="1:15">
      <c r="A268" s="314" t="s">
        <v>4700</v>
      </c>
      <c r="B268" s="314" t="s">
        <v>205</v>
      </c>
      <c r="C268" s="315">
        <v>45125.8410532407</v>
      </c>
      <c r="D268" s="315">
        <v>45145.5975694444</v>
      </c>
      <c r="E268" s="314" t="s">
        <v>4624</v>
      </c>
      <c r="F268" s="314" t="s">
        <v>109</v>
      </c>
      <c r="G268" s="316">
        <v>290</v>
      </c>
      <c r="H268" t="str">
        <f>VLOOKUP(B:B,代理总表!A:D,3,FALSE)</f>
        <v>ben</v>
      </c>
      <c r="I268" t="str">
        <f>VLOOKUP(B:B,代理总表!A:D,4,FALSE)</f>
        <v>SEO</v>
      </c>
      <c r="J268">
        <f t="shared" si="18"/>
        <v>14</v>
      </c>
      <c r="K268">
        <f t="shared" si="19"/>
        <v>0</v>
      </c>
      <c r="N268" s="318">
        <f t="shared" si="16"/>
        <v>45125</v>
      </c>
      <c r="O268" s="318">
        <f t="shared" si="17"/>
        <v>45145</v>
      </c>
    </row>
    <row r="269" spans="1:15">
      <c r="A269" s="314" t="s">
        <v>4701</v>
      </c>
      <c r="B269" s="314" t="s">
        <v>564</v>
      </c>
      <c r="C269" s="315">
        <v>45142.6135648148</v>
      </c>
      <c r="D269" s="315">
        <v>45145.60125</v>
      </c>
      <c r="E269" s="314" t="s">
        <v>4624</v>
      </c>
      <c r="F269" s="314" t="s">
        <v>120</v>
      </c>
      <c r="G269" s="316">
        <v>200000</v>
      </c>
      <c r="H269" t="e">
        <f>VLOOKUP(B:B,代理总表!A:D,3,FALSE)</f>
        <v>#N/A</v>
      </c>
      <c r="I269" t="e">
        <f>VLOOKUP(B:B,代理总表!A:D,4,FALSE)</f>
        <v>#N/A</v>
      </c>
      <c r="J269">
        <f t="shared" si="18"/>
        <v>14</v>
      </c>
      <c r="K269">
        <f t="shared" si="19"/>
        <v>0</v>
      </c>
      <c r="N269" s="318">
        <f t="shared" si="16"/>
        <v>45142</v>
      </c>
      <c r="O269" s="318">
        <f t="shared" si="17"/>
        <v>45145</v>
      </c>
    </row>
    <row r="270" spans="1:15">
      <c r="A270" s="314" t="s">
        <v>4702</v>
      </c>
      <c r="B270" s="314" t="s">
        <v>754</v>
      </c>
      <c r="C270" s="315">
        <v>45142.6717592593</v>
      </c>
      <c r="D270" s="315">
        <v>45145.5932060185</v>
      </c>
      <c r="E270" s="314" t="s">
        <v>4624</v>
      </c>
      <c r="F270" s="314" t="s">
        <v>109</v>
      </c>
      <c r="G270" s="316">
        <v>200</v>
      </c>
      <c r="H270" t="str">
        <f>VLOOKUP(B:B,代理总表!A:D,3,FALSE)</f>
        <v>SEO掉线用户转线</v>
      </c>
      <c r="I270" t="str">
        <f>VLOOKUP(B:B,代理总表!A:D,4,FALSE)</f>
        <v>SEO</v>
      </c>
      <c r="J270">
        <f t="shared" si="18"/>
        <v>14</v>
      </c>
      <c r="K270">
        <f t="shared" si="19"/>
        <v>0</v>
      </c>
      <c r="N270" s="318">
        <f t="shared" si="16"/>
        <v>45142</v>
      </c>
      <c r="O270" s="318">
        <f t="shared" si="17"/>
        <v>45145</v>
      </c>
    </row>
    <row r="271" spans="1:15">
      <c r="A271" s="314" t="s">
        <v>4703</v>
      </c>
      <c r="B271" s="314" t="s">
        <v>235</v>
      </c>
      <c r="C271" s="315">
        <v>45144.9756481481</v>
      </c>
      <c r="D271" s="315">
        <v>45145.5932638889</v>
      </c>
      <c r="E271" s="314" t="s">
        <v>4624</v>
      </c>
      <c r="F271" s="314" t="s">
        <v>109</v>
      </c>
      <c r="G271" s="316">
        <v>5000</v>
      </c>
      <c r="H271" t="str">
        <f>VLOOKUP(B:B,代理总表!A:D,3,FALSE)</f>
        <v>aber</v>
      </c>
      <c r="I271" t="str">
        <f>VLOOKUP(B:B,代理总表!A:D,4,FALSE)</f>
        <v>SEO</v>
      </c>
      <c r="J271">
        <f t="shared" si="18"/>
        <v>14</v>
      </c>
      <c r="K271">
        <f t="shared" si="19"/>
        <v>0</v>
      </c>
      <c r="N271" s="318">
        <f t="shared" si="16"/>
        <v>45144</v>
      </c>
      <c r="O271" s="318">
        <f t="shared" si="17"/>
        <v>45145</v>
      </c>
    </row>
    <row r="272" spans="1:15">
      <c r="A272" s="314" t="s">
        <v>2683</v>
      </c>
      <c r="B272" s="314" t="s">
        <v>333</v>
      </c>
      <c r="C272" s="315">
        <v>45145.5831365741</v>
      </c>
      <c r="D272" s="315">
        <v>45145.5903819444</v>
      </c>
      <c r="E272" s="314" t="s">
        <v>4624</v>
      </c>
      <c r="F272" s="314" t="s">
        <v>120</v>
      </c>
      <c r="G272" s="316">
        <v>3500000</v>
      </c>
      <c r="H272" t="e">
        <f>VLOOKUP(B:B,代理总表!A:D,3,FALSE)</f>
        <v>#N/A</v>
      </c>
      <c r="I272" t="e">
        <f>VLOOKUP(B:B,代理总表!A:D,4,FALSE)</f>
        <v>#N/A</v>
      </c>
      <c r="J272">
        <f t="shared" si="18"/>
        <v>14</v>
      </c>
      <c r="K272">
        <f t="shared" si="19"/>
        <v>1</v>
      </c>
      <c r="N272" s="318">
        <f t="shared" si="16"/>
        <v>45145</v>
      </c>
      <c r="O272" s="318">
        <f t="shared" si="17"/>
        <v>45145</v>
      </c>
    </row>
    <row r="273" spans="1:15">
      <c r="A273" s="314" t="s">
        <v>4704</v>
      </c>
      <c r="B273" s="314" t="s">
        <v>558</v>
      </c>
      <c r="C273" s="315">
        <v>45132.6890972222</v>
      </c>
      <c r="D273" s="315">
        <v>45145.5836111111</v>
      </c>
      <c r="E273" s="314" t="s">
        <v>4624</v>
      </c>
      <c r="F273" s="314" t="s">
        <v>109</v>
      </c>
      <c r="G273" s="316">
        <v>2000</v>
      </c>
      <c r="H273" t="str">
        <f>VLOOKUP(B:B,代理总表!A:D,3,FALSE)</f>
        <v>雨燕直播</v>
      </c>
      <c r="I273" t="str">
        <f>VLOOKUP(B:B,代理总表!A:D,4,FALSE)</f>
        <v>雨燕直播zzzb888</v>
      </c>
      <c r="J273">
        <f t="shared" si="18"/>
        <v>14</v>
      </c>
      <c r="K273">
        <f t="shared" si="19"/>
        <v>0</v>
      </c>
      <c r="N273" s="318">
        <f t="shared" si="16"/>
        <v>45132</v>
      </c>
      <c r="O273" s="318">
        <f t="shared" si="17"/>
        <v>45145</v>
      </c>
    </row>
    <row r="274" spans="1:15">
      <c r="A274" s="314" t="s">
        <v>2723</v>
      </c>
      <c r="B274" s="314" t="s">
        <v>479</v>
      </c>
      <c r="C274" s="315">
        <v>45145.576875</v>
      </c>
      <c r="D274" s="315">
        <v>45145.5822222222</v>
      </c>
      <c r="E274" s="314" t="s">
        <v>4624</v>
      </c>
      <c r="F274" s="314" t="s">
        <v>109</v>
      </c>
      <c r="G274" s="316">
        <v>500</v>
      </c>
      <c r="H274" t="str">
        <f>VLOOKUP(B:B,代理总表!A:D,3,FALSE)</f>
        <v>GT-骨头</v>
      </c>
      <c r="I274" t="str">
        <f>VLOOKUP(B:B,代理总表!A:D,4,FALSE)</f>
        <v>B直播gt6677</v>
      </c>
      <c r="J274">
        <f t="shared" si="18"/>
        <v>13</v>
      </c>
      <c r="K274">
        <f t="shared" si="19"/>
        <v>1</v>
      </c>
      <c r="N274" s="318">
        <f t="shared" si="16"/>
        <v>45145</v>
      </c>
      <c r="O274" s="318">
        <f t="shared" si="17"/>
        <v>45145</v>
      </c>
    </row>
    <row r="275" spans="1:15">
      <c r="A275" s="314" t="s">
        <v>4705</v>
      </c>
      <c r="B275" s="314" t="s">
        <v>754</v>
      </c>
      <c r="C275" s="315">
        <v>45141.5377083333</v>
      </c>
      <c r="D275" s="315">
        <v>45145.5836226852</v>
      </c>
      <c r="E275" s="314" t="s">
        <v>4624</v>
      </c>
      <c r="F275" s="314" t="s">
        <v>109</v>
      </c>
      <c r="G275" s="316">
        <v>500</v>
      </c>
      <c r="H275" t="str">
        <f>VLOOKUP(B:B,代理总表!A:D,3,FALSE)</f>
        <v>SEO掉线用户转线</v>
      </c>
      <c r="I275" t="str">
        <f>VLOOKUP(B:B,代理总表!A:D,4,FALSE)</f>
        <v>SEO</v>
      </c>
      <c r="J275">
        <f t="shared" si="18"/>
        <v>14</v>
      </c>
      <c r="K275">
        <f t="shared" si="19"/>
        <v>0</v>
      </c>
      <c r="N275" s="318">
        <f t="shared" si="16"/>
        <v>45141</v>
      </c>
      <c r="O275" s="318">
        <f t="shared" si="17"/>
        <v>45145</v>
      </c>
    </row>
    <row r="276" spans="1:15">
      <c r="A276" s="314" t="s">
        <v>2741</v>
      </c>
      <c r="B276" s="314" t="s">
        <v>550</v>
      </c>
      <c r="C276" s="315">
        <v>45145.5710069444</v>
      </c>
      <c r="D276" s="315">
        <v>45145.5772106481</v>
      </c>
      <c r="E276" s="314" t="s">
        <v>4624</v>
      </c>
      <c r="F276" s="314" t="s">
        <v>120</v>
      </c>
      <c r="G276" s="316">
        <v>350000</v>
      </c>
      <c r="H276" t="str">
        <f>VLOOKUP(B:B,代理总表!A:D,3,FALSE)</f>
        <v>SOCO越南直播</v>
      </c>
      <c r="I276" t="str">
        <f>VLOOKUP(B:B,代理总表!A:D,4,FALSE)</f>
        <v>SOCO越南直播ffvn66</v>
      </c>
      <c r="J276">
        <f t="shared" si="18"/>
        <v>13</v>
      </c>
      <c r="K276">
        <f t="shared" si="19"/>
        <v>1</v>
      </c>
      <c r="N276" s="318">
        <f t="shared" si="16"/>
        <v>45145</v>
      </c>
      <c r="O276" s="318">
        <f t="shared" si="17"/>
        <v>45145</v>
      </c>
    </row>
    <row r="277" spans="1:15">
      <c r="A277" s="314" t="s">
        <v>2816</v>
      </c>
      <c r="B277" s="314" t="s">
        <v>172</v>
      </c>
      <c r="C277" s="315">
        <v>45145.5533217593</v>
      </c>
      <c r="D277" s="315">
        <v>45145.5781134259</v>
      </c>
      <c r="E277" s="314" t="s">
        <v>4624</v>
      </c>
      <c r="F277" s="314" t="s">
        <v>120</v>
      </c>
      <c r="G277" s="316">
        <v>2000000</v>
      </c>
      <c r="H277" t="str">
        <f>VLOOKUP(B:B,代理总表!A:D,3,FALSE)</f>
        <v>雨燕直播-越</v>
      </c>
      <c r="I277" t="str">
        <f>VLOOKUP(B:B,代理总表!A:D,4,FALSE)</f>
        <v>雨燕直播-越ffvn66</v>
      </c>
      <c r="J277">
        <f t="shared" si="18"/>
        <v>13</v>
      </c>
      <c r="K277">
        <f t="shared" si="19"/>
        <v>1</v>
      </c>
      <c r="N277" s="318">
        <f t="shared" si="16"/>
        <v>45145</v>
      </c>
      <c r="O277" s="318">
        <f t="shared" si="17"/>
        <v>45145</v>
      </c>
    </row>
    <row r="278" spans="1:15">
      <c r="A278" s="314" t="s">
        <v>4706</v>
      </c>
      <c r="B278" s="314" t="s">
        <v>2944</v>
      </c>
      <c r="C278" s="315">
        <v>45074.6556712963</v>
      </c>
      <c r="D278" s="315">
        <v>45145.5775578704</v>
      </c>
      <c r="E278" s="314" t="s">
        <v>4624</v>
      </c>
      <c r="F278" s="314" t="s">
        <v>109</v>
      </c>
      <c r="G278" s="316">
        <v>200</v>
      </c>
      <c r="H278" t="str">
        <f>VLOOKUP(B:B,代理总表!A:D,3,FALSE)</f>
        <v>外部代理总线</v>
      </c>
      <c r="I278" t="str">
        <f>VLOOKUP(B:B,代理总表!A:D,4,FALSE)</f>
        <v>外部代理总线btydl0056</v>
      </c>
      <c r="J278">
        <f t="shared" si="18"/>
        <v>13</v>
      </c>
      <c r="K278">
        <f t="shared" si="19"/>
        <v>0</v>
      </c>
      <c r="N278" s="318">
        <f t="shared" si="16"/>
        <v>45074</v>
      </c>
      <c r="O278" s="318">
        <f t="shared" si="17"/>
        <v>45145</v>
      </c>
    </row>
    <row r="279" spans="1:15">
      <c r="A279" s="314" t="s">
        <v>4004</v>
      </c>
      <c r="B279" s="314" t="s">
        <v>2880</v>
      </c>
      <c r="C279" s="315">
        <v>45145.1089583333</v>
      </c>
      <c r="D279" s="315">
        <v>45145.5713310185</v>
      </c>
      <c r="E279" s="314" t="s">
        <v>4624</v>
      </c>
      <c r="F279" s="314" t="s">
        <v>109</v>
      </c>
      <c r="G279" s="316">
        <v>100</v>
      </c>
      <c r="H279" t="str">
        <f>VLOOKUP(B:B,代理总表!A:D,3,FALSE)</f>
        <v>GT-B直播</v>
      </c>
      <c r="I279" t="str">
        <f>VLOOKUP(B:B,代理总表!A:D,4,FALSE)</f>
        <v>B直播gt6688</v>
      </c>
      <c r="J279">
        <f t="shared" si="18"/>
        <v>13</v>
      </c>
      <c r="K279">
        <f t="shared" si="19"/>
        <v>1</v>
      </c>
      <c r="N279" s="318">
        <f t="shared" si="16"/>
        <v>45145</v>
      </c>
      <c r="O279" s="318">
        <f t="shared" si="17"/>
        <v>45145</v>
      </c>
    </row>
    <row r="280" spans="1:15">
      <c r="A280" s="314" t="s">
        <v>2754</v>
      </c>
      <c r="B280" s="314" t="s">
        <v>1406</v>
      </c>
      <c r="C280" s="315">
        <v>45145.5668287037</v>
      </c>
      <c r="D280" s="315">
        <v>45145.574837963</v>
      </c>
      <c r="E280" s="314" t="s">
        <v>4624</v>
      </c>
      <c r="F280" s="314" t="s">
        <v>109</v>
      </c>
      <c r="G280" s="316">
        <v>200</v>
      </c>
      <c r="H280" t="str">
        <f>VLOOKUP(B:B,代理总表!A:D,3,FALSE)</f>
        <v>原电销使用</v>
      </c>
      <c r="I280" t="str">
        <f>VLOOKUP(B:B,代理总表!A:D,4,FALSE)</f>
        <v>原电销使用</v>
      </c>
      <c r="J280">
        <f t="shared" si="18"/>
        <v>13</v>
      </c>
      <c r="K280">
        <f t="shared" si="19"/>
        <v>1</v>
      </c>
      <c r="N280" s="318">
        <f t="shared" si="16"/>
        <v>45145</v>
      </c>
      <c r="O280" s="318">
        <f t="shared" si="17"/>
        <v>45145</v>
      </c>
    </row>
    <row r="281" spans="1:15">
      <c r="A281" s="314" t="s">
        <v>4707</v>
      </c>
      <c r="B281" s="314" t="s">
        <v>240</v>
      </c>
      <c r="C281" s="315">
        <v>45063.7090046296</v>
      </c>
      <c r="D281" s="315">
        <v>45145.5669328704</v>
      </c>
      <c r="E281" s="314" t="s">
        <v>4624</v>
      </c>
      <c r="F281" s="314" t="s">
        <v>109</v>
      </c>
      <c r="G281" s="316">
        <v>200</v>
      </c>
      <c r="H281" t="str">
        <f>VLOOKUP(B:B,代理总表!A:D,3,FALSE)</f>
        <v>SEO邀请</v>
      </c>
      <c r="I281" t="str">
        <f>VLOOKUP(B:B,代理总表!A:D,4,FALSE)</f>
        <v>SEO</v>
      </c>
      <c r="J281">
        <f t="shared" si="18"/>
        <v>13</v>
      </c>
      <c r="K281">
        <f t="shared" si="19"/>
        <v>0</v>
      </c>
      <c r="N281" s="318">
        <f t="shared" si="16"/>
        <v>45063</v>
      </c>
      <c r="O281" s="318">
        <f t="shared" si="17"/>
        <v>45145</v>
      </c>
    </row>
    <row r="282" spans="1:15">
      <c r="A282" s="314" t="s">
        <v>2885</v>
      </c>
      <c r="B282" s="314" t="s">
        <v>137</v>
      </c>
      <c r="C282" s="315">
        <v>45145.5406018519</v>
      </c>
      <c r="D282" s="315">
        <v>45145.5709837963</v>
      </c>
      <c r="E282" s="314" t="s">
        <v>4624</v>
      </c>
      <c r="F282" s="314" t="s">
        <v>120</v>
      </c>
      <c r="G282" s="316">
        <v>2000000</v>
      </c>
      <c r="H282" t="str">
        <f>VLOOKUP(B:B,代理总表!A:D,3,FALSE)</f>
        <v>雨燕直播-越</v>
      </c>
      <c r="I282" t="str">
        <f>VLOOKUP(B:B,代理总表!A:D,4,FALSE)</f>
        <v>雨燕直播-越ffvn66</v>
      </c>
      <c r="J282">
        <f t="shared" si="18"/>
        <v>13</v>
      </c>
      <c r="K282">
        <f t="shared" si="19"/>
        <v>1</v>
      </c>
      <c r="N282" s="318">
        <f t="shared" si="16"/>
        <v>45145</v>
      </c>
      <c r="O282" s="318">
        <f t="shared" si="17"/>
        <v>45145</v>
      </c>
    </row>
    <row r="283" spans="1:15">
      <c r="A283" s="314" t="s">
        <v>2831</v>
      </c>
      <c r="B283" s="314" t="s">
        <v>249</v>
      </c>
      <c r="C283" s="315">
        <v>45145.5510532407</v>
      </c>
      <c r="D283" s="315">
        <v>45145.5665277778</v>
      </c>
      <c r="E283" s="314" t="s">
        <v>4624</v>
      </c>
      <c r="F283" s="314" t="s">
        <v>109</v>
      </c>
      <c r="G283" s="314">
        <v>1088</v>
      </c>
      <c r="H283" t="str">
        <f>VLOOKUP(B:B,代理总表!A:D,3,FALSE)</f>
        <v>飞哥雨燕直播</v>
      </c>
      <c r="I283" t="str">
        <f>VLOOKUP(B:B,代理总表!A:D,4,FALSE)</f>
        <v>飞哥雨燕直播ffmk88</v>
      </c>
      <c r="J283">
        <f t="shared" si="18"/>
        <v>13</v>
      </c>
      <c r="K283">
        <f t="shared" si="19"/>
        <v>1</v>
      </c>
      <c r="N283" s="318">
        <f t="shared" si="16"/>
        <v>45145</v>
      </c>
      <c r="O283" s="318">
        <f t="shared" si="17"/>
        <v>45145</v>
      </c>
    </row>
    <row r="284" spans="1:15">
      <c r="A284" s="314" t="s">
        <v>4708</v>
      </c>
      <c r="B284" s="314" t="s">
        <v>370</v>
      </c>
      <c r="C284" s="315">
        <v>45141.8497916667</v>
      </c>
      <c r="D284" s="315">
        <v>45145.5643171296</v>
      </c>
      <c r="E284" s="314" t="s">
        <v>4624</v>
      </c>
      <c r="F284" s="314" t="s">
        <v>109</v>
      </c>
      <c r="G284" s="316">
        <v>100</v>
      </c>
      <c r="H284" t="str">
        <f>VLOOKUP(B:B,代理总表!A:D,3,FALSE)</f>
        <v>GT-骨头</v>
      </c>
      <c r="I284" t="str">
        <f>VLOOKUP(B:B,代理总表!A:D,4,FALSE)</f>
        <v>GT-骨头gt6677</v>
      </c>
      <c r="J284">
        <f t="shared" si="18"/>
        <v>13</v>
      </c>
      <c r="K284">
        <f t="shared" si="19"/>
        <v>0</v>
      </c>
      <c r="N284" s="318">
        <f t="shared" si="16"/>
        <v>45141</v>
      </c>
      <c r="O284" s="318">
        <f t="shared" si="17"/>
        <v>45145</v>
      </c>
    </row>
    <row r="285" spans="1:15">
      <c r="A285" s="314" t="s">
        <v>2824</v>
      </c>
      <c r="B285" s="314" t="s">
        <v>2826</v>
      </c>
      <c r="C285" s="315">
        <v>45145.5526273148</v>
      </c>
      <c r="D285" s="315">
        <v>45145.5640046296</v>
      </c>
      <c r="E285" s="314" t="s">
        <v>4624</v>
      </c>
      <c r="F285" s="314" t="s">
        <v>109</v>
      </c>
      <c r="G285" s="316">
        <v>100</v>
      </c>
      <c r="H285" t="str">
        <f>VLOOKUP(B:B,代理总表!A:D,3,FALSE)</f>
        <v>外部代理总线</v>
      </c>
      <c r="I285" t="str">
        <f>VLOOKUP(B:B,代理总表!A:D,4,FALSE)</f>
        <v>外部代理总线zhaoshang</v>
      </c>
      <c r="J285">
        <f t="shared" si="18"/>
        <v>13</v>
      </c>
      <c r="K285">
        <f t="shared" si="19"/>
        <v>1</v>
      </c>
      <c r="N285" s="318">
        <f t="shared" si="16"/>
        <v>45145</v>
      </c>
      <c r="O285" s="318">
        <f t="shared" si="17"/>
        <v>45145</v>
      </c>
    </row>
    <row r="286" spans="1:15">
      <c r="A286" s="314" t="s">
        <v>2805</v>
      </c>
      <c r="B286" s="314" t="s">
        <v>259</v>
      </c>
      <c r="C286" s="315">
        <v>45145.5550231481</v>
      </c>
      <c r="D286" s="315">
        <v>45145.5640625</v>
      </c>
      <c r="E286" s="314" t="s">
        <v>4624</v>
      </c>
      <c r="F286" s="314" t="s">
        <v>109</v>
      </c>
      <c r="G286" s="316">
        <v>3000</v>
      </c>
      <c r="H286" t="str">
        <f>VLOOKUP(B:B,代理总表!A:D,3,FALSE)</f>
        <v>tony</v>
      </c>
      <c r="I286" t="str">
        <f>VLOOKUP(B:B,代理总表!A:D,4,FALSE)</f>
        <v>SEO</v>
      </c>
      <c r="J286">
        <f t="shared" si="18"/>
        <v>13</v>
      </c>
      <c r="K286">
        <f t="shared" si="19"/>
        <v>1</v>
      </c>
      <c r="N286" s="318">
        <f t="shared" si="16"/>
        <v>45145</v>
      </c>
      <c r="O286" s="318">
        <f t="shared" si="17"/>
        <v>45145</v>
      </c>
    </row>
    <row r="287" spans="1:15">
      <c r="A287" s="314" t="s">
        <v>2801</v>
      </c>
      <c r="B287" s="314" t="s">
        <v>235</v>
      </c>
      <c r="C287" s="315">
        <v>45145.5557638889</v>
      </c>
      <c r="D287" s="315">
        <v>45145.5601736111</v>
      </c>
      <c r="E287" s="314" t="s">
        <v>4624</v>
      </c>
      <c r="F287" s="314" t="s">
        <v>109</v>
      </c>
      <c r="G287" s="316">
        <v>200</v>
      </c>
      <c r="H287" t="str">
        <f>VLOOKUP(B:B,代理总表!A:D,3,FALSE)</f>
        <v>aber</v>
      </c>
      <c r="I287" t="str">
        <f>VLOOKUP(B:B,代理总表!A:D,4,FALSE)</f>
        <v>SEO</v>
      </c>
      <c r="J287">
        <f t="shared" si="18"/>
        <v>13</v>
      </c>
      <c r="K287">
        <f t="shared" si="19"/>
        <v>1</v>
      </c>
      <c r="N287" s="318">
        <f t="shared" si="16"/>
        <v>45145</v>
      </c>
      <c r="O287" s="318">
        <f t="shared" si="17"/>
        <v>45145</v>
      </c>
    </row>
    <row r="288" spans="1:15">
      <c r="A288" s="314" t="s">
        <v>4709</v>
      </c>
      <c r="B288" s="314" t="s">
        <v>526</v>
      </c>
      <c r="C288" s="315">
        <v>45142.6484490741</v>
      </c>
      <c r="D288" s="315">
        <v>45145.5614351852</v>
      </c>
      <c r="E288" s="314" t="s">
        <v>4624</v>
      </c>
      <c r="F288" s="314" t="s">
        <v>120</v>
      </c>
      <c r="G288" s="316">
        <v>100000</v>
      </c>
      <c r="H288" t="str">
        <f>VLOOKUP(B:B,代理总表!A:D,3,FALSE)</f>
        <v>SOCO越南直播</v>
      </c>
      <c r="I288" t="str">
        <f>VLOOKUP(B:B,代理总表!A:D,4,FALSE)</f>
        <v>SOCO越南直播ffvn66</v>
      </c>
      <c r="J288">
        <f t="shared" si="18"/>
        <v>13</v>
      </c>
      <c r="K288">
        <f t="shared" si="19"/>
        <v>0</v>
      </c>
      <c r="N288" s="318">
        <f t="shared" si="16"/>
        <v>45142</v>
      </c>
      <c r="O288" s="318">
        <f t="shared" si="17"/>
        <v>45145</v>
      </c>
    </row>
    <row r="289" spans="1:15">
      <c r="A289" s="314" t="s">
        <v>2811</v>
      </c>
      <c r="B289" s="314" t="s">
        <v>285</v>
      </c>
      <c r="C289" s="315">
        <v>45145.5536689815</v>
      </c>
      <c r="D289" s="315">
        <v>45145.5619791667</v>
      </c>
      <c r="E289" s="314" t="s">
        <v>4624</v>
      </c>
      <c r="F289" s="314" t="s">
        <v>109</v>
      </c>
      <c r="G289" s="316">
        <v>2000</v>
      </c>
      <c r="H289" t="str">
        <f>VLOOKUP(B:B,代理总表!A:D,3,FALSE)</f>
        <v>雨燕直播</v>
      </c>
      <c r="I289" t="str">
        <f>VLOOKUP(B:B,代理总表!A:D,4,FALSE)</f>
        <v>雨燕直播zzzb888</v>
      </c>
      <c r="J289">
        <f t="shared" si="18"/>
        <v>13</v>
      </c>
      <c r="K289">
        <f t="shared" si="19"/>
        <v>1</v>
      </c>
      <c r="N289" s="318">
        <f t="shared" si="16"/>
        <v>45145</v>
      </c>
      <c r="O289" s="318">
        <f t="shared" si="17"/>
        <v>45145</v>
      </c>
    </row>
    <row r="290" spans="1:15">
      <c r="A290" s="314" t="s">
        <v>2866</v>
      </c>
      <c r="B290" s="314" t="s">
        <v>143</v>
      </c>
      <c r="C290" s="315">
        <v>45145.543599537</v>
      </c>
      <c r="D290" s="315">
        <v>45145.5536689815</v>
      </c>
      <c r="E290" s="314" t="s">
        <v>4624</v>
      </c>
      <c r="F290" s="314" t="s">
        <v>120</v>
      </c>
      <c r="G290" s="316">
        <v>100000</v>
      </c>
      <c r="H290" t="str">
        <f>VLOOKUP(B:B,代理总表!A:D,3,FALSE)</f>
        <v>雨燕直播-越</v>
      </c>
      <c r="I290" t="str">
        <f>VLOOKUP(B:B,代理总表!A:D,4,FALSE)</f>
        <v>雨燕直播-越ffvn66</v>
      </c>
      <c r="J290">
        <f t="shared" si="18"/>
        <v>13</v>
      </c>
      <c r="K290">
        <f t="shared" si="19"/>
        <v>1</v>
      </c>
      <c r="N290" s="318">
        <f t="shared" si="16"/>
        <v>45145</v>
      </c>
      <c r="O290" s="318">
        <f t="shared" si="17"/>
        <v>45145</v>
      </c>
    </row>
    <row r="291" spans="1:15">
      <c r="A291" s="314" t="s">
        <v>2850</v>
      </c>
      <c r="B291" s="314" t="s">
        <v>137</v>
      </c>
      <c r="C291" s="315">
        <v>45145.5477314815</v>
      </c>
      <c r="D291" s="315">
        <v>45145.5523032407</v>
      </c>
      <c r="E291" s="314" t="s">
        <v>4624</v>
      </c>
      <c r="F291" s="314" t="s">
        <v>120</v>
      </c>
      <c r="G291" s="316">
        <v>200000</v>
      </c>
      <c r="H291" t="str">
        <f>VLOOKUP(B:B,代理总表!A:D,3,FALSE)</f>
        <v>雨燕直播-越</v>
      </c>
      <c r="I291" t="str">
        <f>VLOOKUP(B:B,代理总表!A:D,4,FALSE)</f>
        <v>雨燕直播-越ffvn66</v>
      </c>
      <c r="J291">
        <f t="shared" si="18"/>
        <v>13</v>
      </c>
      <c r="K291">
        <f t="shared" si="19"/>
        <v>1</v>
      </c>
      <c r="N291" s="318">
        <f t="shared" si="16"/>
        <v>45145</v>
      </c>
      <c r="O291" s="318">
        <f t="shared" si="17"/>
        <v>45145</v>
      </c>
    </row>
    <row r="292" spans="1:15">
      <c r="A292" s="314" t="s">
        <v>2893</v>
      </c>
      <c r="B292" s="314" t="s">
        <v>594</v>
      </c>
      <c r="C292" s="315">
        <v>45145.5392824074</v>
      </c>
      <c r="D292" s="315">
        <v>45145.551724537</v>
      </c>
      <c r="E292" s="314" t="s">
        <v>4624</v>
      </c>
      <c r="F292" s="314" t="s">
        <v>109</v>
      </c>
      <c r="G292" s="316">
        <v>200</v>
      </c>
      <c r="H292" t="str">
        <f>VLOOKUP(B:B,代理总表!A:D,3,FALSE)</f>
        <v>zed</v>
      </c>
      <c r="I292" t="str">
        <f>VLOOKUP(B:B,代理总表!A:D,4,FALSE)</f>
        <v>SEO</v>
      </c>
      <c r="J292">
        <f t="shared" si="18"/>
        <v>13</v>
      </c>
      <c r="K292">
        <f t="shared" si="19"/>
        <v>1</v>
      </c>
      <c r="N292" s="318">
        <f t="shared" si="16"/>
        <v>45145</v>
      </c>
      <c r="O292" s="318">
        <f t="shared" si="17"/>
        <v>45145</v>
      </c>
    </row>
    <row r="293" spans="1:15">
      <c r="A293" s="314" t="s">
        <v>4710</v>
      </c>
      <c r="B293" s="314" t="s">
        <v>2121</v>
      </c>
      <c r="C293" s="315">
        <v>45143.7132407407</v>
      </c>
      <c r="D293" s="315">
        <v>45145.5500578704</v>
      </c>
      <c r="E293" s="314" t="s">
        <v>4624</v>
      </c>
      <c r="F293" s="314" t="s">
        <v>109</v>
      </c>
      <c r="G293" s="316">
        <v>200</v>
      </c>
      <c r="H293" t="str">
        <f>VLOOKUP(B:B,代理总表!A:D,3,FALSE)</f>
        <v>飞哥雨燕直播</v>
      </c>
      <c r="I293" t="str">
        <f>VLOOKUP(B:B,代理总表!A:D,4,FALSE)</f>
        <v>飞哥雨燕直播ffmk88</v>
      </c>
      <c r="J293">
        <f t="shared" si="18"/>
        <v>13</v>
      </c>
      <c r="K293">
        <f t="shared" si="19"/>
        <v>0</v>
      </c>
      <c r="N293" s="318">
        <f t="shared" si="16"/>
        <v>45143</v>
      </c>
      <c r="O293" s="318">
        <f t="shared" si="17"/>
        <v>45145</v>
      </c>
    </row>
    <row r="294" spans="1:15">
      <c r="A294" s="314" t="s">
        <v>4711</v>
      </c>
      <c r="B294" s="314" t="s">
        <v>2108</v>
      </c>
      <c r="C294" s="315">
        <v>45137.5987731482</v>
      </c>
      <c r="D294" s="315">
        <v>45145.5504513889</v>
      </c>
      <c r="E294" s="314" t="s">
        <v>4624</v>
      </c>
      <c r="F294" s="314" t="s">
        <v>109</v>
      </c>
      <c r="G294" s="316">
        <v>1000</v>
      </c>
      <c r="H294" t="str">
        <f>VLOOKUP(B:B,代理总表!A:D,3,FALSE)</f>
        <v>雨燕直播</v>
      </c>
      <c r="I294" t="str">
        <f>VLOOKUP(B:B,代理总表!A:D,4,FALSE)</f>
        <v>雨燕直播zzzb888</v>
      </c>
      <c r="J294">
        <f t="shared" si="18"/>
        <v>13</v>
      </c>
      <c r="K294">
        <f t="shared" si="19"/>
        <v>0</v>
      </c>
      <c r="N294" s="318">
        <f t="shared" si="16"/>
        <v>45137</v>
      </c>
      <c r="O294" s="318">
        <f t="shared" si="17"/>
        <v>45145</v>
      </c>
    </row>
    <row r="295" spans="1:15">
      <c r="A295" s="314" t="s">
        <v>4712</v>
      </c>
      <c r="B295" s="314" t="s">
        <v>148</v>
      </c>
      <c r="C295" s="315">
        <v>44942.3694791667</v>
      </c>
      <c r="D295" s="315">
        <v>45145.5479976852</v>
      </c>
      <c r="E295" s="314" t="s">
        <v>4624</v>
      </c>
      <c r="F295" s="314" t="s">
        <v>109</v>
      </c>
      <c r="G295" s="316">
        <v>100</v>
      </c>
      <c r="H295" t="str">
        <f>VLOOKUP(B:B,代理总表!A:D,3,FALSE)</f>
        <v>martin</v>
      </c>
      <c r="I295" t="str">
        <f>VLOOKUP(B:B,代理总表!A:D,4,FALSE)</f>
        <v>SEO</v>
      </c>
      <c r="J295">
        <f t="shared" si="18"/>
        <v>13</v>
      </c>
      <c r="K295">
        <f t="shared" si="19"/>
        <v>0</v>
      </c>
      <c r="N295" s="318">
        <f t="shared" si="16"/>
        <v>44942</v>
      </c>
      <c r="O295" s="318">
        <f t="shared" si="17"/>
        <v>45145</v>
      </c>
    </row>
    <row r="296" spans="1:15">
      <c r="A296" s="314" t="s">
        <v>2875</v>
      </c>
      <c r="B296" s="314" t="s">
        <v>143</v>
      </c>
      <c r="C296" s="315">
        <v>45145.5413541667</v>
      </c>
      <c r="D296" s="315">
        <v>45145.5488078704</v>
      </c>
      <c r="E296" s="314" t="s">
        <v>4624</v>
      </c>
      <c r="F296" s="314" t="s">
        <v>120</v>
      </c>
      <c r="G296" s="316">
        <v>500000</v>
      </c>
      <c r="H296" t="str">
        <f>VLOOKUP(B:B,代理总表!A:D,3,FALSE)</f>
        <v>雨燕直播-越</v>
      </c>
      <c r="I296" t="str">
        <f>VLOOKUP(B:B,代理总表!A:D,4,FALSE)</f>
        <v>雨燕直播-越ffvn66</v>
      </c>
      <c r="J296">
        <f t="shared" si="18"/>
        <v>13</v>
      </c>
      <c r="K296">
        <f t="shared" si="19"/>
        <v>1</v>
      </c>
      <c r="N296" s="318">
        <f t="shared" si="16"/>
        <v>45145</v>
      </c>
      <c r="O296" s="318">
        <f t="shared" si="17"/>
        <v>45145</v>
      </c>
    </row>
    <row r="297" spans="1:15">
      <c r="A297" s="314" t="s">
        <v>2909</v>
      </c>
      <c r="B297" s="314" t="s">
        <v>2615</v>
      </c>
      <c r="C297" s="315">
        <v>45145.5350694444</v>
      </c>
      <c r="D297" s="315">
        <v>45145.5409490741</v>
      </c>
      <c r="E297" s="314" t="s">
        <v>4624</v>
      </c>
      <c r="F297" s="314" t="s">
        <v>120</v>
      </c>
      <c r="G297" s="316">
        <v>10100000</v>
      </c>
      <c r="H297" t="e">
        <f>VLOOKUP(B:B,代理总表!A:D,3,FALSE)</f>
        <v>#N/A</v>
      </c>
      <c r="I297" t="e">
        <f>VLOOKUP(B:B,代理总表!A:D,4,FALSE)</f>
        <v>#N/A</v>
      </c>
      <c r="J297">
        <f t="shared" si="18"/>
        <v>12</v>
      </c>
      <c r="K297">
        <f t="shared" si="19"/>
        <v>1</v>
      </c>
      <c r="N297" s="318">
        <f t="shared" si="16"/>
        <v>45145</v>
      </c>
      <c r="O297" s="318">
        <f t="shared" si="17"/>
        <v>45145</v>
      </c>
    </row>
    <row r="298" spans="1:15">
      <c r="A298" s="314" t="s">
        <v>4423</v>
      </c>
      <c r="B298" s="314" t="s">
        <v>143</v>
      </c>
      <c r="C298" s="315">
        <v>45145.0249189815</v>
      </c>
      <c r="D298" s="315">
        <v>45145.5362152778</v>
      </c>
      <c r="E298" s="314" t="s">
        <v>4624</v>
      </c>
      <c r="F298" s="314" t="s">
        <v>120</v>
      </c>
      <c r="G298" s="316">
        <v>100000</v>
      </c>
      <c r="H298" t="str">
        <f>VLOOKUP(B:B,代理总表!A:D,3,FALSE)</f>
        <v>雨燕直播-越</v>
      </c>
      <c r="I298" t="str">
        <f>VLOOKUP(B:B,代理总表!A:D,4,FALSE)</f>
        <v>雨燕直播-越ffvn66</v>
      </c>
      <c r="J298">
        <f t="shared" si="18"/>
        <v>12</v>
      </c>
      <c r="K298">
        <f t="shared" si="19"/>
        <v>1</v>
      </c>
      <c r="N298" s="318">
        <f t="shared" si="16"/>
        <v>45145</v>
      </c>
      <c r="O298" s="318">
        <f t="shared" si="17"/>
        <v>45145</v>
      </c>
    </row>
    <row r="299" spans="1:15">
      <c r="A299" s="314" t="s">
        <v>4713</v>
      </c>
      <c r="B299" s="314" t="s">
        <v>180</v>
      </c>
      <c r="C299" s="315">
        <v>44730.2820949074</v>
      </c>
      <c r="D299" s="315">
        <v>45145.5366898148</v>
      </c>
      <c r="E299" s="314" t="s">
        <v>4624</v>
      </c>
      <c r="F299" s="314" t="s">
        <v>109</v>
      </c>
      <c r="G299" s="316">
        <v>200</v>
      </c>
      <c r="H299" t="str">
        <f>VLOOKUP(B:B,代理总表!A:D,3,FALSE)</f>
        <v>hugo</v>
      </c>
      <c r="I299" t="str">
        <f>VLOOKUP(B:B,代理总表!A:D,4,FALSE)</f>
        <v>SEO</v>
      </c>
      <c r="J299">
        <f t="shared" si="18"/>
        <v>12</v>
      </c>
      <c r="K299">
        <f t="shared" si="19"/>
        <v>0</v>
      </c>
      <c r="N299" s="318">
        <f t="shared" si="16"/>
        <v>44730</v>
      </c>
      <c r="O299" s="318">
        <f t="shared" si="17"/>
        <v>45145</v>
      </c>
    </row>
    <row r="300" spans="1:15">
      <c r="A300" s="314" t="s">
        <v>2955</v>
      </c>
      <c r="B300" s="314" t="s">
        <v>103</v>
      </c>
      <c r="C300" s="315">
        <v>45145.5275462963</v>
      </c>
      <c r="D300" s="315">
        <v>45145.5350115741</v>
      </c>
      <c r="E300" s="314" t="s">
        <v>4624</v>
      </c>
      <c r="F300" s="314" t="s">
        <v>109</v>
      </c>
      <c r="G300" s="316">
        <v>100</v>
      </c>
      <c r="H300" t="str">
        <f>VLOOKUP(B:B,代理总表!A:D,3,FALSE)</f>
        <v>官网</v>
      </c>
      <c r="I300" t="str">
        <f>VLOOKUP(B:B,代理总表!A:D,4,FALSE)</f>
        <v>官网</v>
      </c>
      <c r="J300">
        <f t="shared" si="18"/>
        <v>12</v>
      </c>
      <c r="K300">
        <f t="shared" si="19"/>
        <v>1</v>
      </c>
      <c r="N300" s="318">
        <f t="shared" si="16"/>
        <v>45145</v>
      </c>
      <c r="O300" s="318">
        <f t="shared" si="17"/>
        <v>45145</v>
      </c>
    </row>
    <row r="301" spans="1:15">
      <c r="A301" s="314" t="s">
        <v>2951</v>
      </c>
      <c r="B301" s="314" t="s">
        <v>249</v>
      </c>
      <c r="C301" s="315">
        <v>45145.5278356482</v>
      </c>
      <c r="D301" s="315">
        <v>45145.5336458333</v>
      </c>
      <c r="E301" s="314" t="s">
        <v>4624</v>
      </c>
      <c r="F301" s="314" t="s">
        <v>109</v>
      </c>
      <c r="G301" s="316">
        <v>300</v>
      </c>
      <c r="H301" t="str">
        <f>VLOOKUP(B:B,代理总表!A:D,3,FALSE)</f>
        <v>飞哥雨燕直播</v>
      </c>
      <c r="I301" t="str">
        <f>VLOOKUP(B:B,代理总表!A:D,4,FALSE)</f>
        <v>飞哥雨燕直播ffmk88</v>
      </c>
      <c r="J301">
        <f t="shared" si="18"/>
        <v>12</v>
      </c>
      <c r="K301">
        <f t="shared" si="19"/>
        <v>1</v>
      </c>
      <c r="N301" s="318">
        <f t="shared" si="16"/>
        <v>45145</v>
      </c>
      <c r="O301" s="318">
        <f t="shared" si="17"/>
        <v>45145</v>
      </c>
    </row>
    <row r="302" spans="1:15">
      <c r="A302" s="314" t="s">
        <v>2942</v>
      </c>
      <c r="B302" s="314" t="s">
        <v>2944</v>
      </c>
      <c r="C302" s="315">
        <v>45145.5286805556</v>
      </c>
      <c r="D302" s="315">
        <v>45145.5319791667</v>
      </c>
      <c r="E302" s="314" t="s">
        <v>4624</v>
      </c>
      <c r="F302" s="314" t="s">
        <v>109</v>
      </c>
      <c r="G302" s="316">
        <v>100</v>
      </c>
      <c r="H302" t="str">
        <f>VLOOKUP(B:B,代理总表!A:D,3,FALSE)</f>
        <v>外部代理总线</v>
      </c>
      <c r="I302" t="str">
        <f>VLOOKUP(B:B,代理总表!A:D,4,FALSE)</f>
        <v>外部代理总线btydl0056</v>
      </c>
      <c r="J302">
        <f t="shared" si="18"/>
        <v>12</v>
      </c>
      <c r="K302">
        <f t="shared" si="19"/>
        <v>1</v>
      </c>
      <c r="N302" s="318">
        <f t="shared" si="16"/>
        <v>45145</v>
      </c>
      <c r="O302" s="318">
        <f t="shared" si="17"/>
        <v>45145</v>
      </c>
    </row>
    <row r="303" spans="1:15">
      <c r="A303" s="314" t="s">
        <v>2965</v>
      </c>
      <c r="B303" s="314" t="s">
        <v>526</v>
      </c>
      <c r="C303" s="315">
        <v>45145.5253935185</v>
      </c>
      <c r="D303" s="315">
        <v>45145.529849537</v>
      </c>
      <c r="E303" s="314" t="s">
        <v>4624</v>
      </c>
      <c r="F303" s="314" t="s">
        <v>120</v>
      </c>
      <c r="G303" s="316">
        <v>500000</v>
      </c>
      <c r="H303" t="str">
        <f>VLOOKUP(B:B,代理总表!A:D,3,FALSE)</f>
        <v>SOCO越南直播</v>
      </c>
      <c r="I303" t="str">
        <f>VLOOKUP(B:B,代理总表!A:D,4,FALSE)</f>
        <v>SOCO越南直播ffvn66</v>
      </c>
      <c r="J303">
        <f t="shared" si="18"/>
        <v>12</v>
      </c>
      <c r="K303">
        <f t="shared" si="19"/>
        <v>1</v>
      </c>
      <c r="N303" s="318">
        <f t="shared" si="16"/>
        <v>45145</v>
      </c>
      <c r="O303" s="318">
        <f t="shared" si="17"/>
        <v>45145</v>
      </c>
    </row>
    <row r="304" spans="1:15">
      <c r="A304" s="314" t="s">
        <v>4714</v>
      </c>
      <c r="B304" s="314" t="s">
        <v>526</v>
      </c>
      <c r="C304" s="315">
        <v>45143.6733101852</v>
      </c>
      <c r="D304" s="315">
        <v>45145.5332523148</v>
      </c>
      <c r="E304" s="314" t="s">
        <v>4624</v>
      </c>
      <c r="F304" s="314" t="s">
        <v>120</v>
      </c>
      <c r="G304" s="316">
        <v>3000000</v>
      </c>
      <c r="H304" t="str">
        <f>VLOOKUP(B:B,代理总表!A:D,3,FALSE)</f>
        <v>SOCO越南直播</v>
      </c>
      <c r="I304" t="str">
        <f>VLOOKUP(B:B,代理总表!A:D,4,FALSE)</f>
        <v>SOCO越南直播ffvn66</v>
      </c>
      <c r="J304">
        <f t="shared" si="18"/>
        <v>12</v>
      </c>
      <c r="K304">
        <f t="shared" si="19"/>
        <v>0</v>
      </c>
      <c r="N304" s="318">
        <f t="shared" si="16"/>
        <v>45143</v>
      </c>
      <c r="O304" s="318">
        <f t="shared" si="17"/>
        <v>45145</v>
      </c>
    </row>
    <row r="305" spans="1:15">
      <c r="A305" s="314" t="s">
        <v>3012</v>
      </c>
      <c r="B305" s="314" t="s">
        <v>172</v>
      </c>
      <c r="C305" s="315">
        <v>45145.5084143519</v>
      </c>
      <c r="D305" s="315">
        <v>45145.5283796296</v>
      </c>
      <c r="E305" s="314" t="s">
        <v>4624</v>
      </c>
      <c r="F305" s="314" t="s">
        <v>120</v>
      </c>
      <c r="G305" s="316">
        <v>2000000</v>
      </c>
      <c r="H305" t="str">
        <f>VLOOKUP(B:B,代理总表!A:D,3,FALSE)</f>
        <v>雨燕直播-越</v>
      </c>
      <c r="I305" t="str">
        <f>VLOOKUP(B:B,代理总表!A:D,4,FALSE)</f>
        <v>雨燕直播-越ffvn66</v>
      </c>
      <c r="J305">
        <f t="shared" si="18"/>
        <v>12</v>
      </c>
      <c r="K305">
        <f t="shared" si="19"/>
        <v>1</v>
      </c>
      <c r="N305" s="318">
        <f t="shared" si="16"/>
        <v>45145</v>
      </c>
      <c r="O305" s="318">
        <f t="shared" si="17"/>
        <v>45145</v>
      </c>
    </row>
    <row r="306" spans="1:15">
      <c r="A306" s="314" t="s">
        <v>3106</v>
      </c>
      <c r="B306" s="314" t="s">
        <v>137</v>
      </c>
      <c r="C306" s="315">
        <v>45145.4883796296</v>
      </c>
      <c r="D306" s="315">
        <v>45145.5300462963</v>
      </c>
      <c r="E306" s="314" t="s">
        <v>4624</v>
      </c>
      <c r="F306" s="314" t="s">
        <v>120</v>
      </c>
      <c r="G306" s="316">
        <v>1000000</v>
      </c>
      <c r="H306" t="str">
        <f>VLOOKUP(B:B,代理总表!A:D,3,FALSE)</f>
        <v>雨燕直播-越</v>
      </c>
      <c r="I306" t="str">
        <f>VLOOKUP(B:B,代理总表!A:D,4,FALSE)</f>
        <v>雨燕直播-越ffvn66</v>
      </c>
      <c r="J306">
        <f t="shared" si="18"/>
        <v>12</v>
      </c>
      <c r="K306">
        <f t="shared" si="19"/>
        <v>1</v>
      </c>
      <c r="N306" s="318">
        <f t="shared" si="16"/>
        <v>45145</v>
      </c>
      <c r="O306" s="318">
        <f t="shared" si="17"/>
        <v>45145</v>
      </c>
    </row>
    <row r="307" spans="1:15">
      <c r="A307" s="314" t="s">
        <v>3059</v>
      </c>
      <c r="B307" s="314" t="s">
        <v>235</v>
      </c>
      <c r="C307" s="315">
        <v>45145.4980555556</v>
      </c>
      <c r="D307" s="315">
        <v>45145.5247800926</v>
      </c>
      <c r="E307" s="314" t="s">
        <v>4624</v>
      </c>
      <c r="F307" s="314" t="s">
        <v>109</v>
      </c>
      <c r="G307" s="316">
        <v>100</v>
      </c>
      <c r="H307" t="str">
        <f>VLOOKUP(B:B,代理总表!A:D,3,FALSE)</f>
        <v>aber</v>
      </c>
      <c r="I307" t="str">
        <f>VLOOKUP(B:B,代理总表!A:D,4,FALSE)</f>
        <v>SEO</v>
      </c>
      <c r="J307">
        <f t="shared" si="18"/>
        <v>12</v>
      </c>
      <c r="K307">
        <f t="shared" si="19"/>
        <v>1</v>
      </c>
      <c r="N307" s="318">
        <f t="shared" si="16"/>
        <v>45145</v>
      </c>
      <c r="O307" s="318">
        <f t="shared" si="17"/>
        <v>45145</v>
      </c>
    </row>
    <row r="308" spans="1:15">
      <c r="A308" s="314" t="s">
        <v>2979</v>
      </c>
      <c r="B308" s="314" t="s">
        <v>526</v>
      </c>
      <c r="C308" s="315">
        <v>45145.5221643519</v>
      </c>
      <c r="D308" s="315">
        <v>45145.5252314815</v>
      </c>
      <c r="E308" s="314" t="s">
        <v>4624</v>
      </c>
      <c r="F308" s="314" t="s">
        <v>120</v>
      </c>
      <c r="G308" s="316">
        <v>2000000</v>
      </c>
      <c r="H308" t="str">
        <f>VLOOKUP(B:B,代理总表!A:D,3,FALSE)</f>
        <v>SOCO越南直播</v>
      </c>
      <c r="I308" t="str">
        <f>VLOOKUP(B:B,代理总表!A:D,4,FALSE)</f>
        <v>SOCO越南直播ffvn66</v>
      </c>
      <c r="J308">
        <f t="shared" si="18"/>
        <v>12</v>
      </c>
      <c r="K308">
        <f t="shared" si="19"/>
        <v>1</v>
      </c>
      <c r="N308" s="318">
        <f t="shared" si="16"/>
        <v>45145</v>
      </c>
      <c r="O308" s="318">
        <f t="shared" si="17"/>
        <v>45145</v>
      </c>
    </row>
    <row r="309" spans="1:15">
      <c r="A309" s="314" t="s">
        <v>3933</v>
      </c>
      <c r="B309" s="314" t="s">
        <v>3934</v>
      </c>
      <c r="C309" s="315">
        <v>45145.1293518519</v>
      </c>
      <c r="D309" s="315">
        <v>45145.5253356481</v>
      </c>
      <c r="E309" s="314" t="s">
        <v>4624</v>
      </c>
      <c r="F309" s="314" t="s">
        <v>109</v>
      </c>
      <c r="G309" s="316">
        <v>5000</v>
      </c>
      <c r="H309" t="e">
        <f>VLOOKUP(B:B,代理总表!A:D,3,FALSE)</f>
        <v>#N/A</v>
      </c>
      <c r="I309" t="e">
        <f>VLOOKUP(B:B,代理总表!A:D,4,FALSE)</f>
        <v>#N/A</v>
      </c>
      <c r="J309">
        <f t="shared" si="18"/>
        <v>12</v>
      </c>
      <c r="K309">
        <f t="shared" si="19"/>
        <v>1</v>
      </c>
      <c r="N309" s="318">
        <f t="shared" si="16"/>
        <v>45145</v>
      </c>
      <c r="O309" s="318">
        <f t="shared" si="17"/>
        <v>45145</v>
      </c>
    </row>
    <row r="310" spans="1:15">
      <c r="A310" s="314" t="s">
        <v>4715</v>
      </c>
      <c r="B310" s="314" t="s">
        <v>285</v>
      </c>
      <c r="C310" s="315">
        <v>45123.3242476852</v>
      </c>
      <c r="D310" s="315">
        <v>45145.5241435185</v>
      </c>
      <c r="E310" s="314" t="s">
        <v>4624</v>
      </c>
      <c r="F310" s="314" t="s">
        <v>109</v>
      </c>
      <c r="G310" s="316">
        <v>100</v>
      </c>
      <c r="H310" t="str">
        <f>VLOOKUP(B:B,代理总表!A:D,3,FALSE)</f>
        <v>雨燕直播</v>
      </c>
      <c r="I310" t="str">
        <f>VLOOKUP(B:B,代理总表!A:D,4,FALSE)</f>
        <v>雨燕直播zzzb888</v>
      </c>
      <c r="J310">
        <f t="shared" si="18"/>
        <v>12</v>
      </c>
      <c r="K310">
        <f t="shared" si="19"/>
        <v>0</v>
      </c>
      <c r="N310" s="318">
        <f t="shared" si="16"/>
        <v>45123</v>
      </c>
      <c r="O310" s="318">
        <f t="shared" si="17"/>
        <v>45145</v>
      </c>
    </row>
    <row r="311" spans="1:15">
      <c r="A311" s="314" t="s">
        <v>4716</v>
      </c>
      <c r="B311" s="314" t="s">
        <v>4717</v>
      </c>
      <c r="C311" s="315">
        <v>44968.7178587963</v>
      </c>
      <c r="D311" s="315">
        <v>45145.5149421296</v>
      </c>
      <c r="E311" s="314" t="s">
        <v>4624</v>
      </c>
      <c r="F311" s="314" t="s">
        <v>120</v>
      </c>
      <c r="G311" s="316">
        <v>100000</v>
      </c>
      <c r="H311" t="str">
        <f>VLOOKUP(B:B,代理总表!A:D,3,FALSE)</f>
        <v>外部代理总线</v>
      </c>
      <c r="I311" t="str">
        <f>VLOOKUP(B:B,代理总表!A:D,4,FALSE)</f>
        <v>外部代理总线zh0808</v>
      </c>
      <c r="J311">
        <f t="shared" si="18"/>
        <v>12</v>
      </c>
      <c r="K311">
        <f t="shared" si="19"/>
        <v>0</v>
      </c>
      <c r="N311" s="318">
        <f t="shared" si="16"/>
        <v>44968</v>
      </c>
      <c r="O311" s="318">
        <f t="shared" si="17"/>
        <v>45145</v>
      </c>
    </row>
    <row r="312" spans="1:15">
      <c r="A312" s="314" t="s">
        <v>4718</v>
      </c>
      <c r="B312" s="314" t="s">
        <v>1283</v>
      </c>
      <c r="C312" s="315">
        <v>45127.9789467593</v>
      </c>
      <c r="D312" s="315">
        <v>45145.5141550926</v>
      </c>
      <c r="E312" s="314" t="s">
        <v>4624</v>
      </c>
      <c r="F312" s="314" t="s">
        <v>109</v>
      </c>
      <c r="G312" s="316">
        <v>1000</v>
      </c>
      <c r="H312" t="str">
        <f>VLOOKUP(B:B,代理总表!A:D,3,FALSE)</f>
        <v>GT-B直播</v>
      </c>
      <c r="I312" t="str">
        <f>VLOOKUP(B:B,代理总表!A:D,4,FALSE)</f>
        <v>B直播gt6688</v>
      </c>
      <c r="J312">
        <f t="shared" si="18"/>
        <v>12</v>
      </c>
      <c r="K312">
        <f t="shared" si="19"/>
        <v>0</v>
      </c>
      <c r="N312" s="318">
        <f t="shared" si="16"/>
        <v>45127</v>
      </c>
      <c r="O312" s="318">
        <f t="shared" si="17"/>
        <v>45145</v>
      </c>
    </row>
    <row r="313" spans="1:15">
      <c r="A313" s="314" t="s">
        <v>4719</v>
      </c>
      <c r="B313" s="314" t="s">
        <v>197</v>
      </c>
      <c r="C313" s="315">
        <v>45144.9228356481</v>
      </c>
      <c r="D313" s="315">
        <v>45145.5133680556</v>
      </c>
      <c r="E313" s="314" t="s">
        <v>4624</v>
      </c>
      <c r="F313" s="314" t="s">
        <v>120</v>
      </c>
      <c r="G313" s="316">
        <v>700000</v>
      </c>
      <c r="H313" t="str">
        <f>VLOOKUP(B:B,代理总表!A:D,3,FALSE)</f>
        <v>雨燕直播-越</v>
      </c>
      <c r="I313" t="str">
        <f>VLOOKUP(B:B,代理总表!A:D,4,FALSE)</f>
        <v>雨燕直播-越ffvn66</v>
      </c>
      <c r="J313">
        <f t="shared" si="18"/>
        <v>12</v>
      </c>
      <c r="K313">
        <f t="shared" si="19"/>
        <v>0</v>
      </c>
      <c r="N313" s="318">
        <f t="shared" si="16"/>
        <v>45144</v>
      </c>
      <c r="O313" s="318">
        <f t="shared" si="17"/>
        <v>45145</v>
      </c>
    </row>
    <row r="314" spans="1:15">
      <c r="A314" s="314" t="s">
        <v>3044</v>
      </c>
      <c r="B314" s="314" t="s">
        <v>1963</v>
      </c>
      <c r="C314" s="315">
        <v>45145.5015972222</v>
      </c>
      <c r="D314" s="315">
        <v>45145.5102893518</v>
      </c>
      <c r="E314" s="314" t="s">
        <v>4624</v>
      </c>
      <c r="F314" s="314" t="s">
        <v>109</v>
      </c>
      <c r="G314" s="316">
        <v>5000</v>
      </c>
      <c r="H314" t="str">
        <f>VLOOKUP(B:B,代理总表!A:D,3,FALSE)</f>
        <v>GT-骨头</v>
      </c>
      <c r="I314" t="str">
        <f>VLOOKUP(B:B,代理总表!A:D,4,FALSE)</f>
        <v>B直播gt6677</v>
      </c>
      <c r="J314">
        <f t="shared" si="18"/>
        <v>12</v>
      </c>
      <c r="K314">
        <f t="shared" si="19"/>
        <v>1</v>
      </c>
      <c r="N314" s="318">
        <f t="shared" si="16"/>
        <v>45145</v>
      </c>
      <c r="O314" s="318">
        <f t="shared" si="17"/>
        <v>45145</v>
      </c>
    </row>
    <row r="315" spans="1:15">
      <c r="A315" s="314" t="s">
        <v>3097</v>
      </c>
      <c r="B315" s="314" t="s">
        <v>137</v>
      </c>
      <c r="C315" s="315">
        <v>45145.4891782407</v>
      </c>
      <c r="D315" s="315">
        <v>45145.5069675926</v>
      </c>
      <c r="E315" s="314" t="s">
        <v>4624</v>
      </c>
      <c r="F315" s="314" t="s">
        <v>120</v>
      </c>
      <c r="G315" s="316">
        <v>50000</v>
      </c>
      <c r="H315" t="str">
        <f>VLOOKUP(B:B,代理总表!A:D,3,FALSE)</f>
        <v>雨燕直播-越</v>
      </c>
      <c r="I315" t="str">
        <f>VLOOKUP(B:B,代理总表!A:D,4,FALSE)</f>
        <v>雨燕直播-越ffvn66</v>
      </c>
      <c r="J315">
        <f t="shared" si="18"/>
        <v>12</v>
      </c>
      <c r="K315">
        <f t="shared" si="19"/>
        <v>1</v>
      </c>
      <c r="N315" s="318">
        <f t="shared" si="16"/>
        <v>45145</v>
      </c>
      <c r="O315" s="318">
        <f t="shared" si="17"/>
        <v>45145</v>
      </c>
    </row>
    <row r="316" spans="1:15">
      <c r="A316" s="314" t="s">
        <v>3039</v>
      </c>
      <c r="B316" s="314" t="s">
        <v>137</v>
      </c>
      <c r="C316" s="315">
        <v>45145.5016435185</v>
      </c>
      <c r="D316" s="315">
        <v>45145.5061805556</v>
      </c>
      <c r="E316" s="314" t="s">
        <v>4624</v>
      </c>
      <c r="F316" s="314" t="s">
        <v>120</v>
      </c>
      <c r="G316" s="316">
        <v>500000</v>
      </c>
      <c r="H316" t="str">
        <f>VLOOKUP(B:B,代理总表!A:D,3,FALSE)</f>
        <v>雨燕直播-越</v>
      </c>
      <c r="I316" t="str">
        <f>VLOOKUP(B:B,代理总表!A:D,4,FALSE)</f>
        <v>雨燕直播-越ffvn66</v>
      </c>
      <c r="J316">
        <f t="shared" si="18"/>
        <v>12</v>
      </c>
      <c r="K316">
        <f t="shared" si="19"/>
        <v>1</v>
      </c>
      <c r="N316" s="318">
        <f t="shared" si="16"/>
        <v>45145</v>
      </c>
      <c r="O316" s="318">
        <f t="shared" si="17"/>
        <v>45145</v>
      </c>
    </row>
    <row r="317" spans="1:15">
      <c r="A317" s="314" t="s">
        <v>3049</v>
      </c>
      <c r="B317" s="314" t="s">
        <v>536</v>
      </c>
      <c r="C317" s="315">
        <v>45145.5012384259</v>
      </c>
      <c r="D317" s="315">
        <v>45145.5050810185</v>
      </c>
      <c r="E317" s="314" t="s">
        <v>4624</v>
      </c>
      <c r="F317" s="314" t="s">
        <v>120</v>
      </c>
      <c r="G317" s="316">
        <v>1800000</v>
      </c>
      <c r="H317" t="e">
        <f>VLOOKUP(B:B,代理总表!A:D,3,FALSE)</f>
        <v>#N/A</v>
      </c>
      <c r="I317" t="e">
        <f>VLOOKUP(B:B,代理总表!A:D,4,FALSE)</f>
        <v>#N/A</v>
      </c>
      <c r="J317">
        <f t="shared" si="18"/>
        <v>12</v>
      </c>
      <c r="K317">
        <f t="shared" si="19"/>
        <v>1</v>
      </c>
      <c r="N317" s="318">
        <f t="shared" si="16"/>
        <v>45145</v>
      </c>
      <c r="O317" s="318">
        <f t="shared" si="17"/>
        <v>45145</v>
      </c>
    </row>
    <row r="318" spans="1:15">
      <c r="A318" s="314" t="s">
        <v>3069</v>
      </c>
      <c r="B318" s="314" t="s">
        <v>235</v>
      </c>
      <c r="C318" s="315">
        <v>45145.4951157407</v>
      </c>
      <c r="D318" s="315">
        <v>45145.5055324074</v>
      </c>
      <c r="E318" s="314" t="s">
        <v>4624</v>
      </c>
      <c r="F318" s="314" t="s">
        <v>109</v>
      </c>
      <c r="G318" s="316">
        <v>200</v>
      </c>
      <c r="H318" t="str">
        <f>VLOOKUP(B:B,代理总表!A:D,3,FALSE)</f>
        <v>aber</v>
      </c>
      <c r="I318" t="str">
        <f>VLOOKUP(B:B,代理总表!A:D,4,FALSE)</f>
        <v>SEO</v>
      </c>
      <c r="J318">
        <f t="shared" si="18"/>
        <v>12</v>
      </c>
      <c r="K318">
        <f t="shared" si="19"/>
        <v>1</v>
      </c>
      <c r="N318" s="318">
        <f t="shared" si="16"/>
        <v>45145</v>
      </c>
      <c r="O318" s="318">
        <f t="shared" si="17"/>
        <v>45145</v>
      </c>
    </row>
    <row r="319" spans="1:15">
      <c r="A319" s="314" t="s">
        <v>3084</v>
      </c>
      <c r="B319" s="314" t="s">
        <v>505</v>
      </c>
      <c r="C319" s="315">
        <v>45145.4933217593</v>
      </c>
      <c r="D319" s="315">
        <v>45145.5056365741</v>
      </c>
      <c r="E319" s="314" t="s">
        <v>4624</v>
      </c>
      <c r="F319" s="314" t="s">
        <v>120</v>
      </c>
      <c r="G319" s="316">
        <v>10500000</v>
      </c>
      <c r="H319" t="str">
        <f>VLOOKUP(B:B,代理总表!A:D,3,FALSE)</f>
        <v>SOCO越南直播</v>
      </c>
      <c r="I319" t="str">
        <f>VLOOKUP(B:B,代理总表!A:D,4,FALSE)</f>
        <v>SOCO越南直播ffvn66</v>
      </c>
      <c r="J319">
        <f t="shared" si="18"/>
        <v>12</v>
      </c>
      <c r="K319">
        <f t="shared" si="19"/>
        <v>1</v>
      </c>
      <c r="N319" s="318">
        <f t="shared" si="16"/>
        <v>45145</v>
      </c>
      <c r="O319" s="318">
        <f t="shared" si="17"/>
        <v>45145</v>
      </c>
    </row>
    <row r="320" spans="1:15">
      <c r="A320" s="314" t="s">
        <v>3094</v>
      </c>
      <c r="B320" s="314" t="s">
        <v>143</v>
      </c>
      <c r="C320" s="315">
        <v>45145.4897222222</v>
      </c>
      <c r="D320" s="315">
        <v>45145.5049884259</v>
      </c>
      <c r="E320" s="314" t="s">
        <v>4624</v>
      </c>
      <c r="F320" s="314" t="s">
        <v>120</v>
      </c>
      <c r="G320" s="316">
        <v>500000</v>
      </c>
      <c r="H320" t="str">
        <f>VLOOKUP(B:B,代理总表!A:D,3,FALSE)</f>
        <v>雨燕直播-越</v>
      </c>
      <c r="I320" t="str">
        <f>VLOOKUP(B:B,代理总表!A:D,4,FALSE)</f>
        <v>雨燕直播-越ffvn66</v>
      </c>
      <c r="J320">
        <f t="shared" si="18"/>
        <v>12</v>
      </c>
      <c r="K320">
        <f t="shared" si="19"/>
        <v>1</v>
      </c>
      <c r="N320" s="318">
        <f t="shared" si="16"/>
        <v>45145</v>
      </c>
      <c r="O320" s="318">
        <f t="shared" si="17"/>
        <v>45145</v>
      </c>
    </row>
    <row r="321" spans="1:15">
      <c r="A321" s="314" t="s">
        <v>3268</v>
      </c>
      <c r="B321" s="314" t="s">
        <v>760</v>
      </c>
      <c r="C321" s="315">
        <v>45145.4566782407</v>
      </c>
      <c r="D321" s="315">
        <v>45145.4983217593</v>
      </c>
      <c r="E321" s="314" t="s">
        <v>4624</v>
      </c>
      <c r="F321" s="314" t="s">
        <v>109</v>
      </c>
      <c r="G321" s="316">
        <v>500</v>
      </c>
      <c r="H321" t="str">
        <f>VLOOKUP(B:B,代理总表!A:D,3,FALSE)</f>
        <v>GT-骨头</v>
      </c>
      <c r="I321" t="str">
        <f>VLOOKUP(B:B,代理总表!A:D,4,FALSE)</f>
        <v>B直播gt6677</v>
      </c>
      <c r="J321">
        <f t="shared" si="18"/>
        <v>11</v>
      </c>
      <c r="K321">
        <f t="shared" si="19"/>
        <v>1</v>
      </c>
      <c r="N321" s="318">
        <f t="shared" si="16"/>
        <v>45145</v>
      </c>
      <c r="O321" s="318">
        <f t="shared" si="17"/>
        <v>45145</v>
      </c>
    </row>
    <row r="322" spans="1:15">
      <c r="A322" s="314" t="s">
        <v>3073</v>
      </c>
      <c r="B322" s="314" t="s">
        <v>1017</v>
      </c>
      <c r="C322" s="315">
        <v>45145.494837963</v>
      </c>
      <c r="D322" s="315">
        <v>45145.4980439815</v>
      </c>
      <c r="E322" s="314" t="s">
        <v>4624</v>
      </c>
      <c r="F322" s="314" t="s">
        <v>120</v>
      </c>
      <c r="G322" s="316">
        <v>1750000</v>
      </c>
      <c r="H322" t="e">
        <f>VLOOKUP(B:B,代理总表!A:D,3,FALSE)</f>
        <v>#N/A</v>
      </c>
      <c r="I322" t="e">
        <f>VLOOKUP(B:B,代理总表!A:D,4,FALSE)</f>
        <v>#N/A</v>
      </c>
      <c r="J322">
        <f t="shared" si="18"/>
        <v>11</v>
      </c>
      <c r="K322">
        <f t="shared" si="19"/>
        <v>1</v>
      </c>
      <c r="N322" s="318">
        <f t="shared" ref="N322:N385" si="20">INT(C322)</f>
        <v>45145</v>
      </c>
      <c r="O322" s="318">
        <f t="shared" ref="O322:O385" si="21">INT(D322)</f>
        <v>45145</v>
      </c>
    </row>
    <row r="323" spans="1:15">
      <c r="A323" s="314" t="s">
        <v>3147</v>
      </c>
      <c r="B323" s="314" t="s">
        <v>651</v>
      </c>
      <c r="C323" s="315">
        <v>45145.4784143519</v>
      </c>
      <c r="D323" s="315">
        <v>45145.4963888889</v>
      </c>
      <c r="E323" s="314" t="s">
        <v>4624</v>
      </c>
      <c r="F323" s="314" t="s">
        <v>120</v>
      </c>
      <c r="G323" s="316">
        <v>15000000</v>
      </c>
      <c r="H323" t="str">
        <f>VLOOKUP(B:B,代理总表!A:D,3,FALSE)</f>
        <v>雨燕直播-越</v>
      </c>
      <c r="I323" t="str">
        <f>VLOOKUP(B:B,代理总表!A:D,4,FALSE)</f>
        <v>雨燕直播-越ffvn66</v>
      </c>
      <c r="J323">
        <f t="shared" ref="J323:J386" si="22">HOUR(D323)</f>
        <v>11</v>
      </c>
      <c r="K323">
        <f t="shared" ref="K323:K386" si="23">IF(N323=O323,1,0)</f>
        <v>1</v>
      </c>
      <c r="N323" s="318">
        <f t="shared" si="20"/>
        <v>45145</v>
      </c>
      <c r="O323" s="318">
        <f t="shared" si="21"/>
        <v>45145</v>
      </c>
    </row>
    <row r="324" spans="1:15">
      <c r="A324" s="314" t="s">
        <v>3227</v>
      </c>
      <c r="B324" s="314" t="s">
        <v>249</v>
      </c>
      <c r="C324" s="315">
        <v>45145.4652314815</v>
      </c>
      <c r="D324" s="315">
        <v>45145.4967939815</v>
      </c>
      <c r="E324" s="314" t="s">
        <v>4624</v>
      </c>
      <c r="F324" s="314" t="s">
        <v>109</v>
      </c>
      <c r="G324" s="316">
        <v>1100</v>
      </c>
      <c r="H324" t="str">
        <f>VLOOKUP(B:B,代理总表!A:D,3,FALSE)</f>
        <v>飞哥雨燕直播</v>
      </c>
      <c r="I324" t="str">
        <f>VLOOKUP(B:B,代理总表!A:D,4,FALSE)</f>
        <v>飞哥雨燕直播ffmk88</v>
      </c>
      <c r="J324">
        <f t="shared" si="22"/>
        <v>11</v>
      </c>
      <c r="K324">
        <f t="shared" si="23"/>
        <v>1</v>
      </c>
      <c r="N324" s="318">
        <f t="shared" si="20"/>
        <v>45145</v>
      </c>
      <c r="O324" s="318">
        <f t="shared" si="21"/>
        <v>45145</v>
      </c>
    </row>
    <row r="325" spans="1:15">
      <c r="A325" s="314" t="s">
        <v>3171</v>
      </c>
      <c r="B325" s="314" t="s">
        <v>143</v>
      </c>
      <c r="C325" s="315">
        <v>45145.4733912037</v>
      </c>
      <c r="D325" s="315">
        <v>45145.4956018518</v>
      </c>
      <c r="E325" s="314" t="s">
        <v>4624</v>
      </c>
      <c r="F325" s="314" t="s">
        <v>120</v>
      </c>
      <c r="G325" s="316">
        <v>1000000</v>
      </c>
      <c r="H325" t="str">
        <f>VLOOKUP(B:B,代理总表!A:D,3,FALSE)</f>
        <v>雨燕直播-越</v>
      </c>
      <c r="I325" t="str">
        <f>VLOOKUP(B:B,代理总表!A:D,4,FALSE)</f>
        <v>雨燕直播-越ffvn66</v>
      </c>
      <c r="J325">
        <f t="shared" si="22"/>
        <v>11</v>
      </c>
      <c r="K325">
        <f t="shared" si="23"/>
        <v>1</v>
      </c>
      <c r="N325" s="318">
        <f t="shared" si="20"/>
        <v>45145</v>
      </c>
      <c r="O325" s="318">
        <f t="shared" si="21"/>
        <v>45145</v>
      </c>
    </row>
    <row r="326" spans="1:15">
      <c r="A326" s="314" t="s">
        <v>4720</v>
      </c>
      <c r="B326" s="314" t="s">
        <v>522</v>
      </c>
      <c r="C326" s="315">
        <v>45144.633125</v>
      </c>
      <c r="D326" s="315">
        <v>45145.4947453704</v>
      </c>
      <c r="E326" s="314" t="s">
        <v>4624</v>
      </c>
      <c r="F326" s="314" t="s">
        <v>120</v>
      </c>
      <c r="G326" s="316">
        <v>100000</v>
      </c>
      <c r="H326" t="str">
        <f>VLOOKUP(B:B,代理总表!A:D,3,FALSE)</f>
        <v>SOCO越南直播</v>
      </c>
      <c r="I326" t="str">
        <f>VLOOKUP(B:B,代理总表!A:D,4,FALSE)</f>
        <v>SOCO越南直播ffvn66</v>
      </c>
      <c r="J326">
        <f t="shared" si="22"/>
        <v>11</v>
      </c>
      <c r="K326">
        <f t="shared" si="23"/>
        <v>0</v>
      </c>
      <c r="N326" s="318">
        <f t="shared" si="20"/>
        <v>45144</v>
      </c>
      <c r="O326" s="318">
        <f t="shared" si="21"/>
        <v>45145</v>
      </c>
    </row>
    <row r="327" spans="1:15">
      <c r="A327" s="314" t="s">
        <v>3100</v>
      </c>
      <c r="B327" s="314" t="s">
        <v>116</v>
      </c>
      <c r="C327" s="315">
        <v>45145.4887962963</v>
      </c>
      <c r="D327" s="315">
        <v>45145.4990509259</v>
      </c>
      <c r="E327" s="314" t="s">
        <v>4624</v>
      </c>
      <c r="F327" s="314" t="s">
        <v>120</v>
      </c>
      <c r="G327" s="316">
        <v>100000</v>
      </c>
      <c r="H327" t="str">
        <f>VLOOKUP(B:B,代理总表!A:D,3,FALSE)</f>
        <v>外部代理总线</v>
      </c>
      <c r="I327" t="str">
        <f>VLOOKUP(B:B,代理总表!A:D,4,FALSE)</f>
        <v>外部代理总线zh0808</v>
      </c>
      <c r="J327">
        <f t="shared" si="22"/>
        <v>11</v>
      </c>
      <c r="K327">
        <f t="shared" si="23"/>
        <v>1</v>
      </c>
      <c r="N327" s="318">
        <f t="shared" si="20"/>
        <v>45145</v>
      </c>
      <c r="O327" s="318">
        <f t="shared" si="21"/>
        <v>45145</v>
      </c>
    </row>
    <row r="328" spans="1:15">
      <c r="A328" s="314" t="s">
        <v>4721</v>
      </c>
      <c r="B328" s="314" t="s">
        <v>116</v>
      </c>
      <c r="C328" s="315">
        <v>45015.1479398148</v>
      </c>
      <c r="D328" s="315">
        <v>45145.4933564815</v>
      </c>
      <c r="E328" s="314" t="s">
        <v>4624</v>
      </c>
      <c r="F328" s="314" t="s">
        <v>120</v>
      </c>
      <c r="G328" s="316">
        <v>100000</v>
      </c>
      <c r="H328" t="str">
        <f>VLOOKUP(B:B,代理总表!A:D,3,FALSE)</f>
        <v>外部代理总线</v>
      </c>
      <c r="I328" t="str">
        <f>VLOOKUP(B:B,代理总表!A:D,4,FALSE)</f>
        <v>外部代理总线zh0808</v>
      </c>
      <c r="J328">
        <f t="shared" si="22"/>
        <v>11</v>
      </c>
      <c r="K328">
        <f t="shared" si="23"/>
        <v>0</v>
      </c>
      <c r="N328" s="318">
        <f t="shared" si="20"/>
        <v>45015</v>
      </c>
      <c r="O328" s="318">
        <f t="shared" si="21"/>
        <v>45145</v>
      </c>
    </row>
    <row r="329" spans="1:15">
      <c r="A329" s="314" t="s">
        <v>3197</v>
      </c>
      <c r="B329" s="314" t="s">
        <v>1336</v>
      </c>
      <c r="C329" s="315">
        <v>45145.4690046296</v>
      </c>
      <c r="D329" s="315">
        <v>45145.4892708333</v>
      </c>
      <c r="E329" s="314" t="s">
        <v>4624</v>
      </c>
      <c r="F329" s="314" t="s">
        <v>109</v>
      </c>
      <c r="G329" s="316">
        <v>300</v>
      </c>
      <c r="H329" t="str">
        <f>VLOOKUP(B:B,代理总表!A:D,3,FALSE)</f>
        <v>飞哥雨燕直播</v>
      </c>
      <c r="I329" t="str">
        <f>VLOOKUP(B:B,代理总表!A:D,4,FALSE)</f>
        <v>飞哥雨燕直播ffmk88</v>
      </c>
      <c r="J329">
        <f t="shared" si="22"/>
        <v>11</v>
      </c>
      <c r="K329">
        <f t="shared" si="23"/>
        <v>1</v>
      </c>
      <c r="N329" s="318">
        <f t="shared" si="20"/>
        <v>45145</v>
      </c>
      <c r="O329" s="318">
        <f t="shared" si="21"/>
        <v>45145</v>
      </c>
    </row>
    <row r="330" spans="1:15">
      <c r="A330" s="314" t="s">
        <v>3154</v>
      </c>
      <c r="B330" s="314" t="s">
        <v>143</v>
      </c>
      <c r="C330" s="315">
        <v>45145.4776388889</v>
      </c>
      <c r="D330" s="315">
        <v>45145.4892476852</v>
      </c>
      <c r="E330" s="314" t="s">
        <v>4624</v>
      </c>
      <c r="F330" s="314" t="s">
        <v>120</v>
      </c>
      <c r="G330" s="316">
        <v>1000000</v>
      </c>
      <c r="H330" t="str">
        <f>VLOOKUP(B:B,代理总表!A:D,3,FALSE)</f>
        <v>雨燕直播-越</v>
      </c>
      <c r="I330" t="str">
        <f>VLOOKUP(B:B,代理总表!A:D,4,FALSE)</f>
        <v>雨燕直播-越ffvn66</v>
      </c>
      <c r="J330">
        <f t="shared" si="22"/>
        <v>11</v>
      </c>
      <c r="K330">
        <f t="shared" si="23"/>
        <v>1</v>
      </c>
      <c r="N330" s="318">
        <f t="shared" si="20"/>
        <v>45145</v>
      </c>
      <c r="O330" s="318">
        <f t="shared" si="21"/>
        <v>45145</v>
      </c>
    </row>
    <row r="331" spans="1:15">
      <c r="A331" s="314" t="s">
        <v>3451</v>
      </c>
      <c r="B331" s="314" t="s">
        <v>587</v>
      </c>
      <c r="C331" s="315">
        <v>45145.4155092593</v>
      </c>
      <c r="D331" s="315">
        <v>45145.481875</v>
      </c>
      <c r="E331" s="314" t="s">
        <v>4624</v>
      </c>
      <c r="F331" s="314" t="s">
        <v>109</v>
      </c>
      <c r="G331" s="316">
        <v>1000</v>
      </c>
      <c r="H331" t="str">
        <f>VLOOKUP(B:B,代理总表!A:D,3,FALSE)</f>
        <v>飞哥雨燕直播</v>
      </c>
      <c r="I331" t="str">
        <f>VLOOKUP(B:B,代理总表!A:D,4,FALSE)</f>
        <v>飞哥雨燕直播ffmk88</v>
      </c>
      <c r="J331">
        <f t="shared" si="22"/>
        <v>11</v>
      </c>
      <c r="K331">
        <f t="shared" si="23"/>
        <v>1</v>
      </c>
      <c r="N331" s="318">
        <f t="shared" si="20"/>
        <v>45145</v>
      </c>
      <c r="O331" s="318">
        <f t="shared" si="21"/>
        <v>45145</v>
      </c>
    </row>
    <row r="332" spans="1:15">
      <c r="A332" s="314" t="s">
        <v>3190</v>
      </c>
      <c r="B332" s="314" t="s">
        <v>143</v>
      </c>
      <c r="C332" s="315">
        <v>45145.4711689815</v>
      </c>
      <c r="D332" s="315">
        <v>45145.4771759259</v>
      </c>
      <c r="E332" s="314" t="s">
        <v>4624</v>
      </c>
      <c r="F332" s="314" t="s">
        <v>120</v>
      </c>
      <c r="G332" s="316">
        <v>500000</v>
      </c>
      <c r="H332" t="str">
        <f>VLOOKUP(B:B,代理总表!A:D,3,FALSE)</f>
        <v>雨燕直播-越</v>
      </c>
      <c r="I332" t="str">
        <f>VLOOKUP(B:B,代理总表!A:D,4,FALSE)</f>
        <v>雨燕直播-越ffvn66</v>
      </c>
      <c r="J332">
        <f t="shared" si="22"/>
        <v>11</v>
      </c>
      <c r="K332">
        <f t="shared" si="23"/>
        <v>1</v>
      </c>
      <c r="N332" s="318">
        <f t="shared" si="20"/>
        <v>45145</v>
      </c>
      <c r="O332" s="318">
        <f t="shared" si="21"/>
        <v>45145</v>
      </c>
    </row>
    <row r="333" spans="1:15">
      <c r="A333" s="314" t="s">
        <v>3182</v>
      </c>
      <c r="B333" s="314" t="s">
        <v>137</v>
      </c>
      <c r="C333" s="315">
        <v>45145.4714930556</v>
      </c>
      <c r="D333" s="315">
        <v>45145.475625</v>
      </c>
      <c r="E333" s="314" t="s">
        <v>4624</v>
      </c>
      <c r="F333" s="314" t="s">
        <v>120</v>
      </c>
      <c r="G333" s="316">
        <v>300000</v>
      </c>
      <c r="H333" t="str">
        <f>VLOOKUP(B:B,代理总表!A:D,3,FALSE)</f>
        <v>雨燕直播-越</v>
      </c>
      <c r="I333" t="str">
        <f>VLOOKUP(B:B,代理总表!A:D,4,FALSE)</f>
        <v>雨燕直播-越ffvn66</v>
      </c>
      <c r="J333">
        <f t="shared" si="22"/>
        <v>11</v>
      </c>
      <c r="K333">
        <f t="shared" si="23"/>
        <v>1</v>
      </c>
      <c r="N333" s="318">
        <f t="shared" si="20"/>
        <v>45145</v>
      </c>
      <c r="O333" s="318">
        <f t="shared" si="21"/>
        <v>45145</v>
      </c>
    </row>
    <row r="334" spans="1:15">
      <c r="A334" s="314" t="s">
        <v>3290</v>
      </c>
      <c r="B334" s="314" t="s">
        <v>143</v>
      </c>
      <c r="C334" s="315">
        <v>45145.4521180556</v>
      </c>
      <c r="D334" s="315">
        <v>45145.4833796296</v>
      </c>
      <c r="E334" s="314" t="s">
        <v>4624</v>
      </c>
      <c r="F334" s="314" t="s">
        <v>120</v>
      </c>
      <c r="G334" s="316">
        <v>200000</v>
      </c>
      <c r="H334" t="str">
        <f>VLOOKUP(B:B,代理总表!A:D,3,FALSE)</f>
        <v>雨燕直播-越</v>
      </c>
      <c r="I334" t="str">
        <f>VLOOKUP(B:B,代理总表!A:D,4,FALSE)</f>
        <v>雨燕直播-越ffvn66</v>
      </c>
      <c r="J334">
        <f t="shared" si="22"/>
        <v>11</v>
      </c>
      <c r="K334">
        <f t="shared" si="23"/>
        <v>1</v>
      </c>
      <c r="N334" s="318">
        <f t="shared" si="20"/>
        <v>45145</v>
      </c>
      <c r="O334" s="318">
        <f t="shared" si="21"/>
        <v>45145</v>
      </c>
    </row>
    <row r="335" spans="1:15">
      <c r="A335" s="314" t="s">
        <v>3248</v>
      </c>
      <c r="B335" s="314" t="s">
        <v>2339</v>
      </c>
      <c r="C335" s="315">
        <v>45145.4616435185</v>
      </c>
      <c r="D335" s="315">
        <v>45145.4798726852</v>
      </c>
      <c r="E335" s="314" t="s">
        <v>4624</v>
      </c>
      <c r="F335" s="314" t="s">
        <v>120</v>
      </c>
      <c r="G335" s="316">
        <v>100000</v>
      </c>
      <c r="H335" t="str">
        <f>VLOOKUP(B:B,代理总表!A:D,3,FALSE)</f>
        <v>外部代理总线</v>
      </c>
      <c r="I335" t="str">
        <f>VLOOKUP(B:B,代理总表!A:D,4,FALSE)</f>
        <v>外部代理总线zhaoshang</v>
      </c>
      <c r="J335">
        <f t="shared" si="22"/>
        <v>11</v>
      </c>
      <c r="K335">
        <f t="shared" si="23"/>
        <v>1</v>
      </c>
      <c r="N335" s="318">
        <f t="shared" si="20"/>
        <v>45145</v>
      </c>
      <c r="O335" s="318">
        <f t="shared" si="21"/>
        <v>45145</v>
      </c>
    </row>
    <row r="336" spans="1:15">
      <c r="A336" s="314" t="s">
        <v>3329</v>
      </c>
      <c r="B336" s="314" t="s">
        <v>143</v>
      </c>
      <c r="C336" s="315">
        <v>45145.4432291667</v>
      </c>
      <c r="D336" s="315">
        <v>45145.4737268519</v>
      </c>
      <c r="E336" s="314" t="s">
        <v>4624</v>
      </c>
      <c r="F336" s="314" t="s">
        <v>120</v>
      </c>
      <c r="G336" s="316">
        <v>300000</v>
      </c>
      <c r="H336" t="str">
        <f>VLOOKUP(B:B,代理总表!A:D,3,FALSE)</f>
        <v>雨燕直播-越</v>
      </c>
      <c r="I336" t="str">
        <f>VLOOKUP(B:B,代理总表!A:D,4,FALSE)</f>
        <v>雨燕直播-越ffvn66</v>
      </c>
      <c r="J336">
        <f t="shared" si="22"/>
        <v>11</v>
      </c>
      <c r="K336">
        <f t="shared" si="23"/>
        <v>1</v>
      </c>
      <c r="N336" s="318">
        <f t="shared" si="20"/>
        <v>45145</v>
      </c>
      <c r="O336" s="318">
        <f t="shared" si="21"/>
        <v>45145</v>
      </c>
    </row>
    <row r="337" spans="1:15">
      <c r="A337" s="314" t="s">
        <v>3239</v>
      </c>
      <c r="B337" s="314" t="s">
        <v>197</v>
      </c>
      <c r="C337" s="315">
        <v>45145.4635532407</v>
      </c>
      <c r="D337" s="315">
        <v>45145.4705324074</v>
      </c>
      <c r="E337" s="314" t="s">
        <v>4624</v>
      </c>
      <c r="F337" s="314" t="s">
        <v>120</v>
      </c>
      <c r="G337" s="316">
        <v>50000</v>
      </c>
      <c r="H337" t="str">
        <f>VLOOKUP(B:B,代理总表!A:D,3,FALSE)</f>
        <v>雨燕直播-越</v>
      </c>
      <c r="I337" t="str">
        <f>VLOOKUP(B:B,代理总表!A:D,4,FALSE)</f>
        <v>雨燕直播-越ffvn66</v>
      </c>
      <c r="J337">
        <f t="shared" si="22"/>
        <v>11</v>
      </c>
      <c r="K337">
        <f t="shared" si="23"/>
        <v>1</v>
      </c>
      <c r="N337" s="318">
        <f t="shared" si="20"/>
        <v>45145</v>
      </c>
      <c r="O337" s="318">
        <f t="shared" si="21"/>
        <v>45145</v>
      </c>
    </row>
    <row r="338" spans="1:15">
      <c r="A338" s="314" t="s">
        <v>3254</v>
      </c>
      <c r="B338" s="314" t="s">
        <v>522</v>
      </c>
      <c r="C338" s="315">
        <v>45145.4608564815</v>
      </c>
      <c r="D338" s="315">
        <v>45145.4688657407</v>
      </c>
      <c r="E338" s="314" t="s">
        <v>4624</v>
      </c>
      <c r="F338" s="314" t="s">
        <v>120</v>
      </c>
      <c r="G338" s="316">
        <v>1500000</v>
      </c>
      <c r="H338" t="str">
        <f>VLOOKUP(B:B,代理总表!A:D,3,FALSE)</f>
        <v>SOCO越南直播</v>
      </c>
      <c r="I338" t="str">
        <f>VLOOKUP(B:B,代理总表!A:D,4,FALSE)</f>
        <v>SOCO越南直播ffvn66</v>
      </c>
      <c r="J338">
        <f t="shared" si="22"/>
        <v>11</v>
      </c>
      <c r="K338">
        <f t="shared" si="23"/>
        <v>1</v>
      </c>
      <c r="N338" s="318">
        <f t="shared" si="20"/>
        <v>45145</v>
      </c>
      <c r="O338" s="318">
        <f t="shared" si="21"/>
        <v>45145</v>
      </c>
    </row>
    <row r="339" spans="1:15">
      <c r="A339" s="314" t="s">
        <v>3341</v>
      </c>
      <c r="B339" s="314" t="s">
        <v>148</v>
      </c>
      <c r="C339" s="315">
        <v>45145.4406134259</v>
      </c>
      <c r="D339" s="315">
        <v>45145.4774421296</v>
      </c>
      <c r="E339" s="314" t="s">
        <v>4624</v>
      </c>
      <c r="F339" s="314" t="s">
        <v>109</v>
      </c>
      <c r="G339" s="316">
        <v>100</v>
      </c>
      <c r="H339" t="str">
        <f>VLOOKUP(B:B,代理总表!A:D,3,FALSE)</f>
        <v>martin</v>
      </c>
      <c r="I339" t="str">
        <f>VLOOKUP(B:B,代理总表!A:D,4,FALSE)</f>
        <v>SEO</v>
      </c>
      <c r="J339">
        <f t="shared" si="22"/>
        <v>11</v>
      </c>
      <c r="K339">
        <f t="shared" si="23"/>
        <v>1</v>
      </c>
      <c r="N339" s="318">
        <f t="shared" si="20"/>
        <v>45145</v>
      </c>
      <c r="O339" s="318">
        <f t="shared" si="21"/>
        <v>45145</v>
      </c>
    </row>
    <row r="340" spans="1:15">
      <c r="A340" s="314" t="s">
        <v>4722</v>
      </c>
      <c r="B340" s="314" t="s">
        <v>754</v>
      </c>
      <c r="C340" s="315">
        <v>45144.5513773148</v>
      </c>
      <c r="D340" s="315">
        <v>45145.4705902778</v>
      </c>
      <c r="E340" s="314" t="s">
        <v>4624</v>
      </c>
      <c r="F340" s="314" t="s">
        <v>109</v>
      </c>
      <c r="G340" s="316">
        <v>100</v>
      </c>
      <c r="H340" t="str">
        <f>VLOOKUP(B:B,代理总表!A:D,3,FALSE)</f>
        <v>SEO掉线用户转线</v>
      </c>
      <c r="I340" t="str">
        <f>VLOOKUP(B:B,代理总表!A:D,4,FALSE)</f>
        <v>SEO</v>
      </c>
      <c r="J340">
        <f t="shared" si="22"/>
        <v>11</v>
      </c>
      <c r="K340">
        <f t="shared" si="23"/>
        <v>0</v>
      </c>
      <c r="N340" s="318">
        <f t="shared" si="20"/>
        <v>45144</v>
      </c>
      <c r="O340" s="318">
        <f t="shared" si="21"/>
        <v>45145</v>
      </c>
    </row>
    <row r="341" spans="1:15">
      <c r="A341" s="314" t="s">
        <v>3351</v>
      </c>
      <c r="B341" s="314" t="s">
        <v>103</v>
      </c>
      <c r="C341" s="315">
        <v>45145.4400694444</v>
      </c>
      <c r="D341" s="315">
        <v>45145.4618981481</v>
      </c>
      <c r="E341" s="314" t="s">
        <v>4624</v>
      </c>
      <c r="F341" s="314" t="s">
        <v>109</v>
      </c>
      <c r="G341" s="316">
        <v>300</v>
      </c>
      <c r="H341" t="str">
        <f>VLOOKUP(B:B,代理总表!A:D,3,FALSE)</f>
        <v>官网</v>
      </c>
      <c r="I341" t="str">
        <f>VLOOKUP(B:B,代理总表!A:D,4,FALSE)</f>
        <v>官网</v>
      </c>
      <c r="J341">
        <f t="shared" si="22"/>
        <v>11</v>
      </c>
      <c r="K341">
        <f t="shared" si="23"/>
        <v>1</v>
      </c>
      <c r="N341" s="318">
        <f t="shared" si="20"/>
        <v>45145</v>
      </c>
      <c r="O341" s="318">
        <f t="shared" si="21"/>
        <v>45145</v>
      </c>
    </row>
    <row r="342" spans="1:15">
      <c r="A342" s="314" t="s">
        <v>4723</v>
      </c>
      <c r="B342" s="314" t="s">
        <v>197</v>
      </c>
      <c r="C342" s="315">
        <v>45144.8505671296</v>
      </c>
      <c r="D342" s="315">
        <v>45145.5048032407</v>
      </c>
      <c r="E342" s="314" t="s">
        <v>4624</v>
      </c>
      <c r="F342" s="314" t="s">
        <v>120</v>
      </c>
      <c r="G342" s="316">
        <v>100000</v>
      </c>
      <c r="H342" t="str">
        <f>VLOOKUP(B:B,代理总表!A:D,3,FALSE)</f>
        <v>雨燕直播-越</v>
      </c>
      <c r="I342" t="str">
        <f>VLOOKUP(B:B,代理总表!A:D,4,FALSE)</f>
        <v>雨燕直播-越ffvn66</v>
      </c>
      <c r="J342">
        <f t="shared" si="22"/>
        <v>12</v>
      </c>
      <c r="K342">
        <f t="shared" si="23"/>
        <v>0</v>
      </c>
      <c r="N342" s="318">
        <f t="shared" si="20"/>
        <v>45144</v>
      </c>
      <c r="O342" s="318">
        <f t="shared" si="21"/>
        <v>45145</v>
      </c>
    </row>
    <row r="343" spans="1:15">
      <c r="A343" s="314" t="s">
        <v>3357</v>
      </c>
      <c r="B343" s="314" t="s">
        <v>103</v>
      </c>
      <c r="C343" s="315">
        <v>45145.4384375</v>
      </c>
      <c r="D343" s="315">
        <v>45145.4571180556</v>
      </c>
      <c r="E343" s="314" t="s">
        <v>4624</v>
      </c>
      <c r="F343" s="314" t="s">
        <v>120</v>
      </c>
      <c r="G343" s="316">
        <v>3000000</v>
      </c>
      <c r="H343" t="str">
        <f>VLOOKUP(B:B,代理总表!A:D,3,FALSE)</f>
        <v>官网</v>
      </c>
      <c r="I343" t="str">
        <f>VLOOKUP(B:B,代理总表!A:D,4,FALSE)</f>
        <v>官网</v>
      </c>
      <c r="J343">
        <f t="shared" si="22"/>
        <v>10</v>
      </c>
      <c r="K343">
        <f t="shared" si="23"/>
        <v>1</v>
      </c>
      <c r="N343" s="318">
        <f t="shared" si="20"/>
        <v>45145</v>
      </c>
      <c r="O343" s="318">
        <f t="shared" si="21"/>
        <v>45145</v>
      </c>
    </row>
    <row r="344" spans="1:15">
      <c r="A344" s="314" t="s">
        <v>3326</v>
      </c>
      <c r="B344" s="314" t="s">
        <v>143</v>
      </c>
      <c r="C344" s="315">
        <v>45145.4435185185</v>
      </c>
      <c r="D344" s="315">
        <v>45145.4556018518</v>
      </c>
      <c r="E344" s="314" t="s">
        <v>4624</v>
      </c>
      <c r="F344" s="314" t="s">
        <v>120</v>
      </c>
      <c r="G344" s="316">
        <v>500000</v>
      </c>
      <c r="H344" t="str">
        <f>VLOOKUP(B:B,代理总表!A:D,3,FALSE)</f>
        <v>雨燕直播-越</v>
      </c>
      <c r="I344" t="str">
        <f>VLOOKUP(B:B,代理总表!A:D,4,FALSE)</f>
        <v>雨燕直播-越ffvn66</v>
      </c>
      <c r="J344">
        <f t="shared" si="22"/>
        <v>10</v>
      </c>
      <c r="K344">
        <f t="shared" si="23"/>
        <v>1</v>
      </c>
      <c r="N344" s="318">
        <f t="shared" si="20"/>
        <v>45145</v>
      </c>
      <c r="O344" s="318">
        <f t="shared" si="21"/>
        <v>45145</v>
      </c>
    </row>
    <row r="345" spans="1:15">
      <c r="A345" s="314" t="s">
        <v>3313</v>
      </c>
      <c r="B345" s="314" t="s">
        <v>137</v>
      </c>
      <c r="C345" s="315">
        <v>45145.4457986111</v>
      </c>
      <c r="D345" s="315">
        <v>45145.453900463</v>
      </c>
      <c r="E345" s="314" t="s">
        <v>4624</v>
      </c>
      <c r="F345" s="314" t="s">
        <v>120</v>
      </c>
      <c r="G345" s="316">
        <v>1000000</v>
      </c>
      <c r="H345" t="str">
        <f>VLOOKUP(B:B,代理总表!A:D,3,FALSE)</f>
        <v>雨燕直播-越</v>
      </c>
      <c r="I345" t="str">
        <f>VLOOKUP(B:B,代理总表!A:D,4,FALSE)</f>
        <v>雨燕直播-越ffvn66</v>
      </c>
      <c r="J345">
        <f t="shared" si="22"/>
        <v>10</v>
      </c>
      <c r="K345">
        <f t="shared" si="23"/>
        <v>1</v>
      </c>
      <c r="N345" s="318">
        <f t="shared" si="20"/>
        <v>45145</v>
      </c>
      <c r="O345" s="318">
        <f t="shared" si="21"/>
        <v>45145</v>
      </c>
    </row>
    <row r="346" spans="1:15">
      <c r="A346" s="314" t="s">
        <v>3389</v>
      </c>
      <c r="B346" s="314" t="s">
        <v>235</v>
      </c>
      <c r="C346" s="315">
        <v>45145.4298148148</v>
      </c>
      <c r="D346" s="315">
        <v>45145.4477199074</v>
      </c>
      <c r="E346" s="314" t="s">
        <v>4624</v>
      </c>
      <c r="F346" s="314" t="s">
        <v>109</v>
      </c>
      <c r="G346" s="314">
        <v>501</v>
      </c>
      <c r="H346" t="str">
        <f>VLOOKUP(B:B,代理总表!A:D,3,FALSE)</f>
        <v>aber</v>
      </c>
      <c r="I346" t="str">
        <f>VLOOKUP(B:B,代理总表!A:D,4,FALSE)</f>
        <v>SEO</v>
      </c>
      <c r="J346">
        <f t="shared" si="22"/>
        <v>10</v>
      </c>
      <c r="K346">
        <f t="shared" si="23"/>
        <v>1</v>
      </c>
      <c r="N346" s="318">
        <f t="shared" si="20"/>
        <v>45145</v>
      </c>
      <c r="O346" s="318">
        <f t="shared" si="21"/>
        <v>45145</v>
      </c>
    </row>
    <row r="347" spans="1:15">
      <c r="A347" s="314" t="s">
        <v>3345</v>
      </c>
      <c r="B347" s="314" t="s">
        <v>197</v>
      </c>
      <c r="C347" s="315">
        <v>45145.4405092593</v>
      </c>
      <c r="D347" s="315">
        <v>45145.4559375</v>
      </c>
      <c r="E347" s="314" t="s">
        <v>4624</v>
      </c>
      <c r="F347" s="314" t="s">
        <v>120</v>
      </c>
      <c r="G347" s="316">
        <v>300000</v>
      </c>
      <c r="H347" t="str">
        <f>VLOOKUP(B:B,代理总表!A:D,3,FALSE)</f>
        <v>雨燕直播-越</v>
      </c>
      <c r="I347" t="str">
        <f>VLOOKUP(B:B,代理总表!A:D,4,FALSE)</f>
        <v>雨燕直播-越ffvn66</v>
      </c>
      <c r="J347">
        <f t="shared" si="22"/>
        <v>10</v>
      </c>
      <c r="K347">
        <f t="shared" si="23"/>
        <v>1</v>
      </c>
      <c r="N347" s="318">
        <f t="shared" si="20"/>
        <v>45145</v>
      </c>
      <c r="O347" s="318">
        <f t="shared" si="21"/>
        <v>45145</v>
      </c>
    </row>
    <row r="348" spans="1:15">
      <c r="A348" s="314" t="s">
        <v>4189</v>
      </c>
      <c r="B348" s="314" t="s">
        <v>249</v>
      </c>
      <c r="C348" s="315">
        <v>45145.0612615741</v>
      </c>
      <c r="D348" s="315">
        <v>45145.464375</v>
      </c>
      <c r="E348" s="314" t="s">
        <v>4624</v>
      </c>
      <c r="F348" s="314" t="s">
        <v>109</v>
      </c>
      <c r="G348" s="316">
        <v>1000</v>
      </c>
      <c r="H348" t="str">
        <f>VLOOKUP(B:B,代理总表!A:D,3,FALSE)</f>
        <v>飞哥雨燕直播</v>
      </c>
      <c r="I348" t="str">
        <f>VLOOKUP(B:B,代理总表!A:D,4,FALSE)</f>
        <v>飞哥雨燕直播ffmk88</v>
      </c>
      <c r="J348">
        <f t="shared" si="22"/>
        <v>11</v>
      </c>
      <c r="K348">
        <f t="shared" si="23"/>
        <v>1</v>
      </c>
      <c r="N348" s="318">
        <f t="shared" si="20"/>
        <v>45145</v>
      </c>
      <c r="O348" s="318">
        <f t="shared" si="21"/>
        <v>45145</v>
      </c>
    </row>
    <row r="349" spans="1:15">
      <c r="A349" s="314" t="s">
        <v>3366</v>
      </c>
      <c r="B349" s="314" t="s">
        <v>197</v>
      </c>
      <c r="C349" s="315">
        <v>45145.4360763889</v>
      </c>
      <c r="D349" s="315">
        <v>45145.4428935185</v>
      </c>
      <c r="E349" s="314" t="s">
        <v>4624</v>
      </c>
      <c r="F349" s="314" t="s">
        <v>120</v>
      </c>
      <c r="G349" s="316">
        <v>1000000</v>
      </c>
      <c r="H349" t="str">
        <f>VLOOKUP(B:B,代理总表!A:D,3,FALSE)</f>
        <v>雨燕直播-越</v>
      </c>
      <c r="I349" t="str">
        <f>VLOOKUP(B:B,代理总表!A:D,4,FALSE)</f>
        <v>雨燕直播-越ffvn66</v>
      </c>
      <c r="J349">
        <f t="shared" si="22"/>
        <v>10</v>
      </c>
      <c r="K349">
        <f t="shared" si="23"/>
        <v>1</v>
      </c>
      <c r="N349" s="318">
        <f t="shared" si="20"/>
        <v>45145</v>
      </c>
      <c r="O349" s="318">
        <f t="shared" si="21"/>
        <v>45145</v>
      </c>
    </row>
    <row r="350" spans="1:15">
      <c r="A350" s="314" t="s">
        <v>3384</v>
      </c>
      <c r="B350" s="314" t="s">
        <v>137</v>
      </c>
      <c r="C350" s="315">
        <v>45145.4318055556</v>
      </c>
      <c r="D350" s="315">
        <v>45145.4416782407</v>
      </c>
      <c r="E350" s="314" t="s">
        <v>4624</v>
      </c>
      <c r="F350" s="314" t="s">
        <v>120</v>
      </c>
      <c r="G350" s="316">
        <v>700000</v>
      </c>
      <c r="H350" t="str">
        <f>VLOOKUP(B:B,代理总表!A:D,3,FALSE)</f>
        <v>雨燕直播-越</v>
      </c>
      <c r="I350" t="str">
        <f>VLOOKUP(B:B,代理总表!A:D,4,FALSE)</f>
        <v>雨燕直播-越ffvn66</v>
      </c>
      <c r="J350">
        <f t="shared" si="22"/>
        <v>10</v>
      </c>
      <c r="K350">
        <f t="shared" si="23"/>
        <v>1</v>
      </c>
      <c r="N350" s="318">
        <f t="shared" si="20"/>
        <v>45145</v>
      </c>
      <c r="O350" s="318">
        <f t="shared" si="21"/>
        <v>45145</v>
      </c>
    </row>
    <row r="351" spans="1:15">
      <c r="A351" s="314" t="s">
        <v>3374</v>
      </c>
      <c r="B351" s="314" t="s">
        <v>522</v>
      </c>
      <c r="C351" s="315">
        <v>45145.4342708333</v>
      </c>
      <c r="D351" s="315">
        <v>45145.4379976852</v>
      </c>
      <c r="E351" s="314" t="s">
        <v>4624</v>
      </c>
      <c r="F351" s="314" t="s">
        <v>120</v>
      </c>
      <c r="G351" s="316">
        <v>1500000</v>
      </c>
      <c r="H351" t="str">
        <f>VLOOKUP(B:B,代理总表!A:D,3,FALSE)</f>
        <v>SOCO越南直播</v>
      </c>
      <c r="I351" t="str">
        <f>VLOOKUP(B:B,代理总表!A:D,4,FALSE)</f>
        <v>SOCO越南直播ffvn66</v>
      </c>
      <c r="J351">
        <f t="shared" si="22"/>
        <v>10</v>
      </c>
      <c r="K351">
        <f t="shared" si="23"/>
        <v>1</v>
      </c>
      <c r="N351" s="318">
        <f t="shared" si="20"/>
        <v>45145</v>
      </c>
      <c r="O351" s="318">
        <f t="shared" si="21"/>
        <v>45145</v>
      </c>
    </row>
    <row r="352" spans="1:15">
      <c r="A352" s="314" t="s">
        <v>3401</v>
      </c>
      <c r="B352" s="314" t="s">
        <v>594</v>
      </c>
      <c r="C352" s="315">
        <v>45145.4281597222</v>
      </c>
      <c r="D352" s="315">
        <v>45145.4341666667</v>
      </c>
      <c r="E352" s="314" t="s">
        <v>4624</v>
      </c>
      <c r="F352" s="314" t="s">
        <v>109</v>
      </c>
      <c r="G352" s="316">
        <v>2000</v>
      </c>
      <c r="H352" t="str">
        <f>VLOOKUP(B:B,代理总表!A:D,3,FALSE)</f>
        <v>zed</v>
      </c>
      <c r="I352" t="str">
        <f>VLOOKUP(B:B,代理总表!A:D,4,FALSE)</f>
        <v>SEO</v>
      </c>
      <c r="J352">
        <f t="shared" si="22"/>
        <v>10</v>
      </c>
      <c r="K352">
        <f t="shared" si="23"/>
        <v>1</v>
      </c>
      <c r="N352" s="318">
        <f t="shared" si="20"/>
        <v>45145</v>
      </c>
      <c r="O352" s="318">
        <f t="shared" si="21"/>
        <v>45145</v>
      </c>
    </row>
    <row r="353" spans="1:15">
      <c r="A353" s="314" t="s">
        <v>3484</v>
      </c>
      <c r="B353" s="314" t="s">
        <v>143</v>
      </c>
      <c r="C353" s="315">
        <v>45145.3993634259</v>
      </c>
      <c r="D353" s="315">
        <v>45145.4328819444</v>
      </c>
      <c r="E353" s="314" t="s">
        <v>4624</v>
      </c>
      <c r="F353" s="314" t="s">
        <v>120</v>
      </c>
      <c r="G353" s="316">
        <v>100000</v>
      </c>
      <c r="H353" t="str">
        <f>VLOOKUP(B:B,代理总表!A:D,3,FALSE)</f>
        <v>雨燕直播-越</v>
      </c>
      <c r="I353" t="str">
        <f>VLOOKUP(B:B,代理总表!A:D,4,FALSE)</f>
        <v>雨燕直播-越ffvn66</v>
      </c>
      <c r="J353">
        <f t="shared" si="22"/>
        <v>10</v>
      </c>
      <c r="K353">
        <f t="shared" si="23"/>
        <v>1</v>
      </c>
      <c r="N353" s="318">
        <f t="shared" si="20"/>
        <v>45145</v>
      </c>
      <c r="O353" s="318">
        <f t="shared" si="21"/>
        <v>45145</v>
      </c>
    </row>
    <row r="354" spans="1:15">
      <c r="A354" s="314" t="s">
        <v>3432</v>
      </c>
      <c r="B354" s="314" t="s">
        <v>2339</v>
      </c>
      <c r="C354" s="315">
        <v>45145.4217013889</v>
      </c>
      <c r="D354" s="315">
        <v>45145.4321759259</v>
      </c>
      <c r="E354" s="314" t="s">
        <v>4624</v>
      </c>
      <c r="F354" s="314" t="s">
        <v>120</v>
      </c>
      <c r="G354" s="316">
        <v>2600000</v>
      </c>
      <c r="H354" t="str">
        <f>VLOOKUP(B:B,代理总表!A:D,3,FALSE)</f>
        <v>外部代理总线</v>
      </c>
      <c r="I354" t="str">
        <f>VLOOKUP(B:B,代理总表!A:D,4,FALSE)</f>
        <v>外部代理总线zhaoshang</v>
      </c>
      <c r="J354">
        <f t="shared" si="22"/>
        <v>10</v>
      </c>
      <c r="K354">
        <f t="shared" si="23"/>
        <v>1</v>
      </c>
      <c r="N354" s="318">
        <f t="shared" si="20"/>
        <v>45145</v>
      </c>
      <c r="O354" s="318">
        <f t="shared" si="21"/>
        <v>45145</v>
      </c>
    </row>
    <row r="355" spans="1:15">
      <c r="A355" s="314" t="s">
        <v>3421</v>
      </c>
      <c r="B355" s="314" t="s">
        <v>2640</v>
      </c>
      <c r="C355" s="315">
        <v>45145.4235069444</v>
      </c>
      <c r="D355" s="315">
        <v>45145.429212963</v>
      </c>
      <c r="E355" s="314" t="s">
        <v>4624</v>
      </c>
      <c r="F355" s="314" t="s">
        <v>120</v>
      </c>
      <c r="G355" s="316">
        <v>2950000</v>
      </c>
      <c r="H355" t="str">
        <f>VLOOKUP(B:B,代理总表!A:D,3,FALSE)</f>
        <v>外部代理总线</v>
      </c>
      <c r="I355" t="str">
        <f>VLOOKUP(B:B,代理总表!A:D,4,FALSE)</f>
        <v>外部代理总线zhaoshang</v>
      </c>
      <c r="J355">
        <f t="shared" si="22"/>
        <v>10</v>
      </c>
      <c r="K355">
        <f t="shared" si="23"/>
        <v>1</v>
      </c>
      <c r="N355" s="318">
        <f t="shared" si="20"/>
        <v>45145</v>
      </c>
      <c r="O355" s="318">
        <f t="shared" si="21"/>
        <v>45145</v>
      </c>
    </row>
    <row r="356" spans="1:15">
      <c r="A356" s="314" t="s">
        <v>3458</v>
      </c>
      <c r="B356" s="314" t="s">
        <v>294</v>
      </c>
      <c r="C356" s="315">
        <v>45145.4145601852</v>
      </c>
      <c r="D356" s="315">
        <v>45145.4277546296</v>
      </c>
      <c r="E356" s="314" t="s">
        <v>4624</v>
      </c>
      <c r="F356" s="314" t="s">
        <v>109</v>
      </c>
      <c r="G356" s="316">
        <v>500</v>
      </c>
      <c r="H356" t="str">
        <f>VLOOKUP(B:B,代理总表!A:D,3,FALSE)</f>
        <v>DK</v>
      </c>
      <c r="I356" t="str">
        <f>VLOOKUP(B:B,代理总表!A:D,4,FALSE)</f>
        <v>SEO</v>
      </c>
      <c r="J356">
        <f t="shared" si="22"/>
        <v>10</v>
      </c>
      <c r="K356">
        <f t="shared" si="23"/>
        <v>1</v>
      </c>
      <c r="N356" s="318">
        <f t="shared" si="20"/>
        <v>45145</v>
      </c>
      <c r="O356" s="318">
        <f t="shared" si="21"/>
        <v>45145</v>
      </c>
    </row>
    <row r="357" spans="1:15">
      <c r="A357" s="314" t="s">
        <v>3438</v>
      </c>
      <c r="B357" s="314" t="s">
        <v>259</v>
      </c>
      <c r="C357" s="315">
        <v>45145.4208333333</v>
      </c>
      <c r="D357" s="315">
        <v>45145.4301967593</v>
      </c>
      <c r="E357" s="314" t="s">
        <v>4624</v>
      </c>
      <c r="F357" s="314" t="s">
        <v>109</v>
      </c>
      <c r="G357" s="316">
        <v>100</v>
      </c>
      <c r="H357" t="str">
        <f>VLOOKUP(B:B,代理总表!A:D,3,FALSE)</f>
        <v>tony</v>
      </c>
      <c r="I357" t="str">
        <f>VLOOKUP(B:B,代理总表!A:D,4,FALSE)</f>
        <v>SEO</v>
      </c>
      <c r="J357">
        <f t="shared" si="22"/>
        <v>10</v>
      </c>
      <c r="K357">
        <f t="shared" si="23"/>
        <v>1</v>
      </c>
      <c r="N357" s="318">
        <f t="shared" si="20"/>
        <v>45145</v>
      </c>
      <c r="O357" s="318">
        <f t="shared" si="21"/>
        <v>45145</v>
      </c>
    </row>
    <row r="358" spans="1:15">
      <c r="A358" s="314" t="s">
        <v>4565</v>
      </c>
      <c r="B358" s="314" t="s">
        <v>1513</v>
      </c>
      <c r="C358" s="315">
        <v>45145.0044328704</v>
      </c>
      <c r="D358" s="315">
        <v>45145.4174768518</v>
      </c>
      <c r="E358" s="314" t="s">
        <v>4624</v>
      </c>
      <c r="F358" s="314" t="s">
        <v>109</v>
      </c>
      <c r="G358" s="316">
        <v>2650</v>
      </c>
      <c r="H358" t="str">
        <f>VLOOKUP(B:B,代理总表!A:D,3,FALSE)</f>
        <v>GT-骨头</v>
      </c>
      <c r="I358" t="str">
        <f>VLOOKUP(B:B,代理总表!A:D,4,FALSE)</f>
        <v>GT-骨头gt6677</v>
      </c>
      <c r="J358">
        <f t="shared" si="22"/>
        <v>10</v>
      </c>
      <c r="K358">
        <f t="shared" si="23"/>
        <v>1</v>
      </c>
      <c r="N358" s="318">
        <f t="shared" si="20"/>
        <v>45145</v>
      </c>
      <c r="O358" s="318">
        <f t="shared" si="21"/>
        <v>45145</v>
      </c>
    </row>
    <row r="359" spans="1:15">
      <c r="A359" s="314" t="s">
        <v>3473</v>
      </c>
      <c r="B359" s="314" t="s">
        <v>224</v>
      </c>
      <c r="C359" s="315">
        <v>45145.4079166667</v>
      </c>
      <c r="D359" s="315">
        <v>45145.4107986111</v>
      </c>
      <c r="E359" s="314" t="s">
        <v>4624</v>
      </c>
      <c r="F359" s="314" t="s">
        <v>120</v>
      </c>
      <c r="G359" s="316">
        <v>500000</v>
      </c>
      <c r="H359" t="str">
        <f>VLOOKUP(B:B,代理总表!A:D,3,FALSE)</f>
        <v>雨燕直播-越</v>
      </c>
      <c r="I359" t="str">
        <f>VLOOKUP(B:B,代理总表!A:D,4,FALSE)</f>
        <v>雨燕直播-越ffvn66</v>
      </c>
      <c r="J359">
        <f t="shared" si="22"/>
        <v>9</v>
      </c>
      <c r="K359">
        <f t="shared" si="23"/>
        <v>1</v>
      </c>
      <c r="N359" s="318">
        <f t="shared" si="20"/>
        <v>45145</v>
      </c>
      <c r="O359" s="318">
        <f t="shared" si="21"/>
        <v>45145</v>
      </c>
    </row>
    <row r="360" spans="1:15">
      <c r="A360" s="314" t="s">
        <v>3519</v>
      </c>
      <c r="B360" s="314" t="s">
        <v>143</v>
      </c>
      <c r="C360" s="315">
        <v>45145.3877546296</v>
      </c>
      <c r="D360" s="315">
        <v>45145.4084143518</v>
      </c>
      <c r="E360" s="314" t="s">
        <v>4624</v>
      </c>
      <c r="F360" s="314" t="s">
        <v>120</v>
      </c>
      <c r="G360" s="316">
        <v>1000000</v>
      </c>
      <c r="H360" t="str">
        <f>VLOOKUP(B:B,代理总表!A:D,3,FALSE)</f>
        <v>雨燕直播-越</v>
      </c>
      <c r="I360" t="str">
        <f>VLOOKUP(B:B,代理总表!A:D,4,FALSE)</f>
        <v>雨燕直播-越ffvn66</v>
      </c>
      <c r="J360">
        <f t="shared" si="22"/>
        <v>9</v>
      </c>
      <c r="K360">
        <f t="shared" si="23"/>
        <v>1</v>
      </c>
      <c r="N360" s="318">
        <f t="shared" si="20"/>
        <v>45145</v>
      </c>
      <c r="O360" s="318">
        <f t="shared" si="21"/>
        <v>45145</v>
      </c>
    </row>
    <row r="361" spans="1:15">
      <c r="A361" s="314" t="s">
        <v>3539</v>
      </c>
      <c r="B361" s="314" t="s">
        <v>143</v>
      </c>
      <c r="C361" s="315">
        <v>45145.3758796296</v>
      </c>
      <c r="D361" s="315">
        <v>45145.3991898148</v>
      </c>
      <c r="E361" s="314" t="s">
        <v>4624</v>
      </c>
      <c r="F361" s="314" t="s">
        <v>120</v>
      </c>
      <c r="G361" s="316">
        <v>500000</v>
      </c>
      <c r="H361" t="str">
        <f>VLOOKUP(B:B,代理总表!A:D,3,FALSE)</f>
        <v>雨燕直播-越</v>
      </c>
      <c r="I361" t="str">
        <f>VLOOKUP(B:B,代理总表!A:D,4,FALSE)</f>
        <v>雨燕直播-越ffvn66</v>
      </c>
      <c r="J361">
        <f t="shared" si="22"/>
        <v>9</v>
      </c>
      <c r="K361">
        <f t="shared" si="23"/>
        <v>1</v>
      </c>
      <c r="N361" s="318">
        <f t="shared" si="20"/>
        <v>45145</v>
      </c>
      <c r="O361" s="318">
        <f t="shared" si="21"/>
        <v>45145</v>
      </c>
    </row>
    <row r="362" spans="1:15">
      <c r="A362" s="314" t="s">
        <v>3667</v>
      </c>
      <c r="B362" s="314" t="s">
        <v>224</v>
      </c>
      <c r="C362" s="315">
        <v>45145.2887384259</v>
      </c>
      <c r="D362" s="315">
        <v>45145.398912037</v>
      </c>
      <c r="E362" s="314" t="s">
        <v>4624</v>
      </c>
      <c r="F362" s="314" t="s">
        <v>120</v>
      </c>
      <c r="G362" s="316">
        <v>300000</v>
      </c>
      <c r="H362" t="str">
        <f>VLOOKUP(B:B,代理总表!A:D,3,FALSE)</f>
        <v>雨燕直播-越</v>
      </c>
      <c r="I362" t="str">
        <f>VLOOKUP(B:B,代理总表!A:D,4,FALSE)</f>
        <v>雨燕直播-越ffvn66</v>
      </c>
      <c r="J362">
        <f t="shared" si="22"/>
        <v>9</v>
      </c>
      <c r="K362">
        <f t="shared" si="23"/>
        <v>1</v>
      </c>
      <c r="N362" s="318">
        <f t="shared" si="20"/>
        <v>45145</v>
      </c>
      <c r="O362" s="318">
        <f t="shared" si="21"/>
        <v>45145</v>
      </c>
    </row>
    <row r="363" spans="1:15">
      <c r="A363" s="314" t="s">
        <v>3573</v>
      </c>
      <c r="B363" s="314" t="s">
        <v>143</v>
      </c>
      <c r="C363" s="315">
        <v>45145.3620138889</v>
      </c>
      <c r="D363" s="315">
        <v>45145.3890046296</v>
      </c>
      <c r="E363" s="314" t="s">
        <v>4624</v>
      </c>
      <c r="F363" s="314" t="s">
        <v>120</v>
      </c>
      <c r="G363" s="316">
        <v>200000</v>
      </c>
      <c r="H363" t="str">
        <f>VLOOKUP(B:B,代理总表!A:D,3,FALSE)</f>
        <v>雨燕直播-越</v>
      </c>
      <c r="I363" t="str">
        <f>VLOOKUP(B:B,代理总表!A:D,4,FALSE)</f>
        <v>雨燕直播-越ffvn66</v>
      </c>
      <c r="J363">
        <f t="shared" si="22"/>
        <v>9</v>
      </c>
      <c r="K363">
        <f t="shared" si="23"/>
        <v>1</v>
      </c>
      <c r="N363" s="318">
        <f t="shared" si="20"/>
        <v>45145</v>
      </c>
      <c r="O363" s="318">
        <f t="shared" si="21"/>
        <v>45145</v>
      </c>
    </row>
    <row r="364" spans="1:15">
      <c r="A364" s="314" t="s">
        <v>3576</v>
      </c>
      <c r="B364" s="314" t="s">
        <v>137</v>
      </c>
      <c r="C364" s="315">
        <v>45145.3615856481</v>
      </c>
      <c r="D364" s="315">
        <v>45145.3875462963</v>
      </c>
      <c r="E364" s="314" t="s">
        <v>4624</v>
      </c>
      <c r="F364" s="314" t="s">
        <v>120</v>
      </c>
      <c r="G364" s="316">
        <v>200000</v>
      </c>
      <c r="H364" t="str">
        <f>VLOOKUP(B:B,代理总表!A:D,3,FALSE)</f>
        <v>雨燕直播-越</v>
      </c>
      <c r="I364" t="str">
        <f>VLOOKUP(B:B,代理总表!A:D,4,FALSE)</f>
        <v>雨燕直播-越ffvn66</v>
      </c>
      <c r="J364">
        <f t="shared" si="22"/>
        <v>9</v>
      </c>
      <c r="K364">
        <f t="shared" si="23"/>
        <v>1</v>
      </c>
      <c r="N364" s="318">
        <f t="shared" si="20"/>
        <v>45145</v>
      </c>
      <c r="O364" s="318">
        <f t="shared" si="21"/>
        <v>45145</v>
      </c>
    </row>
    <row r="365" spans="1:15">
      <c r="A365" s="314" t="s">
        <v>4724</v>
      </c>
      <c r="B365" s="314" t="s">
        <v>651</v>
      </c>
      <c r="C365" s="315">
        <v>45140.409837963</v>
      </c>
      <c r="D365" s="315">
        <v>45145.3843055556</v>
      </c>
      <c r="E365" s="314" t="s">
        <v>4624</v>
      </c>
      <c r="F365" s="314" t="s">
        <v>120</v>
      </c>
      <c r="G365" s="316">
        <v>500000</v>
      </c>
      <c r="H365" t="str">
        <f>VLOOKUP(B:B,代理总表!A:D,3,FALSE)</f>
        <v>雨燕直播-越</v>
      </c>
      <c r="I365" t="str">
        <f>VLOOKUP(B:B,代理总表!A:D,4,FALSE)</f>
        <v>雨燕直播-越ffvn66</v>
      </c>
      <c r="J365">
        <f t="shared" si="22"/>
        <v>9</v>
      </c>
      <c r="K365">
        <f t="shared" si="23"/>
        <v>0</v>
      </c>
      <c r="N365" s="318">
        <f t="shared" si="20"/>
        <v>45140</v>
      </c>
      <c r="O365" s="318">
        <f t="shared" si="21"/>
        <v>45145</v>
      </c>
    </row>
    <row r="366" spans="1:15">
      <c r="A366" s="314" t="s">
        <v>4725</v>
      </c>
      <c r="B366" s="314" t="s">
        <v>522</v>
      </c>
      <c r="C366" s="315">
        <v>45120.5436805556</v>
      </c>
      <c r="D366" s="315">
        <v>45145.3744675926</v>
      </c>
      <c r="E366" s="314" t="s">
        <v>4624</v>
      </c>
      <c r="F366" s="314" t="s">
        <v>120</v>
      </c>
      <c r="G366" s="316">
        <v>200000</v>
      </c>
      <c r="H366" t="str">
        <f>VLOOKUP(B:B,代理总表!A:D,3,FALSE)</f>
        <v>SOCO越南直播</v>
      </c>
      <c r="I366" t="str">
        <f>VLOOKUP(B:B,代理总表!A:D,4,FALSE)</f>
        <v>SOCO越南直播ffvn66</v>
      </c>
      <c r="J366">
        <f t="shared" si="22"/>
        <v>8</v>
      </c>
      <c r="K366">
        <f t="shared" si="23"/>
        <v>0</v>
      </c>
      <c r="N366" s="318">
        <f t="shared" si="20"/>
        <v>45120</v>
      </c>
      <c r="O366" s="318">
        <f t="shared" si="21"/>
        <v>45145</v>
      </c>
    </row>
    <row r="367" spans="1:15">
      <c r="A367" s="314" t="s">
        <v>4726</v>
      </c>
      <c r="B367" s="314" t="s">
        <v>2121</v>
      </c>
      <c r="C367" s="315">
        <v>45143.7044328704</v>
      </c>
      <c r="D367" s="315">
        <v>45145.3766435185</v>
      </c>
      <c r="E367" s="314" t="s">
        <v>4624</v>
      </c>
      <c r="F367" s="314" t="s">
        <v>109</v>
      </c>
      <c r="G367" s="316">
        <v>1000</v>
      </c>
      <c r="H367" t="str">
        <f>VLOOKUP(B:B,代理总表!A:D,3,FALSE)</f>
        <v>飞哥雨燕直播</v>
      </c>
      <c r="I367" t="str">
        <f>VLOOKUP(B:B,代理总表!A:D,4,FALSE)</f>
        <v>飞哥雨燕直播ffmk88</v>
      </c>
      <c r="J367">
        <f t="shared" si="22"/>
        <v>9</v>
      </c>
      <c r="K367">
        <f t="shared" si="23"/>
        <v>0</v>
      </c>
      <c r="N367" s="318">
        <f t="shared" si="20"/>
        <v>45143</v>
      </c>
      <c r="O367" s="318">
        <f t="shared" si="21"/>
        <v>45145</v>
      </c>
    </row>
    <row r="368" spans="1:15">
      <c r="A368" s="314" t="s">
        <v>3662</v>
      </c>
      <c r="B368" s="314" t="s">
        <v>148</v>
      </c>
      <c r="C368" s="315">
        <v>45145.2911805556</v>
      </c>
      <c r="D368" s="315">
        <v>45145.6568287037</v>
      </c>
      <c r="E368" s="314" t="s">
        <v>4624</v>
      </c>
      <c r="F368" s="314" t="s">
        <v>109</v>
      </c>
      <c r="G368" s="316">
        <v>100</v>
      </c>
      <c r="H368" t="str">
        <f>VLOOKUP(B:B,代理总表!A:D,3,FALSE)</f>
        <v>martin</v>
      </c>
      <c r="I368" t="str">
        <f>VLOOKUP(B:B,代理总表!A:D,4,FALSE)</f>
        <v>SEO</v>
      </c>
      <c r="J368">
        <f t="shared" si="22"/>
        <v>15</v>
      </c>
      <c r="K368">
        <f t="shared" si="23"/>
        <v>1</v>
      </c>
      <c r="N368" s="318">
        <f t="shared" si="20"/>
        <v>45145</v>
      </c>
      <c r="O368" s="318">
        <f t="shared" si="21"/>
        <v>45145</v>
      </c>
    </row>
    <row r="369" spans="1:15">
      <c r="A369" s="314" t="s">
        <v>4086</v>
      </c>
      <c r="B369" s="314" t="s">
        <v>205</v>
      </c>
      <c r="C369" s="315">
        <v>45145.0822916667</v>
      </c>
      <c r="D369" s="315">
        <v>45145.3665972222</v>
      </c>
      <c r="E369" s="314" t="s">
        <v>4624</v>
      </c>
      <c r="F369" s="314" t="s">
        <v>109</v>
      </c>
      <c r="G369" s="316">
        <v>500</v>
      </c>
      <c r="H369" t="str">
        <f>VLOOKUP(B:B,代理总表!A:D,3,FALSE)</f>
        <v>ben</v>
      </c>
      <c r="I369" t="str">
        <f>VLOOKUP(B:B,代理总表!A:D,4,FALSE)</f>
        <v>SEO</v>
      </c>
      <c r="J369">
        <f t="shared" si="22"/>
        <v>8</v>
      </c>
      <c r="K369">
        <f t="shared" si="23"/>
        <v>1</v>
      </c>
      <c r="N369" s="318">
        <f t="shared" si="20"/>
        <v>45145</v>
      </c>
      <c r="O369" s="318">
        <f t="shared" si="21"/>
        <v>45145</v>
      </c>
    </row>
    <row r="370" spans="1:15">
      <c r="A370" s="314" t="s">
        <v>4727</v>
      </c>
      <c r="B370" s="314" t="s">
        <v>197</v>
      </c>
      <c r="C370" s="315">
        <v>45144.9828240741</v>
      </c>
      <c r="D370" s="315">
        <v>45145.3656712963</v>
      </c>
      <c r="E370" s="314" t="s">
        <v>4624</v>
      </c>
      <c r="F370" s="314" t="s">
        <v>120</v>
      </c>
      <c r="G370" s="316">
        <v>200000</v>
      </c>
      <c r="H370" t="str">
        <f>VLOOKUP(B:B,代理总表!A:D,3,FALSE)</f>
        <v>雨燕直播-越</v>
      </c>
      <c r="I370" t="str">
        <f>VLOOKUP(B:B,代理总表!A:D,4,FALSE)</f>
        <v>雨燕直播-越ffvn66</v>
      </c>
      <c r="J370">
        <f t="shared" si="22"/>
        <v>8</v>
      </c>
      <c r="K370">
        <f t="shared" si="23"/>
        <v>0</v>
      </c>
      <c r="N370" s="318">
        <f t="shared" si="20"/>
        <v>45144</v>
      </c>
      <c r="O370" s="318">
        <f t="shared" si="21"/>
        <v>45145</v>
      </c>
    </row>
    <row r="371" spans="1:15">
      <c r="A371" s="314" t="s">
        <v>4728</v>
      </c>
      <c r="B371" s="314" t="s">
        <v>4729</v>
      </c>
      <c r="C371" s="315">
        <v>44611.9778819444</v>
      </c>
      <c r="D371" s="315">
        <v>45145.3633796296</v>
      </c>
      <c r="E371" s="314" t="s">
        <v>4624</v>
      </c>
      <c r="F371" s="314" t="s">
        <v>109</v>
      </c>
      <c r="G371" s="316">
        <v>500</v>
      </c>
      <c r="H371" t="str">
        <f>VLOOKUP(B:B,代理总表!A:D,3,FALSE)</f>
        <v>宝马会</v>
      </c>
      <c r="I371" t="str">
        <f>VLOOKUP(B:B,代理总表!A:D,4,FALSE)</f>
        <v>宝马会bmw666</v>
      </c>
      <c r="J371">
        <f t="shared" si="22"/>
        <v>8</v>
      </c>
      <c r="K371">
        <f t="shared" si="23"/>
        <v>0</v>
      </c>
      <c r="N371" s="318">
        <f t="shared" si="20"/>
        <v>44611</v>
      </c>
      <c r="O371" s="318">
        <f t="shared" si="21"/>
        <v>45145</v>
      </c>
    </row>
    <row r="372" spans="1:15">
      <c r="A372" s="314" t="s">
        <v>4730</v>
      </c>
      <c r="B372" s="314" t="s">
        <v>224</v>
      </c>
      <c r="C372" s="315">
        <v>45140.7337615741</v>
      </c>
      <c r="D372" s="315">
        <v>45145.3638773148</v>
      </c>
      <c r="E372" s="314" t="s">
        <v>4624</v>
      </c>
      <c r="F372" s="314" t="s">
        <v>120</v>
      </c>
      <c r="G372" s="316">
        <v>500000</v>
      </c>
      <c r="H372" t="str">
        <f>VLOOKUP(B:B,代理总表!A:D,3,FALSE)</f>
        <v>雨燕直播-越</v>
      </c>
      <c r="I372" t="str">
        <f>VLOOKUP(B:B,代理总表!A:D,4,FALSE)</f>
        <v>雨燕直播-越ffvn66</v>
      </c>
      <c r="J372">
        <f t="shared" si="22"/>
        <v>8</v>
      </c>
      <c r="K372">
        <f t="shared" si="23"/>
        <v>0</v>
      </c>
      <c r="N372" s="318">
        <f t="shared" si="20"/>
        <v>45140</v>
      </c>
      <c r="O372" s="318">
        <f t="shared" si="21"/>
        <v>45145</v>
      </c>
    </row>
    <row r="373" spans="1:15">
      <c r="A373" s="314" t="s">
        <v>4731</v>
      </c>
      <c r="B373" s="314" t="s">
        <v>4732</v>
      </c>
      <c r="C373" s="315">
        <v>44726.1668518518</v>
      </c>
      <c r="D373" s="315">
        <v>45145.3539930556</v>
      </c>
      <c r="E373" s="314" t="s">
        <v>4624</v>
      </c>
      <c r="F373" s="314" t="s">
        <v>109</v>
      </c>
      <c r="G373" s="316">
        <v>100</v>
      </c>
      <c r="H373" t="str">
        <f>VLOOKUP(B:B,代理总表!A:D,3,FALSE)</f>
        <v>GT-B直播</v>
      </c>
      <c r="I373" t="str">
        <f>VLOOKUP(B:B,代理总表!A:D,4,FALSE)</f>
        <v>B直播gt6688</v>
      </c>
      <c r="J373">
        <f t="shared" si="22"/>
        <v>8</v>
      </c>
      <c r="K373">
        <f t="shared" si="23"/>
        <v>0</v>
      </c>
      <c r="N373" s="318">
        <f t="shared" si="20"/>
        <v>44726</v>
      </c>
      <c r="O373" s="318">
        <f t="shared" si="21"/>
        <v>45145</v>
      </c>
    </row>
    <row r="374" spans="1:15">
      <c r="A374" s="314" t="s">
        <v>4733</v>
      </c>
      <c r="B374" s="314" t="s">
        <v>235</v>
      </c>
      <c r="C374" s="315">
        <v>45144.7689930556</v>
      </c>
      <c r="D374" s="315">
        <v>45145.3184375</v>
      </c>
      <c r="E374" s="314" t="s">
        <v>4624</v>
      </c>
      <c r="F374" s="314" t="s">
        <v>109</v>
      </c>
      <c r="G374" s="316">
        <v>500</v>
      </c>
      <c r="H374" t="str">
        <f>VLOOKUP(B:B,代理总表!A:D,3,FALSE)</f>
        <v>aber</v>
      </c>
      <c r="I374" t="str">
        <f>VLOOKUP(B:B,代理总表!A:D,4,FALSE)</f>
        <v>SEO</v>
      </c>
      <c r="J374">
        <f t="shared" si="22"/>
        <v>7</v>
      </c>
      <c r="K374">
        <f t="shared" si="23"/>
        <v>0</v>
      </c>
      <c r="N374" s="318">
        <f t="shared" si="20"/>
        <v>45144</v>
      </c>
      <c r="O374" s="318">
        <f t="shared" si="21"/>
        <v>45145</v>
      </c>
    </row>
    <row r="375" spans="1:15">
      <c r="A375" s="314" t="s">
        <v>4734</v>
      </c>
      <c r="B375" s="314" t="s">
        <v>2108</v>
      </c>
      <c r="C375" s="315">
        <v>45142.3421412037</v>
      </c>
      <c r="D375" s="315">
        <v>45145.3046759259</v>
      </c>
      <c r="E375" s="314" t="s">
        <v>4624</v>
      </c>
      <c r="F375" s="314" t="s">
        <v>109</v>
      </c>
      <c r="G375" s="316">
        <v>200</v>
      </c>
      <c r="H375" t="str">
        <f>VLOOKUP(B:B,代理总表!A:D,3,FALSE)</f>
        <v>雨燕直播</v>
      </c>
      <c r="I375" t="str">
        <f>VLOOKUP(B:B,代理总表!A:D,4,FALSE)</f>
        <v>雨燕直播zzzb888</v>
      </c>
      <c r="J375">
        <f t="shared" si="22"/>
        <v>7</v>
      </c>
      <c r="K375">
        <f t="shared" si="23"/>
        <v>0</v>
      </c>
      <c r="N375" s="318">
        <f t="shared" si="20"/>
        <v>45142</v>
      </c>
      <c r="O375" s="318">
        <f t="shared" si="21"/>
        <v>45145</v>
      </c>
    </row>
    <row r="376" spans="1:15">
      <c r="A376" s="314" t="s">
        <v>3656</v>
      </c>
      <c r="B376" s="314" t="s">
        <v>333</v>
      </c>
      <c r="C376" s="315">
        <v>45145.293587963</v>
      </c>
      <c r="D376" s="315">
        <v>45145.3037152778</v>
      </c>
      <c r="E376" s="314" t="s">
        <v>4624</v>
      </c>
      <c r="F376" s="314" t="s">
        <v>120</v>
      </c>
      <c r="G376" s="316">
        <v>6950000</v>
      </c>
      <c r="H376" t="e">
        <f>VLOOKUP(B:B,代理总表!A:D,3,FALSE)</f>
        <v>#N/A</v>
      </c>
      <c r="I376" t="e">
        <f>VLOOKUP(B:B,代理总表!A:D,4,FALSE)</f>
        <v>#N/A</v>
      </c>
      <c r="J376">
        <f t="shared" si="22"/>
        <v>7</v>
      </c>
      <c r="K376">
        <f t="shared" si="23"/>
        <v>1</v>
      </c>
      <c r="N376" s="318">
        <f t="shared" si="20"/>
        <v>45145</v>
      </c>
      <c r="O376" s="318">
        <f t="shared" si="21"/>
        <v>45145</v>
      </c>
    </row>
    <row r="377" spans="1:15">
      <c r="A377" s="314" t="s">
        <v>3645</v>
      </c>
      <c r="B377" s="314" t="s">
        <v>294</v>
      </c>
      <c r="C377" s="315">
        <v>45145.2995138889</v>
      </c>
      <c r="D377" s="315">
        <v>45145.3029976852</v>
      </c>
      <c r="E377" s="314" t="s">
        <v>4624</v>
      </c>
      <c r="F377" s="314" t="s">
        <v>109</v>
      </c>
      <c r="G377" s="316">
        <v>100</v>
      </c>
      <c r="H377" t="str">
        <f>VLOOKUP(B:B,代理总表!A:D,3,FALSE)</f>
        <v>DK</v>
      </c>
      <c r="I377" t="str">
        <f>VLOOKUP(B:B,代理总表!A:D,4,FALSE)</f>
        <v>SEO</v>
      </c>
      <c r="J377">
        <f t="shared" si="22"/>
        <v>7</v>
      </c>
      <c r="K377">
        <f t="shared" si="23"/>
        <v>1</v>
      </c>
      <c r="N377" s="318">
        <f t="shared" si="20"/>
        <v>45145</v>
      </c>
      <c r="O377" s="318">
        <f t="shared" si="21"/>
        <v>45145</v>
      </c>
    </row>
    <row r="378" spans="1:15">
      <c r="A378" s="314" t="s">
        <v>3643</v>
      </c>
      <c r="B378" s="314" t="s">
        <v>197</v>
      </c>
      <c r="C378" s="315">
        <v>45145.2996759259</v>
      </c>
      <c r="D378" s="315">
        <v>45145.3064467593</v>
      </c>
      <c r="E378" s="314" t="s">
        <v>4624</v>
      </c>
      <c r="F378" s="314" t="s">
        <v>120</v>
      </c>
      <c r="G378" s="316">
        <v>8000000</v>
      </c>
      <c r="H378" t="str">
        <f>VLOOKUP(B:B,代理总表!A:D,3,FALSE)</f>
        <v>雨燕直播-越</v>
      </c>
      <c r="I378" t="str">
        <f>VLOOKUP(B:B,代理总表!A:D,4,FALSE)</f>
        <v>雨燕直播-越ffvn66</v>
      </c>
      <c r="J378">
        <f t="shared" si="22"/>
        <v>7</v>
      </c>
      <c r="K378">
        <f t="shared" si="23"/>
        <v>1</v>
      </c>
      <c r="N378" s="318">
        <f t="shared" si="20"/>
        <v>45145</v>
      </c>
      <c r="O378" s="318">
        <f t="shared" si="21"/>
        <v>45145</v>
      </c>
    </row>
    <row r="379" spans="1:15">
      <c r="A379" s="314" t="s">
        <v>4735</v>
      </c>
      <c r="B379" s="314" t="s">
        <v>1021</v>
      </c>
      <c r="C379" s="315">
        <v>44878.977349537</v>
      </c>
      <c r="D379" s="315">
        <v>45145.2903472222</v>
      </c>
      <c r="E379" s="314" t="s">
        <v>4624</v>
      </c>
      <c r="F379" s="314" t="s">
        <v>120</v>
      </c>
      <c r="G379" s="316">
        <v>500000</v>
      </c>
      <c r="H379" t="str">
        <f>VLOOKUP(B:B,代理总表!A:D,3,FALSE)</f>
        <v>SOCO越南直播</v>
      </c>
      <c r="I379" t="str">
        <f>VLOOKUP(B:B,代理总表!A:D,4,FALSE)</f>
        <v>SOCO越南直播ffvn66</v>
      </c>
      <c r="J379">
        <f t="shared" si="22"/>
        <v>6</v>
      </c>
      <c r="K379">
        <f t="shared" si="23"/>
        <v>0</v>
      </c>
      <c r="N379" s="318">
        <f t="shared" si="20"/>
        <v>44878</v>
      </c>
      <c r="O379" s="318">
        <f t="shared" si="21"/>
        <v>45145</v>
      </c>
    </row>
    <row r="380" spans="1:15">
      <c r="A380" s="314" t="s">
        <v>3680</v>
      </c>
      <c r="B380" s="314" t="s">
        <v>1336</v>
      </c>
      <c r="C380" s="315">
        <v>45145.2841666667</v>
      </c>
      <c r="D380" s="315">
        <v>45145.2936342593</v>
      </c>
      <c r="E380" s="314" t="s">
        <v>4624</v>
      </c>
      <c r="F380" s="314" t="s">
        <v>109</v>
      </c>
      <c r="G380" s="316">
        <v>2000</v>
      </c>
      <c r="H380" t="str">
        <f>VLOOKUP(B:B,代理总表!A:D,3,FALSE)</f>
        <v>飞哥雨燕直播</v>
      </c>
      <c r="I380" t="str">
        <f>VLOOKUP(B:B,代理总表!A:D,4,FALSE)</f>
        <v>飞哥雨燕直播ffmk88</v>
      </c>
      <c r="J380">
        <f t="shared" si="22"/>
        <v>7</v>
      </c>
      <c r="K380">
        <f t="shared" si="23"/>
        <v>1</v>
      </c>
      <c r="N380" s="318">
        <f t="shared" si="20"/>
        <v>45145</v>
      </c>
      <c r="O380" s="318">
        <f t="shared" si="21"/>
        <v>45145</v>
      </c>
    </row>
    <row r="381" spans="1:15">
      <c r="A381" s="314" t="s">
        <v>3722</v>
      </c>
      <c r="B381" s="314" t="s">
        <v>333</v>
      </c>
      <c r="C381" s="315">
        <v>45145.270162037</v>
      </c>
      <c r="D381" s="315">
        <v>45145.280775463</v>
      </c>
      <c r="E381" s="314" t="s">
        <v>4624</v>
      </c>
      <c r="F381" s="314" t="s">
        <v>120</v>
      </c>
      <c r="G381" s="316">
        <v>5000000</v>
      </c>
      <c r="H381" t="e">
        <f>VLOOKUP(B:B,代理总表!A:D,3,FALSE)</f>
        <v>#N/A</v>
      </c>
      <c r="I381" t="e">
        <f>VLOOKUP(B:B,代理总表!A:D,4,FALSE)</f>
        <v>#N/A</v>
      </c>
      <c r="J381">
        <f t="shared" si="22"/>
        <v>6</v>
      </c>
      <c r="K381">
        <f t="shared" si="23"/>
        <v>1</v>
      </c>
      <c r="N381" s="318">
        <f t="shared" si="20"/>
        <v>45145</v>
      </c>
      <c r="O381" s="318">
        <f t="shared" si="21"/>
        <v>45145</v>
      </c>
    </row>
    <row r="382" spans="1:15">
      <c r="A382" s="314" t="s">
        <v>4736</v>
      </c>
      <c r="B382" s="314" t="s">
        <v>4737</v>
      </c>
      <c r="C382" s="315">
        <v>45143.1025347222</v>
      </c>
      <c r="D382" s="315">
        <v>45145.2787615741</v>
      </c>
      <c r="E382" s="314" t="s">
        <v>4624</v>
      </c>
      <c r="F382" s="314" t="s">
        <v>120</v>
      </c>
      <c r="G382" s="316">
        <v>50000</v>
      </c>
      <c r="H382" t="str">
        <f>VLOOKUP(B:B,代理总表!A:D,3,FALSE)</f>
        <v>外部代理总线</v>
      </c>
      <c r="I382" t="str">
        <f>VLOOKUP(B:B,代理总表!A:D,4,FALSE)</f>
        <v>外部代理总线zhaoshang</v>
      </c>
      <c r="J382">
        <f t="shared" si="22"/>
        <v>6</v>
      </c>
      <c r="K382">
        <f t="shared" si="23"/>
        <v>0</v>
      </c>
      <c r="N382" s="318">
        <f t="shared" si="20"/>
        <v>45143</v>
      </c>
      <c r="O382" s="318">
        <f t="shared" si="21"/>
        <v>45145</v>
      </c>
    </row>
    <row r="383" spans="1:15">
      <c r="A383" s="314" t="s">
        <v>3730</v>
      </c>
      <c r="B383" s="314" t="s">
        <v>172</v>
      </c>
      <c r="C383" s="315">
        <v>45145.2566203704</v>
      </c>
      <c r="D383" s="315">
        <v>45145.2760069444</v>
      </c>
      <c r="E383" s="314" t="s">
        <v>4624</v>
      </c>
      <c r="F383" s="314" t="s">
        <v>120</v>
      </c>
      <c r="G383" s="316">
        <v>200000</v>
      </c>
      <c r="H383" t="str">
        <f>VLOOKUP(B:B,代理总表!A:D,3,FALSE)</f>
        <v>雨燕直播-越</v>
      </c>
      <c r="I383" t="str">
        <f>VLOOKUP(B:B,代理总表!A:D,4,FALSE)</f>
        <v>雨燕直播-越ffvn66</v>
      </c>
      <c r="J383">
        <f t="shared" si="22"/>
        <v>6</v>
      </c>
      <c r="K383">
        <f t="shared" si="23"/>
        <v>1</v>
      </c>
      <c r="N383" s="318">
        <f t="shared" si="20"/>
        <v>45145</v>
      </c>
      <c r="O383" s="318">
        <f t="shared" si="21"/>
        <v>45145</v>
      </c>
    </row>
    <row r="384" spans="1:15">
      <c r="A384" s="314" t="s">
        <v>4738</v>
      </c>
      <c r="B384" s="314" t="s">
        <v>148</v>
      </c>
      <c r="C384" s="315">
        <v>45068.9946875</v>
      </c>
      <c r="D384" s="315">
        <v>45145.2602314815</v>
      </c>
      <c r="E384" s="314" t="s">
        <v>4624</v>
      </c>
      <c r="F384" s="314" t="s">
        <v>109</v>
      </c>
      <c r="G384" s="316">
        <v>1000</v>
      </c>
      <c r="H384" t="str">
        <f>VLOOKUP(B:B,代理总表!A:D,3,FALSE)</f>
        <v>martin</v>
      </c>
      <c r="I384" t="str">
        <f>VLOOKUP(B:B,代理总表!A:D,4,FALSE)</f>
        <v>SEO</v>
      </c>
      <c r="J384">
        <f t="shared" si="22"/>
        <v>6</v>
      </c>
      <c r="K384">
        <f t="shared" si="23"/>
        <v>0</v>
      </c>
      <c r="N384" s="318">
        <f t="shared" si="20"/>
        <v>45068</v>
      </c>
      <c r="O384" s="318">
        <f t="shared" si="21"/>
        <v>45145</v>
      </c>
    </row>
    <row r="385" spans="1:15">
      <c r="A385" s="314" t="s">
        <v>3744</v>
      </c>
      <c r="B385" s="314" t="s">
        <v>805</v>
      </c>
      <c r="C385" s="315">
        <v>45145.2509837963</v>
      </c>
      <c r="D385" s="315">
        <v>45145.2561805556</v>
      </c>
      <c r="E385" s="314" t="s">
        <v>4624</v>
      </c>
      <c r="F385" s="314" t="s">
        <v>109</v>
      </c>
      <c r="G385" s="316">
        <v>300</v>
      </c>
      <c r="H385" t="str">
        <f>VLOOKUP(B:B,代理总表!A:D,3,FALSE)</f>
        <v>飞哥雨燕直播</v>
      </c>
      <c r="I385" t="str">
        <f>VLOOKUP(B:B,代理总表!A:D,4,FALSE)</f>
        <v>飞哥雨燕直播ffmk88</v>
      </c>
      <c r="J385">
        <f t="shared" si="22"/>
        <v>6</v>
      </c>
      <c r="K385">
        <f t="shared" si="23"/>
        <v>1</v>
      </c>
      <c r="N385" s="318">
        <f t="shared" si="20"/>
        <v>45145</v>
      </c>
      <c r="O385" s="318">
        <f t="shared" si="21"/>
        <v>45145</v>
      </c>
    </row>
    <row r="386" spans="1:15">
      <c r="A386" s="314" t="s">
        <v>3747</v>
      </c>
      <c r="B386" s="314" t="s">
        <v>333</v>
      </c>
      <c r="C386" s="315">
        <v>45145.2491898148</v>
      </c>
      <c r="D386" s="315">
        <v>45145.2548958333</v>
      </c>
      <c r="E386" s="314" t="s">
        <v>4624</v>
      </c>
      <c r="F386" s="314" t="s">
        <v>120</v>
      </c>
      <c r="G386" s="316">
        <v>4200000</v>
      </c>
      <c r="H386" t="e">
        <f>VLOOKUP(B:B,代理总表!A:D,3,FALSE)</f>
        <v>#N/A</v>
      </c>
      <c r="I386" t="e">
        <f>VLOOKUP(B:B,代理总表!A:D,4,FALSE)</f>
        <v>#N/A</v>
      </c>
      <c r="J386">
        <f t="shared" si="22"/>
        <v>6</v>
      </c>
      <c r="K386">
        <f t="shared" si="23"/>
        <v>1</v>
      </c>
      <c r="N386" s="318">
        <f t="shared" ref="N386:N449" si="24">INT(C386)</f>
        <v>45145</v>
      </c>
      <c r="O386" s="318">
        <f t="shared" ref="O386:O449" si="25">INT(D386)</f>
        <v>45145</v>
      </c>
    </row>
    <row r="387" spans="1:15">
      <c r="A387" s="314" t="s">
        <v>3755</v>
      </c>
      <c r="B387" s="314" t="s">
        <v>479</v>
      </c>
      <c r="C387" s="315">
        <v>45145.2299537037</v>
      </c>
      <c r="D387" s="315">
        <v>45145.2395138889</v>
      </c>
      <c r="E387" s="314" t="s">
        <v>4624</v>
      </c>
      <c r="F387" s="314" t="s">
        <v>109</v>
      </c>
      <c r="G387" s="316">
        <v>200</v>
      </c>
      <c r="H387" t="str">
        <f>VLOOKUP(B:B,代理总表!A:D,3,FALSE)</f>
        <v>GT-骨头</v>
      </c>
      <c r="I387" t="str">
        <f>VLOOKUP(B:B,代理总表!A:D,4,FALSE)</f>
        <v>B直播gt6677</v>
      </c>
      <c r="J387">
        <f t="shared" ref="J387:J450" si="26">HOUR(D387)</f>
        <v>5</v>
      </c>
      <c r="K387">
        <f t="shared" ref="K387:K450" si="27">IF(N387=O387,1,0)</f>
        <v>1</v>
      </c>
      <c r="N387" s="318">
        <f t="shared" si="24"/>
        <v>45145</v>
      </c>
      <c r="O387" s="318">
        <f t="shared" si="25"/>
        <v>45145</v>
      </c>
    </row>
    <row r="388" spans="1:15">
      <c r="A388" s="314" t="s">
        <v>3758</v>
      </c>
      <c r="B388" s="314" t="s">
        <v>2000</v>
      </c>
      <c r="C388" s="315">
        <v>45145.2299074074</v>
      </c>
      <c r="D388" s="315">
        <v>45145.2347916667</v>
      </c>
      <c r="E388" s="314" t="s">
        <v>4624</v>
      </c>
      <c r="F388" s="314" t="s">
        <v>120</v>
      </c>
      <c r="G388" s="316">
        <v>400000</v>
      </c>
      <c r="H388" t="str">
        <f>VLOOKUP(B:B,代理总表!A:D,3,FALSE)</f>
        <v>SOCO越南直播</v>
      </c>
      <c r="I388" t="str">
        <f>VLOOKUP(B:B,代理总表!A:D,4,FALSE)</f>
        <v>SOCO越南直播ffvn66</v>
      </c>
      <c r="J388">
        <f t="shared" si="26"/>
        <v>5</v>
      </c>
      <c r="K388">
        <f t="shared" si="27"/>
        <v>1</v>
      </c>
      <c r="N388" s="318">
        <f t="shared" si="24"/>
        <v>45145</v>
      </c>
      <c r="O388" s="318">
        <f t="shared" si="25"/>
        <v>45145</v>
      </c>
    </row>
    <row r="389" spans="1:15">
      <c r="A389" s="314" t="s">
        <v>3767</v>
      </c>
      <c r="B389" s="314" t="s">
        <v>103</v>
      </c>
      <c r="C389" s="315">
        <v>45145.2287268518</v>
      </c>
      <c r="D389" s="315">
        <v>45145.2340856481</v>
      </c>
      <c r="E389" s="314" t="s">
        <v>4624</v>
      </c>
      <c r="F389" s="314" t="s">
        <v>109</v>
      </c>
      <c r="G389" s="316">
        <v>500</v>
      </c>
      <c r="H389" t="str">
        <f>VLOOKUP(B:B,代理总表!A:D,3,FALSE)</f>
        <v>官网</v>
      </c>
      <c r="I389" t="str">
        <f>VLOOKUP(B:B,代理总表!A:D,4,FALSE)</f>
        <v>官网</v>
      </c>
      <c r="J389">
        <f t="shared" si="26"/>
        <v>5</v>
      </c>
      <c r="K389">
        <f t="shared" si="27"/>
        <v>1</v>
      </c>
      <c r="N389" s="318">
        <f t="shared" si="24"/>
        <v>45145</v>
      </c>
      <c r="O389" s="318">
        <f t="shared" si="25"/>
        <v>45145</v>
      </c>
    </row>
    <row r="390" spans="1:15">
      <c r="A390" s="314" t="s">
        <v>3781</v>
      </c>
      <c r="B390" s="314" t="s">
        <v>235</v>
      </c>
      <c r="C390" s="315">
        <v>45145.2262962963</v>
      </c>
      <c r="D390" s="315">
        <v>45145.2288773148</v>
      </c>
      <c r="E390" s="314" t="s">
        <v>4624</v>
      </c>
      <c r="F390" s="314" t="s">
        <v>109</v>
      </c>
      <c r="G390" s="316">
        <v>100</v>
      </c>
      <c r="H390" t="str">
        <f>VLOOKUP(B:B,代理总表!A:D,3,FALSE)</f>
        <v>aber</v>
      </c>
      <c r="I390" t="str">
        <f>VLOOKUP(B:B,代理总表!A:D,4,FALSE)</f>
        <v>SEO</v>
      </c>
      <c r="J390">
        <f t="shared" si="26"/>
        <v>5</v>
      </c>
      <c r="K390">
        <f t="shared" si="27"/>
        <v>1</v>
      </c>
      <c r="N390" s="318">
        <f t="shared" si="24"/>
        <v>45145</v>
      </c>
      <c r="O390" s="318">
        <f t="shared" si="25"/>
        <v>45145</v>
      </c>
    </row>
    <row r="391" spans="1:15">
      <c r="A391" s="314" t="s">
        <v>3825</v>
      </c>
      <c r="B391" s="314" t="s">
        <v>1525</v>
      </c>
      <c r="C391" s="315">
        <v>45145.1936226852</v>
      </c>
      <c r="D391" s="315">
        <v>45145.2248148148</v>
      </c>
      <c r="E391" s="314" t="s">
        <v>4624</v>
      </c>
      <c r="F391" s="314" t="s">
        <v>109</v>
      </c>
      <c r="G391" s="316">
        <v>200</v>
      </c>
      <c r="H391" t="str">
        <f>VLOOKUP(B:B,代理总表!A:D,3,FALSE)</f>
        <v>GT-骨头</v>
      </c>
      <c r="I391" t="str">
        <f>VLOOKUP(B:B,代理总表!A:D,4,FALSE)</f>
        <v>B直播gt6677</v>
      </c>
      <c r="J391">
        <f t="shared" si="26"/>
        <v>5</v>
      </c>
      <c r="K391">
        <f t="shared" si="27"/>
        <v>1</v>
      </c>
      <c r="N391" s="318">
        <f t="shared" si="24"/>
        <v>45145</v>
      </c>
      <c r="O391" s="318">
        <f t="shared" si="25"/>
        <v>45145</v>
      </c>
    </row>
    <row r="392" spans="1:15">
      <c r="A392" s="314" t="s">
        <v>3799</v>
      </c>
      <c r="B392" s="314" t="s">
        <v>2121</v>
      </c>
      <c r="C392" s="315">
        <v>45145.2103935185</v>
      </c>
      <c r="D392" s="315">
        <v>45145.2224884259</v>
      </c>
      <c r="E392" s="314" t="s">
        <v>4624</v>
      </c>
      <c r="F392" s="314" t="s">
        <v>109</v>
      </c>
      <c r="G392" s="316">
        <v>300</v>
      </c>
      <c r="H392" t="str">
        <f>VLOOKUP(B:B,代理总表!A:D,3,FALSE)</f>
        <v>飞哥雨燕直播</v>
      </c>
      <c r="I392" t="str">
        <f>VLOOKUP(B:B,代理总表!A:D,4,FALSE)</f>
        <v>飞哥雨燕直播ffmk88</v>
      </c>
      <c r="J392">
        <f t="shared" si="26"/>
        <v>5</v>
      </c>
      <c r="K392">
        <f t="shared" si="27"/>
        <v>1</v>
      </c>
      <c r="N392" s="318">
        <f t="shared" si="24"/>
        <v>45145</v>
      </c>
      <c r="O392" s="318">
        <f t="shared" si="25"/>
        <v>45145</v>
      </c>
    </row>
    <row r="393" spans="1:15">
      <c r="A393" s="314" t="s">
        <v>3807</v>
      </c>
      <c r="B393" s="314" t="s">
        <v>333</v>
      </c>
      <c r="C393" s="315">
        <v>45145.2046759259</v>
      </c>
      <c r="D393" s="315">
        <v>45145.2118865741</v>
      </c>
      <c r="E393" s="314" t="s">
        <v>4624</v>
      </c>
      <c r="F393" s="314" t="s">
        <v>120</v>
      </c>
      <c r="G393" s="316">
        <v>3500000</v>
      </c>
      <c r="H393" t="e">
        <f>VLOOKUP(B:B,代理总表!A:D,3,FALSE)</f>
        <v>#N/A</v>
      </c>
      <c r="I393" t="e">
        <f>VLOOKUP(B:B,代理总表!A:D,4,FALSE)</f>
        <v>#N/A</v>
      </c>
      <c r="J393">
        <f t="shared" si="26"/>
        <v>5</v>
      </c>
      <c r="K393">
        <f t="shared" si="27"/>
        <v>1</v>
      </c>
      <c r="N393" s="318">
        <f t="shared" si="24"/>
        <v>45145</v>
      </c>
      <c r="O393" s="318">
        <f t="shared" si="25"/>
        <v>45145</v>
      </c>
    </row>
    <row r="394" spans="1:15">
      <c r="A394" s="314" t="s">
        <v>3920</v>
      </c>
      <c r="B394" s="314" t="s">
        <v>172</v>
      </c>
      <c r="C394" s="315">
        <v>45145.1333564815</v>
      </c>
      <c r="D394" s="315">
        <v>45145.1771875</v>
      </c>
      <c r="E394" s="314" t="s">
        <v>4624</v>
      </c>
      <c r="F394" s="314" t="s">
        <v>120</v>
      </c>
      <c r="G394" s="316">
        <v>100000</v>
      </c>
      <c r="H394" t="str">
        <f>VLOOKUP(B:B,代理总表!A:D,3,FALSE)</f>
        <v>雨燕直播-越</v>
      </c>
      <c r="I394" t="str">
        <f>VLOOKUP(B:B,代理总表!A:D,4,FALSE)</f>
        <v>雨燕直播-越ffvn66</v>
      </c>
      <c r="J394">
        <f t="shared" si="26"/>
        <v>4</v>
      </c>
      <c r="K394">
        <f t="shared" si="27"/>
        <v>1</v>
      </c>
      <c r="N394" s="318">
        <f t="shared" si="24"/>
        <v>45145</v>
      </c>
      <c r="O394" s="318">
        <f t="shared" si="25"/>
        <v>45145</v>
      </c>
    </row>
    <row r="395" spans="1:15">
      <c r="A395" s="314" t="s">
        <v>4052</v>
      </c>
      <c r="B395" s="314" t="s">
        <v>224</v>
      </c>
      <c r="C395" s="315">
        <v>45145.0917708333</v>
      </c>
      <c r="D395" s="315">
        <v>45145.1586342593</v>
      </c>
      <c r="E395" s="314" t="s">
        <v>4624</v>
      </c>
      <c r="F395" s="314" t="s">
        <v>120</v>
      </c>
      <c r="G395" s="316">
        <v>1000000</v>
      </c>
      <c r="H395" t="str">
        <f>VLOOKUP(B:B,代理总表!A:D,3,FALSE)</f>
        <v>雨燕直播-越</v>
      </c>
      <c r="I395" t="str">
        <f>VLOOKUP(B:B,代理总表!A:D,4,FALSE)</f>
        <v>雨燕直播-越ffvn66</v>
      </c>
      <c r="J395">
        <f t="shared" si="26"/>
        <v>3</v>
      </c>
      <c r="K395">
        <f t="shared" si="27"/>
        <v>1</v>
      </c>
      <c r="N395" s="318">
        <f t="shared" si="24"/>
        <v>45145</v>
      </c>
      <c r="O395" s="318">
        <f t="shared" si="25"/>
        <v>45145</v>
      </c>
    </row>
    <row r="396" spans="1:15">
      <c r="A396" s="314" t="s">
        <v>3880</v>
      </c>
      <c r="B396" s="314" t="s">
        <v>370</v>
      </c>
      <c r="C396" s="315">
        <v>45145.1530787037</v>
      </c>
      <c r="D396" s="315">
        <v>45145.1584490741</v>
      </c>
      <c r="E396" s="314" t="s">
        <v>4624</v>
      </c>
      <c r="F396" s="314" t="s">
        <v>109</v>
      </c>
      <c r="G396" s="316">
        <v>100</v>
      </c>
      <c r="H396" t="str">
        <f>VLOOKUP(B:B,代理总表!A:D,3,FALSE)</f>
        <v>GT-骨头</v>
      </c>
      <c r="I396" t="str">
        <f>VLOOKUP(B:B,代理总表!A:D,4,FALSE)</f>
        <v>GT-骨头gt6677</v>
      </c>
      <c r="J396">
        <f t="shared" si="26"/>
        <v>3</v>
      </c>
      <c r="K396">
        <f t="shared" si="27"/>
        <v>1</v>
      </c>
      <c r="N396" s="318">
        <f t="shared" si="24"/>
        <v>45145</v>
      </c>
      <c r="O396" s="318">
        <f t="shared" si="25"/>
        <v>45145</v>
      </c>
    </row>
    <row r="397" spans="1:15">
      <c r="A397" s="314" t="s">
        <v>4739</v>
      </c>
      <c r="B397" s="314" t="s">
        <v>4740</v>
      </c>
      <c r="C397" s="315">
        <v>45141.9775578704</v>
      </c>
      <c r="D397" s="315">
        <v>45145.1589699074</v>
      </c>
      <c r="E397" s="314" t="s">
        <v>4624</v>
      </c>
      <c r="F397" s="314" t="s">
        <v>415</v>
      </c>
      <c r="G397" s="316">
        <v>500</v>
      </c>
      <c r="H397" t="e">
        <f>VLOOKUP(B:B,代理总表!A:D,3,FALSE)</f>
        <v>#N/A</v>
      </c>
      <c r="I397" t="e">
        <f>VLOOKUP(B:B,代理总表!A:D,4,FALSE)</f>
        <v>#N/A</v>
      </c>
      <c r="J397">
        <f t="shared" si="26"/>
        <v>3</v>
      </c>
      <c r="K397">
        <f t="shared" si="27"/>
        <v>0</v>
      </c>
      <c r="N397" s="318">
        <f t="shared" si="24"/>
        <v>45141</v>
      </c>
      <c r="O397" s="318">
        <f t="shared" si="25"/>
        <v>45145</v>
      </c>
    </row>
    <row r="398" spans="1:15">
      <c r="A398" s="314" t="s">
        <v>3907</v>
      </c>
      <c r="B398" s="314" t="s">
        <v>249</v>
      </c>
      <c r="C398" s="315">
        <v>45145.1371759259</v>
      </c>
      <c r="D398" s="315">
        <v>45145.1565625</v>
      </c>
      <c r="E398" s="314" t="s">
        <v>4624</v>
      </c>
      <c r="F398" s="314" t="s">
        <v>109</v>
      </c>
      <c r="G398" s="316">
        <v>300</v>
      </c>
      <c r="H398" t="str">
        <f>VLOOKUP(B:B,代理总表!A:D,3,FALSE)</f>
        <v>飞哥雨燕直播</v>
      </c>
      <c r="I398" t="str">
        <f>VLOOKUP(B:B,代理总表!A:D,4,FALSE)</f>
        <v>飞哥雨燕直播ffmk88</v>
      </c>
      <c r="J398">
        <f t="shared" si="26"/>
        <v>3</v>
      </c>
      <c r="K398">
        <f t="shared" si="27"/>
        <v>1</v>
      </c>
      <c r="N398" s="318">
        <f t="shared" si="24"/>
        <v>45145</v>
      </c>
      <c r="O398" s="318">
        <f t="shared" si="25"/>
        <v>45145</v>
      </c>
    </row>
    <row r="399" spans="1:15">
      <c r="A399" s="314" t="s">
        <v>3940</v>
      </c>
      <c r="B399" s="314" t="s">
        <v>333</v>
      </c>
      <c r="C399" s="315">
        <v>45145.1290740741</v>
      </c>
      <c r="D399" s="315">
        <v>45145.1404166667</v>
      </c>
      <c r="E399" s="314" t="s">
        <v>4624</v>
      </c>
      <c r="F399" s="314" t="s">
        <v>120</v>
      </c>
      <c r="G399" s="316">
        <v>3800000</v>
      </c>
      <c r="H399" t="e">
        <f>VLOOKUP(B:B,代理总表!A:D,3,FALSE)</f>
        <v>#N/A</v>
      </c>
      <c r="I399" t="e">
        <f>VLOOKUP(B:B,代理总表!A:D,4,FALSE)</f>
        <v>#N/A</v>
      </c>
      <c r="J399">
        <f t="shared" si="26"/>
        <v>3</v>
      </c>
      <c r="K399">
        <f t="shared" si="27"/>
        <v>1</v>
      </c>
      <c r="N399" s="318">
        <f t="shared" si="24"/>
        <v>45145</v>
      </c>
      <c r="O399" s="318">
        <f t="shared" si="25"/>
        <v>45145</v>
      </c>
    </row>
    <row r="400" spans="1:15">
      <c r="A400" s="314" t="s">
        <v>3943</v>
      </c>
      <c r="B400" s="314" t="s">
        <v>103</v>
      </c>
      <c r="C400" s="315">
        <v>45145.1290393519</v>
      </c>
      <c r="D400" s="315">
        <v>45145.1325694444</v>
      </c>
      <c r="E400" s="314" t="s">
        <v>4624</v>
      </c>
      <c r="F400" s="314" t="s">
        <v>109</v>
      </c>
      <c r="G400" s="316">
        <v>500</v>
      </c>
      <c r="H400" t="str">
        <f>VLOOKUP(B:B,代理总表!A:D,3,FALSE)</f>
        <v>官网</v>
      </c>
      <c r="I400" t="str">
        <f>VLOOKUP(B:B,代理总表!A:D,4,FALSE)</f>
        <v>官网</v>
      </c>
      <c r="J400">
        <f t="shared" si="26"/>
        <v>3</v>
      </c>
      <c r="K400">
        <f t="shared" si="27"/>
        <v>1</v>
      </c>
      <c r="N400" s="318">
        <f t="shared" si="24"/>
        <v>45145</v>
      </c>
      <c r="O400" s="318">
        <f t="shared" si="25"/>
        <v>45145</v>
      </c>
    </row>
    <row r="401" spans="1:15">
      <c r="A401" s="314" t="s">
        <v>4228</v>
      </c>
      <c r="B401" s="314" t="s">
        <v>240</v>
      </c>
      <c r="C401" s="315">
        <v>45145.0564930556</v>
      </c>
      <c r="D401" s="315">
        <v>45145.1266203704</v>
      </c>
      <c r="E401" s="314" t="s">
        <v>4624</v>
      </c>
      <c r="F401" s="314" t="s">
        <v>109</v>
      </c>
      <c r="G401" s="316">
        <v>300</v>
      </c>
      <c r="H401" t="str">
        <f>VLOOKUP(B:B,代理总表!A:D,3,FALSE)</f>
        <v>SEO邀请</v>
      </c>
      <c r="I401" t="str">
        <f>VLOOKUP(B:B,代理总表!A:D,4,FALSE)</f>
        <v>SEO</v>
      </c>
      <c r="J401">
        <f t="shared" si="26"/>
        <v>3</v>
      </c>
      <c r="K401">
        <f t="shared" si="27"/>
        <v>1</v>
      </c>
      <c r="N401" s="318">
        <f t="shared" si="24"/>
        <v>45145</v>
      </c>
      <c r="O401" s="318">
        <f t="shared" si="25"/>
        <v>45145</v>
      </c>
    </row>
    <row r="402" spans="1:15">
      <c r="A402" s="314" t="s">
        <v>3972</v>
      </c>
      <c r="B402" s="314" t="s">
        <v>333</v>
      </c>
      <c r="C402" s="315">
        <v>45145.1145023148</v>
      </c>
      <c r="D402" s="315">
        <v>45145.1219212963</v>
      </c>
      <c r="E402" s="314" t="s">
        <v>4624</v>
      </c>
      <c r="F402" s="314" t="s">
        <v>120</v>
      </c>
      <c r="G402" s="316">
        <v>3500000</v>
      </c>
      <c r="H402" t="e">
        <f>VLOOKUP(B:B,代理总表!A:D,3,FALSE)</f>
        <v>#N/A</v>
      </c>
      <c r="I402" t="e">
        <f>VLOOKUP(B:B,代理总表!A:D,4,FALSE)</f>
        <v>#N/A</v>
      </c>
      <c r="J402">
        <f t="shared" si="26"/>
        <v>2</v>
      </c>
      <c r="K402">
        <f t="shared" si="27"/>
        <v>1</v>
      </c>
      <c r="N402" s="318">
        <f t="shared" si="24"/>
        <v>45145</v>
      </c>
      <c r="O402" s="318">
        <f t="shared" si="25"/>
        <v>45145</v>
      </c>
    </row>
    <row r="403" spans="1:15">
      <c r="A403" s="314" t="s">
        <v>4013</v>
      </c>
      <c r="B403" s="314" t="s">
        <v>235</v>
      </c>
      <c r="C403" s="315">
        <v>45145.1066435185</v>
      </c>
      <c r="D403" s="315">
        <v>45145.1202430556</v>
      </c>
      <c r="E403" s="314" t="s">
        <v>4624</v>
      </c>
      <c r="F403" s="314" t="s">
        <v>109</v>
      </c>
      <c r="G403" s="316">
        <v>100</v>
      </c>
      <c r="H403" t="str">
        <f>VLOOKUP(B:B,代理总表!A:D,3,FALSE)</f>
        <v>aber</v>
      </c>
      <c r="I403" t="str">
        <f>VLOOKUP(B:B,代理总表!A:D,4,FALSE)</f>
        <v>SEO</v>
      </c>
      <c r="J403">
        <f t="shared" si="26"/>
        <v>2</v>
      </c>
      <c r="K403">
        <f t="shared" si="27"/>
        <v>1</v>
      </c>
      <c r="N403" s="318">
        <f t="shared" si="24"/>
        <v>45145</v>
      </c>
      <c r="O403" s="318">
        <f t="shared" si="25"/>
        <v>45145</v>
      </c>
    </row>
    <row r="404" spans="1:15">
      <c r="A404" s="314" t="s">
        <v>4018</v>
      </c>
      <c r="B404" s="314" t="s">
        <v>116</v>
      </c>
      <c r="C404" s="315">
        <v>45145.1050462963</v>
      </c>
      <c r="D404" s="315">
        <v>45145.1149421296</v>
      </c>
      <c r="E404" s="314" t="s">
        <v>4624</v>
      </c>
      <c r="F404" s="314" t="s">
        <v>120</v>
      </c>
      <c r="G404" s="316">
        <v>400000</v>
      </c>
      <c r="H404" t="str">
        <f>VLOOKUP(B:B,代理总表!A:D,3,FALSE)</f>
        <v>外部代理总线</v>
      </c>
      <c r="I404" t="str">
        <f>VLOOKUP(B:B,代理总表!A:D,4,FALSE)</f>
        <v>外部代理总线zh0808</v>
      </c>
      <c r="J404">
        <f t="shared" si="26"/>
        <v>2</v>
      </c>
      <c r="K404">
        <f t="shared" si="27"/>
        <v>1</v>
      </c>
      <c r="N404" s="318">
        <f t="shared" si="24"/>
        <v>45145</v>
      </c>
      <c r="O404" s="318">
        <f t="shared" si="25"/>
        <v>45145</v>
      </c>
    </row>
    <row r="405" spans="1:15">
      <c r="A405" s="314" t="s">
        <v>3999</v>
      </c>
      <c r="B405" s="314" t="s">
        <v>2108</v>
      </c>
      <c r="C405" s="315">
        <v>45145.1091319444</v>
      </c>
      <c r="D405" s="315">
        <v>45145.1142824074</v>
      </c>
      <c r="E405" s="314" t="s">
        <v>4624</v>
      </c>
      <c r="F405" s="314" t="s">
        <v>109</v>
      </c>
      <c r="G405" s="316">
        <v>200</v>
      </c>
      <c r="H405" t="str">
        <f>VLOOKUP(B:B,代理总表!A:D,3,FALSE)</f>
        <v>雨燕直播</v>
      </c>
      <c r="I405" t="str">
        <f>VLOOKUP(B:B,代理总表!A:D,4,FALSE)</f>
        <v>雨燕直播zzzb888</v>
      </c>
      <c r="J405">
        <f t="shared" si="26"/>
        <v>2</v>
      </c>
      <c r="K405">
        <f t="shared" si="27"/>
        <v>1</v>
      </c>
      <c r="N405" s="318">
        <f t="shared" si="24"/>
        <v>45145</v>
      </c>
      <c r="O405" s="318">
        <f t="shared" si="25"/>
        <v>45145</v>
      </c>
    </row>
    <row r="406" spans="1:15">
      <c r="A406" s="314" t="s">
        <v>4244</v>
      </c>
      <c r="B406" s="314" t="s">
        <v>137</v>
      </c>
      <c r="C406" s="315">
        <v>45145.054849537</v>
      </c>
      <c r="D406" s="315">
        <v>45145.1168634259</v>
      </c>
      <c r="E406" s="314" t="s">
        <v>4624</v>
      </c>
      <c r="F406" s="314" t="s">
        <v>120</v>
      </c>
      <c r="G406" s="316">
        <v>100000</v>
      </c>
      <c r="H406" t="str">
        <f>VLOOKUP(B:B,代理总表!A:D,3,FALSE)</f>
        <v>雨燕直播-越</v>
      </c>
      <c r="I406" t="str">
        <f>VLOOKUP(B:B,代理总表!A:D,4,FALSE)</f>
        <v>雨燕直播-越ffvn66</v>
      </c>
      <c r="J406">
        <f t="shared" si="26"/>
        <v>2</v>
      </c>
      <c r="K406">
        <f t="shared" si="27"/>
        <v>1</v>
      </c>
      <c r="N406" s="318">
        <f t="shared" si="24"/>
        <v>45145</v>
      </c>
      <c r="O406" s="318">
        <f t="shared" si="25"/>
        <v>45145</v>
      </c>
    </row>
    <row r="407" spans="1:15">
      <c r="A407" s="314" t="s">
        <v>4008</v>
      </c>
      <c r="B407" s="314" t="s">
        <v>594</v>
      </c>
      <c r="C407" s="315">
        <v>45145.1086689815</v>
      </c>
      <c r="D407" s="315">
        <v>45145.1118865741</v>
      </c>
      <c r="E407" s="314" t="s">
        <v>4624</v>
      </c>
      <c r="F407" s="314" t="s">
        <v>109</v>
      </c>
      <c r="G407" s="316">
        <v>100</v>
      </c>
      <c r="H407" t="str">
        <f>VLOOKUP(B:B,代理总表!A:D,3,FALSE)</f>
        <v>zed</v>
      </c>
      <c r="I407" t="str">
        <f>VLOOKUP(B:B,代理总表!A:D,4,FALSE)</f>
        <v>SEO</v>
      </c>
      <c r="J407">
        <f t="shared" si="26"/>
        <v>2</v>
      </c>
      <c r="K407">
        <f t="shared" si="27"/>
        <v>1</v>
      </c>
      <c r="N407" s="318">
        <f t="shared" si="24"/>
        <v>45145</v>
      </c>
      <c r="O407" s="318">
        <f t="shared" si="25"/>
        <v>45145</v>
      </c>
    </row>
    <row r="408" spans="1:15">
      <c r="A408" s="314" t="s">
        <v>4741</v>
      </c>
      <c r="B408" s="314" t="s">
        <v>3307</v>
      </c>
      <c r="C408" s="315">
        <v>45138.5296180556</v>
      </c>
      <c r="D408" s="315">
        <v>45145.1112847222</v>
      </c>
      <c r="E408" s="314" t="s">
        <v>4624</v>
      </c>
      <c r="F408" s="314" t="s">
        <v>120</v>
      </c>
      <c r="G408" s="316">
        <v>200000</v>
      </c>
      <c r="H408" t="str">
        <f>VLOOKUP(B:B,代理总表!A:D,3,FALSE)</f>
        <v>Cyrus</v>
      </c>
      <c r="I408" t="str">
        <f>VLOOKUP(B:B,代理总表!A:D,4,FALSE)</f>
        <v>SEO</v>
      </c>
      <c r="J408">
        <f t="shared" si="26"/>
        <v>2</v>
      </c>
      <c r="K408">
        <f t="shared" si="27"/>
        <v>0</v>
      </c>
      <c r="N408" s="318">
        <f t="shared" si="24"/>
        <v>45138</v>
      </c>
      <c r="O408" s="318">
        <f t="shared" si="25"/>
        <v>45145</v>
      </c>
    </row>
    <row r="409" spans="1:15">
      <c r="A409" s="314" t="s">
        <v>4044</v>
      </c>
      <c r="B409" s="314" t="s">
        <v>148</v>
      </c>
      <c r="C409" s="315">
        <v>45145.0955902778</v>
      </c>
      <c r="D409" s="315">
        <v>45145.1097685185</v>
      </c>
      <c r="E409" s="314" t="s">
        <v>4624</v>
      </c>
      <c r="F409" s="314" t="s">
        <v>109</v>
      </c>
      <c r="G409" s="316">
        <v>100</v>
      </c>
      <c r="H409" t="str">
        <f>VLOOKUP(B:B,代理总表!A:D,3,FALSE)</f>
        <v>martin</v>
      </c>
      <c r="I409" t="str">
        <f>VLOOKUP(B:B,代理总表!A:D,4,FALSE)</f>
        <v>SEO</v>
      </c>
      <c r="J409">
        <f t="shared" si="26"/>
        <v>2</v>
      </c>
      <c r="K409">
        <f t="shared" si="27"/>
        <v>1</v>
      </c>
      <c r="N409" s="318">
        <f t="shared" si="24"/>
        <v>45145</v>
      </c>
      <c r="O409" s="318">
        <f t="shared" si="25"/>
        <v>45145</v>
      </c>
    </row>
    <row r="410" spans="1:15">
      <c r="A410" s="314" t="s">
        <v>4036</v>
      </c>
      <c r="B410" s="314" t="s">
        <v>294</v>
      </c>
      <c r="C410" s="315">
        <v>45145.0977314815</v>
      </c>
      <c r="D410" s="315">
        <v>45145.1003935185</v>
      </c>
      <c r="E410" s="314" t="s">
        <v>4624</v>
      </c>
      <c r="F410" s="314" t="s">
        <v>109</v>
      </c>
      <c r="G410" s="316">
        <v>200</v>
      </c>
      <c r="H410" t="str">
        <f>VLOOKUP(B:B,代理总表!A:D,3,FALSE)</f>
        <v>DK</v>
      </c>
      <c r="I410" t="str">
        <f>VLOOKUP(B:B,代理总表!A:D,4,FALSE)</f>
        <v>SEO</v>
      </c>
      <c r="J410">
        <f t="shared" si="26"/>
        <v>2</v>
      </c>
      <c r="K410">
        <f t="shared" si="27"/>
        <v>1</v>
      </c>
      <c r="N410" s="318">
        <f t="shared" si="24"/>
        <v>45145</v>
      </c>
      <c r="O410" s="318">
        <f t="shared" si="25"/>
        <v>45145</v>
      </c>
    </row>
    <row r="411" spans="1:15">
      <c r="A411" s="314" t="s">
        <v>4742</v>
      </c>
      <c r="B411" s="314" t="s">
        <v>760</v>
      </c>
      <c r="C411" s="315">
        <v>45111.0048611111</v>
      </c>
      <c r="D411" s="315">
        <v>45145.1005555556</v>
      </c>
      <c r="E411" s="314" t="s">
        <v>4624</v>
      </c>
      <c r="F411" s="314" t="s">
        <v>109</v>
      </c>
      <c r="G411" s="314">
        <v>1143</v>
      </c>
      <c r="H411" t="str">
        <f>VLOOKUP(B:B,代理总表!A:D,3,FALSE)</f>
        <v>GT-骨头</v>
      </c>
      <c r="I411" t="str">
        <f>VLOOKUP(B:B,代理总表!A:D,4,FALSE)</f>
        <v>B直播gt6677</v>
      </c>
      <c r="J411">
        <f t="shared" si="26"/>
        <v>2</v>
      </c>
      <c r="K411">
        <f t="shared" si="27"/>
        <v>0</v>
      </c>
      <c r="N411" s="318">
        <f t="shared" si="24"/>
        <v>45111</v>
      </c>
      <c r="O411" s="318">
        <f t="shared" si="25"/>
        <v>45145</v>
      </c>
    </row>
    <row r="412" spans="1:15">
      <c r="A412" s="314" t="s">
        <v>4080</v>
      </c>
      <c r="B412" s="314" t="s">
        <v>137</v>
      </c>
      <c r="C412" s="315">
        <v>45145.0853703704</v>
      </c>
      <c r="D412" s="315">
        <v>45145.1031828704</v>
      </c>
      <c r="E412" s="314" t="s">
        <v>4624</v>
      </c>
      <c r="F412" s="314" t="s">
        <v>120</v>
      </c>
      <c r="G412" s="316">
        <v>3000000</v>
      </c>
      <c r="H412" t="str">
        <f>VLOOKUP(B:B,代理总表!A:D,3,FALSE)</f>
        <v>雨燕直播-越</v>
      </c>
      <c r="I412" t="str">
        <f>VLOOKUP(B:B,代理总表!A:D,4,FALSE)</f>
        <v>雨燕直播-越ffvn66</v>
      </c>
      <c r="J412">
        <f t="shared" si="26"/>
        <v>2</v>
      </c>
      <c r="K412">
        <f t="shared" si="27"/>
        <v>1</v>
      </c>
      <c r="N412" s="318">
        <f t="shared" si="24"/>
        <v>45145</v>
      </c>
      <c r="O412" s="318">
        <f t="shared" si="25"/>
        <v>45145</v>
      </c>
    </row>
    <row r="413" spans="1:15">
      <c r="A413" s="314" t="s">
        <v>4060</v>
      </c>
      <c r="B413" s="314" t="s">
        <v>594</v>
      </c>
      <c r="C413" s="315">
        <v>45145.0906597222</v>
      </c>
      <c r="D413" s="315">
        <v>45145.0942592593</v>
      </c>
      <c r="E413" s="314" t="s">
        <v>4624</v>
      </c>
      <c r="F413" s="314" t="s">
        <v>109</v>
      </c>
      <c r="G413" s="316">
        <v>100</v>
      </c>
      <c r="H413" t="str">
        <f>VLOOKUP(B:B,代理总表!A:D,3,FALSE)</f>
        <v>zed</v>
      </c>
      <c r="I413" t="str">
        <f>VLOOKUP(B:B,代理总表!A:D,4,FALSE)</f>
        <v>SEO</v>
      </c>
      <c r="J413">
        <f t="shared" si="26"/>
        <v>2</v>
      </c>
      <c r="K413">
        <f t="shared" si="27"/>
        <v>1</v>
      </c>
      <c r="N413" s="318">
        <f t="shared" si="24"/>
        <v>45145</v>
      </c>
      <c r="O413" s="318">
        <f t="shared" si="25"/>
        <v>45145</v>
      </c>
    </row>
    <row r="414" spans="1:15">
      <c r="A414" s="314" t="s">
        <v>4096</v>
      </c>
      <c r="B414" s="314" t="s">
        <v>172</v>
      </c>
      <c r="C414" s="315">
        <v>45145.0811921296</v>
      </c>
      <c r="D414" s="315">
        <v>45145.0945023148</v>
      </c>
      <c r="E414" s="314" t="s">
        <v>4624</v>
      </c>
      <c r="F414" s="314" t="s">
        <v>120</v>
      </c>
      <c r="G414" s="316">
        <v>500000</v>
      </c>
      <c r="H414" t="str">
        <f>VLOOKUP(B:B,代理总表!A:D,3,FALSE)</f>
        <v>雨燕直播-越</v>
      </c>
      <c r="I414" t="str">
        <f>VLOOKUP(B:B,代理总表!A:D,4,FALSE)</f>
        <v>雨燕直播-越ffvn66</v>
      </c>
      <c r="J414">
        <f t="shared" si="26"/>
        <v>2</v>
      </c>
      <c r="K414">
        <f t="shared" si="27"/>
        <v>1</v>
      </c>
      <c r="N414" s="318">
        <f t="shared" si="24"/>
        <v>45145</v>
      </c>
      <c r="O414" s="318">
        <f t="shared" si="25"/>
        <v>45145</v>
      </c>
    </row>
    <row r="415" spans="1:15">
      <c r="A415" s="314" t="s">
        <v>4092</v>
      </c>
      <c r="B415" s="314" t="s">
        <v>148</v>
      </c>
      <c r="C415" s="315">
        <v>45145.0812268518</v>
      </c>
      <c r="D415" s="315">
        <v>45145.0860069444</v>
      </c>
      <c r="E415" s="314" t="s">
        <v>4624</v>
      </c>
      <c r="F415" s="314" t="s">
        <v>109</v>
      </c>
      <c r="G415" s="316">
        <v>100</v>
      </c>
      <c r="H415" t="str">
        <f>VLOOKUP(B:B,代理总表!A:D,3,FALSE)</f>
        <v>martin</v>
      </c>
      <c r="I415" t="str">
        <f>VLOOKUP(B:B,代理总表!A:D,4,FALSE)</f>
        <v>SEO</v>
      </c>
      <c r="J415">
        <f t="shared" si="26"/>
        <v>2</v>
      </c>
      <c r="K415">
        <f t="shared" si="27"/>
        <v>1</v>
      </c>
      <c r="N415" s="318">
        <f t="shared" si="24"/>
        <v>45145</v>
      </c>
      <c r="O415" s="318">
        <f t="shared" si="25"/>
        <v>45145</v>
      </c>
    </row>
    <row r="416" spans="1:15">
      <c r="A416" s="314" t="s">
        <v>4173</v>
      </c>
      <c r="B416" s="314" t="s">
        <v>249</v>
      </c>
      <c r="C416" s="315">
        <v>45145.067349537</v>
      </c>
      <c r="D416" s="315">
        <v>45145.0861342593</v>
      </c>
      <c r="E416" s="314" t="s">
        <v>4624</v>
      </c>
      <c r="F416" s="314" t="s">
        <v>109</v>
      </c>
      <c r="G416" s="314">
        <v>1088</v>
      </c>
      <c r="H416" t="str">
        <f>VLOOKUP(B:B,代理总表!A:D,3,FALSE)</f>
        <v>飞哥雨燕直播</v>
      </c>
      <c r="I416" t="str">
        <f>VLOOKUP(B:B,代理总表!A:D,4,FALSE)</f>
        <v>飞哥雨燕直播ffmk88</v>
      </c>
      <c r="J416">
        <f t="shared" si="26"/>
        <v>2</v>
      </c>
      <c r="K416">
        <f t="shared" si="27"/>
        <v>1</v>
      </c>
      <c r="N416" s="318">
        <f t="shared" si="24"/>
        <v>45145</v>
      </c>
      <c r="O416" s="318">
        <f t="shared" si="25"/>
        <v>45145</v>
      </c>
    </row>
    <row r="417" spans="1:15">
      <c r="A417" s="314" t="s">
        <v>4127</v>
      </c>
      <c r="B417" s="314" t="s">
        <v>224</v>
      </c>
      <c r="C417" s="315">
        <v>45145.0762268519</v>
      </c>
      <c r="D417" s="315">
        <v>45145.081724537</v>
      </c>
      <c r="E417" s="314" t="s">
        <v>4624</v>
      </c>
      <c r="F417" s="314" t="s">
        <v>120</v>
      </c>
      <c r="G417" s="316">
        <v>100000</v>
      </c>
      <c r="H417" t="str">
        <f>VLOOKUP(B:B,代理总表!A:D,3,FALSE)</f>
        <v>雨燕直播-越</v>
      </c>
      <c r="I417" t="str">
        <f>VLOOKUP(B:B,代理总表!A:D,4,FALSE)</f>
        <v>雨燕直播-越ffvn66</v>
      </c>
      <c r="J417">
        <f t="shared" si="26"/>
        <v>1</v>
      </c>
      <c r="K417">
        <f t="shared" si="27"/>
        <v>1</v>
      </c>
      <c r="N417" s="318">
        <f t="shared" si="24"/>
        <v>45145</v>
      </c>
      <c r="O417" s="318">
        <f t="shared" si="25"/>
        <v>45145</v>
      </c>
    </row>
    <row r="418" spans="1:15">
      <c r="A418" s="314" t="s">
        <v>4207</v>
      </c>
      <c r="B418" s="314" t="s">
        <v>4208</v>
      </c>
      <c r="C418" s="315">
        <v>45145.0582060185</v>
      </c>
      <c r="D418" s="315">
        <v>45145.0830902778</v>
      </c>
      <c r="E418" s="314" t="s">
        <v>4624</v>
      </c>
      <c r="F418" s="314" t="s">
        <v>415</v>
      </c>
      <c r="G418" s="316">
        <v>230</v>
      </c>
      <c r="H418" t="e">
        <f>VLOOKUP(B:B,代理总表!A:D,3,FALSE)</f>
        <v>#N/A</v>
      </c>
      <c r="I418" t="e">
        <f>VLOOKUP(B:B,代理总表!A:D,4,FALSE)</f>
        <v>#N/A</v>
      </c>
      <c r="J418">
        <f t="shared" si="26"/>
        <v>1</v>
      </c>
      <c r="K418">
        <f t="shared" si="27"/>
        <v>1</v>
      </c>
      <c r="N418" s="318">
        <f t="shared" si="24"/>
        <v>45145</v>
      </c>
      <c r="O418" s="318">
        <f t="shared" si="25"/>
        <v>45145</v>
      </c>
    </row>
    <row r="419" spans="1:15">
      <c r="A419" s="314" t="s">
        <v>4743</v>
      </c>
      <c r="B419" s="314" t="s">
        <v>1336</v>
      </c>
      <c r="C419" s="315">
        <v>45144.0567824074</v>
      </c>
      <c r="D419" s="315">
        <v>45145.082974537</v>
      </c>
      <c r="E419" s="314" t="s">
        <v>4624</v>
      </c>
      <c r="F419" s="314" t="s">
        <v>109</v>
      </c>
      <c r="G419" s="316">
        <v>2000</v>
      </c>
      <c r="H419" t="str">
        <f>VLOOKUP(B:B,代理总表!A:D,3,FALSE)</f>
        <v>飞哥雨燕直播</v>
      </c>
      <c r="I419" t="str">
        <f>VLOOKUP(B:B,代理总表!A:D,4,FALSE)</f>
        <v>飞哥雨燕直播ffmk88</v>
      </c>
      <c r="J419">
        <f t="shared" si="26"/>
        <v>1</v>
      </c>
      <c r="K419">
        <f t="shared" si="27"/>
        <v>0</v>
      </c>
      <c r="N419" s="318">
        <f t="shared" si="24"/>
        <v>45144</v>
      </c>
      <c r="O419" s="318">
        <f t="shared" si="25"/>
        <v>45145</v>
      </c>
    </row>
    <row r="420" spans="1:15">
      <c r="A420" s="314" t="s">
        <v>4116</v>
      </c>
      <c r="B420" s="314" t="s">
        <v>148</v>
      </c>
      <c r="C420" s="315">
        <v>45145.0780092593</v>
      </c>
      <c r="D420" s="315">
        <v>45145.0832986111</v>
      </c>
      <c r="E420" s="314" t="s">
        <v>4624</v>
      </c>
      <c r="F420" s="314" t="s">
        <v>109</v>
      </c>
      <c r="G420" s="316">
        <v>500</v>
      </c>
      <c r="H420" t="str">
        <f>VLOOKUP(B:B,代理总表!A:D,3,FALSE)</f>
        <v>martin</v>
      </c>
      <c r="I420" t="str">
        <f>VLOOKUP(B:B,代理总表!A:D,4,FALSE)</f>
        <v>SEO</v>
      </c>
      <c r="J420">
        <f t="shared" si="26"/>
        <v>1</v>
      </c>
      <c r="K420">
        <f t="shared" si="27"/>
        <v>1</v>
      </c>
      <c r="N420" s="318">
        <f t="shared" si="24"/>
        <v>45145</v>
      </c>
      <c r="O420" s="318">
        <f t="shared" si="25"/>
        <v>45145</v>
      </c>
    </row>
    <row r="421" spans="1:15">
      <c r="A421" s="314" t="s">
        <v>4130</v>
      </c>
      <c r="B421" s="314" t="s">
        <v>103</v>
      </c>
      <c r="C421" s="315">
        <v>45145.0756828704</v>
      </c>
      <c r="D421" s="315">
        <v>45145.0814236111</v>
      </c>
      <c r="E421" s="314" t="s">
        <v>4624</v>
      </c>
      <c r="F421" s="314" t="s">
        <v>109</v>
      </c>
      <c r="G421" s="316">
        <v>3000</v>
      </c>
      <c r="H421" t="str">
        <f>VLOOKUP(B:B,代理总表!A:D,3,FALSE)</f>
        <v>官网</v>
      </c>
      <c r="I421" t="str">
        <f>VLOOKUP(B:B,代理总表!A:D,4,FALSE)</f>
        <v>官网</v>
      </c>
      <c r="J421">
        <f t="shared" si="26"/>
        <v>1</v>
      </c>
      <c r="K421">
        <f t="shared" si="27"/>
        <v>1</v>
      </c>
      <c r="N421" s="318">
        <f t="shared" si="24"/>
        <v>45145</v>
      </c>
      <c r="O421" s="318">
        <f t="shared" si="25"/>
        <v>45145</v>
      </c>
    </row>
    <row r="422" spans="1:15">
      <c r="A422" s="314" t="s">
        <v>4166</v>
      </c>
      <c r="B422" s="314" t="s">
        <v>224</v>
      </c>
      <c r="C422" s="315">
        <v>45145.0677314815</v>
      </c>
      <c r="D422" s="315">
        <v>45145.0795601852</v>
      </c>
      <c r="E422" s="314" t="s">
        <v>4624</v>
      </c>
      <c r="F422" s="314" t="s">
        <v>120</v>
      </c>
      <c r="G422" s="316">
        <v>100000</v>
      </c>
      <c r="H422" t="str">
        <f>VLOOKUP(B:B,代理总表!A:D,3,FALSE)</f>
        <v>雨燕直播-越</v>
      </c>
      <c r="I422" t="str">
        <f>VLOOKUP(B:B,代理总表!A:D,4,FALSE)</f>
        <v>雨燕直播-越ffvn66</v>
      </c>
      <c r="J422">
        <f t="shared" si="26"/>
        <v>1</v>
      </c>
      <c r="K422">
        <f t="shared" si="27"/>
        <v>1</v>
      </c>
      <c r="N422" s="318">
        <f t="shared" si="24"/>
        <v>45145</v>
      </c>
      <c r="O422" s="318">
        <f t="shared" si="25"/>
        <v>45145</v>
      </c>
    </row>
    <row r="423" spans="1:15">
      <c r="A423" s="314" t="s">
        <v>4744</v>
      </c>
      <c r="B423" s="314" t="s">
        <v>754</v>
      </c>
      <c r="C423" s="315">
        <v>45061.8732407407</v>
      </c>
      <c r="D423" s="315">
        <v>45145.0695138889</v>
      </c>
      <c r="E423" s="314" t="s">
        <v>4624</v>
      </c>
      <c r="F423" s="314" t="s">
        <v>109</v>
      </c>
      <c r="G423" s="316">
        <v>200</v>
      </c>
      <c r="H423" t="str">
        <f>VLOOKUP(B:B,代理总表!A:D,3,FALSE)</f>
        <v>SEO掉线用户转线</v>
      </c>
      <c r="I423" t="str">
        <f>VLOOKUP(B:B,代理总表!A:D,4,FALSE)</f>
        <v>SEO</v>
      </c>
      <c r="J423">
        <f t="shared" si="26"/>
        <v>1</v>
      </c>
      <c r="K423">
        <f t="shared" si="27"/>
        <v>0</v>
      </c>
      <c r="N423" s="318">
        <f t="shared" si="24"/>
        <v>45061</v>
      </c>
      <c r="O423" s="318">
        <f t="shared" si="25"/>
        <v>45145</v>
      </c>
    </row>
    <row r="424" spans="1:15">
      <c r="A424" s="314" t="s">
        <v>4745</v>
      </c>
      <c r="B424" s="314" t="s">
        <v>1963</v>
      </c>
      <c r="C424" s="315">
        <v>45144.3970486111</v>
      </c>
      <c r="D424" s="315">
        <v>45145.0691782407</v>
      </c>
      <c r="E424" s="314" t="s">
        <v>4624</v>
      </c>
      <c r="F424" s="314" t="s">
        <v>109</v>
      </c>
      <c r="G424" s="316">
        <v>200</v>
      </c>
      <c r="H424" t="str">
        <f>VLOOKUP(B:B,代理总表!A:D,3,FALSE)</f>
        <v>GT-骨头</v>
      </c>
      <c r="I424" t="str">
        <f>VLOOKUP(B:B,代理总表!A:D,4,FALSE)</f>
        <v>B直播gt6677</v>
      </c>
      <c r="J424">
        <f t="shared" si="26"/>
        <v>1</v>
      </c>
      <c r="K424">
        <f t="shared" si="27"/>
        <v>0</v>
      </c>
      <c r="N424" s="318">
        <f t="shared" si="24"/>
        <v>45144</v>
      </c>
      <c r="O424" s="318">
        <f t="shared" si="25"/>
        <v>45145</v>
      </c>
    </row>
    <row r="425" spans="1:15">
      <c r="A425" s="314" t="s">
        <v>4746</v>
      </c>
      <c r="B425" s="314" t="s">
        <v>550</v>
      </c>
      <c r="C425" s="315">
        <v>44732.3820833333</v>
      </c>
      <c r="D425" s="315">
        <v>45145.0673148148</v>
      </c>
      <c r="E425" s="314" t="s">
        <v>4624</v>
      </c>
      <c r="F425" s="314" t="s">
        <v>120</v>
      </c>
      <c r="G425" s="316">
        <v>100000</v>
      </c>
      <c r="H425" t="str">
        <f>VLOOKUP(B:B,代理总表!A:D,3,FALSE)</f>
        <v>SOCO越南直播</v>
      </c>
      <c r="I425" t="str">
        <f>VLOOKUP(B:B,代理总表!A:D,4,FALSE)</f>
        <v>SOCO越南直播ffvn66</v>
      </c>
      <c r="J425">
        <f t="shared" si="26"/>
        <v>1</v>
      </c>
      <c r="K425">
        <f t="shared" si="27"/>
        <v>0</v>
      </c>
      <c r="N425" s="318">
        <f t="shared" si="24"/>
        <v>44732</v>
      </c>
      <c r="O425" s="318">
        <f t="shared" si="25"/>
        <v>45145</v>
      </c>
    </row>
    <row r="426" spans="1:15">
      <c r="A426" s="314" t="s">
        <v>4220</v>
      </c>
      <c r="B426" s="314" t="s">
        <v>594</v>
      </c>
      <c r="C426" s="315">
        <v>45145.0566782407</v>
      </c>
      <c r="D426" s="315">
        <v>45145.0643171296</v>
      </c>
      <c r="E426" s="314" t="s">
        <v>4624</v>
      </c>
      <c r="F426" s="314" t="s">
        <v>109</v>
      </c>
      <c r="G426" s="316">
        <v>100</v>
      </c>
      <c r="H426" t="str">
        <f>VLOOKUP(B:B,代理总表!A:D,3,FALSE)</f>
        <v>zed</v>
      </c>
      <c r="I426" t="str">
        <f>VLOOKUP(B:B,代理总表!A:D,4,FALSE)</f>
        <v>SEO</v>
      </c>
      <c r="J426">
        <f t="shared" si="26"/>
        <v>1</v>
      </c>
      <c r="K426">
        <f t="shared" si="27"/>
        <v>1</v>
      </c>
      <c r="N426" s="318">
        <f t="shared" si="24"/>
        <v>45145</v>
      </c>
      <c r="O426" s="318">
        <f t="shared" si="25"/>
        <v>45145</v>
      </c>
    </row>
    <row r="427" spans="1:15">
      <c r="A427" s="314" t="s">
        <v>4195</v>
      </c>
      <c r="B427" s="314" t="s">
        <v>103</v>
      </c>
      <c r="C427" s="315">
        <v>45145.0607291667</v>
      </c>
      <c r="D427" s="315">
        <v>45145.0647453704</v>
      </c>
      <c r="E427" s="314" t="s">
        <v>4624</v>
      </c>
      <c r="F427" s="314" t="s">
        <v>109</v>
      </c>
      <c r="G427" s="316">
        <v>100</v>
      </c>
      <c r="H427" t="str">
        <f>VLOOKUP(B:B,代理总表!A:D,3,FALSE)</f>
        <v>官网</v>
      </c>
      <c r="I427" t="str">
        <f>VLOOKUP(B:B,代理总表!A:D,4,FALSE)</f>
        <v>官网</v>
      </c>
      <c r="J427">
        <f t="shared" si="26"/>
        <v>1</v>
      </c>
      <c r="K427">
        <f t="shared" si="27"/>
        <v>1</v>
      </c>
      <c r="N427" s="318">
        <f t="shared" si="24"/>
        <v>45145</v>
      </c>
      <c r="O427" s="318">
        <f t="shared" si="25"/>
        <v>45145</v>
      </c>
    </row>
    <row r="428" spans="1:15">
      <c r="A428" s="314" t="s">
        <v>4247</v>
      </c>
      <c r="B428" s="314" t="s">
        <v>651</v>
      </c>
      <c r="C428" s="315">
        <v>45145.0543171296</v>
      </c>
      <c r="D428" s="315">
        <v>45145.0645949074</v>
      </c>
      <c r="E428" s="314" t="s">
        <v>4624</v>
      </c>
      <c r="F428" s="314" t="s">
        <v>120</v>
      </c>
      <c r="G428" s="316">
        <v>200000</v>
      </c>
      <c r="H428" t="str">
        <f>VLOOKUP(B:B,代理总表!A:D,3,FALSE)</f>
        <v>雨燕直播-越</v>
      </c>
      <c r="I428" t="str">
        <f>VLOOKUP(B:B,代理总表!A:D,4,FALSE)</f>
        <v>雨燕直播-越ffvn66</v>
      </c>
      <c r="J428">
        <f t="shared" si="26"/>
        <v>1</v>
      </c>
      <c r="K428">
        <f t="shared" si="27"/>
        <v>1</v>
      </c>
      <c r="N428" s="318">
        <f t="shared" si="24"/>
        <v>45145</v>
      </c>
      <c r="O428" s="318">
        <f t="shared" si="25"/>
        <v>45145</v>
      </c>
    </row>
    <row r="429" spans="1:15">
      <c r="A429" s="314" t="s">
        <v>4281</v>
      </c>
      <c r="B429" s="314" t="s">
        <v>651</v>
      </c>
      <c r="C429" s="315">
        <v>45145.0487152778</v>
      </c>
      <c r="D429" s="315">
        <v>45145.0600810185</v>
      </c>
      <c r="E429" s="314" t="s">
        <v>4624</v>
      </c>
      <c r="F429" s="314" t="s">
        <v>120</v>
      </c>
      <c r="G429" s="316">
        <v>300000</v>
      </c>
      <c r="H429" t="str">
        <f>VLOOKUP(B:B,代理总表!A:D,3,FALSE)</f>
        <v>雨燕直播-越</v>
      </c>
      <c r="I429" t="str">
        <f>VLOOKUP(B:B,代理总表!A:D,4,FALSE)</f>
        <v>雨燕直播-越ffvn66</v>
      </c>
      <c r="J429">
        <f t="shared" si="26"/>
        <v>1</v>
      </c>
      <c r="K429">
        <f t="shared" si="27"/>
        <v>1</v>
      </c>
      <c r="N429" s="318">
        <f t="shared" si="24"/>
        <v>45145</v>
      </c>
      <c r="O429" s="318">
        <f t="shared" si="25"/>
        <v>45145</v>
      </c>
    </row>
    <row r="430" spans="1:15">
      <c r="A430" s="314" t="s">
        <v>4265</v>
      </c>
      <c r="B430" s="314" t="s">
        <v>143</v>
      </c>
      <c r="C430" s="315">
        <v>45145.0511689815</v>
      </c>
      <c r="D430" s="315">
        <v>45145.0577083333</v>
      </c>
      <c r="E430" s="314" t="s">
        <v>4624</v>
      </c>
      <c r="F430" s="314" t="s">
        <v>120</v>
      </c>
      <c r="G430" s="316">
        <v>1000000</v>
      </c>
      <c r="H430" t="str">
        <f>VLOOKUP(B:B,代理总表!A:D,3,FALSE)</f>
        <v>雨燕直播-越</v>
      </c>
      <c r="I430" t="str">
        <f>VLOOKUP(B:B,代理总表!A:D,4,FALSE)</f>
        <v>雨燕直播-越ffvn66</v>
      </c>
      <c r="J430">
        <f t="shared" si="26"/>
        <v>1</v>
      </c>
      <c r="K430">
        <f t="shared" si="27"/>
        <v>1</v>
      </c>
      <c r="N430" s="318">
        <f t="shared" si="24"/>
        <v>45145</v>
      </c>
      <c r="O430" s="318">
        <f t="shared" si="25"/>
        <v>45145</v>
      </c>
    </row>
    <row r="431" spans="1:15">
      <c r="A431" s="314" t="s">
        <v>4382</v>
      </c>
      <c r="B431" s="314" t="s">
        <v>1109</v>
      </c>
      <c r="C431" s="315">
        <v>45145.0291782407</v>
      </c>
      <c r="D431" s="315">
        <v>45145.0559722222</v>
      </c>
      <c r="E431" s="314" t="s">
        <v>4624</v>
      </c>
      <c r="F431" s="314" t="s">
        <v>109</v>
      </c>
      <c r="G431" s="316">
        <v>2000</v>
      </c>
      <c r="H431" t="str">
        <f>VLOOKUP(B:B,代理总表!A:D,3,FALSE)</f>
        <v>飞哥雨燕直播</v>
      </c>
      <c r="I431" t="str">
        <f>VLOOKUP(B:B,代理总表!A:D,4,FALSE)</f>
        <v>飞哥雨燕直播ffmk88</v>
      </c>
      <c r="J431">
        <f t="shared" si="26"/>
        <v>1</v>
      </c>
      <c r="K431">
        <f t="shared" si="27"/>
        <v>1</v>
      </c>
      <c r="N431" s="318">
        <f t="shared" si="24"/>
        <v>45145</v>
      </c>
      <c r="O431" s="318">
        <f t="shared" si="25"/>
        <v>45145</v>
      </c>
    </row>
    <row r="432" spans="1:15">
      <c r="A432" s="314" t="s">
        <v>4333</v>
      </c>
      <c r="B432" s="314" t="s">
        <v>137</v>
      </c>
      <c r="C432" s="315">
        <v>45145.0358796296</v>
      </c>
      <c r="D432" s="315">
        <v>45145.0514814815</v>
      </c>
      <c r="E432" s="314" t="s">
        <v>4624</v>
      </c>
      <c r="F432" s="314" t="s">
        <v>120</v>
      </c>
      <c r="G432" s="316">
        <v>100000</v>
      </c>
      <c r="H432" t="str">
        <f>VLOOKUP(B:B,代理总表!A:D,3,FALSE)</f>
        <v>雨燕直播-越</v>
      </c>
      <c r="I432" t="str">
        <f>VLOOKUP(B:B,代理总表!A:D,4,FALSE)</f>
        <v>雨燕直播-越ffvn66</v>
      </c>
      <c r="J432">
        <f t="shared" si="26"/>
        <v>1</v>
      </c>
      <c r="K432">
        <f t="shared" si="27"/>
        <v>1</v>
      </c>
      <c r="N432" s="318">
        <f t="shared" si="24"/>
        <v>45145</v>
      </c>
      <c r="O432" s="318">
        <f t="shared" si="25"/>
        <v>45145</v>
      </c>
    </row>
    <row r="433" spans="1:15">
      <c r="A433" s="314" t="s">
        <v>4592</v>
      </c>
      <c r="B433" s="314" t="s">
        <v>249</v>
      </c>
      <c r="C433" s="315">
        <v>45145.0019560185</v>
      </c>
      <c r="D433" s="315">
        <v>45145.0481481481</v>
      </c>
      <c r="E433" s="314" t="s">
        <v>4624</v>
      </c>
      <c r="F433" s="314" t="s">
        <v>109</v>
      </c>
      <c r="G433" s="316">
        <v>300</v>
      </c>
      <c r="H433" t="str">
        <f>VLOOKUP(B:B,代理总表!A:D,3,FALSE)</f>
        <v>飞哥雨燕直播</v>
      </c>
      <c r="I433" t="str">
        <f>VLOOKUP(B:B,代理总表!A:D,4,FALSE)</f>
        <v>飞哥雨燕直播ffmk88</v>
      </c>
      <c r="J433">
        <f t="shared" si="26"/>
        <v>1</v>
      </c>
      <c r="K433">
        <f t="shared" si="27"/>
        <v>1</v>
      </c>
      <c r="N433" s="318">
        <f t="shared" si="24"/>
        <v>45145</v>
      </c>
      <c r="O433" s="318">
        <f t="shared" si="25"/>
        <v>45145</v>
      </c>
    </row>
    <row r="434" spans="1:15">
      <c r="A434" s="314" t="s">
        <v>4549</v>
      </c>
      <c r="B434" s="314" t="s">
        <v>197</v>
      </c>
      <c r="C434" s="315">
        <v>45145.0064583333</v>
      </c>
      <c r="D434" s="315">
        <v>45145.0481712963</v>
      </c>
      <c r="E434" s="314" t="s">
        <v>4624</v>
      </c>
      <c r="F434" s="314" t="s">
        <v>120</v>
      </c>
      <c r="G434" s="316">
        <v>100000</v>
      </c>
      <c r="H434" t="str">
        <f>VLOOKUP(B:B,代理总表!A:D,3,FALSE)</f>
        <v>雨燕直播-越</v>
      </c>
      <c r="I434" t="str">
        <f>VLOOKUP(B:B,代理总表!A:D,4,FALSE)</f>
        <v>雨燕直播-越ffvn66</v>
      </c>
      <c r="J434">
        <f t="shared" si="26"/>
        <v>1</v>
      </c>
      <c r="K434">
        <f t="shared" si="27"/>
        <v>1</v>
      </c>
      <c r="N434" s="318">
        <f t="shared" si="24"/>
        <v>45145</v>
      </c>
      <c r="O434" s="318">
        <f t="shared" si="25"/>
        <v>45145</v>
      </c>
    </row>
    <row r="435" spans="1:15">
      <c r="A435" s="314" t="s">
        <v>4378</v>
      </c>
      <c r="B435" s="314" t="s">
        <v>137</v>
      </c>
      <c r="C435" s="315">
        <v>45145.0294907407</v>
      </c>
      <c r="D435" s="315">
        <v>45145.0427777778</v>
      </c>
      <c r="E435" s="314" t="s">
        <v>4624</v>
      </c>
      <c r="F435" s="314" t="s">
        <v>120</v>
      </c>
      <c r="G435" s="316">
        <v>200000</v>
      </c>
      <c r="H435" t="str">
        <f>VLOOKUP(B:B,代理总表!A:D,3,FALSE)</f>
        <v>雨燕直播-越</v>
      </c>
      <c r="I435" t="str">
        <f>VLOOKUP(B:B,代理总表!A:D,4,FALSE)</f>
        <v>雨燕直播-越ffvn66</v>
      </c>
      <c r="J435">
        <f t="shared" si="26"/>
        <v>1</v>
      </c>
      <c r="K435">
        <f t="shared" si="27"/>
        <v>1</v>
      </c>
      <c r="N435" s="318">
        <f t="shared" si="24"/>
        <v>45145</v>
      </c>
      <c r="O435" s="318">
        <f t="shared" si="25"/>
        <v>45145</v>
      </c>
    </row>
    <row r="436" spans="1:15">
      <c r="A436" s="314" t="s">
        <v>4747</v>
      </c>
      <c r="B436" s="314" t="s">
        <v>249</v>
      </c>
      <c r="C436" s="315">
        <v>45144.9565509259</v>
      </c>
      <c r="D436" s="315">
        <v>45145.0403587963</v>
      </c>
      <c r="E436" s="314" t="s">
        <v>4624</v>
      </c>
      <c r="F436" s="314" t="s">
        <v>109</v>
      </c>
      <c r="G436" s="316">
        <v>1000</v>
      </c>
      <c r="H436" t="str">
        <f>VLOOKUP(B:B,代理总表!A:D,3,FALSE)</f>
        <v>飞哥雨燕直播</v>
      </c>
      <c r="I436" t="str">
        <f>VLOOKUP(B:B,代理总表!A:D,4,FALSE)</f>
        <v>飞哥雨燕直播ffmk88</v>
      </c>
      <c r="J436">
        <f t="shared" si="26"/>
        <v>0</v>
      </c>
      <c r="K436">
        <f t="shared" si="27"/>
        <v>0</v>
      </c>
      <c r="N436" s="318">
        <f t="shared" si="24"/>
        <v>45144</v>
      </c>
      <c r="O436" s="318">
        <f t="shared" si="25"/>
        <v>45145</v>
      </c>
    </row>
    <row r="437" spans="1:15">
      <c r="A437" s="314" t="s">
        <v>4748</v>
      </c>
      <c r="B437" s="314" t="s">
        <v>4749</v>
      </c>
      <c r="C437" s="315">
        <v>45144.973900463</v>
      </c>
      <c r="D437" s="315">
        <v>45145.0404166667</v>
      </c>
      <c r="E437" s="314" t="s">
        <v>4624</v>
      </c>
      <c r="F437" s="314" t="s">
        <v>415</v>
      </c>
      <c r="G437" s="316">
        <v>1000</v>
      </c>
      <c r="H437" t="e">
        <f>VLOOKUP(B:B,代理总表!A:D,3,FALSE)</f>
        <v>#N/A</v>
      </c>
      <c r="I437" t="e">
        <f>VLOOKUP(B:B,代理总表!A:D,4,FALSE)</f>
        <v>#N/A</v>
      </c>
      <c r="J437">
        <f t="shared" si="26"/>
        <v>0</v>
      </c>
      <c r="K437">
        <f t="shared" si="27"/>
        <v>0</v>
      </c>
      <c r="N437" s="318">
        <f t="shared" si="24"/>
        <v>45144</v>
      </c>
      <c r="O437" s="318">
        <f t="shared" si="25"/>
        <v>45145</v>
      </c>
    </row>
    <row r="438" spans="1:15">
      <c r="A438" s="314" t="s">
        <v>4410</v>
      </c>
      <c r="B438" s="314" t="s">
        <v>143</v>
      </c>
      <c r="C438" s="315">
        <v>45145.0251157407</v>
      </c>
      <c r="D438" s="315">
        <v>45145.0390972222</v>
      </c>
      <c r="E438" s="314" t="s">
        <v>4624</v>
      </c>
      <c r="F438" s="314" t="s">
        <v>120</v>
      </c>
      <c r="G438" s="316">
        <v>500000</v>
      </c>
      <c r="H438" t="str">
        <f>VLOOKUP(B:B,代理总表!A:D,3,FALSE)</f>
        <v>雨燕直播-越</v>
      </c>
      <c r="I438" t="str">
        <f>VLOOKUP(B:B,代理总表!A:D,4,FALSE)</f>
        <v>雨燕直播-越ffvn66</v>
      </c>
      <c r="J438">
        <f t="shared" si="26"/>
        <v>0</v>
      </c>
      <c r="K438">
        <f t="shared" si="27"/>
        <v>1</v>
      </c>
      <c r="N438" s="318">
        <f t="shared" si="24"/>
        <v>45145</v>
      </c>
      <c r="O438" s="318">
        <f t="shared" si="25"/>
        <v>45145</v>
      </c>
    </row>
    <row r="439" spans="1:15">
      <c r="A439" s="314" t="s">
        <v>4532</v>
      </c>
      <c r="B439" s="314" t="s">
        <v>805</v>
      </c>
      <c r="C439" s="315">
        <v>45145.008587963</v>
      </c>
      <c r="D439" s="315">
        <v>45145.0352199074</v>
      </c>
      <c r="E439" s="314" t="s">
        <v>4624</v>
      </c>
      <c r="F439" s="314" t="s">
        <v>109</v>
      </c>
      <c r="G439" s="316">
        <v>300</v>
      </c>
      <c r="H439" t="str">
        <f>VLOOKUP(B:B,代理总表!A:D,3,FALSE)</f>
        <v>飞哥雨燕直播</v>
      </c>
      <c r="I439" t="str">
        <f>VLOOKUP(B:B,代理总表!A:D,4,FALSE)</f>
        <v>飞哥雨燕直播ffmk88</v>
      </c>
      <c r="J439">
        <f t="shared" si="26"/>
        <v>0</v>
      </c>
      <c r="K439">
        <f t="shared" si="27"/>
        <v>1</v>
      </c>
      <c r="N439" s="318">
        <f t="shared" si="24"/>
        <v>45145</v>
      </c>
      <c r="O439" s="318">
        <f t="shared" si="25"/>
        <v>45145</v>
      </c>
    </row>
    <row r="440" spans="1:15">
      <c r="A440" s="314" t="s">
        <v>4750</v>
      </c>
      <c r="B440" s="314" t="s">
        <v>333</v>
      </c>
      <c r="C440" s="315">
        <v>45144.9664814815</v>
      </c>
      <c r="D440" s="315">
        <v>45145.0354861111</v>
      </c>
      <c r="E440" s="314" t="s">
        <v>4624</v>
      </c>
      <c r="F440" s="314" t="s">
        <v>120</v>
      </c>
      <c r="G440" s="316">
        <v>1700000</v>
      </c>
      <c r="H440" t="e">
        <f>VLOOKUP(B:B,代理总表!A:D,3,FALSE)</f>
        <v>#N/A</v>
      </c>
      <c r="I440" t="e">
        <f>VLOOKUP(B:B,代理总表!A:D,4,FALSE)</f>
        <v>#N/A</v>
      </c>
      <c r="J440">
        <f t="shared" si="26"/>
        <v>0</v>
      </c>
      <c r="K440">
        <f t="shared" si="27"/>
        <v>0</v>
      </c>
      <c r="N440" s="318">
        <f t="shared" si="24"/>
        <v>45144</v>
      </c>
      <c r="O440" s="318">
        <f t="shared" si="25"/>
        <v>45145</v>
      </c>
    </row>
    <row r="441" spans="1:15">
      <c r="A441" s="314" t="s">
        <v>4751</v>
      </c>
      <c r="B441" s="314" t="s">
        <v>505</v>
      </c>
      <c r="C441" s="315">
        <v>45032.0658217593</v>
      </c>
      <c r="D441" s="315">
        <v>45145.0365046296</v>
      </c>
      <c r="E441" s="314" t="s">
        <v>4624</v>
      </c>
      <c r="F441" s="314" t="s">
        <v>120</v>
      </c>
      <c r="G441" s="316">
        <v>500000</v>
      </c>
      <c r="H441" t="str">
        <f>VLOOKUP(B:B,代理总表!A:D,3,FALSE)</f>
        <v>SOCO越南直播</v>
      </c>
      <c r="I441" t="str">
        <f>VLOOKUP(B:B,代理总表!A:D,4,FALSE)</f>
        <v>SOCO越南直播ffvn66</v>
      </c>
      <c r="J441">
        <f t="shared" si="26"/>
        <v>0</v>
      </c>
      <c r="K441">
        <f t="shared" si="27"/>
        <v>0</v>
      </c>
      <c r="N441" s="318">
        <f t="shared" si="24"/>
        <v>45032</v>
      </c>
      <c r="O441" s="318">
        <f t="shared" si="25"/>
        <v>45145</v>
      </c>
    </row>
    <row r="442" spans="1:15">
      <c r="A442" s="314" t="s">
        <v>4364</v>
      </c>
      <c r="B442" s="314" t="s">
        <v>180</v>
      </c>
      <c r="C442" s="315">
        <v>45145.0300925926</v>
      </c>
      <c r="D442" s="315">
        <v>45145.0318518519</v>
      </c>
      <c r="E442" s="314" t="s">
        <v>4624</v>
      </c>
      <c r="F442" s="314" t="s">
        <v>109</v>
      </c>
      <c r="G442" s="316">
        <v>100</v>
      </c>
      <c r="H442" t="str">
        <f>VLOOKUP(B:B,代理总表!A:D,3,FALSE)</f>
        <v>hugo</v>
      </c>
      <c r="I442" t="str">
        <f>VLOOKUP(B:B,代理总表!A:D,4,FALSE)</f>
        <v>SEO</v>
      </c>
      <c r="J442">
        <f t="shared" si="26"/>
        <v>0</v>
      </c>
      <c r="K442">
        <f t="shared" si="27"/>
        <v>1</v>
      </c>
      <c r="N442" s="318">
        <f t="shared" si="24"/>
        <v>45145</v>
      </c>
      <c r="O442" s="318">
        <f t="shared" si="25"/>
        <v>45145</v>
      </c>
    </row>
    <row r="443" spans="1:15">
      <c r="A443" s="314" t="s">
        <v>4427</v>
      </c>
      <c r="B443" s="314" t="s">
        <v>235</v>
      </c>
      <c r="C443" s="315">
        <v>45145.0244444444</v>
      </c>
      <c r="D443" s="315">
        <v>45145.0327199074</v>
      </c>
      <c r="E443" s="314" t="s">
        <v>4624</v>
      </c>
      <c r="F443" s="314" t="s">
        <v>109</v>
      </c>
      <c r="G443" s="316">
        <v>200</v>
      </c>
      <c r="H443" t="str">
        <f>VLOOKUP(B:B,代理总表!A:D,3,FALSE)</f>
        <v>aber</v>
      </c>
      <c r="I443" t="str">
        <f>VLOOKUP(B:B,代理总表!A:D,4,FALSE)</f>
        <v>SEO</v>
      </c>
      <c r="J443">
        <f t="shared" si="26"/>
        <v>0</v>
      </c>
      <c r="K443">
        <f t="shared" si="27"/>
        <v>1</v>
      </c>
      <c r="N443" s="318">
        <f t="shared" si="24"/>
        <v>45145</v>
      </c>
      <c r="O443" s="318">
        <f t="shared" si="25"/>
        <v>45145</v>
      </c>
    </row>
    <row r="444" spans="1:15">
      <c r="A444" s="314" t="s">
        <v>4445</v>
      </c>
      <c r="B444" s="314" t="s">
        <v>1525</v>
      </c>
      <c r="C444" s="315">
        <v>45145.0221412037</v>
      </c>
      <c r="D444" s="315">
        <v>45145.0348148148</v>
      </c>
      <c r="E444" s="314" t="s">
        <v>4624</v>
      </c>
      <c r="F444" s="314" t="s">
        <v>109</v>
      </c>
      <c r="G444" s="316">
        <v>200</v>
      </c>
      <c r="H444" t="str">
        <f>VLOOKUP(B:B,代理总表!A:D,3,FALSE)</f>
        <v>GT-骨头</v>
      </c>
      <c r="I444" t="str">
        <f>VLOOKUP(B:B,代理总表!A:D,4,FALSE)</f>
        <v>B直播gt6677</v>
      </c>
      <c r="J444">
        <f t="shared" si="26"/>
        <v>0</v>
      </c>
      <c r="K444">
        <f t="shared" si="27"/>
        <v>1</v>
      </c>
      <c r="N444" s="318">
        <f t="shared" si="24"/>
        <v>45145</v>
      </c>
      <c r="O444" s="318">
        <f t="shared" si="25"/>
        <v>45145</v>
      </c>
    </row>
    <row r="445" spans="1:15">
      <c r="A445" s="314" t="s">
        <v>4752</v>
      </c>
      <c r="B445" s="314" t="s">
        <v>249</v>
      </c>
      <c r="C445" s="315">
        <v>45144.9189814815</v>
      </c>
      <c r="D445" s="315">
        <v>45145.0348611111</v>
      </c>
      <c r="E445" s="314" t="s">
        <v>4624</v>
      </c>
      <c r="F445" s="314" t="s">
        <v>109</v>
      </c>
      <c r="G445" s="316">
        <v>500</v>
      </c>
      <c r="H445" t="str">
        <f>VLOOKUP(B:B,代理总表!A:D,3,FALSE)</f>
        <v>飞哥雨燕直播</v>
      </c>
      <c r="I445" t="str">
        <f>VLOOKUP(B:B,代理总表!A:D,4,FALSE)</f>
        <v>飞哥雨燕直播ffmk88</v>
      </c>
      <c r="J445">
        <f t="shared" si="26"/>
        <v>0</v>
      </c>
      <c r="K445">
        <f t="shared" si="27"/>
        <v>0</v>
      </c>
      <c r="N445" s="318">
        <f t="shared" si="24"/>
        <v>45144</v>
      </c>
      <c r="O445" s="318">
        <f t="shared" si="25"/>
        <v>45145</v>
      </c>
    </row>
    <row r="446" spans="1:15">
      <c r="A446" s="314" t="s">
        <v>4753</v>
      </c>
      <c r="B446" s="314" t="s">
        <v>137</v>
      </c>
      <c r="C446" s="315">
        <v>45085.9749768519</v>
      </c>
      <c r="D446" s="315">
        <v>45145.0318402778</v>
      </c>
      <c r="E446" s="314" t="s">
        <v>4624</v>
      </c>
      <c r="F446" s="314" t="s">
        <v>120</v>
      </c>
      <c r="G446" s="316">
        <v>500000</v>
      </c>
      <c r="H446" t="str">
        <f>VLOOKUP(B:B,代理总表!A:D,3,FALSE)</f>
        <v>雨燕直播-越</v>
      </c>
      <c r="I446" t="str">
        <f>VLOOKUP(B:B,代理总表!A:D,4,FALSE)</f>
        <v>雨燕直播-越ffvn66</v>
      </c>
      <c r="J446">
        <f t="shared" si="26"/>
        <v>0</v>
      </c>
      <c r="K446">
        <f t="shared" si="27"/>
        <v>0</v>
      </c>
      <c r="N446" s="318">
        <f t="shared" si="24"/>
        <v>45085</v>
      </c>
      <c r="O446" s="318">
        <f t="shared" si="25"/>
        <v>45145</v>
      </c>
    </row>
    <row r="447" spans="1:15">
      <c r="A447" s="314" t="s">
        <v>4450</v>
      </c>
      <c r="B447" s="314" t="s">
        <v>1109</v>
      </c>
      <c r="C447" s="315">
        <v>45145.0214351852</v>
      </c>
      <c r="D447" s="315">
        <v>45145.0304050926</v>
      </c>
      <c r="E447" s="314" t="s">
        <v>4624</v>
      </c>
      <c r="F447" s="314" t="s">
        <v>109</v>
      </c>
      <c r="G447" s="316">
        <v>500</v>
      </c>
      <c r="H447" t="str">
        <f>VLOOKUP(B:B,代理总表!A:D,3,FALSE)</f>
        <v>飞哥雨燕直播</v>
      </c>
      <c r="I447" t="str">
        <f>VLOOKUP(B:B,代理总表!A:D,4,FALSE)</f>
        <v>飞哥雨燕直播ffmk88</v>
      </c>
      <c r="J447">
        <f t="shared" si="26"/>
        <v>0</v>
      </c>
      <c r="K447">
        <f t="shared" si="27"/>
        <v>1</v>
      </c>
      <c r="N447" s="318">
        <f t="shared" si="24"/>
        <v>45145</v>
      </c>
      <c r="O447" s="318">
        <f t="shared" si="25"/>
        <v>45145</v>
      </c>
    </row>
    <row r="448" spans="1:15">
      <c r="A448" s="314" t="s">
        <v>4754</v>
      </c>
      <c r="B448" s="314" t="s">
        <v>1021</v>
      </c>
      <c r="C448" s="315">
        <v>45064.1643865741</v>
      </c>
      <c r="D448" s="315">
        <v>45145.0428819444</v>
      </c>
      <c r="E448" s="314" t="s">
        <v>4624</v>
      </c>
      <c r="F448" s="314" t="s">
        <v>120</v>
      </c>
      <c r="G448" s="316">
        <v>200000</v>
      </c>
      <c r="H448" t="str">
        <f>VLOOKUP(B:B,代理总表!A:D,3,FALSE)</f>
        <v>SOCO越南直播</v>
      </c>
      <c r="I448" t="str">
        <f>VLOOKUP(B:B,代理总表!A:D,4,FALSE)</f>
        <v>SOCO越南直播ffvn66</v>
      </c>
      <c r="J448">
        <f t="shared" si="26"/>
        <v>1</v>
      </c>
      <c r="K448">
        <f t="shared" si="27"/>
        <v>0</v>
      </c>
      <c r="N448" s="318">
        <f t="shared" si="24"/>
        <v>45064</v>
      </c>
      <c r="O448" s="318">
        <f t="shared" si="25"/>
        <v>45145</v>
      </c>
    </row>
    <row r="449" spans="1:15">
      <c r="A449" s="314" t="s">
        <v>4558</v>
      </c>
      <c r="B449" s="314" t="s">
        <v>651</v>
      </c>
      <c r="C449" s="315">
        <v>45145.0053356482</v>
      </c>
      <c r="D449" s="315">
        <v>45145.0295717593</v>
      </c>
      <c r="E449" s="314" t="s">
        <v>4624</v>
      </c>
      <c r="F449" s="314" t="s">
        <v>120</v>
      </c>
      <c r="G449" s="316">
        <v>500000</v>
      </c>
      <c r="H449" t="str">
        <f>VLOOKUP(B:B,代理总表!A:D,3,FALSE)</f>
        <v>雨燕直播-越</v>
      </c>
      <c r="I449" t="str">
        <f>VLOOKUP(B:B,代理总表!A:D,4,FALSE)</f>
        <v>雨燕直播-越ffvn66</v>
      </c>
      <c r="J449">
        <f t="shared" si="26"/>
        <v>0</v>
      </c>
      <c r="K449">
        <f t="shared" si="27"/>
        <v>1</v>
      </c>
      <c r="N449" s="318">
        <f t="shared" si="24"/>
        <v>45145</v>
      </c>
      <c r="O449" s="318">
        <f t="shared" si="25"/>
        <v>45145</v>
      </c>
    </row>
    <row r="450" spans="1:15">
      <c r="A450" s="314" t="s">
        <v>4484</v>
      </c>
      <c r="B450" s="314" t="s">
        <v>235</v>
      </c>
      <c r="C450" s="315">
        <v>45145.0163310185</v>
      </c>
      <c r="D450" s="315">
        <v>45145.0215856481</v>
      </c>
      <c r="E450" s="314" t="s">
        <v>4624</v>
      </c>
      <c r="F450" s="314" t="s">
        <v>109</v>
      </c>
      <c r="G450" s="316">
        <v>300</v>
      </c>
      <c r="H450" t="str">
        <f>VLOOKUP(B:B,代理总表!A:D,3,FALSE)</f>
        <v>aber</v>
      </c>
      <c r="I450" t="str">
        <f>VLOOKUP(B:B,代理总表!A:D,4,FALSE)</f>
        <v>SEO</v>
      </c>
      <c r="J450">
        <f t="shared" si="26"/>
        <v>0</v>
      </c>
      <c r="K450">
        <f t="shared" si="27"/>
        <v>1</v>
      </c>
      <c r="N450" s="318">
        <f t="shared" ref="N450:N467" si="28">INT(C450)</f>
        <v>45145</v>
      </c>
      <c r="O450" s="318">
        <f t="shared" ref="O450:O467" si="29">INT(D450)</f>
        <v>45145</v>
      </c>
    </row>
    <row r="451" spans="1:15">
      <c r="A451" s="314" t="s">
        <v>4475</v>
      </c>
      <c r="B451" s="314" t="s">
        <v>2121</v>
      </c>
      <c r="C451" s="315">
        <v>45145.0177430556</v>
      </c>
      <c r="D451" s="315">
        <v>45145.0212037037</v>
      </c>
      <c r="E451" s="314" t="s">
        <v>4624</v>
      </c>
      <c r="F451" s="314" t="s">
        <v>109</v>
      </c>
      <c r="G451" s="316">
        <v>500</v>
      </c>
      <c r="H451" t="str">
        <f>VLOOKUP(B:B,代理总表!A:D,3,FALSE)</f>
        <v>飞哥雨燕直播</v>
      </c>
      <c r="I451" t="str">
        <f>VLOOKUP(B:B,代理总表!A:D,4,FALSE)</f>
        <v>飞哥雨燕直播ffmk88</v>
      </c>
      <c r="J451">
        <f t="shared" ref="J451:J467" si="30">HOUR(D451)</f>
        <v>0</v>
      </c>
      <c r="K451">
        <f t="shared" ref="K451:K467" si="31">IF(N451=O451,1,0)</f>
        <v>1</v>
      </c>
      <c r="N451" s="318">
        <f t="shared" si="28"/>
        <v>45145</v>
      </c>
      <c r="O451" s="318">
        <f t="shared" si="29"/>
        <v>45145</v>
      </c>
    </row>
    <row r="452" spans="1:15">
      <c r="A452" s="314" t="s">
        <v>4755</v>
      </c>
      <c r="B452" s="314" t="s">
        <v>4756</v>
      </c>
      <c r="C452" s="315">
        <v>44982.6957638889</v>
      </c>
      <c r="D452" s="315">
        <v>45145.0166666667</v>
      </c>
      <c r="E452" s="314" t="s">
        <v>4624</v>
      </c>
      <c r="F452" s="314" t="s">
        <v>109</v>
      </c>
      <c r="G452" s="316">
        <v>500</v>
      </c>
      <c r="H452" t="str">
        <f>VLOOKUP(B:B,代理总表!A:D,3,FALSE)</f>
        <v>外部代理总线</v>
      </c>
      <c r="I452" t="str">
        <f>VLOOKUP(B:B,代理总表!A:D,4,FALSE)</f>
        <v>外部代理总线zh0808</v>
      </c>
      <c r="J452">
        <f t="shared" si="30"/>
        <v>0</v>
      </c>
      <c r="K452">
        <f t="shared" si="31"/>
        <v>0</v>
      </c>
      <c r="N452" s="318">
        <f t="shared" si="28"/>
        <v>44982</v>
      </c>
      <c r="O452" s="318">
        <f t="shared" si="29"/>
        <v>45145</v>
      </c>
    </row>
    <row r="453" spans="1:15">
      <c r="A453" s="314" t="s">
        <v>4757</v>
      </c>
      <c r="B453" s="314" t="s">
        <v>197</v>
      </c>
      <c r="C453" s="315">
        <v>45143.8078703704</v>
      </c>
      <c r="D453" s="315">
        <v>45145.0180439815</v>
      </c>
      <c r="E453" s="314" t="s">
        <v>4624</v>
      </c>
      <c r="F453" s="314" t="s">
        <v>120</v>
      </c>
      <c r="G453" s="316">
        <v>200000</v>
      </c>
      <c r="H453" t="str">
        <f>VLOOKUP(B:B,代理总表!A:D,3,FALSE)</f>
        <v>雨燕直播-越</v>
      </c>
      <c r="I453" t="str">
        <f>VLOOKUP(B:B,代理总表!A:D,4,FALSE)</f>
        <v>雨燕直播-越ffvn66</v>
      </c>
      <c r="J453">
        <f t="shared" si="30"/>
        <v>0</v>
      </c>
      <c r="K453">
        <f t="shared" si="31"/>
        <v>0</v>
      </c>
      <c r="N453" s="318">
        <f t="shared" si="28"/>
        <v>45143</v>
      </c>
      <c r="O453" s="318">
        <f t="shared" si="29"/>
        <v>45145</v>
      </c>
    </row>
    <row r="454" spans="1:15">
      <c r="A454" s="314" t="s">
        <v>4535</v>
      </c>
      <c r="B454" s="314" t="s">
        <v>148</v>
      </c>
      <c r="C454" s="315">
        <v>45145.0079282407</v>
      </c>
      <c r="D454" s="315">
        <v>45145.0302546296</v>
      </c>
      <c r="E454" s="314" t="s">
        <v>4624</v>
      </c>
      <c r="F454" s="314" t="s">
        <v>109</v>
      </c>
      <c r="G454" s="316">
        <v>200</v>
      </c>
      <c r="H454" t="str">
        <f>VLOOKUP(B:B,代理总表!A:D,3,FALSE)</f>
        <v>martin</v>
      </c>
      <c r="I454" t="str">
        <f>VLOOKUP(B:B,代理总表!A:D,4,FALSE)</f>
        <v>SEO</v>
      </c>
      <c r="J454">
        <f t="shared" si="30"/>
        <v>0</v>
      </c>
      <c r="K454">
        <f t="shared" si="31"/>
        <v>1</v>
      </c>
      <c r="N454" s="318">
        <f t="shared" si="28"/>
        <v>45145</v>
      </c>
      <c r="O454" s="318">
        <f t="shared" si="29"/>
        <v>45145</v>
      </c>
    </row>
    <row r="455" spans="1:15">
      <c r="A455" s="314" t="s">
        <v>4758</v>
      </c>
      <c r="B455" s="314" t="s">
        <v>1109</v>
      </c>
      <c r="C455" s="315">
        <v>45144.9747685185</v>
      </c>
      <c r="D455" s="315">
        <v>45145.0145601852</v>
      </c>
      <c r="E455" s="314" t="s">
        <v>4624</v>
      </c>
      <c r="F455" s="314" t="s">
        <v>109</v>
      </c>
      <c r="G455" s="316">
        <v>2000</v>
      </c>
      <c r="H455" t="str">
        <f>VLOOKUP(B:B,代理总表!A:D,3,FALSE)</f>
        <v>飞哥雨燕直播</v>
      </c>
      <c r="I455" t="str">
        <f>VLOOKUP(B:B,代理总表!A:D,4,FALSE)</f>
        <v>飞哥雨燕直播ffmk88</v>
      </c>
      <c r="J455">
        <f t="shared" si="30"/>
        <v>0</v>
      </c>
      <c r="K455">
        <f t="shared" si="31"/>
        <v>0</v>
      </c>
      <c r="N455" s="318">
        <f t="shared" si="28"/>
        <v>45144</v>
      </c>
      <c r="O455" s="318">
        <f t="shared" si="29"/>
        <v>45145</v>
      </c>
    </row>
    <row r="456" spans="1:15">
      <c r="A456" s="314" t="s">
        <v>4759</v>
      </c>
      <c r="B456" s="314" t="s">
        <v>249</v>
      </c>
      <c r="C456" s="315">
        <v>45024.8747337963</v>
      </c>
      <c r="D456" s="315">
        <v>45145.015162037</v>
      </c>
      <c r="E456" s="314" t="s">
        <v>4624</v>
      </c>
      <c r="F456" s="314" t="s">
        <v>109</v>
      </c>
      <c r="G456" s="314">
        <v>503</v>
      </c>
      <c r="H456" t="str">
        <f>VLOOKUP(B:B,代理总表!A:D,3,FALSE)</f>
        <v>飞哥雨燕直播</v>
      </c>
      <c r="I456" t="str">
        <f>VLOOKUP(B:B,代理总表!A:D,4,FALSE)</f>
        <v>飞哥雨燕直播ffmk88</v>
      </c>
      <c r="J456">
        <f t="shared" si="30"/>
        <v>0</v>
      </c>
      <c r="K456">
        <f t="shared" si="31"/>
        <v>0</v>
      </c>
      <c r="N456" s="318">
        <f t="shared" si="28"/>
        <v>45024</v>
      </c>
      <c r="O456" s="318">
        <f t="shared" si="29"/>
        <v>45145</v>
      </c>
    </row>
    <row r="457" spans="1:15">
      <c r="A457" s="314" t="s">
        <v>4760</v>
      </c>
      <c r="B457" s="314" t="s">
        <v>148</v>
      </c>
      <c r="C457" s="315">
        <v>45056.6611111111</v>
      </c>
      <c r="D457" s="315">
        <v>45145.0131712963</v>
      </c>
      <c r="E457" s="314" t="s">
        <v>4624</v>
      </c>
      <c r="F457" s="314" t="s">
        <v>109</v>
      </c>
      <c r="G457" s="316">
        <v>300</v>
      </c>
      <c r="H457" t="str">
        <f>VLOOKUP(B:B,代理总表!A:D,3,FALSE)</f>
        <v>martin</v>
      </c>
      <c r="I457" t="str">
        <f>VLOOKUP(B:B,代理总表!A:D,4,FALSE)</f>
        <v>SEO</v>
      </c>
      <c r="J457">
        <f t="shared" si="30"/>
        <v>0</v>
      </c>
      <c r="K457">
        <f t="shared" si="31"/>
        <v>0</v>
      </c>
      <c r="N457" s="318">
        <f t="shared" si="28"/>
        <v>45056</v>
      </c>
      <c r="O457" s="318">
        <f t="shared" si="29"/>
        <v>45145</v>
      </c>
    </row>
    <row r="458" spans="1:15">
      <c r="A458" s="314" t="s">
        <v>4585</v>
      </c>
      <c r="B458" s="314" t="s">
        <v>143</v>
      </c>
      <c r="C458" s="315">
        <v>45145.0028240741</v>
      </c>
      <c r="D458" s="315">
        <v>45145.0150925926</v>
      </c>
      <c r="E458" s="314" t="s">
        <v>4624</v>
      </c>
      <c r="F458" s="314" t="s">
        <v>120</v>
      </c>
      <c r="G458" s="316">
        <v>3800000</v>
      </c>
      <c r="H458" t="str">
        <f>VLOOKUP(B:B,代理总表!A:D,3,FALSE)</f>
        <v>雨燕直播-越</v>
      </c>
      <c r="I458" t="str">
        <f>VLOOKUP(B:B,代理总表!A:D,4,FALSE)</f>
        <v>雨燕直播-越ffvn66</v>
      </c>
      <c r="J458">
        <f t="shared" si="30"/>
        <v>0</v>
      </c>
      <c r="K458">
        <f t="shared" si="31"/>
        <v>1</v>
      </c>
      <c r="N458" s="318">
        <f t="shared" si="28"/>
        <v>45145</v>
      </c>
      <c r="O458" s="318">
        <f t="shared" si="29"/>
        <v>45145</v>
      </c>
    </row>
    <row r="459" spans="1:15">
      <c r="A459" s="314" t="s">
        <v>4761</v>
      </c>
      <c r="B459" s="314" t="s">
        <v>505</v>
      </c>
      <c r="C459" s="315">
        <v>44995.1088078704</v>
      </c>
      <c r="D459" s="315">
        <v>45145.0131481482</v>
      </c>
      <c r="E459" s="314" t="s">
        <v>4624</v>
      </c>
      <c r="F459" s="314" t="s">
        <v>120</v>
      </c>
      <c r="G459" s="316">
        <v>500000</v>
      </c>
      <c r="H459" t="str">
        <f>VLOOKUP(B:B,代理总表!A:D,3,FALSE)</f>
        <v>SOCO越南直播</v>
      </c>
      <c r="I459" t="str">
        <f>VLOOKUP(B:B,代理总表!A:D,4,FALSE)</f>
        <v>SOCO越南直播ffvn66</v>
      </c>
      <c r="J459">
        <f t="shared" si="30"/>
        <v>0</v>
      </c>
      <c r="K459">
        <f t="shared" si="31"/>
        <v>0</v>
      </c>
      <c r="N459" s="318">
        <f t="shared" si="28"/>
        <v>44995</v>
      </c>
      <c r="O459" s="318">
        <f t="shared" si="29"/>
        <v>45145</v>
      </c>
    </row>
    <row r="460" spans="1:15">
      <c r="A460" s="314" t="s">
        <v>4554</v>
      </c>
      <c r="B460" s="314" t="s">
        <v>1021</v>
      </c>
      <c r="C460" s="315">
        <v>45145.0054513889</v>
      </c>
      <c r="D460" s="315">
        <v>45145.0136921296</v>
      </c>
      <c r="E460" s="314" t="s">
        <v>4624</v>
      </c>
      <c r="F460" s="314" t="s">
        <v>120</v>
      </c>
      <c r="G460" s="316">
        <v>300000</v>
      </c>
      <c r="H460" t="str">
        <f>VLOOKUP(B:B,代理总表!A:D,3,FALSE)</f>
        <v>SOCO越南直播</v>
      </c>
      <c r="I460" t="str">
        <f>VLOOKUP(B:B,代理总表!A:D,4,FALSE)</f>
        <v>SOCO越南直播ffvn66</v>
      </c>
      <c r="J460">
        <f t="shared" si="30"/>
        <v>0</v>
      </c>
      <c r="K460">
        <f t="shared" si="31"/>
        <v>1</v>
      </c>
      <c r="N460" s="318">
        <f t="shared" si="28"/>
        <v>45145</v>
      </c>
      <c r="O460" s="318">
        <f t="shared" si="29"/>
        <v>45145</v>
      </c>
    </row>
    <row r="461" spans="1:15">
      <c r="A461" s="314" t="s">
        <v>4599</v>
      </c>
      <c r="B461" s="314" t="s">
        <v>333</v>
      </c>
      <c r="C461" s="315">
        <v>45145.001412037</v>
      </c>
      <c r="D461" s="315">
        <v>45145.0111226852</v>
      </c>
      <c r="E461" s="314" t="s">
        <v>4624</v>
      </c>
      <c r="F461" s="314" t="s">
        <v>120</v>
      </c>
      <c r="G461" s="316">
        <v>4000000</v>
      </c>
      <c r="H461" t="e">
        <f>VLOOKUP(B:B,代理总表!A:D,3,FALSE)</f>
        <v>#N/A</v>
      </c>
      <c r="I461" t="e">
        <f>VLOOKUP(B:B,代理总表!A:D,4,FALSE)</f>
        <v>#N/A</v>
      </c>
      <c r="J461">
        <f t="shared" si="30"/>
        <v>0</v>
      </c>
      <c r="K461">
        <f t="shared" si="31"/>
        <v>1</v>
      </c>
      <c r="N461" s="318">
        <f t="shared" si="28"/>
        <v>45145</v>
      </c>
      <c r="O461" s="318">
        <f t="shared" si="29"/>
        <v>45145</v>
      </c>
    </row>
    <row r="462" spans="1:15">
      <c r="A462" s="314" t="s">
        <v>4762</v>
      </c>
      <c r="B462" s="314" t="s">
        <v>479</v>
      </c>
      <c r="C462" s="315">
        <v>45144.9973958333</v>
      </c>
      <c r="D462" s="315">
        <v>45145.0073263889</v>
      </c>
      <c r="E462" s="314" t="s">
        <v>4624</v>
      </c>
      <c r="F462" s="314" t="s">
        <v>109</v>
      </c>
      <c r="G462" s="316">
        <v>800</v>
      </c>
      <c r="H462" t="str">
        <f>VLOOKUP(B:B,代理总表!A:D,3,FALSE)</f>
        <v>GT-骨头</v>
      </c>
      <c r="I462" t="str">
        <f>VLOOKUP(B:B,代理总表!A:D,4,FALSE)</f>
        <v>B直播gt6677</v>
      </c>
      <c r="J462">
        <f t="shared" si="30"/>
        <v>0</v>
      </c>
      <c r="K462">
        <f t="shared" si="31"/>
        <v>0</v>
      </c>
      <c r="N462" s="318">
        <f t="shared" si="28"/>
        <v>45144</v>
      </c>
      <c r="O462" s="318">
        <f t="shared" si="29"/>
        <v>45145</v>
      </c>
    </row>
    <row r="463" spans="1:15">
      <c r="A463" s="314" t="s">
        <v>4763</v>
      </c>
      <c r="B463" s="314" t="s">
        <v>805</v>
      </c>
      <c r="C463" s="315">
        <v>45144.9842013889</v>
      </c>
      <c r="D463" s="315">
        <v>45145.0060300926</v>
      </c>
      <c r="E463" s="314" t="s">
        <v>4624</v>
      </c>
      <c r="F463" s="314" t="s">
        <v>109</v>
      </c>
      <c r="G463" s="316">
        <v>200</v>
      </c>
      <c r="H463" t="str">
        <f>VLOOKUP(B:B,代理总表!A:D,3,FALSE)</f>
        <v>飞哥雨燕直播</v>
      </c>
      <c r="I463" t="str">
        <f>VLOOKUP(B:B,代理总表!A:D,4,FALSE)</f>
        <v>飞哥雨燕直播ffmk88</v>
      </c>
      <c r="J463">
        <f t="shared" si="30"/>
        <v>0</v>
      </c>
      <c r="K463">
        <f t="shared" si="31"/>
        <v>0</v>
      </c>
      <c r="N463" s="318">
        <f t="shared" si="28"/>
        <v>45144</v>
      </c>
      <c r="O463" s="318">
        <f t="shared" si="29"/>
        <v>45145</v>
      </c>
    </row>
    <row r="464" spans="1:15">
      <c r="A464" s="314" t="s">
        <v>4764</v>
      </c>
      <c r="B464" s="314" t="s">
        <v>197</v>
      </c>
      <c r="C464" s="315">
        <v>45144.9842592593</v>
      </c>
      <c r="D464" s="315">
        <v>45145.0042361111</v>
      </c>
      <c r="E464" s="314" t="s">
        <v>4624</v>
      </c>
      <c r="F464" s="314" t="s">
        <v>120</v>
      </c>
      <c r="G464" s="316">
        <v>200000</v>
      </c>
      <c r="H464" t="str">
        <f>VLOOKUP(B:B,代理总表!A:D,3,FALSE)</f>
        <v>雨燕直播-越</v>
      </c>
      <c r="I464" t="str">
        <f>VLOOKUP(B:B,代理总表!A:D,4,FALSE)</f>
        <v>雨燕直播-越ffvn66</v>
      </c>
      <c r="J464">
        <f t="shared" si="30"/>
        <v>0</v>
      </c>
      <c r="K464">
        <f t="shared" si="31"/>
        <v>0</v>
      </c>
      <c r="N464" s="318">
        <f t="shared" si="28"/>
        <v>45144</v>
      </c>
      <c r="O464" s="318">
        <f t="shared" si="29"/>
        <v>45145</v>
      </c>
    </row>
    <row r="465" spans="1:15">
      <c r="A465" s="314" t="s">
        <v>4765</v>
      </c>
      <c r="B465" s="314" t="s">
        <v>172</v>
      </c>
      <c r="C465" s="315">
        <v>45144.991875</v>
      </c>
      <c r="D465" s="315">
        <v>45145.000474537</v>
      </c>
      <c r="E465" s="314" t="s">
        <v>4624</v>
      </c>
      <c r="F465" s="314" t="s">
        <v>120</v>
      </c>
      <c r="G465" s="316">
        <v>50000</v>
      </c>
      <c r="H465" t="str">
        <f>VLOOKUP(B:B,代理总表!A:D,3,FALSE)</f>
        <v>雨燕直播-越</v>
      </c>
      <c r="I465" t="str">
        <f>VLOOKUP(B:B,代理总表!A:D,4,FALSE)</f>
        <v>雨燕直播-越ffvn66</v>
      </c>
      <c r="J465">
        <f t="shared" si="30"/>
        <v>0</v>
      </c>
      <c r="K465">
        <f t="shared" si="31"/>
        <v>0</v>
      </c>
      <c r="N465" s="318">
        <f t="shared" si="28"/>
        <v>45144</v>
      </c>
      <c r="O465" s="318">
        <f t="shared" si="29"/>
        <v>45145</v>
      </c>
    </row>
    <row r="466" spans="1:15">
      <c r="A466" s="314" t="s">
        <v>4766</v>
      </c>
      <c r="B466" s="314" t="s">
        <v>172</v>
      </c>
      <c r="C466" s="315">
        <v>45144.9902662037</v>
      </c>
      <c r="D466" s="315">
        <v>45145.0001736111</v>
      </c>
      <c r="E466" s="314" t="s">
        <v>4624</v>
      </c>
      <c r="F466" s="314" t="s">
        <v>120</v>
      </c>
      <c r="G466" s="316">
        <v>100000</v>
      </c>
      <c r="H466" t="str">
        <f>VLOOKUP(B:B,代理总表!A:D,3,FALSE)</f>
        <v>雨燕直播-越</v>
      </c>
      <c r="I466" t="str">
        <f>VLOOKUP(B:B,代理总表!A:D,4,FALSE)</f>
        <v>雨燕直播-越ffvn66</v>
      </c>
      <c r="J466">
        <f t="shared" si="30"/>
        <v>0</v>
      </c>
      <c r="K466">
        <f t="shared" si="31"/>
        <v>0</v>
      </c>
      <c r="N466" s="318">
        <f t="shared" si="28"/>
        <v>45144</v>
      </c>
      <c r="O466" s="318">
        <f t="shared" si="29"/>
        <v>45145</v>
      </c>
    </row>
    <row r="467" spans="1:15">
      <c r="A467" s="314" t="s">
        <v>4767</v>
      </c>
      <c r="B467" s="314" t="s">
        <v>1048</v>
      </c>
      <c r="C467" s="315">
        <v>45120.1101273148</v>
      </c>
      <c r="D467" s="315">
        <v>45145.0067592593</v>
      </c>
      <c r="E467" s="314" t="s">
        <v>4624</v>
      </c>
      <c r="F467" s="314" t="s">
        <v>109</v>
      </c>
      <c r="G467" s="316">
        <v>100</v>
      </c>
      <c r="H467" t="str">
        <f>VLOOKUP(B:B,代理总表!A:D,3,FALSE)</f>
        <v>米乐转线</v>
      </c>
      <c r="I467" t="str">
        <f>VLOOKUP(B:B,代理总表!A:D,4,FALSE)</f>
        <v>SEO</v>
      </c>
      <c r="J467">
        <f t="shared" si="30"/>
        <v>0</v>
      </c>
      <c r="K467">
        <f t="shared" si="31"/>
        <v>0</v>
      </c>
      <c r="N467" s="318">
        <f t="shared" si="28"/>
        <v>45120</v>
      </c>
      <c r="O467" s="318">
        <f t="shared" si="29"/>
        <v>45145</v>
      </c>
    </row>
    <row r="468" spans="3:4">
      <c r="C468" s="319"/>
      <c r="D468" s="319"/>
    </row>
    <row r="469" spans="3:7">
      <c r="C469" s="319"/>
      <c r="D469" s="319"/>
      <c r="G469" s="320"/>
    </row>
    <row r="470" spans="3:7">
      <c r="C470" s="319"/>
      <c r="D470" s="319"/>
      <c r="G470" s="320"/>
    </row>
    <row r="471" spans="3:7">
      <c r="C471" s="319"/>
      <c r="D471" s="319"/>
      <c r="G471" s="320"/>
    </row>
    <row r="472" spans="3:7">
      <c r="C472" s="319"/>
      <c r="D472" s="319"/>
      <c r="G472" s="320"/>
    </row>
    <row r="473" spans="3:7">
      <c r="C473" s="319"/>
      <c r="D473" s="319"/>
      <c r="G473" s="320"/>
    </row>
    <row r="474" spans="3:7">
      <c r="C474" s="319"/>
      <c r="D474" s="319"/>
      <c r="G474" s="320"/>
    </row>
    <row r="475" spans="3:7">
      <c r="C475" s="319"/>
      <c r="D475" s="319"/>
      <c r="G475" s="320"/>
    </row>
    <row r="476" spans="3:7">
      <c r="C476" s="319"/>
      <c r="D476" s="319"/>
      <c r="G476" s="320"/>
    </row>
    <row r="477" spans="3:7">
      <c r="C477" s="319"/>
      <c r="D477" s="319"/>
      <c r="G477" s="320"/>
    </row>
    <row r="478" spans="3:7">
      <c r="C478" s="319"/>
      <c r="D478" s="319"/>
      <c r="G478" s="320"/>
    </row>
    <row r="479" spans="3:7">
      <c r="C479" s="319"/>
      <c r="D479" s="319"/>
      <c r="G479" s="320"/>
    </row>
    <row r="480" spans="3:7">
      <c r="C480" s="319"/>
      <c r="D480" s="319"/>
      <c r="G480" s="320"/>
    </row>
    <row r="481" spans="3:7">
      <c r="C481" s="319"/>
      <c r="D481" s="319"/>
      <c r="G481" s="320"/>
    </row>
    <row r="482" spans="3:7">
      <c r="C482" s="319"/>
      <c r="D482" s="319"/>
      <c r="G482" s="320"/>
    </row>
    <row r="483" spans="3:7">
      <c r="C483" s="319"/>
      <c r="D483" s="319"/>
      <c r="G483" s="320"/>
    </row>
    <row r="484" spans="3:7">
      <c r="C484" s="319"/>
      <c r="D484" s="319"/>
      <c r="G484" s="320"/>
    </row>
    <row r="485" spans="3:7">
      <c r="C485" s="319"/>
      <c r="D485" s="319"/>
      <c r="G485" s="320"/>
    </row>
    <row r="486" spans="3:4">
      <c r="C486" s="319"/>
      <c r="D486" s="319"/>
    </row>
    <row r="487" spans="3:4">
      <c r="C487" s="319"/>
      <c r="D487" s="319"/>
    </row>
    <row r="488" spans="3:7">
      <c r="C488" s="319"/>
      <c r="D488" s="319"/>
      <c r="G488" s="320"/>
    </row>
    <row r="489" spans="3:7">
      <c r="C489" s="319"/>
      <c r="D489" s="319"/>
      <c r="G489" s="320"/>
    </row>
    <row r="490" spans="3:7">
      <c r="C490" s="319"/>
      <c r="D490" s="319"/>
      <c r="G490" s="320"/>
    </row>
    <row r="491" spans="3:7">
      <c r="C491" s="319"/>
      <c r="D491" s="319"/>
      <c r="G491" s="320"/>
    </row>
    <row r="492" spans="3:7">
      <c r="C492" s="319"/>
      <c r="D492" s="319"/>
      <c r="G492" s="320"/>
    </row>
    <row r="493" spans="3:7">
      <c r="C493" s="319"/>
      <c r="D493" s="319"/>
      <c r="G493" s="320"/>
    </row>
    <row r="494" spans="3:7">
      <c r="C494" s="319"/>
      <c r="D494" s="319"/>
      <c r="G494" s="320"/>
    </row>
    <row r="495" spans="3:7">
      <c r="C495" s="319"/>
      <c r="D495" s="319"/>
      <c r="G495" s="320"/>
    </row>
    <row r="496" spans="3:4">
      <c r="C496" s="319"/>
      <c r="D496" s="319"/>
    </row>
    <row r="497" spans="3:7">
      <c r="C497" s="319"/>
      <c r="D497" s="319"/>
      <c r="G497" s="320"/>
    </row>
    <row r="498" spans="3:4">
      <c r="C498" s="319"/>
      <c r="D498" s="319"/>
    </row>
    <row r="499" spans="3:7">
      <c r="C499" s="319"/>
      <c r="D499" s="319"/>
      <c r="G499" s="320"/>
    </row>
    <row r="500" spans="3:4">
      <c r="C500" s="319"/>
      <c r="D500" s="319"/>
    </row>
    <row r="501" spans="3:7">
      <c r="C501" s="319"/>
      <c r="D501" s="319"/>
      <c r="G501" s="320"/>
    </row>
    <row r="502" spans="3:7">
      <c r="C502" s="319"/>
      <c r="D502" s="319"/>
      <c r="G502" s="320"/>
    </row>
    <row r="503" spans="3:7">
      <c r="C503" s="319"/>
      <c r="D503" s="319"/>
      <c r="G503" s="320"/>
    </row>
    <row r="504" spans="3:7">
      <c r="C504" s="319"/>
      <c r="D504" s="319"/>
      <c r="G504" s="320"/>
    </row>
    <row r="505" spans="3:7">
      <c r="C505" s="319"/>
      <c r="D505" s="319"/>
      <c r="G505" s="320"/>
    </row>
    <row r="506" spans="3:4">
      <c r="C506" s="319"/>
      <c r="D506" s="319"/>
    </row>
    <row r="507" spans="3:7">
      <c r="C507" s="319"/>
      <c r="D507" s="319"/>
      <c r="G507" s="320"/>
    </row>
    <row r="508" spans="3:4">
      <c r="C508" s="319"/>
      <c r="D508" s="319"/>
    </row>
    <row r="509" spans="3:7">
      <c r="C509" s="319"/>
      <c r="D509" s="319"/>
      <c r="G509" s="320"/>
    </row>
    <row r="510" spans="3:7">
      <c r="C510" s="319"/>
      <c r="D510" s="319"/>
      <c r="G510" s="320"/>
    </row>
    <row r="511" spans="3:7">
      <c r="C511" s="319"/>
      <c r="D511" s="319"/>
      <c r="G511" s="320"/>
    </row>
    <row r="512" spans="3:4">
      <c r="C512" s="319"/>
      <c r="D512" s="319"/>
    </row>
    <row r="513" spans="3:7">
      <c r="C513" s="319"/>
      <c r="D513" s="319"/>
      <c r="G513" s="320"/>
    </row>
    <row r="514" spans="3:7">
      <c r="C514" s="319"/>
      <c r="D514" s="319"/>
      <c r="G514" s="320"/>
    </row>
    <row r="515" spans="3:7">
      <c r="C515" s="319"/>
      <c r="D515" s="319"/>
      <c r="G515" s="320"/>
    </row>
    <row r="516" spans="3:7">
      <c r="C516" s="319"/>
      <c r="D516" s="319"/>
      <c r="G516" s="320"/>
    </row>
    <row r="517" spans="3:7">
      <c r="C517" s="319"/>
      <c r="D517" s="319"/>
      <c r="G517" s="320"/>
    </row>
    <row r="518" spans="3:7">
      <c r="C518" s="319"/>
      <c r="D518" s="319"/>
      <c r="G518" s="320"/>
    </row>
    <row r="519" spans="3:4">
      <c r="C519" s="319"/>
      <c r="D519" s="319"/>
    </row>
    <row r="520" spans="3:4">
      <c r="C520" s="319"/>
      <c r="D520" s="319"/>
    </row>
    <row r="521" spans="3:4">
      <c r="C521" s="319"/>
      <c r="D521" s="319"/>
    </row>
    <row r="522" spans="3:7">
      <c r="C522" s="319"/>
      <c r="D522" s="319"/>
      <c r="G522" s="320"/>
    </row>
    <row r="523" spans="3:7">
      <c r="C523" s="319"/>
      <c r="D523" s="319"/>
      <c r="G523" s="320"/>
    </row>
    <row r="524" spans="3:7">
      <c r="C524" s="319"/>
      <c r="D524" s="319"/>
      <c r="G524" s="320"/>
    </row>
    <row r="525" spans="3:7">
      <c r="C525" s="319"/>
      <c r="D525" s="319"/>
      <c r="G525" s="320"/>
    </row>
    <row r="526" spans="3:7">
      <c r="C526" s="319"/>
      <c r="D526" s="319"/>
      <c r="G526" s="320"/>
    </row>
    <row r="527" spans="3:7">
      <c r="C527" s="319"/>
      <c r="D527" s="319"/>
      <c r="G527" s="320"/>
    </row>
    <row r="528" spans="3:7">
      <c r="C528" s="319"/>
      <c r="D528" s="319"/>
      <c r="G528" s="320"/>
    </row>
    <row r="529" spans="3:7">
      <c r="C529" s="319"/>
      <c r="D529" s="319"/>
      <c r="G529" s="320"/>
    </row>
    <row r="530" spans="3:7">
      <c r="C530" s="319"/>
      <c r="D530" s="319"/>
      <c r="G530" s="320"/>
    </row>
    <row r="531" spans="3:4">
      <c r="C531" s="319"/>
      <c r="D531" s="319"/>
    </row>
    <row r="532" spans="3:7">
      <c r="C532" s="319"/>
      <c r="D532" s="319"/>
      <c r="G532" s="320"/>
    </row>
    <row r="533" spans="3:7">
      <c r="C533" s="319"/>
      <c r="D533" s="319"/>
      <c r="G533" s="320"/>
    </row>
    <row r="534" spans="3:4">
      <c r="C534" s="319"/>
      <c r="D534" s="319"/>
    </row>
    <row r="535" spans="3:7">
      <c r="C535" s="319"/>
      <c r="D535" s="319"/>
      <c r="G535" s="320"/>
    </row>
    <row r="536" spans="3:7">
      <c r="C536" s="319"/>
      <c r="D536" s="319"/>
      <c r="G536" s="320"/>
    </row>
    <row r="537" spans="3:7">
      <c r="C537" s="319"/>
      <c r="D537" s="319"/>
      <c r="G537" s="320"/>
    </row>
    <row r="538" spans="3:4">
      <c r="C538" s="319"/>
      <c r="D538" s="319"/>
    </row>
    <row r="539" spans="3:7">
      <c r="C539" s="319"/>
      <c r="D539" s="319"/>
      <c r="G539" s="320"/>
    </row>
    <row r="540" spans="3:7">
      <c r="C540" s="319"/>
      <c r="D540" s="319"/>
      <c r="G540" s="320"/>
    </row>
    <row r="541" spans="3:7">
      <c r="C541" s="319"/>
      <c r="D541" s="319"/>
      <c r="G541" s="320"/>
    </row>
    <row r="542" spans="3:7">
      <c r="C542" s="319"/>
      <c r="D542" s="319"/>
      <c r="G542" s="320"/>
    </row>
    <row r="543" spans="3:7">
      <c r="C543" s="319"/>
      <c r="D543" s="319"/>
      <c r="G543" s="320"/>
    </row>
    <row r="544" spans="3:7">
      <c r="C544" s="319"/>
      <c r="D544" s="319"/>
      <c r="G544" s="320"/>
    </row>
    <row r="545" spans="3:4">
      <c r="C545" s="319"/>
      <c r="D545" s="319"/>
    </row>
    <row r="546" spans="3:7">
      <c r="C546" s="319"/>
      <c r="D546" s="319"/>
      <c r="G546" s="320"/>
    </row>
    <row r="547" spans="3:4">
      <c r="C547" s="319"/>
      <c r="D547" s="319"/>
    </row>
    <row r="548" spans="3:4">
      <c r="C548" s="319"/>
      <c r="D548" s="319"/>
    </row>
    <row r="549" spans="3:7">
      <c r="C549" s="319"/>
      <c r="D549" s="319"/>
      <c r="G549" s="320"/>
    </row>
    <row r="550" spans="3:7">
      <c r="C550" s="319"/>
      <c r="D550" s="319"/>
      <c r="G550" s="320"/>
    </row>
    <row r="551" spans="3:7">
      <c r="C551" s="319"/>
      <c r="D551" s="319"/>
      <c r="G551" s="320"/>
    </row>
    <row r="552" spans="3:7">
      <c r="C552" s="319"/>
      <c r="D552" s="319"/>
      <c r="G552" s="320"/>
    </row>
    <row r="553" spans="3:7">
      <c r="C553" s="319"/>
      <c r="D553" s="319"/>
      <c r="G553" s="320"/>
    </row>
    <row r="554" spans="3:4">
      <c r="C554" s="319"/>
      <c r="D554" s="319"/>
    </row>
    <row r="555" spans="3:7">
      <c r="C555" s="319"/>
      <c r="D555" s="319"/>
      <c r="G555" s="320"/>
    </row>
    <row r="556" spans="3:4">
      <c r="C556" s="319"/>
      <c r="D556" s="319"/>
    </row>
    <row r="557" spans="3:7">
      <c r="C557" s="319"/>
      <c r="D557" s="319"/>
      <c r="G557" s="320"/>
    </row>
    <row r="558" spans="3:7">
      <c r="C558" s="319"/>
      <c r="D558" s="319"/>
      <c r="G558" s="320"/>
    </row>
    <row r="559" spans="3:7">
      <c r="C559" s="319"/>
      <c r="D559" s="319"/>
      <c r="G559" s="320"/>
    </row>
    <row r="560" spans="3:7">
      <c r="C560" s="319"/>
      <c r="D560" s="319"/>
      <c r="G560" s="320"/>
    </row>
    <row r="561" spans="3:7">
      <c r="C561" s="319"/>
      <c r="D561" s="319"/>
      <c r="G561" s="320"/>
    </row>
    <row r="562" spans="3:7">
      <c r="C562" s="319"/>
      <c r="D562" s="319"/>
      <c r="G562" s="320"/>
    </row>
    <row r="563" spans="3:4">
      <c r="C563" s="319"/>
      <c r="D563" s="319"/>
    </row>
    <row r="564" spans="3:4">
      <c r="C564" s="319"/>
      <c r="D564" s="319"/>
    </row>
    <row r="565" spans="3:7">
      <c r="C565" s="319"/>
      <c r="D565" s="319"/>
      <c r="G565" s="320"/>
    </row>
    <row r="566" spans="3:7">
      <c r="C566" s="319"/>
      <c r="D566" s="319"/>
      <c r="G566" s="320"/>
    </row>
    <row r="567" spans="3:4">
      <c r="C567" s="319"/>
      <c r="D567" s="319"/>
    </row>
    <row r="568" spans="3:7">
      <c r="C568" s="319"/>
      <c r="D568" s="319"/>
      <c r="G568" s="320"/>
    </row>
    <row r="569" spans="3:4">
      <c r="C569" s="319"/>
      <c r="D569" s="319"/>
    </row>
    <row r="570" spans="3:7">
      <c r="C570" s="319"/>
      <c r="D570" s="319"/>
      <c r="G570" s="320"/>
    </row>
    <row r="571" spans="3:4">
      <c r="C571" s="319"/>
      <c r="D571" s="319"/>
    </row>
    <row r="572" spans="3:7">
      <c r="C572" s="319"/>
      <c r="D572" s="319"/>
      <c r="G572" s="320"/>
    </row>
    <row r="573" spans="3:7">
      <c r="C573" s="319"/>
      <c r="D573" s="319"/>
      <c r="G573" s="320"/>
    </row>
    <row r="574" spans="3:7">
      <c r="C574" s="319"/>
      <c r="D574" s="319"/>
      <c r="G574" s="320"/>
    </row>
    <row r="575" spans="3:7">
      <c r="C575" s="319"/>
      <c r="D575" s="319"/>
      <c r="G575" s="320"/>
    </row>
    <row r="576" spans="3:4">
      <c r="C576" s="319"/>
      <c r="D576" s="319"/>
    </row>
    <row r="577" spans="3:4">
      <c r="C577" s="319"/>
      <c r="D577" s="319"/>
    </row>
    <row r="578" spans="3:4">
      <c r="C578" s="319"/>
      <c r="D578" s="319"/>
    </row>
    <row r="579" spans="3:7">
      <c r="C579" s="319"/>
      <c r="D579" s="319"/>
      <c r="G579" s="320"/>
    </row>
    <row r="580" spans="3:7">
      <c r="C580" s="319"/>
      <c r="D580" s="319"/>
      <c r="G580" s="320"/>
    </row>
    <row r="581" spans="3:7">
      <c r="C581" s="319"/>
      <c r="D581" s="319"/>
      <c r="G581" s="320"/>
    </row>
    <row r="582" spans="3:7">
      <c r="C582" s="319"/>
      <c r="D582" s="319"/>
      <c r="G582" s="320"/>
    </row>
    <row r="583" spans="3:7">
      <c r="C583" s="319"/>
      <c r="D583" s="319"/>
      <c r="G583" s="320"/>
    </row>
    <row r="584" spans="3:7">
      <c r="C584" s="319"/>
      <c r="D584" s="319"/>
      <c r="G584" s="320"/>
    </row>
    <row r="585" spans="3:7">
      <c r="C585" s="319"/>
      <c r="D585" s="319"/>
      <c r="G585" s="320"/>
    </row>
    <row r="586" spans="3:7">
      <c r="C586" s="319"/>
      <c r="D586" s="319"/>
      <c r="G586" s="320"/>
    </row>
    <row r="587" spans="3:7">
      <c r="C587" s="319"/>
      <c r="D587" s="319"/>
      <c r="G587" s="320"/>
    </row>
    <row r="588" spans="3:7">
      <c r="C588" s="319"/>
      <c r="D588" s="319"/>
      <c r="G588" s="320"/>
    </row>
    <row r="589" spans="3:7">
      <c r="C589" s="319"/>
      <c r="D589" s="319"/>
      <c r="G589" s="320"/>
    </row>
    <row r="590" spans="3:7">
      <c r="C590" s="319"/>
      <c r="D590" s="319"/>
      <c r="G590" s="320"/>
    </row>
    <row r="591" spans="3:7">
      <c r="C591" s="319"/>
      <c r="D591" s="319"/>
      <c r="G591" s="320"/>
    </row>
    <row r="592" spans="3:7">
      <c r="C592" s="319"/>
      <c r="D592" s="319"/>
      <c r="G592" s="320"/>
    </row>
    <row r="593" spans="3:7">
      <c r="C593" s="319"/>
      <c r="D593" s="319"/>
      <c r="G593" s="320"/>
    </row>
    <row r="594" spans="3:7">
      <c r="C594" s="319"/>
      <c r="D594" s="319"/>
      <c r="G594" s="320"/>
    </row>
    <row r="595" spans="3:7">
      <c r="C595" s="319"/>
      <c r="D595" s="319"/>
      <c r="G595" s="320"/>
    </row>
    <row r="596" spans="3:7">
      <c r="C596" s="319"/>
      <c r="D596" s="319"/>
      <c r="G596" s="320"/>
    </row>
    <row r="597" spans="3:4">
      <c r="C597" s="319"/>
      <c r="D597" s="319"/>
    </row>
    <row r="598" spans="3:7">
      <c r="C598" s="319"/>
      <c r="D598" s="319"/>
      <c r="G598" s="320"/>
    </row>
    <row r="599" spans="3:7">
      <c r="C599" s="319"/>
      <c r="D599" s="319"/>
      <c r="G599" s="320"/>
    </row>
    <row r="600" spans="3:7">
      <c r="C600" s="319"/>
      <c r="D600" s="319"/>
      <c r="G600" s="320"/>
    </row>
    <row r="601" spans="3:7">
      <c r="C601" s="319"/>
      <c r="D601" s="319"/>
      <c r="G601" s="320"/>
    </row>
    <row r="602" spans="3:7">
      <c r="C602" s="319"/>
      <c r="D602" s="319"/>
      <c r="G602" s="320"/>
    </row>
    <row r="603" spans="3:4">
      <c r="C603" s="319"/>
      <c r="D603" s="319"/>
    </row>
    <row r="604" spans="3:7">
      <c r="C604" s="319"/>
      <c r="D604" s="319"/>
      <c r="G604" s="320"/>
    </row>
    <row r="605" spans="3:7">
      <c r="C605" s="319"/>
      <c r="D605" s="319"/>
      <c r="G605" s="320"/>
    </row>
    <row r="606" spans="3:7">
      <c r="C606" s="319"/>
      <c r="D606" s="319"/>
      <c r="G606" s="320"/>
    </row>
    <row r="607" spans="3:7">
      <c r="C607" s="319"/>
      <c r="D607" s="319"/>
      <c r="G607" s="320"/>
    </row>
    <row r="608" spans="3:7">
      <c r="C608" s="319"/>
      <c r="D608" s="319"/>
      <c r="G608" s="320"/>
    </row>
    <row r="609" spans="3:7">
      <c r="C609" s="319"/>
      <c r="D609" s="319"/>
      <c r="G609" s="320"/>
    </row>
    <row r="610" spans="3:7">
      <c r="C610" s="319"/>
      <c r="D610" s="319"/>
      <c r="G610" s="320"/>
    </row>
    <row r="611" spans="3:4">
      <c r="C611" s="319"/>
      <c r="D611" s="319"/>
    </row>
    <row r="612" spans="3:7">
      <c r="C612" s="319"/>
      <c r="D612" s="319"/>
      <c r="G612" s="320"/>
    </row>
    <row r="613" spans="3:7">
      <c r="C613" s="319"/>
      <c r="D613" s="319"/>
      <c r="G613" s="320"/>
    </row>
    <row r="614" spans="3:7">
      <c r="C614" s="319"/>
      <c r="D614" s="319"/>
      <c r="G614" s="320"/>
    </row>
    <row r="615" spans="3:7">
      <c r="C615" s="319"/>
      <c r="D615" s="319"/>
      <c r="G615" s="320"/>
    </row>
    <row r="616" spans="3:7">
      <c r="C616" s="319"/>
      <c r="D616" s="319"/>
      <c r="G616" s="320"/>
    </row>
    <row r="617" spans="3:7">
      <c r="C617" s="319"/>
      <c r="D617" s="319"/>
      <c r="G617" s="320"/>
    </row>
    <row r="618" spans="3:4">
      <c r="C618" s="319"/>
      <c r="D618" s="319"/>
    </row>
    <row r="619" spans="3:7">
      <c r="C619" s="319"/>
      <c r="D619" s="319"/>
      <c r="G619" s="320"/>
    </row>
    <row r="620" spans="3:7">
      <c r="C620" s="319"/>
      <c r="D620" s="319"/>
      <c r="G620" s="320"/>
    </row>
    <row r="621" spans="3:4">
      <c r="C621" s="319"/>
      <c r="D621" s="319"/>
    </row>
    <row r="622" spans="3:7">
      <c r="C622" s="319"/>
      <c r="D622" s="319"/>
      <c r="G622" s="320"/>
    </row>
    <row r="623" spans="3:4">
      <c r="C623" s="319"/>
      <c r="D623" s="319"/>
    </row>
    <row r="624" spans="3:7">
      <c r="C624" s="319"/>
      <c r="D624" s="319"/>
      <c r="G624" s="320"/>
    </row>
    <row r="625" spans="3:7">
      <c r="C625" s="319"/>
      <c r="D625" s="319"/>
      <c r="G625" s="320"/>
    </row>
    <row r="626" spans="3:7">
      <c r="C626" s="319"/>
      <c r="D626" s="319"/>
      <c r="G626" s="320"/>
    </row>
    <row r="627" spans="3:7">
      <c r="C627" s="319"/>
      <c r="D627" s="319"/>
      <c r="G627" s="320"/>
    </row>
    <row r="628" spans="3:7">
      <c r="C628" s="319"/>
      <c r="D628" s="319"/>
      <c r="G628" s="320"/>
    </row>
    <row r="629" spans="3:7">
      <c r="C629" s="319"/>
      <c r="D629" s="319"/>
      <c r="G629" s="320"/>
    </row>
    <row r="630" spans="3:7">
      <c r="C630" s="319"/>
      <c r="D630" s="319"/>
      <c r="G630" s="320"/>
    </row>
    <row r="631" spans="3:7">
      <c r="C631" s="319"/>
      <c r="D631" s="319"/>
      <c r="G631" s="320"/>
    </row>
    <row r="632" spans="3:7">
      <c r="C632" s="319"/>
      <c r="D632" s="319"/>
      <c r="G632" s="320"/>
    </row>
    <row r="633" spans="3:7">
      <c r="C633" s="319"/>
      <c r="D633" s="319"/>
      <c r="G633" s="320"/>
    </row>
    <row r="634" spans="3:4">
      <c r="C634" s="319"/>
      <c r="D634" s="319"/>
    </row>
    <row r="635" spans="3:4">
      <c r="C635" s="319"/>
      <c r="D635" s="319"/>
    </row>
    <row r="636" spans="3:7">
      <c r="C636" s="319"/>
      <c r="D636" s="319"/>
      <c r="G636" s="320"/>
    </row>
    <row r="637" spans="3:7">
      <c r="C637" s="319"/>
      <c r="D637" s="319"/>
      <c r="G637" s="320"/>
    </row>
    <row r="638" spans="3:7">
      <c r="C638" s="319"/>
      <c r="D638" s="319"/>
      <c r="G638" s="320"/>
    </row>
    <row r="639" spans="3:4">
      <c r="C639" s="319"/>
      <c r="D639" s="319"/>
    </row>
    <row r="640" spans="3:7">
      <c r="C640" s="319"/>
      <c r="D640" s="319"/>
      <c r="G640" s="320"/>
    </row>
    <row r="641" spans="3:7">
      <c r="C641" s="319"/>
      <c r="D641" s="319"/>
      <c r="G641" s="320"/>
    </row>
    <row r="642" spans="3:7">
      <c r="C642" s="319"/>
      <c r="D642" s="319"/>
      <c r="G642" s="320"/>
    </row>
    <row r="643" spans="3:7">
      <c r="C643" s="319"/>
      <c r="D643" s="319"/>
      <c r="G643" s="320"/>
    </row>
    <row r="644" spans="3:7">
      <c r="C644" s="319"/>
      <c r="D644" s="319"/>
      <c r="G644" s="320"/>
    </row>
    <row r="645" spans="3:7">
      <c r="C645" s="319"/>
      <c r="D645" s="319"/>
      <c r="G645" s="320"/>
    </row>
    <row r="646" spans="3:7">
      <c r="C646" s="319"/>
      <c r="D646" s="319"/>
      <c r="G646" s="320"/>
    </row>
    <row r="647" spans="3:7">
      <c r="C647" s="319"/>
      <c r="D647" s="319"/>
      <c r="G647" s="320"/>
    </row>
    <row r="648" spans="3:7">
      <c r="C648" s="319"/>
      <c r="D648" s="319"/>
      <c r="G648" s="320"/>
    </row>
    <row r="649" spans="3:7">
      <c r="C649" s="319"/>
      <c r="D649" s="319"/>
      <c r="G649" s="320"/>
    </row>
    <row r="650" spans="3:4">
      <c r="C650" s="319"/>
      <c r="D650" s="319"/>
    </row>
    <row r="651" spans="3:7">
      <c r="C651" s="319"/>
      <c r="D651" s="319"/>
      <c r="G651" s="320"/>
    </row>
    <row r="652" spans="3:7">
      <c r="C652" s="319"/>
      <c r="D652" s="319"/>
      <c r="G652" s="320"/>
    </row>
    <row r="653" spans="3:7">
      <c r="C653" s="319"/>
      <c r="D653" s="319"/>
      <c r="G653" s="320"/>
    </row>
    <row r="654" spans="3:7">
      <c r="C654" s="319"/>
      <c r="D654" s="319"/>
      <c r="G654" s="320"/>
    </row>
    <row r="655" spans="3:7">
      <c r="C655" s="319"/>
      <c r="D655" s="319"/>
      <c r="G655" s="320"/>
    </row>
    <row r="656" spans="3:7">
      <c r="C656" s="319"/>
      <c r="D656" s="319"/>
      <c r="G656" s="320"/>
    </row>
    <row r="657" spans="3:7">
      <c r="C657" s="319"/>
      <c r="D657" s="319"/>
      <c r="G657" s="320"/>
    </row>
    <row r="658" spans="3:7">
      <c r="C658" s="319"/>
      <c r="D658" s="319"/>
      <c r="G658" s="320"/>
    </row>
    <row r="659" spans="3:4">
      <c r="C659" s="319"/>
      <c r="D659" s="319"/>
    </row>
    <row r="660" spans="3:7">
      <c r="C660" s="319"/>
      <c r="D660" s="319"/>
      <c r="G660" s="320"/>
    </row>
    <row r="661" spans="3:7">
      <c r="C661" s="319"/>
      <c r="D661" s="319"/>
      <c r="G661" s="320"/>
    </row>
    <row r="662" spans="3:7">
      <c r="C662" s="319"/>
      <c r="D662" s="319"/>
      <c r="G662" s="320"/>
    </row>
    <row r="663" spans="3:7">
      <c r="C663" s="319"/>
      <c r="D663" s="319"/>
      <c r="G663" s="320"/>
    </row>
    <row r="664" spans="3:7">
      <c r="C664" s="319"/>
      <c r="D664" s="319"/>
      <c r="G664" s="320"/>
    </row>
    <row r="665" spans="3:7">
      <c r="C665" s="319"/>
      <c r="D665" s="319"/>
      <c r="G665" s="320"/>
    </row>
    <row r="666" spans="3:7">
      <c r="C666" s="319"/>
      <c r="D666" s="319"/>
      <c r="G666" s="320"/>
    </row>
    <row r="667" spans="3:4">
      <c r="C667" s="319"/>
      <c r="D667" s="319"/>
    </row>
    <row r="668" spans="3:7">
      <c r="C668" s="319"/>
      <c r="D668" s="319"/>
      <c r="G668" s="320"/>
    </row>
    <row r="669" spans="3:7">
      <c r="C669" s="319"/>
      <c r="D669" s="319"/>
      <c r="G669" s="320"/>
    </row>
    <row r="670" spans="3:7">
      <c r="C670" s="319"/>
      <c r="D670" s="319"/>
      <c r="G670" s="320"/>
    </row>
    <row r="671" spans="3:7">
      <c r="C671" s="319"/>
      <c r="D671" s="319"/>
      <c r="G671" s="320"/>
    </row>
    <row r="672" spans="3:7">
      <c r="C672" s="319"/>
      <c r="D672" s="319"/>
      <c r="G672" s="320"/>
    </row>
    <row r="673" spans="3:7">
      <c r="C673" s="319"/>
      <c r="D673" s="319"/>
      <c r="G673" s="320"/>
    </row>
    <row r="674" spans="3:7">
      <c r="C674" s="319"/>
      <c r="D674" s="319"/>
      <c r="G674" s="320"/>
    </row>
    <row r="675" spans="3:7">
      <c r="C675" s="319"/>
      <c r="D675" s="319"/>
      <c r="G675" s="320"/>
    </row>
    <row r="676" spans="3:7">
      <c r="C676" s="319"/>
      <c r="D676" s="319"/>
      <c r="G676" s="320"/>
    </row>
    <row r="677" spans="3:7">
      <c r="C677" s="319"/>
      <c r="D677" s="319"/>
      <c r="G677" s="320"/>
    </row>
    <row r="678" spans="3:7">
      <c r="C678" s="319"/>
      <c r="D678" s="319"/>
      <c r="G678" s="320"/>
    </row>
    <row r="679" spans="3:7">
      <c r="C679" s="319"/>
      <c r="D679" s="319"/>
      <c r="G679" s="320"/>
    </row>
    <row r="680" spans="3:7">
      <c r="C680" s="319"/>
      <c r="D680" s="319"/>
      <c r="G680" s="320"/>
    </row>
    <row r="681" spans="3:7">
      <c r="C681" s="319"/>
      <c r="D681" s="319"/>
      <c r="G681" s="320"/>
    </row>
    <row r="682" spans="3:4">
      <c r="C682" s="319"/>
      <c r="D682" s="319"/>
    </row>
    <row r="683" spans="3:7">
      <c r="C683" s="319"/>
      <c r="D683" s="319"/>
      <c r="G683" s="320"/>
    </row>
    <row r="684" spans="3:7">
      <c r="C684" s="319"/>
      <c r="D684" s="319"/>
      <c r="G684" s="320"/>
    </row>
    <row r="685" spans="3:7">
      <c r="C685" s="319"/>
      <c r="D685" s="319"/>
      <c r="G685" s="320"/>
    </row>
    <row r="686" spans="3:7">
      <c r="C686" s="319"/>
      <c r="D686" s="319"/>
      <c r="G686" s="320"/>
    </row>
    <row r="687" spans="3:7">
      <c r="C687" s="319"/>
      <c r="D687" s="319"/>
      <c r="G687" s="320"/>
    </row>
    <row r="688" spans="3:7">
      <c r="C688" s="319"/>
      <c r="D688" s="319"/>
      <c r="G688" s="320"/>
    </row>
    <row r="689" spans="3:7">
      <c r="C689" s="319"/>
      <c r="D689" s="319"/>
      <c r="G689" s="320"/>
    </row>
    <row r="690" spans="3:4">
      <c r="C690" s="319"/>
      <c r="D690" s="319"/>
    </row>
    <row r="691" spans="3:7">
      <c r="C691" s="319"/>
      <c r="D691" s="319"/>
      <c r="G691" s="320"/>
    </row>
    <row r="692" spans="3:7">
      <c r="C692" s="319"/>
      <c r="D692" s="319"/>
      <c r="G692" s="320"/>
    </row>
    <row r="693" spans="3:4">
      <c r="C693" s="319"/>
      <c r="D693" s="319"/>
    </row>
    <row r="694" spans="3:7">
      <c r="C694" s="319"/>
      <c r="D694" s="319"/>
      <c r="G694" s="320"/>
    </row>
    <row r="695" spans="3:4">
      <c r="C695" s="319"/>
      <c r="D695" s="319"/>
    </row>
    <row r="696" spans="3:7">
      <c r="C696" s="319"/>
      <c r="D696" s="319"/>
      <c r="G696" s="320"/>
    </row>
    <row r="697" spans="3:7">
      <c r="C697" s="319"/>
      <c r="D697" s="319"/>
      <c r="G697" s="320"/>
    </row>
    <row r="698" spans="3:4">
      <c r="C698" s="319"/>
      <c r="D698" s="319"/>
    </row>
    <row r="699" spans="3:7">
      <c r="C699" s="319"/>
      <c r="D699" s="319"/>
      <c r="G699" s="320"/>
    </row>
    <row r="700" spans="3:7">
      <c r="C700" s="319"/>
      <c r="D700" s="319"/>
      <c r="G700" s="320"/>
    </row>
    <row r="701" spans="3:7">
      <c r="C701" s="319"/>
      <c r="D701" s="319"/>
      <c r="G701" s="320"/>
    </row>
    <row r="702" spans="3:7">
      <c r="C702" s="319"/>
      <c r="D702" s="319"/>
      <c r="G702" s="320"/>
    </row>
    <row r="703" spans="3:4">
      <c r="C703" s="319"/>
      <c r="D703" s="319"/>
    </row>
    <row r="704" spans="3:7">
      <c r="C704" s="319"/>
      <c r="D704" s="319"/>
      <c r="G704" s="320"/>
    </row>
    <row r="705" spans="3:7">
      <c r="C705" s="319"/>
      <c r="D705" s="319"/>
      <c r="G705" s="320"/>
    </row>
    <row r="706" spans="3:7">
      <c r="C706" s="319"/>
      <c r="D706" s="319"/>
      <c r="G706" s="320"/>
    </row>
    <row r="707" spans="3:7">
      <c r="C707" s="319"/>
      <c r="D707" s="319"/>
      <c r="G707" s="320"/>
    </row>
    <row r="708" spans="3:7">
      <c r="C708" s="319"/>
      <c r="D708" s="319"/>
      <c r="G708" s="320"/>
    </row>
    <row r="709" spans="3:7">
      <c r="C709" s="319"/>
      <c r="D709" s="319"/>
      <c r="G709" s="320"/>
    </row>
    <row r="710" spans="3:7">
      <c r="C710" s="319"/>
      <c r="D710" s="319"/>
      <c r="G710" s="320"/>
    </row>
    <row r="711" spans="3:7">
      <c r="C711" s="319"/>
      <c r="D711" s="319"/>
      <c r="G711" s="320"/>
    </row>
    <row r="712" spans="3:7">
      <c r="C712" s="319"/>
      <c r="D712" s="319"/>
      <c r="G712" s="320"/>
    </row>
    <row r="713" spans="3:7">
      <c r="C713" s="319"/>
      <c r="D713" s="319"/>
      <c r="G713" s="320"/>
    </row>
    <row r="714" spans="3:4">
      <c r="C714" s="319"/>
      <c r="D714" s="319"/>
    </row>
    <row r="715" spans="3:7">
      <c r="C715" s="319"/>
      <c r="D715" s="319"/>
      <c r="G715" s="320"/>
    </row>
    <row r="716" spans="3:7">
      <c r="C716" s="319"/>
      <c r="D716" s="319"/>
      <c r="G716" s="320"/>
    </row>
    <row r="717" spans="3:7">
      <c r="C717" s="319"/>
      <c r="D717" s="319"/>
      <c r="G717" s="320"/>
    </row>
    <row r="718" spans="3:7">
      <c r="C718" s="319"/>
      <c r="D718" s="319"/>
      <c r="G718" s="320"/>
    </row>
    <row r="719" spans="3:7">
      <c r="C719" s="319"/>
      <c r="D719" s="319"/>
      <c r="G719" s="320"/>
    </row>
    <row r="720" spans="3:7">
      <c r="C720" s="319"/>
      <c r="D720" s="319"/>
      <c r="G720" s="320"/>
    </row>
    <row r="721" spans="3:4">
      <c r="C721" s="319"/>
      <c r="D721" s="319"/>
    </row>
    <row r="722" spans="3:7">
      <c r="C722" s="319"/>
      <c r="D722" s="319"/>
      <c r="G722" s="320"/>
    </row>
    <row r="723" spans="3:7">
      <c r="C723" s="319"/>
      <c r="D723" s="319"/>
      <c r="G723" s="320"/>
    </row>
    <row r="724" spans="3:7">
      <c r="C724" s="319"/>
      <c r="D724" s="319"/>
      <c r="G724" s="320"/>
    </row>
    <row r="725" spans="3:7">
      <c r="C725" s="319"/>
      <c r="D725" s="319"/>
      <c r="G725" s="320"/>
    </row>
    <row r="726" spans="3:7">
      <c r="C726" s="319"/>
      <c r="D726" s="319"/>
      <c r="G726" s="320"/>
    </row>
    <row r="727" spans="3:7">
      <c r="C727" s="319"/>
      <c r="D727" s="319"/>
      <c r="G727" s="320"/>
    </row>
    <row r="728" spans="3:7">
      <c r="C728" s="319"/>
      <c r="D728" s="319"/>
      <c r="G728" s="320"/>
    </row>
    <row r="729" spans="3:7">
      <c r="C729" s="319"/>
      <c r="D729" s="319"/>
      <c r="G729" s="320"/>
    </row>
    <row r="730" spans="3:7">
      <c r="C730" s="319"/>
      <c r="D730" s="319"/>
      <c r="G730" s="320"/>
    </row>
    <row r="731" spans="3:7">
      <c r="C731" s="319"/>
      <c r="D731" s="319"/>
      <c r="G731" s="320"/>
    </row>
    <row r="732" spans="3:7">
      <c r="C732" s="319"/>
      <c r="D732" s="319"/>
      <c r="G732" s="320"/>
    </row>
    <row r="733" spans="3:7">
      <c r="C733" s="319"/>
      <c r="D733" s="319"/>
      <c r="G733" s="320"/>
    </row>
    <row r="734" spans="3:7">
      <c r="C734" s="319"/>
      <c r="D734" s="319"/>
      <c r="G734" s="320"/>
    </row>
    <row r="735" spans="3:7">
      <c r="C735" s="319"/>
      <c r="D735" s="319"/>
      <c r="G735" s="320"/>
    </row>
    <row r="736" spans="3:7">
      <c r="C736" s="319"/>
      <c r="D736" s="319"/>
      <c r="G736" s="320"/>
    </row>
    <row r="737" spans="3:7">
      <c r="C737" s="319"/>
      <c r="D737" s="319"/>
      <c r="G737" s="320"/>
    </row>
    <row r="738" spans="3:7">
      <c r="C738" s="319"/>
      <c r="D738" s="319"/>
      <c r="G738" s="320"/>
    </row>
    <row r="739" spans="3:7">
      <c r="C739" s="319"/>
      <c r="D739" s="319"/>
      <c r="G739" s="320"/>
    </row>
    <row r="740" spans="3:7">
      <c r="C740" s="319"/>
      <c r="D740" s="319"/>
      <c r="G740" s="320"/>
    </row>
    <row r="741" spans="3:7">
      <c r="C741" s="319"/>
      <c r="D741" s="319"/>
      <c r="G741" s="320"/>
    </row>
    <row r="742" spans="3:7">
      <c r="C742" s="319"/>
      <c r="D742" s="319"/>
      <c r="G742" s="320"/>
    </row>
    <row r="743" spans="3:7">
      <c r="C743" s="319"/>
      <c r="D743" s="319"/>
      <c r="G743" s="320"/>
    </row>
    <row r="744" spans="3:7">
      <c r="C744" s="319"/>
      <c r="D744" s="319"/>
      <c r="G744" s="320"/>
    </row>
    <row r="745" spans="3:4">
      <c r="C745" s="319"/>
      <c r="D745" s="319"/>
    </row>
    <row r="746" spans="3:7">
      <c r="C746" s="319"/>
      <c r="D746" s="319"/>
      <c r="G746" s="320"/>
    </row>
    <row r="747" spans="3:4">
      <c r="C747" s="319"/>
      <c r="D747" s="319"/>
    </row>
    <row r="748" spans="3:7">
      <c r="C748" s="319"/>
      <c r="D748" s="319"/>
      <c r="G748" s="320"/>
    </row>
    <row r="749" spans="3:4">
      <c r="C749" s="319"/>
      <c r="D749" s="319"/>
    </row>
    <row r="750" spans="3:7">
      <c r="C750" s="319"/>
      <c r="D750" s="319"/>
      <c r="G750" s="320"/>
    </row>
    <row r="751" spans="3:7">
      <c r="C751" s="319"/>
      <c r="D751" s="319"/>
      <c r="G751" s="320"/>
    </row>
    <row r="752" spans="3:7">
      <c r="C752" s="319"/>
      <c r="D752" s="319"/>
      <c r="G752" s="320"/>
    </row>
    <row r="753" spans="3:7">
      <c r="C753" s="319"/>
      <c r="D753" s="319"/>
      <c r="G753" s="320"/>
    </row>
    <row r="754" spans="3:4">
      <c r="C754" s="319"/>
      <c r="D754" s="319"/>
    </row>
    <row r="755" spans="3:7">
      <c r="C755" s="319"/>
      <c r="D755" s="319"/>
      <c r="G755" s="320"/>
    </row>
    <row r="756" spans="3:7">
      <c r="C756" s="319"/>
      <c r="D756" s="319"/>
      <c r="G756" s="320"/>
    </row>
    <row r="757" spans="3:7">
      <c r="C757" s="319"/>
      <c r="D757" s="319"/>
      <c r="G757" s="320"/>
    </row>
    <row r="758" spans="3:4">
      <c r="C758" s="319"/>
      <c r="D758" s="319"/>
    </row>
    <row r="759" spans="3:4">
      <c r="C759" s="319"/>
      <c r="D759" s="319"/>
    </row>
    <row r="760" spans="3:4">
      <c r="C760" s="319"/>
      <c r="D760" s="319"/>
    </row>
    <row r="761" spans="3:7">
      <c r="C761" s="319"/>
      <c r="D761" s="319"/>
      <c r="G761" s="320"/>
    </row>
    <row r="762" spans="3:7">
      <c r="C762" s="319"/>
      <c r="D762" s="319"/>
      <c r="G762" s="320"/>
    </row>
    <row r="763" spans="3:4">
      <c r="C763" s="319"/>
      <c r="D763" s="319"/>
    </row>
    <row r="764" spans="3:7">
      <c r="C764" s="319"/>
      <c r="D764" s="319"/>
      <c r="G764" s="320"/>
    </row>
    <row r="765" spans="3:7">
      <c r="C765" s="319"/>
      <c r="D765" s="319"/>
      <c r="G765" s="320"/>
    </row>
    <row r="766" spans="3:7">
      <c r="C766" s="319"/>
      <c r="D766" s="319"/>
      <c r="G766" s="320"/>
    </row>
    <row r="767" spans="3:4">
      <c r="C767" s="319"/>
      <c r="D767" s="319"/>
    </row>
    <row r="768" spans="3:7">
      <c r="C768" s="319"/>
      <c r="D768" s="319"/>
      <c r="G768" s="320"/>
    </row>
    <row r="769" spans="3:4">
      <c r="C769" s="319"/>
      <c r="D769" s="319"/>
    </row>
    <row r="770" spans="3:7">
      <c r="C770" s="319"/>
      <c r="D770" s="319"/>
      <c r="G770" s="320"/>
    </row>
    <row r="771" spans="3:7">
      <c r="C771" s="319"/>
      <c r="D771" s="319"/>
      <c r="G771" s="320"/>
    </row>
    <row r="772" spans="3:7">
      <c r="C772" s="319"/>
      <c r="D772" s="319"/>
      <c r="G772" s="320"/>
    </row>
    <row r="773" spans="3:7">
      <c r="C773" s="319"/>
      <c r="D773" s="319"/>
      <c r="G773" s="320"/>
    </row>
    <row r="774" spans="3:7">
      <c r="C774" s="319"/>
      <c r="D774" s="319"/>
      <c r="G774" s="320"/>
    </row>
    <row r="775" spans="3:7">
      <c r="C775" s="319"/>
      <c r="D775" s="319"/>
      <c r="G775" s="320"/>
    </row>
    <row r="776" spans="3:7">
      <c r="C776" s="319"/>
      <c r="D776" s="319"/>
      <c r="G776" s="320"/>
    </row>
    <row r="777" spans="3:7">
      <c r="C777" s="319"/>
      <c r="D777" s="319"/>
      <c r="G777" s="320"/>
    </row>
    <row r="778" spans="3:7">
      <c r="C778" s="319"/>
      <c r="D778" s="319"/>
      <c r="G778" s="320"/>
    </row>
    <row r="779" spans="3:7">
      <c r="C779" s="319"/>
      <c r="D779" s="319"/>
      <c r="G779" s="320"/>
    </row>
    <row r="780" spans="3:7">
      <c r="C780" s="319"/>
      <c r="D780" s="319"/>
      <c r="G780" s="320"/>
    </row>
    <row r="781" spans="3:7">
      <c r="C781" s="319"/>
      <c r="D781" s="319"/>
      <c r="G781" s="320"/>
    </row>
    <row r="782" spans="3:7">
      <c r="C782" s="319"/>
      <c r="D782" s="319"/>
      <c r="G782" s="320"/>
    </row>
    <row r="783" spans="3:7">
      <c r="C783" s="319"/>
      <c r="D783" s="319"/>
      <c r="G783" s="320"/>
    </row>
    <row r="784" spans="3:7">
      <c r="C784" s="319"/>
      <c r="D784" s="319"/>
      <c r="G784" s="320"/>
    </row>
    <row r="785" spans="3:7">
      <c r="C785" s="319"/>
      <c r="D785" s="319"/>
      <c r="G785" s="320"/>
    </row>
    <row r="786" spans="3:7">
      <c r="C786" s="319"/>
      <c r="D786" s="319"/>
      <c r="G786" s="320"/>
    </row>
    <row r="787" spans="3:7">
      <c r="C787" s="319"/>
      <c r="D787" s="319"/>
      <c r="G787" s="320"/>
    </row>
    <row r="788" spans="3:7">
      <c r="C788" s="319"/>
      <c r="D788" s="319"/>
      <c r="G788" s="320"/>
    </row>
    <row r="789" spans="3:4">
      <c r="C789" s="319"/>
      <c r="D789" s="319"/>
    </row>
    <row r="790" spans="3:7">
      <c r="C790" s="319"/>
      <c r="D790" s="319"/>
      <c r="G790" s="320"/>
    </row>
    <row r="791" spans="3:7">
      <c r="C791" s="319"/>
      <c r="D791" s="319"/>
      <c r="G791" s="320"/>
    </row>
    <row r="792" spans="3:7">
      <c r="C792" s="319"/>
      <c r="D792" s="319"/>
      <c r="G792" s="320"/>
    </row>
    <row r="793" spans="3:7">
      <c r="C793" s="319"/>
      <c r="D793" s="319"/>
      <c r="G793" s="320"/>
    </row>
    <row r="794" spans="3:7">
      <c r="C794" s="319"/>
      <c r="D794" s="319"/>
      <c r="G794" s="320"/>
    </row>
    <row r="795" spans="3:7">
      <c r="C795" s="319"/>
      <c r="D795" s="319"/>
      <c r="G795" s="320"/>
    </row>
    <row r="796" spans="3:7">
      <c r="C796" s="319"/>
      <c r="D796" s="319"/>
      <c r="G796" s="320"/>
    </row>
    <row r="797" spans="3:7">
      <c r="C797" s="319"/>
      <c r="D797" s="319"/>
      <c r="G797" s="320"/>
    </row>
    <row r="798" spans="3:7">
      <c r="C798" s="319"/>
      <c r="D798" s="319"/>
      <c r="G798" s="320"/>
    </row>
    <row r="799" spans="3:7">
      <c r="C799" s="319"/>
      <c r="D799" s="319"/>
      <c r="G799" s="320"/>
    </row>
    <row r="800" spans="3:4">
      <c r="C800" s="319"/>
      <c r="D800" s="319"/>
    </row>
    <row r="801" spans="3:4">
      <c r="C801" s="319"/>
      <c r="D801" s="319"/>
    </row>
    <row r="802" spans="3:7">
      <c r="C802" s="319"/>
      <c r="D802" s="319"/>
      <c r="G802" s="320"/>
    </row>
    <row r="803" spans="3:7">
      <c r="C803" s="319"/>
      <c r="D803" s="319"/>
      <c r="G803" s="320"/>
    </row>
    <row r="804" spans="3:7">
      <c r="C804" s="319"/>
      <c r="D804" s="319"/>
      <c r="G804" s="320"/>
    </row>
    <row r="805" spans="3:7">
      <c r="C805" s="319"/>
      <c r="D805" s="319"/>
      <c r="G805" s="320"/>
    </row>
    <row r="806" spans="3:7">
      <c r="C806" s="319"/>
      <c r="D806" s="319"/>
      <c r="G806" s="320"/>
    </row>
    <row r="807" spans="3:7">
      <c r="C807" s="319"/>
      <c r="D807" s="319"/>
      <c r="G807" s="320"/>
    </row>
    <row r="808" spans="3:7">
      <c r="C808" s="319"/>
      <c r="D808" s="319"/>
      <c r="G808" s="320"/>
    </row>
    <row r="809" spans="3:7">
      <c r="C809" s="319"/>
      <c r="D809" s="319"/>
      <c r="G809" s="320"/>
    </row>
    <row r="810" spans="3:7">
      <c r="C810" s="319"/>
      <c r="D810" s="319"/>
      <c r="G810" s="320"/>
    </row>
    <row r="811" spans="3:4">
      <c r="C811" s="319"/>
      <c r="D811" s="319"/>
    </row>
    <row r="812" spans="3:4">
      <c r="C812" s="319"/>
      <c r="D812" s="319"/>
    </row>
    <row r="813" spans="3:7">
      <c r="C813" s="319"/>
      <c r="D813" s="319"/>
      <c r="G813" s="320"/>
    </row>
    <row r="814" spans="3:7">
      <c r="C814" s="319"/>
      <c r="D814" s="319"/>
      <c r="G814" s="320"/>
    </row>
    <row r="815" spans="3:7">
      <c r="C815" s="319"/>
      <c r="D815" s="319"/>
      <c r="G815" s="320"/>
    </row>
    <row r="816" spans="3:7">
      <c r="C816" s="319"/>
      <c r="D816" s="319"/>
      <c r="G816" s="320"/>
    </row>
    <row r="817" spans="3:7">
      <c r="C817" s="319"/>
      <c r="D817" s="319"/>
      <c r="G817" s="320"/>
    </row>
    <row r="818" spans="3:7">
      <c r="C818" s="319"/>
      <c r="D818" s="319"/>
      <c r="G818" s="320"/>
    </row>
    <row r="819" spans="3:7">
      <c r="C819" s="319"/>
      <c r="D819" s="319"/>
      <c r="G819" s="320"/>
    </row>
    <row r="820" spans="3:7">
      <c r="C820" s="319"/>
      <c r="D820" s="319"/>
      <c r="G820" s="320"/>
    </row>
    <row r="821" spans="3:7">
      <c r="C821" s="319"/>
      <c r="D821" s="319"/>
      <c r="G821" s="320"/>
    </row>
    <row r="822" spans="3:7">
      <c r="C822" s="319"/>
      <c r="D822" s="319"/>
      <c r="G822" s="320"/>
    </row>
    <row r="823" spans="3:7">
      <c r="C823" s="319"/>
      <c r="D823" s="319"/>
      <c r="G823" s="320"/>
    </row>
    <row r="824" spans="3:7">
      <c r="C824" s="319"/>
      <c r="D824" s="319"/>
      <c r="G824" s="320"/>
    </row>
    <row r="825" spans="3:7">
      <c r="C825" s="319"/>
      <c r="D825" s="319"/>
      <c r="G825" s="320"/>
    </row>
    <row r="826" spans="3:7">
      <c r="C826" s="319"/>
      <c r="D826" s="319"/>
      <c r="G826" s="320"/>
    </row>
    <row r="827" spans="3:7">
      <c r="C827" s="319"/>
      <c r="D827" s="319"/>
      <c r="G827" s="320"/>
    </row>
    <row r="828" spans="3:7">
      <c r="C828" s="319"/>
      <c r="D828" s="319"/>
      <c r="G828" s="320"/>
    </row>
    <row r="829" spans="3:7">
      <c r="C829" s="319"/>
      <c r="D829" s="319"/>
      <c r="G829" s="320"/>
    </row>
    <row r="830" spans="3:7">
      <c r="C830" s="319"/>
      <c r="D830" s="319"/>
      <c r="G830" s="320"/>
    </row>
    <row r="831" spans="3:4">
      <c r="C831" s="319"/>
      <c r="D831" s="319"/>
    </row>
    <row r="832" spans="3:7">
      <c r="C832" s="319"/>
      <c r="D832" s="319"/>
      <c r="G832" s="320"/>
    </row>
    <row r="833" spans="3:7">
      <c r="C833" s="319"/>
      <c r="D833" s="319"/>
      <c r="G833" s="320"/>
    </row>
    <row r="834" spans="3:7">
      <c r="C834" s="319"/>
      <c r="D834" s="319"/>
      <c r="G834" s="320"/>
    </row>
    <row r="835" spans="3:7">
      <c r="C835" s="319"/>
      <c r="D835" s="319"/>
      <c r="G835" s="320"/>
    </row>
    <row r="836" spans="3:7">
      <c r="C836" s="319"/>
      <c r="D836" s="319"/>
      <c r="G836" s="320"/>
    </row>
    <row r="837" spans="3:4">
      <c r="C837" s="319"/>
      <c r="D837" s="319"/>
    </row>
    <row r="838" spans="3:7">
      <c r="C838" s="319"/>
      <c r="D838" s="319"/>
      <c r="G838" s="320"/>
    </row>
    <row r="839" spans="3:7">
      <c r="C839" s="319"/>
      <c r="D839" s="319"/>
      <c r="G839" s="320"/>
    </row>
    <row r="840" spans="3:7">
      <c r="C840" s="319"/>
      <c r="D840" s="319"/>
      <c r="G840" s="320"/>
    </row>
    <row r="841" spans="3:4">
      <c r="C841" s="319"/>
      <c r="D841" s="319"/>
    </row>
    <row r="842" spans="3:4">
      <c r="C842" s="319"/>
      <c r="D842" s="319"/>
    </row>
    <row r="843" spans="3:7">
      <c r="C843" s="319"/>
      <c r="D843" s="319"/>
      <c r="G843" s="320"/>
    </row>
    <row r="844" spans="3:7">
      <c r="C844" s="319"/>
      <c r="D844" s="319"/>
      <c r="G844" s="320"/>
    </row>
    <row r="845" spans="3:7">
      <c r="C845" s="319"/>
      <c r="D845" s="319"/>
      <c r="G845" s="320"/>
    </row>
    <row r="846" spans="3:7">
      <c r="C846" s="319"/>
      <c r="D846" s="319"/>
      <c r="G846" s="320"/>
    </row>
    <row r="847" spans="3:4">
      <c r="C847" s="319"/>
      <c r="D847" s="319"/>
    </row>
    <row r="848" spans="3:7">
      <c r="C848" s="319"/>
      <c r="D848" s="319"/>
      <c r="G848" s="320"/>
    </row>
    <row r="849" spans="3:7">
      <c r="C849" s="319"/>
      <c r="D849" s="319"/>
      <c r="G849" s="320"/>
    </row>
    <row r="850" spans="3:4">
      <c r="C850" s="319"/>
      <c r="D850" s="319"/>
    </row>
    <row r="851" spans="3:4">
      <c r="C851" s="319"/>
      <c r="D851" s="319"/>
    </row>
    <row r="852" spans="3:7">
      <c r="C852" s="319"/>
      <c r="D852" s="319"/>
      <c r="G852" s="320"/>
    </row>
    <row r="853" spans="3:7">
      <c r="C853" s="319"/>
      <c r="D853" s="319"/>
      <c r="G853" s="320"/>
    </row>
    <row r="854" spans="3:7">
      <c r="C854" s="319"/>
      <c r="D854" s="319"/>
      <c r="G854" s="320"/>
    </row>
    <row r="855" spans="3:4">
      <c r="C855" s="319"/>
      <c r="D855" s="319"/>
    </row>
    <row r="856" spans="3:7">
      <c r="C856" s="319"/>
      <c r="D856" s="319"/>
      <c r="G856" s="320"/>
    </row>
    <row r="857" spans="3:7">
      <c r="C857" s="319"/>
      <c r="D857" s="319"/>
      <c r="G857" s="320"/>
    </row>
    <row r="858" spans="3:7">
      <c r="C858" s="319"/>
      <c r="D858" s="319"/>
      <c r="G858" s="320"/>
    </row>
    <row r="859" spans="3:7">
      <c r="C859" s="319"/>
      <c r="D859" s="319"/>
      <c r="G859" s="320"/>
    </row>
    <row r="860" spans="3:4">
      <c r="C860" s="319"/>
      <c r="D860" s="319"/>
    </row>
    <row r="861" spans="3:7">
      <c r="C861" s="319"/>
      <c r="D861" s="319"/>
      <c r="G861" s="320"/>
    </row>
    <row r="862" spans="3:4">
      <c r="C862" s="319"/>
      <c r="D862" s="319"/>
    </row>
    <row r="863" spans="3:7">
      <c r="C863" s="319"/>
      <c r="D863" s="319"/>
      <c r="G863" s="320"/>
    </row>
    <row r="864" spans="3:7">
      <c r="C864" s="319"/>
      <c r="D864" s="319"/>
      <c r="G864" s="320"/>
    </row>
    <row r="865" spans="3:7">
      <c r="C865" s="319"/>
      <c r="D865" s="319"/>
      <c r="G865" s="320"/>
    </row>
    <row r="866" spans="3:7">
      <c r="C866" s="319"/>
      <c r="D866" s="319"/>
      <c r="G866" s="320"/>
    </row>
    <row r="867" spans="3:7">
      <c r="C867" s="319"/>
      <c r="D867" s="319"/>
      <c r="G867" s="320"/>
    </row>
    <row r="868" spans="3:7">
      <c r="C868" s="319"/>
      <c r="D868" s="319"/>
      <c r="G868" s="320"/>
    </row>
    <row r="869" spans="3:4">
      <c r="C869" s="319"/>
      <c r="D869" s="319"/>
    </row>
    <row r="870" spans="3:7">
      <c r="C870" s="319"/>
      <c r="D870" s="319"/>
      <c r="G870" s="320"/>
    </row>
    <row r="871" spans="3:7">
      <c r="C871" s="319"/>
      <c r="D871" s="319"/>
      <c r="G871" s="320"/>
    </row>
    <row r="872" spans="3:7">
      <c r="C872" s="319"/>
      <c r="D872" s="319"/>
      <c r="G872" s="320"/>
    </row>
    <row r="873" spans="3:7">
      <c r="C873" s="319"/>
      <c r="D873" s="319"/>
      <c r="G873" s="320"/>
    </row>
    <row r="874" spans="3:7">
      <c r="C874" s="319"/>
      <c r="D874" s="319"/>
      <c r="G874" s="320"/>
    </row>
    <row r="875" spans="3:7">
      <c r="C875" s="319"/>
      <c r="D875" s="319"/>
      <c r="G875" s="320"/>
    </row>
    <row r="876" spans="3:7">
      <c r="C876" s="319"/>
      <c r="D876" s="319"/>
      <c r="G876" s="320"/>
    </row>
    <row r="877" spans="3:7">
      <c r="C877" s="319"/>
      <c r="D877" s="319"/>
      <c r="G877" s="320"/>
    </row>
    <row r="878" spans="3:7">
      <c r="C878" s="319"/>
      <c r="D878" s="319"/>
      <c r="G878" s="320"/>
    </row>
    <row r="879" spans="3:7">
      <c r="C879" s="319"/>
      <c r="D879" s="319"/>
      <c r="G879" s="320"/>
    </row>
    <row r="880" spans="3:7">
      <c r="C880" s="319"/>
      <c r="D880" s="319"/>
      <c r="G880" s="320"/>
    </row>
    <row r="881" spans="3:7">
      <c r="C881" s="319"/>
      <c r="D881" s="319"/>
      <c r="G881" s="320"/>
    </row>
    <row r="882" spans="3:7">
      <c r="C882" s="319"/>
      <c r="D882" s="319"/>
      <c r="G882" s="320"/>
    </row>
    <row r="883" spans="3:7">
      <c r="C883" s="319"/>
      <c r="D883" s="319"/>
      <c r="G883" s="320"/>
    </row>
    <row r="884" spans="3:7">
      <c r="C884" s="319"/>
      <c r="D884" s="319"/>
      <c r="G884" s="320"/>
    </row>
    <row r="885" spans="3:7">
      <c r="C885" s="319"/>
      <c r="D885" s="319"/>
      <c r="G885" s="320"/>
    </row>
    <row r="886" spans="3:7">
      <c r="C886" s="319"/>
      <c r="D886" s="319"/>
      <c r="G886" s="320"/>
    </row>
    <row r="887" spans="3:7">
      <c r="C887" s="319"/>
      <c r="D887" s="319"/>
      <c r="G887" s="320"/>
    </row>
    <row r="888" spans="3:4">
      <c r="C888" s="319"/>
      <c r="D888" s="319"/>
    </row>
    <row r="889" spans="3:7">
      <c r="C889" s="319"/>
      <c r="D889" s="319"/>
      <c r="G889" s="320"/>
    </row>
    <row r="890" spans="3:7">
      <c r="C890" s="319"/>
      <c r="D890" s="319"/>
      <c r="G890" s="320"/>
    </row>
    <row r="891" spans="3:7">
      <c r="C891" s="319"/>
      <c r="D891" s="319"/>
      <c r="G891" s="320"/>
    </row>
    <row r="892" spans="3:7">
      <c r="C892" s="319"/>
      <c r="D892" s="319"/>
      <c r="G892" s="320"/>
    </row>
    <row r="893" spans="3:7">
      <c r="C893" s="319"/>
      <c r="D893" s="319"/>
      <c r="G893" s="320"/>
    </row>
    <row r="894" spans="3:4">
      <c r="C894" s="319"/>
      <c r="D894" s="319"/>
    </row>
    <row r="895" spans="3:7">
      <c r="C895" s="319"/>
      <c r="D895" s="319"/>
      <c r="G895" s="320"/>
    </row>
    <row r="896" spans="3:7">
      <c r="C896" s="319"/>
      <c r="D896" s="319"/>
      <c r="G896" s="320"/>
    </row>
    <row r="897" spans="3:4">
      <c r="C897" s="319"/>
      <c r="D897" s="319"/>
    </row>
    <row r="898" spans="3:4">
      <c r="C898" s="319"/>
      <c r="D898" s="319"/>
    </row>
    <row r="899" spans="3:7">
      <c r="C899" s="319"/>
      <c r="D899" s="319"/>
      <c r="G899" s="320"/>
    </row>
    <row r="900" spans="3:7">
      <c r="C900" s="319"/>
      <c r="D900" s="319"/>
      <c r="G900" s="320"/>
    </row>
    <row r="901" spans="3:4">
      <c r="C901" s="319"/>
      <c r="D901" s="319"/>
    </row>
    <row r="902" spans="3:7">
      <c r="C902" s="319"/>
      <c r="D902" s="319"/>
      <c r="G902" s="320"/>
    </row>
    <row r="903" spans="3:7">
      <c r="C903" s="319"/>
      <c r="D903" s="319"/>
      <c r="G903" s="320"/>
    </row>
    <row r="904" spans="3:7">
      <c r="C904" s="319"/>
      <c r="D904" s="319"/>
      <c r="G904" s="320"/>
    </row>
    <row r="905" spans="3:7">
      <c r="C905" s="319"/>
      <c r="D905" s="319"/>
      <c r="G905" s="320"/>
    </row>
    <row r="906" spans="3:4">
      <c r="C906" s="319"/>
      <c r="D906" s="319"/>
    </row>
    <row r="907" spans="3:7">
      <c r="C907" s="319"/>
      <c r="D907" s="319"/>
      <c r="G907" s="320"/>
    </row>
    <row r="908" spans="3:7">
      <c r="C908" s="319"/>
      <c r="D908" s="319"/>
      <c r="G908" s="320"/>
    </row>
    <row r="909" spans="3:7">
      <c r="C909" s="319"/>
      <c r="D909" s="319"/>
      <c r="G909" s="320"/>
    </row>
    <row r="910" spans="3:7">
      <c r="C910" s="319"/>
      <c r="D910" s="319"/>
      <c r="G910" s="320"/>
    </row>
    <row r="911" spans="3:7">
      <c r="C911" s="319"/>
      <c r="D911" s="319"/>
      <c r="G911" s="320"/>
    </row>
    <row r="912" spans="3:4">
      <c r="C912" s="319"/>
      <c r="D912" s="319"/>
    </row>
    <row r="913" spans="3:7">
      <c r="C913" s="319"/>
      <c r="D913" s="319"/>
      <c r="G913" s="320"/>
    </row>
    <row r="914" spans="3:7">
      <c r="C914" s="319"/>
      <c r="D914" s="319"/>
      <c r="G914" s="320"/>
    </row>
    <row r="915" spans="3:4">
      <c r="C915" s="319"/>
      <c r="D915" s="319"/>
    </row>
    <row r="916" spans="3:4">
      <c r="C916" s="319"/>
      <c r="D916" s="319"/>
    </row>
    <row r="917" spans="3:7">
      <c r="C917" s="319"/>
      <c r="D917" s="319"/>
      <c r="G917" s="320"/>
    </row>
    <row r="918" spans="3:7">
      <c r="C918" s="319"/>
      <c r="D918" s="319"/>
      <c r="G918" s="320"/>
    </row>
    <row r="919" spans="3:7">
      <c r="C919" s="319"/>
      <c r="D919" s="319"/>
      <c r="G919" s="320"/>
    </row>
    <row r="920" spans="3:7">
      <c r="C920" s="319"/>
      <c r="D920" s="319"/>
      <c r="G920" s="320"/>
    </row>
    <row r="921" spans="3:4">
      <c r="C921" s="319"/>
      <c r="D921" s="319"/>
    </row>
    <row r="922" spans="3:7">
      <c r="C922" s="319"/>
      <c r="D922" s="319"/>
      <c r="G922" s="320"/>
    </row>
    <row r="923" spans="3:7">
      <c r="C923" s="319"/>
      <c r="D923" s="319"/>
      <c r="G923" s="320"/>
    </row>
    <row r="924" spans="3:7">
      <c r="C924" s="319"/>
      <c r="D924" s="319"/>
      <c r="G924" s="320"/>
    </row>
    <row r="925" spans="3:7">
      <c r="C925" s="319"/>
      <c r="D925" s="319"/>
      <c r="G925" s="320"/>
    </row>
    <row r="926" spans="3:7">
      <c r="C926" s="319"/>
      <c r="D926" s="319"/>
      <c r="G926" s="320"/>
    </row>
    <row r="927" spans="3:7">
      <c r="C927" s="319"/>
      <c r="D927" s="319"/>
      <c r="G927" s="320"/>
    </row>
    <row r="928" spans="3:4">
      <c r="C928" s="319"/>
      <c r="D928" s="319"/>
    </row>
    <row r="929" spans="3:7">
      <c r="C929" s="319"/>
      <c r="D929" s="319"/>
      <c r="G929" s="320"/>
    </row>
    <row r="930" spans="3:7">
      <c r="C930" s="319"/>
      <c r="D930" s="319"/>
      <c r="G930" s="320"/>
    </row>
    <row r="931" spans="3:7">
      <c r="C931" s="319"/>
      <c r="D931" s="319"/>
      <c r="G931" s="320"/>
    </row>
    <row r="932" spans="3:7">
      <c r="C932" s="319"/>
      <c r="D932" s="319"/>
      <c r="G932" s="320"/>
    </row>
    <row r="933" spans="3:7">
      <c r="C933" s="319"/>
      <c r="D933" s="319"/>
      <c r="G933" s="320"/>
    </row>
    <row r="934" spans="3:7">
      <c r="C934" s="319"/>
      <c r="D934" s="319"/>
      <c r="G934" s="320"/>
    </row>
    <row r="935" spans="3:7">
      <c r="C935" s="319"/>
      <c r="D935" s="319"/>
      <c r="G935" s="320"/>
    </row>
    <row r="936" spans="3:7">
      <c r="C936" s="319"/>
      <c r="D936" s="319"/>
      <c r="G936" s="320"/>
    </row>
    <row r="937" spans="3:7">
      <c r="C937" s="319"/>
      <c r="D937" s="319"/>
      <c r="G937" s="320"/>
    </row>
    <row r="938" spans="3:7">
      <c r="C938" s="319"/>
      <c r="D938" s="319"/>
      <c r="G938" s="320"/>
    </row>
    <row r="939" spans="3:4">
      <c r="C939" s="319"/>
      <c r="D939" s="319"/>
    </row>
    <row r="940" spans="3:7">
      <c r="C940" s="319"/>
      <c r="D940" s="319"/>
      <c r="G940" s="320"/>
    </row>
    <row r="941" spans="3:7">
      <c r="C941" s="319"/>
      <c r="D941" s="319"/>
      <c r="G941" s="320"/>
    </row>
    <row r="942" spans="3:7">
      <c r="C942" s="319"/>
      <c r="D942" s="319"/>
      <c r="G942" s="320"/>
    </row>
    <row r="943" spans="3:7">
      <c r="C943" s="319"/>
      <c r="D943" s="319"/>
      <c r="G943" s="320"/>
    </row>
    <row r="944" spans="3:7">
      <c r="C944" s="319"/>
      <c r="D944" s="319"/>
      <c r="G944" s="320"/>
    </row>
    <row r="945" spans="3:7">
      <c r="C945" s="319"/>
      <c r="D945" s="319"/>
      <c r="G945" s="320"/>
    </row>
    <row r="946" spans="3:7">
      <c r="C946" s="319"/>
      <c r="D946" s="319"/>
      <c r="G946" s="320"/>
    </row>
    <row r="947" spans="3:7">
      <c r="C947" s="319"/>
      <c r="D947" s="319"/>
      <c r="G947" s="320"/>
    </row>
    <row r="948" spans="3:7">
      <c r="C948" s="319"/>
      <c r="D948" s="319"/>
      <c r="G948" s="320"/>
    </row>
    <row r="949" spans="3:7">
      <c r="C949" s="319"/>
      <c r="D949" s="319"/>
      <c r="G949" s="320"/>
    </row>
    <row r="950" spans="3:7">
      <c r="C950" s="319"/>
      <c r="D950" s="319"/>
      <c r="G950" s="320"/>
    </row>
    <row r="951" spans="3:7">
      <c r="C951" s="319"/>
      <c r="D951" s="319"/>
      <c r="G951" s="320"/>
    </row>
    <row r="952" spans="3:7">
      <c r="C952" s="319"/>
      <c r="D952" s="319"/>
      <c r="G952" s="320"/>
    </row>
    <row r="953" spans="3:7">
      <c r="C953" s="319"/>
      <c r="D953" s="319"/>
      <c r="G953" s="320"/>
    </row>
    <row r="954" spans="3:7">
      <c r="C954" s="319"/>
      <c r="D954" s="319"/>
      <c r="G954" s="320"/>
    </row>
    <row r="955" spans="3:4">
      <c r="C955" s="319"/>
      <c r="D955" s="319"/>
    </row>
    <row r="956" spans="3:4">
      <c r="C956" s="319"/>
      <c r="D956" s="319"/>
    </row>
    <row r="957" spans="3:4">
      <c r="C957" s="319"/>
      <c r="D957" s="319"/>
    </row>
    <row r="958" spans="3:7">
      <c r="C958" s="319"/>
      <c r="D958" s="319"/>
      <c r="G958" s="320"/>
    </row>
    <row r="959" spans="3:7">
      <c r="C959" s="319"/>
      <c r="D959" s="319"/>
      <c r="G959" s="320"/>
    </row>
    <row r="960" spans="3:7">
      <c r="C960" s="319"/>
      <c r="D960" s="319"/>
      <c r="G960" s="320"/>
    </row>
    <row r="961" spans="3:7">
      <c r="C961" s="319"/>
      <c r="D961" s="319"/>
      <c r="G961" s="320"/>
    </row>
    <row r="962" spans="3:7">
      <c r="C962" s="319"/>
      <c r="D962" s="319"/>
      <c r="G962" s="320"/>
    </row>
    <row r="963" spans="3:7">
      <c r="C963" s="319"/>
      <c r="D963" s="319"/>
      <c r="G963" s="320"/>
    </row>
    <row r="964" spans="3:7">
      <c r="C964" s="319"/>
      <c r="D964" s="319"/>
      <c r="G964" s="320"/>
    </row>
    <row r="965" spans="3:7">
      <c r="C965" s="319"/>
      <c r="D965" s="319"/>
      <c r="G965" s="320"/>
    </row>
    <row r="966" spans="3:7">
      <c r="C966" s="319"/>
      <c r="D966" s="319"/>
      <c r="G966" s="320"/>
    </row>
    <row r="967" spans="3:7">
      <c r="C967" s="319"/>
      <c r="D967" s="319"/>
      <c r="G967" s="320"/>
    </row>
    <row r="968" spans="3:7">
      <c r="C968" s="319"/>
      <c r="D968" s="319"/>
      <c r="G968" s="320"/>
    </row>
    <row r="969" spans="3:7">
      <c r="C969" s="319"/>
      <c r="D969" s="319"/>
      <c r="G969" s="320"/>
    </row>
    <row r="970" spans="3:7">
      <c r="C970" s="319"/>
      <c r="D970" s="319"/>
      <c r="G970" s="320"/>
    </row>
    <row r="971" spans="3:7">
      <c r="C971" s="319"/>
      <c r="D971" s="319"/>
      <c r="G971" s="320"/>
    </row>
    <row r="972" spans="3:7">
      <c r="C972" s="319"/>
      <c r="D972" s="319"/>
      <c r="G972" s="320"/>
    </row>
    <row r="973" spans="3:4">
      <c r="C973" s="319"/>
      <c r="D973" s="319"/>
    </row>
    <row r="974" spans="3:7">
      <c r="C974" s="319"/>
      <c r="D974" s="319"/>
      <c r="G974" s="320"/>
    </row>
    <row r="975" spans="3:7">
      <c r="C975" s="319"/>
      <c r="D975" s="319"/>
      <c r="G975" s="320"/>
    </row>
    <row r="976" spans="3:7">
      <c r="C976" s="319"/>
      <c r="D976" s="319"/>
      <c r="G976" s="320"/>
    </row>
    <row r="977" spans="3:7">
      <c r="C977" s="319"/>
      <c r="D977" s="319"/>
      <c r="G977" s="320"/>
    </row>
    <row r="978" spans="3:4">
      <c r="C978" s="319"/>
      <c r="D978" s="319"/>
    </row>
    <row r="979" spans="3:7">
      <c r="C979" s="319"/>
      <c r="D979" s="319"/>
      <c r="G979" s="320"/>
    </row>
    <row r="980" spans="3:7">
      <c r="C980" s="319"/>
      <c r="D980" s="319"/>
      <c r="G980" s="320"/>
    </row>
    <row r="981" spans="3:7">
      <c r="C981" s="319"/>
      <c r="D981" s="319"/>
      <c r="G981" s="320"/>
    </row>
    <row r="982" spans="3:7">
      <c r="C982" s="319"/>
      <c r="D982" s="319"/>
      <c r="G982" s="320"/>
    </row>
    <row r="983" spans="3:7">
      <c r="C983" s="319"/>
      <c r="D983" s="319"/>
      <c r="G983" s="320"/>
    </row>
    <row r="984" spans="3:7">
      <c r="C984" s="319"/>
      <c r="D984" s="319"/>
      <c r="G984" s="320"/>
    </row>
    <row r="985" spans="3:7">
      <c r="C985" s="319"/>
      <c r="D985" s="319"/>
      <c r="G985" s="320"/>
    </row>
    <row r="986" spans="3:7">
      <c r="C986" s="319"/>
      <c r="D986" s="319"/>
      <c r="G986" s="320"/>
    </row>
    <row r="987" spans="3:7">
      <c r="C987" s="319"/>
      <c r="D987" s="319"/>
      <c r="G987" s="320"/>
    </row>
    <row r="988" spans="3:7">
      <c r="C988" s="319"/>
      <c r="D988" s="319"/>
      <c r="G988" s="320"/>
    </row>
    <row r="989" spans="3:7">
      <c r="C989" s="319"/>
      <c r="D989" s="319"/>
      <c r="G989" s="320"/>
    </row>
    <row r="990" spans="3:7">
      <c r="C990" s="319"/>
      <c r="D990" s="319"/>
      <c r="G990" s="320"/>
    </row>
    <row r="991" spans="3:7">
      <c r="C991" s="319"/>
      <c r="D991" s="319"/>
      <c r="G991" s="320"/>
    </row>
    <row r="992" spans="3:7">
      <c r="C992" s="319"/>
      <c r="D992" s="319"/>
      <c r="G992" s="320"/>
    </row>
    <row r="993" spans="3:4">
      <c r="C993" s="319"/>
      <c r="D993" s="319"/>
    </row>
    <row r="994" spans="3:7">
      <c r="C994" s="319"/>
      <c r="D994" s="319"/>
      <c r="G994" s="320"/>
    </row>
    <row r="995" spans="3:7">
      <c r="C995" s="319"/>
      <c r="D995" s="319"/>
      <c r="G995" s="320"/>
    </row>
    <row r="996" spans="3:7">
      <c r="C996" s="319"/>
      <c r="D996" s="319"/>
      <c r="G996" s="320"/>
    </row>
    <row r="997" spans="3:7">
      <c r="C997" s="319"/>
      <c r="D997" s="319"/>
      <c r="G997" s="320"/>
    </row>
    <row r="998" spans="3:7">
      <c r="C998" s="319"/>
      <c r="D998" s="319"/>
      <c r="G998" s="320"/>
    </row>
    <row r="999" spans="3:7">
      <c r="C999" s="319"/>
      <c r="D999" s="319"/>
      <c r="G999" s="320"/>
    </row>
    <row r="1000" spans="3:7">
      <c r="C1000" s="319"/>
      <c r="D1000" s="319"/>
      <c r="G1000" s="320"/>
    </row>
    <row r="1001" spans="3:7">
      <c r="C1001" s="319"/>
      <c r="D1001" s="319"/>
      <c r="G1001" s="320"/>
    </row>
    <row r="1002" spans="3:7">
      <c r="C1002" s="319"/>
      <c r="D1002" s="319"/>
      <c r="G1002" s="320"/>
    </row>
    <row r="1003" spans="3:7">
      <c r="C1003" s="319"/>
      <c r="D1003" s="319"/>
      <c r="G1003" s="320"/>
    </row>
    <row r="1004" spans="3:7">
      <c r="C1004" s="319"/>
      <c r="D1004" s="319"/>
      <c r="G1004" s="320"/>
    </row>
    <row r="1005" spans="3:7">
      <c r="C1005" s="319"/>
      <c r="D1005" s="319"/>
      <c r="G1005" s="320"/>
    </row>
    <row r="1006" spans="3:7">
      <c r="C1006" s="319"/>
      <c r="D1006" s="319"/>
      <c r="G1006" s="320"/>
    </row>
    <row r="1007" spans="3:7">
      <c r="C1007" s="319"/>
      <c r="D1007" s="319"/>
      <c r="G1007" s="320"/>
    </row>
    <row r="1008" spans="3:7">
      <c r="C1008" s="319"/>
      <c r="D1008" s="319"/>
      <c r="G1008" s="320"/>
    </row>
    <row r="1009" spans="3:4">
      <c r="C1009" s="319"/>
      <c r="D1009" s="319"/>
    </row>
    <row r="1010" spans="3:7">
      <c r="C1010" s="319"/>
      <c r="D1010" s="319"/>
      <c r="G1010" s="320"/>
    </row>
    <row r="1011" spans="3:7">
      <c r="C1011" s="319"/>
      <c r="D1011" s="319"/>
      <c r="G1011" s="320"/>
    </row>
    <row r="1012" spans="3:7">
      <c r="C1012" s="319"/>
      <c r="D1012" s="319"/>
      <c r="G1012" s="320"/>
    </row>
    <row r="1013" spans="3:7">
      <c r="C1013" s="319"/>
      <c r="D1013" s="319"/>
      <c r="G1013" s="320"/>
    </row>
    <row r="1014" spans="3:7">
      <c r="C1014" s="319"/>
      <c r="D1014" s="319"/>
      <c r="G1014" s="320"/>
    </row>
    <row r="1015" spans="3:7">
      <c r="C1015" s="319"/>
      <c r="D1015" s="319"/>
      <c r="G1015" s="320"/>
    </row>
    <row r="1016" spans="3:7">
      <c r="C1016" s="319"/>
      <c r="D1016" s="319"/>
      <c r="G1016" s="320"/>
    </row>
    <row r="1017" spans="3:7">
      <c r="C1017" s="319"/>
      <c r="D1017" s="319"/>
      <c r="G1017" s="320"/>
    </row>
    <row r="1018" spans="3:7">
      <c r="C1018" s="319"/>
      <c r="D1018" s="319"/>
      <c r="G1018" s="320"/>
    </row>
    <row r="1019" spans="3:7">
      <c r="C1019" s="319"/>
      <c r="D1019" s="319"/>
      <c r="G1019" s="320"/>
    </row>
    <row r="1020" spans="3:7">
      <c r="C1020" s="319"/>
      <c r="D1020" s="319"/>
      <c r="G1020" s="320"/>
    </row>
    <row r="1021" spans="3:7">
      <c r="C1021" s="319"/>
      <c r="D1021" s="319"/>
      <c r="G1021" s="320"/>
    </row>
    <row r="1022" spans="3:7">
      <c r="C1022" s="319"/>
      <c r="D1022" s="319"/>
      <c r="G1022" s="320"/>
    </row>
    <row r="1023" spans="3:7">
      <c r="C1023" s="319"/>
      <c r="D1023" s="319"/>
      <c r="G1023" s="320"/>
    </row>
    <row r="1024" spans="3:7">
      <c r="C1024" s="319"/>
      <c r="D1024" s="319"/>
      <c r="G1024" s="320"/>
    </row>
    <row r="1025" spans="3:7">
      <c r="C1025" s="319"/>
      <c r="D1025" s="319"/>
      <c r="G1025" s="320"/>
    </row>
    <row r="1026" spans="3:7">
      <c r="C1026" s="319"/>
      <c r="D1026" s="319"/>
      <c r="G1026" s="320"/>
    </row>
    <row r="1027" spans="3:7">
      <c r="C1027" s="319"/>
      <c r="D1027" s="319"/>
      <c r="G1027" s="320"/>
    </row>
    <row r="1028" spans="3:7">
      <c r="C1028" s="319"/>
      <c r="D1028" s="319"/>
      <c r="G1028" s="320"/>
    </row>
    <row r="1029" spans="3:7">
      <c r="C1029" s="319"/>
      <c r="D1029" s="319"/>
      <c r="G1029" s="320"/>
    </row>
    <row r="1030" spans="3:7">
      <c r="C1030" s="319"/>
      <c r="D1030" s="319"/>
      <c r="G1030" s="320"/>
    </row>
    <row r="1031" spans="3:7">
      <c r="C1031" s="319"/>
      <c r="D1031" s="319"/>
      <c r="G1031" s="320"/>
    </row>
    <row r="1032" spans="3:7">
      <c r="C1032" s="319"/>
      <c r="D1032" s="319"/>
      <c r="G1032" s="320"/>
    </row>
    <row r="1033" spans="3:7">
      <c r="C1033" s="319"/>
      <c r="D1033" s="319"/>
      <c r="G1033" s="320"/>
    </row>
    <row r="1034" spans="3:4">
      <c r="C1034" s="319"/>
      <c r="D1034" s="319"/>
    </row>
    <row r="1035" spans="3:4">
      <c r="C1035" s="319"/>
      <c r="D1035" s="319"/>
    </row>
    <row r="1036" spans="3:7">
      <c r="C1036" s="319"/>
      <c r="D1036" s="319"/>
      <c r="G1036" s="320"/>
    </row>
    <row r="1037" spans="3:7">
      <c r="C1037" s="319"/>
      <c r="D1037" s="319"/>
      <c r="G1037" s="320"/>
    </row>
    <row r="1038" spans="3:7">
      <c r="C1038" s="319"/>
      <c r="D1038" s="319"/>
      <c r="G1038" s="320"/>
    </row>
    <row r="1039" spans="3:7">
      <c r="C1039" s="319"/>
      <c r="D1039" s="319"/>
      <c r="G1039" s="320"/>
    </row>
    <row r="1040" spans="3:7">
      <c r="C1040" s="319"/>
      <c r="D1040" s="319"/>
      <c r="G1040" s="320"/>
    </row>
    <row r="1041" spans="3:7">
      <c r="C1041" s="319"/>
      <c r="D1041" s="319"/>
      <c r="G1041" s="320"/>
    </row>
    <row r="1042" spans="3:7">
      <c r="C1042" s="319"/>
      <c r="D1042" s="319"/>
      <c r="G1042" s="320"/>
    </row>
    <row r="1043" spans="3:7">
      <c r="C1043" s="319"/>
      <c r="D1043" s="319"/>
      <c r="G1043" s="320"/>
    </row>
    <row r="1044" spans="3:7">
      <c r="C1044" s="319"/>
      <c r="D1044" s="319"/>
      <c r="G1044" s="320"/>
    </row>
    <row r="1045" spans="3:7">
      <c r="C1045" s="319"/>
      <c r="D1045" s="319"/>
      <c r="G1045" s="320"/>
    </row>
    <row r="1046" spans="3:7">
      <c r="C1046" s="319"/>
      <c r="D1046" s="319"/>
      <c r="G1046" s="320"/>
    </row>
    <row r="1047" spans="3:4">
      <c r="C1047" s="319"/>
      <c r="D1047" s="319"/>
    </row>
    <row r="1048" spans="3:7">
      <c r="C1048" s="319"/>
      <c r="D1048" s="319"/>
      <c r="G1048" s="320"/>
    </row>
    <row r="1049" spans="3:7">
      <c r="C1049" s="319"/>
      <c r="D1049" s="319"/>
      <c r="G1049" s="320"/>
    </row>
    <row r="1050" spans="3:7">
      <c r="C1050" s="319"/>
      <c r="D1050" s="319"/>
      <c r="G1050" s="320"/>
    </row>
    <row r="1051" spans="3:7">
      <c r="C1051" s="319"/>
      <c r="D1051" s="319"/>
      <c r="G1051" s="320"/>
    </row>
    <row r="1052" spans="3:7">
      <c r="C1052" s="319"/>
      <c r="D1052" s="319"/>
      <c r="G1052" s="320"/>
    </row>
    <row r="1053" spans="3:7">
      <c r="C1053" s="319"/>
      <c r="D1053" s="319"/>
      <c r="G1053" s="320"/>
    </row>
    <row r="1054" spans="3:7">
      <c r="C1054" s="319"/>
      <c r="D1054" s="319"/>
      <c r="G1054" s="320"/>
    </row>
    <row r="1055" spans="3:4">
      <c r="C1055" s="319"/>
      <c r="D1055" s="319"/>
    </row>
    <row r="1056" spans="3:7">
      <c r="C1056" s="319"/>
      <c r="D1056" s="319"/>
      <c r="G1056" s="320"/>
    </row>
    <row r="1057" spans="3:7">
      <c r="C1057" s="319"/>
      <c r="D1057" s="319"/>
      <c r="G1057" s="320"/>
    </row>
    <row r="1058" spans="3:7">
      <c r="C1058" s="319"/>
      <c r="D1058" s="319"/>
      <c r="G1058" s="320"/>
    </row>
    <row r="1059" spans="3:7">
      <c r="C1059" s="319"/>
      <c r="D1059" s="319"/>
      <c r="G1059" s="320"/>
    </row>
    <row r="1060" spans="3:7">
      <c r="C1060" s="319"/>
      <c r="D1060" s="319"/>
      <c r="G1060" s="320"/>
    </row>
    <row r="1061" spans="3:7">
      <c r="C1061" s="319"/>
      <c r="D1061" s="319"/>
      <c r="G1061" s="320"/>
    </row>
    <row r="1062" spans="3:7">
      <c r="C1062" s="319"/>
      <c r="D1062" s="319"/>
      <c r="G1062" s="320"/>
    </row>
    <row r="1063" spans="3:7">
      <c r="C1063" s="319"/>
      <c r="D1063" s="319"/>
      <c r="G1063" s="320"/>
    </row>
    <row r="1064" spans="3:4">
      <c r="C1064" s="319"/>
      <c r="D1064" s="319"/>
    </row>
    <row r="1065" spans="3:7">
      <c r="C1065" s="319"/>
      <c r="D1065" s="319"/>
      <c r="G1065" s="320"/>
    </row>
    <row r="1066" spans="3:7">
      <c r="C1066" s="319"/>
      <c r="D1066" s="319"/>
      <c r="G1066" s="320"/>
    </row>
    <row r="1067" spans="3:7">
      <c r="C1067" s="319"/>
      <c r="D1067" s="319"/>
      <c r="G1067" s="320"/>
    </row>
    <row r="1068" spans="3:4">
      <c r="C1068" s="319"/>
      <c r="D1068" s="319"/>
    </row>
    <row r="1069" spans="3:7">
      <c r="C1069" s="319"/>
      <c r="D1069" s="319"/>
      <c r="G1069" s="320"/>
    </row>
    <row r="1070" spans="3:7">
      <c r="C1070" s="319"/>
      <c r="D1070" s="319"/>
      <c r="G1070" s="320"/>
    </row>
    <row r="1071" spans="3:7">
      <c r="C1071" s="319"/>
      <c r="D1071" s="319"/>
      <c r="G1071" s="320"/>
    </row>
    <row r="1072" spans="3:7">
      <c r="C1072" s="319"/>
      <c r="D1072" s="319"/>
      <c r="G1072" s="320"/>
    </row>
    <row r="1073" spans="3:7">
      <c r="C1073" s="319"/>
      <c r="D1073" s="319"/>
      <c r="G1073" s="320"/>
    </row>
    <row r="1074" spans="3:7">
      <c r="C1074" s="319"/>
      <c r="D1074" s="319"/>
      <c r="G1074" s="320"/>
    </row>
    <row r="1075" spans="3:7">
      <c r="C1075" s="319"/>
      <c r="D1075" s="319"/>
      <c r="G1075" s="320"/>
    </row>
    <row r="1076" spans="3:7">
      <c r="C1076" s="319"/>
      <c r="D1076" s="319"/>
      <c r="G1076" s="320"/>
    </row>
    <row r="1077" spans="3:7">
      <c r="C1077" s="319"/>
      <c r="D1077" s="319"/>
      <c r="G1077" s="320"/>
    </row>
    <row r="1078" spans="3:4">
      <c r="C1078" s="319"/>
      <c r="D1078" s="319"/>
    </row>
    <row r="1079" spans="3:7">
      <c r="C1079" s="319"/>
      <c r="D1079" s="319"/>
      <c r="G1079" s="320"/>
    </row>
    <row r="1080" spans="3:4">
      <c r="C1080" s="319"/>
      <c r="D1080" s="319"/>
    </row>
    <row r="1081" spans="3:7">
      <c r="C1081" s="319"/>
      <c r="D1081" s="319"/>
      <c r="G1081" s="320"/>
    </row>
    <row r="1082" spans="3:4">
      <c r="C1082" s="319"/>
      <c r="D1082" s="319"/>
    </row>
    <row r="1083" spans="3:7">
      <c r="C1083" s="319"/>
      <c r="D1083" s="319"/>
      <c r="G1083" s="320"/>
    </row>
    <row r="1084" spans="3:7">
      <c r="C1084" s="319"/>
      <c r="D1084" s="319"/>
      <c r="G1084" s="320"/>
    </row>
    <row r="1085" spans="3:7">
      <c r="C1085" s="319"/>
      <c r="D1085" s="319"/>
      <c r="G1085" s="320"/>
    </row>
    <row r="1086" spans="3:7">
      <c r="C1086" s="319"/>
      <c r="D1086" s="319"/>
      <c r="G1086" s="320"/>
    </row>
    <row r="1087" spans="3:7">
      <c r="C1087" s="319"/>
      <c r="D1087" s="319"/>
      <c r="G1087" s="320"/>
    </row>
    <row r="1088" spans="3:7">
      <c r="C1088" s="319"/>
      <c r="D1088" s="319"/>
      <c r="G1088" s="320"/>
    </row>
    <row r="1089" spans="3:7">
      <c r="C1089" s="319"/>
      <c r="D1089" s="319"/>
      <c r="G1089" s="320"/>
    </row>
    <row r="1090" spans="3:7">
      <c r="C1090" s="319"/>
      <c r="D1090" s="319"/>
      <c r="G1090" s="320"/>
    </row>
    <row r="1091" spans="3:7">
      <c r="C1091" s="319"/>
      <c r="D1091" s="319"/>
      <c r="G1091" s="320"/>
    </row>
    <row r="1092" spans="3:7">
      <c r="C1092" s="319"/>
      <c r="D1092" s="319"/>
      <c r="G1092" s="320"/>
    </row>
    <row r="1093" spans="3:7">
      <c r="C1093" s="319"/>
      <c r="D1093" s="319"/>
      <c r="G1093" s="320"/>
    </row>
    <row r="1094" spans="3:7">
      <c r="C1094" s="319"/>
      <c r="D1094" s="319"/>
      <c r="G1094" s="320"/>
    </row>
    <row r="1095" spans="3:7">
      <c r="C1095" s="319"/>
      <c r="D1095" s="319"/>
      <c r="G1095" s="320"/>
    </row>
    <row r="1096" spans="3:7">
      <c r="C1096" s="319"/>
      <c r="D1096" s="319"/>
      <c r="G1096" s="320"/>
    </row>
    <row r="1097" spans="3:7">
      <c r="C1097" s="319"/>
      <c r="D1097" s="319"/>
      <c r="G1097" s="320"/>
    </row>
    <row r="1098" spans="3:7">
      <c r="C1098" s="319"/>
      <c r="D1098" s="319"/>
      <c r="G1098" s="320"/>
    </row>
    <row r="1099" spans="3:7">
      <c r="C1099" s="319"/>
      <c r="D1099" s="319"/>
      <c r="G1099" s="320"/>
    </row>
    <row r="1100" spans="3:7">
      <c r="C1100" s="319"/>
      <c r="D1100" s="319"/>
      <c r="G1100" s="320"/>
    </row>
    <row r="1101" spans="3:7">
      <c r="C1101" s="319"/>
      <c r="D1101" s="319"/>
      <c r="G1101" s="320"/>
    </row>
    <row r="1102" spans="3:7">
      <c r="C1102" s="319"/>
      <c r="D1102" s="319"/>
      <c r="G1102" s="320"/>
    </row>
    <row r="1103" spans="3:7">
      <c r="C1103" s="319"/>
      <c r="D1103" s="319"/>
      <c r="G1103" s="320"/>
    </row>
    <row r="1104" spans="3:7">
      <c r="C1104" s="319"/>
      <c r="D1104" s="319"/>
      <c r="G1104" s="320"/>
    </row>
    <row r="1105" spans="3:7">
      <c r="C1105" s="319"/>
      <c r="D1105" s="319"/>
      <c r="G1105" s="320"/>
    </row>
    <row r="1106" spans="3:4">
      <c r="C1106" s="319"/>
      <c r="D1106" s="319"/>
    </row>
    <row r="1107" spans="3:7">
      <c r="C1107" s="319"/>
      <c r="D1107" s="319"/>
      <c r="G1107" s="320"/>
    </row>
    <row r="1108" spans="3:7">
      <c r="C1108" s="319"/>
      <c r="D1108" s="319"/>
      <c r="G1108" s="320"/>
    </row>
    <row r="1109" spans="3:7">
      <c r="C1109" s="319"/>
      <c r="D1109" s="319"/>
      <c r="G1109" s="320"/>
    </row>
    <row r="1110" spans="3:7">
      <c r="C1110" s="319"/>
      <c r="D1110" s="319"/>
      <c r="G1110" s="320"/>
    </row>
    <row r="1111" spans="3:7">
      <c r="C1111" s="319"/>
      <c r="D1111" s="319"/>
      <c r="G1111" s="320"/>
    </row>
    <row r="1112" spans="3:7">
      <c r="C1112" s="319"/>
      <c r="D1112" s="319"/>
      <c r="G1112" s="320"/>
    </row>
    <row r="1113" spans="3:7">
      <c r="C1113" s="319"/>
      <c r="D1113" s="319"/>
      <c r="G1113" s="320"/>
    </row>
    <row r="1114" spans="3:4">
      <c r="C1114" s="319"/>
      <c r="D1114" s="319"/>
    </row>
    <row r="1115" spans="3:4">
      <c r="C1115" s="319"/>
      <c r="D1115" s="319"/>
    </row>
    <row r="1116" spans="3:7">
      <c r="C1116" s="319"/>
      <c r="D1116" s="319"/>
      <c r="G1116" s="320"/>
    </row>
    <row r="1117" spans="3:7">
      <c r="C1117" s="319"/>
      <c r="D1117" s="319"/>
      <c r="G1117" s="320"/>
    </row>
    <row r="1118" spans="3:7">
      <c r="C1118" s="319"/>
      <c r="D1118" s="319"/>
      <c r="G1118" s="320"/>
    </row>
    <row r="1119" spans="3:7">
      <c r="C1119" s="319"/>
      <c r="D1119" s="319"/>
      <c r="G1119" s="320"/>
    </row>
    <row r="1120" spans="3:7">
      <c r="C1120" s="319"/>
      <c r="D1120" s="319"/>
      <c r="G1120" s="320"/>
    </row>
    <row r="1121" spans="3:7">
      <c r="C1121" s="319"/>
      <c r="D1121" s="319"/>
      <c r="G1121" s="320"/>
    </row>
    <row r="1122" spans="3:7">
      <c r="C1122" s="319"/>
      <c r="D1122" s="319"/>
      <c r="G1122" s="320"/>
    </row>
    <row r="1123" spans="3:7">
      <c r="C1123" s="319"/>
      <c r="D1123" s="319"/>
      <c r="G1123" s="320"/>
    </row>
    <row r="1124" spans="3:7">
      <c r="C1124" s="319"/>
      <c r="D1124" s="319"/>
      <c r="G1124" s="320"/>
    </row>
    <row r="1125" spans="3:7">
      <c r="C1125" s="319"/>
      <c r="D1125" s="319"/>
      <c r="G1125" s="320"/>
    </row>
    <row r="1126" spans="3:4">
      <c r="C1126" s="319"/>
      <c r="D1126" s="319"/>
    </row>
    <row r="1127" spans="3:7">
      <c r="C1127" s="319"/>
      <c r="D1127" s="319"/>
      <c r="G1127" s="320"/>
    </row>
    <row r="1128" spans="3:4">
      <c r="C1128" s="319"/>
      <c r="D1128" s="319"/>
    </row>
    <row r="1129" spans="3:4">
      <c r="C1129" s="319"/>
      <c r="D1129" s="319"/>
    </row>
    <row r="1130" spans="3:7">
      <c r="C1130" s="319"/>
      <c r="D1130" s="319"/>
      <c r="G1130" s="320"/>
    </row>
    <row r="1131" spans="3:7">
      <c r="C1131" s="319"/>
      <c r="D1131" s="319"/>
      <c r="G1131" s="320"/>
    </row>
    <row r="1132" spans="3:7">
      <c r="C1132" s="319"/>
      <c r="D1132" s="319"/>
      <c r="G1132" s="320"/>
    </row>
    <row r="1133" spans="3:4">
      <c r="C1133" s="319"/>
      <c r="D1133" s="319"/>
    </row>
    <row r="1134" spans="3:7">
      <c r="C1134" s="319"/>
      <c r="D1134" s="319"/>
      <c r="G1134" s="320"/>
    </row>
    <row r="1135" spans="3:7">
      <c r="C1135" s="319"/>
      <c r="D1135" s="319"/>
      <c r="G1135" s="320"/>
    </row>
    <row r="1136" spans="3:7">
      <c r="C1136" s="319"/>
      <c r="D1136" s="319"/>
      <c r="G1136" s="320"/>
    </row>
    <row r="1137" spans="3:7">
      <c r="C1137" s="319"/>
      <c r="D1137" s="319"/>
      <c r="G1137" s="320"/>
    </row>
    <row r="1138" spans="3:7">
      <c r="C1138" s="319"/>
      <c r="D1138" s="319"/>
      <c r="G1138" s="320"/>
    </row>
    <row r="1139" spans="3:7">
      <c r="C1139" s="319"/>
      <c r="D1139" s="319"/>
      <c r="G1139" s="320"/>
    </row>
    <row r="1140" spans="3:7">
      <c r="C1140" s="319"/>
      <c r="D1140" s="319"/>
      <c r="G1140" s="320"/>
    </row>
    <row r="1141" spans="3:7">
      <c r="C1141" s="319"/>
      <c r="D1141" s="319"/>
      <c r="G1141" s="320"/>
    </row>
    <row r="1142" spans="3:7">
      <c r="C1142" s="319"/>
      <c r="D1142" s="319"/>
      <c r="G1142" s="320"/>
    </row>
    <row r="1143" spans="3:7">
      <c r="C1143" s="319"/>
      <c r="D1143" s="319"/>
      <c r="G1143" s="320"/>
    </row>
    <row r="1144" spans="3:7">
      <c r="C1144" s="319"/>
      <c r="D1144" s="319"/>
      <c r="G1144" s="320"/>
    </row>
    <row r="1145" spans="3:7">
      <c r="C1145" s="319"/>
      <c r="D1145" s="319"/>
      <c r="G1145" s="320"/>
    </row>
    <row r="1146" spans="3:4">
      <c r="C1146" s="319"/>
      <c r="D1146" s="319"/>
    </row>
    <row r="1147" spans="3:7">
      <c r="C1147" s="319"/>
      <c r="D1147" s="319"/>
      <c r="G1147" s="320"/>
    </row>
    <row r="1148" spans="3:7">
      <c r="C1148" s="319"/>
      <c r="D1148" s="319"/>
      <c r="G1148" s="320"/>
    </row>
    <row r="1149" spans="3:7">
      <c r="C1149" s="319"/>
      <c r="D1149" s="319"/>
      <c r="G1149" s="320"/>
    </row>
    <row r="1150" spans="1:7">
      <c r="A1150" s="321"/>
      <c r="C1150" s="319"/>
      <c r="D1150" s="319"/>
      <c r="G1150" s="320"/>
    </row>
    <row r="1151" spans="3:7">
      <c r="C1151" s="319"/>
      <c r="D1151" s="319"/>
      <c r="G1151" s="320"/>
    </row>
    <row r="1152" spans="3:7">
      <c r="C1152" s="319"/>
      <c r="D1152" s="319"/>
      <c r="G1152" s="320"/>
    </row>
    <row r="1153" spans="3:7">
      <c r="C1153" s="319"/>
      <c r="D1153" s="319"/>
      <c r="G1153" s="320"/>
    </row>
    <row r="1154" spans="3:7">
      <c r="C1154" s="319"/>
      <c r="D1154" s="319"/>
      <c r="G1154" s="320"/>
    </row>
    <row r="1155" spans="3:4">
      <c r="C1155" s="319"/>
      <c r="D1155" s="319"/>
    </row>
    <row r="1156" spans="3:7">
      <c r="C1156" s="319"/>
      <c r="D1156" s="319"/>
      <c r="G1156" s="320"/>
    </row>
    <row r="1157" spans="3:7">
      <c r="C1157" s="319"/>
      <c r="D1157" s="319"/>
      <c r="G1157" s="320"/>
    </row>
    <row r="1158" spans="3:7">
      <c r="C1158" s="319"/>
      <c r="D1158" s="319"/>
      <c r="G1158" s="320"/>
    </row>
    <row r="1159" spans="3:7">
      <c r="C1159" s="319"/>
      <c r="D1159" s="319"/>
      <c r="G1159" s="320"/>
    </row>
    <row r="1160" spans="3:4">
      <c r="C1160" s="319"/>
      <c r="D1160" s="319"/>
    </row>
    <row r="1161" spans="3:7">
      <c r="C1161" s="319"/>
      <c r="D1161" s="319"/>
      <c r="G1161" s="320"/>
    </row>
    <row r="1162" spans="3:7">
      <c r="C1162" s="319"/>
      <c r="D1162" s="319"/>
      <c r="G1162" s="320"/>
    </row>
    <row r="1163" spans="3:7">
      <c r="C1163" s="319"/>
      <c r="D1163" s="319"/>
      <c r="G1163" s="320"/>
    </row>
    <row r="1164" spans="3:7">
      <c r="C1164" s="319"/>
      <c r="D1164" s="319"/>
      <c r="G1164" s="320"/>
    </row>
    <row r="1165" spans="3:7">
      <c r="C1165" s="319"/>
      <c r="D1165" s="319"/>
      <c r="G1165" s="320"/>
    </row>
    <row r="1166" spans="3:7">
      <c r="C1166" s="319"/>
      <c r="D1166" s="319"/>
      <c r="G1166" s="320"/>
    </row>
    <row r="1167" spans="3:7">
      <c r="C1167" s="319"/>
      <c r="D1167" s="319"/>
      <c r="G1167" s="320"/>
    </row>
    <row r="1168" spans="3:7">
      <c r="C1168" s="319"/>
      <c r="D1168" s="319"/>
      <c r="G1168" s="320"/>
    </row>
    <row r="1169" spans="3:7">
      <c r="C1169" s="319"/>
      <c r="D1169" s="319"/>
      <c r="G1169" s="320"/>
    </row>
    <row r="1170" spans="3:4">
      <c r="C1170" s="319"/>
      <c r="D1170" s="319"/>
    </row>
    <row r="1171" spans="3:7">
      <c r="C1171" s="319"/>
      <c r="D1171" s="319"/>
      <c r="G1171" s="320"/>
    </row>
    <row r="1172" spans="3:7">
      <c r="C1172" s="319"/>
      <c r="D1172" s="319"/>
      <c r="G1172" s="320"/>
    </row>
    <row r="1173" spans="3:4">
      <c r="C1173" s="319"/>
      <c r="D1173" s="319"/>
    </row>
    <row r="1174" spans="3:7">
      <c r="C1174" s="319"/>
      <c r="D1174" s="319"/>
      <c r="G1174" s="320"/>
    </row>
    <row r="1175" spans="3:7">
      <c r="C1175" s="319"/>
      <c r="D1175" s="319"/>
      <c r="G1175" s="320"/>
    </row>
    <row r="1176" spans="3:7">
      <c r="C1176" s="319"/>
      <c r="D1176" s="319"/>
      <c r="G1176" s="320"/>
    </row>
    <row r="1177" spans="3:7">
      <c r="C1177" s="319"/>
      <c r="D1177" s="319"/>
      <c r="G1177" s="320"/>
    </row>
    <row r="1178" spans="3:7">
      <c r="C1178" s="319"/>
      <c r="D1178" s="319"/>
      <c r="G1178" s="320"/>
    </row>
    <row r="1179" spans="3:4">
      <c r="C1179" s="319"/>
      <c r="D1179" s="319"/>
    </row>
    <row r="1180" spans="3:7">
      <c r="C1180" s="319"/>
      <c r="D1180" s="319"/>
      <c r="G1180" s="320"/>
    </row>
    <row r="1181" spans="3:7">
      <c r="C1181" s="319"/>
      <c r="D1181" s="319"/>
      <c r="G1181" s="320"/>
    </row>
    <row r="1182" spans="3:7">
      <c r="C1182" s="319"/>
      <c r="D1182" s="319"/>
      <c r="G1182" s="320"/>
    </row>
    <row r="1183" spans="3:7">
      <c r="C1183" s="319"/>
      <c r="D1183" s="319"/>
      <c r="G1183" s="320"/>
    </row>
    <row r="1184" spans="3:7">
      <c r="C1184" s="319"/>
      <c r="D1184" s="319"/>
      <c r="G1184" s="320"/>
    </row>
    <row r="1185" spans="3:7">
      <c r="C1185" s="319"/>
      <c r="D1185" s="319"/>
      <c r="G1185" s="320"/>
    </row>
    <row r="1186" spans="3:7">
      <c r="C1186" s="319"/>
      <c r="D1186" s="319"/>
      <c r="G1186" s="320"/>
    </row>
    <row r="1187" spans="3:7">
      <c r="C1187" s="319"/>
      <c r="D1187" s="319"/>
      <c r="G1187" s="320"/>
    </row>
    <row r="1188" spans="3:7">
      <c r="C1188" s="319"/>
      <c r="D1188" s="319"/>
      <c r="G1188" s="320"/>
    </row>
    <row r="1189" spans="3:7">
      <c r="C1189" s="319"/>
      <c r="D1189" s="319"/>
      <c r="G1189" s="320"/>
    </row>
    <row r="1190" spans="3:7">
      <c r="C1190" s="319"/>
      <c r="D1190" s="319"/>
      <c r="G1190" s="320"/>
    </row>
    <row r="1191" spans="3:7">
      <c r="C1191" s="319"/>
      <c r="D1191" s="319"/>
      <c r="G1191" s="320"/>
    </row>
    <row r="1192" spans="3:7">
      <c r="C1192" s="319"/>
      <c r="D1192" s="319"/>
      <c r="G1192" s="320"/>
    </row>
    <row r="1193" spans="3:7">
      <c r="C1193" s="319"/>
      <c r="D1193" s="319"/>
      <c r="G1193" s="320"/>
    </row>
    <row r="1194" spans="3:7">
      <c r="C1194" s="319"/>
      <c r="D1194" s="319"/>
      <c r="G1194" s="320"/>
    </row>
    <row r="1195" spans="3:7">
      <c r="C1195" s="319"/>
      <c r="D1195" s="319"/>
      <c r="G1195" s="320"/>
    </row>
    <row r="1196" spans="3:7">
      <c r="C1196" s="319"/>
      <c r="D1196" s="319"/>
      <c r="G1196" s="320"/>
    </row>
    <row r="1197" spans="3:4">
      <c r="C1197" s="319"/>
      <c r="D1197" s="319"/>
    </row>
    <row r="1198" spans="3:7">
      <c r="C1198" s="319"/>
      <c r="D1198" s="319"/>
      <c r="G1198" s="320"/>
    </row>
    <row r="1199" spans="3:7">
      <c r="C1199" s="319"/>
      <c r="D1199" s="319"/>
      <c r="G1199" s="320"/>
    </row>
    <row r="1200" spans="3:7">
      <c r="C1200" s="319"/>
      <c r="D1200" s="319"/>
      <c r="G1200" s="320"/>
    </row>
    <row r="1201" spans="3:7">
      <c r="C1201" s="319"/>
      <c r="D1201" s="319"/>
      <c r="G1201" s="320"/>
    </row>
    <row r="1202" spans="3:7">
      <c r="C1202" s="319"/>
      <c r="D1202" s="319"/>
      <c r="G1202" s="320"/>
    </row>
    <row r="1203" spans="3:7">
      <c r="C1203" s="319"/>
      <c r="D1203" s="319"/>
      <c r="G1203" s="320"/>
    </row>
    <row r="1204" spans="3:4">
      <c r="C1204" s="319"/>
      <c r="D1204" s="319"/>
    </row>
    <row r="1205" spans="3:4">
      <c r="C1205" s="319"/>
      <c r="D1205" s="319"/>
    </row>
    <row r="1206" spans="3:7">
      <c r="C1206" s="319"/>
      <c r="D1206" s="319"/>
      <c r="G1206" s="320"/>
    </row>
    <row r="1207" spans="3:4">
      <c r="C1207" s="319"/>
      <c r="D1207" s="319"/>
    </row>
    <row r="1208" spans="3:7">
      <c r="C1208" s="319"/>
      <c r="D1208" s="319"/>
      <c r="G1208" s="320"/>
    </row>
    <row r="1209" spans="3:7">
      <c r="C1209" s="319"/>
      <c r="D1209" s="319"/>
      <c r="G1209" s="320"/>
    </row>
    <row r="1210" spans="3:7">
      <c r="C1210" s="319"/>
      <c r="D1210" s="319"/>
      <c r="G1210" s="320"/>
    </row>
    <row r="1211" spans="3:7">
      <c r="C1211" s="319"/>
      <c r="D1211" s="319"/>
      <c r="G1211" s="320"/>
    </row>
    <row r="1212" spans="3:4">
      <c r="C1212" s="319"/>
      <c r="D1212" s="319"/>
    </row>
    <row r="1213" spans="3:7">
      <c r="C1213" s="319"/>
      <c r="D1213" s="319"/>
      <c r="G1213" s="320"/>
    </row>
    <row r="1214" spans="3:4">
      <c r="C1214" s="319"/>
      <c r="D1214" s="319"/>
    </row>
    <row r="1215" spans="3:7">
      <c r="C1215" s="319"/>
      <c r="D1215" s="319"/>
      <c r="G1215" s="320"/>
    </row>
    <row r="1216" spans="3:7">
      <c r="C1216" s="319"/>
      <c r="D1216" s="319"/>
      <c r="G1216" s="320"/>
    </row>
    <row r="1217" spans="3:7">
      <c r="C1217" s="319"/>
      <c r="D1217" s="319"/>
      <c r="G1217" s="320"/>
    </row>
    <row r="1218" spans="3:4">
      <c r="C1218" s="319"/>
      <c r="D1218" s="319"/>
    </row>
    <row r="1219" spans="3:7">
      <c r="C1219" s="319"/>
      <c r="D1219" s="319"/>
      <c r="G1219" s="320"/>
    </row>
    <row r="1220" spans="3:7">
      <c r="C1220" s="319"/>
      <c r="D1220" s="319"/>
      <c r="G1220" s="320"/>
    </row>
    <row r="1221" spans="3:7">
      <c r="C1221" s="319"/>
      <c r="D1221" s="319"/>
      <c r="G1221" s="320"/>
    </row>
    <row r="1222" spans="3:7">
      <c r="C1222" s="319"/>
      <c r="D1222" s="319"/>
      <c r="G1222" s="320"/>
    </row>
    <row r="1223" spans="3:7">
      <c r="C1223" s="319"/>
      <c r="D1223" s="319"/>
      <c r="G1223" s="320"/>
    </row>
    <row r="1224" spans="3:4">
      <c r="C1224" s="319"/>
      <c r="D1224" s="319"/>
    </row>
    <row r="1225" spans="3:7">
      <c r="C1225" s="319"/>
      <c r="D1225" s="319"/>
      <c r="G1225" s="320"/>
    </row>
    <row r="1226" spans="3:7">
      <c r="C1226" s="319"/>
      <c r="D1226" s="319"/>
      <c r="G1226" s="320"/>
    </row>
    <row r="1227" spans="3:4">
      <c r="C1227" s="319"/>
      <c r="D1227" s="319"/>
    </row>
    <row r="1228" spans="3:7">
      <c r="C1228" s="319"/>
      <c r="D1228" s="319"/>
      <c r="G1228" s="320"/>
    </row>
    <row r="1229" spans="3:4">
      <c r="C1229" s="319"/>
      <c r="D1229" s="319"/>
    </row>
    <row r="1230" spans="3:4">
      <c r="C1230" s="319"/>
      <c r="D1230" s="319"/>
    </row>
    <row r="1231" spans="3:7">
      <c r="C1231" s="319"/>
      <c r="D1231" s="319"/>
      <c r="G1231" s="320"/>
    </row>
    <row r="1232" spans="3:7">
      <c r="C1232" s="319"/>
      <c r="D1232" s="319"/>
      <c r="G1232" s="320"/>
    </row>
    <row r="1233" spans="3:7">
      <c r="C1233" s="319"/>
      <c r="D1233" s="319"/>
      <c r="G1233" s="320"/>
    </row>
    <row r="1234" spans="3:7">
      <c r="C1234" s="319"/>
      <c r="D1234" s="319"/>
      <c r="G1234" s="320"/>
    </row>
    <row r="1235" spans="3:7">
      <c r="C1235" s="319"/>
      <c r="D1235" s="319"/>
      <c r="G1235" s="320"/>
    </row>
    <row r="1236" spans="3:7">
      <c r="C1236" s="319"/>
      <c r="D1236" s="319"/>
      <c r="G1236" s="320"/>
    </row>
    <row r="1237" spans="3:7">
      <c r="C1237" s="319"/>
      <c r="D1237" s="319"/>
      <c r="G1237" s="320"/>
    </row>
    <row r="1238" spans="3:7">
      <c r="C1238" s="319"/>
      <c r="D1238" s="319"/>
      <c r="G1238" s="320"/>
    </row>
    <row r="1239" spans="3:7">
      <c r="C1239" s="319"/>
      <c r="D1239" s="319"/>
      <c r="G1239" s="320"/>
    </row>
    <row r="1240" spans="3:7">
      <c r="C1240" s="319"/>
      <c r="D1240" s="319"/>
      <c r="G1240" s="320"/>
    </row>
    <row r="1241" spans="3:4">
      <c r="C1241" s="319"/>
      <c r="D1241" s="319"/>
    </row>
    <row r="1242" spans="3:7">
      <c r="C1242" s="319"/>
      <c r="D1242" s="319"/>
      <c r="G1242" s="320"/>
    </row>
    <row r="1243" spans="3:7">
      <c r="C1243" s="319"/>
      <c r="D1243" s="319"/>
      <c r="G1243" s="320"/>
    </row>
    <row r="1244" spans="3:4">
      <c r="C1244" s="319"/>
      <c r="D1244" s="319"/>
    </row>
    <row r="1245" spans="3:7">
      <c r="C1245" s="319"/>
      <c r="D1245" s="319"/>
      <c r="G1245" s="320"/>
    </row>
    <row r="1246" spans="3:7">
      <c r="C1246" s="319"/>
      <c r="D1246" s="319"/>
      <c r="G1246" s="320"/>
    </row>
    <row r="1247" spans="3:7">
      <c r="C1247" s="319"/>
      <c r="D1247" s="319"/>
      <c r="G1247" s="320"/>
    </row>
    <row r="1248" spans="3:7">
      <c r="C1248" s="319"/>
      <c r="D1248" s="319"/>
      <c r="G1248" s="320"/>
    </row>
    <row r="1249" spans="3:7">
      <c r="C1249" s="319"/>
      <c r="D1249" s="319"/>
      <c r="G1249" s="320"/>
    </row>
    <row r="1250" spans="3:7">
      <c r="C1250" s="319"/>
      <c r="D1250" s="319"/>
      <c r="G1250" s="320"/>
    </row>
    <row r="1251" spans="3:7">
      <c r="C1251" s="319"/>
      <c r="D1251" s="319"/>
      <c r="G1251" s="320"/>
    </row>
    <row r="1252" spans="3:7">
      <c r="C1252" s="319"/>
      <c r="D1252" s="319"/>
      <c r="G1252" s="320"/>
    </row>
    <row r="1253" spans="3:7">
      <c r="C1253" s="319"/>
      <c r="D1253" s="319"/>
      <c r="G1253" s="320"/>
    </row>
    <row r="1254" spans="3:7">
      <c r="C1254" s="319"/>
      <c r="D1254" s="319"/>
      <c r="G1254" s="320"/>
    </row>
    <row r="1255" spans="3:7">
      <c r="C1255" s="319"/>
      <c r="D1255" s="319"/>
      <c r="G1255" s="320"/>
    </row>
    <row r="1256" spans="3:7">
      <c r="C1256" s="319"/>
      <c r="D1256" s="319"/>
      <c r="G1256" s="320"/>
    </row>
    <row r="1257" spans="3:7">
      <c r="C1257" s="319"/>
      <c r="D1257" s="319"/>
      <c r="G1257" s="320"/>
    </row>
    <row r="1258" spans="3:7">
      <c r="C1258" s="319"/>
      <c r="D1258" s="319"/>
      <c r="G1258" s="320"/>
    </row>
    <row r="1259" spans="3:7">
      <c r="C1259" s="319"/>
      <c r="D1259" s="319"/>
      <c r="G1259" s="320"/>
    </row>
    <row r="1260" spans="3:4">
      <c r="C1260" s="319"/>
      <c r="D1260" s="319"/>
    </row>
    <row r="1261" spans="3:4">
      <c r="C1261" s="319"/>
      <c r="D1261" s="319"/>
    </row>
    <row r="1262" spans="3:7">
      <c r="C1262" s="319"/>
      <c r="D1262" s="319"/>
      <c r="G1262" s="320"/>
    </row>
    <row r="1263" spans="3:4">
      <c r="C1263" s="319"/>
      <c r="D1263" s="319"/>
    </row>
    <row r="1264" spans="3:7">
      <c r="C1264" s="319"/>
      <c r="D1264" s="319"/>
      <c r="G1264" s="320"/>
    </row>
    <row r="1265" spans="3:4">
      <c r="C1265" s="319"/>
      <c r="D1265" s="319"/>
    </row>
    <row r="1266" spans="3:4">
      <c r="C1266" s="319"/>
      <c r="D1266" s="319"/>
    </row>
    <row r="1267" spans="3:4">
      <c r="C1267" s="319"/>
      <c r="D1267" s="319"/>
    </row>
    <row r="1268" spans="3:7">
      <c r="C1268" s="319"/>
      <c r="D1268" s="319"/>
      <c r="G1268" s="320"/>
    </row>
    <row r="1269" spans="3:7">
      <c r="C1269" s="319"/>
      <c r="D1269" s="319"/>
      <c r="G1269" s="320"/>
    </row>
    <row r="1270" spans="3:7">
      <c r="C1270" s="319"/>
      <c r="D1270" s="319"/>
      <c r="G1270" s="320"/>
    </row>
    <row r="1271" spans="3:7">
      <c r="C1271" s="319"/>
      <c r="D1271" s="319"/>
      <c r="G1271" s="320"/>
    </row>
    <row r="1272" spans="3:7">
      <c r="C1272" s="319"/>
      <c r="D1272" s="319"/>
      <c r="G1272" s="320"/>
    </row>
    <row r="1273" spans="3:7">
      <c r="C1273" s="319"/>
      <c r="D1273" s="319"/>
      <c r="G1273" s="320"/>
    </row>
    <row r="1274" spans="3:7">
      <c r="C1274" s="319"/>
      <c r="D1274" s="319"/>
      <c r="G1274" s="320"/>
    </row>
    <row r="1275" spans="3:7">
      <c r="C1275" s="319"/>
      <c r="D1275" s="319"/>
      <c r="G1275" s="320"/>
    </row>
    <row r="1276" spans="3:7">
      <c r="C1276" s="319"/>
      <c r="D1276" s="319"/>
      <c r="G1276" s="320"/>
    </row>
    <row r="1277" spans="3:7">
      <c r="C1277" s="319"/>
      <c r="D1277" s="319"/>
      <c r="G1277" s="320"/>
    </row>
    <row r="1278" spans="3:7">
      <c r="C1278" s="319"/>
      <c r="D1278" s="319"/>
      <c r="G1278" s="320"/>
    </row>
    <row r="1279" spans="3:4">
      <c r="C1279" s="319"/>
      <c r="D1279" s="319"/>
    </row>
    <row r="1280" spans="3:7">
      <c r="C1280" s="319"/>
      <c r="D1280" s="319"/>
      <c r="G1280" s="320"/>
    </row>
    <row r="1281" spans="3:7">
      <c r="C1281" s="319"/>
      <c r="D1281" s="319"/>
      <c r="G1281" s="320"/>
    </row>
    <row r="1282" spans="3:7">
      <c r="C1282" s="319"/>
      <c r="D1282" s="319"/>
      <c r="G1282" s="320"/>
    </row>
    <row r="1283" spans="3:7">
      <c r="C1283" s="319"/>
      <c r="D1283" s="319"/>
      <c r="G1283" s="320"/>
    </row>
    <row r="1284" spans="3:7">
      <c r="C1284" s="319"/>
      <c r="D1284" s="319"/>
      <c r="G1284" s="320"/>
    </row>
    <row r="1285" spans="3:7">
      <c r="C1285" s="319"/>
      <c r="D1285" s="319"/>
      <c r="G1285" s="320"/>
    </row>
    <row r="1286" spans="3:7">
      <c r="C1286" s="319"/>
      <c r="D1286" s="319"/>
      <c r="G1286" s="320"/>
    </row>
    <row r="1287" spans="3:7">
      <c r="C1287" s="319"/>
      <c r="D1287" s="319"/>
      <c r="G1287" s="320"/>
    </row>
    <row r="1288" spans="3:7">
      <c r="C1288" s="319"/>
      <c r="D1288" s="319"/>
      <c r="G1288" s="320"/>
    </row>
    <row r="1289" spans="3:4">
      <c r="C1289" s="319"/>
      <c r="D1289" s="319"/>
    </row>
    <row r="1290" spans="3:7">
      <c r="C1290" s="319"/>
      <c r="D1290" s="319"/>
      <c r="G1290" s="320"/>
    </row>
    <row r="1291" spans="3:4">
      <c r="C1291" s="319"/>
      <c r="D1291" s="319"/>
    </row>
    <row r="1292" spans="3:7">
      <c r="C1292" s="319"/>
      <c r="D1292" s="319"/>
      <c r="G1292" s="320"/>
    </row>
    <row r="1293" spans="3:4">
      <c r="C1293" s="319"/>
      <c r="D1293" s="319"/>
    </row>
    <row r="1294" spans="3:7">
      <c r="C1294" s="319"/>
      <c r="D1294" s="319"/>
      <c r="G1294" s="320"/>
    </row>
    <row r="1295" spans="3:7">
      <c r="C1295" s="319"/>
      <c r="D1295" s="319"/>
      <c r="G1295" s="320"/>
    </row>
    <row r="1296" spans="3:7">
      <c r="C1296" s="319"/>
      <c r="D1296" s="319"/>
      <c r="G1296" s="320"/>
    </row>
    <row r="1297" spans="3:7">
      <c r="C1297" s="319"/>
      <c r="D1297" s="319"/>
      <c r="G1297" s="320"/>
    </row>
    <row r="1298" spans="3:7">
      <c r="C1298" s="319"/>
      <c r="D1298" s="319"/>
      <c r="G1298" s="320"/>
    </row>
    <row r="1299" spans="3:7">
      <c r="C1299" s="319"/>
      <c r="D1299" s="319"/>
      <c r="G1299" s="320"/>
    </row>
    <row r="1300" spans="3:7">
      <c r="C1300" s="319"/>
      <c r="D1300" s="319"/>
      <c r="G1300" s="320"/>
    </row>
    <row r="1301" spans="3:7">
      <c r="C1301" s="319"/>
      <c r="D1301" s="319"/>
      <c r="G1301" s="320"/>
    </row>
    <row r="1302" spans="3:7">
      <c r="C1302" s="319"/>
      <c r="D1302" s="319"/>
      <c r="G1302" s="320"/>
    </row>
    <row r="1303" spans="3:7">
      <c r="C1303" s="319"/>
      <c r="D1303" s="319"/>
      <c r="G1303" s="320"/>
    </row>
    <row r="1304" spans="3:7">
      <c r="C1304" s="319"/>
      <c r="D1304" s="319"/>
      <c r="G1304" s="320"/>
    </row>
    <row r="1305" spans="3:4">
      <c r="C1305" s="319"/>
      <c r="D1305" s="319"/>
    </row>
    <row r="1306" spans="3:7">
      <c r="C1306" s="319"/>
      <c r="D1306" s="319"/>
      <c r="G1306" s="320"/>
    </row>
    <row r="1307" spans="3:4">
      <c r="C1307" s="319"/>
      <c r="D1307" s="319"/>
    </row>
    <row r="1308" spans="3:7">
      <c r="C1308" s="319"/>
      <c r="D1308" s="319"/>
      <c r="G1308" s="320"/>
    </row>
    <row r="1309" spans="3:7">
      <c r="C1309" s="319"/>
      <c r="D1309" s="319"/>
      <c r="G1309" s="320"/>
    </row>
    <row r="1310" spans="3:7">
      <c r="C1310" s="319"/>
      <c r="D1310" s="319"/>
      <c r="G1310" s="320"/>
    </row>
    <row r="1311" spans="3:7">
      <c r="C1311" s="319"/>
      <c r="D1311" s="319"/>
      <c r="G1311" s="320"/>
    </row>
    <row r="1312" spans="3:7">
      <c r="C1312" s="319"/>
      <c r="D1312" s="319"/>
      <c r="G1312" s="320"/>
    </row>
    <row r="1313" spans="3:7">
      <c r="C1313" s="319"/>
      <c r="D1313" s="319"/>
      <c r="G1313" s="320"/>
    </row>
    <row r="1314" spans="3:7">
      <c r="C1314" s="319"/>
      <c r="D1314" s="319"/>
      <c r="G1314" s="320"/>
    </row>
    <row r="1315" spans="3:7">
      <c r="C1315" s="319"/>
      <c r="D1315" s="319"/>
      <c r="G1315" s="320"/>
    </row>
    <row r="1316" spans="3:7">
      <c r="C1316" s="319"/>
      <c r="D1316" s="319"/>
      <c r="G1316" s="320"/>
    </row>
    <row r="1317" spans="3:7">
      <c r="C1317" s="319"/>
      <c r="D1317" s="319"/>
      <c r="G1317" s="320"/>
    </row>
    <row r="1318" spans="3:7">
      <c r="C1318" s="319"/>
      <c r="D1318" s="319"/>
      <c r="G1318" s="320"/>
    </row>
    <row r="1319" spans="3:4">
      <c r="C1319" s="319"/>
      <c r="D1319" s="319"/>
    </row>
    <row r="1320" spans="3:7">
      <c r="C1320" s="319"/>
      <c r="D1320" s="319"/>
      <c r="G1320" s="320"/>
    </row>
    <row r="1321" spans="3:4">
      <c r="C1321" s="319"/>
      <c r="D1321" s="319"/>
    </row>
    <row r="1322" spans="3:7">
      <c r="C1322" s="319"/>
      <c r="D1322" s="319"/>
      <c r="G1322" s="320"/>
    </row>
    <row r="1323" spans="3:7">
      <c r="C1323" s="319"/>
      <c r="D1323" s="319"/>
      <c r="G1323" s="320"/>
    </row>
    <row r="1324" spans="3:7">
      <c r="C1324" s="319"/>
      <c r="D1324" s="319"/>
      <c r="G1324" s="320"/>
    </row>
    <row r="1325" spans="3:7">
      <c r="C1325" s="319"/>
      <c r="D1325" s="319"/>
      <c r="G1325" s="320"/>
    </row>
    <row r="1326" spans="3:4">
      <c r="C1326" s="319"/>
      <c r="D1326" s="319"/>
    </row>
    <row r="1327" spans="3:7">
      <c r="C1327" s="319"/>
      <c r="D1327" s="319"/>
      <c r="G1327" s="320"/>
    </row>
    <row r="1328" spans="3:7">
      <c r="C1328" s="319"/>
      <c r="D1328" s="319"/>
      <c r="G1328" s="320"/>
    </row>
    <row r="1329" spans="3:7">
      <c r="C1329" s="319"/>
      <c r="D1329" s="319"/>
      <c r="G1329" s="320"/>
    </row>
    <row r="1330" spans="3:7">
      <c r="C1330" s="319"/>
      <c r="D1330" s="319"/>
      <c r="G1330" s="320"/>
    </row>
    <row r="1331" spans="3:7">
      <c r="C1331" s="319"/>
      <c r="D1331" s="319"/>
      <c r="G1331" s="320"/>
    </row>
    <row r="1332" spans="3:7">
      <c r="C1332" s="319"/>
      <c r="D1332" s="319"/>
      <c r="G1332" s="320"/>
    </row>
    <row r="1333" spans="3:7">
      <c r="C1333" s="319"/>
      <c r="D1333" s="319"/>
      <c r="G1333" s="320"/>
    </row>
    <row r="1334" spans="3:7">
      <c r="C1334" s="319"/>
      <c r="D1334" s="319"/>
      <c r="G1334" s="320"/>
    </row>
    <row r="1335" spans="3:7">
      <c r="C1335" s="319"/>
      <c r="D1335" s="319"/>
      <c r="G1335" s="320"/>
    </row>
    <row r="1336" spans="3:7">
      <c r="C1336" s="319"/>
      <c r="D1336" s="319"/>
      <c r="G1336" s="320"/>
    </row>
    <row r="1337" spans="3:4">
      <c r="C1337" s="319"/>
      <c r="D1337" s="319"/>
    </row>
    <row r="1338" spans="3:7">
      <c r="C1338" s="319"/>
      <c r="D1338" s="319"/>
      <c r="G1338" s="320"/>
    </row>
    <row r="1339" spans="3:4">
      <c r="C1339" s="319"/>
      <c r="D1339" s="319"/>
    </row>
    <row r="1340" spans="3:7">
      <c r="C1340" s="319"/>
      <c r="D1340" s="319"/>
      <c r="G1340" s="320"/>
    </row>
    <row r="1341" spans="3:7">
      <c r="C1341" s="319"/>
      <c r="D1341" s="319"/>
      <c r="G1341" s="320"/>
    </row>
    <row r="1342" spans="3:7">
      <c r="C1342" s="319"/>
      <c r="D1342" s="319"/>
      <c r="G1342" s="320"/>
    </row>
    <row r="1343" spans="3:7">
      <c r="C1343" s="319"/>
      <c r="D1343" s="319"/>
      <c r="G1343" s="320"/>
    </row>
    <row r="1344" spans="3:7">
      <c r="C1344" s="319"/>
      <c r="D1344" s="319"/>
      <c r="G1344" s="320"/>
    </row>
    <row r="1345" spans="3:4">
      <c r="C1345" s="319"/>
      <c r="D1345" s="319"/>
    </row>
    <row r="1346" spans="3:7">
      <c r="C1346" s="319"/>
      <c r="D1346" s="319"/>
      <c r="G1346" s="320"/>
    </row>
    <row r="1347" spans="3:4">
      <c r="C1347" s="319"/>
      <c r="D1347" s="319"/>
    </row>
    <row r="1348" spans="3:7">
      <c r="C1348" s="319"/>
      <c r="D1348" s="319"/>
      <c r="G1348" s="320"/>
    </row>
    <row r="1349" spans="3:7">
      <c r="C1349" s="319"/>
      <c r="D1349" s="319"/>
      <c r="G1349" s="320"/>
    </row>
    <row r="1350" spans="3:7">
      <c r="C1350" s="319"/>
      <c r="D1350" s="319"/>
      <c r="G1350" s="320"/>
    </row>
    <row r="1351" spans="3:7">
      <c r="C1351" s="319"/>
      <c r="D1351" s="319"/>
      <c r="G1351" s="320"/>
    </row>
    <row r="1352" spans="3:7">
      <c r="C1352" s="319"/>
      <c r="D1352" s="319"/>
      <c r="G1352" s="320"/>
    </row>
    <row r="1353" spans="3:7">
      <c r="C1353" s="319"/>
      <c r="D1353" s="319"/>
      <c r="G1353" s="320"/>
    </row>
    <row r="1354" spans="3:7">
      <c r="C1354" s="319"/>
      <c r="D1354" s="319"/>
      <c r="G1354" s="320"/>
    </row>
    <row r="1355" spans="3:7">
      <c r="C1355" s="319"/>
      <c r="D1355" s="319"/>
      <c r="G1355" s="320"/>
    </row>
    <row r="1356" spans="3:7">
      <c r="C1356" s="319"/>
      <c r="D1356" s="319"/>
      <c r="G1356" s="320"/>
    </row>
    <row r="1357" spans="3:7">
      <c r="C1357" s="319"/>
      <c r="D1357" s="319"/>
      <c r="G1357" s="320"/>
    </row>
    <row r="1358" spans="3:7">
      <c r="C1358" s="319"/>
      <c r="D1358" s="319"/>
      <c r="G1358" s="320"/>
    </row>
    <row r="1359" spans="3:7">
      <c r="C1359" s="319"/>
      <c r="D1359" s="319"/>
      <c r="G1359" s="320"/>
    </row>
    <row r="1360" spans="3:7">
      <c r="C1360" s="319"/>
      <c r="D1360" s="319"/>
      <c r="G1360" s="320"/>
    </row>
    <row r="1361" spans="3:7">
      <c r="C1361" s="319"/>
      <c r="D1361" s="319"/>
      <c r="G1361" s="320"/>
    </row>
    <row r="1362" spans="3:7">
      <c r="C1362" s="319"/>
      <c r="D1362" s="319"/>
      <c r="G1362" s="320"/>
    </row>
    <row r="1363" spans="3:7">
      <c r="C1363" s="319"/>
      <c r="D1363" s="319"/>
      <c r="G1363" s="320"/>
    </row>
    <row r="1364" spans="3:7">
      <c r="C1364" s="319"/>
      <c r="D1364" s="319"/>
      <c r="G1364" s="320"/>
    </row>
    <row r="1365" spans="3:7">
      <c r="C1365" s="319"/>
      <c r="D1365" s="319"/>
      <c r="G1365" s="320"/>
    </row>
    <row r="1366" spans="3:7">
      <c r="C1366" s="319"/>
      <c r="D1366" s="319"/>
      <c r="G1366" s="320"/>
    </row>
    <row r="1367" spans="3:7">
      <c r="C1367" s="319"/>
      <c r="D1367" s="319"/>
      <c r="G1367" s="320"/>
    </row>
    <row r="1368" spans="3:7">
      <c r="C1368" s="319"/>
      <c r="D1368" s="319"/>
      <c r="G1368" s="320"/>
    </row>
    <row r="1369" spans="3:7">
      <c r="C1369" s="319"/>
      <c r="D1369" s="319"/>
      <c r="G1369" s="320"/>
    </row>
    <row r="1370" spans="3:7">
      <c r="C1370" s="319"/>
      <c r="D1370" s="319"/>
      <c r="G1370" s="320"/>
    </row>
    <row r="1371" spans="3:7">
      <c r="C1371" s="319"/>
      <c r="D1371" s="319"/>
      <c r="G1371" s="320"/>
    </row>
    <row r="1372" spans="3:7">
      <c r="C1372" s="319"/>
      <c r="D1372" s="319"/>
      <c r="G1372" s="320"/>
    </row>
    <row r="1373" spans="3:7">
      <c r="C1373" s="319"/>
      <c r="D1373" s="319"/>
      <c r="G1373" s="320"/>
    </row>
    <row r="1374" spans="3:7">
      <c r="C1374" s="319"/>
      <c r="D1374" s="319"/>
      <c r="G1374" s="320"/>
    </row>
    <row r="1375" spans="3:7">
      <c r="C1375" s="319"/>
      <c r="D1375" s="319"/>
      <c r="G1375" s="320"/>
    </row>
    <row r="1376" spans="3:7">
      <c r="C1376" s="319"/>
      <c r="D1376" s="319"/>
      <c r="G1376" s="320"/>
    </row>
    <row r="1377" spans="3:7">
      <c r="C1377" s="319"/>
      <c r="D1377" s="319"/>
      <c r="G1377" s="320"/>
    </row>
    <row r="1378" spans="3:4">
      <c r="C1378" s="319"/>
      <c r="D1378" s="319"/>
    </row>
    <row r="1379" spans="3:7">
      <c r="C1379" s="319"/>
      <c r="D1379" s="319"/>
      <c r="G1379" s="320"/>
    </row>
    <row r="1380" spans="3:7">
      <c r="C1380" s="319"/>
      <c r="D1380" s="319"/>
      <c r="G1380" s="320"/>
    </row>
    <row r="1381" spans="3:7">
      <c r="C1381" s="319"/>
      <c r="D1381" s="319"/>
      <c r="G1381" s="320"/>
    </row>
    <row r="1382" spans="3:7">
      <c r="C1382" s="319"/>
      <c r="D1382" s="319"/>
      <c r="G1382" s="320"/>
    </row>
    <row r="1383" spans="3:7">
      <c r="C1383" s="319"/>
      <c r="D1383" s="319"/>
      <c r="G1383" s="320"/>
    </row>
    <row r="1384" spans="3:4">
      <c r="C1384" s="319"/>
      <c r="D1384" s="319"/>
    </row>
    <row r="1385" spans="3:7">
      <c r="C1385" s="319"/>
      <c r="D1385" s="319"/>
      <c r="G1385" s="320"/>
    </row>
    <row r="1386" spans="3:7">
      <c r="C1386" s="319"/>
      <c r="D1386" s="319"/>
      <c r="G1386" s="320"/>
    </row>
    <row r="1387" spans="3:7">
      <c r="C1387" s="319"/>
      <c r="D1387" s="319"/>
      <c r="G1387" s="320"/>
    </row>
    <row r="1388" spans="3:4">
      <c r="C1388" s="319"/>
      <c r="D1388" s="319"/>
    </row>
    <row r="1389" spans="3:7">
      <c r="C1389" s="319"/>
      <c r="D1389" s="319"/>
      <c r="G1389" s="320"/>
    </row>
    <row r="1390" spans="3:7">
      <c r="C1390" s="319"/>
      <c r="D1390" s="319"/>
      <c r="G1390" s="320"/>
    </row>
    <row r="1391" spans="3:7">
      <c r="C1391" s="319"/>
      <c r="D1391" s="319"/>
      <c r="G1391" s="320"/>
    </row>
    <row r="1392" spans="3:7">
      <c r="C1392" s="319"/>
      <c r="D1392" s="319"/>
      <c r="G1392" s="320"/>
    </row>
    <row r="1393" spans="3:7">
      <c r="C1393" s="319"/>
      <c r="D1393" s="319"/>
      <c r="G1393" s="320"/>
    </row>
    <row r="1394" spans="3:4">
      <c r="C1394" s="319"/>
      <c r="D1394" s="319"/>
    </row>
    <row r="1395" spans="3:7">
      <c r="C1395" s="319"/>
      <c r="D1395" s="319"/>
      <c r="G1395" s="320"/>
    </row>
    <row r="1396" spans="3:7">
      <c r="C1396" s="319"/>
      <c r="D1396" s="319"/>
      <c r="G1396" s="320"/>
    </row>
    <row r="1397" spans="3:4">
      <c r="C1397" s="319"/>
      <c r="D1397" s="319"/>
    </row>
    <row r="1398" spans="3:7">
      <c r="C1398" s="319"/>
      <c r="D1398" s="319"/>
      <c r="G1398" s="320"/>
    </row>
    <row r="1399" spans="3:7">
      <c r="C1399" s="319"/>
      <c r="D1399" s="319"/>
      <c r="G1399" s="320"/>
    </row>
    <row r="1400" spans="3:7">
      <c r="C1400" s="319"/>
      <c r="D1400" s="319"/>
      <c r="G1400" s="320"/>
    </row>
    <row r="1401" spans="3:7">
      <c r="C1401" s="319"/>
      <c r="D1401" s="319"/>
      <c r="G1401" s="320"/>
    </row>
    <row r="1402" spans="3:7">
      <c r="C1402" s="319"/>
      <c r="D1402" s="319"/>
      <c r="G1402" s="320"/>
    </row>
    <row r="1403" spans="3:7">
      <c r="C1403" s="319"/>
      <c r="D1403" s="319"/>
      <c r="G1403" s="320"/>
    </row>
    <row r="1404" spans="3:7">
      <c r="C1404" s="319"/>
      <c r="D1404" s="319"/>
      <c r="G1404" s="320"/>
    </row>
    <row r="1405" spans="3:7">
      <c r="C1405" s="319"/>
      <c r="D1405" s="319"/>
      <c r="G1405" s="320"/>
    </row>
    <row r="1406" spans="3:7">
      <c r="C1406" s="319"/>
      <c r="D1406" s="319"/>
      <c r="G1406" s="320"/>
    </row>
    <row r="1407" spans="3:4">
      <c r="C1407" s="319"/>
      <c r="D1407" s="319"/>
    </row>
    <row r="1408" spans="3:7">
      <c r="C1408" s="319"/>
      <c r="D1408" s="319"/>
      <c r="G1408" s="320"/>
    </row>
    <row r="1409" spans="3:7">
      <c r="C1409" s="319"/>
      <c r="D1409" s="319"/>
      <c r="G1409" s="320"/>
    </row>
    <row r="1410" spans="3:7">
      <c r="C1410" s="319"/>
      <c r="D1410" s="319"/>
      <c r="G1410" s="320"/>
    </row>
    <row r="1411" spans="3:7">
      <c r="C1411" s="319"/>
      <c r="D1411" s="319"/>
      <c r="G1411" s="320"/>
    </row>
    <row r="1412" spans="3:7">
      <c r="C1412" s="319"/>
      <c r="D1412" s="319"/>
      <c r="G1412" s="320"/>
    </row>
    <row r="1413" spans="3:7">
      <c r="C1413" s="319"/>
      <c r="D1413" s="319"/>
      <c r="G1413" s="320"/>
    </row>
    <row r="1414" spans="3:7">
      <c r="C1414" s="319"/>
      <c r="D1414" s="319"/>
      <c r="G1414" s="320"/>
    </row>
    <row r="1415" spans="3:4">
      <c r="C1415" s="319"/>
      <c r="D1415" s="319"/>
    </row>
    <row r="1416" spans="3:7">
      <c r="C1416" s="319"/>
      <c r="D1416" s="319"/>
      <c r="G1416" s="320"/>
    </row>
    <row r="1417" spans="3:7">
      <c r="C1417" s="319"/>
      <c r="D1417" s="319"/>
      <c r="G1417" s="320"/>
    </row>
    <row r="1418" spans="3:7">
      <c r="C1418" s="319"/>
      <c r="D1418" s="319"/>
      <c r="G1418" s="320"/>
    </row>
    <row r="1419" spans="3:7">
      <c r="C1419" s="319"/>
      <c r="D1419" s="319"/>
      <c r="G1419" s="320"/>
    </row>
    <row r="1420" spans="3:7">
      <c r="C1420" s="319"/>
      <c r="D1420" s="319"/>
      <c r="G1420" s="320"/>
    </row>
    <row r="1421" spans="3:7">
      <c r="C1421" s="319"/>
      <c r="D1421" s="319"/>
      <c r="G1421" s="320"/>
    </row>
    <row r="1422" spans="3:7">
      <c r="C1422" s="319"/>
      <c r="D1422" s="319"/>
      <c r="G1422" s="320"/>
    </row>
    <row r="1423" spans="3:7">
      <c r="C1423" s="319"/>
      <c r="D1423" s="319"/>
      <c r="G1423" s="320"/>
    </row>
    <row r="1424" spans="3:7">
      <c r="C1424" s="319"/>
      <c r="D1424" s="319"/>
      <c r="G1424" s="320"/>
    </row>
    <row r="1425" spans="3:4">
      <c r="C1425" s="319"/>
      <c r="D1425" s="319"/>
    </row>
    <row r="1426" spans="3:7">
      <c r="C1426" s="319"/>
      <c r="D1426" s="319"/>
      <c r="G1426" s="320"/>
    </row>
    <row r="1427" spans="3:7">
      <c r="C1427" s="319"/>
      <c r="D1427" s="319"/>
      <c r="G1427" s="320"/>
    </row>
    <row r="1428" spans="3:4">
      <c r="C1428" s="319"/>
      <c r="D1428" s="319"/>
    </row>
    <row r="1429" spans="3:7">
      <c r="C1429" s="319"/>
      <c r="D1429" s="319"/>
      <c r="G1429" s="320"/>
    </row>
    <row r="1430" spans="3:7">
      <c r="C1430" s="319"/>
      <c r="D1430" s="319"/>
      <c r="G1430" s="320"/>
    </row>
    <row r="1431" spans="3:7">
      <c r="C1431" s="319"/>
      <c r="D1431" s="319"/>
      <c r="G1431" s="320"/>
    </row>
    <row r="1432" spans="3:7">
      <c r="C1432" s="319"/>
      <c r="D1432" s="319"/>
      <c r="G1432" s="320"/>
    </row>
    <row r="1433" spans="3:7">
      <c r="C1433" s="319"/>
      <c r="D1433" s="319"/>
      <c r="G1433" s="320"/>
    </row>
    <row r="1434" spans="3:7">
      <c r="C1434" s="319"/>
      <c r="D1434" s="319"/>
      <c r="G1434" s="320"/>
    </row>
    <row r="1435" spans="3:7">
      <c r="C1435" s="319"/>
      <c r="D1435" s="319"/>
      <c r="G1435" s="320"/>
    </row>
    <row r="1436" spans="3:7">
      <c r="C1436" s="319"/>
      <c r="D1436" s="319"/>
      <c r="G1436" s="320"/>
    </row>
    <row r="1437" spans="3:7">
      <c r="C1437" s="319"/>
      <c r="D1437" s="319"/>
      <c r="G1437" s="320"/>
    </row>
    <row r="1438" spans="3:7">
      <c r="C1438" s="319"/>
      <c r="D1438" s="319"/>
      <c r="G1438" s="320"/>
    </row>
    <row r="1439" spans="3:7">
      <c r="C1439" s="319"/>
      <c r="D1439" s="319"/>
      <c r="G1439" s="320"/>
    </row>
    <row r="1440" spans="3:7">
      <c r="C1440" s="319"/>
      <c r="D1440" s="319"/>
      <c r="G1440" s="320"/>
    </row>
    <row r="1441" spans="3:7">
      <c r="C1441" s="319"/>
      <c r="D1441" s="319"/>
      <c r="G1441" s="320"/>
    </row>
    <row r="1442" spans="3:7">
      <c r="C1442" s="319"/>
      <c r="D1442" s="319"/>
      <c r="G1442" s="320"/>
    </row>
    <row r="1443" spans="3:7">
      <c r="C1443" s="319"/>
      <c r="D1443" s="319"/>
      <c r="G1443" s="320"/>
    </row>
    <row r="1444" spans="3:4">
      <c r="C1444" s="319"/>
      <c r="D1444" s="319"/>
    </row>
    <row r="1445" spans="3:7">
      <c r="C1445" s="319"/>
      <c r="D1445" s="319"/>
      <c r="G1445" s="320"/>
    </row>
    <row r="1446" spans="3:7">
      <c r="C1446" s="319"/>
      <c r="D1446" s="319"/>
      <c r="G1446" s="320"/>
    </row>
    <row r="1447" spans="3:4">
      <c r="C1447" s="319"/>
      <c r="D1447" s="319"/>
    </row>
    <row r="1448" spans="3:7">
      <c r="C1448" s="319"/>
      <c r="D1448" s="319"/>
      <c r="G1448" s="320"/>
    </row>
    <row r="1449" spans="3:7">
      <c r="C1449" s="319"/>
      <c r="D1449" s="319"/>
      <c r="G1449" s="320"/>
    </row>
    <row r="1450" spans="3:4">
      <c r="C1450" s="319"/>
      <c r="D1450" s="319"/>
    </row>
    <row r="1451" spans="3:7">
      <c r="C1451" s="319"/>
      <c r="D1451" s="319"/>
      <c r="G1451" s="320"/>
    </row>
    <row r="1452" spans="3:7">
      <c r="C1452" s="319"/>
      <c r="D1452" s="319"/>
      <c r="G1452" s="320"/>
    </row>
    <row r="1453" spans="3:7">
      <c r="C1453" s="319"/>
      <c r="D1453" s="319"/>
      <c r="G1453" s="320"/>
    </row>
    <row r="1454" spans="3:7">
      <c r="C1454" s="319"/>
      <c r="D1454" s="319"/>
      <c r="G1454" s="320"/>
    </row>
    <row r="1455" spans="3:7">
      <c r="C1455" s="319"/>
      <c r="D1455" s="319"/>
      <c r="G1455" s="320"/>
    </row>
    <row r="1456" spans="3:7">
      <c r="C1456" s="319"/>
      <c r="D1456" s="319"/>
      <c r="G1456" s="320"/>
    </row>
    <row r="1457" spans="3:7">
      <c r="C1457" s="319"/>
      <c r="D1457" s="319"/>
      <c r="G1457" s="320"/>
    </row>
    <row r="1458" spans="3:7">
      <c r="C1458" s="319"/>
      <c r="D1458" s="319"/>
      <c r="G1458" s="320"/>
    </row>
    <row r="1459" spans="3:7">
      <c r="C1459" s="319"/>
      <c r="D1459" s="319"/>
      <c r="G1459" s="320"/>
    </row>
    <row r="1460" spans="3:7">
      <c r="C1460" s="319"/>
      <c r="D1460" s="319"/>
      <c r="G1460" s="320"/>
    </row>
    <row r="1461" spans="3:7">
      <c r="C1461" s="319"/>
      <c r="D1461" s="319"/>
      <c r="G1461" s="320"/>
    </row>
    <row r="1462" spans="3:7">
      <c r="C1462" s="319"/>
      <c r="D1462" s="319"/>
      <c r="G1462" s="320"/>
    </row>
    <row r="1463" spans="3:4">
      <c r="C1463" s="319"/>
      <c r="D1463" s="319"/>
    </row>
    <row r="1464" spans="3:4">
      <c r="C1464" s="319"/>
      <c r="D1464" s="319"/>
    </row>
    <row r="1465" spans="3:4">
      <c r="C1465" s="319"/>
      <c r="D1465" s="319"/>
    </row>
    <row r="1466" spans="3:7">
      <c r="C1466" s="319"/>
      <c r="D1466" s="319"/>
      <c r="G1466" s="320"/>
    </row>
    <row r="1467" spans="3:4">
      <c r="C1467" s="319"/>
      <c r="D1467" s="319"/>
    </row>
    <row r="1468" spans="3:4">
      <c r="C1468" s="319"/>
      <c r="D1468" s="319"/>
    </row>
    <row r="1469" spans="3:7">
      <c r="C1469" s="319"/>
      <c r="D1469" s="319"/>
      <c r="G1469" s="320"/>
    </row>
    <row r="1470" spans="3:7">
      <c r="C1470" s="319"/>
      <c r="D1470" s="319"/>
      <c r="G1470" s="320"/>
    </row>
    <row r="1471" spans="3:7">
      <c r="C1471" s="319"/>
      <c r="D1471" s="319"/>
      <c r="G1471" s="320"/>
    </row>
    <row r="1472" spans="3:7">
      <c r="C1472" s="319"/>
      <c r="D1472" s="319"/>
      <c r="G1472" s="320"/>
    </row>
    <row r="1473" spans="3:7">
      <c r="C1473" s="319"/>
      <c r="D1473" s="319"/>
      <c r="G1473" s="320"/>
    </row>
    <row r="1474" spans="3:7">
      <c r="C1474" s="319"/>
      <c r="D1474" s="319"/>
      <c r="G1474" s="320"/>
    </row>
    <row r="1475" spans="3:7">
      <c r="C1475" s="319"/>
      <c r="D1475" s="319"/>
      <c r="G1475" s="320"/>
    </row>
    <row r="1476" spans="3:7">
      <c r="C1476" s="319"/>
      <c r="D1476" s="319"/>
      <c r="G1476" s="320"/>
    </row>
    <row r="1477" spans="3:7">
      <c r="C1477" s="319"/>
      <c r="D1477" s="319"/>
      <c r="G1477" s="320"/>
    </row>
    <row r="1478" spans="3:7">
      <c r="C1478" s="319"/>
      <c r="D1478" s="319"/>
      <c r="G1478" s="320"/>
    </row>
    <row r="1479" spans="3:7">
      <c r="C1479" s="319"/>
      <c r="D1479" s="319"/>
      <c r="G1479" s="320"/>
    </row>
    <row r="1480" spans="3:4">
      <c r="C1480" s="319"/>
      <c r="D1480" s="319"/>
    </row>
    <row r="1481" spans="3:7">
      <c r="C1481" s="319"/>
      <c r="D1481" s="319"/>
      <c r="G1481" s="320"/>
    </row>
    <row r="1482" spans="3:7">
      <c r="C1482" s="319"/>
      <c r="D1482" s="319"/>
      <c r="G1482" s="320"/>
    </row>
    <row r="1483" spans="3:4">
      <c r="C1483" s="319"/>
      <c r="D1483" s="319"/>
    </row>
    <row r="1484" spans="3:7">
      <c r="C1484" s="319"/>
      <c r="D1484" s="319"/>
      <c r="G1484" s="320"/>
    </row>
    <row r="1485" spans="3:7">
      <c r="C1485" s="319"/>
      <c r="D1485" s="319"/>
      <c r="G1485" s="320"/>
    </row>
    <row r="1486" spans="3:7">
      <c r="C1486" s="319"/>
      <c r="D1486" s="319"/>
      <c r="G1486" s="320"/>
    </row>
    <row r="1487" spans="3:7">
      <c r="C1487" s="319"/>
      <c r="D1487" s="319"/>
      <c r="G1487" s="320"/>
    </row>
    <row r="1488" spans="3:7">
      <c r="C1488" s="319"/>
      <c r="D1488" s="319"/>
      <c r="G1488" s="320"/>
    </row>
    <row r="1489" spans="3:7">
      <c r="C1489" s="319"/>
      <c r="D1489" s="319"/>
      <c r="G1489" s="320"/>
    </row>
    <row r="1490" spans="3:7">
      <c r="C1490" s="319"/>
      <c r="D1490" s="319"/>
      <c r="G1490" s="320"/>
    </row>
    <row r="1491" spans="3:4">
      <c r="C1491" s="319"/>
      <c r="D1491" s="319"/>
    </row>
    <row r="1492" spans="3:7">
      <c r="C1492" s="319"/>
      <c r="D1492" s="319"/>
      <c r="G1492" s="320"/>
    </row>
    <row r="1493" spans="3:7">
      <c r="C1493" s="319"/>
      <c r="D1493" s="319"/>
      <c r="G1493" s="320"/>
    </row>
    <row r="1494" spans="3:7">
      <c r="C1494" s="319"/>
      <c r="D1494" s="319"/>
      <c r="G1494" s="320"/>
    </row>
    <row r="1495" spans="3:7">
      <c r="C1495" s="319"/>
      <c r="D1495" s="319"/>
      <c r="G1495" s="320"/>
    </row>
    <row r="1496" spans="3:4">
      <c r="C1496" s="319"/>
      <c r="D1496" s="319"/>
    </row>
    <row r="1497" spans="3:7">
      <c r="C1497" s="319"/>
      <c r="D1497" s="319"/>
      <c r="G1497" s="320"/>
    </row>
    <row r="1498" spans="3:7">
      <c r="C1498" s="319"/>
      <c r="D1498" s="319"/>
      <c r="G1498" s="320"/>
    </row>
    <row r="1499" spans="3:7">
      <c r="C1499" s="319"/>
      <c r="D1499" s="319"/>
      <c r="G1499" s="320"/>
    </row>
    <row r="1500" spans="3:7">
      <c r="C1500" s="319"/>
      <c r="D1500" s="319"/>
      <c r="G1500" s="320"/>
    </row>
    <row r="1501" spans="3:7">
      <c r="C1501" s="319"/>
      <c r="D1501" s="319"/>
      <c r="G1501" s="320"/>
    </row>
    <row r="1502" spans="3:7">
      <c r="C1502" s="319"/>
      <c r="D1502" s="319"/>
      <c r="G1502" s="320"/>
    </row>
    <row r="1503" spans="3:4">
      <c r="C1503" s="319"/>
      <c r="D1503" s="319"/>
    </row>
    <row r="1504" spans="3:7">
      <c r="C1504" s="319"/>
      <c r="D1504" s="319"/>
      <c r="G1504" s="320"/>
    </row>
    <row r="1505" spans="3:7">
      <c r="C1505" s="319"/>
      <c r="D1505" s="319"/>
      <c r="G1505" s="320"/>
    </row>
    <row r="1506" spans="3:7">
      <c r="C1506" s="319"/>
      <c r="D1506" s="319"/>
      <c r="G1506" s="320"/>
    </row>
    <row r="1507" spans="3:7">
      <c r="C1507" s="319"/>
      <c r="D1507" s="319"/>
      <c r="G1507" s="320"/>
    </row>
    <row r="1508" spans="3:7">
      <c r="C1508" s="319"/>
      <c r="D1508" s="319"/>
      <c r="G1508" s="320"/>
    </row>
    <row r="1509" spans="3:7">
      <c r="C1509" s="319"/>
      <c r="D1509" s="319"/>
      <c r="G1509" s="320"/>
    </row>
    <row r="1510" spans="3:7">
      <c r="C1510" s="319"/>
      <c r="D1510" s="319"/>
      <c r="G1510" s="320"/>
    </row>
    <row r="1511" spans="3:7">
      <c r="C1511" s="319"/>
      <c r="D1511" s="319"/>
      <c r="G1511" s="320"/>
    </row>
    <row r="1512" spans="3:7">
      <c r="C1512" s="319"/>
      <c r="D1512" s="319"/>
      <c r="G1512" s="320"/>
    </row>
    <row r="1513" spans="3:7">
      <c r="C1513" s="319"/>
      <c r="D1513" s="319"/>
      <c r="G1513" s="320"/>
    </row>
    <row r="1514" spans="3:7">
      <c r="C1514" s="319"/>
      <c r="D1514" s="319"/>
      <c r="G1514" s="320"/>
    </row>
    <row r="1515" spans="3:4">
      <c r="C1515" s="319"/>
      <c r="D1515" s="319"/>
    </row>
    <row r="1516" spans="3:7">
      <c r="C1516" s="319"/>
      <c r="D1516" s="319"/>
      <c r="G1516" s="320"/>
    </row>
    <row r="1517" spans="3:7">
      <c r="C1517" s="319"/>
      <c r="D1517" s="319"/>
      <c r="G1517" s="320"/>
    </row>
    <row r="1518" spans="3:4">
      <c r="C1518" s="319"/>
      <c r="D1518" s="319"/>
    </row>
    <row r="1519" spans="3:7">
      <c r="C1519" s="319"/>
      <c r="D1519" s="319"/>
      <c r="G1519" s="320"/>
    </row>
    <row r="1520" spans="3:7">
      <c r="C1520" s="319"/>
      <c r="D1520" s="319"/>
      <c r="G1520" s="320"/>
    </row>
    <row r="1521" spans="3:7">
      <c r="C1521" s="319"/>
      <c r="D1521" s="319"/>
      <c r="G1521" s="320"/>
    </row>
    <row r="1522" spans="3:7">
      <c r="C1522" s="319"/>
      <c r="D1522" s="319"/>
      <c r="G1522" s="320"/>
    </row>
    <row r="1523" spans="3:7">
      <c r="C1523" s="319"/>
      <c r="D1523" s="319"/>
      <c r="G1523" s="320"/>
    </row>
    <row r="1524" spans="3:7">
      <c r="C1524" s="319"/>
      <c r="D1524" s="319"/>
      <c r="G1524" s="320"/>
    </row>
    <row r="1525" spans="3:4">
      <c r="C1525" s="319"/>
      <c r="D1525" s="319"/>
    </row>
    <row r="1526" spans="3:7">
      <c r="C1526" s="319"/>
      <c r="D1526" s="319"/>
      <c r="G1526" s="320"/>
    </row>
    <row r="1527" spans="3:7">
      <c r="C1527" s="319"/>
      <c r="D1527" s="319"/>
      <c r="G1527" s="320"/>
    </row>
    <row r="1528" spans="3:7">
      <c r="C1528" s="319"/>
      <c r="D1528" s="319"/>
      <c r="G1528" s="320"/>
    </row>
    <row r="1529" spans="3:4">
      <c r="C1529" s="319"/>
      <c r="D1529" s="319"/>
    </row>
    <row r="1530" spans="3:7">
      <c r="C1530" s="319"/>
      <c r="D1530" s="319"/>
      <c r="G1530" s="320"/>
    </row>
    <row r="1531" spans="3:7">
      <c r="C1531" s="319"/>
      <c r="D1531" s="319"/>
      <c r="G1531" s="320"/>
    </row>
    <row r="1532" spans="3:7">
      <c r="C1532" s="319"/>
      <c r="D1532" s="319"/>
      <c r="G1532" s="320"/>
    </row>
    <row r="1533" spans="3:4">
      <c r="C1533" s="319"/>
      <c r="D1533" s="319"/>
    </row>
    <row r="1534" spans="3:4">
      <c r="C1534" s="319"/>
      <c r="D1534" s="319"/>
    </row>
    <row r="1535" spans="3:7">
      <c r="C1535" s="319"/>
      <c r="D1535" s="319"/>
      <c r="G1535" s="320"/>
    </row>
    <row r="1536" spans="3:7">
      <c r="C1536" s="319"/>
      <c r="D1536" s="319"/>
      <c r="G1536" s="320"/>
    </row>
    <row r="1537" spans="3:7">
      <c r="C1537" s="319"/>
      <c r="D1537" s="319"/>
      <c r="G1537" s="320"/>
    </row>
    <row r="1538" spans="3:7">
      <c r="C1538" s="319"/>
      <c r="D1538" s="319"/>
      <c r="G1538" s="320"/>
    </row>
    <row r="1539" spans="3:7">
      <c r="C1539" s="319"/>
      <c r="D1539" s="319"/>
      <c r="G1539" s="320"/>
    </row>
    <row r="1540" spans="3:7">
      <c r="C1540" s="319"/>
      <c r="D1540" s="319"/>
      <c r="G1540" s="320"/>
    </row>
    <row r="1541" spans="3:7">
      <c r="C1541" s="319"/>
      <c r="D1541" s="319"/>
      <c r="G1541" s="320"/>
    </row>
    <row r="1542" spans="3:4">
      <c r="C1542" s="319"/>
      <c r="D1542" s="319"/>
    </row>
    <row r="1543" spans="3:7">
      <c r="C1543" s="319"/>
      <c r="D1543" s="319"/>
      <c r="G1543" s="320"/>
    </row>
    <row r="1544" spans="3:7">
      <c r="C1544" s="319"/>
      <c r="D1544" s="319"/>
      <c r="G1544" s="320"/>
    </row>
    <row r="1545" spans="3:7">
      <c r="C1545" s="319"/>
      <c r="D1545" s="319"/>
      <c r="G1545" s="320"/>
    </row>
    <row r="1546" spans="3:7">
      <c r="C1546" s="319"/>
      <c r="D1546" s="319"/>
      <c r="G1546" s="320"/>
    </row>
    <row r="1547" spans="3:7">
      <c r="C1547" s="319"/>
      <c r="D1547" s="319"/>
      <c r="G1547" s="320"/>
    </row>
    <row r="1548" spans="3:4">
      <c r="C1548" s="319"/>
      <c r="D1548" s="319"/>
    </row>
    <row r="1549" spans="3:7">
      <c r="C1549" s="319"/>
      <c r="D1549" s="319"/>
      <c r="G1549" s="320"/>
    </row>
    <row r="1550" spans="3:7">
      <c r="C1550" s="319"/>
      <c r="D1550" s="319"/>
      <c r="G1550" s="320"/>
    </row>
    <row r="1551" spans="3:7">
      <c r="C1551" s="319"/>
      <c r="D1551" s="319"/>
      <c r="G1551" s="320"/>
    </row>
    <row r="1552" spans="3:7">
      <c r="C1552" s="319"/>
      <c r="D1552" s="319"/>
      <c r="G1552" s="320"/>
    </row>
    <row r="1553" spans="3:4">
      <c r="C1553" s="319"/>
      <c r="D1553" s="319"/>
    </row>
    <row r="1554" spans="3:7">
      <c r="C1554" s="319"/>
      <c r="D1554" s="319"/>
      <c r="G1554" s="320"/>
    </row>
    <row r="1555" spans="3:4">
      <c r="C1555" s="319"/>
      <c r="D1555" s="319"/>
    </row>
    <row r="1556" spans="3:7">
      <c r="C1556" s="319"/>
      <c r="D1556" s="319"/>
      <c r="G1556" s="320"/>
    </row>
    <row r="1557" spans="3:7">
      <c r="C1557" s="319"/>
      <c r="D1557" s="319"/>
      <c r="G1557" s="320"/>
    </row>
    <row r="1558" spans="3:7">
      <c r="C1558" s="319"/>
      <c r="D1558" s="319"/>
      <c r="G1558" s="320"/>
    </row>
    <row r="1559" spans="3:7">
      <c r="C1559" s="319"/>
      <c r="D1559" s="319"/>
      <c r="G1559" s="320"/>
    </row>
    <row r="1560" spans="3:7">
      <c r="C1560" s="319"/>
      <c r="D1560" s="319"/>
      <c r="G1560" s="320"/>
    </row>
    <row r="1561" spans="3:7">
      <c r="C1561" s="319"/>
      <c r="D1561" s="319"/>
      <c r="G1561" s="320"/>
    </row>
    <row r="1562" spans="3:4">
      <c r="C1562" s="319"/>
      <c r="D1562" s="319"/>
    </row>
    <row r="1563" spans="3:4">
      <c r="C1563" s="319"/>
      <c r="D1563" s="319"/>
    </row>
    <row r="1564" spans="3:7">
      <c r="C1564" s="319"/>
      <c r="D1564" s="319"/>
      <c r="G1564" s="320"/>
    </row>
    <row r="1565" spans="3:4">
      <c r="C1565" s="319"/>
      <c r="D1565" s="319"/>
    </row>
    <row r="1566" spans="3:7">
      <c r="C1566" s="319"/>
      <c r="D1566" s="319"/>
      <c r="G1566" s="320"/>
    </row>
    <row r="1567" spans="3:7">
      <c r="C1567" s="319"/>
      <c r="D1567" s="319"/>
      <c r="G1567" s="320"/>
    </row>
    <row r="1568" spans="3:4">
      <c r="C1568" s="319"/>
      <c r="D1568" s="319"/>
    </row>
    <row r="1569" spans="3:7">
      <c r="C1569" s="319"/>
      <c r="D1569" s="319"/>
      <c r="G1569" s="320"/>
    </row>
    <row r="1570" spans="3:7">
      <c r="C1570" s="319"/>
      <c r="D1570" s="319"/>
      <c r="G1570" s="320"/>
    </row>
    <row r="1571" spans="3:4">
      <c r="C1571" s="319"/>
      <c r="D1571" s="319"/>
    </row>
    <row r="1572" spans="3:7">
      <c r="C1572" s="319"/>
      <c r="D1572" s="319"/>
      <c r="G1572" s="320"/>
    </row>
    <row r="1573" spans="3:4">
      <c r="C1573" s="319"/>
      <c r="D1573" s="319"/>
    </row>
    <row r="1574" spans="3:7">
      <c r="C1574" s="319"/>
      <c r="D1574" s="319"/>
      <c r="G1574" s="320"/>
    </row>
    <row r="1575" spans="3:7">
      <c r="C1575" s="319"/>
      <c r="D1575" s="319"/>
      <c r="G1575" s="320"/>
    </row>
    <row r="1576" spans="3:7">
      <c r="C1576" s="319"/>
      <c r="D1576" s="319"/>
      <c r="G1576" s="320"/>
    </row>
    <row r="1577" spans="3:4">
      <c r="C1577" s="319"/>
      <c r="D1577" s="319"/>
    </row>
    <row r="1578" spans="3:7">
      <c r="C1578" s="319"/>
      <c r="D1578" s="319"/>
      <c r="G1578" s="320"/>
    </row>
    <row r="1579" spans="3:7">
      <c r="C1579" s="319"/>
      <c r="D1579" s="319"/>
      <c r="G1579" s="320"/>
    </row>
    <row r="1580" spans="3:4">
      <c r="C1580" s="319"/>
      <c r="D1580" s="319"/>
    </row>
    <row r="1581" spans="3:4">
      <c r="C1581" s="319"/>
      <c r="D1581" s="319"/>
    </row>
    <row r="1582" spans="3:7">
      <c r="C1582" s="319"/>
      <c r="D1582" s="319"/>
      <c r="G1582" s="320"/>
    </row>
    <row r="1583" spans="3:4">
      <c r="C1583" s="319"/>
      <c r="D1583" s="319"/>
    </row>
    <row r="1584" spans="3:7">
      <c r="C1584" s="319"/>
      <c r="D1584" s="319"/>
      <c r="G1584" s="320"/>
    </row>
    <row r="1585" spans="3:4">
      <c r="C1585" s="319"/>
      <c r="D1585" s="319"/>
    </row>
    <row r="1586" spans="3:4">
      <c r="C1586" s="319"/>
      <c r="D1586" s="319"/>
    </row>
    <row r="1587" spans="3:7">
      <c r="C1587" s="319"/>
      <c r="D1587" s="319"/>
      <c r="G1587" s="320"/>
    </row>
    <row r="1588" spans="3:7">
      <c r="C1588" s="319"/>
      <c r="D1588" s="319"/>
      <c r="G1588" s="320"/>
    </row>
    <row r="1589" spans="3:4">
      <c r="C1589" s="319"/>
      <c r="D1589" s="319"/>
    </row>
    <row r="1590" spans="3:7">
      <c r="C1590" s="319"/>
      <c r="D1590" s="319"/>
      <c r="G1590" s="320"/>
    </row>
    <row r="1591" spans="3:7">
      <c r="C1591" s="319"/>
      <c r="D1591" s="319"/>
      <c r="G1591" s="320"/>
    </row>
    <row r="1592" spans="3:7">
      <c r="C1592" s="319"/>
      <c r="D1592" s="319"/>
      <c r="G1592" s="320"/>
    </row>
    <row r="1593" spans="3:7">
      <c r="C1593" s="319"/>
      <c r="D1593" s="319"/>
      <c r="G1593" s="320"/>
    </row>
    <row r="1594" spans="3:7">
      <c r="C1594" s="319"/>
      <c r="D1594" s="319"/>
      <c r="G1594" s="320"/>
    </row>
    <row r="1595" spans="3:7">
      <c r="C1595" s="319"/>
      <c r="D1595" s="319"/>
      <c r="G1595" s="320"/>
    </row>
    <row r="1596" spans="3:7">
      <c r="C1596" s="319"/>
      <c r="D1596" s="319"/>
      <c r="G1596" s="320"/>
    </row>
    <row r="1597" spans="3:7">
      <c r="C1597" s="319"/>
      <c r="D1597" s="319"/>
      <c r="G1597" s="320"/>
    </row>
    <row r="1598" spans="3:7">
      <c r="C1598" s="319"/>
      <c r="D1598" s="319"/>
      <c r="G1598" s="320"/>
    </row>
    <row r="1599" spans="3:7">
      <c r="C1599" s="319"/>
      <c r="D1599" s="319"/>
      <c r="G1599" s="320"/>
    </row>
    <row r="1600" spans="3:4">
      <c r="C1600" s="319"/>
      <c r="D1600" s="319"/>
    </row>
    <row r="1601" spans="3:7">
      <c r="C1601" s="319"/>
      <c r="D1601" s="319"/>
      <c r="G1601" s="320"/>
    </row>
    <row r="1602" spans="3:7">
      <c r="C1602" s="319"/>
      <c r="D1602" s="319"/>
      <c r="G1602" s="320"/>
    </row>
    <row r="1603" spans="3:7">
      <c r="C1603" s="319"/>
      <c r="D1603" s="319"/>
      <c r="G1603" s="320"/>
    </row>
    <row r="1604" spans="3:7">
      <c r="C1604" s="319"/>
      <c r="D1604" s="319"/>
      <c r="G1604" s="320"/>
    </row>
    <row r="1605" spans="3:7">
      <c r="C1605" s="319"/>
      <c r="D1605" s="319"/>
      <c r="G1605" s="320"/>
    </row>
    <row r="1606" spans="3:7">
      <c r="C1606" s="319"/>
      <c r="D1606" s="319"/>
      <c r="G1606" s="320"/>
    </row>
    <row r="1607" spans="3:7">
      <c r="C1607" s="319"/>
      <c r="D1607" s="319"/>
      <c r="G1607" s="320"/>
    </row>
    <row r="1608" spans="3:7">
      <c r="C1608" s="319"/>
      <c r="D1608" s="319"/>
      <c r="G1608" s="320"/>
    </row>
    <row r="1609" spans="3:4">
      <c r="C1609" s="319"/>
      <c r="D1609" s="319"/>
    </row>
    <row r="1610" spans="3:4">
      <c r="C1610" s="319"/>
      <c r="D1610" s="319"/>
    </row>
    <row r="1611" spans="3:7">
      <c r="C1611" s="319"/>
      <c r="D1611" s="319"/>
      <c r="G1611" s="320"/>
    </row>
    <row r="1612" spans="3:7">
      <c r="C1612" s="319"/>
      <c r="D1612" s="319"/>
      <c r="G1612" s="320"/>
    </row>
    <row r="1613" spans="3:7">
      <c r="C1613" s="319"/>
      <c r="D1613" s="319"/>
      <c r="G1613" s="320"/>
    </row>
    <row r="1614" spans="3:7">
      <c r="C1614" s="319"/>
      <c r="D1614" s="319"/>
      <c r="G1614" s="320"/>
    </row>
    <row r="1615" spans="3:4">
      <c r="C1615" s="319"/>
      <c r="D1615" s="319"/>
    </row>
    <row r="1616" spans="3:7">
      <c r="C1616" s="319"/>
      <c r="D1616" s="319"/>
      <c r="G1616" s="320"/>
    </row>
    <row r="1617" spans="3:4">
      <c r="C1617" s="319"/>
      <c r="D1617" s="319"/>
    </row>
    <row r="1618" spans="3:4">
      <c r="C1618" s="319"/>
      <c r="D1618" s="319"/>
    </row>
    <row r="1619" spans="3:4">
      <c r="C1619" s="319"/>
      <c r="D1619" s="319"/>
    </row>
    <row r="1620" spans="3:7">
      <c r="C1620" s="319"/>
      <c r="D1620" s="319"/>
      <c r="G1620" s="320"/>
    </row>
    <row r="1621" spans="3:7">
      <c r="C1621" s="319"/>
      <c r="D1621" s="319"/>
      <c r="G1621" s="320"/>
    </row>
    <row r="1622" spans="3:7">
      <c r="C1622" s="319"/>
      <c r="D1622" s="319"/>
      <c r="G1622" s="320"/>
    </row>
    <row r="1623" spans="3:4">
      <c r="C1623" s="319"/>
      <c r="D1623" s="319"/>
    </row>
    <row r="1624" spans="3:7">
      <c r="C1624" s="319"/>
      <c r="D1624" s="319"/>
      <c r="G1624" s="320"/>
    </row>
    <row r="1625" spans="3:7">
      <c r="C1625" s="319"/>
      <c r="D1625" s="319"/>
      <c r="G1625" s="320"/>
    </row>
    <row r="1626" spans="3:7">
      <c r="C1626" s="319"/>
      <c r="D1626" s="319"/>
      <c r="G1626" s="320"/>
    </row>
    <row r="1627" spans="3:7">
      <c r="C1627" s="319"/>
      <c r="D1627" s="319"/>
      <c r="G1627" s="320"/>
    </row>
    <row r="1628" spans="3:7">
      <c r="C1628" s="319"/>
      <c r="D1628" s="319"/>
      <c r="G1628" s="320"/>
    </row>
    <row r="1629" spans="3:7">
      <c r="C1629" s="319"/>
      <c r="D1629" s="319"/>
      <c r="G1629" s="320"/>
    </row>
    <row r="1630" spans="3:7">
      <c r="C1630" s="319"/>
      <c r="D1630" s="319"/>
      <c r="G1630" s="320"/>
    </row>
    <row r="1631" spans="3:7">
      <c r="C1631" s="319"/>
      <c r="D1631" s="319"/>
      <c r="G1631" s="320"/>
    </row>
    <row r="1632" spans="3:7">
      <c r="C1632" s="319"/>
      <c r="D1632" s="319"/>
      <c r="G1632" s="320"/>
    </row>
    <row r="1633" spans="3:7">
      <c r="C1633" s="319"/>
      <c r="D1633" s="319"/>
      <c r="G1633" s="320"/>
    </row>
    <row r="1634" spans="3:7">
      <c r="C1634" s="319"/>
      <c r="D1634" s="319"/>
      <c r="G1634" s="320"/>
    </row>
    <row r="1635" spans="3:7">
      <c r="C1635" s="319"/>
      <c r="D1635" s="319"/>
      <c r="G1635" s="320"/>
    </row>
    <row r="1636" spans="3:4">
      <c r="C1636" s="319"/>
      <c r="D1636" s="319"/>
    </row>
    <row r="1637" spans="3:7">
      <c r="C1637" s="319"/>
      <c r="D1637" s="319"/>
      <c r="G1637" s="320"/>
    </row>
    <row r="1638" spans="3:7">
      <c r="C1638" s="319"/>
      <c r="D1638" s="319"/>
      <c r="G1638" s="320"/>
    </row>
    <row r="1639" spans="3:4">
      <c r="C1639" s="319"/>
      <c r="D1639" s="319"/>
    </row>
    <row r="1640" spans="3:7">
      <c r="C1640" s="319"/>
      <c r="D1640" s="319"/>
      <c r="G1640" s="320"/>
    </row>
    <row r="1641" spans="3:7">
      <c r="C1641" s="319"/>
      <c r="D1641" s="319"/>
      <c r="G1641" s="320"/>
    </row>
    <row r="1642" spans="3:4">
      <c r="C1642" s="319"/>
      <c r="D1642" s="319"/>
    </row>
    <row r="1643" spans="3:4">
      <c r="C1643" s="319"/>
      <c r="D1643" s="319"/>
    </row>
    <row r="1644" spans="3:4">
      <c r="C1644" s="319"/>
      <c r="D1644" s="319"/>
    </row>
    <row r="1645" spans="3:7">
      <c r="C1645" s="319"/>
      <c r="D1645" s="319"/>
      <c r="G1645" s="320"/>
    </row>
    <row r="1646" spans="3:4">
      <c r="C1646" s="319"/>
      <c r="D1646" s="319"/>
    </row>
    <row r="1647" spans="3:7">
      <c r="C1647" s="319"/>
      <c r="D1647" s="319"/>
      <c r="G1647" s="320"/>
    </row>
    <row r="1648" spans="3:4">
      <c r="C1648" s="319"/>
      <c r="D1648" s="319"/>
    </row>
    <row r="1649" spans="3:7">
      <c r="C1649" s="319"/>
      <c r="D1649" s="319"/>
      <c r="G1649" s="320"/>
    </row>
    <row r="1650" spans="3:7">
      <c r="C1650" s="319"/>
      <c r="D1650" s="319"/>
      <c r="G1650" s="320"/>
    </row>
    <row r="1651" spans="3:7">
      <c r="C1651" s="319"/>
      <c r="D1651" s="319"/>
      <c r="G1651" s="320"/>
    </row>
    <row r="1652" spans="3:4">
      <c r="C1652" s="319"/>
      <c r="D1652" s="319"/>
    </row>
    <row r="1653" spans="3:7">
      <c r="C1653" s="319"/>
      <c r="D1653" s="319"/>
      <c r="G1653" s="320"/>
    </row>
    <row r="1654" spans="3:7">
      <c r="C1654" s="319"/>
      <c r="D1654" s="319"/>
      <c r="G1654" s="320"/>
    </row>
    <row r="1655" spans="3:4">
      <c r="C1655" s="319"/>
      <c r="D1655" s="319"/>
    </row>
    <row r="1656" spans="3:7">
      <c r="C1656" s="319"/>
      <c r="D1656" s="319"/>
      <c r="G1656" s="320"/>
    </row>
    <row r="1657" spans="3:4">
      <c r="C1657" s="319"/>
      <c r="D1657" s="319"/>
    </row>
    <row r="1658" spans="3:7">
      <c r="C1658" s="319"/>
      <c r="D1658" s="319"/>
      <c r="G1658" s="320"/>
    </row>
    <row r="1659" spans="3:7">
      <c r="C1659" s="319"/>
      <c r="D1659" s="319"/>
      <c r="G1659" s="320"/>
    </row>
    <row r="1660" spans="3:7">
      <c r="C1660" s="319"/>
      <c r="D1660" s="319"/>
      <c r="G1660" s="320"/>
    </row>
    <row r="1661" spans="3:7">
      <c r="C1661" s="319"/>
      <c r="D1661" s="319"/>
      <c r="G1661" s="320"/>
    </row>
    <row r="1662" spans="3:7">
      <c r="C1662" s="319"/>
      <c r="D1662" s="319"/>
      <c r="G1662" s="320"/>
    </row>
    <row r="1663" spans="3:7">
      <c r="C1663" s="319"/>
      <c r="D1663" s="319"/>
      <c r="G1663" s="320"/>
    </row>
    <row r="1664" spans="3:4">
      <c r="C1664" s="319"/>
      <c r="D1664" s="319"/>
    </row>
    <row r="1665" spans="3:7">
      <c r="C1665" s="319"/>
      <c r="D1665" s="319"/>
      <c r="G1665" s="320"/>
    </row>
    <row r="1666" spans="3:7">
      <c r="C1666" s="319"/>
      <c r="D1666" s="319"/>
      <c r="G1666" s="320"/>
    </row>
    <row r="1667" spans="3:7">
      <c r="C1667" s="319"/>
      <c r="D1667" s="319"/>
      <c r="G1667" s="320"/>
    </row>
    <row r="1668" spans="3:7">
      <c r="C1668" s="319"/>
      <c r="D1668" s="319"/>
      <c r="G1668" s="320"/>
    </row>
    <row r="1669" spans="3:7">
      <c r="C1669" s="319"/>
      <c r="D1669" s="319"/>
      <c r="G1669" s="320"/>
    </row>
    <row r="1670" spans="3:4">
      <c r="C1670" s="319"/>
      <c r="D1670" s="319"/>
    </row>
    <row r="1671" spans="3:7">
      <c r="C1671" s="319"/>
      <c r="D1671" s="319"/>
      <c r="G1671" s="320"/>
    </row>
    <row r="1672" spans="3:7">
      <c r="C1672" s="319"/>
      <c r="D1672" s="319"/>
      <c r="G1672" s="320"/>
    </row>
    <row r="1673" spans="3:7">
      <c r="C1673" s="319"/>
      <c r="D1673" s="319"/>
      <c r="G1673" s="320"/>
    </row>
    <row r="1674" spans="3:7">
      <c r="C1674" s="319"/>
      <c r="D1674" s="319"/>
      <c r="G1674" s="320"/>
    </row>
    <row r="1675" spans="3:7">
      <c r="C1675" s="319"/>
      <c r="D1675" s="319"/>
      <c r="G1675" s="320"/>
    </row>
    <row r="1676" spans="3:7">
      <c r="C1676" s="319"/>
      <c r="D1676" s="319"/>
      <c r="G1676" s="320"/>
    </row>
    <row r="1677" spans="3:4">
      <c r="C1677" s="319"/>
      <c r="D1677" s="319"/>
    </row>
    <row r="1678" spans="3:7">
      <c r="C1678" s="319"/>
      <c r="D1678" s="319"/>
      <c r="G1678" s="320"/>
    </row>
    <row r="1679" spans="3:7">
      <c r="C1679" s="319"/>
      <c r="D1679" s="319"/>
      <c r="G1679" s="320"/>
    </row>
    <row r="1680" spans="3:7">
      <c r="C1680" s="319"/>
      <c r="D1680" s="319"/>
      <c r="G1680" s="320"/>
    </row>
    <row r="1681" spans="3:7">
      <c r="C1681" s="319"/>
      <c r="D1681" s="319"/>
      <c r="G1681" s="320"/>
    </row>
    <row r="1682" spans="3:7">
      <c r="C1682" s="319"/>
      <c r="D1682" s="319"/>
      <c r="G1682" s="320"/>
    </row>
    <row r="1683" spans="3:7">
      <c r="C1683" s="319"/>
      <c r="D1683" s="319"/>
      <c r="G1683" s="320"/>
    </row>
    <row r="1684" spans="3:7">
      <c r="C1684" s="319"/>
      <c r="D1684" s="319"/>
      <c r="G1684" s="320"/>
    </row>
    <row r="1685" spans="3:7">
      <c r="C1685" s="319"/>
      <c r="D1685" s="319"/>
      <c r="G1685" s="320"/>
    </row>
    <row r="1686" spans="3:7">
      <c r="C1686" s="319"/>
      <c r="D1686" s="319"/>
      <c r="G1686" s="320"/>
    </row>
    <row r="1687" spans="3:7">
      <c r="C1687" s="319"/>
      <c r="D1687" s="319"/>
      <c r="G1687" s="320"/>
    </row>
    <row r="1688" spans="3:7">
      <c r="C1688" s="319"/>
      <c r="D1688" s="319"/>
      <c r="G1688" s="320"/>
    </row>
    <row r="1689" spans="3:7">
      <c r="C1689" s="319"/>
      <c r="D1689" s="319"/>
      <c r="G1689" s="320"/>
    </row>
    <row r="1690" spans="3:7">
      <c r="C1690" s="319"/>
      <c r="D1690" s="319"/>
      <c r="G1690" s="320"/>
    </row>
    <row r="1691" spans="3:7">
      <c r="C1691" s="319"/>
      <c r="D1691" s="319"/>
      <c r="G1691" s="320"/>
    </row>
    <row r="1692" spans="3:7">
      <c r="C1692" s="319"/>
      <c r="D1692" s="319"/>
      <c r="G1692" s="320"/>
    </row>
    <row r="1693" spans="3:7">
      <c r="C1693" s="319"/>
      <c r="D1693" s="319"/>
      <c r="G1693" s="320"/>
    </row>
    <row r="1694" spans="3:7">
      <c r="C1694" s="319"/>
      <c r="D1694" s="319"/>
      <c r="G1694" s="320"/>
    </row>
    <row r="1695" spans="3:7">
      <c r="C1695" s="319"/>
      <c r="D1695" s="319"/>
      <c r="G1695" s="320"/>
    </row>
    <row r="1696" spans="3:4">
      <c r="C1696" s="319"/>
      <c r="D1696" s="319"/>
    </row>
    <row r="1697" spans="3:7">
      <c r="C1697" s="319"/>
      <c r="D1697" s="319"/>
      <c r="G1697" s="320"/>
    </row>
    <row r="1698" spans="3:7">
      <c r="C1698" s="319"/>
      <c r="D1698" s="319"/>
      <c r="G1698" s="320"/>
    </row>
    <row r="1699" spans="3:7">
      <c r="C1699" s="319"/>
      <c r="D1699" s="319"/>
      <c r="G1699" s="320"/>
    </row>
    <row r="1700" spans="3:7">
      <c r="C1700" s="319"/>
      <c r="D1700" s="319"/>
      <c r="G1700" s="320"/>
    </row>
    <row r="1701" spans="3:4">
      <c r="C1701" s="319"/>
      <c r="D1701" s="319"/>
    </row>
    <row r="1702" spans="3:7">
      <c r="C1702" s="319"/>
      <c r="D1702" s="319"/>
      <c r="G1702" s="320"/>
    </row>
    <row r="1703" spans="3:7">
      <c r="C1703" s="319"/>
      <c r="D1703" s="319"/>
      <c r="G1703" s="320"/>
    </row>
    <row r="1704" spans="3:7">
      <c r="C1704" s="319"/>
      <c r="D1704" s="319"/>
      <c r="G1704" s="320"/>
    </row>
    <row r="1705" spans="3:7">
      <c r="C1705" s="319"/>
      <c r="D1705" s="319"/>
      <c r="G1705" s="320"/>
    </row>
    <row r="1706" spans="3:4">
      <c r="C1706" s="319"/>
      <c r="D1706" s="319"/>
    </row>
    <row r="1707" spans="3:7">
      <c r="C1707" s="319"/>
      <c r="D1707" s="319"/>
      <c r="G1707" s="320"/>
    </row>
    <row r="1708" spans="3:7">
      <c r="C1708" s="319"/>
      <c r="D1708" s="319"/>
      <c r="G1708" s="320"/>
    </row>
    <row r="1709" spans="3:4">
      <c r="C1709" s="319"/>
      <c r="D1709" s="319"/>
    </row>
    <row r="1710" spans="3:7">
      <c r="C1710" s="319"/>
      <c r="D1710" s="319"/>
      <c r="G1710" s="320"/>
    </row>
    <row r="1711" spans="3:4">
      <c r="C1711" s="319"/>
      <c r="D1711" s="319"/>
    </row>
    <row r="1712" spans="3:7">
      <c r="C1712" s="319"/>
      <c r="D1712" s="319"/>
      <c r="G1712" s="320"/>
    </row>
    <row r="1713" spans="3:7">
      <c r="C1713" s="319"/>
      <c r="D1713" s="319"/>
      <c r="G1713" s="320"/>
    </row>
    <row r="1714" spans="3:7">
      <c r="C1714" s="319"/>
      <c r="D1714" s="319"/>
      <c r="G1714" s="320"/>
    </row>
    <row r="1715" spans="3:7">
      <c r="C1715" s="319"/>
      <c r="D1715" s="319"/>
      <c r="G1715" s="320"/>
    </row>
    <row r="1716" spans="3:7">
      <c r="C1716" s="319"/>
      <c r="D1716" s="319"/>
      <c r="G1716" s="320"/>
    </row>
    <row r="1717" spans="3:7">
      <c r="C1717" s="319"/>
      <c r="D1717" s="319"/>
      <c r="G1717" s="320"/>
    </row>
    <row r="1718" spans="3:7">
      <c r="C1718" s="319"/>
      <c r="D1718" s="319"/>
      <c r="G1718" s="320"/>
    </row>
    <row r="1719" spans="3:7">
      <c r="C1719" s="319"/>
      <c r="D1719" s="319"/>
      <c r="G1719" s="320"/>
    </row>
    <row r="1720" spans="3:7">
      <c r="C1720" s="319"/>
      <c r="D1720" s="319"/>
      <c r="G1720" s="320"/>
    </row>
    <row r="1721" spans="3:7">
      <c r="C1721" s="319"/>
      <c r="D1721" s="319"/>
      <c r="G1721" s="320"/>
    </row>
    <row r="1722" spans="3:7">
      <c r="C1722" s="319"/>
      <c r="D1722" s="319"/>
      <c r="G1722" s="320"/>
    </row>
    <row r="1723" spans="3:7">
      <c r="C1723" s="319"/>
      <c r="D1723" s="319"/>
      <c r="G1723" s="320"/>
    </row>
    <row r="1724" spans="3:7">
      <c r="C1724" s="319"/>
      <c r="D1724" s="319"/>
      <c r="G1724" s="320"/>
    </row>
    <row r="1725" spans="3:7">
      <c r="C1725" s="319"/>
      <c r="D1725" s="319"/>
      <c r="G1725" s="320"/>
    </row>
    <row r="1726" spans="3:7">
      <c r="C1726" s="319"/>
      <c r="D1726" s="319"/>
      <c r="G1726" s="320"/>
    </row>
    <row r="1727" spans="3:7">
      <c r="C1727" s="319"/>
      <c r="D1727" s="319"/>
      <c r="G1727" s="320"/>
    </row>
    <row r="1728" spans="3:7">
      <c r="C1728" s="319"/>
      <c r="D1728" s="319"/>
      <c r="G1728" s="320"/>
    </row>
    <row r="1729" spans="3:7">
      <c r="C1729" s="319"/>
      <c r="D1729" s="319"/>
      <c r="G1729" s="320"/>
    </row>
    <row r="1730" spans="3:7">
      <c r="C1730" s="319"/>
      <c r="D1730" s="319"/>
      <c r="G1730" s="320"/>
    </row>
    <row r="1731" spans="3:4">
      <c r="C1731" s="319"/>
      <c r="D1731" s="319"/>
    </row>
    <row r="1732" spans="3:7">
      <c r="C1732" s="319"/>
      <c r="D1732" s="319"/>
      <c r="G1732" s="320"/>
    </row>
    <row r="1733" spans="3:7">
      <c r="C1733" s="319"/>
      <c r="D1733" s="319"/>
      <c r="G1733" s="320"/>
    </row>
    <row r="1734" spans="3:4">
      <c r="C1734" s="319"/>
      <c r="D1734" s="319"/>
    </row>
    <row r="1735" spans="3:4">
      <c r="C1735" s="319"/>
      <c r="D1735" s="319"/>
    </row>
    <row r="1736" spans="3:7">
      <c r="C1736" s="319"/>
      <c r="D1736" s="319"/>
      <c r="G1736" s="320"/>
    </row>
    <row r="1737" spans="3:7">
      <c r="C1737" s="319"/>
      <c r="D1737" s="319"/>
      <c r="G1737" s="320"/>
    </row>
    <row r="1738" spans="3:7">
      <c r="C1738" s="319"/>
      <c r="D1738" s="319"/>
      <c r="G1738" s="320"/>
    </row>
    <row r="1739" spans="3:7">
      <c r="C1739" s="319"/>
      <c r="D1739" s="319"/>
      <c r="G1739" s="320"/>
    </row>
    <row r="1740" spans="3:4">
      <c r="C1740" s="319"/>
      <c r="D1740" s="319"/>
    </row>
    <row r="1741" spans="3:7">
      <c r="C1741" s="319"/>
      <c r="D1741" s="319"/>
      <c r="G1741" s="320"/>
    </row>
    <row r="1742" spans="3:4">
      <c r="C1742" s="319"/>
      <c r="D1742" s="319"/>
    </row>
    <row r="1743" spans="3:7">
      <c r="C1743" s="319"/>
      <c r="D1743" s="319"/>
      <c r="G1743" s="320"/>
    </row>
    <row r="1744" spans="3:4">
      <c r="C1744" s="319"/>
      <c r="D1744" s="319"/>
    </row>
    <row r="1745" spans="3:4">
      <c r="C1745" s="319"/>
      <c r="D1745" s="319"/>
    </row>
    <row r="1746" spans="3:7">
      <c r="C1746" s="319"/>
      <c r="D1746" s="319"/>
      <c r="G1746" s="320"/>
    </row>
    <row r="1747" spans="3:7">
      <c r="C1747" s="319"/>
      <c r="D1747" s="319"/>
      <c r="G1747" s="320"/>
    </row>
    <row r="1748" spans="3:7">
      <c r="C1748" s="319"/>
      <c r="D1748" s="319"/>
      <c r="G1748" s="320"/>
    </row>
    <row r="1749" spans="3:4">
      <c r="C1749" s="319"/>
      <c r="D1749" s="319"/>
    </row>
    <row r="1750" spans="3:7">
      <c r="C1750" s="319"/>
      <c r="D1750" s="319"/>
      <c r="G1750" s="320"/>
    </row>
    <row r="1751" spans="3:7">
      <c r="C1751" s="319"/>
      <c r="D1751" s="319"/>
      <c r="G1751" s="320"/>
    </row>
    <row r="1752" spans="3:7">
      <c r="C1752" s="319"/>
      <c r="D1752" s="319"/>
      <c r="G1752" s="320"/>
    </row>
    <row r="1753" spans="3:7">
      <c r="C1753" s="319"/>
      <c r="D1753" s="319"/>
      <c r="G1753" s="320"/>
    </row>
    <row r="1754" spans="3:7">
      <c r="C1754" s="319"/>
      <c r="D1754" s="319"/>
      <c r="G1754" s="320"/>
    </row>
    <row r="1755" spans="3:7">
      <c r="C1755" s="319"/>
      <c r="D1755" s="319"/>
      <c r="G1755" s="320"/>
    </row>
    <row r="1756" spans="3:7">
      <c r="C1756" s="319"/>
      <c r="D1756" s="319"/>
      <c r="G1756" s="320"/>
    </row>
    <row r="1757" spans="3:7">
      <c r="C1757" s="319"/>
      <c r="D1757" s="319"/>
      <c r="G1757" s="320"/>
    </row>
    <row r="1758" spans="3:4">
      <c r="C1758" s="319"/>
      <c r="D1758" s="319"/>
    </row>
    <row r="1759" spans="3:7">
      <c r="C1759" s="319"/>
      <c r="D1759" s="319"/>
      <c r="G1759" s="320"/>
    </row>
    <row r="1760" spans="3:7">
      <c r="C1760" s="319"/>
      <c r="D1760" s="319"/>
      <c r="G1760" s="320"/>
    </row>
    <row r="1761" spans="3:4">
      <c r="C1761" s="319"/>
      <c r="D1761" s="319"/>
    </row>
    <row r="1762" spans="3:7">
      <c r="C1762" s="319"/>
      <c r="D1762" s="319"/>
      <c r="G1762" s="320"/>
    </row>
    <row r="1763" spans="3:7">
      <c r="C1763" s="319"/>
      <c r="D1763" s="319"/>
      <c r="G1763" s="320"/>
    </row>
    <row r="1764" spans="3:4">
      <c r="C1764" s="319"/>
      <c r="D1764" s="319"/>
    </row>
    <row r="1765" spans="3:7">
      <c r="C1765" s="319"/>
      <c r="D1765" s="319"/>
      <c r="G1765" s="320"/>
    </row>
    <row r="1766" spans="3:7">
      <c r="C1766" s="319"/>
      <c r="D1766" s="319"/>
      <c r="G1766" s="320"/>
    </row>
    <row r="1767" spans="3:7">
      <c r="C1767" s="319"/>
      <c r="D1767" s="319"/>
      <c r="G1767" s="320"/>
    </row>
    <row r="1768" spans="3:7">
      <c r="C1768" s="319"/>
      <c r="D1768" s="319"/>
      <c r="G1768" s="320"/>
    </row>
    <row r="1769" spans="3:7">
      <c r="C1769" s="319"/>
      <c r="D1769" s="319"/>
      <c r="G1769" s="320"/>
    </row>
    <row r="1770" spans="3:4">
      <c r="C1770" s="319"/>
      <c r="D1770" s="319"/>
    </row>
    <row r="1771" spans="3:4">
      <c r="C1771" s="319"/>
      <c r="D1771" s="319"/>
    </row>
    <row r="1772" spans="3:7">
      <c r="C1772" s="319"/>
      <c r="D1772" s="319"/>
      <c r="G1772" s="320"/>
    </row>
    <row r="1773" spans="3:7">
      <c r="C1773" s="319"/>
      <c r="D1773" s="319"/>
      <c r="G1773" s="320"/>
    </row>
    <row r="1774" spans="3:7">
      <c r="C1774" s="319"/>
      <c r="D1774" s="319"/>
      <c r="G1774" s="320"/>
    </row>
    <row r="1775" spans="3:7">
      <c r="C1775" s="319"/>
      <c r="D1775" s="319"/>
      <c r="G1775" s="320"/>
    </row>
    <row r="1776" spans="3:4">
      <c r="C1776" s="319"/>
      <c r="D1776" s="319"/>
    </row>
    <row r="1777" spans="3:7">
      <c r="C1777" s="319"/>
      <c r="D1777" s="319"/>
      <c r="G1777" s="320"/>
    </row>
    <row r="1778" spans="3:7">
      <c r="C1778" s="319"/>
      <c r="D1778" s="319"/>
      <c r="G1778" s="320"/>
    </row>
    <row r="1779" spans="3:7">
      <c r="C1779" s="319"/>
      <c r="D1779" s="319"/>
      <c r="G1779" s="320"/>
    </row>
    <row r="1780" spans="3:7">
      <c r="C1780" s="319"/>
      <c r="D1780" s="319"/>
      <c r="G1780" s="320"/>
    </row>
    <row r="1781" spans="3:7">
      <c r="C1781" s="319"/>
      <c r="D1781" s="319"/>
      <c r="G1781" s="320"/>
    </row>
    <row r="1782" spans="3:7">
      <c r="C1782" s="319"/>
      <c r="D1782" s="319"/>
      <c r="G1782" s="320"/>
    </row>
    <row r="1783" spans="3:4">
      <c r="C1783" s="319"/>
      <c r="D1783" s="319"/>
    </row>
    <row r="1784" spans="3:4">
      <c r="C1784" s="319"/>
      <c r="D1784" s="319"/>
    </row>
    <row r="1785" spans="3:7">
      <c r="C1785" s="319"/>
      <c r="D1785" s="319"/>
      <c r="G1785" s="320"/>
    </row>
    <row r="1786" spans="3:7">
      <c r="C1786" s="319"/>
      <c r="D1786" s="319"/>
      <c r="G1786" s="320"/>
    </row>
    <row r="1787" spans="3:7">
      <c r="C1787" s="319"/>
      <c r="D1787" s="319"/>
      <c r="G1787" s="320"/>
    </row>
    <row r="1788" spans="3:7">
      <c r="C1788" s="319"/>
      <c r="D1788" s="319"/>
      <c r="G1788" s="320"/>
    </row>
    <row r="1789" spans="3:7">
      <c r="C1789" s="319"/>
      <c r="D1789" s="319"/>
      <c r="G1789" s="320"/>
    </row>
    <row r="1790" spans="3:7">
      <c r="C1790" s="319"/>
      <c r="D1790" s="319"/>
      <c r="G1790" s="320"/>
    </row>
    <row r="1791" spans="3:4">
      <c r="C1791" s="319"/>
      <c r="D1791" s="319"/>
    </row>
    <row r="1792" spans="3:7">
      <c r="C1792" s="319"/>
      <c r="D1792" s="319"/>
      <c r="G1792" s="320"/>
    </row>
    <row r="1793" spans="3:7">
      <c r="C1793" s="319"/>
      <c r="D1793" s="319"/>
      <c r="G1793" s="320"/>
    </row>
    <row r="1794" spans="3:4">
      <c r="C1794" s="319"/>
      <c r="D1794" s="319"/>
    </row>
    <row r="1795" spans="3:7">
      <c r="C1795" s="319"/>
      <c r="D1795" s="319"/>
      <c r="G1795" s="320"/>
    </row>
    <row r="1796" spans="3:7">
      <c r="C1796" s="319"/>
      <c r="D1796" s="319"/>
      <c r="G1796" s="320"/>
    </row>
    <row r="1797" spans="3:4">
      <c r="C1797" s="319"/>
      <c r="D1797" s="319"/>
    </row>
    <row r="1798" spans="3:7">
      <c r="C1798" s="319"/>
      <c r="D1798" s="319"/>
      <c r="G1798" s="320"/>
    </row>
    <row r="1799" spans="3:7">
      <c r="C1799" s="319"/>
      <c r="D1799" s="319"/>
      <c r="G1799" s="320"/>
    </row>
    <row r="1800" spans="3:7">
      <c r="C1800" s="319"/>
      <c r="D1800" s="319"/>
      <c r="G1800" s="320"/>
    </row>
    <row r="1801" spans="3:7">
      <c r="C1801" s="319"/>
      <c r="D1801" s="319"/>
      <c r="G1801" s="320"/>
    </row>
    <row r="1802" spans="3:7">
      <c r="C1802" s="319"/>
      <c r="D1802" s="319"/>
      <c r="G1802" s="320"/>
    </row>
    <row r="1803" spans="3:7">
      <c r="C1803" s="319"/>
      <c r="D1803" s="319"/>
      <c r="G1803" s="320"/>
    </row>
    <row r="1804" spans="3:7">
      <c r="C1804" s="319"/>
      <c r="D1804" s="319"/>
      <c r="G1804" s="320"/>
    </row>
    <row r="1805" spans="3:7">
      <c r="C1805" s="319"/>
      <c r="D1805" s="319"/>
      <c r="G1805" s="320"/>
    </row>
    <row r="1806" spans="3:7">
      <c r="C1806" s="319"/>
      <c r="D1806" s="319"/>
      <c r="G1806" s="320"/>
    </row>
    <row r="1807" spans="3:7">
      <c r="C1807" s="319"/>
      <c r="D1807" s="319"/>
      <c r="G1807" s="320"/>
    </row>
    <row r="1808" spans="3:7">
      <c r="C1808" s="319"/>
      <c r="D1808" s="319"/>
      <c r="G1808" s="320"/>
    </row>
    <row r="1809" spans="3:4">
      <c r="C1809" s="319"/>
      <c r="D1809" s="319"/>
    </row>
    <row r="1810" spans="3:4">
      <c r="C1810" s="319"/>
      <c r="D1810" s="319"/>
    </row>
    <row r="1811" spans="3:4">
      <c r="C1811" s="319"/>
      <c r="D1811" s="319"/>
    </row>
    <row r="1812" spans="3:4">
      <c r="C1812" s="319"/>
      <c r="D1812" s="319"/>
    </row>
    <row r="1813" spans="3:7">
      <c r="C1813" s="319"/>
      <c r="D1813" s="319"/>
      <c r="G1813" s="320"/>
    </row>
    <row r="1814" spans="3:7">
      <c r="C1814" s="319"/>
      <c r="D1814" s="319"/>
      <c r="G1814" s="320"/>
    </row>
    <row r="1815" spans="3:4">
      <c r="C1815" s="319"/>
      <c r="D1815" s="319"/>
    </row>
    <row r="1816" spans="3:7">
      <c r="C1816" s="319"/>
      <c r="D1816" s="319"/>
      <c r="G1816" s="320"/>
    </row>
    <row r="1817" spans="3:7">
      <c r="C1817" s="319"/>
      <c r="D1817" s="319"/>
      <c r="G1817" s="320"/>
    </row>
    <row r="1818" spans="3:7">
      <c r="C1818" s="319"/>
      <c r="D1818" s="319"/>
      <c r="G1818" s="320"/>
    </row>
    <row r="1819" spans="3:7">
      <c r="C1819" s="319"/>
      <c r="D1819" s="319"/>
      <c r="G1819" s="320"/>
    </row>
    <row r="1820" spans="3:7">
      <c r="C1820" s="319"/>
      <c r="D1820" s="319"/>
      <c r="G1820" s="320"/>
    </row>
    <row r="1821" spans="3:4">
      <c r="C1821" s="319"/>
      <c r="D1821" s="319"/>
    </row>
    <row r="1822" spans="3:7">
      <c r="C1822" s="319"/>
      <c r="D1822" s="319"/>
      <c r="G1822" s="320"/>
    </row>
    <row r="1823" spans="3:7">
      <c r="C1823" s="319"/>
      <c r="D1823" s="319"/>
      <c r="G1823" s="320"/>
    </row>
    <row r="1824" spans="3:7">
      <c r="C1824" s="319"/>
      <c r="D1824" s="319"/>
      <c r="G1824" s="320"/>
    </row>
    <row r="1825" spans="3:7">
      <c r="C1825" s="319"/>
      <c r="D1825" s="319"/>
      <c r="G1825" s="320"/>
    </row>
    <row r="1826" spans="3:4">
      <c r="C1826" s="319"/>
      <c r="D1826" s="319"/>
    </row>
    <row r="1827" spans="3:7">
      <c r="C1827" s="319"/>
      <c r="D1827" s="319"/>
      <c r="G1827" s="320"/>
    </row>
    <row r="1828" spans="3:7">
      <c r="C1828" s="319"/>
      <c r="D1828" s="319"/>
      <c r="G1828" s="320"/>
    </row>
    <row r="1829" spans="3:7">
      <c r="C1829" s="319"/>
      <c r="D1829" s="319"/>
      <c r="G1829" s="320"/>
    </row>
    <row r="1830" spans="3:7">
      <c r="C1830" s="319"/>
      <c r="D1830" s="319"/>
      <c r="G1830" s="320"/>
    </row>
    <row r="1831" spans="3:7">
      <c r="C1831" s="319"/>
      <c r="D1831" s="319"/>
      <c r="G1831" s="320"/>
    </row>
    <row r="1832" spans="3:7">
      <c r="C1832" s="319"/>
      <c r="D1832" s="319"/>
      <c r="G1832" s="320"/>
    </row>
    <row r="1833" spans="3:7">
      <c r="C1833" s="319"/>
      <c r="D1833" s="319"/>
      <c r="G1833" s="320"/>
    </row>
    <row r="1834" spans="3:7">
      <c r="C1834" s="319"/>
      <c r="D1834" s="319"/>
      <c r="G1834" s="320"/>
    </row>
    <row r="1835" spans="3:7">
      <c r="C1835" s="319"/>
      <c r="D1835" s="319"/>
      <c r="G1835" s="320"/>
    </row>
    <row r="1836" spans="3:4">
      <c r="C1836" s="319"/>
      <c r="D1836" s="319"/>
    </row>
    <row r="1837" spans="3:7">
      <c r="C1837" s="319"/>
      <c r="D1837" s="319"/>
      <c r="G1837" s="320"/>
    </row>
    <row r="1838" spans="3:7">
      <c r="C1838" s="319"/>
      <c r="D1838" s="319"/>
      <c r="G1838" s="320"/>
    </row>
    <row r="1839" spans="3:7">
      <c r="C1839" s="319"/>
      <c r="D1839" s="319"/>
      <c r="G1839" s="320"/>
    </row>
    <row r="1840" spans="3:7">
      <c r="C1840" s="319"/>
      <c r="D1840" s="319"/>
      <c r="G1840" s="320"/>
    </row>
    <row r="1841" spans="3:7">
      <c r="C1841" s="319"/>
      <c r="D1841" s="319"/>
      <c r="G1841" s="320"/>
    </row>
    <row r="1842" spans="3:7">
      <c r="C1842" s="319"/>
      <c r="D1842" s="319"/>
      <c r="G1842" s="320"/>
    </row>
    <row r="1843" spans="3:7">
      <c r="C1843" s="319"/>
      <c r="D1843" s="319"/>
      <c r="G1843" s="320"/>
    </row>
    <row r="1844" spans="3:7">
      <c r="C1844" s="319"/>
      <c r="D1844" s="319"/>
      <c r="G1844" s="320"/>
    </row>
    <row r="1845" spans="3:7">
      <c r="C1845" s="319"/>
      <c r="D1845" s="319"/>
      <c r="G1845" s="320"/>
    </row>
    <row r="1846" spans="3:7">
      <c r="C1846" s="319"/>
      <c r="D1846" s="319"/>
      <c r="G1846" s="320"/>
    </row>
    <row r="1847" spans="3:7">
      <c r="C1847" s="319"/>
      <c r="D1847" s="319"/>
      <c r="G1847" s="320"/>
    </row>
    <row r="1848" spans="3:7">
      <c r="C1848" s="319"/>
      <c r="D1848" s="319"/>
      <c r="G1848" s="320"/>
    </row>
    <row r="1849" spans="3:4">
      <c r="C1849" s="319"/>
      <c r="D1849" s="319"/>
    </row>
    <row r="1850" spans="3:7">
      <c r="C1850" s="319"/>
      <c r="D1850" s="319"/>
      <c r="G1850" s="320"/>
    </row>
    <row r="1851" spans="3:7">
      <c r="C1851" s="319"/>
      <c r="D1851" s="319"/>
      <c r="G1851" s="320"/>
    </row>
    <row r="1852" spans="3:4">
      <c r="C1852" s="319"/>
      <c r="D1852" s="319"/>
    </row>
    <row r="1853" spans="3:7">
      <c r="C1853" s="319"/>
      <c r="D1853" s="319"/>
      <c r="G1853" s="320"/>
    </row>
    <row r="1854" spans="3:7">
      <c r="C1854" s="319"/>
      <c r="D1854" s="319"/>
      <c r="G1854" s="320"/>
    </row>
    <row r="1855" spans="3:4">
      <c r="C1855" s="319"/>
      <c r="D1855" s="319"/>
    </row>
    <row r="1856" spans="3:4">
      <c r="C1856" s="319"/>
      <c r="D1856" s="319"/>
    </row>
    <row r="1857" spans="3:7">
      <c r="C1857" s="319"/>
      <c r="D1857" s="319"/>
      <c r="G1857" s="320"/>
    </row>
    <row r="1858" spans="3:7">
      <c r="C1858" s="319"/>
      <c r="D1858" s="319"/>
      <c r="G1858" s="320"/>
    </row>
    <row r="1859" spans="3:7">
      <c r="C1859" s="319"/>
      <c r="D1859" s="319"/>
      <c r="G1859" s="320"/>
    </row>
    <row r="1860" spans="3:4">
      <c r="C1860" s="319"/>
      <c r="D1860" s="319"/>
    </row>
    <row r="1861" spans="3:4">
      <c r="C1861" s="319"/>
      <c r="D1861" s="319"/>
    </row>
    <row r="1862" spans="3:4">
      <c r="C1862" s="319"/>
      <c r="D1862" s="319"/>
    </row>
    <row r="1863" spans="3:7">
      <c r="C1863" s="319"/>
      <c r="D1863" s="319"/>
      <c r="G1863" s="320"/>
    </row>
    <row r="1864" spans="3:7">
      <c r="C1864" s="319"/>
      <c r="D1864" s="319"/>
      <c r="G1864" s="320"/>
    </row>
    <row r="1865" spans="3:7">
      <c r="C1865" s="319"/>
      <c r="D1865" s="319"/>
      <c r="G1865" s="320"/>
    </row>
    <row r="1866" spans="3:7">
      <c r="C1866" s="319"/>
      <c r="D1866" s="319"/>
      <c r="G1866" s="320"/>
    </row>
    <row r="1867" spans="3:4">
      <c r="C1867" s="319"/>
      <c r="D1867" s="319"/>
    </row>
    <row r="1868" spans="3:7">
      <c r="C1868" s="319"/>
      <c r="D1868" s="319"/>
      <c r="G1868" s="320"/>
    </row>
    <row r="1869" spans="3:4">
      <c r="C1869" s="319"/>
      <c r="D1869" s="319"/>
    </row>
    <row r="1870" spans="3:7">
      <c r="C1870" s="319"/>
      <c r="D1870" s="319"/>
      <c r="G1870" s="320"/>
    </row>
    <row r="1871" spans="3:7">
      <c r="C1871" s="319"/>
      <c r="D1871" s="319"/>
      <c r="G1871" s="320"/>
    </row>
    <row r="1872" spans="3:7">
      <c r="C1872" s="319"/>
      <c r="D1872" s="319"/>
      <c r="G1872" s="320"/>
    </row>
    <row r="1873" spans="3:7">
      <c r="C1873" s="319"/>
      <c r="D1873" s="319"/>
      <c r="G1873" s="320"/>
    </row>
    <row r="1874" spans="3:4">
      <c r="C1874" s="319"/>
      <c r="D1874" s="319"/>
    </row>
    <row r="1875" spans="3:7">
      <c r="C1875" s="319"/>
      <c r="D1875" s="319"/>
      <c r="G1875" s="320"/>
    </row>
    <row r="1876" spans="3:7">
      <c r="C1876" s="319"/>
      <c r="D1876" s="319"/>
      <c r="G1876" s="320"/>
    </row>
    <row r="1877" spans="3:4">
      <c r="C1877" s="319"/>
      <c r="D1877" s="319"/>
    </row>
    <row r="1878" spans="3:7">
      <c r="C1878" s="319"/>
      <c r="D1878" s="319"/>
      <c r="G1878" s="320"/>
    </row>
    <row r="1879" spans="3:7">
      <c r="C1879" s="319"/>
      <c r="D1879" s="319"/>
      <c r="G1879" s="320"/>
    </row>
    <row r="1880" spans="3:7">
      <c r="C1880" s="319"/>
      <c r="D1880" s="319"/>
      <c r="G1880" s="320"/>
    </row>
    <row r="1881" spans="3:7">
      <c r="C1881" s="319"/>
      <c r="D1881" s="319"/>
      <c r="G1881" s="320"/>
    </row>
    <row r="1882" spans="3:7">
      <c r="C1882" s="319"/>
      <c r="D1882" s="319"/>
      <c r="G1882" s="320"/>
    </row>
    <row r="1883" spans="3:7">
      <c r="C1883" s="319"/>
      <c r="D1883" s="319"/>
      <c r="G1883" s="320"/>
    </row>
    <row r="1884" spans="3:4">
      <c r="C1884" s="319"/>
      <c r="D1884" s="319"/>
    </row>
    <row r="1885" spans="3:7">
      <c r="C1885" s="319"/>
      <c r="D1885" s="319"/>
      <c r="G1885" s="320"/>
    </row>
    <row r="1886" spans="3:7">
      <c r="C1886" s="319"/>
      <c r="D1886" s="319"/>
      <c r="G1886" s="320"/>
    </row>
    <row r="1887" spans="3:7">
      <c r="C1887" s="319"/>
      <c r="D1887" s="319"/>
      <c r="G1887" s="320"/>
    </row>
    <row r="1888" spans="3:4">
      <c r="C1888" s="319"/>
      <c r="D1888" s="319"/>
    </row>
    <row r="1889" spans="3:7">
      <c r="C1889" s="319"/>
      <c r="D1889" s="319"/>
      <c r="G1889" s="320"/>
    </row>
    <row r="1890" spans="3:4">
      <c r="C1890" s="319"/>
      <c r="D1890" s="319"/>
    </row>
    <row r="1891" spans="3:7">
      <c r="C1891" s="319"/>
      <c r="D1891" s="319"/>
      <c r="G1891" s="320"/>
    </row>
    <row r="1892" spans="3:7">
      <c r="C1892" s="319"/>
      <c r="D1892" s="319"/>
      <c r="G1892" s="320"/>
    </row>
    <row r="1893" spans="3:7">
      <c r="C1893" s="319"/>
      <c r="D1893" s="319"/>
      <c r="G1893" s="320"/>
    </row>
    <row r="1894" spans="3:7">
      <c r="C1894" s="319"/>
      <c r="D1894" s="319"/>
      <c r="G1894" s="320"/>
    </row>
    <row r="1895" spans="3:4">
      <c r="C1895" s="319"/>
      <c r="D1895" s="319"/>
    </row>
    <row r="1896" spans="3:7">
      <c r="C1896" s="319"/>
      <c r="D1896" s="319"/>
      <c r="G1896" s="320"/>
    </row>
    <row r="1897" spans="3:7">
      <c r="C1897" s="319"/>
      <c r="D1897" s="319"/>
      <c r="G1897" s="320"/>
    </row>
    <row r="1898" spans="3:7">
      <c r="C1898" s="319"/>
      <c r="D1898" s="319"/>
      <c r="G1898" s="320"/>
    </row>
    <row r="1899" spans="3:7">
      <c r="C1899" s="319"/>
      <c r="D1899" s="319"/>
      <c r="G1899" s="320"/>
    </row>
    <row r="1900" spans="3:7">
      <c r="C1900" s="319"/>
      <c r="D1900" s="319"/>
      <c r="G1900" s="320"/>
    </row>
    <row r="1901" spans="3:4">
      <c r="C1901" s="319"/>
      <c r="D1901" s="319"/>
    </row>
    <row r="1902" spans="3:4">
      <c r="C1902" s="319"/>
      <c r="D1902" s="319"/>
    </row>
    <row r="1903" spans="3:7">
      <c r="C1903" s="319"/>
      <c r="D1903" s="319"/>
      <c r="G1903" s="320"/>
    </row>
    <row r="1904" spans="3:7">
      <c r="C1904" s="319"/>
      <c r="D1904" s="319"/>
      <c r="G1904" s="320"/>
    </row>
    <row r="1905" spans="3:7">
      <c r="C1905" s="319"/>
      <c r="D1905" s="319"/>
      <c r="G1905" s="320"/>
    </row>
    <row r="1906" spans="3:7">
      <c r="C1906" s="319"/>
      <c r="D1906" s="319"/>
      <c r="G1906" s="320"/>
    </row>
    <row r="1907" spans="3:7">
      <c r="C1907" s="319"/>
      <c r="D1907" s="319"/>
      <c r="G1907" s="320"/>
    </row>
    <row r="1908" spans="3:7">
      <c r="C1908" s="319"/>
      <c r="D1908" s="319"/>
      <c r="G1908" s="320"/>
    </row>
    <row r="1909" spans="3:7">
      <c r="C1909" s="319"/>
      <c r="D1909" s="319"/>
      <c r="G1909" s="320"/>
    </row>
    <row r="1910" spans="3:4">
      <c r="C1910" s="319"/>
      <c r="D1910" s="319"/>
    </row>
    <row r="1911" spans="3:7">
      <c r="C1911" s="319"/>
      <c r="D1911" s="319"/>
      <c r="G1911" s="320"/>
    </row>
    <row r="1912" spans="3:7">
      <c r="C1912" s="319"/>
      <c r="D1912" s="319"/>
      <c r="G1912" s="320"/>
    </row>
    <row r="1913" spans="3:7">
      <c r="C1913" s="319"/>
      <c r="D1913" s="319"/>
      <c r="G1913" s="320"/>
    </row>
    <row r="1914" spans="3:7">
      <c r="C1914" s="319"/>
      <c r="D1914" s="319"/>
      <c r="G1914" s="320"/>
    </row>
    <row r="1915" spans="3:7">
      <c r="C1915" s="319"/>
      <c r="D1915" s="319"/>
      <c r="G1915" s="320"/>
    </row>
    <row r="1916" spans="3:7">
      <c r="C1916" s="319"/>
      <c r="D1916" s="319"/>
      <c r="G1916" s="320"/>
    </row>
    <row r="1917" spans="3:7">
      <c r="C1917" s="319"/>
      <c r="D1917" s="319"/>
      <c r="G1917" s="320"/>
    </row>
    <row r="1918" spans="3:4">
      <c r="C1918" s="319"/>
      <c r="D1918" s="319"/>
    </row>
    <row r="1919" spans="3:7">
      <c r="C1919" s="319"/>
      <c r="D1919" s="319"/>
      <c r="G1919" s="320"/>
    </row>
    <row r="1920" spans="3:7">
      <c r="C1920" s="319"/>
      <c r="D1920" s="319"/>
      <c r="G1920" s="320"/>
    </row>
    <row r="1921" spans="3:7">
      <c r="C1921" s="319"/>
      <c r="D1921" s="319"/>
      <c r="G1921" s="320"/>
    </row>
    <row r="1922" spans="3:4">
      <c r="C1922" s="319"/>
      <c r="D1922" s="319"/>
    </row>
    <row r="1923" spans="3:7">
      <c r="C1923" s="319"/>
      <c r="D1923" s="319"/>
      <c r="G1923" s="320"/>
    </row>
    <row r="1924" spans="3:7">
      <c r="C1924" s="319"/>
      <c r="D1924" s="319"/>
      <c r="G1924" s="320"/>
    </row>
    <row r="1925" spans="3:7">
      <c r="C1925" s="319"/>
      <c r="D1925" s="319"/>
      <c r="G1925" s="320"/>
    </row>
    <row r="1926" spans="3:7">
      <c r="C1926" s="319"/>
      <c r="D1926" s="319"/>
      <c r="G1926" s="320"/>
    </row>
    <row r="1927" spans="3:4">
      <c r="C1927" s="319"/>
      <c r="D1927" s="319"/>
    </row>
    <row r="1928" spans="3:4">
      <c r="C1928" s="319"/>
      <c r="D1928" s="319"/>
    </row>
    <row r="1929" spans="3:7">
      <c r="C1929" s="319"/>
      <c r="D1929" s="319"/>
      <c r="G1929" s="320"/>
    </row>
    <row r="1930" spans="3:7">
      <c r="C1930" s="319"/>
      <c r="D1930" s="319"/>
      <c r="G1930" s="320"/>
    </row>
    <row r="1931" spans="3:7">
      <c r="C1931" s="319"/>
      <c r="D1931" s="319"/>
      <c r="G1931" s="320"/>
    </row>
    <row r="1932" spans="3:7">
      <c r="C1932" s="319"/>
      <c r="D1932" s="319"/>
      <c r="G1932" s="320"/>
    </row>
    <row r="1933" spans="3:7">
      <c r="C1933" s="319"/>
      <c r="D1933" s="319"/>
      <c r="G1933" s="320"/>
    </row>
    <row r="1934" spans="3:7">
      <c r="C1934" s="319"/>
      <c r="D1934" s="319"/>
      <c r="G1934" s="320"/>
    </row>
    <row r="1935" spans="3:7">
      <c r="C1935" s="319"/>
      <c r="D1935" s="319"/>
      <c r="G1935" s="320"/>
    </row>
    <row r="1936" spans="3:7">
      <c r="C1936" s="319"/>
      <c r="D1936" s="319"/>
      <c r="G1936" s="320"/>
    </row>
    <row r="1937" spans="3:7">
      <c r="C1937" s="319"/>
      <c r="D1937" s="319"/>
      <c r="G1937" s="320"/>
    </row>
    <row r="1938" spans="3:7">
      <c r="C1938" s="319"/>
      <c r="D1938" s="319"/>
      <c r="G1938" s="320"/>
    </row>
    <row r="1939" spans="3:7">
      <c r="C1939" s="319"/>
      <c r="D1939" s="319"/>
      <c r="G1939" s="320"/>
    </row>
    <row r="1940" spans="3:7">
      <c r="C1940" s="319"/>
      <c r="D1940" s="319"/>
      <c r="G1940" s="320"/>
    </row>
    <row r="1941" spans="3:7">
      <c r="C1941" s="319"/>
      <c r="D1941" s="319"/>
      <c r="G1941" s="320"/>
    </row>
    <row r="1942" spans="3:4">
      <c r="C1942" s="319"/>
      <c r="D1942" s="319"/>
    </row>
    <row r="1943" spans="3:4">
      <c r="C1943" s="319"/>
      <c r="D1943" s="319"/>
    </row>
    <row r="1944" spans="3:4">
      <c r="C1944" s="319"/>
      <c r="D1944" s="319"/>
    </row>
    <row r="1945" spans="3:7">
      <c r="C1945" s="319"/>
      <c r="D1945" s="319"/>
      <c r="G1945" s="320"/>
    </row>
    <row r="1946" spans="3:4">
      <c r="C1946" s="319"/>
      <c r="D1946" s="319"/>
    </row>
    <row r="1947" spans="3:7">
      <c r="C1947" s="319"/>
      <c r="D1947" s="319"/>
      <c r="G1947" s="320"/>
    </row>
    <row r="1948" spans="3:7">
      <c r="C1948" s="319"/>
      <c r="D1948" s="319"/>
      <c r="G1948" s="320"/>
    </row>
    <row r="1949" spans="3:7">
      <c r="C1949" s="319"/>
      <c r="D1949" s="319"/>
      <c r="G1949" s="320"/>
    </row>
    <row r="1950" spans="3:7">
      <c r="C1950" s="319"/>
      <c r="D1950" s="319"/>
      <c r="G1950" s="320"/>
    </row>
    <row r="1951" spans="3:7">
      <c r="C1951" s="319"/>
      <c r="D1951" s="319"/>
      <c r="G1951" s="320"/>
    </row>
    <row r="1952" spans="3:7">
      <c r="C1952" s="319"/>
      <c r="D1952" s="319"/>
      <c r="G1952" s="320"/>
    </row>
    <row r="1953" spans="3:7">
      <c r="C1953" s="319"/>
      <c r="D1953" s="319"/>
      <c r="G1953" s="320"/>
    </row>
    <row r="1954" spans="3:4">
      <c r="C1954" s="319"/>
      <c r="D1954" s="319"/>
    </row>
    <row r="1955" spans="3:7">
      <c r="C1955" s="319"/>
      <c r="D1955" s="319"/>
      <c r="G1955" s="320"/>
    </row>
    <row r="1956" spans="3:7">
      <c r="C1956" s="319"/>
      <c r="D1956" s="319"/>
      <c r="G1956" s="320"/>
    </row>
    <row r="1957" spans="3:7">
      <c r="C1957" s="319"/>
      <c r="D1957" s="319"/>
      <c r="G1957" s="320"/>
    </row>
    <row r="1958" spans="3:4">
      <c r="C1958" s="319"/>
      <c r="D1958" s="319"/>
    </row>
    <row r="1959" spans="3:7">
      <c r="C1959" s="319"/>
      <c r="D1959" s="319"/>
      <c r="G1959" s="320"/>
    </row>
    <row r="1960" spans="3:7">
      <c r="C1960" s="319"/>
      <c r="D1960" s="319"/>
      <c r="G1960" s="320"/>
    </row>
    <row r="1961" spans="3:7">
      <c r="C1961" s="319"/>
      <c r="D1961" s="319"/>
      <c r="G1961" s="320"/>
    </row>
    <row r="1962" spans="3:4">
      <c r="C1962" s="319"/>
      <c r="D1962" s="319"/>
    </row>
    <row r="1963" spans="3:7">
      <c r="C1963" s="319"/>
      <c r="D1963" s="319"/>
      <c r="G1963" s="320"/>
    </row>
    <row r="1964" spans="3:4">
      <c r="C1964" s="319"/>
      <c r="D1964" s="319"/>
    </row>
    <row r="1965" spans="3:7">
      <c r="C1965" s="319"/>
      <c r="D1965" s="319"/>
      <c r="G1965" s="320"/>
    </row>
    <row r="1966" spans="3:7">
      <c r="C1966" s="319"/>
      <c r="D1966" s="319"/>
      <c r="G1966" s="320"/>
    </row>
    <row r="1967" spans="3:7">
      <c r="C1967" s="319"/>
      <c r="D1967" s="319"/>
      <c r="G1967" s="320"/>
    </row>
    <row r="1968" spans="3:7">
      <c r="C1968" s="319"/>
      <c r="D1968" s="319"/>
      <c r="G1968" s="320"/>
    </row>
    <row r="1969" spans="3:7">
      <c r="C1969" s="319"/>
      <c r="D1969" s="319"/>
      <c r="G1969" s="320"/>
    </row>
    <row r="1970" spans="3:7">
      <c r="C1970" s="319"/>
      <c r="D1970" s="319"/>
      <c r="G1970" s="320"/>
    </row>
    <row r="1971" spans="3:7">
      <c r="C1971" s="319"/>
      <c r="D1971" s="319"/>
      <c r="G1971" s="320"/>
    </row>
    <row r="1972" spans="3:7">
      <c r="C1972" s="319"/>
      <c r="D1972" s="319"/>
      <c r="G1972" s="320"/>
    </row>
    <row r="1973" spans="3:7">
      <c r="C1973" s="319"/>
      <c r="D1973" s="319"/>
      <c r="G1973" s="320"/>
    </row>
    <row r="1974" spans="3:7">
      <c r="C1974" s="319"/>
      <c r="D1974" s="319"/>
      <c r="G1974" s="320"/>
    </row>
    <row r="1975" spans="3:4">
      <c r="C1975" s="319"/>
      <c r="D1975" s="319"/>
    </row>
    <row r="1976" spans="3:7">
      <c r="C1976" s="319"/>
      <c r="D1976" s="319"/>
      <c r="G1976" s="320"/>
    </row>
    <row r="1977" spans="3:4">
      <c r="C1977" s="319"/>
      <c r="D1977" s="319"/>
    </row>
    <row r="1978" spans="3:4">
      <c r="C1978" s="319"/>
      <c r="D1978" s="319"/>
    </row>
    <row r="1979" spans="3:7">
      <c r="C1979" s="319"/>
      <c r="D1979" s="319"/>
      <c r="G1979" s="320"/>
    </row>
    <row r="1980" spans="3:7">
      <c r="C1980" s="319"/>
      <c r="D1980" s="319"/>
      <c r="G1980" s="320"/>
    </row>
    <row r="1981" spans="3:7">
      <c r="C1981" s="319"/>
      <c r="D1981" s="319"/>
      <c r="G1981" s="320"/>
    </row>
    <row r="1982" spans="3:7">
      <c r="C1982" s="319"/>
      <c r="D1982" s="319"/>
      <c r="G1982" s="320"/>
    </row>
    <row r="1983" spans="3:7">
      <c r="C1983" s="319"/>
      <c r="D1983" s="319"/>
      <c r="G1983" s="320"/>
    </row>
    <row r="1984" spans="3:7">
      <c r="C1984" s="319"/>
      <c r="D1984" s="319"/>
      <c r="G1984" s="320"/>
    </row>
    <row r="1985" spans="3:7">
      <c r="C1985" s="319"/>
      <c r="D1985" s="319"/>
      <c r="G1985" s="320"/>
    </row>
    <row r="1986" spans="3:7">
      <c r="C1986" s="319"/>
      <c r="D1986" s="319"/>
      <c r="G1986" s="320"/>
    </row>
    <row r="1987" spans="3:7">
      <c r="C1987" s="319"/>
      <c r="D1987" s="319"/>
      <c r="G1987" s="320"/>
    </row>
    <row r="1988" spans="3:4">
      <c r="C1988" s="319"/>
      <c r="D1988" s="319"/>
    </row>
    <row r="1989" spans="3:7">
      <c r="C1989" s="319"/>
      <c r="D1989" s="319"/>
      <c r="G1989" s="320"/>
    </row>
    <row r="1990" spans="3:7">
      <c r="C1990" s="319"/>
      <c r="D1990" s="319"/>
      <c r="G1990" s="320"/>
    </row>
    <row r="1991" spans="3:4">
      <c r="C1991" s="319"/>
      <c r="D1991" s="319"/>
    </row>
    <row r="1992" spans="3:7">
      <c r="C1992" s="319"/>
      <c r="D1992" s="319"/>
      <c r="G1992" s="320"/>
    </row>
    <row r="1993" spans="3:7">
      <c r="C1993" s="319"/>
      <c r="D1993" s="319"/>
      <c r="G1993" s="320"/>
    </row>
    <row r="1994" spans="3:7">
      <c r="C1994" s="319"/>
      <c r="D1994" s="319"/>
      <c r="G1994" s="320"/>
    </row>
    <row r="1995" spans="3:4">
      <c r="C1995" s="319"/>
      <c r="D1995" s="319"/>
    </row>
    <row r="1996" spans="3:7">
      <c r="C1996" s="319"/>
      <c r="D1996" s="319"/>
      <c r="G1996" s="320"/>
    </row>
    <row r="1997" spans="3:4">
      <c r="C1997" s="319"/>
      <c r="D1997" s="319"/>
    </row>
    <row r="1998" spans="3:7">
      <c r="C1998" s="319"/>
      <c r="D1998" s="319"/>
      <c r="G1998" s="320"/>
    </row>
    <row r="1999" spans="3:7">
      <c r="C1999" s="319"/>
      <c r="D1999" s="319"/>
      <c r="G1999" s="320"/>
    </row>
    <row r="2000" spans="3:7">
      <c r="C2000" s="319"/>
      <c r="D2000" s="319"/>
      <c r="G2000" s="320"/>
    </row>
    <row r="2001" spans="3:7">
      <c r="C2001" s="319"/>
      <c r="D2001" s="319"/>
      <c r="G2001" s="320"/>
    </row>
    <row r="2002" spans="3:7">
      <c r="C2002" s="319"/>
      <c r="D2002" s="319"/>
      <c r="G2002" s="320"/>
    </row>
    <row r="2003" spans="3:7">
      <c r="C2003" s="319"/>
      <c r="D2003" s="319"/>
      <c r="G2003" s="320"/>
    </row>
    <row r="2004" spans="3:4">
      <c r="C2004" s="319"/>
      <c r="D2004" s="319"/>
    </row>
    <row r="2005" spans="3:4">
      <c r="C2005" s="319"/>
      <c r="D2005" s="319"/>
    </row>
    <row r="2006" spans="3:4">
      <c r="C2006" s="319"/>
      <c r="D2006" s="319"/>
    </row>
    <row r="2007" spans="3:4">
      <c r="C2007" s="319"/>
      <c r="D2007" s="319"/>
    </row>
    <row r="2008" spans="3:4">
      <c r="C2008" s="319"/>
      <c r="D2008" s="319"/>
    </row>
    <row r="2009" spans="3:4">
      <c r="C2009" s="319"/>
      <c r="D2009" s="319"/>
    </row>
    <row r="2010" spans="3:7">
      <c r="C2010" s="319"/>
      <c r="D2010" s="319"/>
      <c r="G2010" s="320"/>
    </row>
    <row r="2011" spans="3:7">
      <c r="C2011" s="319"/>
      <c r="D2011" s="319"/>
      <c r="G2011" s="320"/>
    </row>
    <row r="2012" spans="3:4">
      <c r="C2012" s="319"/>
      <c r="D2012" s="319"/>
    </row>
    <row r="2013" spans="3:7">
      <c r="C2013" s="319"/>
      <c r="D2013" s="319"/>
      <c r="G2013" s="320"/>
    </row>
    <row r="2014" spans="3:7">
      <c r="C2014" s="319"/>
      <c r="D2014" s="319"/>
      <c r="G2014" s="320"/>
    </row>
    <row r="2015" spans="3:7">
      <c r="C2015" s="319"/>
      <c r="D2015" s="319"/>
      <c r="G2015" s="320"/>
    </row>
    <row r="2016" spans="3:7">
      <c r="C2016" s="319"/>
      <c r="D2016" s="319"/>
      <c r="G2016" s="320"/>
    </row>
    <row r="2017" spans="3:7">
      <c r="C2017" s="319"/>
      <c r="D2017" s="319"/>
      <c r="G2017" s="320"/>
    </row>
    <row r="2018" spans="3:7">
      <c r="C2018" s="319"/>
      <c r="D2018" s="319"/>
      <c r="G2018" s="320"/>
    </row>
    <row r="2019" spans="3:4">
      <c r="C2019" s="319"/>
      <c r="D2019" s="319"/>
    </row>
    <row r="2020" spans="3:7">
      <c r="C2020" s="319"/>
      <c r="D2020" s="319"/>
      <c r="G2020" s="320"/>
    </row>
    <row r="2021" spans="3:7">
      <c r="C2021" s="319"/>
      <c r="D2021" s="319"/>
      <c r="G2021" s="320"/>
    </row>
    <row r="2022" spans="3:7">
      <c r="C2022" s="319"/>
      <c r="D2022" s="319"/>
      <c r="G2022" s="320"/>
    </row>
    <row r="2023" spans="3:7">
      <c r="C2023" s="319"/>
      <c r="D2023" s="319"/>
      <c r="G2023" s="320"/>
    </row>
    <row r="2024" spans="3:7">
      <c r="C2024" s="319"/>
      <c r="D2024" s="319"/>
      <c r="G2024" s="320"/>
    </row>
    <row r="2025" spans="3:4">
      <c r="C2025" s="319"/>
      <c r="D2025" s="319"/>
    </row>
    <row r="2026" spans="3:7">
      <c r="C2026" s="319"/>
      <c r="D2026" s="319"/>
      <c r="G2026" s="320"/>
    </row>
    <row r="2027" spans="3:7">
      <c r="C2027" s="319"/>
      <c r="D2027" s="319"/>
      <c r="G2027" s="320"/>
    </row>
    <row r="2028" spans="3:4">
      <c r="C2028" s="319"/>
      <c r="D2028" s="319"/>
    </row>
    <row r="2029" spans="3:7">
      <c r="C2029" s="319"/>
      <c r="D2029" s="319"/>
      <c r="G2029" s="320"/>
    </row>
    <row r="2030" spans="3:4">
      <c r="C2030" s="319"/>
      <c r="D2030" s="319"/>
    </row>
    <row r="2031" spans="3:4">
      <c r="C2031" s="319"/>
      <c r="D2031" s="319"/>
    </row>
    <row r="2032" spans="3:7">
      <c r="C2032" s="319"/>
      <c r="D2032" s="319"/>
      <c r="G2032" s="320"/>
    </row>
    <row r="2033" spans="3:7">
      <c r="C2033" s="319"/>
      <c r="D2033" s="319"/>
      <c r="G2033" s="320"/>
    </row>
    <row r="2034" spans="3:7">
      <c r="C2034" s="319"/>
      <c r="D2034" s="319"/>
      <c r="G2034" s="320"/>
    </row>
    <row r="2035" spans="3:7">
      <c r="C2035" s="319"/>
      <c r="D2035" s="319"/>
      <c r="G2035" s="320"/>
    </row>
    <row r="2036" spans="3:7">
      <c r="C2036" s="319"/>
      <c r="D2036" s="319"/>
      <c r="G2036" s="320"/>
    </row>
    <row r="2037" spans="3:4">
      <c r="C2037" s="319"/>
      <c r="D2037" s="319"/>
    </row>
    <row r="2038" spans="3:7">
      <c r="C2038" s="319"/>
      <c r="D2038" s="319"/>
      <c r="G2038" s="320"/>
    </row>
    <row r="2039" spans="3:7">
      <c r="C2039" s="319"/>
      <c r="D2039" s="319"/>
      <c r="G2039" s="320"/>
    </row>
    <row r="2040" spans="3:7">
      <c r="C2040" s="319"/>
      <c r="D2040" s="319"/>
      <c r="G2040" s="320"/>
    </row>
    <row r="2041" spans="3:7">
      <c r="C2041" s="319"/>
      <c r="D2041" s="319"/>
      <c r="G2041" s="320"/>
    </row>
    <row r="2042" spans="3:7">
      <c r="C2042" s="319"/>
      <c r="D2042" s="319"/>
      <c r="G2042" s="320"/>
    </row>
    <row r="2043" spans="3:4">
      <c r="C2043" s="319"/>
      <c r="D2043" s="319"/>
    </row>
    <row r="2044" spans="3:7">
      <c r="C2044" s="319"/>
      <c r="D2044" s="319"/>
      <c r="G2044" s="320"/>
    </row>
    <row r="2045" spans="3:4">
      <c r="C2045" s="319"/>
      <c r="D2045" s="319"/>
    </row>
    <row r="2046" spans="3:7">
      <c r="C2046" s="319"/>
      <c r="D2046" s="319"/>
      <c r="G2046" s="320"/>
    </row>
    <row r="2047" spans="3:7">
      <c r="C2047" s="319"/>
      <c r="D2047" s="319"/>
      <c r="G2047" s="320"/>
    </row>
    <row r="2048" spans="3:7">
      <c r="C2048" s="319"/>
      <c r="D2048" s="319"/>
      <c r="G2048" s="320"/>
    </row>
    <row r="2049" spans="3:7">
      <c r="C2049" s="319"/>
      <c r="D2049" s="319"/>
      <c r="G2049" s="320"/>
    </row>
    <row r="2050" spans="3:7">
      <c r="C2050" s="319"/>
      <c r="D2050" s="319"/>
      <c r="G2050" s="320"/>
    </row>
    <row r="2051" spans="3:4">
      <c r="C2051" s="319"/>
      <c r="D2051" s="319"/>
    </row>
    <row r="2052" spans="3:7">
      <c r="C2052" s="319"/>
      <c r="D2052" s="319"/>
      <c r="G2052" s="320"/>
    </row>
    <row r="2053" spans="3:7">
      <c r="C2053" s="319"/>
      <c r="D2053" s="319"/>
      <c r="G2053" s="320"/>
    </row>
    <row r="2054" spans="3:4">
      <c r="C2054" s="319"/>
      <c r="D2054" s="319"/>
    </row>
    <row r="2055" spans="3:7">
      <c r="C2055" s="319"/>
      <c r="D2055" s="319"/>
      <c r="G2055" s="320"/>
    </row>
    <row r="2056" spans="3:7">
      <c r="C2056" s="319"/>
      <c r="D2056" s="319"/>
      <c r="G2056" s="320"/>
    </row>
    <row r="2057" spans="3:7">
      <c r="C2057" s="319"/>
      <c r="D2057" s="319"/>
      <c r="G2057" s="320"/>
    </row>
    <row r="2058" spans="3:7">
      <c r="C2058" s="319"/>
      <c r="D2058" s="319"/>
      <c r="G2058" s="320"/>
    </row>
    <row r="2059" spans="3:7">
      <c r="C2059" s="319"/>
      <c r="D2059" s="319"/>
      <c r="G2059" s="320"/>
    </row>
    <row r="2060" spans="3:4">
      <c r="C2060" s="319"/>
      <c r="D2060" s="319"/>
    </row>
    <row r="2061" spans="3:4">
      <c r="C2061" s="319"/>
      <c r="D2061" s="319"/>
    </row>
    <row r="2062" spans="3:7">
      <c r="C2062" s="319"/>
      <c r="D2062" s="319"/>
      <c r="G2062" s="320"/>
    </row>
    <row r="2063" spans="3:7">
      <c r="C2063" s="319"/>
      <c r="D2063" s="319"/>
      <c r="G2063" s="320"/>
    </row>
    <row r="2064" spans="3:7">
      <c r="C2064" s="319"/>
      <c r="D2064" s="319"/>
      <c r="G2064" s="320"/>
    </row>
    <row r="2065" spans="3:7">
      <c r="C2065" s="319"/>
      <c r="D2065" s="319"/>
      <c r="G2065" s="320"/>
    </row>
    <row r="2066" spans="3:7">
      <c r="C2066" s="319"/>
      <c r="D2066" s="319"/>
      <c r="G2066" s="320"/>
    </row>
    <row r="2067" spans="3:4">
      <c r="C2067" s="319"/>
      <c r="D2067" s="319"/>
    </row>
    <row r="2068" spans="3:7">
      <c r="C2068" s="319"/>
      <c r="D2068" s="319"/>
      <c r="G2068" s="320"/>
    </row>
    <row r="2069" spans="3:7">
      <c r="C2069" s="319"/>
      <c r="D2069" s="319"/>
      <c r="G2069" s="320"/>
    </row>
    <row r="2070" spans="3:4">
      <c r="C2070" s="319"/>
      <c r="D2070" s="319"/>
    </row>
    <row r="2071" spans="3:7">
      <c r="C2071" s="319"/>
      <c r="D2071" s="319"/>
      <c r="G2071" s="320"/>
    </row>
    <row r="2072" spans="3:7">
      <c r="C2072" s="319"/>
      <c r="D2072" s="319"/>
      <c r="G2072" s="320"/>
    </row>
    <row r="2073" spans="3:4">
      <c r="C2073" s="319"/>
      <c r="D2073" s="319"/>
    </row>
    <row r="2074" spans="3:7">
      <c r="C2074" s="319"/>
      <c r="D2074" s="319"/>
      <c r="G2074" s="320"/>
    </row>
    <row r="2075" spans="3:7">
      <c r="C2075" s="319"/>
      <c r="D2075" s="319"/>
      <c r="G2075" s="320"/>
    </row>
    <row r="2076" spans="3:7">
      <c r="C2076" s="319"/>
      <c r="D2076" s="319"/>
      <c r="G2076" s="320"/>
    </row>
    <row r="2077" spans="3:7">
      <c r="C2077" s="319"/>
      <c r="D2077" s="319"/>
      <c r="G2077" s="320"/>
    </row>
    <row r="2078" spans="3:7">
      <c r="C2078" s="319"/>
      <c r="D2078" s="319"/>
      <c r="G2078" s="320"/>
    </row>
    <row r="2079" spans="3:7">
      <c r="C2079" s="319"/>
      <c r="D2079" s="319"/>
      <c r="G2079" s="320"/>
    </row>
    <row r="2080" spans="3:7">
      <c r="C2080" s="319"/>
      <c r="D2080" s="319"/>
      <c r="G2080" s="320"/>
    </row>
    <row r="2081" spans="3:4">
      <c r="C2081" s="319"/>
      <c r="D2081" s="319"/>
    </row>
    <row r="2082" spans="3:7">
      <c r="C2082" s="319"/>
      <c r="D2082" s="319"/>
      <c r="G2082" s="320"/>
    </row>
    <row r="2083" spans="3:4">
      <c r="C2083" s="319"/>
      <c r="D2083" s="319"/>
    </row>
    <row r="2084" spans="3:7">
      <c r="C2084" s="319"/>
      <c r="D2084" s="319"/>
      <c r="G2084" s="320"/>
    </row>
    <row r="2085" spans="3:7">
      <c r="C2085" s="319"/>
      <c r="D2085" s="319"/>
      <c r="G2085" s="320"/>
    </row>
    <row r="2086" spans="3:7">
      <c r="C2086" s="319"/>
      <c r="D2086" s="319"/>
      <c r="G2086" s="320"/>
    </row>
    <row r="2087" spans="3:7">
      <c r="C2087" s="319"/>
      <c r="D2087" s="319"/>
      <c r="G2087" s="320"/>
    </row>
    <row r="2088" spans="3:7">
      <c r="C2088" s="319"/>
      <c r="D2088" s="319"/>
      <c r="G2088" s="320"/>
    </row>
    <row r="2089" spans="3:7">
      <c r="C2089" s="319"/>
      <c r="D2089" s="319"/>
      <c r="G2089" s="320"/>
    </row>
    <row r="2090" spans="3:7">
      <c r="C2090" s="319"/>
      <c r="D2090" s="319"/>
      <c r="G2090" s="320"/>
    </row>
    <row r="2091" spans="3:4">
      <c r="C2091" s="319"/>
      <c r="D2091" s="319"/>
    </row>
    <row r="2092" spans="3:4">
      <c r="C2092" s="319"/>
      <c r="D2092" s="319"/>
    </row>
    <row r="2093" spans="3:7">
      <c r="C2093" s="319"/>
      <c r="D2093" s="319"/>
      <c r="G2093" s="320"/>
    </row>
    <row r="2094" spans="3:4">
      <c r="C2094" s="319"/>
      <c r="D2094" s="319"/>
    </row>
    <row r="2095" spans="3:4">
      <c r="C2095" s="319"/>
      <c r="D2095" s="319"/>
    </row>
    <row r="2096" spans="3:7">
      <c r="C2096" s="319"/>
      <c r="D2096" s="319"/>
      <c r="G2096" s="320"/>
    </row>
    <row r="2097" spans="3:7">
      <c r="C2097" s="319"/>
      <c r="D2097" s="319"/>
      <c r="G2097" s="320"/>
    </row>
    <row r="2098" spans="3:7">
      <c r="C2098" s="319"/>
      <c r="D2098" s="319"/>
      <c r="G2098" s="320"/>
    </row>
    <row r="2099" spans="3:7">
      <c r="C2099" s="319"/>
      <c r="D2099" s="319"/>
      <c r="G2099" s="320"/>
    </row>
    <row r="2100" spans="3:7">
      <c r="C2100" s="319"/>
      <c r="D2100" s="319"/>
      <c r="G2100" s="320"/>
    </row>
    <row r="2101" spans="3:7">
      <c r="C2101" s="319"/>
      <c r="D2101" s="319"/>
      <c r="G2101" s="320"/>
    </row>
    <row r="2102" spans="3:7">
      <c r="C2102" s="319"/>
      <c r="D2102" s="319"/>
      <c r="G2102" s="320"/>
    </row>
    <row r="2103" spans="3:7">
      <c r="C2103" s="319"/>
      <c r="D2103" s="319"/>
      <c r="G2103" s="320"/>
    </row>
    <row r="2104" spans="3:4">
      <c r="C2104" s="319"/>
      <c r="D2104" s="319"/>
    </row>
    <row r="2105" spans="3:7">
      <c r="C2105" s="319"/>
      <c r="D2105" s="319"/>
      <c r="G2105" s="320"/>
    </row>
    <row r="2106" spans="3:7">
      <c r="C2106" s="319"/>
      <c r="D2106" s="319"/>
      <c r="G2106" s="320"/>
    </row>
    <row r="2107" spans="3:7">
      <c r="C2107" s="319"/>
      <c r="D2107" s="319"/>
      <c r="G2107" s="320"/>
    </row>
    <row r="2108" spans="3:7">
      <c r="C2108" s="319"/>
      <c r="D2108" s="319"/>
      <c r="G2108" s="320"/>
    </row>
    <row r="2109" spans="3:7">
      <c r="C2109" s="319"/>
      <c r="D2109" s="319"/>
      <c r="G2109" s="320"/>
    </row>
    <row r="2110" spans="3:7">
      <c r="C2110" s="319"/>
      <c r="D2110" s="319"/>
      <c r="G2110" s="320"/>
    </row>
    <row r="2111" spans="3:7">
      <c r="C2111" s="319"/>
      <c r="D2111" s="319"/>
      <c r="G2111" s="320"/>
    </row>
    <row r="2112" spans="3:7">
      <c r="C2112" s="319"/>
      <c r="D2112" s="319"/>
      <c r="G2112" s="320"/>
    </row>
    <row r="2113" spans="3:7">
      <c r="C2113" s="319"/>
      <c r="D2113" s="319"/>
      <c r="G2113" s="320"/>
    </row>
    <row r="2114" spans="3:4">
      <c r="C2114" s="319"/>
      <c r="D2114" s="319"/>
    </row>
    <row r="2115" spans="3:4">
      <c r="C2115" s="319"/>
      <c r="D2115" s="319"/>
    </row>
    <row r="2116" spans="3:4">
      <c r="C2116" s="319"/>
      <c r="D2116" s="319"/>
    </row>
    <row r="2117" spans="3:7">
      <c r="C2117" s="319"/>
      <c r="D2117" s="319"/>
      <c r="G2117" s="320"/>
    </row>
    <row r="2118" spans="3:7">
      <c r="C2118" s="319"/>
      <c r="D2118" s="319"/>
      <c r="G2118" s="320"/>
    </row>
    <row r="2119" spans="3:4">
      <c r="C2119" s="319"/>
      <c r="D2119" s="319"/>
    </row>
    <row r="2120" spans="3:7">
      <c r="C2120" s="319"/>
      <c r="D2120" s="319"/>
      <c r="G2120" s="320"/>
    </row>
    <row r="2121" spans="3:7">
      <c r="C2121" s="319"/>
      <c r="D2121" s="319"/>
      <c r="G2121" s="320"/>
    </row>
    <row r="2122" spans="3:7">
      <c r="C2122" s="319"/>
      <c r="D2122" s="319"/>
      <c r="G2122" s="320"/>
    </row>
    <row r="2123" spans="3:4">
      <c r="C2123" s="319"/>
      <c r="D2123" s="319"/>
    </row>
    <row r="2124" spans="3:7">
      <c r="C2124" s="319"/>
      <c r="D2124" s="319"/>
      <c r="G2124" s="320"/>
    </row>
    <row r="2125" spans="3:7">
      <c r="C2125" s="319"/>
      <c r="D2125" s="319"/>
      <c r="G2125" s="320"/>
    </row>
    <row r="2126" spans="3:7">
      <c r="C2126" s="319"/>
      <c r="D2126" s="319"/>
      <c r="G2126" s="320"/>
    </row>
    <row r="2127" spans="3:7">
      <c r="C2127" s="319"/>
      <c r="D2127" s="319"/>
      <c r="G2127" s="320"/>
    </row>
    <row r="2128" spans="3:7">
      <c r="C2128" s="319"/>
      <c r="D2128" s="319"/>
      <c r="G2128" s="320"/>
    </row>
    <row r="2129" spans="3:7">
      <c r="C2129" s="319"/>
      <c r="D2129" s="319"/>
      <c r="G2129" s="320"/>
    </row>
    <row r="2130" spans="3:4">
      <c r="C2130" s="319"/>
      <c r="D2130" s="319"/>
    </row>
    <row r="2131" spans="3:7">
      <c r="C2131" s="319"/>
      <c r="D2131" s="319"/>
      <c r="G2131" s="320"/>
    </row>
    <row r="2132" spans="3:4">
      <c r="C2132" s="319"/>
      <c r="D2132" s="319"/>
    </row>
    <row r="2133" spans="3:7">
      <c r="C2133" s="319"/>
      <c r="D2133" s="319"/>
      <c r="G2133" s="320"/>
    </row>
    <row r="2134" spans="3:4">
      <c r="C2134" s="319"/>
      <c r="D2134" s="319"/>
    </row>
    <row r="2135" spans="3:7">
      <c r="C2135" s="319"/>
      <c r="D2135" s="319"/>
      <c r="G2135" s="320"/>
    </row>
    <row r="2136" spans="3:7">
      <c r="C2136" s="319"/>
      <c r="D2136" s="319"/>
      <c r="G2136" s="320"/>
    </row>
    <row r="2137" spans="3:4">
      <c r="C2137" s="319"/>
      <c r="D2137" s="319"/>
    </row>
    <row r="2138" spans="3:7">
      <c r="C2138" s="319"/>
      <c r="D2138" s="319"/>
      <c r="G2138" s="320"/>
    </row>
    <row r="2139" spans="3:4">
      <c r="C2139" s="319"/>
      <c r="D2139" s="319"/>
    </row>
    <row r="2140" spans="3:7">
      <c r="C2140" s="319"/>
      <c r="D2140" s="319"/>
      <c r="G2140" s="320"/>
    </row>
    <row r="2141" spans="3:7">
      <c r="C2141" s="319"/>
      <c r="D2141" s="319"/>
      <c r="G2141" s="320"/>
    </row>
    <row r="2142" spans="3:7">
      <c r="C2142" s="319"/>
      <c r="D2142" s="319"/>
      <c r="G2142" s="320"/>
    </row>
    <row r="2143" spans="3:7">
      <c r="C2143" s="319"/>
      <c r="D2143" s="319"/>
      <c r="G2143" s="320"/>
    </row>
    <row r="2144" spans="3:7">
      <c r="C2144" s="319"/>
      <c r="D2144" s="319"/>
      <c r="G2144" s="320"/>
    </row>
    <row r="2145" spans="3:4">
      <c r="C2145" s="319"/>
      <c r="D2145" s="319"/>
    </row>
    <row r="2146" spans="3:7">
      <c r="C2146" s="319"/>
      <c r="D2146" s="319"/>
      <c r="G2146" s="320"/>
    </row>
    <row r="2147" spans="3:4">
      <c r="C2147" s="319"/>
      <c r="D2147" s="319"/>
    </row>
    <row r="2148" spans="3:7">
      <c r="C2148" s="319"/>
      <c r="D2148" s="319"/>
      <c r="G2148" s="320"/>
    </row>
    <row r="2149" spans="3:7">
      <c r="C2149" s="319"/>
      <c r="D2149" s="319"/>
      <c r="G2149" s="320"/>
    </row>
    <row r="2150" spans="3:7">
      <c r="C2150" s="319"/>
      <c r="D2150" s="319"/>
      <c r="G2150" s="320"/>
    </row>
    <row r="2151" spans="3:7">
      <c r="C2151" s="319"/>
      <c r="D2151" s="319"/>
      <c r="G2151" s="320"/>
    </row>
    <row r="2152" spans="3:7">
      <c r="C2152" s="319"/>
      <c r="D2152" s="319"/>
      <c r="G2152" s="320"/>
    </row>
    <row r="2153" spans="3:7">
      <c r="C2153" s="319"/>
      <c r="D2153" s="319"/>
      <c r="G2153" s="320"/>
    </row>
    <row r="2154" spans="3:7">
      <c r="C2154" s="319"/>
      <c r="D2154" s="319"/>
      <c r="G2154" s="320"/>
    </row>
    <row r="2155" spans="3:7">
      <c r="C2155" s="319"/>
      <c r="D2155" s="319"/>
      <c r="G2155" s="320"/>
    </row>
    <row r="2156" spans="3:7">
      <c r="C2156" s="319"/>
      <c r="D2156" s="319"/>
      <c r="G2156" s="320"/>
    </row>
    <row r="2157" spans="3:7">
      <c r="C2157" s="319"/>
      <c r="D2157" s="319"/>
      <c r="G2157" s="320"/>
    </row>
    <row r="2158" spans="3:7">
      <c r="C2158" s="319"/>
      <c r="D2158" s="319"/>
      <c r="G2158" s="320"/>
    </row>
    <row r="2159" spans="3:7">
      <c r="C2159" s="319"/>
      <c r="D2159" s="319"/>
      <c r="G2159" s="320"/>
    </row>
    <row r="2160" spans="3:7">
      <c r="C2160" s="319"/>
      <c r="D2160" s="319"/>
      <c r="G2160" s="320"/>
    </row>
    <row r="2161" spans="3:4">
      <c r="C2161" s="319"/>
      <c r="D2161" s="319"/>
    </row>
    <row r="2162" spans="3:4">
      <c r="C2162" s="319"/>
      <c r="D2162" s="319"/>
    </row>
    <row r="2163" spans="3:7">
      <c r="C2163" s="319"/>
      <c r="D2163" s="319"/>
      <c r="G2163" s="320"/>
    </row>
    <row r="2164" spans="3:7">
      <c r="C2164" s="319"/>
      <c r="D2164" s="319"/>
      <c r="G2164" s="320"/>
    </row>
    <row r="2165" spans="3:4">
      <c r="C2165" s="319"/>
      <c r="D2165" s="319"/>
    </row>
    <row r="2166" spans="3:7">
      <c r="C2166" s="319"/>
      <c r="D2166" s="319"/>
      <c r="G2166" s="320"/>
    </row>
    <row r="2167" spans="3:7">
      <c r="C2167" s="319"/>
      <c r="D2167" s="319"/>
      <c r="G2167" s="320"/>
    </row>
    <row r="2168" spans="3:7">
      <c r="C2168" s="319"/>
      <c r="D2168" s="319"/>
      <c r="G2168" s="320"/>
    </row>
    <row r="2169" spans="3:7">
      <c r="C2169" s="319"/>
      <c r="D2169" s="319"/>
      <c r="G2169" s="320"/>
    </row>
    <row r="2170" spans="3:4">
      <c r="C2170" s="319"/>
      <c r="D2170" s="319"/>
    </row>
    <row r="2171" spans="3:7">
      <c r="C2171" s="319"/>
      <c r="D2171" s="319"/>
      <c r="G2171" s="320"/>
    </row>
    <row r="2172" spans="3:7">
      <c r="C2172" s="319"/>
      <c r="D2172" s="319"/>
      <c r="G2172" s="320"/>
    </row>
    <row r="2173" spans="3:4">
      <c r="C2173" s="319"/>
      <c r="D2173" s="319"/>
    </row>
    <row r="2174" spans="3:4">
      <c r="C2174" s="319"/>
      <c r="D2174" s="319"/>
    </row>
    <row r="2175" spans="3:4">
      <c r="C2175" s="319"/>
      <c r="D2175" s="319"/>
    </row>
    <row r="2176" spans="3:4">
      <c r="C2176" s="319"/>
      <c r="D2176" s="319"/>
    </row>
    <row r="2177" spans="3:7">
      <c r="C2177" s="319"/>
      <c r="D2177" s="319"/>
      <c r="G2177" s="320"/>
    </row>
    <row r="2178" spans="3:7">
      <c r="C2178" s="319"/>
      <c r="D2178" s="319"/>
      <c r="G2178" s="320"/>
    </row>
    <row r="2179" spans="3:7">
      <c r="C2179" s="319"/>
      <c r="D2179" s="319"/>
      <c r="G2179" s="320"/>
    </row>
    <row r="2180" spans="3:7">
      <c r="C2180" s="319"/>
      <c r="D2180" s="319"/>
      <c r="G2180" s="320"/>
    </row>
    <row r="2181" spans="3:4">
      <c r="C2181" s="319"/>
      <c r="D2181" s="319"/>
    </row>
    <row r="2182" spans="3:7">
      <c r="C2182" s="319"/>
      <c r="D2182" s="319"/>
      <c r="G2182" s="320"/>
    </row>
    <row r="2183" spans="3:4">
      <c r="C2183" s="319"/>
      <c r="D2183" s="319"/>
    </row>
    <row r="2184" spans="3:7">
      <c r="C2184" s="319"/>
      <c r="D2184" s="319"/>
      <c r="G2184" s="320"/>
    </row>
    <row r="2185" spans="3:7">
      <c r="C2185" s="319"/>
      <c r="D2185" s="319"/>
      <c r="G2185" s="320"/>
    </row>
    <row r="2186" spans="3:4">
      <c r="C2186" s="319"/>
      <c r="D2186" s="319"/>
    </row>
    <row r="2187" spans="3:7">
      <c r="C2187" s="319"/>
      <c r="D2187" s="319"/>
      <c r="G2187" s="320"/>
    </row>
    <row r="2188" spans="3:4">
      <c r="C2188" s="319"/>
      <c r="D2188" s="319"/>
    </row>
    <row r="2189" spans="3:7">
      <c r="C2189" s="319"/>
      <c r="D2189" s="319"/>
      <c r="G2189" s="320"/>
    </row>
    <row r="2190" spans="3:4">
      <c r="C2190" s="319"/>
      <c r="D2190" s="319"/>
    </row>
    <row r="2191" spans="3:4">
      <c r="C2191" s="319"/>
      <c r="D2191" s="319"/>
    </row>
    <row r="2192" spans="3:7">
      <c r="C2192" s="319"/>
      <c r="D2192" s="319"/>
      <c r="G2192" s="320"/>
    </row>
    <row r="2193" spans="3:7">
      <c r="C2193" s="319"/>
      <c r="D2193" s="319"/>
      <c r="G2193" s="320"/>
    </row>
    <row r="2194" spans="3:7">
      <c r="C2194" s="319"/>
      <c r="D2194" s="319"/>
      <c r="G2194" s="320"/>
    </row>
    <row r="2195" spans="3:7">
      <c r="C2195" s="319"/>
      <c r="D2195" s="319"/>
      <c r="G2195" s="320"/>
    </row>
    <row r="2196" spans="3:7">
      <c r="C2196" s="319"/>
      <c r="D2196" s="319"/>
      <c r="G2196" s="320"/>
    </row>
    <row r="2197" spans="3:7">
      <c r="C2197" s="319"/>
      <c r="D2197" s="319"/>
      <c r="G2197" s="320"/>
    </row>
    <row r="2198" spans="3:7">
      <c r="C2198" s="319"/>
      <c r="D2198" s="319"/>
      <c r="G2198" s="320"/>
    </row>
    <row r="2199" spans="3:7">
      <c r="C2199" s="319"/>
      <c r="D2199" s="319"/>
      <c r="G2199" s="320"/>
    </row>
    <row r="2200" spans="3:4">
      <c r="C2200" s="319"/>
      <c r="D2200" s="319"/>
    </row>
    <row r="2201" spans="3:4">
      <c r="C2201" s="319"/>
      <c r="D2201" s="319"/>
    </row>
    <row r="2202" spans="3:7">
      <c r="C2202" s="319"/>
      <c r="D2202" s="319"/>
      <c r="G2202" s="320"/>
    </row>
    <row r="2203" spans="3:7">
      <c r="C2203" s="319"/>
      <c r="D2203" s="319"/>
      <c r="G2203" s="320"/>
    </row>
    <row r="2204" spans="3:7">
      <c r="C2204" s="319"/>
      <c r="D2204" s="319"/>
      <c r="G2204" s="320"/>
    </row>
    <row r="2205" spans="3:7">
      <c r="C2205" s="319"/>
      <c r="D2205" s="319"/>
      <c r="G2205" s="320"/>
    </row>
    <row r="2206" spans="3:4">
      <c r="C2206" s="319"/>
      <c r="D2206" s="319"/>
    </row>
    <row r="2207" spans="3:7">
      <c r="C2207" s="319"/>
      <c r="D2207" s="319"/>
      <c r="G2207" s="320"/>
    </row>
    <row r="2208" spans="3:7">
      <c r="C2208" s="319"/>
      <c r="D2208" s="319"/>
      <c r="G2208" s="320"/>
    </row>
    <row r="2209" spans="3:4">
      <c r="C2209" s="319"/>
      <c r="D2209" s="319"/>
    </row>
    <row r="2210" spans="3:4">
      <c r="C2210" s="319"/>
      <c r="D2210" s="319"/>
    </row>
    <row r="2211" spans="3:7">
      <c r="C2211" s="319"/>
      <c r="D2211" s="319"/>
      <c r="G2211" s="320"/>
    </row>
    <row r="2212" spans="3:7">
      <c r="C2212" s="319"/>
      <c r="D2212" s="319"/>
      <c r="G2212" s="320"/>
    </row>
    <row r="2213" spans="3:7">
      <c r="C2213" s="319"/>
      <c r="D2213" s="319"/>
      <c r="G2213" s="320"/>
    </row>
    <row r="2214" spans="3:7">
      <c r="C2214" s="319"/>
      <c r="D2214" s="319"/>
      <c r="G2214" s="320"/>
    </row>
    <row r="2215" spans="3:7">
      <c r="C2215" s="319"/>
      <c r="D2215" s="319"/>
      <c r="G2215" s="320"/>
    </row>
    <row r="2216" spans="3:7">
      <c r="C2216" s="319"/>
      <c r="D2216" s="319"/>
      <c r="G2216" s="320"/>
    </row>
    <row r="2217" spans="3:7">
      <c r="C2217" s="319"/>
      <c r="D2217" s="319"/>
      <c r="G2217" s="320"/>
    </row>
    <row r="2218" spans="3:7">
      <c r="C2218" s="319"/>
      <c r="D2218" s="319"/>
      <c r="G2218" s="320"/>
    </row>
    <row r="2219" spans="3:7">
      <c r="C2219" s="319"/>
      <c r="D2219" s="319"/>
      <c r="G2219" s="320"/>
    </row>
    <row r="2220" spans="3:4">
      <c r="C2220" s="319"/>
      <c r="D2220" s="319"/>
    </row>
    <row r="2221" spans="3:7">
      <c r="C2221" s="319"/>
      <c r="D2221" s="319"/>
      <c r="G2221" s="320"/>
    </row>
    <row r="2222" spans="3:7">
      <c r="C2222" s="319"/>
      <c r="D2222" s="319"/>
      <c r="G2222" s="320"/>
    </row>
    <row r="2223" spans="3:7">
      <c r="C2223" s="319"/>
      <c r="D2223" s="319"/>
      <c r="G2223" s="320"/>
    </row>
    <row r="2224" spans="3:7">
      <c r="C2224" s="319"/>
      <c r="D2224" s="319"/>
      <c r="G2224" s="320"/>
    </row>
    <row r="2225" spans="3:7">
      <c r="C2225" s="319"/>
      <c r="D2225" s="319"/>
      <c r="G2225" s="320"/>
    </row>
    <row r="2226" spans="3:4">
      <c r="C2226" s="319"/>
      <c r="D2226" s="319"/>
    </row>
    <row r="2227" spans="3:7">
      <c r="C2227" s="319"/>
      <c r="D2227" s="319"/>
      <c r="G2227" s="320"/>
    </row>
    <row r="2228" spans="3:4">
      <c r="C2228" s="319"/>
      <c r="D2228" s="319"/>
    </row>
    <row r="2229" spans="3:7">
      <c r="C2229" s="319"/>
      <c r="D2229" s="319"/>
      <c r="G2229" s="320"/>
    </row>
    <row r="2230" spans="3:4">
      <c r="C2230" s="319"/>
      <c r="D2230" s="319"/>
    </row>
    <row r="2231" spans="3:7">
      <c r="C2231" s="319"/>
      <c r="D2231" s="319"/>
      <c r="G2231" s="320"/>
    </row>
    <row r="2232" spans="3:7">
      <c r="C2232" s="319"/>
      <c r="D2232" s="319"/>
      <c r="G2232" s="320"/>
    </row>
    <row r="2233" spans="3:7">
      <c r="C2233" s="319"/>
      <c r="D2233" s="319"/>
      <c r="G2233" s="320"/>
    </row>
    <row r="2234" spans="3:7">
      <c r="C2234" s="319"/>
      <c r="D2234" s="319"/>
      <c r="G2234" s="320"/>
    </row>
    <row r="2235" spans="3:4">
      <c r="C2235" s="319"/>
      <c r="D2235" s="319"/>
    </row>
    <row r="2236" spans="3:4">
      <c r="C2236" s="319"/>
      <c r="D2236" s="319"/>
    </row>
    <row r="2237" spans="3:7">
      <c r="C2237" s="319"/>
      <c r="D2237" s="319"/>
      <c r="G2237" s="320"/>
    </row>
    <row r="2238" spans="3:4">
      <c r="C2238" s="319"/>
      <c r="D2238" s="319"/>
    </row>
    <row r="2239" spans="3:7">
      <c r="C2239" s="319"/>
      <c r="D2239" s="319"/>
      <c r="G2239" s="320"/>
    </row>
    <row r="2240" spans="3:7">
      <c r="C2240" s="319"/>
      <c r="D2240" s="319"/>
      <c r="G2240" s="320"/>
    </row>
    <row r="2241" spans="3:7">
      <c r="C2241" s="319"/>
      <c r="D2241" s="319"/>
      <c r="G2241" s="320"/>
    </row>
    <row r="2242" spans="3:4">
      <c r="C2242" s="319"/>
      <c r="D2242" s="319"/>
    </row>
    <row r="2243" spans="3:7">
      <c r="C2243" s="319"/>
      <c r="D2243" s="319"/>
      <c r="G2243" s="320"/>
    </row>
    <row r="2244" spans="3:4">
      <c r="C2244" s="319"/>
      <c r="D2244" s="319"/>
    </row>
    <row r="2245" spans="3:7">
      <c r="C2245" s="319"/>
      <c r="D2245" s="319"/>
      <c r="G2245" s="320"/>
    </row>
    <row r="2246" spans="3:4">
      <c r="C2246" s="319"/>
      <c r="D2246" s="319"/>
    </row>
    <row r="2247" spans="3:7">
      <c r="C2247" s="319"/>
      <c r="D2247" s="319"/>
      <c r="G2247" s="320"/>
    </row>
    <row r="2248" spans="3:7">
      <c r="C2248" s="319"/>
      <c r="D2248" s="319"/>
      <c r="G2248" s="320"/>
    </row>
    <row r="2249" spans="3:7">
      <c r="C2249" s="319"/>
      <c r="D2249" s="319"/>
      <c r="G2249" s="320"/>
    </row>
    <row r="2250" spans="3:4">
      <c r="C2250" s="319"/>
      <c r="D2250" s="319"/>
    </row>
    <row r="2251" spans="3:4">
      <c r="C2251" s="319"/>
      <c r="D2251" s="319"/>
    </row>
    <row r="2252" spans="3:7">
      <c r="C2252" s="319"/>
      <c r="D2252" s="319"/>
      <c r="G2252" s="320"/>
    </row>
    <row r="2253" spans="3:7">
      <c r="C2253" s="319"/>
      <c r="D2253" s="319"/>
      <c r="G2253" s="320"/>
    </row>
    <row r="2254" spans="3:7">
      <c r="C2254" s="319"/>
      <c r="D2254" s="319"/>
      <c r="G2254" s="320"/>
    </row>
    <row r="2255" spans="3:4">
      <c r="C2255" s="319"/>
      <c r="D2255" s="319"/>
    </row>
    <row r="2256" spans="3:4">
      <c r="C2256" s="319"/>
      <c r="D2256" s="319"/>
    </row>
    <row r="2257" spans="3:7">
      <c r="C2257" s="319"/>
      <c r="D2257" s="319"/>
      <c r="G2257" s="320"/>
    </row>
    <row r="2258" spans="3:7">
      <c r="C2258" s="319"/>
      <c r="D2258" s="319"/>
      <c r="G2258" s="320"/>
    </row>
    <row r="2259" spans="3:7">
      <c r="C2259" s="319"/>
      <c r="D2259" s="319"/>
      <c r="G2259" s="320"/>
    </row>
    <row r="2260" spans="3:7">
      <c r="C2260" s="319"/>
      <c r="D2260" s="319"/>
      <c r="G2260" s="320"/>
    </row>
    <row r="2261" spans="3:4">
      <c r="C2261" s="319"/>
      <c r="D2261" s="319"/>
    </row>
    <row r="2262" spans="3:7">
      <c r="C2262" s="319"/>
      <c r="D2262" s="319"/>
      <c r="G2262" s="320"/>
    </row>
    <row r="2263" spans="3:7">
      <c r="C2263" s="319"/>
      <c r="D2263" s="319"/>
      <c r="G2263" s="320"/>
    </row>
    <row r="2264" spans="3:4">
      <c r="C2264" s="319"/>
      <c r="D2264" s="319"/>
    </row>
    <row r="2265" spans="3:7">
      <c r="C2265" s="319"/>
      <c r="D2265" s="319"/>
      <c r="G2265" s="320"/>
    </row>
    <row r="2266" spans="3:7">
      <c r="C2266" s="319"/>
      <c r="D2266" s="319"/>
      <c r="G2266" s="320"/>
    </row>
    <row r="2267" spans="3:7">
      <c r="C2267" s="319"/>
      <c r="D2267" s="319"/>
      <c r="G2267" s="320"/>
    </row>
    <row r="2268" spans="3:7">
      <c r="C2268" s="319"/>
      <c r="D2268" s="319"/>
      <c r="G2268" s="320"/>
    </row>
    <row r="2269" spans="3:4">
      <c r="C2269" s="319"/>
      <c r="D2269" s="319"/>
    </row>
    <row r="2270" spans="3:7">
      <c r="C2270" s="319"/>
      <c r="D2270" s="319"/>
      <c r="G2270" s="320"/>
    </row>
    <row r="2271" spans="3:7">
      <c r="C2271" s="319"/>
      <c r="D2271" s="319"/>
      <c r="G2271" s="320"/>
    </row>
    <row r="2272" spans="3:4">
      <c r="C2272" s="319"/>
      <c r="D2272" s="319"/>
    </row>
    <row r="2273" spans="3:7">
      <c r="C2273" s="319"/>
      <c r="D2273" s="319"/>
      <c r="G2273" s="320"/>
    </row>
    <row r="2274" spans="3:7">
      <c r="C2274" s="319"/>
      <c r="D2274" s="319"/>
      <c r="G2274" s="320"/>
    </row>
    <row r="2275" spans="3:4">
      <c r="C2275" s="319"/>
      <c r="D2275" s="319"/>
    </row>
    <row r="2276" spans="3:7">
      <c r="C2276" s="319"/>
      <c r="D2276" s="319"/>
      <c r="G2276" s="320"/>
    </row>
    <row r="2277" spans="3:7">
      <c r="C2277" s="319"/>
      <c r="D2277" s="319"/>
      <c r="G2277" s="320"/>
    </row>
    <row r="2278" spans="3:4">
      <c r="C2278" s="319"/>
      <c r="D2278" s="319"/>
    </row>
    <row r="2279" spans="3:4">
      <c r="C2279" s="319"/>
      <c r="D2279" s="319"/>
    </row>
    <row r="2280" spans="3:7">
      <c r="C2280" s="319"/>
      <c r="D2280" s="319"/>
      <c r="G2280" s="320"/>
    </row>
    <row r="2281" spans="3:7">
      <c r="C2281" s="319"/>
      <c r="D2281" s="319"/>
      <c r="G2281" s="320"/>
    </row>
    <row r="2282" spans="3:7">
      <c r="C2282" s="319"/>
      <c r="D2282" s="319"/>
      <c r="G2282" s="320"/>
    </row>
    <row r="2283" spans="3:4">
      <c r="C2283" s="319"/>
      <c r="D2283" s="319"/>
    </row>
    <row r="2284" spans="3:4">
      <c r="C2284" s="319"/>
      <c r="D2284" s="319"/>
    </row>
    <row r="2285" spans="3:7">
      <c r="C2285" s="319"/>
      <c r="D2285" s="319"/>
      <c r="G2285" s="320"/>
    </row>
    <row r="2286" spans="3:7">
      <c r="C2286" s="319"/>
      <c r="D2286" s="319"/>
      <c r="G2286" s="320"/>
    </row>
    <row r="2287" spans="3:7">
      <c r="C2287" s="319"/>
      <c r="D2287" s="319"/>
      <c r="G2287" s="320"/>
    </row>
    <row r="2288" spans="3:7">
      <c r="C2288" s="319"/>
      <c r="D2288" s="319"/>
      <c r="G2288" s="320"/>
    </row>
    <row r="2289" spans="3:7">
      <c r="C2289" s="319"/>
      <c r="D2289" s="319"/>
      <c r="G2289" s="320"/>
    </row>
    <row r="2290" spans="3:4">
      <c r="C2290" s="319"/>
      <c r="D2290" s="319"/>
    </row>
    <row r="2291" spans="3:7">
      <c r="C2291" s="319"/>
      <c r="D2291" s="319"/>
      <c r="G2291" s="320"/>
    </row>
    <row r="2292" spans="3:7">
      <c r="C2292" s="319"/>
      <c r="D2292" s="319"/>
      <c r="G2292" s="320"/>
    </row>
    <row r="2293" spans="3:7">
      <c r="C2293" s="319"/>
      <c r="D2293" s="319"/>
      <c r="G2293" s="320"/>
    </row>
    <row r="2294" spans="3:4">
      <c r="C2294" s="319"/>
      <c r="D2294" s="319"/>
    </row>
    <row r="2295" spans="3:7">
      <c r="C2295" s="319"/>
      <c r="D2295" s="319"/>
      <c r="G2295" s="320"/>
    </row>
    <row r="2296" spans="3:7">
      <c r="C2296" s="319"/>
      <c r="D2296" s="319"/>
      <c r="G2296" s="320"/>
    </row>
    <row r="2297" spans="3:7">
      <c r="C2297" s="319"/>
      <c r="D2297" s="319"/>
      <c r="G2297" s="320"/>
    </row>
    <row r="2298" spans="3:7">
      <c r="C2298" s="319"/>
      <c r="D2298" s="319"/>
      <c r="G2298" s="320"/>
    </row>
    <row r="2299" spans="3:4">
      <c r="C2299" s="319"/>
      <c r="D2299" s="319"/>
    </row>
    <row r="2300" spans="3:7">
      <c r="C2300" s="319"/>
      <c r="D2300" s="319"/>
      <c r="G2300" s="320"/>
    </row>
    <row r="2301" spans="3:7">
      <c r="C2301" s="319"/>
      <c r="D2301" s="319"/>
      <c r="G2301" s="320"/>
    </row>
    <row r="2302" spans="3:7">
      <c r="C2302" s="319"/>
      <c r="D2302" s="319"/>
      <c r="G2302" s="320"/>
    </row>
    <row r="2303" spans="3:7">
      <c r="C2303" s="319"/>
      <c r="D2303" s="319"/>
      <c r="G2303" s="320"/>
    </row>
    <row r="2304" spans="3:7">
      <c r="C2304" s="319"/>
      <c r="D2304" s="319"/>
      <c r="G2304" s="320"/>
    </row>
    <row r="2305" spans="3:7">
      <c r="C2305" s="319"/>
      <c r="D2305" s="319"/>
      <c r="G2305" s="320"/>
    </row>
    <row r="2306" spans="3:7">
      <c r="C2306" s="319"/>
      <c r="D2306" s="319"/>
      <c r="G2306" s="320"/>
    </row>
    <row r="2307" spans="3:7">
      <c r="C2307" s="319"/>
      <c r="D2307" s="319"/>
      <c r="G2307" s="320"/>
    </row>
    <row r="2308" spans="3:4">
      <c r="C2308" s="319"/>
      <c r="D2308" s="319"/>
    </row>
    <row r="2309" spans="3:7">
      <c r="C2309" s="319"/>
      <c r="D2309" s="319"/>
      <c r="G2309" s="320"/>
    </row>
    <row r="2310" spans="3:7">
      <c r="C2310" s="319"/>
      <c r="D2310" s="319"/>
      <c r="G2310" s="320"/>
    </row>
    <row r="2311" spans="3:4">
      <c r="C2311" s="319"/>
      <c r="D2311" s="319"/>
    </row>
    <row r="2312" spans="3:7">
      <c r="C2312" s="319"/>
      <c r="D2312" s="319"/>
      <c r="G2312" s="320"/>
    </row>
    <row r="2313" spans="3:7">
      <c r="C2313" s="319"/>
      <c r="D2313" s="319"/>
      <c r="G2313" s="320"/>
    </row>
    <row r="2314" spans="3:7">
      <c r="C2314" s="319"/>
      <c r="D2314" s="319"/>
      <c r="G2314" s="320"/>
    </row>
    <row r="2315" spans="3:7">
      <c r="C2315" s="319"/>
      <c r="D2315" s="319"/>
      <c r="G2315" s="320"/>
    </row>
    <row r="2316" spans="3:4">
      <c r="C2316" s="319"/>
      <c r="D2316" s="319"/>
    </row>
    <row r="2317" spans="3:4">
      <c r="C2317" s="319"/>
      <c r="D2317" s="319"/>
    </row>
    <row r="2318" spans="3:7">
      <c r="C2318" s="319"/>
      <c r="D2318" s="319"/>
      <c r="G2318" s="320"/>
    </row>
    <row r="2319" spans="3:7">
      <c r="C2319" s="319"/>
      <c r="D2319" s="319"/>
      <c r="G2319" s="320"/>
    </row>
    <row r="2320" spans="3:7">
      <c r="C2320" s="319"/>
      <c r="D2320" s="319"/>
      <c r="G2320" s="320"/>
    </row>
    <row r="2321" spans="3:4">
      <c r="C2321" s="319"/>
      <c r="D2321" s="319"/>
    </row>
    <row r="2322" spans="3:4">
      <c r="C2322" s="319"/>
      <c r="D2322" s="319"/>
    </row>
    <row r="2323" spans="3:7">
      <c r="C2323" s="319"/>
      <c r="D2323" s="319"/>
      <c r="G2323" s="320"/>
    </row>
    <row r="2324" spans="3:7">
      <c r="C2324" s="319"/>
      <c r="D2324" s="319"/>
      <c r="G2324" s="320"/>
    </row>
    <row r="2325" spans="3:4">
      <c r="C2325" s="319"/>
      <c r="D2325" s="319"/>
    </row>
    <row r="2326" spans="3:7">
      <c r="C2326" s="319"/>
      <c r="D2326" s="319"/>
      <c r="G2326" s="320"/>
    </row>
    <row r="2327" spans="3:7">
      <c r="C2327" s="319"/>
      <c r="D2327" s="319"/>
      <c r="G2327" s="320"/>
    </row>
    <row r="2328" spans="3:7">
      <c r="C2328" s="319"/>
      <c r="D2328" s="319"/>
      <c r="G2328" s="320"/>
    </row>
    <row r="2329" spans="3:7">
      <c r="C2329" s="319"/>
      <c r="D2329" s="319"/>
      <c r="G2329" s="320"/>
    </row>
    <row r="2330" spans="3:7">
      <c r="C2330" s="319"/>
      <c r="D2330" s="319"/>
      <c r="G2330" s="320"/>
    </row>
    <row r="2331" spans="3:7">
      <c r="C2331" s="319"/>
      <c r="D2331" s="319"/>
      <c r="G2331" s="320"/>
    </row>
    <row r="2332" spans="3:4">
      <c r="C2332" s="319"/>
      <c r="D2332" s="319"/>
    </row>
    <row r="2333" spans="3:4">
      <c r="C2333" s="319"/>
      <c r="D2333" s="319"/>
    </row>
    <row r="2334" spans="3:7">
      <c r="C2334" s="319"/>
      <c r="D2334" s="319"/>
      <c r="G2334" s="320"/>
    </row>
    <row r="2335" spans="3:7">
      <c r="C2335" s="319"/>
      <c r="D2335" s="319"/>
      <c r="G2335" s="320"/>
    </row>
    <row r="2336" spans="3:4">
      <c r="C2336" s="319"/>
      <c r="D2336" s="319"/>
    </row>
    <row r="2337" spans="3:7">
      <c r="C2337" s="319"/>
      <c r="D2337" s="319"/>
      <c r="G2337" s="320"/>
    </row>
    <row r="2338" spans="3:7">
      <c r="C2338" s="319"/>
      <c r="D2338" s="319"/>
      <c r="G2338" s="320"/>
    </row>
    <row r="2339" spans="3:7">
      <c r="C2339" s="319"/>
      <c r="D2339" s="319"/>
      <c r="G2339" s="320"/>
    </row>
    <row r="2340" spans="3:7">
      <c r="C2340" s="319"/>
      <c r="D2340" s="319"/>
      <c r="G2340" s="320"/>
    </row>
    <row r="2341" spans="3:7">
      <c r="C2341" s="319"/>
      <c r="D2341" s="319"/>
      <c r="G2341" s="320"/>
    </row>
    <row r="2342" spans="3:7">
      <c r="C2342" s="319"/>
      <c r="D2342" s="319"/>
      <c r="G2342" s="320"/>
    </row>
    <row r="2343" spans="3:7">
      <c r="C2343" s="319"/>
      <c r="D2343" s="319"/>
      <c r="G2343" s="320"/>
    </row>
    <row r="2344" spans="3:7">
      <c r="C2344" s="319"/>
      <c r="D2344" s="319"/>
      <c r="G2344" s="320"/>
    </row>
    <row r="2345" spans="3:4">
      <c r="C2345" s="319"/>
      <c r="D2345" s="319"/>
    </row>
    <row r="2346" spans="3:7">
      <c r="C2346" s="319"/>
      <c r="D2346" s="319"/>
      <c r="G2346" s="320"/>
    </row>
    <row r="2347" spans="3:7">
      <c r="C2347" s="319"/>
      <c r="D2347" s="319"/>
      <c r="G2347" s="320"/>
    </row>
    <row r="2348" spans="3:7">
      <c r="C2348" s="319"/>
      <c r="D2348" s="319"/>
      <c r="G2348" s="320"/>
    </row>
    <row r="2349" spans="3:4">
      <c r="C2349" s="319"/>
      <c r="D2349" s="319"/>
    </row>
    <row r="2350" spans="3:7">
      <c r="C2350" s="319"/>
      <c r="D2350" s="319"/>
      <c r="G2350" s="320"/>
    </row>
    <row r="2351" spans="3:7">
      <c r="C2351" s="319"/>
      <c r="D2351" s="319"/>
      <c r="G2351" s="320"/>
    </row>
    <row r="2352" spans="3:7">
      <c r="C2352" s="319"/>
      <c r="D2352" s="319"/>
      <c r="G2352" s="320"/>
    </row>
    <row r="2353" spans="3:7">
      <c r="C2353" s="319"/>
      <c r="D2353" s="319"/>
      <c r="G2353" s="320"/>
    </row>
    <row r="2354" spans="3:7">
      <c r="C2354" s="319"/>
      <c r="D2354" s="319"/>
      <c r="G2354" s="320"/>
    </row>
    <row r="2355" spans="3:7">
      <c r="C2355" s="319"/>
      <c r="D2355" s="319"/>
      <c r="G2355" s="320"/>
    </row>
    <row r="2356" spans="3:7">
      <c r="C2356" s="319"/>
      <c r="D2356" s="319"/>
      <c r="G2356" s="320"/>
    </row>
    <row r="2357" spans="3:7">
      <c r="C2357" s="319"/>
      <c r="D2357" s="319"/>
      <c r="G2357" s="320"/>
    </row>
    <row r="2358" spans="3:7">
      <c r="C2358" s="319"/>
      <c r="D2358" s="319"/>
      <c r="G2358" s="320"/>
    </row>
    <row r="2359" spans="3:7">
      <c r="C2359" s="319"/>
      <c r="D2359" s="319"/>
      <c r="G2359" s="320"/>
    </row>
    <row r="2360" spans="3:4">
      <c r="C2360" s="319"/>
      <c r="D2360" s="319"/>
    </row>
    <row r="2361" spans="3:7">
      <c r="C2361" s="319"/>
      <c r="D2361" s="319"/>
      <c r="G2361" s="320"/>
    </row>
    <row r="2362" spans="3:4">
      <c r="C2362" s="319"/>
      <c r="D2362" s="319"/>
    </row>
    <row r="2363" spans="3:7">
      <c r="C2363" s="319"/>
      <c r="D2363" s="319"/>
      <c r="G2363" s="320"/>
    </row>
    <row r="2364" spans="3:7">
      <c r="C2364" s="319"/>
      <c r="D2364" s="319"/>
      <c r="G2364" s="320"/>
    </row>
    <row r="2365" spans="3:4">
      <c r="C2365" s="319"/>
      <c r="D2365" s="319"/>
    </row>
    <row r="2366" spans="3:4">
      <c r="C2366" s="319"/>
      <c r="D2366" s="319"/>
    </row>
    <row r="2367" spans="3:7">
      <c r="C2367" s="319"/>
      <c r="D2367" s="319"/>
      <c r="G2367" s="320"/>
    </row>
    <row r="2368" spans="3:7">
      <c r="C2368" s="319"/>
      <c r="D2368" s="319"/>
      <c r="G2368" s="320"/>
    </row>
    <row r="2369" spans="3:7">
      <c r="C2369" s="319"/>
      <c r="D2369" s="319"/>
      <c r="G2369" s="320"/>
    </row>
    <row r="2370" spans="3:4">
      <c r="C2370" s="319"/>
      <c r="D2370" s="319"/>
    </row>
    <row r="2371" spans="3:7">
      <c r="C2371" s="319"/>
      <c r="D2371" s="319"/>
      <c r="G2371" s="320"/>
    </row>
    <row r="2372" spans="3:4">
      <c r="C2372" s="319"/>
      <c r="D2372" s="319"/>
    </row>
    <row r="2373" spans="3:7">
      <c r="C2373" s="319"/>
      <c r="D2373" s="319"/>
      <c r="G2373" s="320"/>
    </row>
    <row r="2374" spans="3:4">
      <c r="C2374" s="319"/>
      <c r="D2374" s="319"/>
    </row>
    <row r="2375" spans="3:7">
      <c r="C2375" s="319"/>
      <c r="D2375" s="319"/>
      <c r="G2375" s="320"/>
    </row>
    <row r="2376" spans="3:7">
      <c r="C2376" s="319"/>
      <c r="D2376" s="319"/>
      <c r="G2376" s="320"/>
    </row>
    <row r="2377" spans="3:7">
      <c r="C2377" s="319"/>
      <c r="D2377" s="319"/>
      <c r="G2377" s="320"/>
    </row>
    <row r="2378" spans="3:4">
      <c r="C2378" s="319"/>
      <c r="D2378" s="319"/>
    </row>
    <row r="2379" spans="3:7">
      <c r="C2379" s="319"/>
      <c r="D2379" s="319"/>
      <c r="G2379" s="320"/>
    </row>
    <row r="2380" spans="3:7">
      <c r="C2380" s="319"/>
      <c r="D2380" s="319"/>
      <c r="G2380" s="320"/>
    </row>
    <row r="2381" spans="3:7">
      <c r="C2381" s="319"/>
      <c r="D2381" s="319"/>
      <c r="G2381" s="320"/>
    </row>
    <row r="2382" spans="3:7">
      <c r="C2382" s="319"/>
      <c r="D2382" s="319"/>
      <c r="G2382" s="320"/>
    </row>
    <row r="2383" spans="3:7">
      <c r="C2383" s="319"/>
      <c r="D2383" s="319"/>
      <c r="G2383" s="320"/>
    </row>
    <row r="2384" spans="3:4">
      <c r="C2384" s="319"/>
      <c r="D2384" s="319"/>
    </row>
    <row r="2385" spans="3:7">
      <c r="C2385" s="319"/>
      <c r="D2385" s="319"/>
      <c r="G2385" s="320"/>
    </row>
    <row r="2386" spans="3:7">
      <c r="C2386" s="319"/>
      <c r="D2386" s="319"/>
      <c r="G2386" s="320"/>
    </row>
    <row r="2387" spans="3:7">
      <c r="C2387" s="319"/>
      <c r="D2387" s="319"/>
      <c r="G2387" s="320"/>
    </row>
    <row r="2388" spans="3:7">
      <c r="C2388" s="319"/>
      <c r="D2388" s="319"/>
      <c r="G2388" s="320"/>
    </row>
    <row r="2389" spans="3:7">
      <c r="C2389" s="319"/>
      <c r="D2389" s="319"/>
      <c r="G2389" s="320"/>
    </row>
    <row r="2390" spans="3:7">
      <c r="C2390" s="319"/>
      <c r="D2390" s="319"/>
      <c r="G2390" s="320"/>
    </row>
    <row r="2391" spans="3:7">
      <c r="C2391" s="319"/>
      <c r="D2391" s="319"/>
      <c r="G2391" s="320"/>
    </row>
    <row r="2392" spans="3:7">
      <c r="C2392" s="319"/>
      <c r="D2392" s="319"/>
      <c r="G2392" s="320"/>
    </row>
    <row r="2393" spans="3:7">
      <c r="C2393" s="319"/>
      <c r="D2393" s="319"/>
      <c r="G2393" s="320"/>
    </row>
    <row r="2394" spans="3:7">
      <c r="C2394" s="319"/>
      <c r="D2394" s="319"/>
      <c r="G2394" s="320"/>
    </row>
    <row r="2395" spans="3:4">
      <c r="C2395" s="319"/>
      <c r="D2395" s="319"/>
    </row>
    <row r="2396" spans="3:7">
      <c r="C2396" s="319"/>
      <c r="D2396" s="319"/>
      <c r="G2396" s="320"/>
    </row>
    <row r="2397" spans="3:7">
      <c r="C2397" s="319"/>
      <c r="D2397" s="319"/>
      <c r="G2397" s="320"/>
    </row>
    <row r="2398" spans="3:7">
      <c r="C2398" s="319"/>
      <c r="D2398" s="319"/>
      <c r="G2398" s="320"/>
    </row>
    <row r="2399" spans="3:4">
      <c r="C2399" s="319"/>
      <c r="D2399" s="319"/>
    </row>
    <row r="2400" spans="3:7">
      <c r="C2400" s="319"/>
      <c r="D2400" s="319"/>
      <c r="G2400" s="320"/>
    </row>
    <row r="2401" spans="3:4">
      <c r="C2401" s="319"/>
      <c r="D2401" s="319"/>
    </row>
    <row r="2402" spans="3:4">
      <c r="C2402" s="319"/>
      <c r="D2402" s="319"/>
    </row>
    <row r="2403" spans="3:7">
      <c r="C2403" s="319"/>
      <c r="D2403" s="319"/>
      <c r="G2403" s="320"/>
    </row>
    <row r="2404" spans="3:7">
      <c r="C2404" s="319"/>
      <c r="D2404" s="319"/>
      <c r="G2404" s="320"/>
    </row>
    <row r="2405" spans="3:7">
      <c r="C2405" s="319"/>
      <c r="D2405" s="319"/>
      <c r="G2405" s="320"/>
    </row>
    <row r="2406" spans="3:7">
      <c r="C2406" s="319"/>
      <c r="D2406" s="319"/>
      <c r="G2406" s="320"/>
    </row>
    <row r="2407" spans="3:7">
      <c r="C2407" s="319"/>
      <c r="D2407" s="319"/>
      <c r="G2407" s="320"/>
    </row>
    <row r="2408" spans="3:4">
      <c r="C2408" s="319"/>
      <c r="D2408" s="319"/>
    </row>
    <row r="2409" spans="3:7">
      <c r="C2409" s="319"/>
      <c r="D2409" s="319"/>
      <c r="G2409" s="320"/>
    </row>
    <row r="2410" spans="3:7">
      <c r="C2410" s="319"/>
      <c r="D2410" s="319"/>
      <c r="G2410" s="320"/>
    </row>
    <row r="2411" spans="3:4">
      <c r="C2411" s="319"/>
      <c r="D2411" s="319"/>
    </row>
    <row r="2412" spans="3:7">
      <c r="C2412" s="319"/>
      <c r="D2412" s="319"/>
      <c r="G2412" s="320"/>
    </row>
    <row r="2413" spans="3:4">
      <c r="C2413" s="319"/>
      <c r="D2413" s="319"/>
    </row>
    <row r="2414" spans="3:7">
      <c r="C2414" s="319"/>
      <c r="D2414" s="319"/>
      <c r="G2414" s="320"/>
    </row>
    <row r="2415" spans="3:4">
      <c r="C2415" s="319"/>
      <c r="D2415" s="319"/>
    </row>
    <row r="2416" spans="3:7">
      <c r="C2416" s="319"/>
      <c r="D2416" s="319"/>
      <c r="G2416" s="320"/>
    </row>
    <row r="2417" spans="3:7">
      <c r="C2417" s="319"/>
      <c r="D2417" s="319"/>
      <c r="G2417" s="320"/>
    </row>
    <row r="2418" spans="3:7">
      <c r="C2418" s="319"/>
      <c r="D2418" s="319"/>
      <c r="G2418" s="320"/>
    </row>
    <row r="2419" spans="3:7">
      <c r="C2419" s="319"/>
      <c r="D2419" s="319"/>
      <c r="G2419" s="320"/>
    </row>
    <row r="2420" spans="3:7">
      <c r="C2420" s="319"/>
      <c r="D2420" s="319"/>
      <c r="G2420" s="320"/>
    </row>
    <row r="2421" spans="3:7">
      <c r="C2421" s="319"/>
      <c r="D2421" s="319"/>
      <c r="G2421" s="320"/>
    </row>
    <row r="2422" spans="3:7">
      <c r="C2422" s="319"/>
      <c r="D2422" s="319"/>
      <c r="G2422" s="320"/>
    </row>
    <row r="2423" spans="3:7">
      <c r="C2423" s="319"/>
      <c r="D2423" s="319"/>
      <c r="G2423" s="320"/>
    </row>
    <row r="2424" spans="3:7">
      <c r="C2424" s="319"/>
      <c r="D2424" s="319"/>
      <c r="G2424" s="320"/>
    </row>
    <row r="2425" spans="3:7">
      <c r="C2425" s="319"/>
      <c r="D2425" s="319"/>
      <c r="G2425" s="320"/>
    </row>
    <row r="2426" spans="3:7">
      <c r="C2426" s="319"/>
      <c r="D2426" s="319"/>
      <c r="G2426" s="320"/>
    </row>
    <row r="2427" spans="3:7">
      <c r="C2427" s="319"/>
      <c r="D2427" s="319"/>
      <c r="G2427" s="320"/>
    </row>
    <row r="2428" spans="3:7">
      <c r="C2428" s="319"/>
      <c r="D2428" s="319"/>
      <c r="G2428" s="320"/>
    </row>
    <row r="2429" spans="3:4">
      <c r="C2429" s="319"/>
      <c r="D2429" s="319"/>
    </row>
    <row r="2430" spans="3:7">
      <c r="C2430" s="319"/>
      <c r="D2430" s="319"/>
      <c r="G2430" s="320"/>
    </row>
    <row r="2431" spans="3:7">
      <c r="C2431" s="319"/>
      <c r="D2431" s="319"/>
      <c r="G2431" s="320"/>
    </row>
    <row r="2432" spans="3:4">
      <c r="C2432" s="319"/>
      <c r="D2432" s="319"/>
    </row>
    <row r="2433" spans="3:7">
      <c r="C2433" s="319"/>
      <c r="D2433" s="319"/>
      <c r="G2433" s="320"/>
    </row>
    <row r="2434" spans="3:7">
      <c r="C2434" s="319"/>
      <c r="D2434" s="319"/>
      <c r="G2434" s="320"/>
    </row>
    <row r="2435" spans="3:4">
      <c r="C2435" s="319"/>
      <c r="D2435" s="319"/>
    </row>
    <row r="2436" spans="3:7">
      <c r="C2436" s="319"/>
      <c r="D2436" s="319"/>
      <c r="G2436" s="320"/>
    </row>
    <row r="2437" spans="3:4">
      <c r="C2437" s="319"/>
      <c r="D2437" s="319"/>
    </row>
    <row r="2438" spans="3:7">
      <c r="C2438" s="319"/>
      <c r="D2438" s="319"/>
      <c r="G2438" s="320"/>
    </row>
    <row r="2439" spans="3:7">
      <c r="C2439" s="319"/>
      <c r="D2439" s="319"/>
      <c r="G2439" s="320"/>
    </row>
    <row r="2440" spans="3:7">
      <c r="C2440" s="319"/>
      <c r="D2440" s="319"/>
      <c r="G2440" s="320"/>
    </row>
    <row r="2441" spans="3:7">
      <c r="C2441" s="319"/>
      <c r="D2441" s="319"/>
      <c r="G2441" s="320"/>
    </row>
    <row r="2442" spans="3:7">
      <c r="C2442" s="319"/>
      <c r="D2442" s="319"/>
      <c r="G2442" s="320"/>
    </row>
    <row r="2443" spans="3:7">
      <c r="C2443" s="319"/>
      <c r="D2443" s="319"/>
      <c r="G2443" s="320"/>
    </row>
    <row r="2444" spans="3:7">
      <c r="C2444" s="319"/>
      <c r="D2444" s="319"/>
      <c r="G2444" s="320"/>
    </row>
    <row r="2445" spans="3:7">
      <c r="C2445" s="319"/>
      <c r="D2445" s="319"/>
      <c r="G2445" s="320"/>
    </row>
    <row r="2446" spans="3:7">
      <c r="C2446" s="319"/>
      <c r="D2446" s="319"/>
      <c r="G2446" s="320"/>
    </row>
    <row r="2447" spans="3:7">
      <c r="C2447" s="319"/>
      <c r="D2447" s="319"/>
      <c r="G2447" s="320"/>
    </row>
    <row r="2448" spans="3:7">
      <c r="C2448" s="319"/>
      <c r="D2448" s="319"/>
      <c r="G2448" s="320"/>
    </row>
    <row r="2449" spans="3:7">
      <c r="C2449" s="319"/>
      <c r="D2449" s="319"/>
      <c r="G2449" s="320"/>
    </row>
    <row r="2450" spans="3:7">
      <c r="C2450" s="319"/>
      <c r="D2450" s="319"/>
      <c r="G2450" s="320"/>
    </row>
    <row r="2451" spans="3:4">
      <c r="C2451" s="319"/>
      <c r="D2451" s="319"/>
    </row>
    <row r="2452" spans="3:7">
      <c r="C2452" s="319"/>
      <c r="D2452" s="319"/>
      <c r="G2452" s="320"/>
    </row>
    <row r="2453" spans="3:4">
      <c r="C2453" s="319"/>
      <c r="D2453" s="319"/>
    </row>
    <row r="2454" spans="3:7">
      <c r="C2454" s="319"/>
      <c r="D2454" s="319"/>
      <c r="G2454" s="320"/>
    </row>
    <row r="2455" spans="3:4">
      <c r="C2455" s="319"/>
      <c r="D2455" s="319"/>
    </row>
    <row r="2456" spans="3:7">
      <c r="C2456" s="319"/>
      <c r="D2456" s="319"/>
      <c r="G2456" s="320"/>
    </row>
    <row r="2457" spans="3:7">
      <c r="C2457" s="319"/>
      <c r="D2457" s="319"/>
      <c r="G2457" s="320"/>
    </row>
    <row r="2458" spans="3:7">
      <c r="C2458" s="319"/>
      <c r="D2458" s="319"/>
      <c r="G2458" s="320"/>
    </row>
    <row r="2459" spans="3:7">
      <c r="C2459" s="319"/>
      <c r="D2459" s="319"/>
      <c r="G2459" s="320"/>
    </row>
    <row r="2460" spans="3:7">
      <c r="C2460" s="319"/>
      <c r="D2460" s="319"/>
      <c r="G2460" s="320"/>
    </row>
    <row r="2461" spans="3:7">
      <c r="C2461" s="319"/>
      <c r="D2461" s="319"/>
      <c r="G2461" s="320"/>
    </row>
    <row r="2462" spans="3:4">
      <c r="C2462" s="319"/>
      <c r="D2462" s="319"/>
    </row>
    <row r="2463" spans="3:7">
      <c r="C2463" s="319"/>
      <c r="D2463" s="319"/>
      <c r="G2463" s="320"/>
    </row>
    <row r="2464" spans="3:4">
      <c r="C2464" s="319"/>
      <c r="D2464" s="319"/>
    </row>
    <row r="2465" spans="3:7">
      <c r="C2465" s="319"/>
      <c r="D2465" s="319"/>
      <c r="G2465" s="320"/>
    </row>
    <row r="2466" spans="3:4">
      <c r="C2466" s="319"/>
      <c r="D2466" s="319"/>
    </row>
    <row r="2467" spans="3:7">
      <c r="C2467" s="319"/>
      <c r="D2467" s="319"/>
      <c r="G2467" s="320"/>
    </row>
    <row r="2468" spans="3:7">
      <c r="C2468" s="319"/>
      <c r="D2468" s="319"/>
      <c r="G2468" s="320"/>
    </row>
    <row r="2469" spans="3:7">
      <c r="C2469" s="319"/>
      <c r="D2469" s="319"/>
      <c r="G2469" s="320"/>
    </row>
    <row r="2470" spans="3:4">
      <c r="C2470" s="319"/>
      <c r="D2470" s="319"/>
    </row>
    <row r="2471" spans="3:7">
      <c r="C2471" s="319"/>
      <c r="D2471" s="319"/>
      <c r="G2471" s="320"/>
    </row>
    <row r="2472" spans="3:7">
      <c r="C2472" s="319"/>
      <c r="D2472" s="319"/>
      <c r="G2472" s="320"/>
    </row>
    <row r="2473" spans="3:7">
      <c r="C2473" s="319"/>
      <c r="D2473" s="319"/>
      <c r="G2473" s="320"/>
    </row>
    <row r="2474" spans="3:4">
      <c r="C2474" s="319"/>
      <c r="D2474" s="319"/>
    </row>
    <row r="2475" spans="3:7">
      <c r="C2475" s="319"/>
      <c r="D2475" s="319"/>
      <c r="G2475" s="320"/>
    </row>
    <row r="2476" spans="3:7">
      <c r="C2476" s="319"/>
      <c r="D2476" s="319"/>
      <c r="G2476" s="320"/>
    </row>
    <row r="2477" spans="3:7">
      <c r="C2477" s="319"/>
      <c r="D2477" s="319"/>
      <c r="G2477" s="320"/>
    </row>
    <row r="2478" spans="3:7">
      <c r="C2478" s="319"/>
      <c r="D2478" s="319"/>
      <c r="G2478" s="320"/>
    </row>
    <row r="2479" spans="3:7">
      <c r="C2479" s="319"/>
      <c r="D2479" s="319"/>
      <c r="G2479" s="320"/>
    </row>
    <row r="2480" spans="3:7">
      <c r="C2480" s="319"/>
      <c r="D2480" s="319"/>
      <c r="G2480" s="320"/>
    </row>
    <row r="2481" spans="3:4">
      <c r="C2481" s="319"/>
      <c r="D2481" s="319"/>
    </row>
    <row r="2482" spans="3:4">
      <c r="C2482" s="319"/>
      <c r="D2482" s="319"/>
    </row>
    <row r="2483" spans="3:4">
      <c r="C2483" s="319"/>
      <c r="D2483" s="319"/>
    </row>
    <row r="2484" spans="3:7">
      <c r="C2484" s="319"/>
      <c r="D2484" s="319"/>
      <c r="G2484" s="320"/>
    </row>
    <row r="2485" spans="3:7">
      <c r="C2485" s="319"/>
      <c r="D2485" s="319"/>
      <c r="G2485" s="320"/>
    </row>
    <row r="2486" spans="3:7">
      <c r="C2486" s="319"/>
      <c r="D2486" s="319"/>
      <c r="G2486" s="320"/>
    </row>
    <row r="2487" spans="3:7">
      <c r="C2487" s="319"/>
      <c r="D2487" s="319"/>
      <c r="G2487" s="320"/>
    </row>
    <row r="2488" spans="3:7">
      <c r="C2488" s="319"/>
      <c r="D2488" s="319"/>
      <c r="G2488" s="320"/>
    </row>
    <row r="2489" spans="3:7">
      <c r="C2489" s="319"/>
      <c r="D2489" s="319"/>
      <c r="G2489" s="320"/>
    </row>
    <row r="2490" spans="3:7">
      <c r="C2490" s="319"/>
      <c r="D2490" s="319"/>
      <c r="G2490" s="320"/>
    </row>
    <row r="2491" spans="3:4">
      <c r="C2491" s="319"/>
      <c r="D2491" s="319"/>
    </row>
    <row r="2492" spans="3:4">
      <c r="C2492" s="319"/>
      <c r="D2492" s="319"/>
    </row>
    <row r="2493" spans="3:7">
      <c r="C2493" s="319"/>
      <c r="D2493" s="319"/>
      <c r="G2493" s="320"/>
    </row>
    <row r="2494" spans="3:7">
      <c r="C2494" s="319"/>
      <c r="D2494" s="319"/>
      <c r="G2494" s="320"/>
    </row>
    <row r="2495" spans="3:7">
      <c r="C2495" s="319"/>
      <c r="D2495" s="319"/>
      <c r="G2495" s="320"/>
    </row>
    <row r="2496" spans="3:4">
      <c r="C2496" s="319"/>
      <c r="D2496" s="319"/>
    </row>
    <row r="2497" spans="3:7">
      <c r="C2497" s="319"/>
      <c r="D2497" s="319"/>
      <c r="G2497" s="320"/>
    </row>
    <row r="2498" spans="3:7">
      <c r="C2498" s="319"/>
      <c r="D2498" s="319"/>
      <c r="G2498" s="320"/>
    </row>
    <row r="2499" spans="3:7">
      <c r="C2499" s="319"/>
      <c r="D2499" s="319"/>
      <c r="G2499" s="320"/>
    </row>
    <row r="2500" spans="3:7">
      <c r="C2500" s="319"/>
      <c r="D2500" s="319"/>
      <c r="G2500" s="320"/>
    </row>
    <row r="2501" spans="3:7">
      <c r="C2501" s="319"/>
      <c r="D2501" s="319"/>
      <c r="G2501" s="320"/>
    </row>
    <row r="2502" spans="3:7">
      <c r="C2502" s="319"/>
      <c r="D2502" s="319"/>
      <c r="G2502" s="320"/>
    </row>
    <row r="2503" spans="3:7">
      <c r="C2503" s="319"/>
      <c r="D2503" s="319"/>
      <c r="G2503" s="320"/>
    </row>
    <row r="2504" spans="3:7">
      <c r="C2504" s="319"/>
      <c r="D2504" s="319"/>
      <c r="G2504" s="320"/>
    </row>
    <row r="2505" spans="3:7">
      <c r="C2505" s="319"/>
      <c r="D2505" s="319"/>
      <c r="G2505" s="320"/>
    </row>
    <row r="2506" spans="3:4">
      <c r="C2506" s="319"/>
      <c r="D2506" s="319"/>
    </row>
    <row r="2507" spans="3:7">
      <c r="C2507" s="319"/>
      <c r="D2507" s="319"/>
      <c r="G2507" s="320"/>
    </row>
    <row r="2508" spans="3:4">
      <c r="C2508" s="319"/>
      <c r="D2508" s="319"/>
    </row>
    <row r="2509" spans="3:7">
      <c r="C2509" s="319"/>
      <c r="D2509" s="319"/>
      <c r="G2509" s="320"/>
    </row>
    <row r="2510" spans="3:7">
      <c r="C2510" s="319"/>
      <c r="D2510" s="319"/>
      <c r="G2510" s="320"/>
    </row>
    <row r="2511" spans="3:7">
      <c r="C2511" s="319"/>
      <c r="D2511" s="319"/>
      <c r="G2511" s="320"/>
    </row>
    <row r="2512" spans="3:7">
      <c r="C2512" s="319"/>
      <c r="D2512" s="319"/>
      <c r="G2512" s="320"/>
    </row>
    <row r="2513" spans="3:7">
      <c r="C2513" s="319"/>
      <c r="D2513" s="319"/>
      <c r="G2513" s="320"/>
    </row>
    <row r="2514" spans="3:7">
      <c r="C2514" s="319"/>
      <c r="D2514" s="319"/>
      <c r="G2514" s="320"/>
    </row>
    <row r="2515" spans="3:7">
      <c r="C2515" s="319"/>
      <c r="D2515" s="319"/>
      <c r="G2515" s="320"/>
    </row>
    <row r="2516" spans="3:7">
      <c r="C2516" s="319"/>
      <c r="D2516" s="319"/>
      <c r="G2516" s="320"/>
    </row>
    <row r="2517" spans="3:7">
      <c r="C2517" s="319"/>
      <c r="D2517" s="319"/>
      <c r="G2517" s="320"/>
    </row>
    <row r="2518" spans="3:7">
      <c r="C2518" s="319"/>
      <c r="D2518" s="319"/>
      <c r="G2518" s="320"/>
    </row>
    <row r="2519" spans="3:7">
      <c r="C2519" s="319"/>
      <c r="D2519" s="319"/>
      <c r="G2519" s="320"/>
    </row>
    <row r="2520" spans="3:7">
      <c r="C2520" s="319"/>
      <c r="D2520" s="319"/>
      <c r="G2520" s="320"/>
    </row>
    <row r="2521" spans="3:7">
      <c r="C2521" s="319"/>
      <c r="D2521" s="319"/>
      <c r="G2521" s="320"/>
    </row>
    <row r="2522" spans="3:7">
      <c r="C2522" s="319"/>
      <c r="D2522" s="319"/>
      <c r="G2522" s="320"/>
    </row>
    <row r="2523" spans="3:7">
      <c r="C2523" s="319"/>
      <c r="D2523" s="319"/>
      <c r="G2523" s="320"/>
    </row>
    <row r="2524" spans="3:4">
      <c r="C2524" s="319"/>
      <c r="D2524" s="319"/>
    </row>
    <row r="2525" spans="3:4">
      <c r="C2525" s="319"/>
      <c r="D2525" s="319"/>
    </row>
    <row r="2526" spans="3:4">
      <c r="C2526" s="319"/>
      <c r="D2526" s="319"/>
    </row>
    <row r="2527" spans="3:4">
      <c r="C2527" s="319"/>
      <c r="D2527" s="319"/>
    </row>
    <row r="2528" spans="3:4">
      <c r="C2528" s="319"/>
      <c r="D2528" s="319"/>
    </row>
    <row r="2529" spans="3:4">
      <c r="C2529" s="319"/>
      <c r="D2529" s="319"/>
    </row>
    <row r="2530" spans="3:4">
      <c r="C2530" s="319"/>
      <c r="D2530" s="319"/>
    </row>
    <row r="2531" spans="3:7">
      <c r="C2531" s="319"/>
      <c r="D2531" s="319"/>
      <c r="G2531" s="320"/>
    </row>
    <row r="2532" spans="3:7">
      <c r="C2532" s="319"/>
      <c r="D2532" s="319"/>
      <c r="G2532" s="320"/>
    </row>
    <row r="2533" spans="3:7">
      <c r="C2533" s="319"/>
      <c r="D2533" s="319"/>
      <c r="G2533" s="320"/>
    </row>
    <row r="2534" spans="3:7">
      <c r="C2534" s="319"/>
      <c r="D2534" s="319"/>
      <c r="G2534" s="320"/>
    </row>
    <row r="2535" spans="3:7">
      <c r="C2535" s="319"/>
      <c r="D2535" s="319"/>
      <c r="G2535" s="320"/>
    </row>
    <row r="2536" spans="3:4">
      <c r="C2536" s="319"/>
      <c r="D2536" s="319"/>
    </row>
    <row r="2537" spans="3:7">
      <c r="C2537" s="319"/>
      <c r="D2537" s="319"/>
      <c r="G2537" s="320"/>
    </row>
    <row r="2538" spans="3:7">
      <c r="C2538" s="319"/>
      <c r="D2538" s="319"/>
      <c r="G2538" s="320"/>
    </row>
    <row r="2539" spans="3:4">
      <c r="C2539" s="319"/>
      <c r="D2539" s="319"/>
    </row>
    <row r="2540" spans="3:7">
      <c r="C2540" s="319"/>
      <c r="D2540" s="319"/>
      <c r="G2540" s="320"/>
    </row>
    <row r="2541" spans="3:4">
      <c r="C2541" s="319"/>
      <c r="D2541" s="319"/>
    </row>
    <row r="2542" spans="3:7">
      <c r="C2542" s="319"/>
      <c r="D2542" s="319"/>
      <c r="G2542" s="320"/>
    </row>
    <row r="2543" spans="3:7">
      <c r="C2543" s="319"/>
      <c r="D2543" s="319"/>
      <c r="G2543" s="320"/>
    </row>
    <row r="2544" spans="3:7">
      <c r="C2544" s="319"/>
      <c r="D2544" s="319"/>
      <c r="G2544" s="320"/>
    </row>
    <row r="2545" spans="3:7">
      <c r="C2545" s="319"/>
      <c r="D2545" s="319"/>
      <c r="G2545" s="320"/>
    </row>
    <row r="2546" spans="3:4">
      <c r="C2546" s="319"/>
      <c r="D2546" s="319"/>
    </row>
    <row r="2547" spans="3:7">
      <c r="C2547" s="319"/>
      <c r="D2547" s="319"/>
      <c r="G2547" s="320"/>
    </row>
    <row r="2548" spans="3:7">
      <c r="C2548" s="319"/>
      <c r="D2548" s="319"/>
      <c r="G2548" s="320"/>
    </row>
    <row r="2549" spans="3:7">
      <c r="C2549" s="319"/>
      <c r="D2549" s="319"/>
      <c r="G2549" s="320"/>
    </row>
    <row r="2550" spans="3:7">
      <c r="C2550" s="319"/>
      <c r="D2550" s="319"/>
      <c r="G2550" s="320"/>
    </row>
    <row r="2551" spans="3:7">
      <c r="C2551" s="319"/>
      <c r="D2551" s="319"/>
      <c r="G2551" s="320"/>
    </row>
    <row r="2552" spans="3:7">
      <c r="C2552" s="319"/>
      <c r="D2552" s="319"/>
      <c r="G2552" s="320"/>
    </row>
    <row r="2553" spans="3:7">
      <c r="C2553" s="319"/>
      <c r="D2553" s="319"/>
      <c r="G2553" s="320"/>
    </row>
    <row r="2554" spans="3:7">
      <c r="C2554" s="319"/>
      <c r="D2554" s="319"/>
      <c r="G2554" s="320"/>
    </row>
    <row r="2555" spans="3:4">
      <c r="C2555" s="319"/>
      <c r="D2555" s="319"/>
    </row>
    <row r="2556" spans="3:7">
      <c r="C2556" s="319"/>
      <c r="D2556" s="319"/>
      <c r="G2556" s="320"/>
    </row>
    <row r="2557" spans="3:7">
      <c r="C2557" s="319"/>
      <c r="D2557" s="319"/>
      <c r="G2557" s="320"/>
    </row>
    <row r="2558" spans="3:7">
      <c r="C2558" s="319"/>
      <c r="D2558" s="319"/>
      <c r="G2558" s="320"/>
    </row>
    <row r="2559" spans="3:7">
      <c r="C2559" s="319"/>
      <c r="D2559" s="319"/>
      <c r="G2559" s="320"/>
    </row>
    <row r="2560" spans="3:7">
      <c r="C2560" s="319"/>
      <c r="D2560" s="319"/>
      <c r="G2560" s="320"/>
    </row>
    <row r="2561" spans="3:4">
      <c r="C2561" s="319"/>
      <c r="D2561" s="319"/>
    </row>
    <row r="2562" spans="3:7">
      <c r="C2562" s="319"/>
      <c r="D2562" s="319"/>
      <c r="G2562" s="320"/>
    </row>
    <row r="2563" spans="3:7">
      <c r="C2563" s="319"/>
      <c r="D2563" s="319"/>
      <c r="G2563" s="320"/>
    </row>
    <row r="2564" spans="3:7">
      <c r="C2564" s="319"/>
      <c r="D2564" s="319"/>
      <c r="G2564" s="320"/>
    </row>
    <row r="2565" spans="3:7">
      <c r="C2565" s="319"/>
      <c r="D2565" s="319"/>
      <c r="G2565" s="320"/>
    </row>
    <row r="2566" spans="3:7">
      <c r="C2566" s="319"/>
      <c r="D2566" s="319"/>
      <c r="G2566" s="320"/>
    </row>
    <row r="2567" spans="3:7">
      <c r="C2567" s="319"/>
      <c r="D2567" s="319"/>
      <c r="G2567" s="320"/>
    </row>
    <row r="2568" spans="3:7">
      <c r="C2568" s="319"/>
      <c r="D2568" s="319"/>
      <c r="G2568" s="320"/>
    </row>
    <row r="2569" spans="3:7">
      <c r="C2569" s="319"/>
      <c r="D2569" s="319"/>
      <c r="G2569" s="320"/>
    </row>
    <row r="2570" spans="3:7">
      <c r="C2570" s="319"/>
      <c r="D2570" s="319"/>
      <c r="G2570" s="320"/>
    </row>
    <row r="2571" spans="3:7">
      <c r="C2571" s="319"/>
      <c r="D2571" s="319"/>
      <c r="G2571" s="320"/>
    </row>
    <row r="2572" spans="3:4">
      <c r="C2572" s="319"/>
      <c r="D2572" s="319"/>
    </row>
    <row r="2573" spans="3:7">
      <c r="C2573" s="319"/>
      <c r="D2573" s="319"/>
      <c r="G2573" s="320"/>
    </row>
    <row r="2574" spans="3:7">
      <c r="C2574" s="319"/>
      <c r="D2574" s="319"/>
      <c r="G2574" s="320"/>
    </row>
    <row r="2575" spans="3:7">
      <c r="C2575" s="319"/>
      <c r="D2575" s="319"/>
      <c r="G2575" s="320"/>
    </row>
    <row r="2576" spans="3:7">
      <c r="C2576" s="319"/>
      <c r="D2576" s="319"/>
      <c r="G2576" s="320"/>
    </row>
    <row r="2577" spans="3:7">
      <c r="C2577" s="319"/>
      <c r="D2577" s="319"/>
      <c r="G2577" s="320"/>
    </row>
    <row r="2578" spans="3:7">
      <c r="C2578" s="319"/>
      <c r="D2578" s="319"/>
      <c r="G2578" s="320"/>
    </row>
    <row r="2579" spans="3:4">
      <c r="C2579" s="319"/>
      <c r="D2579" s="319"/>
    </row>
    <row r="2580" spans="3:7">
      <c r="C2580" s="319"/>
      <c r="D2580" s="319"/>
      <c r="G2580" s="320"/>
    </row>
    <row r="2581" spans="3:7">
      <c r="C2581" s="319"/>
      <c r="D2581" s="319"/>
      <c r="G2581" s="320"/>
    </row>
    <row r="2582" spans="3:7">
      <c r="C2582" s="319"/>
      <c r="D2582" s="319"/>
      <c r="G2582" s="320"/>
    </row>
    <row r="2583" spans="3:4">
      <c r="C2583" s="319"/>
      <c r="D2583" s="319"/>
    </row>
    <row r="2584" spans="3:7">
      <c r="C2584" s="319"/>
      <c r="D2584" s="319"/>
      <c r="G2584" s="320"/>
    </row>
    <row r="2585" spans="3:7">
      <c r="C2585" s="319"/>
      <c r="D2585" s="319"/>
      <c r="G2585" s="320"/>
    </row>
    <row r="2586" spans="3:7">
      <c r="C2586" s="319"/>
      <c r="D2586" s="319"/>
      <c r="G2586" s="320"/>
    </row>
    <row r="2587" spans="3:7">
      <c r="C2587" s="319"/>
      <c r="D2587" s="319"/>
      <c r="G2587" s="320"/>
    </row>
    <row r="2588" spans="3:7">
      <c r="C2588" s="319"/>
      <c r="D2588" s="319"/>
      <c r="G2588" s="320"/>
    </row>
    <row r="2589" spans="3:7">
      <c r="C2589" s="319"/>
      <c r="D2589" s="319"/>
      <c r="G2589" s="320"/>
    </row>
    <row r="2590" spans="3:4">
      <c r="C2590" s="319"/>
      <c r="D2590" s="319"/>
    </row>
    <row r="2591" spans="3:7">
      <c r="C2591" s="319"/>
      <c r="D2591" s="319"/>
      <c r="G2591" s="320"/>
    </row>
    <row r="2592" spans="3:4">
      <c r="C2592" s="319"/>
      <c r="D2592" s="319"/>
    </row>
    <row r="2593" spans="3:7">
      <c r="C2593" s="319"/>
      <c r="D2593" s="319"/>
      <c r="G2593" s="320"/>
    </row>
    <row r="2594" spans="3:4">
      <c r="C2594" s="319"/>
      <c r="D2594" s="319"/>
    </row>
    <row r="2595" spans="3:4">
      <c r="C2595" s="319"/>
      <c r="D2595" s="319"/>
    </row>
    <row r="2596" spans="3:4">
      <c r="C2596" s="319"/>
      <c r="D2596" s="319"/>
    </row>
    <row r="2597" spans="3:7">
      <c r="C2597" s="319"/>
      <c r="D2597" s="319"/>
      <c r="G2597" s="320"/>
    </row>
    <row r="2598" spans="3:7">
      <c r="C2598" s="319"/>
      <c r="D2598" s="319"/>
      <c r="G2598" s="320"/>
    </row>
    <row r="2599" spans="3:7">
      <c r="C2599" s="319"/>
      <c r="D2599" s="319"/>
      <c r="G2599" s="320"/>
    </row>
    <row r="2600" spans="3:4">
      <c r="C2600" s="319"/>
      <c r="D2600" s="319"/>
    </row>
    <row r="2601" spans="3:7">
      <c r="C2601" s="319"/>
      <c r="D2601" s="319"/>
      <c r="G2601" s="320"/>
    </row>
    <row r="2602" spans="3:4">
      <c r="C2602" s="319"/>
      <c r="D2602" s="319"/>
    </row>
    <row r="2603" spans="3:7">
      <c r="C2603" s="319"/>
      <c r="D2603" s="319"/>
      <c r="G2603" s="320"/>
    </row>
    <row r="2604" spans="3:7">
      <c r="C2604" s="319"/>
      <c r="D2604" s="319"/>
      <c r="G2604" s="320"/>
    </row>
    <row r="2605" spans="3:7">
      <c r="C2605" s="319"/>
      <c r="D2605" s="319"/>
      <c r="G2605" s="320"/>
    </row>
    <row r="2606" spans="3:4">
      <c r="C2606" s="319"/>
      <c r="D2606" s="319"/>
    </row>
    <row r="2607" spans="3:4">
      <c r="C2607" s="319"/>
      <c r="D2607" s="319"/>
    </row>
    <row r="2608" spans="3:7">
      <c r="C2608" s="319"/>
      <c r="D2608" s="319"/>
      <c r="G2608" s="320"/>
    </row>
    <row r="2609" spans="3:7">
      <c r="C2609" s="319"/>
      <c r="D2609" s="319"/>
      <c r="G2609" s="320"/>
    </row>
    <row r="2610" spans="3:7">
      <c r="C2610" s="319"/>
      <c r="D2610" s="319"/>
      <c r="G2610" s="320"/>
    </row>
    <row r="2611" spans="3:7">
      <c r="C2611" s="319"/>
      <c r="D2611" s="319"/>
      <c r="G2611" s="320"/>
    </row>
    <row r="2612" spans="3:7">
      <c r="C2612" s="319"/>
      <c r="D2612" s="319"/>
      <c r="G2612" s="320"/>
    </row>
    <row r="2613" spans="3:7">
      <c r="C2613" s="319"/>
      <c r="D2613" s="319"/>
      <c r="G2613" s="320"/>
    </row>
    <row r="2614" spans="3:7">
      <c r="C2614" s="319"/>
      <c r="D2614" s="319"/>
      <c r="G2614" s="320"/>
    </row>
    <row r="2615" spans="3:7">
      <c r="C2615" s="319"/>
      <c r="D2615" s="319"/>
      <c r="G2615" s="320"/>
    </row>
    <row r="2616" spans="3:7">
      <c r="C2616" s="319"/>
      <c r="D2616" s="319"/>
      <c r="G2616" s="320"/>
    </row>
    <row r="2617" spans="3:7">
      <c r="C2617" s="319"/>
      <c r="D2617" s="319"/>
      <c r="G2617" s="320"/>
    </row>
    <row r="2618" spans="3:7">
      <c r="C2618" s="319"/>
      <c r="D2618" s="319"/>
      <c r="G2618" s="320"/>
    </row>
    <row r="2619" spans="3:7">
      <c r="C2619" s="319"/>
      <c r="D2619" s="319"/>
      <c r="G2619" s="320"/>
    </row>
    <row r="2620" spans="3:7">
      <c r="C2620" s="319"/>
      <c r="D2620" s="319"/>
      <c r="G2620" s="320"/>
    </row>
    <row r="2621" spans="3:4">
      <c r="C2621" s="319"/>
      <c r="D2621" s="319"/>
    </row>
    <row r="2622" spans="3:4">
      <c r="C2622" s="319"/>
      <c r="D2622" s="319"/>
    </row>
    <row r="2623" spans="3:7">
      <c r="C2623" s="319"/>
      <c r="D2623" s="319"/>
      <c r="G2623" s="320"/>
    </row>
    <row r="2624" spans="3:7">
      <c r="C2624" s="319"/>
      <c r="D2624" s="319"/>
      <c r="G2624" s="320"/>
    </row>
    <row r="2625" spans="3:7">
      <c r="C2625" s="319"/>
      <c r="D2625" s="319"/>
      <c r="G2625" s="320"/>
    </row>
    <row r="2626" spans="3:7">
      <c r="C2626" s="319"/>
      <c r="D2626" s="319"/>
      <c r="G2626" s="320"/>
    </row>
    <row r="2627" spans="3:7">
      <c r="C2627" s="319"/>
      <c r="D2627" s="319"/>
      <c r="G2627" s="320"/>
    </row>
    <row r="2628" spans="3:7">
      <c r="C2628" s="319"/>
      <c r="D2628" s="319"/>
      <c r="G2628" s="320"/>
    </row>
    <row r="2629" spans="3:4">
      <c r="C2629" s="319"/>
      <c r="D2629" s="319"/>
    </row>
    <row r="2630" spans="3:7">
      <c r="C2630" s="319"/>
      <c r="D2630" s="319"/>
      <c r="G2630" s="320"/>
    </row>
    <row r="2631" spans="3:7">
      <c r="C2631" s="319"/>
      <c r="D2631" s="319"/>
      <c r="G2631" s="320"/>
    </row>
    <row r="2632" spans="3:7">
      <c r="C2632" s="319"/>
      <c r="D2632" s="319"/>
      <c r="G2632" s="320"/>
    </row>
    <row r="2633" spans="3:7">
      <c r="C2633" s="319"/>
      <c r="D2633" s="319"/>
      <c r="G2633" s="320"/>
    </row>
    <row r="2634" spans="3:7">
      <c r="C2634" s="319"/>
      <c r="D2634" s="319"/>
      <c r="G2634" s="320"/>
    </row>
    <row r="2635" spans="3:4">
      <c r="C2635" s="319"/>
      <c r="D2635" s="319"/>
    </row>
    <row r="2636" spans="3:7">
      <c r="C2636" s="319"/>
      <c r="D2636" s="319"/>
      <c r="G2636" s="320"/>
    </row>
    <row r="2637" spans="3:7">
      <c r="C2637" s="319"/>
      <c r="D2637" s="319"/>
      <c r="G2637" s="320"/>
    </row>
    <row r="2638" spans="3:7">
      <c r="C2638" s="319"/>
      <c r="D2638" s="319"/>
      <c r="G2638" s="320"/>
    </row>
    <row r="2639" spans="3:4">
      <c r="C2639" s="319"/>
      <c r="D2639" s="319"/>
    </row>
    <row r="2640" spans="3:7">
      <c r="C2640" s="319"/>
      <c r="D2640" s="319"/>
      <c r="G2640" s="320"/>
    </row>
    <row r="2641" spans="3:7">
      <c r="C2641" s="319"/>
      <c r="D2641" s="319"/>
      <c r="G2641" s="320"/>
    </row>
    <row r="2642" spans="3:7">
      <c r="C2642" s="319"/>
      <c r="D2642" s="319"/>
      <c r="G2642" s="320"/>
    </row>
    <row r="2643" spans="3:7">
      <c r="C2643" s="319"/>
      <c r="D2643" s="319"/>
      <c r="G2643" s="320"/>
    </row>
    <row r="2644" spans="3:4">
      <c r="C2644" s="319"/>
      <c r="D2644" s="319"/>
    </row>
    <row r="2645" spans="3:4">
      <c r="C2645" s="319"/>
      <c r="D2645" s="319"/>
    </row>
    <row r="2646" spans="3:4">
      <c r="C2646" s="319"/>
      <c r="D2646" s="319"/>
    </row>
    <row r="2647" spans="3:7">
      <c r="C2647" s="319"/>
      <c r="D2647" s="319"/>
      <c r="G2647" s="320"/>
    </row>
    <row r="2648" spans="3:7">
      <c r="C2648" s="319"/>
      <c r="D2648" s="319"/>
      <c r="G2648" s="320"/>
    </row>
    <row r="2649" spans="3:7">
      <c r="C2649" s="319"/>
      <c r="D2649" s="319"/>
      <c r="G2649" s="320"/>
    </row>
    <row r="2650" spans="3:7">
      <c r="C2650" s="319"/>
      <c r="D2650" s="319"/>
      <c r="G2650" s="320"/>
    </row>
    <row r="2651" spans="3:4">
      <c r="C2651" s="319"/>
      <c r="D2651" s="319"/>
    </row>
    <row r="2652" spans="3:7">
      <c r="C2652" s="319"/>
      <c r="D2652" s="319"/>
      <c r="G2652" s="320"/>
    </row>
    <row r="2653" spans="3:7">
      <c r="C2653" s="319"/>
      <c r="D2653" s="319"/>
      <c r="G2653" s="320"/>
    </row>
    <row r="2654" spans="3:7">
      <c r="C2654" s="319"/>
      <c r="D2654" s="319"/>
      <c r="G2654" s="320"/>
    </row>
    <row r="2655" spans="3:4">
      <c r="C2655" s="319"/>
      <c r="D2655" s="319"/>
    </row>
    <row r="2656" spans="3:7">
      <c r="C2656" s="319"/>
      <c r="D2656" s="319"/>
      <c r="G2656" s="320"/>
    </row>
    <row r="2657" spans="3:7">
      <c r="C2657" s="319"/>
      <c r="D2657" s="319"/>
      <c r="G2657" s="320"/>
    </row>
    <row r="2658" spans="3:7">
      <c r="C2658" s="319"/>
      <c r="D2658" s="319"/>
      <c r="G2658" s="320"/>
    </row>
    <row r="2659" spans="3:7">
      <c r="C2659" s="319"/>
      <c r="D2659" s="319"/>
      <c r="G2659" s="320"/>
    </row>
    <row r="2660" spans="3:4">
      <c r="C2660" s="319"/>
      <c r="D2660" s="319"/>
    </row>
    <row r="2661" spans="3:7">
      <c r="C2661" s="319"/>
      <c r="D2661" s="319"/>
      <c r="G2661" s="320"/>
    </row>
    <row r="2662" spans="3:4">
      <c r="C2662" s="319"/>
      <c r="D2662" s="319"/>
    </row>
    <row r="2663" spans="3:7">
      <c r="C2663" s="319"/>
      <c r="D2663" s="319"/>
      <c r="G2663" s="320"/>
    </row>
    <row r="2664" spans="3:7">
      <c r="C2664" s="319"/>
      <c r="D2664" s="319"/>
      <c r="G2664" s="320"/>
    </row>
    <row r="2665" spans="3:4">
      <c r="C2665" s="319"/>
      <c r="D2665" s="319"/>
    </row>
    <row r="2666" spans="3:7">
      <c r="C2666" s="319"/>
      <c r="D2666" s="319"/>
      <c r="G2666" s="320"/>
    </row>
    <row r="2667" spans="3:7">
      <c r="C2667" s="319"/>
      <c r="D2667" s="319"/>
      <c r="G2667" s="320"/>
    </row>
    <row r="2668" spans="3:4">
      <c r="C2668" s="319"/>
      <c r="D2668" s="319"/>
    </row>
    <row r="2669" spans="3:7">
      <c r="C2669" s="319"/>
      <c r="D2669" s="319"/>
      <c r="G2669" s="320"/>
    </row>
    <row r="2670" spans="3:7">
      <c r="C2670" s="319"/>
      <c r="D2670" s="319"/>
      <c r="G2670" s="320"/>
    </row>
    <row r="2671" spans="3:4">
      <c r="C2671" s="319"/>
      <c r="D2671" s="319"/>
    </row>
    <row r="2672" spans="3:7">
      <c r="C2672" s="319"/>
      <c r="D2672" s="319"/>
      <c r="G2672" s="320"/>
    </row>
    <row r="2673" spans="3:7">
      <c r="C2673" s="319"/>
      <c r="D2673" s="319"/>
      <c r="G2673" s="320"/>
    </row>
    <row r="2674" spans="3:7">
      <c r="C2674" s="319"/>
      <c r="D2674" s="319"/>
      <c r="G2674" s="320"/>
    </row>
    <row r="2675" spans="3:4">
      <c r="C2675" s="319"/>
      <c r="D2675" s="319"/>
    </row>
    <row r="2676" spans="3:7">
      <c r="C2676" s="319"/>
      <c r="D2676" s="319"/>
      <c r="G2676" s="320"/>
    </row>
    <row r="2677" spans="3:7">
      <c r="C2677" s="319"/>
      <c r="D2677" s="319"/>
      <c r="G2677" s="320"/>
    </row>
    <row r="2678" spans="3:7">
      <c r="C2678" s="319"/>
      <c r="D2678" s="319"/>
      <c r="G2678" s="320"/>
    </row>
    <row r="2679" spans="3:7">
      <c r="C2679" s="319"/>
      <c r="D2679" s="319"/>
      <c r="G2679" s="320"/>
    </row>
    <row r="2680" spans="3:7">
      <c r="C2680" s="319"/>
      <c r="D2680" s="319"/>
      <c r="G2680" s="320"/>
    </row>
    <row r="2681" spans="3:7">
      <c r="C2681" s="319"/>
      <c r="D2681" s="319"/>
      <c r="G2681" s="320"/>
    </row>
    <row r="2682" spans="3:7">
      <c r="C2682" s="319"/>
      <c r="D2682" s="319"/>
      <c r="G2682" s="320"/>
    </row>
    <row r="2683" spans="3:7">
      <c r="C2683" s="319"/>
      <c r="D2683" s="319"/>
      <c r="G2683" s="320"/>
    </row>
    <row r="2684" spans="3:7">
      <c r="C2684" s="319"/>
      <c r="D2684" s="319"/>
      <c r="G2684" s="320"/>
    </row>
    <row r="2685" spans="3:7">
      <c r="C2685" s="319"/>
      <c r="D2685" s="319"/>
      <c r="G2685" s="320"/>
    </row>
    <row r="2686" spans="3:7">
      <c r="C2686" s="319"/>
      <c r="D2686" s="319"/>
      <c r="G2686" s="320"/>
    </row>
    <row r="2687" spans="3:4">
      <c r="C2687" s="319"/>
      <c r="D2687" s="319"/>
    </row>
    <row r="2688" spans="3:7">
      <c r="C2688" s="319"/>
      <c r="D2688" s="319"/>
      <c r="G2688" s="320"/>
    </row>
    <row r="2689" spans="3:7">
      <c r="C2689" s="319"/>
      <c r="D2689" s="319"/>
      <c r="G2689" s="320"/>
    </row>
    <row r="2690" spans="3:7">
      <c r="C2690" s="319"/>
      <c r="D2690" s="319"/>
      <c r="G2690" s="320"/>
    </row>
    <row r="2691" spans="3:7">
      <c r="C2691" s="319"/>
      <c r="D2691" s="319"/>
      <c r="G2691" s="320"/>
    </row>
    <row r="2692" spans="3:7">
      <c r="C2692" s="319"/>
      <c r="D2692" s="319"/>
      <c r="G2692" s="320"/>
    </row>
    <row r="2693" spans="3:4">
      <c r="C2693" s="319"/>
      <c r="D2693" s="319"/>
    </row>
    <row r="2694" spans="3:7">
      <c r="C2694" s="319"/>
      <c r="D2694" s="319"/>
      <c r="G2694" s="320"/>
    </row>
    <row r="2695" spans="3:4">
      <c r="C2695" s="319"/>
      <c r="D2695" s="319"/>
    </row>
    <row r="2696" spans="3:7">
      <c r="C2696" s="319"/>
      <c r="D2696" s="319"/>
      <c r="G2696" s="320"/>
    </row>
    <row r="2697" spans="3:7">
      <c r="C2697" s="319"/>
      <c r="D2697" s="319"/>
      <c r="G2697" s="320"/>
    </row>
    <row r="2698" spans="3:4">
      <c r="C2698" s="319"/>
      <c r="D2698" s="319"/>
    </row>
    <row r="2699" spans="3:7">
      <c r="C2699" s="319"/>
      <c r="D2699" s="319"/>
      <c r="G2699" s="320"/>
    </row>
    <row r="2700" spans="3:7">
      <c r="C2700" s="319"/>
      <c r="D2700" s="319"/>
      <c r="G2700" s="320"/>
    </row>
    <row r="2701" spans="3:7">
      <c r="C2701" s="319"/>
      <c r="D2701" s="319"/>
      <c r="G2701" s="320"/>
    </row>
    <row r="2702" spans="3:7">
      <c r="C2702" s="319"/>
      <c r="D2702" s="319"/>
      <c r="G2702" s="320"/>
    </row>
    <row r="2703" spans="3:7">
      <c r="C2703" s="319"/>
      <c r="D2703" s="319"/>
      <c r="G2703" s="320"/>
    </row>
    <row r="2704" spans="3:7">
      <c r="C2704" s="319"/>
      <c r="D2704" s="319"/>
      <c r="G2704" s="320"/>
    </row>
    <row r="2705" spans="3:4">
      <c r="C2705" s="319"/>
      <c r="D2705" s="319"/>
    </row>
    <row r="2706" spans="3:4">
      <c r="C2706" s="319"/>
      <c r="D2706" s="319"/>
    </row>
    <row r="2707" spans="3:7">
      <c r="C2707" s="319"/>
      <c r="D2707" s="319"/>
      <c r="G2707" s="320"/>
    </row>
    <row r="2708" spans="3:7">
      <c r="C2708" s="319"/>
      <c r="D2708" s="319"/>
      <c r="G2708" s="320"/>
    </row>
    <row r="2709" spans="3:7">
      <c r="C2709" s="319"/>
      <c r="D2709" s="319"/>
      <c r="G2709" s="320"/>
    </row>
    <row r="2710" spans="3:4">
      <c r="C2710" s="319"/>
      <c r="D2710" s="319"/>
    </row>
    <row r="2711" spans="3:7">
      <c r="C2711" s="319"/>
      <c r="D2711" s="319"/>
      <c r="G2711" s="320"/>
    </row>
    <row r="2712" spans="3:7">
      <c r="C2712" s="319"/>
      <c r="D2712" s="319"/>
      <c r="G2712" s="320"/>
    </row>
    <row r="2713" spans="3:7">
      <c r="C2713" s="319"/>
      <c r="D2713" s="319"/>
      <c r="G2713" s="320"/>
    </row>
    <row r="2714" spans="3:7">
      <c r="C2714" s="319"/>
      <c r="D2714" s="319"/>
      <c r="G2714" s="320"/>
    </row>
    <row r="2715" spans="3:7">
      <c r="C2715" s="319"/>
      <c r="D2715" s="319"/>
      <c r="G2715" s="320"/>
    </row>
    <row r="2716" spans="3:4">
      <c r="C2716" s="319"/>
      <c r="D2716" s="319"/>
    </row>
    <row r="2717" spans="3:7">
      <c r="C2717" s="319"/>
      <c r="D2717" s="319"/>
      <c r="G2717" s="320"/>
    </row>
    <row r="2718" spans="3:4">
      <c r="C2718" s="319"/>
      <c r="D2718" s="319"/>
    </row>
    <row r="2719" spans="3:7">
      <c r="C2719" s="319"/>
      <c r="D2719" s="319"/>
      <c r="G2719" s="320"/>
    </row>
    <row r="2720" spans="3:7">
      <c r="C2720" s="319"/>
      <c r="D2720" s="319"/>
      <c r="G2720" s="320"/>
    </row>
    <row r="2721" spans="3:7">
      <c r="C2721" s="319"/>
      <c r="D2721" s="319"/>
      <c r="G2721" s="320"/>
    </row>
    <row r="2722" spans="3:7">
      <c r="C2722" s="319"/>
      <c r="D2722" s="319"/>
      <c r="G2722" s="320"/>
    </row>
    <row r="2723" spans="3:7">
      <c r="C2723" s="319"/>
      <c r="D2723" s="319"/>
      <c r="G2723" s="320"/>
    </row>
    <row r="2724" spans="3:4">
      <c r="C2724" s="319"/>
      <c r="D2724" s="319"/>
    </row>
    <row r="2725" spans="3:7">
      <c r="C2725" s="319"/>
      <c r="D2725" s="319"/>
      <c r="G2725" s="320"/>
    </row>
    <row r="2726" spans="3:7">
      <c r="C2726" s="319"/>
      <c r="D2726" s="319"/>
      <c r="G2726" s="320"/>
    </row>
    <row r="2727" spans="3:4">
      <c r="C2727" s="319"/>
      <c r="D2727" s="319"/>
    </row>
    <row r="2728" spans="3:7">
      <c r="C2728" s="319"/>
      <c r="D2728" s="319"/>
      <c r="G2728" s="320"/>
    </row>
    <row r="2729" spans="3:7">
      <c r="C2729" s="319"/>
      <c r="D2729" s="319"/>
      <c r="G2729" s="320"/>
    </row>
    <row r="2730" spans="3:7">
      <c r="C2730" s="319"/>
      <c r="D2730" s="319"/>
      <c r="G2730" s="320"/>
    </row>
    <row r="2731" spans="3:4">
      <c r="C2731" s="319"/>
      <c r="D2731" s="319"/>
    </row>
    <row r="2732" spans="3:7">
      <c r="C2732" s="319"/>
      <c r="D2732" s="319"/>
      <c r="G2732" s="320"/>
    </row>
    <row r="2733" spans="3:7">
      <c r="C2733" s="319"/>
      <c r="D2733" s="319"/>
      <c r="G2733" s="320"/>
    </row>
    <row r="2734" spans="3:7">
      <c r="C2734" s="319"/>
      <c r="D2734" s="319"/>
      <c r="G2734" s="320"/>
    </row>
    <row r="2735" spans="3:7">
      <c r="C2735" s="319"/>
      <c r="D2735" s="319"/>
      <c r="G2735" s="320"/>
    </row>
    <row r="2736" spans="3:7">
      <c r="C2736" s="319"/>
      <c r="D2736" s="319"/>
      <c r="G2736" s="320"/>
    </row>
    <row r="2737" spans="3:7">
      <c r="C2737" s="319"/>
      <c r="D2737" s="319"/>
      <c r="G2737" s="320"/>
    </row>
    <row r="2738" spans="3:7">
      <c r="C2738" s="319"/>
      <c r="D2738" s="319"/>
      <c r="G2738" s="320"/>
    </row>
    <row r="2739" spans="3:4">
      <c r="C2739" s="319"/>
      <c r="D2739" s="319"/>
    </row>
    <row r="2740" spans="3:7">
      <c r="C2740" s="319"/>
      <c r="D2740" s="319"/>
      <c r="G2740" s="320"/>
    </row>
    <row r="2741" spans="3:4">
      <c r="C2741" s="319"/>
      <c r="D2741" s="319"/>
    </row>
    <row r="2742" spans="3:7">
      <c r="C2742" s="319"/>
      <c r="D2742" s="319"/>
      <c r="G2742" s="320"/>
    </row>
    <row r="2743" spans="3:7">
      <c r="C2743" s="319"/>
      <c r="D2743" s="319"/>
      <c r="G2743" s="320"/>
    </row>
    <row r="2744" spans="3:7">
      <c r="C2744" s="319"/>
      <c r="D2744" s="319"/>
      <c r="G2744" s="320"/>
    </row>
    <row r="2745" spans="3:7">
      <c r="C2745" s="319"/>
      <c r="D2745" s="319"/>
      <c r="G2745" s="320"/>
    </row>
    <row r="2746" spans="3:7">
      <c r="C2746" s="319"/>
      <c r="D2746" s="319"/>
      <c r="G2746" s="320"/>
    </row>
    <row r="2747" spans="3:7">
      <c r="C2747" s="319"/>
      <c r="D2747" s="319"/>
      <c r="G2747" s="320"/>
    </row>
    <row r="2748" spans="3:7">
      <c r="C2748" s="319"/>
      <c r="D2748" s="319"/>
      <c r="G2748" s="320"/>
    </row>
    <row r="2749" spans="3:4">
      <c r="C2749" s="319"/>
      <c r="D2749" s="319"/>
    </row>
    <row r="2750" spans="3:7">
      <c r="C2750" s="319"/>
      <c r="D2750" s="319"/>
      <c r="G2750" s="320"/>
    </row>
    <row r="2751" spans="3:7">
      <c r="C2751" s="319"/>
      <c r="D2751" s="319"/>
      <c r="G2751" s="320"/>
    </row>
    <row r="2752" spans="3:7">
      <c r="C2752" s="319"/>
      <c r="D2752" s="319"/>
      <c r="G2752" s="320"/>
    </row>
    <row r="2753" spans="3:7">
      <c r="C2753" s="319"/>
      <c r="D2753" s="319"/>
      <c r="G2753" s="320"/>
    </row>
    <row r="2754" spans="3:4">
      <c r="C2754" s="319"/>
      <c r="D2754" s="319"/>
    </row>
    <row r="2755" spans="3:4">
      <c r="C2755" s="319"/>
      <c r="D2755" s="319"/>
    </row>
    <row r="2756" spans="3:7">
      <c r="C2756" s="319"/>
      <c r="D2756" s="319"/>
      <c r="G2756" s="320"/>
    </row>
    <row r="2757" spans="3:7">
      <c r="C2757" s="319"/>
      <c r="D2757" s="319"/>
      <c r="G2757" s="320"/>
    </row>
    <row r="2758" spans="3:7">
      <c r="C2758" s="319"/>
      <c r="D2758" s="319"/>
      <c r="G2758" s="320"/>
    </row>
    <row r="2759" spans="3:4">
      <c r="C2759" s="319"/>
      <c r="D2759" s="319"/>
    </row>
    <row r="2760" spans="3:7">
      <c r="C2760" s="319"/>
      <c r="D2760" s="319"/>
      <c r="G2760" s="320"/>
    </row>
    <row r="2761" spans="3:7">
      <c r="C2761" s="319"/>
      <c r="D2761" s="319"/>
      <c r="G2761" s="320"/>
    </row>
    <row r="2762" spans="3:7">
      <c r="C2762" s="319"/>
      <c r="D2762" s="319"/>
      <c r="G2762" s="320"/>
    </row>
    <row r="2763" spans="3:7">
      <c r="C2763" s="319"/>
      <c r="D2763" s="319"/>
      <c r="G2763" s="320"/>
    </row>
    <row r="2764" spans="3:7">
      <c r="C2764" s="319"/>
      <c r="D2764" s="319"/>
      <c r="G2764" s="320"/>
    </row>
    <row r="2765" spans="3:4">
      <c r="C2765" s="319"/>
      <c r="D2765" s="319"/>
    </row>
    <row r="2766" spans="3:7">
      <c r="C2766" s="319"/>
      <c r="D2766" s="319"/>
      <c r="G2766" s="320"/>
    </row>
    <row r="2767" spans="3:7">
      <c r="C2767" s="319"/>
      <c r="D2767" s="319"/>
      <c r="G2767" s="320"/>
    </row>
    <row r="2768" spans="3:7">
      <c r="C2768" s="319"/>
      <c r="D2768" s="319"/>
      <c r="G2768" s="320"/>
    </row>
    <row r="2769" spans="3:7">
      <c r="C2769" s="319"/>
      <c r="D2769" s="319"/>
      <c r="G2769" s="320"/>
    </row>
    <row r="2770" spans="3:4">
      <c r="C2770" s="319"/>
      <c r="D2770" s="319"/>
    </row>
    <row r="2771" spans="3:7">
      <c r="C2771" s="319"/>
      <c r="D2771" s="319"/>
      <c r="G2771" s="320"/>
    </row>
    <row r="2772" spans="3:4">
      <c r="C2772" s="319"/>
      <c r="D2772" s="319"/>
    </row>
    <row r="2773" spans="3:7">
      <c r="C2773" s="319"/>
      <c r="D2773" s="319"/>
      <c r="G2773" s="320"/>
    </row>
    <row r="2774" spans="3:7">
      <c r="C2774" s="319"/>
      <c r="D2774" s="319"/>
      <c r="G2774" s="320"/>
    </row>
    <row r="2775" spans="3:7">
      <c r="C2775" s="319"/>
      <c r="D2775" s="319"/>
      <c r="G2775" s="320"/>
    </row>
    <row r="2776" spans="3:7">
      <c r="C2776" s="319"/>
      <c r="D2776" s="319"/>
      <c r="G2776" s="320"/>
    </row>
    <row r="2777" spans="3:7">
      <c r="C2777" s="319"/>
      <c r="D2777" s="319"/>
      <c r="G2777" s="320"/>
    </row>
    <row r="2778" spans="3:4">
      <c r="C2778" s="319"/>
      <c r="D2778" s="319"/>
    </row>
    <row r="2779" spans="3:7">
      <c r="C2779" s="319"/>
      <c r="D2779" s="319"/>
      <c r="G2779" s="320"/>
    </row>
    <row r="2780" spans="3:4">
      <c r="C2780" s="319"/>
      <c r="D2780" s="319"/>
    </row>
    <row r="2781" spans="3:7">
      <c r="C2781" s="319"/>
      <c r="D2781" s="319"/>
      <c r="G2781" s="320"/>
    </row>
    <row r="2782" spans="3:4">
      <c r="C2782" s="319"/>
      <c r="D2782" s="319"/>
    </row>
    <row r="2783" spans="3:7">
      <c r="C2783" s="319"/>
      <c r="D2783" s="319"/>
      <c r="G2783" s="320"/>
    </row>
    <row r="2784" spans="3:7">
      <c r="C2784" s="319"/>
      <c r="D2784" s="319"/>
      <c r="G2784" s="320"/>
    </row>
    <row r="2785" spans="3:7">
      <c r="C2785" s="319"/>
      <c r="D2785" s="319"/>
      <c r="G2785" s="320"/>
    </row>
    <row r="2786" spans="3:4">
      <c r="C2786" s="319"/>
      <c r="D2786" s="319"/>
    </row>
    <row r="2787" spans="3:4">
      <c r="C2787" s="319"/>
      <c r="D2787" s="319"/>
    </row>
    <row r="2788" spans="3:7">
      <c r="C2788" s="319"/>
      <c r="D2788" s="319"/>
      <c r="G2788" s="320"/>
    </row>
    <row r="2789" spans="3:7">
      <c r="C2789" s="319"/>
      <c r="D2789" s="319"/>
      <c r="G2789" s="320"/>
    </row>
    <row r="2790" spans="3:4">
      <c r="C2790" s="319"/>
      <c r="D2790" s="319"/>
    </row>
    <row r="2791" spans="3:7">
      <c r="C2791" s="319"/>
      <c r="D2791" s="319"/>
      <c r="G2791" s="320"/>
    </row>
    <row r="2792" spans="3:7">
      <c r="C2792" s="319"/>
      <c r="D2792" s="319"/>
      <c r="G2792" s="320"/>
    </row>
    <row r="2793" spans="3:4">
      <c r="C2793" s="319"/>
      <c r="D2793" s="319"/>
    </row>
    <row r="2794" spans="3:7">
      <c r="C2794" s="319"/>
      <c r="D2794" s="319"/>
      <c r="G2794" s="320"/>
    </row>
    <row r="2795" spans="3:4">
      <c r="C2795" s="319"/>
      <c r="D2795" s="319"/>
    </row>
    <row r="2796" spans="3:4">
      <c r="C2796" s="319"/>
      <c r="D2796" s="319"/>
    </row>
    <row r="2797" spans="3:7">
      <c r="C2797" s="319"/>
      <c r="D2797" s="319"/>
      <c r="G2797" s="320"/>
    </row>
    <row r="2798" spans="3:7">
      <c r="C2798" s="319"/>
      <c r="D2798" s="319"/>
      <c r="G2798" s="320"/>
    </row>
    <row r="2799" spans="3:7">
      <c r="C2799" s="319"/>
      <c r="D2799" s="319"/>
      <c r="G2799" s="320"/>
    </row>
    <row r="2800" spans="3:7">
      <c r="C2800" s="319"/>
      <c r="D2800" s="319"/>
      <c r="G2800" s="320"/>
    </row>
    <row r="2801" spans="3:4">
      <c r="C2801" s="319"/>
      <c r="D2801" s="319"/>
    </row>
    <row r="2802" spans="3:7">
      <c r="C2802" s="319"/>
      <c r="D2802" s="319"/>
      <c r="G2802" s="320"/>
    </row>
    <row r="2803" spans="3:7">
      <c r="C2803" s="319"/>
      <c r="D2803" s="319"/>
      <c r="G2803" s="320"/>
    </row>
    <row r="2804" spans="3:7">
      <c r="C2804" s="319"/>
      <c r="D2804" s="319"/>
      <c r="G2804" s="320"/>
    </row>
    <row r="2805" spans="3:7">
      <c r="C2805" s="319"/>
      <c r="D2805" s="319"/>
      <c r="G2805" s="320"/>
    </row>
    <row r="2806" spans="3:4">
      <c r="C2806" s="319"/>
      <c r="D2806" s="319"/>
    </row>
    <row r="2807" spans="3:7">
      <c r="C2807" s="319"/>
      <c r="D2807" s="319"/>
      <c r="G2807" s="320"/>
    </row>
    <row r="2808" spans="3:4">
      <c r="C2808" s="319"/>
      <c r="D2808" s="319"/>
    </row>
    <row r="2809" spans="3:7">
      <c r="C2809" s="319"/>
      <c r="D2809" s="319"/>
      <c r="G2809" s="320"/>
    </row>
    <row r="2810" spans="3:7">
      <c r="C2810" s="319"/>
      <c r="D2810" s="319"/>
      <c r="G2810" s="320"/>
    </row>
    <row r="2811" spans="3:7">
      <c r="C2811" s="319"/>
      <c r="D2811" s="319"/>
      <c r="G2811" s="320"/>
    </row>
    <row r="2812" spans="3:7">
      <c r="C2812" s="319"/>
      <c r="D2812" s="319"/>
      <c r="G2812" s="320"/>
    </row>
    <row r="2813" spans="3:7">
      <c r="C2813" s="319"/>
      <c r="D2813" s="319"/>
      <c r="G2813" s="320"/>
    </row>
    <row r="2814" spans="3:7">
      <c r="C2814" s="319"/>
      <c r="D2814" s="319"/>
      <c r="G2814" s="320"/>
    </row>
    <row r="2815" spans="3:4">
      <c r="C2815" s="319"/>
      <c r="D2815" s="319"/>
    </row>
    <row r="2816" spans="3:7">
      <c r="C2816" s="319"/>
      <c r="D2816" s="319"/>
      <c r="G2816" s="320"/>
    </row>
    <row r="2817" spans="3:7">
      <c r="C2817" s="319"/>
      <c r="D2817" s="319"/>
      <c r="G2817" s="320"/>
    </row>
    <row r="2818" spans="3:7">
      <c r="C2818" s="319"/>
      <c r="D2818" s="319"/>
      <c r="G2818" s="320"/>
    </row>
    <row r="2819" spans="3:4">
      <c r="C2819" s="319"/>
      <c r="D2819" s="319"/>
    </row>
    <row r="2820" spans="3:7">
      <c r="C2820" s="319"/>
      <c r="D2820" s="319"/>
      <c r="G2820" s="320"/>
    </row>
    <row r="2821" spans="3:7">
      <c r="C2821" s="319"/>
      <c r="D2821" s="319"/>
      <c r="G2821" s="320"/>
    </row>
    <row r="2822" spans="3:7">
      <c r="C2822" s="319"/>
      <c r="D2822" s="319"/>
      <c r="G2822" s="320"/>
    </row>
    <row r="2823" spans="3:7">
      <c r="C2823" s="319"/>
      <c r="D2823" s="319"/>
      <c r="G2823" s="320"/>
    </row>
    <row r="2824" spans="3:7">
      <c r="C2824" s="319"/>
      <c r="D2824" s="319"/>
      <c r="G2824" s="320"/>
    </row>
    <row r="2825" spans="3:7">
      <c r="C2825" s="319"/>
      <c r="D2825" s="319"/>
      <c r="G2825" s="320"/>
    </row>
    <row r="2826" spans="3:7">
      <c r="C2826" s="319"/>
      <c r="D2826" s="319"/>
      <c r="G2826" s="320"/>
    </row>
    <row r="2827" spans="3:7">
      <c r="C2827" s="319"/>
      <c r="D2827" s="319"/>
      <c r="G2827" s="320"/>
    </row>
    <row r="2828" spans="3:7">
      <c r="C2828" s="319"/>
      <c r="D2828" s="319"/>
      <c r="G2828" s="320"/>
    </row>
    <row r="2829" spans="3:4">
      <c r="C2829" s="319"/>
      <c r="D2829" s="319"/>
    </row>
    <row r="2830" spans="3:7">
      <c r="C2830" s="319"/>
      <c r="D2830" s="319"/>
      <c r="G2830" s="320"/>
    </row>
    <row r="2831" spans="3:7">
      <c r="C2831" s="319"/>
      <c r="D2831" s="319"/>
      <c r="G2831" s="320"/>
    </row>
    <row r="2832" spans="3:7">
      <c r="C2832" s="319"/>
      <c r="D2832" s="319"/>
      <c r="G2832" s="320"/>
    </row>
    <row r="2833" spans="3:7">
      <c r="C2833" s="319"/>
      <c r="D2833" s="319"/>
      <c r="G2833" s="320"/>
    </row>
    <row r="2834" spans="3:7">
      <c r="C2834" s="319"/>
      <c r="D2834" s="319"/>
      <c r="G2834" s="320"/>
    </row>
    <row r="2835" spans="3:7">
      <c r="C2835" s="319"/>
      <c r="D2835" s="319"/>
      <c r="G2835" s="320"/>
    </row>
    <row r="2836" spans="3:7">
      <c r="C2836" s="319"/>
      <c r="D2836" s="319"/>
      <c r="G2836" s="320"/>
    </row>
    <row r="2837" spans="3:7">
      <c r="C2837" s="319"/>
      <c r="D2837" s="319"/>
      <c r="G2837" s="320"/>
    </row>
    <row r="2838" spans="3:7">
      <c r="C2838" s="319"/>
      <c r="D2838" s="319"/>
      <c r="G2838" s="320"/>
    </row>
    <row r="2839" spans="3:4">
      <c r="C2839" s="319"/>
      <c r="D2839" s="319"/>
    </row>
    <row r="2840" spans="3:7">
      <c r="C2840" s="319"/>
      <c r="D2840" s="319"/>
      <c r="G2840" s="320"/>
    </row>
    <row r="2841" spans="3:7">
      <c r="C2841" s="319"/>
      <c r="D2841" s="319"/>
      <c r="G2841" s="320"/>
    </row>
    <row r="2842" spans="3:7">
      <c r="C2842" s="319"/>
      <c r="D2842" s="319"/>
      <c r="G2842" s="320"/>
    </row>
    <row r="2843" spans="3:4">
      <c r="C2843" s="319"/>
      <c r="D2843" s="319"/>
    </row>
    <row r="2844" spans="3:7">
      <c r="C2844" s="319"/>
      <c r="D2844" s="319"/>
      <c r="G2844" s="320"/>
    </row>
    <row r="2845" spans="3:7">
      <c r="C2845" s="319"/>
      <c r="D2845" s="319"/>
      <c r="G2845" s="320"/>
    </row>
    <row r="2846" spans="3:7">
      <c r="C2846" s="319"/>
      <c r="D2846" s="319"/>
      <c r="G2846" s="320"/>
    </row>
    <row r="2847" spans="3:7">
      <c r="C2847" s="319"/>
      <c r="D2847" s="319"/>
      <c r="G2847" s="320"/>
    </row>
    <row r="2848" spans="3:7">
      <c r="C2848" s="319"/>
      <c r="D2848" s="319"/>
      <c r="G2848" s="320"/>
    </row>
    <row r="2849" spans="3:7">
      <c r="C2849" s="319"/>
      <c r="D2849" s="319"/>
      <c r="G2849" s="320"/>
    </row>
    <row r="2850" spans="3:7">
      <c r="C2850" s="319"/>
      <c r="D2850" s="319"/>
      <c r="G2850" s="320"/>
    </row>
    <row r="2851" spans="3:7">
      <c r="C2851" s="319"/>
      <c r="D2851" s="319"/>
      <c r="G2851" s="320"/>
    </row>
    <row r="2852" spans="3:7">
      <c r="C2852" s="319"/>
      <c r="D2852" s="319"/>
      <c r="G2852" s="320"/>
    </row>
    <row r="2853" spans="3:7">
      <c r="C2853" s="319"/>
      <c r="D2853" s="319"/>
      <c r="G2853" s="320"/>
    </row>
    <row r="2854" spans="3:7">
      <c r="C2854" s="319"/>
      <c r="D2854" s="319"/>
      <c r="G2854" s="320"/>
    </row>
    <row r="2855" spans="3:7">
      <c r="C2855" s="319"/>
      <c r="D2855" s="319"/>
      <c r="G2855" s="320"/>
    </row>
    <row r="2856" spans="3:4">
      <c r="C2856" s="319"/>
      <c r="D2856" s="319"/>
    </row>
    <row r="2857" spans="3:7">
      <c r="C2857" s="319"/>
      <c r="D2857" s="319"/>
      <c r="G2857" s="320"/>
    </row>
    <row r="2858" spans="3:7">
      <c r="C2858" s="319"/>
      <c r="D2858" s="319"/>
      <c r="G2858" s="320"/>
    </row>
    <row r="2859" spans="3:7">
      <c r="C2859" s="319"/>
      <c r="D2859" s="319"/>
      <c r="G2859" s="320"/>
    </row>
    <row r="2860" spans="3:7">
      <c r="C2860" s="319"/>
      <c r="D2860" s="319"/>
      <c r="G2860" s="320"/>
    </row>
    <row r="2861" spans="3:4">
      <c r="C2861" s="319"/>
      <c r="D2861" s="319"/>
    </row>
    <row r="2862" spans="3:7">
      <c r="C2862" s="319"/>
      <c r="D2862" s="319"/>
      <c r="G2862" s="320"/>
    </row>
    <row r="2863" spans="3:7">
      <c r="C2863" s="319"/>
      <c r="D2863" s="319"/>
      <c r="G2863" s="320"/>
    </row>
    <row r="2864" spans="3:7">
      <c r="C2864" s="319"/>
      <c r="D2864" s="319"/>
      <c r="G2864" s="320"/>
    </row>
    <row r="2865" spans="3:7">
      <c r="C2865" s="319"/>
      <c r="D2865" s="319"/>
      <c r="G2865" s="320"/>
    </row>
    <row r="2866" spans="3:7">
      <c r="C2866" s="319"/>
      <c r="D2866" s="319"/>
      <c r="G2866" s="320"/>
    </row>
    <row r="2867" spans="3:4">
      <c r="C2867" s="319"/>
      <c r="D2867" s="319"/>
    </row>
    <row r="2868" spans="3:7">
      <c r="C2868" s="319"/>
      <c r="D2868" s="319"/>
      <c r="G2868" s="320"/>
    </row>
    <row r="2869" spans="3:7">
      <c r="C2869" s="319"/>
      <c r="D2869" s="319"/>
      <c r="G2869" s="320"/>
    </row>
    <row r="2870" spans="3:7">
      <c r="C2870" s="319"/>
      <c r="D2870" s="319"/>
      <c r="G2870" s="320"/>
    </row>
    <row r="2871" spans="3:4">
      <c r="C2871" s="319"/>
      <c r="D2871" s="319"/>
    </row>
    <row r="2872" spans="3:7">
      <c r="C2872" s="319"/>
      <c r="D2872" s="319"/>
      <c r="G2872" s="320"/>
    </row>
    <row r="2873" spans="3:7">
      <c r="C2873" s="319"/>
      <c r="D2873" s="319"/>
      <c r="G2873" s="320"/>
    </row>
    <row r="2874" spans="3:7">
      <c r="C2874" s="319"/>
      <c r="D2874" s="319"/>
      <c r="G2874" s="320"/>
    </row>
    <row r="2875" spans="3:7">
      <c r="C2875" s="319"/>
      <c r="D2875" s="319"/>
      <c r="G2875" s="320"/>
    </row>
    <row r="2876" spans="3:7">
      <c r="C2876" s="319"/>
      <c r="D2876" s="319"/>
      <c r="G2876" s="320"/>
    </row>
    <row r="2877" spans="3:7">
      <c r="C2877" s="319"/>
      <c r="D2877" s="319"/>
      <c r="G2877" s="320"/>
    </row>
    <row r="2878" spans="3:7">
      <c r="C2878" s="319"/>
      <c r="D2878" s="319"/>
      <c r="G2878" s="320"/>
    </row>
    <row r="2879" spans="3:4">
      <c r="C2879" s="319"/>
      <c r="D2879" s="319"/>
    </row>
    <row r="2880" spans="3:7">
      <c r="C2880" s="319"/>
      <c r="D2880" s="319"/>
      <c r="G2880" s="320"/>
    </row>
    <row r="2881" spans="3:7">
      <c r="C2881" s="319"/>
      <c r="D2881" s="319"/>
      <c r="G2881" s="320"/>
    </row>
    <row r="2882" spans="3:4">
      <c r="C2882" s="319"/>
      <c r="D2882" s="319"/>
    </row>
    <row r="2883" spans="3:7">
      <c r="C2883" s="319"/>
      <c r="D2883" s="319"/>
      <c r="G2883" s="320"/>
    </row>
    <row r="2884" spans="3:4">
      <c r="C2884" s="319"/>
      <c r="D2884" s="319"/>
    </row>
    <row r="2885" spans="3:7">
      <c r="C2885" s="319"/>
      <c r="D2885" s="319"/>
      <c r="G2885" s="320"/>
    </row>
    <row r="2886" spans="3:7">
      <c r="C2886" s="319"/>
      <c r="D2886" s="319"/>
      <c r="G2886" s="320"/>
    </row>
    <row r="2887" spans="3:7">
      <c r="C2887" s="319"/>
      <c r="D2887" s="319"/>
      <c r="G2887" s="320"/>
    </row>
    <row r="2888" spans="3:7">
      <c r="C2888" s="319"/>
      <c r="D2888" s="319"/>
      <c r="G2888" s="320"/>
    </row>
    <row r="2889" spans="3:4">
      <c r="C2889" s="319"/>
      <c r="D2889" s="319"/>
    </row>
    <row r="2890" spans="3:7">
      <c r="C2890" s="319"/>
      <c r="D2890" s="319"/>
      <c r="G2890" s="320"/>
    </row>
    <row r="2891" spans="3:4">
      <c r="C2891" s="319"/>
      <c r="D2891" s="319"/>
    </row>
    <row r="2892" spans="3:7">
      <c r="C2892" s="319"/>
      <c r="D2892" s="319"/>
      <c r="G2892" s="320"/>
    </row>
    <row r="2893" spans="3:4">
      <c r="C2893" s="319"/>
      <c r="D2893" s="319"/>
    </row>
    <row r="2894" spans="3:7">
      <c r="C2894" s="319"/>
      <c r="D2894" s="319"/>
      <c r="G2894" s="320"/>
    </row>
    <row r="2895" spans="3:4">
      <c r="C2895" s="319"/>
      <c r="D2895" s="319"/>
    </row>
    <row r="2896" spans="3:7">
      <c r="C2896" s="319"/>
      <c r="D2896" s="319"/>
      <c r="G2896" s="320"/>
    </row>
    <row r="2897" spans="3:7">
      <c r="C2897" s="319"/>
      <c r="D2897" s="319"/>
      <c r="G2897" s="320"/>
    </row>
    <row r="2898" spans="3:7">
      <c r="C2898" s="319"/>
      <c r="D2898" s="319"/>
      <c r="G2898" s="320"/>
    </row>
    <row r="2899" spans="3:7">
      <c r="C2899" s="319"/>
      <c r="D2899" s="319"/>
      <c r="G2899" s="320"/>
    </row>
    <row r="2900" spans="3:7">
      <c r="C2900" s="319"/>
      <c r="D2900" s="319"/>
      <c r="G2900" s="320"/>
    </row>
    <row r="2901" spans="3:4">
      <c r="C2901" s="319"/>
      <c r="D2901" s="319"/>
    </row>
    <row r="2902" spans="3:7">
      <c r="C2902" s="319"/>
      <c r="D2902" s="319"/>
      <c r="G2902" s="320"/>
    </row>
    <row r="2903" spans="3:7">
      <c r="C2903" s="319"/>
      <c r="D2903" s="319"/>
      <c r="G2903" s="320"/>
    </row>
    <row r="2904" spans="3:7">
      <c r="C2904" s="319"/>
      <c r="D2904" s="319"/>
      <c r="G2904" s="320"/>
    </row>
    <row r="2905" spans="3:7">
      <c r="C2905" s="319"/>
      <c r="D2905" s="319"/>
      <c r="G2905" s="320"/>
    </row>
    <row r="2906" spans="3:7">
      <c r="C2906" s="319"/>
      <c r="D2906" s="319"/>
      <c r="G2906" s="320"/>
    </row>
    <row r="2907" spans="3:7">
      <c r="C2907" s="319"/>
      <c r="D2907" s="319"/>
      <c r="G2907" s="320"/>
    </row>
    <row r="2908" spans="3:7">
      <c r="C2908" s="319"/>
      <c r="D2908" s="319"/>
      <c r="G2908" s="320"/>
    </row>
    <row r="2909" spans="3:7">
      <c r="C2909" s="319"/>
      <c r="D2909" s="319"/>
      <c r="G2909" s="320"/>
    </row>
    <row r="2910" spans="3:7">
      <c r="C2910" s="319"/>
      <c r="D2910" s="319"/>
      <c r="G2910" s="320"/>
    </row>
    <row r="2911" spans="3:4">
      <c r="C2911" s="319"/>
      <c r="D2911" s="319"/>
    </row>
    <row r="2912" spans="3:7">
      <c r="C2912" s="319"/>
      <c r="D2912" s="319"/>
      <c r="G2912" s="320"/>
    </row>
    <row r="2913" spans="3:7">
      <c r="C2913" s="319"/>
      <c r="D2913" s="319"/>
      <c r="G2913" s="320"/>
    </row>
    <row r="2914" spans="3:4">
      <c r="C2914" s="319"/>
      <c r="D2914" s="319"/>
    </row>
    <row r="2915" spans="3:4">
      <c r="C2915" s="319"/>
      <c r="D2915" s="319"/>
    </row>
    <row r="2916" spans="3:7">
      <c r="C2916" s="319"/>
      <c r="D2916" s="319"/>
      <c r="G2916" s="320"/>
    </row>
    <row r="2917" spans="3:7">
      <c r="C2917" s="319"/>
      <c r="D2917" s="319"/>
      <c r="G2917" s="320"/>
    </row>
    <row r="2918" spans="3:7">
      <c r="C2918" s="319"/>
      <c r="D2918" s="319"/>
      <c r="G2918" s="320"/>
    </row>
    <row r="2919" spans="3:4">
      <c r="C2919" s="319"/>
      <c r="D2919" s="319"/>
    </row>
    <row r="2920" spans="3:4">
      <c r="C2920" s="319"/>
      <c r="D2920" s="319"/>
    </row>
    <row r="2921" spans="3:7">
      <c r="C2921" s="319"/>
      <c r="D2921" s="319"/>
      <c r="G2921" s="320"/>
    </row>
    <row r="2922" spans="3:7">
      <c r="C2922" s="319"/>
      <c r="D2922" s="319"/>
      <c r="G2922" s="320"/>
    </row>
    <row r="2923" spans="3:7">
      <c r="C2923" s="319"/>
      <c r="D2923" s="319"/>
      <c r="G2923" s="320"/>
    </row>
    <row r="2924" spans="3:4">
      <c r="C2924" s="319"/>
      <c r="D2924" s="319"/>
    </row>
    <row r="2925" spans="3:7">
      <c r="C2925" s="319"/>
      <c r="D2925" s="319"/>
      <c r="G2925" s="320"/>
    </row>
    <row r="2926" spans="3:4">
      <c r="C2926" s="319"/>
      <c r="D2926" s="319"/>
    </row>
    <row r="2927" spans="3:7">
      <c r="C2927" s="319"/>
      <c r="D2927" s="319"/>
      <c r="G2927" s="320"/>
    </row>
    <row r="2928" spans="3:7">
      <c r="C2928" s="319"/>
      <c r="D2928" s="319"/>
      <c r="G2928" s="320"/>
    </row>
    <row r="2929" spans="3:4">
      <c r="C2929" s="319"/>
      <c r="D2929" s="319"/>
    </row>
    <row r="2930" spans="3:7">
      <c r="C2930" s="319"/>
      <c r="D2930" s="319"/>
      <c r="G2930" s="320"/>
    </row>
    <row r="2931" spans="3:7">
      <c r="C2931" s="319"/>
      <c r="D2931" s="319"/>
      <c r="G2931" s="320"/>
    </row>
    <row r="2932" spans="3:7">
      <c r="C2932" s="319"/>
      <c r="D2932" s="319"/>
      <c r="G2932" s="320"/>
    </row>
    <row r="2933" spans="3:7">
      <c r="C2933" s="319"/>
      <c r="D2933" s="319"/>
      <c r="G2933" s="320"/>
    </row>
    <row r="2934" spans="3:7">
      <c r="C2934" s="319"/>
      <c r="D2934" s="319"/>
      <c r="G2934" s="320"/>
    </row>
    <row r="2935" spans="3:7">
      <c r="C2935" s="319"/>
      <c r="D2935" s="319"/>
      <c r="G2935" s="320"/>
    </row>
    <row r="2936" spans="3:7">
      <c r="C2936" s="319"/>
      <c r="D2936" s="319"/>
      <c r="G2936" s="320"/>
    </row>
    <row r="2937" spans="3:7">
      <c r="C2937" s="319"/>
      <c r="D2937" s="319"/>
      <c r="G2937" s="320"/>
    </row>
    <row r="2938" spans="3:4">
      <c r="C2938" s="319"/>
      <c r="D2938" s="319"/>
    </row>
    <row r="2939" spans="3:4">
      <c r="C2939" s="319"/>
      <c r="D2939" s="319"/>
    </row>
    <row r="2940" spans="3:4">
      <c r="C2940" s="319"/>
      <c r="D2940" s="319"/>
    </row>
    <row r="2941" spans="3:4">
      <c r="C2941" s="319"/>
      <c r="D2941" s="319"/>
    </row>
    <row r="2942" spans="3:7">
      <c r="C2942" s="319"/>
      <c r="D2942" s="319"/>
      <c r="G2942" s="320"/>
    </row>
    <row r="2943" spans="3:7">
      <c r="C2943" s="319"/>
      <c r="D2943" s="319"/>
      <c r="G2943" s="320"/>
    </row>
    <row r="2944" spans="3:7">
      <c r="C2944" s="319"/>
      <c r="D2944" s="319"/>
      <c r="G2944" s="320"/>
    </row>
    <row r="2945" spans="3:7">
      <c r="C2945" s="319"/>
      <c r="D2945" s="319"/>
      <c r="G2945" s="320"/>
    </row>
    <row r="2946" spans="3:7">
      <c r="C2946" s="319"/>
      <c r="D2946" s="319"/>
      <c r="G2946" s="320"/>
    </row>
    <row r="2947" spans="3:7">
      <c r="C2947" s="319"/>
      <c r="D2947" s="319"/>
      <c r="G2947" s="320"/>
    </row>
    <row r="2948" spans="3:4">
      <c r="C2948" s="319"/>
      <c r="D2948" s="319"/>
    </row>
    <row r="2949" spans="3:7">
      <c r="C2949" s="319"/>
      <c r="D2949" s="319"/>
      <c r="G2949" s="320"/>
    </row>
    <row r="2950" spans="3:7">
      <c r="C2950" s="319"/>
      <c r="D2950" s="319"/>
      <c r="G2950" s="320"/>
    </row>
    <row r="2951" spans="3:7">
      <c r="C2951" s="319"/>
      <c r="D2951" s="319"/>
      <c r="G2951" s="320"/>
    </row>
    <row r="2952" spans="3:7">
      <c r="C2952" s="319"/>
      <c r="D2952" s="319"/>
      <c r="G2952" s="320"/>
    </row>
    <row r="2953" spans="3:7">
      <c r="C2953" s="319"/>
      <c r="D2953" s="319"/>
      <c r="G2953" s="320"/>
    </row>
    <row r="2954" spans="3:4">
      <c r="C2954" s="319"/>
      <c r="D2954" s="319"/>
    </row>
    <row r="2955" spans="3:7">
      <c r="C2955" s="319"/>
      <c r="D2955" s="319"/>
      <c r="G2955" s="320"/>
    </row>
    <row r="2956" spans="3:7">
      <c r="C2956" s="319"/>
      <c r="D2956" s="319"/>
      <c r="G2956" s="320"/>
    </row>
    <row r="2957" spans="3:7">
      <c r="C2957" s="319"/>
      <c r="D2957" s="319"/>
      <c r="G2957" s="320"/>
    </row>
    <row r="2958" spans="3:7">
      <c r="C2958" s="319"/>
      <c r="D2958" s="319"/>
      <c r="G2958" s="320"/>
    </row>
    <row r="2959" spans="3:4">
      <c r="C2959" s="319"/>
      <c r="D2959" s="319"/>
    </row>
    <row r="2960" spans="3:7">
      <c r="C2960" s="319"/>
      <c r="D2960" s="319"/>
      <c r="G2960" s="320"/>
    </row>
    <row r="2961" spans="3:4">
      <c r="C2961" s="319"/>
      <c r="D2961" s="319"/>
    </row>
    <row r="2962" spans="3:4">
      <c r="C2962" s="319"/>
      <c r="D2962" s="319"/>
    </row>
    <row r="2963" spans="3:7">
      <c r="C2963" s="319"/>
      <c r="D2963" s="319"/>
      <c r="G2963" s="320"/>
    </row>
    <row r="2964" spans="3:4">
      <c r="C2964" s="319"/>
      <c r="D2964" s="319"/>
    </row>
    <row r="2965" spans="3:7">
      <c r="C2965" s="319"/>
      <c r="D2965" s="319"/>
      <c r="G2965" s="320"/>
    </row>
    <row r="2966" spans="3:4">
      <c r="C2966" s="319"/>
      <c r="D2966" s="319"/>
    </row>
    <row r="2967" spans="3:7">
      <c r="C2967" s="319"/>
      <c r="D2967" s="319"/>
      <c r="G2967" s="320"/>
    </row>
    <row r="2968" spans="3:7">
      <c r="C2968" s="319"/>
      <c r="D2968" s="319"/>
      <c r="G2968" s="320"/>
    </row>
    <row r="2969" spans="3:7">
      <c r="C2969" s="319"/>
      <c r="D2969" s="319"/>
      <c r="G2969" s="320"/>
    </row>
    <row r="2970" spans="3:7">
      <c r="C2970" s="319"/>
      <c r="D2970" s="319"/>
      <c r="G2970" s="320"/>
    </row>
    <row r="2971" spans="3:4">
      <c r="C2971" s="319"/>
      <c r="D2971" s="319"/>
    </row>
    <row r="2972" spans="3:7">
      <c r="C2972" s="319"/>
      <c r="D2972" s="319"/>
      <c r="G2972" s="320"/>
    </row>
    <row r="2973" spans="3:7">
      <c r="C2973" s="319"/>
      <c r="D2973" s="319"/>
      <c r="G2973" s="320"/>
    </row>
    <row r="2974" spans="3:7">
      <c r="C2974" s="319"/>
      <c r="D2974" s="319"/>
      <c r="G2974" s="320"/>
    </row>
    <row r="2975" spans="3:7">
      <c r="C2975" s="319"/>
      <c r="D2975" s="319"/>
      <c r="G2975" s="320"/>
    </row>
    <row r="2976" spans="3:7">
      <c r="C2976" s="319"/>
      <c r="D2976" s="319"/>
      <c r="G2976" s="320"/>
    </row>
    <row r="2977" spans="3:7">
      <c r="C2977" s="319"/>
      <c r="D2977" s="319"/>
      <c r="G2977" s="320"/>
    </row>
    <row r="2978" spans="3:4">
      <c r="C2978" s="319"/>
      <c r="D2978" s="319"/>
    </row>
    <row r="2979" spans="3:7">
      <c r="C2979" s="319"/>
      <c r="D2979" s="319"/>
      <c r="G2979" s="320"/>
    </row>
    <row r="2980" spans="3:4">
      <c r="C2980" s="319"/>
      <c r="D2980" s="319"/>
    </row>
    <row r="2981" spans="3:4">
      <c r="C2981" s="319"/>
      <c r="D2981" s="319"/>
    </row>
    <row r="2982" spans="3:7">
      <c r="C2982" s="319"/>
      <c r="D2982" s="319"/>
      <c r="G2982" s="320"/>
    </row>
    <row r="2983" spans="3:4">
      <c r="C2983" s="319"/>
      <c r="D2983" s="319"/>
    </row>
    <row r="2984" spans="3:7">
      <c r="C2984" s="319"/>
      <c r="D2984" s="319"/>
      <c r="G2984" s="320"/>
    </row>
    <row r="2985" spans="3:4">
      <c r="C2985" s="319"/>
      <c r="D2985" s="319"/>
    </row>
    <row r="2986" spans="3:7">
      <c r="C2986" s="319"/>
      <c r="D2986" s="319"/>
      <c r="G2986" s="320"/>
    </row>
    <row r="2987" spans="3:7">
      <c r="C2987" s="319"/>
      <c r="D2987" s="319"/>
      <c r="G2987" s="320"/>
    </row>
    <row r="2988" spans="3:7">
      <c r="C2988" s="319"/>
      <c r="D2988" s="319"/>
      <c r="G2988" s="320"/>
    </row>
    <row r="2989" spans="3:7">
      <c r="C2989" s="319"/>
      <c r="D2989" s="319"/>
      <c r="G2989" s="320"/>
    </row>
    <row r="2990" spans="3:7">
      <c r="C2990" s="319"/>
      <c r="D2990" s="319"/>
      <c r="G2990" s="320"/>
    </row>
    <row r="2991" spans="3:7">
      <c r="C2991" s="319"/>
      <c r="D2991" s="319"/>
      <c r="G2991" s="320"/>
    </row>
    <row r="2992" spans="3:7">
      <c r="C2992" s="319"/>
      <c r="D2992" s="319"/>
      <c r="G2992" s="320"/>
    </row>
    <row r="2993" spans="3:7">
      <c r="C2993" s="319"/>
      <c r="D2993" s="319"/>
      <c r="G2993" s="320"/>
    </row>
    <row r="2994" spans="3:7">
      <c r="C2994" s="319"/>
      <c r="D2994" s="319"/>
      <c r="G2994" s="320"/>
    </row>
    <row r="2995" spans="3:7">
      <c r="C2995" s="319"/>
      <c r="D2995" s="319"/>
      <c r="G2995" s="320"/>
    </row>
    <row r="2996" spans="3:7">
      <c r="C2996" s="319"/>
      <c r="D2996" s="319"/>
      <c r="G2996" s="320"/>
    </row>
    <row r="2997" spans="3:7">
      <c r="C2997" s="319"/>
      <c r="D2997" s="319"/>
      <c r="G2997" s="320"/>
    </row>
    <row r="2998" spans="3:4">
      <c r="C2998" s="319"/>
      <c r="D2998" s="319"/>
    </row>
    <row r="2999" spans="3:7">
      <c r="C2999" s="319"/>
      <c r="D2999" s="319"/>
      <c r="G2999" s="320"/>
    </row>
    <row r="3000" spans="3:7">
      <c r="C3000" s="319"/>
      <c r="D3000" s="319"/>
      <c r="G3000" s="320"/>
    </row>
    <row r="3001" spans="3:7">
      <c r="C3001" s="319"/>
      <c r="D3001" s="319"/>
      <c r="G3001" s="320"/>
    </row>
    <row r="3002" spans="3:7">
      <c r="C3002" s="319"/>
      <c r="D3002" s="319"/>
      <c r="G3002" s="320"/>
    </row>
    <row r="3003" spans="3:4">
      <c r="C3003" s="319"/>
      <c r="D3003" s="319"/>
    </row>
    <row r="3004" spans="3:7">
      <c r="C3004" s="319"/>
      <c r="D3004" s="319"/>
      <c r="G3004" s="320"/>
    </row>
    <row r="3005" spans="3:4">
      <c r="C3005" s="319"/>
      <c r="D3005" s="319"/>
    </row>
    <row r="3006" spans="3:7">
      <c r="C3006" s="319"/>
      <c r="D3006" s="319"/>
      <c r="G3006" s="320"/>
    </row>
    <row r="3007" spans="3:4">
      <c r="C3007" s="319"/>
      <c r="D3007" s="319"/>
    </row>
    <row r="3008" spans="3:7">
      <c r="C3008" s="319"/>
      <c r="D3008" s="319"/>
      <c r="G3008" s="320"/>
    </row>
    <row r="3009" spans="3:7">
      <c r="C3009" s="319"/>
      <c r="D3009" s="319"/>
      <c r="G3009" s="320"/>
    </row>
    <row r="3010" spans="3:7">
      <c r="C3010" s="319"/>
      <c r="D3010" s="319"/>
      <c r="G3010" s="320"/>
    </row>
    <row r="3011" spans="3:4">
      <c r="C3011" s="319"/>
      <c r="D3011" s="319"/>
    </row>
    <row r="3012" spans="3:7">
      <c r="C3012" s="319"/>
      <c r="D3012" s="319"/>
      <c r="G3012" s="320"/>
    </row>
    <row r="3013" spans="3:7">
      <c r="C3013" s="319"/>
      <c r="D3013" s="319"/>
      <c r="G3013" s="320"/>
    </row>
    <row r="3014" spans="3:4">
      <c r="C3014" s="319"/>
      <c r="D3014" s="319"/>
    </row>
    <row r="3015" spans="3:4">
      <c r="C3015" s="319"/>
      <c r="D3015" s="319"/>
    </row>
    <row r="3016" spans="3:7">
      <c r="C3016" s="319"/>
      <c r="D3016" s="319"/>
      <c r="G3016" s="320"/>
    </row>
    <row r="3017" spans="3:7">
      <c r="C3017" s="319"/>
      <c r="D3017" s="319"/>
      <c r="G3017" s="320"/>
    </row>
    <row r="3018" spans="3:7">
      <c r="C3018" s="319"/>
      <c r="D3018" s="319"/>
      <c r="G3018" s="320"/>
    </row>
    <row r="3019" spans="3:7">
      <c r="C3019" s="319"/>
      <c r="D3019" s="319"/>
      <c r="G3019" s="320"/>
    </row>
    <row r="3020" spans="3:4">
      <c r="C3020" s="319"/>
      <c r="D3020" s="319"/>
    </row>
    <row r="3021" spans="3:7">
      <c r="C3021" s="319"/>
      <c r="D3021" s="319"/>
      <c r="G3021" s="320"/>
    </row>
    <row r="3022" spans="3:7">
      <c r="C3022" s="319"/>
      <c r="D3022" s="319"/>
      <c r="G3022" s="320"/>
    </row>
    <row r="3023" spans="3:4">
      <c r="C3023" s="319"/>
      <c r="D3023" s="319"/>
    </row>
    <row r="3024" spans="3:4">
      <c r="C3024" s="319"/>
      <c r="D3024" s="319"/>
    </row>
    <row r="3025" spans="3:7">
      <c r="C3025" s="319"/>
      <c r="D3025" s="319"/>
      <c r="G3025" s="320"/>
    </row>
    <row r="3026" spans="3:7">
      <c r="C3026" s="319"/>
      <c r="D3026" s="319"/>
      <c r="G3026" s="320"/>
    </row>
    <row r="3027" spans="3:7">
      <c r="C3027" s="319"/>
      <c r="D3027" s="319"/>
      <c r="G3027" s="320"/>
    </row>
    <row r="3028" spans="3:7">
      <c r="C3028" s="319"/>
      <c r="D3028" s="319"/>
      <c r="G3028" s="320"/>
    </row>
    <row r="3029" spans="3:4">
      <c r="C3029" s="319"/>
      <c r="D3029" s="319"/>
    </row>
    <row r="3030" spans="3:7">
      <c r="C3030" s="319"/>
      <c r="D3030" s="319"/>
      <c r="G3030" s="320"/>
    </row>
    <row r="3031" spans="3:7">
      <c r="C3031" s="319"/>
      <c r="D3031" s="319"/>
      <c r="G3031" s="320"/>
    </row>
    <row r="3032" spans="3:7">
      <c r="C3032" s="319"/>
      <c r="D3032" s="319"/>
      <c r="G3032" s="320"/>
    </row>
    <row r="3033" spans="3:7">
      <c r="C3033" s="319"/>
      <c r="D3033" s="319"/>
      <c r="G3033" s="320"/>
    </row>
    <row r="3034" spans="3:7">
      <c r="C3034" s="319"/>
      <c r="D3034" s="319"/>
      <c r="G3034" s="320"/>
    </row>
    <row r="3035" spans="3:4">
      <c r="C3035" s="319"/>
      <c r="D3035" s="319"/>
    </row>
    <row r="3036" spans="3:7">
      <c r="C3036" s="319"/>
      <c r="D3036" s="319"/>
      <c r="G3036" s="320"/>
    </row>
    <row r="3037" spans="3:7">
      <c r="C3037" s="319"/>
      <c r="D3037" s="319"/>
      <c r="G3037" s="320"/>
    </row>
    <row r="3038" spans="3:7">
      <c r="C3038" s="319"/>
      <c r="D3038" s="319"/>
      <c r="G3038" s="320"/>
    </row>
    <row r="3039" spans="3:7">
      <c r="C3039" s="319"/>
      <c r="D3039" s="319"/>
      <c r="G3039" s="320"/>
    </row>
    <row r="3040" spans="3:4">
      <c r="C3040" s="319"/>
      <c r="D3040" s="319"/>
    </row>
    <row r="3041" spans="3:7">
      <c r="C3041" s="319"/>
      <c r="D3041" s="319"/>
      <c r="G3041" s="320"/>
    </row>
    <row r="3042" spans="3:7">
      <c r="C3042" s="319"/>
      <c r="D3042" s="319"/>
      <c r="G3042" s="320"/>
    </row>
    <row r="3043" spans="3:7">
      <c r="C3043" s="319"/>
      <c r="D3043" s="319"/>
      <c r="G3043" s="320"/>
    </row>
    <row r="3044" spans="3:7">
      <c r="C3044" s="319"/>
      <c r="D3044" s="319"/>
      <c r="G3044" s="320"/>
    </row>
    <row r="3045" spans="3:7">
      <c r="C3045" s="319"/>
      <c r="D3045" s="319"/>
      <c r="G3045" s="320"/>
    </row>
    <row r="3046" spans="3:7">
      <c r="C3046" s="319"/>
      <c r="D3046" s="319"/>
      <c r="G3046" s="320"/>
    </row>
    <row r="3047" spans="3:7">
      <c r="C3047" s="319"/>
      <c r="D3047" s="319"/>
      <c r="G3047" s="320"/>
    </row>
    <row r="3048" spans="3:7">
      <c r="C3048" s="319"/>
      <c r="D3048" s="319"/>
      <c r="G3048" s="320"/>
    </row>
    <row r="3049" spans="3:7">
      <c r="C3049" s="319"/>
      <c r="D3049" s="319"/>
      <c r="G3049" s="320"/>
    </row>
    <row r="3050" spans="3:7">
      <c r="C3050" s="319"/>
      <c r="D3050" s="319"/>
      <c r="G3050" s="320"/>
    </row>
    <row r="3051" spans="3:7">
      <c r="C3051" s="319"/>
      <c r="D3051" s="319"/>
      <c r="G3051" s="320"/>
    </row>
    <row r="3052" spans="3:7">
      <c r="C3052" s="319"/>
      <c r="D3052" s="319"/>
      <c r="G3052" s="320"/>
    </row>
    <row r="3053" spans="3:7">
      <c r="C3053" s="319"/>
      <c r="D3053" s="319"/>
      <c r="G3053" s="320"/>
    </row>
    <row r="3054" spans="3:7">
      <c r="C3054" s="319"/>
      <c r="D3054" s="319"/>
      <c r="G3054" s="320"/>
    </row>
    <row r="3055" spans="3:7">
      <c r="C3055" s="319"/>
      <c r="D3055" s="319"/>
      <c r="G3055" s="320"/>
    </row>
    <row r="3056" spans="3:7">
      <c r="C3056" s="319"/>
      <c r="D3056" s="319"/>
      <c r="G3056" s="320"/>
    </row>
    <row r="3057" spans="3:4">
      <c r="C3057" s="319"/>
      <c r="D3057" s="319"/>
    </row>
    <row r="3058" spans="3:7">
      <c r="C3058" s="319"/>
      <c r="D3058" s="319"/>
      <c r="G3058" s="320"/>
    </row>
    <row r="3059" spans="3:7">
      <c r="C3059" s="319"/>
      <c r="D3059" s="319"/>
      <c r="G3059" s="320"/>
    </row>
    <row r="3060" spans="3:7">
      <c r="C3060" s="319"/>
      <c r="D3060" s="319"/>
      <c r="G3060" s="320"/>
    </row>
    <row r="3061" spans="3:7">
      <c r="C3061" s="319"/>
      <c r="D3061" s="319"/>
      <c r="G3061" s="320"/>
    </row>
    <row r="3062" spans="3:4">
      <c r="C3062" s="319"/>
      <c r="D3062" s="319"/>
    </row>
    <row r="3063" spans="3:7">
      <c r="C3063" s="319"/>
      <c r="D3063" s="319"/>
      <c r="G3063" s="320"/>
    </row>
    <row r="3064" spans="3:7">
      <c r="C3064" s="319"/>
      <c r="D3064" s="319"/>
      <c r="G3064" s="320"/>
    </row>
    <row r="3065" spans="3:7">
      <c r="C3065" s="319"/>
      <c r="D3065" s="319"/>
      <c r="G3065" s="320"/>
    </row>
    <row r="3066" spans="3:4">
      <c r="C3066" s="319"/>
      <c r="D3066" s="319"/>
    </row>
    <row r="3067" spans="3:7">
      <c r="C3067" s="319"/>
      <c r="D3067" s="319"/>
      <c r="G3067" s="320"/>
    </row>
    <row r="3068" spans="3:4">
      <c r="C3068" s="319"/>
      <c r="D3068" s="319"/>
    </row>
    <row r="3069" spans="3:4">
      <c r="C3069" s="319"/>
      <c r="D3069" s="319"/>
    </row>
    <row r="3070" spans="3:4">
      <c r="C3070" s="319"/>
      <c r="D3070" s="319"/>
    </row>
    <row r="3071" spans="3:7">
      <c r="C3071" s="319"/>
      <c r="D3071" s="319"/>
      <c r="G3071" s="320"/>
    </row>
    <row r="3072" spans="3:7">
      <c r="C3072" s="319"/>
      <c r="D3072" s="319"/>
      <c r="G3072" s="320"/>
    </row>
    <row r="3073" spans="3:4">
      <c r="C3073" s="319"/>
      <c r="D3073" s="319"/>
    </row>
    <row r="3074" spans="3:4">
      <c r="C3074" s="319"/>
      <c r="D3074" s="319"/>
    </row>
    <row r="3075" spans="3:4">
      <c r="C3075" s="319"/>
      <c r="D3075" s="319"/>
    </row>
    <row r="3076" spans="3:7">
      <c r="C3076" s="319"/>
      <c r="D3076" s="319"/>
      <c r="G3076" s="320"/>
    </row>
    <row r="3077" spans="3:7">
      <c r="C3077" s="319"/>
      <c r="D3077" s="319"/>
      <c r="G3077" s="320"/>
    </row>
    <row r="3078" spans="3:7">
      <c r="C3078" s="319"/>
      <c r="D3078" s="319"/>
      <c r="G3078" s="320"/>
    </row>
    <row r="3079" spans="3:7">
      <c r="C3079" s="319"/>
      <c r="D3079" s="319"/>
      <c r="G3079" s="320"/>
    </row>
    <row r="3080" spans="3:7">
      <c r="C3080" s="319"/>
      <c r="D3080" s="319"/>
      <c r="G3080" s="320"/>
    </row>
    <row r="3081" spans="3:7">
      <c r="C3081" s="319"/>
      <c r="D3081" s="319"/>
      <c r="G3081" s="320"/>
    </row>
    <row r="3082" spans="3:4">
      <c r="C3082" s="319"/>
      <c r="D3082" s="319"/>
    </row>
    <row r="3083" spans="3:4">
      <c r="C3083" s="319"/>
      <c r="D3083" s="319"/>
    </row>
    <row r="3084" spans="3:4">
      <c r="C3084" s="319"/>
      <c r="D3084" s="319"/>
    </row>
    <row r="3085" spans="3:4">
      <c r="C3085" s="319"/>
      <c r="D3085" s="319"/>
    </row>
    <row r="3086" spans="3:7">
      <c r="C3086" s="319"/>
      <c r="D3086" s="319"/>
      <c r="G3086" s="320"/>
    </row>
    <row r="3087" spans="3:4">
      <c r="C3087" s="319"/>
      <c r="D3087" s="319"/>
    </row>
    <row r="3088" spans="3:7">
      <c r="C3088" s="319"/>
      <c r="D3088" s="319"/>
      <c r="G3088" s="320"/>
    </row>
    <row r="3089" spans="3:4">
      <c r="C3089" s="319"/>
      <c r="D3089" s="319"/>
    </row>
    <row r="3090" spans="3:7">
      <c r="C3090" s="319"/>
      <c r="D3090" s="319"/>
      <c r="G3090" s="320"/>
    </row>
    <row r="3091" spans="3:7">
      <c r="C3091" s="319"/>
      <c r="D3091" s="319"/>
      <c r="G3091" s="320"/>
    </row>
    <row r="3092" spans="3:7">
      <c r="C3092" s="319"/>
      <c r="D3092" s="319"/>
      <c r="G3092" s="320"/>
    </row>
    <row r="3093" spans="3:7">
      <c r="C3093" s="319"/>
      <c r="D3093" s="319"/>
      <c r="G3093" s="320"/>
    </row>
    <row r="3094" spans="3:7">
      <c r="C3094" s="319"/>
      <c r="D3094" s="319"/>
      <c r="G3094" s="320"/>
    </row>
    <row r="3095" spans="3:7">
      <c r="C3095" s="319"/>
      <c r="D3095" s="319"/>
      <c r="G3095" s="320"/>
    </row>
    <row r="3096" spans="3:7">
      <c r="C3096" s="319"/>
      <c r="D3096" s="319"/>
      <c r="G3096" s="320"/>
    </row>
    <row r="3097" spans="3:7">
      <c r="C3097" s="319"/>
      <c r="D3097" s="319"/>
      <c r="G3097" s="320"/>
    </row>
    <row r="3098" spans="3:7">
      <c r="C3098" s="319"/>
      <c r="D3098" s="319"/>
      <c r="G3098" s="320"/>
    </row>
    <row r="3099" spans="3:7">
      <c r="C3099" s="319"/>
      <c r="D3099" s="319"/>
      <c r="G3099" s="320"/>
    </row>
    <row r="3100" spans="3:7">
      <c r="C3100" s="319"/>
      <c r="D3100" s="319"/>
      <c r="G3100" s="320"/>
    </row>
    <row r="3101" spans="3:4">
      <c r="C3101" s="319"/>
      <c r="D3101" s="319"/>
    </row>
    <row r="3102" spans="3:7">
      <c r="C3102" s="319"/>
      <c r="D3102" s="319"/>
      <c r="G3102" s="320"/>
    </row>
    <row r="3103" spans="3:7">
      <c r="C3103" s="319"/>
      <c r="D3103" s="319"/>
      <c r="G3103" s="320"/>
    </row>
    <row r="3104" spans="3:4">
      <c r="C3104" s="319"/>
      <c r="D3104" s="319"/>
    </row>
    <row r="3105" spans="3:7">
      <c r="C3105" s="319"/>
      <c r="D3105" s="319"/>
      <c r="G3105" s="320"/>
    </row>
    <row r="3106" spans="3:7">
      <c r="C3106" s="319"/>
      <c r="D3106" s="319"/>
      <c r="G3106" s="320"/>
    </row>
    <row r="3107" spans="3:7">
      <c r="C3107" s="319"/>
      <c r="D3107" s="319"/>
      <c r="G3107" s="320"/>
    </row>
    <row r="3108" spans="3:7">
      <c r="C3108" s="319"/>
      <c r="D3108" s="319"/>
      <c r="G3108" s="320"/>
    </row>
    <row r="3109" spans="3:7">
      <c r="C3109" s="319"/>
      <c r="D3109" s="319"/>
      <c r="G3109" s="320"/>
    </row>
    <row r="3110" spans="3:7">
      <c r="C3110" s="319"/>
      <c r="D3110" s="319"/>
      <c r="G3110" s="320"/>
    </row>
    <row r="3111" spans="3:4">
      <c r="C3111" s="319"/>
      <c r="D3111" s="319"/>
    </row>
    <row r="3112" spans="3:7">
      <c r="C3112" s="319"/>
      <c r="D3112" s="319"/>
      <c r="G3112" s="320"/>
    </row>
    <row r="3113" spans="3:7">
      <c r="C3113" s="319"/>
      <c r="D3113" s="319"/>
      <c r="G3113" s="320"/>
    </row>
    <row r="3114" spans="3:4">
      <c r="C3114" s="319"/>
      <c r="D3114" s="319"/>
    </row>
    <row r="3115" spans="3:7">
      <c r="C3115" s="319"/>
      <c r="D3115" s="319"/>
      <c r="G3115" s="320"/>
    </row>
    <row r="3116" spans="3:7">
      <c r="C3116" s="319"/>
      <c r="D3116" s="319"/>
      <c r="G3116" s="320"/>
    </row>
    <row r="3117" spans="3:7">
      <c r="C3117" s="319"/>
      <c r="D3117" s="319"/>
      <c r="G3117" s="320"/>
    </row>
    <row r="3118" spans="3:4">
      <c r="C3118" s="319"/>
      <c r="D3118" s="319"/>
    </row>
    <row r="3119" spans="3:4">
      <c r="C3119" s="319"/>
      <c r="D3119" s="319"/>
    </row>
    <row r="3120" spans="3:7">
      <c r="C3120" s="319"/>
      <c r="D3120" s="319"/>
      <c r="G3120" s="320"/>
    </row>
    <row r="3121" spans="3:7">
      <c r="C3121" s="319"/>
      <c r="D3121" s="319"/>
      <c r="G3121" s="320"/>
    </row>
    <row r="3122" spans="3:7">
      <c r="C3122" s="319"/>
      <c r="D3122" s="319"/>
      <c r="G3122" s="320"/>
    </row>
    <row r="3123" spans="3:7">
      <c r="C3123" s="319"/>
      <c r="D3123" s="319"/>
      <c r="G3123" s="320"/>
    </row>
    <row r="3124" spans="3:4">
      <c r="C3124" s="319"/>
      <c r="D3124" s="319"/>
    </row>
    <row r="3125" spans="3:7">
      <c r="C3125" s="319"/>
      <c r="D3125" s="319"/>
      <c r="G3125" s="320"/>
    </row>
    <row r="3126" spans="3:7">
      <c r="C3126" s="319"/>
      <c r="D3126" s="319"/>
      <c r="G3126" s="320"/>
    </row>
    <row r="3127" spans="3:7">
      <c r="C3127" s="319"/>
      <c r="D3127" s="319"/>
      <c r="G3127" s="320"/>
    </row>
    <row r="3128" spans="3:7">
      <c r="C3128" s="319"/>
      <c r="D3128" s="319"/>
      <c r="G3128" s="320"/>
    </row>
    <row r="3129" spans="3:7">
      <c r="C3129" s="319"/>
      <c r="D3129" s="319"/>
      <c r="G3129" s="320"/>
    </row>
    <row r="3130" spans="3:7">
      <c r="C3130" s="319"/>
      <c r="D3130" s="319"/>
      <c r="G3130" s="320"/>
    </row>
    <row r="3131" spans="3:7">
      <c r="C3131" s="319"/>
      <c r="D3131" s="319"/>
      <c r="G3131" s="320"/>
    </row>
    <row r="3132" spans="3:7">
      <c r="C3132" s="319"/>
      <c r="D3132" s="319"/>
      <c r="G3132" s="320"/>
    </row>
    <row r="3133" spans="3:4">
      <c r="C3133" s="319"/>
      <c r="D3133" s="319"/>
    </row>
    <row r="3134" spans="3:7">
      <c r="C3134" s="319"/>
      <c r="D3134" s="319"/>
      <c r="G3134" s="320"/>
    </row>
    <row r="3135" spans="3:4">
      <c r="C3135" s="319"/>
      <c r="D3135" s="319"/>
    </row>
    <row r="3136" spans="3:7">
      <c r="C3136" s="319"/>
      <c r="D3136" s="319"/>
      <c r="G3136" s="320"/>
    </row>
    <row r="3137" spans="3:7">
      <c r="C3137" s="319"/>
      <c r="D3137" s="319"/>
      <c r="G3137" s="320"/>
    </row>
    <row r="3138" spans="3:7">
      <c r="C3138" s="319"/>
      <c r="D3138" s="319"/>
      <c r="G3138" s="320"/>
    </row>
    <row r="3139" spans="3:4">
      <c r="C3139" s="319"/>
      <c r="D3139" s="319"/>
    </row>
    <row r="3140" spans="3:7">
      <c r="C3140" s="319"/>
      <c r="D3140" s="319"/>
      <c r="G3140" s="320"/>
    </row>
    <row r="3141" spans="3:4">
      <c r="C3141" s="319"/>
      <c r="D3141" s="319"/>
    </row>
    <row r="3142" spans="3:7">
      <c r="C3142" s="319"/>
      <c r="D3142" s="319"/>
      <c r="G3142" s="320"/>
    </row>
    <row r="3143" spans="3:7">
      <c r="C3143" s="319"/>
      <c r="D3143" s="319"/>
      <c r="G3143" s="320"/>
    </row>
    <row r="3144" spans="3:4">
      <c r="C3144" s="319"/>
      <c r="D3144" s="319"/>
    </row>
    <row r="3145" spans="3:4">
      <c r="C3145" s="319"/>
      <c r="D3145" s="319"/>
    </row>
    <row r="3146" spans="3:4">
      <c r="C3146" s="319"/>
      <c r="D3146" s="319"/>
    </row>
    <row r="3147" spans="3:4">
      <c r="C3147" s="319"/>
      <c r="D3147" s="319"/>
    </row>
    <row r="3148" spans="3:7">
      <c r="C3148" s="319"/>
      <c r="D3148" s="319"/>
      <c r="G3148" s="320"/>
    </row>
    <row r="3149" spans="3:7">
      <c r="C3149" s="319"/>
      <c r="D3149" s="319"/>
      <c r="G3149" s="320"/>
    </row>
    <row r="3150" spans="3:4">
      <c r="C3150" s="319"/>
      <c r="D3150" s="319"/>
    </row>
    <row r="3151" spans="3:7">
      <c r="C3151" s="319"/>
      <c r="D3151" s="319"/>
      <c r="G3151" s="320"/>
    </row>
    <row r="3152" spans="3:7">
      <c r="C3152" s="319"/>
      <c r="D3152" s="319"/>
      <c r="G3152" s="320"/>
    </row>
    <row r="3153" spans="3:7">
      <c r="C3153" s="319"/>
      <c r="D3153" s="319"/>
      <c r="G3153" s="320"/>
    </row>
    <row r="3154" spans="3:7">
      <c r="C3154" s="319"/>
      <c r="D3154" s="319"/>
      <c r="G3154" s="320"/>
    </row>
    <row r="3155" spans="3:7">
      <c r="C3155" s="319"/>
      <c r="D3155" s="319"/>
      <c r="G3155" s="320"/>
    </row>
    <row r="3156" spans="3:7">
      <c r="C3156" s="319"/>
      <c r="D3156" s="319"/>
      <c r="G3156" s="320"/>
    </row>
    <row r="3157" spans="3:7">
      <c r="C3157" s="319"/>
      <c r="D3157" s="319"/>
      <c r="G3157" s="320"/>
    </row>
    <row r="3158" spans="3:7">
      <c r="C3158" s="319"/>
      <c r="D3158" s="319"/>
      <c r="G3158" s="320"/>
    </row>
    <row r="3159" spans="3:7">
      <c r="C3159" s="319"/>
      <c r="D3159" s="319"/>
      <c r="G3159" s="320"/>
    </row>
    <row r="3160" spans="3:7">
      <c r="C3160" s="319"/>
      <c r="D3160" s="319"/>
      <c r="G3160" s="320"/>
    </row>
    <row r="3161" spans="3:7">
      <c r="C3161" s="319"/>
      <c r="D3161" s="319"/>
      <c r="G3161" s="320"/>
    </row>
    <row r="3162" spans="3:7">
      <c r="C3162" s="319"/>
      <c r="D3162" s="319"/>
      <c r="G3162" s="320"/>
    </row>
    <row r="3163" spans="3:7">
      <c r="C3163" s="319"/>
      <c r="D3163" s="319"/>
      <c r="G3163" s="320"/>
    </row>
    <row r="3164" spans="3:7">
      <c r="C3164" s="319"/>
      <c r="D3164" s="319"/>
      <c r="G3164" s="320"/>
    </row>
    <row r="3165" spans="3:4">
      <c r="C3165" s="319"/>
      <c r="D3165" s="319"/>
    </row>
    <row r="3166" spans="3:7">
      <c r="C3166" s="319"/>
      <c r="D3166" s="319"/>
      <c r="G3166" s="320"/>
    </row>
    <row r="3167" spans="3:4">
      <c r="C3167" s="319"/>
      <c r="D3167" s="319"/>
    </row>
    <row r="3168" spans="3:7">
      <c r="C3168" s="319"/>
      <c r="D3168" s="319"/>
      <c r="G3168" s="320"/>
    </row>
    <row r="3169" spans="3:4">
      <c r="C3169" s="319"/>
      <c r="D3169" s="319"/>
    </row>
    <row r="3170" spans="3:4">
      <c r="C3170" s="319"/>
      <c r="D3170" s="319"/>
    </row>
    <row r="3171" spans="3:7">
      <c r="C3171" s="319"/>
      <c r="D3171" s="319"/>
      <c r="G3171" s="320"/>
    </row>
    <row r="3172" spans="3:4">
      <c r="C3172" s="319"/>
      <c r="D3172" s="319"/>
    </row>
    <row r="3173" spans="3:4">
      <c r="C3173" s="319"/>
      <c r="D3173" s="319"/>
    </row>
    <row r="3174" spans="3:7">
      <c r="C3174" s="319"/>
      <c r="D3174" s="319"/>
      <c r="G3174" s="320"/>
    </row>
    <row r="3175" spans="3:7">
      <c r="C3175" s="319"/>
      <c r="D3175" s="319"/>
      <c r="G3175" s="320"/>
    </row>
    <row r="3176" spans="3:4">
      <c r="C3176" s="319"/>
      <c r="D3176" s="319"/>
    </row>
    <row r="3177" spans="3:7">
      <c r="C3177" s="319"/>
      <c r="D3177" s="319"/>
      <c r="G3177" s="320"/>
    </row>
    <row r="3178" spans="3:7">
      <c r="C3178" s="319"/>
      <c r="D3178" s="319"/>
      <c r="G3178" s="320"/>
    </row>
    <row r="3179" spans="3:4">
      <c r="C3179" s="319"/>
      <c r="D3179" s="319"/>
    </row>
    <row r="3180" spans="3:7">
      <c r="C3180" s="319"/>
      <c r="D3180" s="319"/>
      <c r="G3180" s="320"/>
    </row>
    <row r="3181" spans="3:7">
      <c r="C3181" s="319"/>
      <c r="D3181" s="319"/>
      <c r="G3181" s="320"/>
    </row>
    <row r="3182" spans="3:4">
      <c r="C3182" s="319"/>
      <c r="D3182" s="319"/>
    </row>
    <row r="3183" spans="3:7">
      <c r="C3183" s="319"/>
      <c r="D3183" s="319"/>
      <c r="G3183" s="320"/>
    </row>
    <row r="3184" spans="3:7">
      <c r="C3184" s="319"/>
      <c r="D3184" s="319"/>
      <c r="G3184" s="320"/>
    </row>
    <row r="3185" spans="3:7">
      <c r="C3185" s="319"/>
      <c r="D3185" s="319"/>
      <c r="G3185" s="320"/>
    </row>
    <row r="3186" spans="3:4">
      <c r="C3186" s="319"/>
      <c r="D3186" s="319"/>
    </row>
    <row r="3187" spans="3:7">
      <c r="C3187" s="319"/>
      <c r="D3187" s="319"/>
      <c r="G3187" s="320"/>
    </row>
    <row r="3188" spans="3:7">
      <c r="C3188" s="319"/>
      <c r="D3188" s="319"/>
      <c r="G3188" s="320"/>
    </row>
    <row r="3189" spans="3:7">
      <c r="C3189" s="319"/>
      <c r="D3189" s="319"/>
      <c r="G3189" s="320"/>
    </row>
    <row r="3190" spans="3:7">
      <c r="C3190" s="319"/>
      <c r="D3190" s="319"/>
      <c r="G3190" s="320"/>
    </row>
    <row r="3191" spans="3:4">
      <c r="C3191" s="319"/>
      <c r="D3191" s="319"/>
    </row>
    <row r="3192" spans="3:4">
      <c r="C3192" s="319"/>
      <c r="D3192" s="319"/>
    </row>
    <row r="3193" spans="3:7">
      <c r="C3193" s="319"/>
      <c r="D3193" s="319"/>
      <c r="G3193" s="320"/>
    </row>
    <row r="3194" spans="3:7">
      <c r="C3194" s="319"/>
      <c r="D3194" s="319"/>
      <c r="G3194" s="320"/>
    </row>
    <row r="3195" spans="3:4">
      <c r="C3195" s="319"/>
      <c r="D3195" s="319"/>
    </row>
    <row r="3196" spans="3:7">
      <c r="C3196" s="319"/>
      <c r="D3196" s="319"/>
      <c r="G3196" s="320"/>
    </row>
    <row r="3197" spans="3:7">
      <c r="C3197" s="319"/>
      <c r="D3197" s="319"/>
      <c r="G3197" s="320"/>
    </row>
    <row r="3198" spans="3:7">
      <c r="C3198" s="319"/>
      <c r="D3198" s="319"/>
      <c r="G3198" s="320"/>
    </row>
    <row r="3199" spans="3:4">
      <c r="C3199" s="319"/>
      <c r="D3199" s="319"/>
    </row>
    <row r="3200" spans="3:7">
      <c r="C3200" s="319"/>
      <c r="D3200" s="319"/>
      <c r="G3200" s="320"/>
    </row>
    <row r="3201" spans="3:4">
      <c r="C3201" s="319"/>
      <c r="D3201" s="319"/>
    </row>
    <row r="3202" spans="3:4">
      <c r="C3202" s="319"/>
      <c r="D3202" s="319"/>
    </row>
    <row r="3203" spans="3:7">
      <c r="C3203" s="319"/>
      <c r="D3203" s="319"/>
      <c r="G3203" s="320"/>
    </row>
    <row r="3204" spans="3:7">
      <c r="C3204" s="319"/>
      <c r="D3204" s="319"/>
      <c r="G3204" s="320"/>
    </row>
    <row r="3205" spans="3:7">
      <c r="C3205" s="319"/>
      <c r="D3205" s="319"/>
      <c r="G3205" s="320"/>
    </row>
    <row r="3206" spans="3:4">
      <c r="C3206" s="319"/>
      <c r="D3206" s="319"/>
    </row>
    <row r="3207" spans="3:4">
      <c r="C3207" s="319"/>
      <c r="D3207" s="319"/>
    </row>
    <row r="3208" spans="3:7">
      <c r="C3208" s="319"/>
      <c r="D3208" s="319"/>
      <c r="G3208" s="320"/>
    </row>
    <row r="3209" spans="3:7">
      <c r="C3209" s="319"/>
      <c r="D3209" s="319"/>
      <c r="G3209" s="320"/>
    </row>
    <row r="3210" spans="3:7">
      <c r="C3210" s="319"/>
      <c r="D3210" s="319"/>
      <c r="G3210" s="320"/>
    </row>
    <row r="3211" spans="3:7">
      <c r="C3211" s="319"/>
      <c r="D3211" s="319"/>
      <c r="G3211" s="320"/>
    </row>
    <row r="3212" spans="3:4">
      <c r="C3212" s="319"/>
      <c r="D3212" s="319"/>
    </row>
    <row r="3213" spans="3:7">
      <c r="C3213" s="319"/>
      <c r="D3213" s="319"/>
      <c r="G3213" s="320"/>
    </row>
    <row r="3214" spans="3:4">
      <c r="C3214" s="319"/>
      <c r="D3214" s="319"/>
    </row>
    <row r="3215" spans="3:7">
      <c r="C3215" s="319"/>
      <c r="D3215" s="319"/>
      <c r="G3215" s="320"/>
    </row>
    <row r="3216" spans="3:7">
      <c r="C3216" s="319"/>
      <c r="D3216" s="319"/>
      <c r="G3216" s="320"/>
    </row>
    <row r="3217" spans="3:7">
      <c r="C3217" s="319"/>
      <c r="D3217" s="319"/>
      <c r="G3217" s="320"/>
    </row>
    <row r="3218" spans="3:7">
      <c r="C3218" s="319"/>
      <c r="D3218" s="319"/>
      <c r="G3218" s="320"/>
    </row>
    <row r="3219" spans="3:4">
      <c r="C3219" s="319"/>
      <c r="D3219" s="319"/>
    </row>
    <row r="3220" spans="3:4">
      <c r="C3220" s="319"/>
      <c r="D3220" s="319"/>
    </row>
    <row r="3221" spans="3:4">
      <c r="C3221" s="319"/>
      <c r="D3221" s="319"/>
    </row>
    <row r="3222" spans="3:4">
      <c r="C3222" s="319"/>
      <c r="D3222" s="319"/>
    </row>
    <row r="3223" spans="3:4">
      <c r="C3223" s="319"/>
      <c r="D3223" s="319"/>
    </row>
    <row r="3224" spans="3:7">
      <c r="C3224" s="319"/>
      <c r="D3224" s="319"/>
      <c r="G3224" s="320"/>
    </row>
    <row r="3225" spans="3:7">
      <c r="C3225" s="319"/>
      <c r="D3225" s="319"/>
      <c r="G3225" s="320"/>
    </row>
    <row r="3226" spans="3:7">
      <c r="C3226" s="319"/>
      <c r="D3226" s="319"/>
      <c r="G3226" s="320"/>
    </row>
    <row r="3227" spans="3:7">
      <c r="C3227" s="319"/>
      <c r="D3227" s="319"/>
      <c r="G3227" s="320"/>
    </row>
    <row r="3228" spans="3:7">
      <c r="C3228" s="319"/>
      <c r="D3228" s="319"/>
      <c r="G3228" s="320"/>
    </row>
    <row r="3229" spans="3:7">
      <c r="C3229" s="319"/>
      <c r="D3229" s="319"/>
      <c r="G3229" s="320"/>
    </row>
    <row r="3230" spans="3:7">
      <c r="C3230" s="319"/>
      <c r="D3230" s="319"/>
      <c r="G3230" s="320"/>
    </row>
    <row r="3231" spans="3:4">
      <c r="C3231" s="319"/>
      <c r="D3231" s="319"/>
    </row>
    <row r="3232" spans="3:7">
      <c r="C3232" s="319"/>
      <c r="D3232" s="319"/>
      <c r="G3232" s="320"/>
    </row>
    <row r="3233" spans="3:4">
      <c r="C3233" s="319"/>
      <c r="D3233" s="319"/>
    </row>
    <row r="3234" spans="3:7">
      <c r="C3234" s="319"/>
      <c r="D3234" s="319"/>
      <c r="G3234" s="320"/>
    </row>
    <row r="3235" spans="3:4">
      <c r="C3235" s="319"/>
      <c r="D3235" s="319"/>
    </row>
    <row r="3236" spans="3:7">
      <c r="C3236" s="319"/>
      <c r="D3236" s="319"/>
      <c r="G3236" s="320"/>
    </row>
    <row r="3237" spans="3:7">
      <c r="C3237" s="319"/>
      <c r="D3237" s="319"/>
      <c r="G3237" s="320"/>
    </row>
    <row r="3238" spans="3:4">
      <c r="C3238" s="319"/>
      <c r="D3238" s="319"/>
    </row>
    <row r="3239" spans="3:7">
      <c r="C3239" s="319"/>
      <c r="D3239" s="319"/>
      <c r="G3239" s="320"/>
    </row>
    <row r="3240" spans="3:7">
      <c r="C3240" s="319"/>
      <c r="D3240" s="319"/>
      <c r="G3240" s="320"/>
    </row>
    <row r="3241" spans="3:7">
      <c r="C3241" s="319"/>
      <c r="D3241" s="319"/>
      <c r="G3241" s="320"/>
    </row>
    <row r="3242" spans="3:7">
      <c r="C3242" s="319"/>
      <c r="D3242" s="319"/>
      <c r="G3242" s="320"/>
    </row>
    <row r="3243" spans="3:7">
      <c r="C3243" s="319"/>
      <c r="D3243" s="319"/>
      <c r="G3243" s="320"/>
    </row>
    <row r="3244" spans="3:7">
      <c r="C3244" s="319"/>
      <c r="D3244" s="319"/>
      <c r="G3244" s="320"/>
    </row>
    <row r="3245" spans="3:7">
      <c r="C3245" s="319"/>
      <c r="D3245" s="319"/>
      <c r="G3245" s="320"/>
    </row>
    <row r="3246" spans="3:7">
      <c r="C3246" s="319"/>
      <c r="D3246" s="319"/>
      <c r="G3246" s="320"/>
    </row>
    <row r="3247" spans="3:7">
      <c r="C3247" s="319"/>
      <c r="D3247" s="319"/>
      <c r="G3247" s="320"/>
    </row>
    <row r="3248" spans="3:7">
      <c r="C3248" s="319"/>
      <c r="D3248" s="319"/>
      <c r="G3248" s="320"/>
    </row>
    <row r="3249" spans="3:4">
      <c r="C3249" s="319"/>
      <c r="D3249" s="319"/>
    </row>
    <row r="3250" spans="3:7">
      <c r="C3250" s="319"/>
      <c r="D3250" s="319"/>
      <c r="G3250" s="320"/>
    </row>
    <row r="3251" spans="3:7">
      <c r="C3251" s="319"/>
      <c r="D3251" s="319"/>
      <c r="G3251" s="320"/>
    </row>
    <row r="3252" spans="3:7">
      <c r="C3252" s="319"/>
      <c r="D3252" s="319"/>
      <c r="G3252" s="320"/>
    </row>
    <row r="3253" spans="3:7">
      <c r="C3253" s="319"/>
      <c r="D3253" s="319"/>
      <c r="G3253" s="320"/>
    </row>
    <row r="3254" spans="3:7">
      <c r="C3254" s="319"/>
      <c r="D3254" s="319"/>
      <c r="G3254" s="320"/>
    </row>
    <row r="3255" spans="3:7">
      <c r="C3255" s="319"/>
      <c r="D3255" s="319"/>
      <c r="G3255" s="320"/>
    </row>
    <row r="3256" spans="3:7">
      <c r="C3256" s="319"/>
      <c r="D3256" s="319"/>
      <c r="G3256" s="320"/>
    </row>
    <row r="3257" spans="3:7">
      <c r="C3257" s="319"/>
      <c r="D3257" s="319"/>
      <c r="G3257" s="320"/>
    </row>
    <row r="3258" spans="3:4">
      <c r="C3258" s="319"/>
      <c r="D3258" s="319"/>
    </row>
    <row r="3259" spans="3:4">
      <c r="C3259" s="319"/>
      <c r="D3259" s="319"/>
    </row>
    <row r="3260" spans="3:7">
      <c r="C3260" s="319"/>
      <c r="D3260" s="319"/>
      <c r="G3260" s="320"/>
    </row>
    <row r="3261" spans="3:4">
      <c r="C3261" s="319"/>
      <c r="D3261" s="319"/>
    </row>
    <row r="3262" spans="3:4">
      <c r="C3262" s="319"/>
      <c r="D3262" s="319"/>
    </row>
    <row r="3263" spans="3:7">
      <c r="C3263" s="319"/>
      <c r="D3263" s="319"/>
      <c r="G3263" s="320"/>
    </row>
    <row r="3264" spans="3:7">
      <c r="C3264" s="319"/>
      <c r="D3264" s="319"/>
      <c r="G3264" s="320"/>
    </row>
    <row r="3265" spans="3:7">
      <c r="C3265" s="319"/>
      <c r="D3265" s="319"/>
      <c r="G3265" s="320"/>
    </row>
    <row r="3266" spans="3:7">
      <c r="C3266" s="319"/>
      <c r="D3266" s="319"/>
      <c r="G3266" s="320"/>
    </row>
    <row r="3267" spans="3:7">
      <c r="C3267" s="319"/>
      <c r="D3267" s="319"/>
      <c r="G3267" s="320"/>
    </row>
    <row r="3268" spans="3:4">
      <c r="C3268" s="319"/>
      <c r="D3268" s="319"/>
    </row>
    <row r="3269" spans="3:7">
      <c r="C3269" s="319"/>
      <c r="D3269" s="319"/>
      <c r="G3269" s="320"/>
    </row>
    <row r="3270" spans="3:7">
      <c r="C3270" s="319"/>
      <c r="D3270" s="319"/>
      <c r="G3270" s="320"/>
    </row>
    <row r="3271" spans="3:7">
      <c r="C3271" s="319"/>
      <c r="D3271" s="319"/>
      <c r="G3271" s="320"/>
    </row>
    <row r="3272" spans="3:7">
      <c r="C3272" s="319"/>
      <c r="D3272" s="319"/>
      <c r="G3272" s="320"/>
    </row>
    <row r="3273" spans="3:7">
      <c r="C3273" s="319"/>
      <c r="D3273" s="319"/>
      <c r="G3273" s="320"/>
    </row>
    <row r="3274" spans="3:4">
      <c r="C3274" s="319"/>
      <c r="D3274" s="319"/>
    </row>
    <row r="3275" spans="3:7">
      <c r="C3275" s="319"/>
      <c r="D3275" s="319"/>
      <c r="G3275" s="320"/>
    </row>
    <row r="3276" spans="3:7">
      <c r="C3276" s="319"/>
      <c r="D3276" s="319"/>
      <c r="G3276" s="320"/>
    </row>
    <row r="3277" spans="3:4">
      <c r="C3277" s="319"/>
      <c r="D3277" s="319"/>
    </row>
    <row r="3278" spans="3:7">
      <c r="C3278" s="319"/>
      <c r="D3278" s="319"/>
      <c r="G3278" s="320"/>
    </row>
    <row r="3279" spans="3:7">
      <c r="C3279" s="319"/>
      <c r="D3279" s="319"/>
      <c r="G3279" s="320"/>
    </row>
    <row r="3280" spans="3:7">
      <c r="C3280" s="319"/>
      <c r="D3280" s="319"/>
      <c r="G3280" s="320"/>
    </row>
    <row r="3281" spans="3:7">
      <c r="C3281" s="319"/>
      <c r="D3281" s="319"/>
      <c r="G3281" s="320"/>
    </row>
    <row r="3282" spans="3:7">
      <c r="C3282" s="319"/>
      <c r="D3282" s="319"/>
      <c r="G3282" s="320"/>
    </row>
    <row r="3283" spans="3:7">
      <c r="C3283" s="319"/>
      <c r="D3283" s="319"/>
      <c r="G3283" s="320"/>
    </row>
    <row r="3284" spans="3:7">
      <c r="C3284" s="319"/>
      <c r="D3284" s="319"/>
      <c r="G3284" s="320"/>
    </row>
    <row r="3285" spans="3:4">
      <c r="C3285" s="319"/>
      <c r="D3285" s="319"/>
    </row>
    <row r="3286" spans="3:4">
      <c r="C3286" s="319"/>
      <c r="D3286" s="319"/>
    </row>
    <row r="3287" spans="3:4">
      <c r="C3287" s="319"/>
      <c r="D3287" s="319"/>
    </row>
    <row r="3288" spans="3:7">
      <c r="C3288" s="319"/>
      <c r="D3288" s="319"/>
      <c r="G3288" s="320"/>
    </row>
    <row r="3289" spans="3:4">
      <c r="C3289" s="319"/>
      <c r="D3289" s="319"/>
    </row>
    <row r="3290" spans="3:7">
      <c r="C3290" s="319"/>
      <c r="D3290" s="319"/>
      <c r="G3290" s="320"/>
    </row>
    <row r="3291" spans="3:4">
      <c r="C3291" s="319"/>
      <c r="D3291" s="319"/>
    </row>
    <row r="3292" spans="3:7">
      <c r="C3292" s="319"/>
      <c r="D3292" s="319"/>
      <c r="G3292" s="320"/>
    </row>
    <row r="3293" spans="3:7">
      <c r="C3293" s="319"/>
      <c r="D3293" s="319"/>
      <c r="G3293" s="320"/>
    </row>
    <row r="3294" spans="3:7">
      <c r="C3294" s="319"/>
      <c r="D3294" s="319"/>
      <c r="G3294" s="320"/>
    </row>
    <row r="3295" spans="3:7">
      <c r="C3295" s="319"/>
      <c r="D3295" s="319"/>
      <c r="G3295" s="320"/>
    </row>
    <row r="3296" spans="3:4">
      <c r="C3296" s="319"/>
      <c r="D3296" s="319"/>
    </row>
    <row r="3297" spans="3:7">
      <c r="C3297" s="319"/>
      <c r="D3297" s="319"/>
      <c r="G3297" s="320"/>
    </row>
    <row r="3298" spans="3:7">
      <c r="C3298" s="319"/>
      <c r="D3298" s="319"/>
      <c r="G3298" s="320"/>
    </row>
    <row r="3299" spans="3:7">
      <c r="C3299" s="319"/>
      <c r="D3299" s="319"/>
      <c r="G3299" s="320"/>
    </row>
    <row r="3300" spans="3:7">
      <c r="C3300" s="319"/>
      <c r="D3300" s="319"/>
      <c r="G3300" s="320"/>
    </row>
    <row r="3301" spans="3:7">
      <c r="C3301" s="319"/>
      <c r="D3301" s="319"/>
      <c r="G3301" s="320"/>
    </row>
    <row r="3302" spans="3:4">
      <c r="C3302" s="319"/>
      <c r="D3302" s="319"/>
    </row>
    <row r="3303" spans="3:7">
      <c r="C3303" s="319"/>
      <c r="D3303" s="319"/>
      <c r="G3303" s="320"/>
    </row>
    <row r="3304" spans="3:4">
      <c r="C3304" s="319"/>
      <c r="D3304" s="319"/>
    </row>
    <row r="3305" spans="3:7">
      <c r="C3305" s="319"/>
      <c r="D3305" s="319"/>
      <c r="G3305" s="320"/>
    </row>
    <row r="3306" spans="3:4">
      <c r="C3306" s="319"/>
      <c r="D3306" s="319"/>
    </row>
    <row r="3307" spans="3:7">
      <c r="C3307" s="319"/>
      <c r="D3307" s="319"/>
      <c r="G3307" s="320"/>
    </row>
    <row r="3308" spans="3:7">
      <c r="C3308" s="319"/>
      <c r="D3308" s="319"/>
      <c r="G3308" s="320"/>
    </row>
    <row r="3309" spans="3:4">
      <c r="C3309" s="319"/>
      <c r="D3309" s="319"/>
    </row>
    <row r="3310" spans="3:4">
      <c r="C3310" s="319"/>
      <c r="D3310" s="319"/>
    </row>
    <row r="3311" spans="3:7">
      <c r="C3311" s="319"/>
      <c r="D3311" s="319"/>
      <c r="G3311" s="320"/>
    </row>
    <row r="3312" spans="3:7">
      <c r="C3312" s="319"/>
      <c r="D3312" s="319"/>
      <c r="G3312" s="320"/>
    </row>
    <row r="3313" spans="3:4">
      <c r="C3313" s="319"/>
      <c r="D3313" s="319"/>
    </row>
    <row r="3314" spans="3:7">
      <c r="C3314" s="319"/>
      <c r="D3314" s="319"/>
      <c r="G3314" s="320"/>
    </row>
    <row r="3315" spans="3:7">
      <c r="C3315" s="319"/>
      <c r="D3315" s="319"/>
      <c r="G3315" s="320"/>
    </row>
    <row r="3316" spans="3:7">
      <c r="C3316" s="319"/>
      <c r="D3316" s="319"/>
      <c r="G3316" s="320"/>
    </row>
    <row r="3317" spans="3:7">
      <c r="C3317" s="319"/>
      <c r="D3317" s="319"/>
      <c r="G3317" s="320"/>
    </row>
    <row r="3318" spans="3:7">
      <c r="C3318" s="319"/>
      <c r="D3318" s="319"/>
      <c r="G3318" s="320"/>
    </row>
    <row r="3319" spans="3:7">
      <c r="C3319" s="319"/>
      <c r="D3319" s="319"/>
      <c r="G3319" s="320"/>
    </row>
    <row r="3320" spans="3:4">
      <c r="C3320" s="319"/>
      <c r="D3320" s="319"/>
    </row>
    <row r="3321" spans="3:7">
      <c r="C3321" s="319"/>
      <c r="D3321" s="319"/>
      <c r="G3321" s="320"/>
    </row>
    <row r="3322" spans="3:7">
      <c r="C3322" s="319"/>
      <c r="D3322" s="319"/>
      <c r="G3322" s="320"/>
    </row>
    <row r="3323" spans="3:7">
      <c r="C3323" s="319"/>
      <c r="D3323" s="319"/>
      <c r="G3323" s="320"/>
    </row>
    <row r="3324" spans="3:7">
      <c r="C3324" s="319"/>
      <c r="D3324" s="319"/>
      <c r="G3324" s="320"/>
    </row>
    <row r="3325" spans="3:4">
      <c r="C3325" s="319"/>
      <c r="D3325" s="319"/>
    </row>
    <row r="3326" spans="3:7">
      <c r="C3326" s="319"/>
      <c r="D3326" s="319"/>
      <c r="G3326" s="320"/>
    </row>
    <row r="3327" spans="3:7">
      <c r="C3327" s="319"/>
      <c r="D3327" s="319"/>
      <c r="G3327" s="320"/>
    </row>
    <row r="3328" spans="3:7">
      <c r="C3328" s="319"/>
      <c r="D3328" s="319"/>
      <c r="G3328" s="320"/>
    </row>
    <row r="3329" spans="3:7">
      <c r="C3329" s="319"/>
      <c r="D3329" s="319"/>
      <c r="G3329" s="320"/>
    </row>
    <row r="3330" spans="3:7">
      <c r="C3330" s="319"/>
      <c r="D3330" s="319"/>
      <c r="G3330" s="320"/>
    </row>
    <row r="3331" spans="3:4">
      <c r="C3331" s="319"/>
      <c r="D3331" s="319"/>
    </row>
    <row r="3332" spans="3:7">
      <c r="C3332" s="319"/>
      <c r="D3332" s="319"/>
      <c r="G3332" s="320"/>
    </row>
    <row r="3333" spans="3:7">
      <c r="C3333" s="319"/>
      <c r="D3333" s="319"/>
      <c r="G3333" s="320"/>
    </row>
    <row r="3334" spans="3:4">
      <c r="C3334" s="319"/>
      <c r="D3334" s="319"/>
    </row>
    <row r="3335" spans="3:7">
      <c r="C3335" s="319"/>
      <c r="D3335" s="319"/>
      <c r="G3335" s="320"/>
    </row>
    <row r="3336" spans="3:7">
      <c r="C3336" s="319"/>
      <c r="D3336" s="319"/>
      <c r="G3336" s="320"/>
    </row>
    <row r="3337" spans="3:4">
      <c r="C3337" s="319"/>
      <c r="D3337" s="319"/>
    </row>
    <row r="3338" spans="3:7">
      <c r="C3338" s="319"/>
      <c r="D3338" s="319"/>
      <c r="G3338" s="320"/>
    </row>
    <row r="3339" spans="3:7">
      <c r="C3339" s="319"/>
      <c r="D3339" s="319"/>
      <c r="G3339" s="320"/>
    </row>
    <row r="3340" spans="3:7">
      <c r="C3340" s="319"/>
      <c r="D3340" s="319"/>
      <c r="G3340" s="320"/>
    </row>
    <row r="3341" spans="3:7">
      <c r="C3341" s="319"/>
      <c r="D3341" s="319"/>
      <c r="G3341" s="320"/>
    </row>
    <row r="3342" spans="3:7">
      <c r="C3342" s="319"/>
      <c r="D3342" s="319"/>
      <c r="G3342" s="320"/>
    </row>
    <row r="3343" spans="3:4">
      <c r="C3343" s="319"/>
      <c r="D3343" s="319"/>
    </row>
    <row r="3344" spans="3:4">
      <c r="C3344" s="319"/>
      <c r="D3344" s="319"/>
    </row>
    <row r="3345" spans="3:7">
      <c r="C3345" s="319"/>
      <c r="D3345" s="319"/>
      <c r="G3345" s="320"/>
    </row>
    <row r="3346" spans="3:7">
      <c r="C3346" s="319"/>
      <c r="D3346" s="319"/>
      <c r="G3346" s="320"/>
    </row>
    <row r="3347" spans="3:4">
      <c r="C3347" s="319"/>
      <c r="D3347" s="319"/>
    </row>
    <row r="3348" spans="3:7">
      <c r="C3348" s="319"/>
      <c r="D3348" s="319"/>
      <c r="G3348" s="320"/>
    </row>
    <row r="3349" spans="3:4">
      <c r="C3349" s="319"/>
      <c r="D3349" s="319"/>
    </row>
    <row r="3350" spans="3:7">
      <c r="C3350" s="319"/>
      <c r="D3350" s="319"/>
      <c r="G3350" s="320"/>
    </row>
    <row r="3351" spans="3:7">
      <c r="C3351" s="319"/>
      <c r="D3351" s="319"/>
      <c r="G3351" s="320"/>
    </row>
    <row r="3352" spans="3:7">
      <c r="C3352" s="319"/>
      <c r="D3352" s="319"/>
      <c r="G3352" s="320"/>
    </row>
    <row r="3353" spans="3:4">
      <c r="C3353" s="319"/>
      <c r="D3353" s="319"/>
    </row>
    <row r="3354" spans="3:7">
      <c r="C3354" s="319"/>
      <c r="D3354" s="319"/>
      <c r="G3354" s="320"/>
    </row>
    <row r="3355" spans="3:7">
      <c r="C3355" s="319"/>
      <c r="D3355" s="319"/>
      <c r="G3355" s="320"/>
    </row>
    <row r="3356" spans="3:7">
      <c r="C3356" s="319"/>
      <c r="D3356" s="319"/>
      <c r="G3356" s="320"/>
    </row>
    <row r="3357" spans="3:7">
      <c r="C3357" s="319"/>
      <c r="D3357" s="319"/>
      <c r="G3357" s="320"/>
    </row>
    <row r="3358" spans="3:7">
      <c r="C3358" s="319"/>
      <c r="D3358" s="319"/>
      <c r="G3358" s="320"/>
    </row>
    <row r="3359" spans="3:7">
      <c r="C3359" s="319"/>
      <c r="D3359" s="319"/>
      <c r="G3359" s="320"/>
    </row>
    <row r="3360" spans="3:4">
      <c r="C3360" s="319"/>
      <c r="D3360" s="319"/>
    </row>
    <row r="3361" spans="3:7">
      <c r="C3361" s="319"/>
      <c r="D3361" s="319"/>
      <c r="G3361" s="320"/>
    </row>
    <row r="3362" spans="3:4">
      <c r="C3362" s="319"/>
      <c r="D3362" s="319"/>
    </row>
    <row r="3363" spans="3:7">
      <c r="C3363" s="319"/>
      <c r="D3363" s="319"/>
      <c r="G3363" s="320"/>
    </row>
    <row r="3364" spans="3:4">
      <c r="C3364" s="319"/>
      <c r="D3364" s="319"/>
    </row>
    <row r="3365" spans="3:7">
      <c r="C3365" s="319"/>
      <c r="D3365" s="319"/>
      <c r="G3365" s="320"/>
    </row>
    <row r="3366" spans="3:7">
      <c r="C3366" s="319"/>
      <c r="D3366" s="319"/>
      <c r="G3366" s="320"/>
    </row>
    <row r="3367" spans="3:4">
      <c r="C3367" s="319"/>
      <c r="D3367" s="319"/>
    </row>
    <row r="3368" spans="3:7">
      <c r="C3368" s="319"/>
      <c r="D3368" s="319"/>
      <c r="G3368" s="320"/>
    </row>
    <row r="3369" spans="3:4">
      <c r="C3369" s="319"/>
      <c r="D3369" s="319"/>
    </row>
    <row r="3370" spans="3:7">
      <c r="C3370" s="319"/>
      <c r="D3370" s="319"/>
      <c r="G3370" s="320"/>
    </row>
    <row r="3371" spans="3:4">
      <c r="C3371" s="319"/>
      <c r="D3371" s="319"/>
    </row>
    <row r="3372" spans="3:7">
      <c r="C3372" s="319"/>
      <c r="D3372" s="319"/>
      <c r="G3372" s="320"/>
    </row>
    <row r="3373" spans="3:4">
      <c r="C3373" s="319"/>
      <c r="D3373" s="319"/>
    </row>
    <row r="3374" spans="3:7">
      <c r="C3374" s="319"/>
      <c r="D3374" s="319"/>
      <c r="G3374" s="320"/>
    </row>
    <row r="3375" spans="3:7">
      <c r="C3375" s="319"/>
      <c r="D3375" s="319"/>
      <c r="G3375" s="320"/>
    </row>
    <row r="3376" spans="3:7">
      <c r="C3376" s="319"/>
      <c r="D3376" s="319"/>
      <c r="G3376" s="320"/>
    </row>
    <row r="3377" spans="3:4">
      <c r="C3377" s="319"/>
      <c r="D3377" s="319"/>
    </row>
    <row r="3378" spans="3:7">
      <c r="C3378" s="319"/>
      <c r="D3378" s="319"/>
      <c r="G3378" s="320"/>
    </row>
    <row r="3379" spans="3:4">
      <c r="C3379" s="319"/>
      <c r="D3379" s="319"/>
    </row>
    <row r="3380" spans="3:4">
      <c r="C3380" s="319"/>
      <c r="D3380" s="319"/>
    </row>
    <row r="3381" spans="3:7">
      <c r="C3381" s="319"/>
      <c r="D3381" s="319"/>
      <c r="G3381" s="320"/>
    </row>
    <row r="3382" spans="3:4">
      <c r="C3382" s="319"/>
      <c r="D3382" s="319"/>
    </row>
    <row r="3383" spans="3:4">
      <c r="C3383" s="319"/>
      <c r="D3383" s="319"/>
    </row>
    <row r="3384" spans="3:7">
      <c r="C3384" s="319"/>
      <c r="D3384" s="319"/>
      <c r="G3384" s="320"/>
    </row>
    <row r="3385" spans="3:4">
      <c r="C3385" s="319"/>
      <c r="D3385" s="319"/>
    </row>
    <row r="3386" spans="3:4">
      <c r="C3386" s="319"/>
      <c r="D3386" s="319"/>
    </row>
    <row r="3387" spans="3:7">
      <c r="C3387" s="319"/>
      <c r="D3387" s="319"/>
      <c r="G3387" s="320"/>
    </row>
    <row r="3388" spans="3:7">
      <c r="C3388" s="319"/>
      <c r="D3388" s="319"/>
      <c r="G3388" s="320"/>
    </row>
    <row r="3389" spans="3:7">
      <c r="C3389" s="319"/>
      <c r="D3389" s="319"/>
      <c r="G3389" s="320"/>
    </row>
    <row r="3390" spans="3:7">
      <c r="C3390" s="319"/>
      <c r="D3390" s="319"/>
      <c r="G3390" s="320"/>
    </row>
    <row r="3391" spans="3:4">
      <c r="C3391" s="319"/>
      <c r="D3391" s="319"/>
    </row>
    <row r="3392" spans="3:7">
      <c r="C3392" s="319"/>
      <c r="D3392" s="319"/>
      <c r="G3392" s="320"/>
    </row>
    <row r="3393" spans="3:4">
      <c r="C3393" s="319"/>
      <c r="D3393" s="319"/>
    </row>
    <row r="3394" spans="3:7">
      <c r="C3394" s="319"/>
      <c r="D3394" s="319"/>
      <c r="G3394" s="320"/>
    </row>
    <row r="3395" spans="3:7">
      <c r="C3395" s="319"/>
      <c r="D3395" s="319"/>
      <c r="G3395" s="320"/>
    </row>
    <row r="3396" spans="3:7">
      <c r="C3396" s="319"/>
      <c r="D3396" s="319"/>
      <c r="G3396" s="320"/>
    </row>
    <row r="3397" spans="3:7">
      <c r="C3397" s="319"/>
      <c r="D3397" s="319"/>
      <c r="G3397" s="320"/>
    </row>
    <row r="3398" spans="3:7">
      <c r="C3398" s="319"/>
      <c r="D3398" s="319"/>
      <c r="G3398" s="320"/>
    </row>
    <row r="3399" spans="3:4">
      <c r="C3399" s="319"/>
      <c r="D3399" s="319"/>
    </row>
    <row r="3400" spans="3:7">
      <c r="C3400" s="319"/>
      <c r="D3400" s="319"/>
      <c r="G3400" s="320"/>
    </row>
    <row r="3401" spans="3:4">
      <c r="C3401" s="319"/>
      <c r="D3401" s="319"/>
    </row>
    <row r="3402" spans="3:7">
      <c r="C3402" s="319"/>
      <c r="D3402" s="319"/>
      <c r="G3402" s="320"/>
    </row>
    <row r="3403" spans="3:7">
      <c r="C3403" s="319"/>
      <c r="D3403" s="319"/>
      <c r="G3403" s="320"/>
    </row>
    <row r="3404" spans="3:7">
      <c r="C3404" s="319"/>
      <c r="D3404" s="319"/>
      <c r="G3404" s="320"/>
    </row>
    <row r="3405" spans="3:4">
      <c r="C3405" s="319"/>
      <c r="D3405" s="319"/>
    </row>
    <row r="3406" spans="3:7">
      <c r="C3406" s="319"/>
      <c r="D3406" s="319"/>
      <c r="G3406" s="320"/>
    </row>
    <row r="3407" spans="3:7">
      <c r="C3407" s="319"/>
      <c r="D3407" s="319"/>
      <c r="G3407" s="320"/>
    </row>
    <row r="3408" spans="3:7">
      <c r="C3408" s="319"/>
      <c r="D3408" s="319"/>
      <c r="G3408" s="320"/>
    </row>
    <row r="3409" spans="3:7">
      <c r="C3409" s="319"/>
      <c r="D3409" s="319"/>
      <c r="G3409" s="320"/>
    </row>
    <row r="3410" spans="3:7">
      <c r="C3410" s="319"/>
      <c r="D3410" s="319"/>
      <c r="G3410" s="320"/>
    </row>
    <row r="3411" spans="3:4">
      <c r="C3411" s="319"/>
      <c r="D3411" s="319"/>
    </row>
    <row r="3412" spans="3:7">
      <c r="C3412" s="319"/>
      <c r="D3412" s="319"/>
      <c r="G3412" s="320"/>
    </row>
    <row r="3413" spans="3:7">
      <c r="C3413" s="319"/>
      <c r="D3413" s="319"/>
      <c r="G3413" s="320"/>
    </row>
    <row r="3414" spans="3:4">
      <c r="C3414" s="319"/>
      <c r="D3414" s="319"/>
    </row>
    <row r="3415" spans="3:7">
      <c r="C3415" s="319"/>
      <c r="D3415" s="319"/>
      <c r="G3415" s="320"/>
    </row>
    <row r="3416" spans="3:4">
      <c r="C3416" s="319"/>
      <c r="D3416" s="319"/>
    </row>
    <row r="3417" spans="3:7">
      <c r="C3417" s="319"/>
      <c r="D3417" s="319"/>
      <c r="G3417" s="320"/>
    </row>
    <row r="3418" spans="3:4">
      <c r="C3418" s="319"/>
      <c r="D3418" s="319"/>
    </row>
    <row r="3419" spans="3:7">
      <c r="C3419" s="319"/>
      <c r="D3419" s="319"/>
      <c r="G3419" s="320"/>
    </row>
    <row r="3420" spans="3:4">
      <c r="C3420" s="319"/>
      <c r="D3420" s="319"/>
    </row>
    <row r="3421" spans="3:4">
      <c r="C3421" s="319"/>
      <c r="D3421" s="319"/>
    </row>
    <row r="3422" spans="3:7">
      <c r="C3422" s="319"/>
      <c r="D3422" s="319"/>
      <c r="G3422" s="320"/>
    </row>
    <row r="3423" spans="3:7">
      <c r="C3423" s="319"/>
      <c r="D3423" s="319"/>
      <c r="G3423" s="320"/>
    </row>
    <row r="3424" spans="3:4">
      <c r="C3424" s="319"/>
      <c r="D3424" s="319"/>
    </row>
    <row r="3425" spans="3:4">
      <c r="C3425" s="319"/>
      <c r="D3425" s="319"/>
    </row>
    <row r="3426" spans="3:7">
      <c r="C3426" s="319"/>
      <c r="D3426" s="319"/>
      <c r="G3426" s="320"/>
    </row>
    <row r="3427" spans="3:7">
      <c r="C3427" s="319"/>
      <c r="D3427" s="319"/>
      <c r="G3427" s="320"/>
    </row>
    <row r="3428" spans="3:4">
      <c r="C3428" s="319"/>
      <c r="D3428" s="319"/>
    </row>
    <row r="3429" spans="3:7">
      <c r="C3429" s="319"/>
      <c r="D3429" s="319"/>
      <c r="G3429" s="320"/>
    </row>
    <row r="3430" spans="3:7">
      <c r="C3430" s="319"/>
      <c r="D3430" s="319"/>
      <c r="G3430" s="320"/>
    </row>
    <row r="3431" spans="3:7">
      <c r="C3431" s="319"/>
      <c r="D3431" s="319"/>
      <c r="G3431" s="320"/>
    </row>
    <row r="3432" spans="3:7">
      <c r="C3432" s="319"/>
      <c r="D3432" s="319"/>
      <c r="G3432" s="320"/>
    </row>
    <row r="3433" spans="3:7">
      <c r="C3433" s="319"/>
      <c r="D3433" s="319"/>
      <c r="G3433" s="320"/>
    </row>
    <row r="3434" spans="3:4">
      <c r="C3434" s="319"/>
      <c r="D3434" s="319"/>
    </row>
    <row r="3435" spans="3:7">
      <c r="C3435" s="319"/>
      <c r="D3435" s="319"/>
      <c r="G3435" s="320"/>
    </row>
    <row r="3436" spans="3:7">
      <c r="C3436" s="319"/>
      <c r="D3436" s="319"/>
      <c r="G3436" s="320"/>
    </row>
    <row r="3437" spans="3:4">
      <c r="C3437" s="319"/>
      <c r="D3437" s="319"/>
    </row>
    <row r="3438" spans="3:7">
      <c r="C3438" s="319"/>
      <c r="D3438" s="319"/>
      <c r="G3438" s="320"/>
    </row>
    <row r="3439" spans="3:7">
      <c r="C3439" s="319"/>
      <c r="D3439" s="319"/>
      <c r="G3439" s="320"/>
    </row>
    <row r="3440" spans="3:7">
      <c r="C3440" s="319"/>
      <c r="D3440" s="319"/>
      <c r="G3440" s="320"/>
    </row>
    <row r="3441" spans="3:4">
      <c r="C3441" s="319"/>
      <c r="D3441" s="319"/>
    </row>
    <row r="3442" spans="3:7">
      <c r="C3442" s="319"/>
      <c r="D3442" s="319"/>
      <c r="G3442" s="320"/>
    </row>
    <row r="3443" spans="3:7">
      <c r="C3443" s="319"/>
      <c r="D3443" s="319"/>
      <c r="G3443" s="320"/>
    </row>
    <row r="3444" spans="3:7">
      <c r="C3444" s="319"/>
      <c r="D3444" s="319"/>
      <c r="G3444" s="320"/>
    </row>
    <row r="3445" spans="3:7">
      <c r="C3445" s="319"/>
      <c r="D3445" s="319"/>
      <c r="G3445" s="320"/>
    </row>
    <row r="3446" spans="3:4">
      <c r="C3446" s="319"/>
      <c r="D3446" s="319"/>
    </row>
    <row r="3447" spans="3:4">
      <c r="C3447" s="319"/>
      <c r="D3447" s="319"/>
    </row>
    <row r="3448" spans="3:7">
      <c r="C3448" s="319"/>
      <c r="D3448" s="319"/>
      <c r="G3448" s="320"/>
    </row>
    <row r="3449" spans="3:7">
      <c r="C3449" s="319"/>
      <c r="D3449" s="319"/>
      <c r="G3449" s="320"/>
    </row>
    <row r="3450" spans="3:7">
      <c r="C3450" s="319"/>
      <c r="D3450" s="319"/>
      <c r="G3450" s="320"/>
    </row>
    <row r="3451" spans="3:4">
      <c r="C3451" s="319"/>
      <c r="D3451" s="319"/>
    </row>
    <row r="3452" spans="3:4">
      <c r="C3452" s="319"/>
      <c r="D3452" s="319"/>
    </row>
    <row r="3453" spans="3:7">
      <c r="C3453" s="319"/>
      <c r="D3453" s="319"/>
      <c r="G3453" s="320"/>
    </row>
    <row r="3454" spans="3:7">
      <c r="C3454" s="319"/>
      <c r="D3454" s="319"/>
      <c r="G3454" s="320"/>
    </row>
    <row r="3455" spans="3:7">
      <c r="C3455" s="319"/>
      <c r="D3455" s="319"/>
      <c r="G3455" s="320"/>
    </row>
    <row r="3456" spans="3:7">
      <c r="C3456" s="319"/>
      <c r="D3456" s="319"/>
      <c r="G3456" s="320"/>
    </row>
    <row r="3457" spans="3:7">
      <c r="C3457" s="319"/>
      <c r="D3457" s="319"/>
      <c r="G3457" s="320"/>
    </row>
    <row r="3458" spans="3:7">
      <c r="C3458" s="319"/>
      <c r="D3458" s="319"/>
      <c r="G3458" s="320"/>
    </row>
    <row r="3459" spans="3:7">
      <c r="C3459" s="319"/>
      <c r="D3459" s="319"/>
      <c r="G3459" s="320"/>
    </row>
    <row r="3460" spans="3:4">
      <c r="C3460" s="319"/>
      <c r="D3460" s="319"/>
    </row>
    <row r="3461" spans="3:4">
      <c r="C3461" s="319"/>
      <c r="D3461" s="319"/>
    </row>
    <row r="3462" spans="3:7">
      <c r="C3462" s="319"/>
      <c r="D3462" s="319"/>
      <c r="G3462" s="320"/>
    </row>
    <row r="3463" spans="3:7">
      <c r="C3463" s="319"/>
      <c r="D3463" s="319"/>
      <c r="G3463" s="320"/>
    </row>
    <row r="3464" spans="3:7">
      <c r="C3464" s="319"/>
      <c r="D3464" s="319"/>
      <c r="G3464" s="320"/>
    </row>
    <row r="3465" spans="3:7">
      <c r="C3465" s="319"/>
      <c r="D3465" s="319"/>
      <c r="G3465" s="320"/>
    </row>
    <row r="3466" spans="3:4">
      <c r="C3466" s="319"/>
      <c r="D3466" s="319"/>
    </row>
    <row r="3467" spans="3:4">
      <c r="C3467" s="319"/>
      <c r="D3467" s="319"/>
    </row>
    <row r="3468" spans="3:7">
      <c r="C3468" s="319"/>
      <c r="D3468" s="319"/>
      <c r="G3468" s="320"/>
    </row>
    <row r="3469" spans="3:4">
      <c r="C3469" s="319"/>
      <c r="D3469" s="319"/>
    </row>
    <row r="3470" spans="3:7">
      <c r="C3470" s="319"/>
      <c r="D3470" s="319"/>
      <c r="G3470" s="320"/>
    </row>
    <row r="3471" spans="3:4">
      <c r="C3471" s="319"/>
      <c r="D3471" s="319"/>
    </row>
    <row r="3472" spans="3:4">
      <c r="C3472" s="319"/>
      <c r="D3472" s="319"/>
    </row>
    <row r="3473" spans="3:7">
      <c r="C3473" s="319"/>
      <c r="D3473" s="319"/>
      <c r="G3473" s="320"/>
    </row>
    <row r="3474" spans="3:7">
      <c r="C3474" s="319"/>
      <c r="D3474" s="319"/>
      <c r="G3474" s="320"/>
    </row>
    <row r="3475" spans="3:7">
      <c r="C3475" s="319"/>
      <c r="D3475" s="319"/>
      <c r="G3475" s="320"/>
    </row>
    <row r="3476" spans="3:7">
      <c r="C3476" s="319"/>
      <c r="D3476" s="319"/>
      <c r="G3476" s="320"/>
    </row>
    <row r="3477" spans="3:7">
      <c r="C3477" s="319"/>
      <c r="D3477" s="319"/>
      <c r="G3477" s="320"/>
    </row>
    <row r="3478" spans="3:7">
      <c r="C3478" s="319"/>
      <c r="D3478" s="319"/>
      <c r="G3478" s="320"/>
    </row>
    <row r="3479" spans="3:4">
      <c r="C3479" s="319"/>
      <c r="D3479" s="319"/>
    </row>
    <row r="3480" spans="3:7">
      <c r="C3480" s="319"/>
      <c r="D3480" s="319"/>
      <c r="G3480" s="320"/>
    </row>
    <row r="3481" spans="3:4">
      <c r="C3481" s="319"/>
      <c r="D3481" s="319"/>
    </row>
    <row r="3482" spans="3:7">
      <c r="C3482" s="319"/>
      <c r="D3482" s="319"/>
      <c r="G3482" s="320"/>
    </row>
    <row r="3483" spans="3:4">
      <c r="C3483" s="319"/>
      <c r="D3483" s="319"/>
    </row>
    <row r="3484" spans="3:7">
      <c r="C3484" s="319"/>
      <c r="D3484" s="319"/>
      <c r="G3484" s="320"/>
    </row>
    <row r="3485" spans="3:4">
      <c r="C3485" s="319"/>
      <c r="D3485" s="319"/>
    </row>
    <row r="3486" spans="3:7">
      <c r="C3486" s="319"/>
      <c r="D3486" s="319"/>
      <c r="G3486" s="320"/>
    </row>
    <row r="3487" spans="3:7">
      <c r="C3487" s="319"/>
      <c r="D3487" s="319"/>
      <c r="G3487" s="320"/>
    </row>
    <row r="3488" spans="3:7">
      <c r="C3488" s="319"/>
      <c r="D3488" s="319"/>
      <c r="G3488" s="320"/>
    </row>
    <row r="3489" spans="3:4">
      <c r="C3489" s="319"/>
      <c r="D3489" s="319"/>
    </row>
    <row r="3490" spans="3:4">
      <c r="C3490" s="319"/>
      <c r="D3490" s="319"/>
    </row>
    <row r="3491" spans="3:7">
      <c r="C3491" s="319"/>
      <c r="D3491" s="319"/>
      <c r="G3491" s="320"/>
    </row>
    <row r="3492" spans="3:7">
      <c r="C3492" s="319"/>
      <c r="D3492" s="319"/>
      <c r="G3492" s="320"/>
    </row>
    <row r="3493" spans="3:7">
      <c r="C3493" s="319"/>
      <c r="D3493" s="319"/>
      <c r="G3493" s="320"/>
    </row>
    <row r="3494" spans="3:4">
      <c r="C3494" s="319"/>
      <c r="D3494" s="319"/>
    </row>
    <row r="3495" spans="3:4">
      <c r="C3495" s="319"/>
      <c r="D3495" s="319"/>
    </row>
    <row r="3496" spans="3:7">
      <c r="C3496" s="319"/>
      <c r="D3496" s="319"/>
      <c r="G3496" s="320"/>
    </row>
    <row r="3497" spans="3:7">
      <c r="C3497" s="319"/>
      <c r="D3497" s="319"/>
      <c r="G3497" s="320"/>
    </row>
    <row r="3498" spans="3:4">
      <c r="C3498" s="319"/>
      <c r="D3498" s="319"/>
    </row>
    <row r="3499" spans="3:7">
      <c r="C3499" s="319"/>
      <c r="D3499" s="319"/>
      <c r="G3499" s="320"/>
    </row>
    <row r="3500" spans="3:7">
      <c r="C3500" s="319"/>
      <c r="D3500" s="319"/>
      <c r="G3500" s="320"/>
    </row>
    <row r="3501" spans="3:4">
      <c r="C3501" s="319"/>
      <c r="D3501" s="319"/>
    </row>
    <row r="3502" spans="3:7">
      <c r="C3502" s="319"/>
      <c r="D3502" s="319"/>
      <c r="G3502" s="320"/>
    </row>
    <row r="3503" spans="3:7">
      <c r="C3503" s="319"/>
      <c r="D3503" s="319"/>
      <c r="G3503" s="320"/>
    </row>
    <row r="3504" spans="3:7">
      <c r="C3504" s="319"/>
      <c r="D3504" s="319"/>
      <c r="G3504" s="320"/>
    </row>
    <row r="3505" spans="3:7">
      <c r="C3505" s="319"/>
      <c r="D3505" s="319"/>
      <c r="G3505" s="320"/>
    </row>
    <row r="3506" spans="3:4">
      <c r="C3506" s="319"/>
      <c r="D3506" s="319"/>
    </row>
    <row r="3507" spans="3:7">
      <c r="C3507" s="319"/>
      <c r="D3507" s="319"/>
      <c r="G3507" s="320"/>
    </row>
    <row r="3508" spans="3:7">
      <c r="C3508" s="319"/>
      <c r="D3508" s="319"/>
      <c r="G3508" s="320"/>
    </row>
    <row r="3509" spans="3:7">
      <c r="C3509" s="319"/>
      <c r="D3509" s="319"/>
      <c r="G3509" s="320"/>
    </row>
    <row r="3510" spans="3:4">
      <c r="C3510" s="319"/>
      <c r="D3510" s="319"/>
    </row>
    <row r="3511" spans="3:4">
      <c r="C3511" s="319"/>
      <c r="D3511" s="319"/>
    </row>
    <row r="3512" spans="3:7">
      <c r="C3512" s="319"/>
      <c r="D3512" s="319"/>
      <c r="G3512" s="320"/>
    </row>
    <row r="3513" spans="3:7">
      <c r="C3513" s="319"/>
      <c r="D3513" s="319"/>
      <c r="G3513" s="320"/>
    </row>
    <row r="3514" spans="3:7">
      <c r="C3514" s="319"/>
      <c r="D3514" s="319"/>
      <c r="G3514" s="320"/>
    </row>
    <row r="3515" spans="3:7">
      <c r="C3515" s="319"/>
      <c r="D3515" s="319"/>
      <c r="G3515" s="320"/>
    </row>
    <row r="3516" spans="3:7">
      <c r="C3516" s="319"/>
      <c r="D3516" s="319"/>
      <c r="G3516" s="320"/>
    </row>
    <row r="3517" spans="3:7">
      <c r="C3517" s="319"/>
      <c r="D3517" s="319"/>
      <c r="G3517" s="320"/>
    </row>
    <row r="3518" spans="3:7">
      <c r="C3518" s="319"/>
      <c r="D3518" s="319"/>
      <c r="G3518" s="320"/>
    </row>
    <row r="3519" spans="3:7">
      <c r="C3519" s="319"/>
      <c r="D3519" s="319"/>
      <c r="G3519" s="320"/>
    </row>
    <row r="3520" spans="3:7">
      <c r="C3520" s="319"/>
      <c r="D3520" s="319"/>
      <c r="G3520" s="320"/>
    </row>
    <row r="3521" spans="3:7">
      <c r="C3521" s="319"/>
      <c r="D3521" s="319"/>
      <c r="G3521" s="320"/>
    </row>
    <row r="3522" spans="3:7">
      <c r="C3522" s="319"/>
      <c r="D3522" s="319"/>
      <c r="G3522" s="320"/>
    </row>
    <row r="3523" spans="3:4">
      <c r="C3523" s="319"/>
      <c r="D3523" s="319"/>
    </row>
    <row r="3524" spans="3:7">
      <c r="C3524" s="319"/>
      <c r="D3524" s="319"/>
      <c r="G3524" s="320"/>
    </row>
    <row r="3525" spans="3:4">
      <c r="C3525" s="319"/>
      <c r="D3525" s="319"/>
    </row>
    <row r="3526" spans="3:7">
      <c r="C3526" s="319"/>
      <c r="D3526" s="319"/>
      <c r="G3526" s="320"/>
    </row>
    <row r="3527" spans="3:7">
      <c r="C3527" s="319"/>
      <c r="D3527" s="319"/>
      <c r="G3527" s="320"/>
    </row>
    <row r="3528" spans="3:7">
      <c r="C3528" s="319"/>
      <c r="D3528" s="319"/>
      <c r="G3528" s="320"/>
    </row>
    <row r="3529" spans="3:7">
      <c r="C3529" s="319"/>
      <c r="D3529" s="319"/>
      <c r="G3529" s="320"/>
    </row>
    <row r="3530" spans="3:7">
      <c r="C3530" s="319"/>
      <c r="D3530" s="319"/>
      <c r="G3530" s="320"/>
    </row>
    <row r="3531" spans="3:7">
      <c r="C3531" s="319"/>
      <c r="D3531" s="319"/>
      <c r="G3531" s="320"/>
    </row>
    <row r="3532" spans="3:7">
      <c r="C3532" s="319"/>
      <c r="D3532" s="319"/>
      <c r="G3532" s="320"/>
    </row>
    <row r="3533" spans="3:4">
      <c r="C3533" s="319"/>
      <c r="D3533" s="319"/>
    </row>
    <row r="3534" spans="3:4">
      <c r="C3534" s="319"/>
      <c r="D3534" s="319"/>
    </row>
    <row r="3535" spans="3:7">
      <c r="C3535" s="319"/>
      <c r="D3535" s="319"/>
      <c r="G3535" s="320"/>
    </row>
    <row r="3536" spans="3:7">
      <c r="C3536" s="319"/>
      <c r="D3536" s="319"/>
      <c r="G3536" s="320"/>
    </row>
    <row r="3537" spans="3:7">
      <c r="C3537" s="319"/>
      <c r="D3537" s="319"/>
      <c r="G3537" s="320"/>
    </row>
    <row r="3538" spans="3:7">
      <c r="C3538" s="319"/>
      <c r="D3538" s="319"/>
      <c r="G3538" s="320"/>
    </row>
    <row r="3539" spans="3:4">
      <c r="C3539" s="319"/>
      <c r="D3539" s="319"/>
    </row>
    <row r="3540" spans="3:4">
      <c r="C3540" s="319"/>
      <c r="D3540" s="319"/>
    </row>
    <row r="3541" spans="3:7">
      <c r="C3541" s="319"/>
      <c r="D3541" s="319"/>
      <c r="G3541" s="320"/>
    </row>
    <row r="3542" spans="3:7">
      <c r="C3542" s="319"/>
      <c r="D3542" s="319"/>
      <c r="G3542" s="320"/>
    </row>
    <row r="3543" spans="3:7">
      <c r="C3543" s="319"/>
      <c r="D3543" s="319"/>
      <c r="G3543" s="320"/>
    </row>
    <row r="3544" spans="3:7">
      <c r="C3544" s="319"/>
      <c r="D3544" s="319"/>
      <c r="G3544" s="320"/>
    </row>
    <row r="3545" spans="3:7">
      <c r="C3545" s="319"/>
      <c r="D3545" s="319"/>
      <c r="G3545" s="320"/>
    </row>
    <row r="3546" spans="3:7">
      <c r="C3546" s="319"/>
      <c r="D3546" s="319"/>
      <c r="G3546" s="320"/>
    </row>
    <row r="3547" spans="3:7">
      <c r="C3547" s="319"/>
      <c r="D3547" s="319"/>
      <c r="G3547" s="320"/>
    </row>
    <row r="3548" spans="3:7">
      <c r="C3548" s="319"/>
      <c r="D3548" s="319"/>
      <c r="G3548" s="320"/>
    </row>
    <row r="3549" spans="3:7">
      <c r="C3549" s="319"/>
      <c r="D3549" s="319"/>
      <c r="G3549" s="320"/>
    </row>
    <row r="3550" spans="3:7">
      <c r="C3550" s="319"/>
      <c r="D3550" s="319"/>
      <c r="G3550" s="320"/>
    </row>
    <row r="3551" spans="3:7">
      <c r="C3551" s="319"/>
      <c r="D3551" s="319"/>
      <c r="G3551" s="320"/>
    </row>
    <row r="3552" spans="3:7">
      <c r="C3552" s="319"/>
      <c r="D3552" s="319"/>
      <c r="G3552" s="320"/>
    </row>
    <row r="3553" spans="3:4">
      <c r="C3553" s="319"/>
      <c r="D3553" s="319"/>
    </row>
    <row r="3554" spans="3:7">
      <c r="C3554" s="319"/>
      <c r="D3554" s="319"/>
      <c r="G3554" s="320"/>
    </row>
    <row r="3555" spans="3:7">
      <c r="C3555" s="319"/>
      <c r="D3555" s="319"/>
      <c r="G3555" s="320"/>
    </row>
    <row r="3556" spans="3:7">
      <c r="C3556" s="319"/>
      <c r="D3556" s="319"/>
      <c r="G3556" s="320"/>
    </row>
    <row r="3557" spans="3:7">
      <c r="C3557" s="319"/>
      <c r="D3557" s="319"/>
      <c r="G3557" s="320"/>
    </row>
    <row r="3558" spans="3:7">
      <c r="C3558" s="319"/>
      <c r="D3558" s="319"/>
      <c r="G3558" s="320"/>
    </row>
    <row r="3559" spans="3:4">
      <c r="C3559" s="319"/>
      <c r="D3559" s="319"/>
    </row>
    <row r="3560" spans="3:4">
      <c r="C3560" s="319"/>
      <c r="D3560" s="319"/>
    </row>
    <row r="3561" spans="3:7">
      <c r="C3561" s="319"/>
      <c r="D3561" s="319"/>
      <c r="G3561" s="320"/>
    </row>
    <row r="3562" spans="3:4">
      <c r="C3562" s="319"/>
      <c r="D3562" s="319"/>
    </row>
    <row r="3563" spans="3:4">
      <c r="C3563" s="319"/>
      <c r="D3563" s="319"/>
    </row>
    <row r="3564" spans="3:7">
      <c r="C3564" s="319"/>
      <c r="D3564" s="319"/>
      <c r="G3564" s="320"/>
    </row>
    <row r="3565" spans="3:7">
      <c r="C3565" s="319"/>
      <c r="D3565" s="319"/>
      <c r="G3565" s="320"/>
    </row>
    <row r="3566" spans="3:7">
      <c r="C3566" s="319"/>
      <c r="D3566" s="319"/>
      <c r="G3566" s="320"/>
    </row>
    <row r="3567" spans="3:4">
      <c r="C3567" s="319"/>
      <c r="D3567" s="319"/>
    </row>
    <row r="3568" spans="3:7">
      <c r="C3568" s="319"/>
      <c r="D3568" s="319"/>
      <c r="G3568" s="320"/>
    </row>
    <row r="3569" spans="3:7">
      <c r="C3569" s="319"/>
      <c r="D3569" s="319"/>
      <c r="G3569" s="320"/>
    </row>
    <row r="3570" spans="3:7">
      <c r="C3570" s="319"/>
      <c r="D3570" s="319"/>
      <c r="G3570" s="320"/>
    </row>
    <row r="3571" spans="3:7">
      <c r="C3571" s="319"/>
      <c r="D3571" s="319"/>
      <c r="G3571" s="320"/>
    </row>
    <row r="3572" spans="3:4">
      <c r="C3572" s="319"/>
      <c r="D3572" s="319"/>
    </row>
    <row r="3573" spans="3:7">
      <c r="C3573" s="319"/>
      <c r="D3573" s="319"/>
      <c r="G3573" s="320"/>
    </row>
    <row r="3574" spans="3:7">
      <c r="C3574" s="319"/>
      <c r="D3574" s="319"/>
      <c r="G3574" s="320"/>
    </row>
    <row r="3575" spans="3:4">
      <c r="C3575" s="319"/>
      <c r="D3575" s="319"/>
    </row>
    <row r="3576" spans="3:4">
      <c r="C3576" s="319"/>
      <c r="D3576" s="319"/>
    </row>
    <row r="3577" spans="3:7">
      <c r="C3577" s="319"/>
      <c r="D3577" s="319"/>
      <c r="G3577" s="320"/>
    </row>
    <row r="3578" spans="3:7">
      <c r="C3578" s="319"/>
      <c r="D3578" s="319"/>
      <c r="G3578" s="320"/>
    </row>
    <row r="3579" spans="3:7">
      <c r="C3579" s="319"/>
      <c r="D3579" s="319"/>
      <c r="G3579" s="320"/>
    </row>
    <row r="3580" spans="3:7">
      <c r="C3580" s="319"/>
      <c r="D3580" s="319"/>
      <c r="G3580" s="320"/>
    </row>
    <row r="3581" spans="3:7">
      <c r="C3581" s="319"/>
      <c r="D3581" s="319"/>
      <c r="G3581" s="320"/>
    </row>
    <row r="3582" spans="3:4">
      <c r="C3582" s="319"/>
      <c r="D3582" s="319"/>
    </row>
    <row r="3583" spans="3:7">
      <c r="C3583" s="319"/>
      <c r="D3583" s="319"/>
      <c r="G3583" s="320"/>
    </row>
    <row r="3584" spans="3:4">
      <c r="C3584" s="319"/>
      <c r="D3584" s="319"/>
    </row>
    <row r="3585" spans="3:7">
      <c r="C3585" s="319"/>
      <c r="D3585" s="319"/>
      <c r="G3585" s="320"/>
    </row>
    <row r="3586" spans="3:7">
      <c r="C3586" s="319"/>
      <c r="D3586" s="319"/>
      <c r="G3586" s="320"/>
    </row>
    <row r="3587" spans="3:7">
      <c r="C3587" s="319"/>
      <c r="D3587" s="319"/>
      <c r="G3587" s="320"/>
    </row>
    <row r="3588" spans="3:7">
      <c r="C3588" s="319"/>
      <c r="D3588" s="319"/>
      <c r="G3588" s="320"/>
    </row>
    <row r="3589" spans="3:7">
      <c r="C3589" s="319"/>
      <c r="D3589" s="319"/>
      <c r="G3589" s="320"/>
    </row>
    <row r="3590" spans="3:4">
      <c r="C3590" s="319"/>
      <c r="D3590" s="319"/>
    </row>
    <row r="3591" spans="3:7">
      <c r="C3591" s="319"/>
      <c r="D3591" s="319"/>
      <c r="G3591" s="320"/>
    </row>
    <row r="3592" spans="3:4">
      <c r="C3592" s="319"/>
      <c r="D3592" s="319"/>
    </row>
    <row r="3593" spans="3:4">
      <c r="C3593" s="319"/>
      <c r="D3593" s="319"/>
    </row>
    <row r="3594" spans="3:7">
      <c r="C3594" s="319"/>
      <c r="D3594" s="319"/>
      <c r="G3594" s="320"/>
    </row>
    <row r="3595" spans="3:4">
      <c r="C3595" s="319"/>
      <c r="D3595" s="319"/>
    </row>
    <row r="3596" spans="3:7">
      <c r="C3596" s="319"/>
      <c r="D3596" s="319"/>
      <c r="G3596" s="320"/>
    </row>
    <row r="3597" spans="3:7">
      <c r="C3597" s="319"/>
      <c r="D3597" s="319"/>
      <c r="G3597" s="320"/>
    </row>
    <row r="3598" spans="3:7">
      <c r="C3598" s="319"/>
      <c r="D3598" s="319"/>
      <c r="G3598" s="320"/>
    </row>
    <row r="3599" spans="3:4">
      <c r="C3599" s="319"/>
      <c r="D3599" s="319"/>
    </row>
    <row r="3600" spans="3:4">
      <c r="C3600" s="319"/>
      <c r="D3600" s="319"/>
    </row>
    <row r="3601" spans="3:4">
      <c r="C3601" s="319"/>
      <c r="D3601" s="319"/>
    </row>
    <row r="3602" spans="3:4">
      <c r="C3602" s="319"/>
      <c r="D3602" s="319"/>
    </row>
    <row r="3603" spans="3:4">
      <c r="C3603" s="319"/>
      <c r="D3603" s="319"/>
    </row>
    <row r="3604" spans="3:4">
      <c r="C3604" s="319"/>
      <c r="D3604" s="319"/>
    </row>
    <row r="3605" spans="3:7">
      <c r="C3605" s="319"/>
      <c r="D3605" s="319"/>
      <c r="G3605" s="320"/>
    </row>
    <row r="3606" spans="3:7">
      <c r="C3606" s="319"/>
      <c r="D3606" s="319"/>
      <c r="G3606" s="320"/>
    </row>
    <row r="3607" spans="3:7">
      <c r="C3607" s="319"/>
      <c r="D3607" s="319"/>
      <c r="G3607" s="320"/>
    </row>
    <row r="3608" spans="3:7">
      <c r="C3608" s="319"/>
      <c r="D3608" s="319"/>
      <c r="G3608" s="320"/>
    </row>
    <row r="3609" spans="3:7">
      <c r="C3609" s="319"/>
      <c r="D3609" s="319"/>
      <c r="G3609" s="320"/>
    </row>
    <row r="3610" spans="3:7">
      <c r="C3610" s="319"/>
      <c r="D3610" s="319"/>
      <c r="G3610" s="320"/>
    </row>
    <row r="3611" spans="3:7">
      <c r="C3611" s="319"/>
      <c r="D3611" s="319"/>
      <c r="G3611" s="320"/>
    </row>
    <row r="3612" spans="3:7">
      <c r="C3612" s="319"/>
      <c r="D3612" s="319"/>
      <c r="G3612" s="320"/>
    </row>
    <row r="3613" spans="3:7">
      <c r="C3613" s="319"/>
      <c r="D3613" s="319"/>
      <c r="G3613" s="320"/>
    </row>
    <row r="3614" spans="3:4">
      <c r="C3614" s="319"/>
      <c r="D3614" s="319"/>
    </row>
    <row r="3615" spans="3:7">
      <c r="C3615" s="319"/>
      <c r="D3615" s="319"/>
      <c r="G3615" s="320"/>
    </row>
    <row r="3616" spans="3:7">
      <c r="C3616" s="319"/>
      <c r="D3616" s="319"/>
      <c r="G3616" s="320"/>
    </row>
    <row r="3617" spans="3:7">
      <c r="C3617" s="319"/>
      <c r="D3617" s="319"/>
      <c r="G3617" s="320"/>
    </row>
    <row r="3618" spans="3:4">
      <c r="C3618" s="319"/>
      <c r="D3618" s="319"/>
    </row>
    <row r="3619" spans="3:4">
      <c r="C3619" s="319"/>
      <c r="D3619" s="319"/>
    </row>
    <row r="3620" spans="3:4">
      <c r="C3620" s="319"/>
      <c r="D3620" s="319"/>
    </row>
    <row r="3621" spans="3:4">
      <c r="C3621" s="319"/>
      <c r="D3621" s="319"/>
    </row>
    <row r="3622" spans="3:7">
      <c r="C3622" s="319"/>
      <c r="D3622" s="319"/>
      <c r="G3622" s="320"/>
    </row>
    <row r="3623" spans="3:4">
      <c r="C3623" s="319"/>
      <c r="D3623" s="319"/>
    </row>
    <row r="3624" spans="3:7">
      <c r="C3624" s="319"/>
      <c r="D3624" s="319"/>
      <c r="G3624" s="320"/>
    </row>
    <row r="3625" spans="3:7">
      <c r="C3625" s="319"/>
      <c r="D3625" s="319"/>
      <c r="G3625" s="320"/>
    </row>
    <row r="3626" spans="3:7">
      <c r="C3626" s="319"/>
      <c r="D3626" s="319"/>
      <c r="G3626" s="320"/>
    </row>
    <row r="3627" spans="3:7">
      <c r="C3627" s="319"/>
      <c r="D3627" s="319"/>
      <c r="G3627" s="320"/>
    </row>
    <row r="3628" spans="3:7">
      <c r="C3628" s="319"/>
      <c r="D3628" s="319"/>
      <c r="G3628" s="320"/>
    </row>
    <row r="3629" spans="3:4">
      <c r="C3629" s="319"/>
      <c r="D3629" s="319"/>
    </row>
    <row r="3630" spans="3:4">
      <c r="C3630" s="319"/>
      <c r="D3630" s="319"/>
    </row>
    <row r="3631" spans="3:4">
      <c r="C3631" s="319"/>
      <c r="D3631" s="319"/>
    </row>
    <row r="3632" spans="3:7">
      <c r="C3632" s="319"/>
      <c r="D3632" s="319"/>
      <c r="G3632" s="320"/>
    </row>
    <row r="3633" spans="3:4">
      <c r="C3633" s="319"/>
      <c r="D3633" s="319"/>
    </row>
    <row r="3634" spans="3:7">
      <c r="C3634" s="319"/>
      <c r="D3634" s="319"/>
      <c r="G3634" s="320"/>
    </row>
    <row r="3635" spans="3:7">
      <c r="C3635" s="319"/>
      <c r="D3635" s="319"/>
      <c r="G3635" s="320"/>
    </row>
    <row r="3636" spans="3:4">
      <c r="C3636" s="319"/>
      <c r="D3636" s="319"/>
    </row>
    <row r="3637" spans="3:7">
      <c r="C3637" s="319"/>
      <c r="D3637" s="319"/>
      <c r="G3637" s="320"/>
    </row>
    <row r="3638" spans="3:7">
      <c r="C3638" s="319"/>
      <c r="D3638" s="319"/>
      <c r="G3638" s="320"/>
    </row>
    <row r="3639" spans="3:4">
      <c r="C3639" s="319"/>
      <c r="D3639" s="319"/>
    </row>
    <row r="3640" spans="3:7">
      <c r="C3640" s="319"/>
      <c r="D3640" s="319"/>
      <c r="G3640" s="320"/>
    </row>
    <row r="3641" spans="3:7">
      <c r="C3641" s="319"/>
      <c r="D3641" s="319"/>
      <c r="G3641" s="320"/>
    </row>
    <row r="3642" spans="3:7">
      <c r="C3642" s="319"/>
      <c r="D3642" s="319"/>
      <c r="G3642" s="320"/>
    </row>
    <row r="3643" spans="3:7">
      <c r="C3643" s="319"/>
      <c r="D3643" s="319"/>
      <c r="G3643" s="320"/>
    </row>
    <row r="3644" spans="3:7">
      <c r="C3644" s="319"/>
      <c r="D3644" s="319"/>
      <c r="G3644" s="320"/>
    </row>
    <row r="3645" spans="3:7">
      <c r="C3645" s="319"/>
      <c r="D3645" s="319"/>
      <c r="G3645" s="320"/>
    </row>
    <row r="3646" spans="3:4">
      <c r="C3646" s="319"/>
      <c r="D3646" s="319"/>
    </row>
    <row r="3647" spans="3:7">
      <c r="C3647" s="319"/>
      <c r="D3647" s="319"/>
      <c r="G3647" s="320"/>
    </row>
    <row r="3648" spans="3:4">
      <c r="C3648" s="319"/>
      <c r="D3648" s="319"/>
    </row>
    <row r="3649" spans="3:4">
      <c r="C3649" s="319"/>
      <c r="D3649" s="319"/>
    </row>
    <row r="3650" spans="3:4">
      <c r="C3650" s="319"/>
      <c r="D3650" s="319"/>
    </row>
    <row r="3651" spans="3:7">
      <c r="C3651" s="319"/>
      <c r="D3651" s="319"/>
      <c r="G3651" s="320"/>
    </row>
    <row r="3652" spans="3:4">
      <c r="C3652" s="319"/>
      <c r="D3652" s="319"/>
    </row>
    <row r="3653" spans="3:4">
      <c r="C3653" s="319"/>
      <c r="D3653" s="319"/>
    </row>
    <row r="3654" spans="3:4">
      <c r="C3654" s="319"/>
      <c r="D3654" s="319"/>
    </row>
    <row r="3655" spans="3:4">
      <c r="C3655" s="319"/>
      <c r="D3655" s="319"/>
    </row>
    <row r="3656" spans="3:7">
      <c r="C3656" s="319"/>
      <c r="D3656" s="319"/>
      <c r="G3656" s="320"/>
    </row>
    <row r="3657" spans="3:7">
      <c r="C3657" s="319"/>
      <c r="D3657" s="319"/>
      <c r="G3657" s="320"/>
    </row>
    <row r="3658" spans="3:4">
      <c r="C3658" s="319"/>
      <c r="D3658" s="319"/>
    </row>
    <row r="3659" spans="3:7">
      <c r="C3659" s="319"/>
      <c r="D3659" s="319"/>
      <c r="G3659" s="320"/>
    </row>
    <row r="3660" spans="3:7">
      <c r="C3660" s="319"/>
      <c r="D3660" s="319"/>
      <c r="G3660" s="320"/>
    </row>
    <row r="3661" spans="3:4">
      <c r="C3661" s="319"/>
      <c r="D3661" s="319"/>
    </row>
    <row r="3662" spans="3:7">
      <c r="C3662" s="319"/>
      <c r="D3662" s="319"/>
      <c r="G3662" s="320"/>
    </row>
    <row r="3663" spans="3:7">
      <c r="C3663" s="319"/>
      <c r="D3663" s="319"/>
      <c r="G3663" s="320"/>
    </row>
    <row r="3664" spans="3:4">
      <c r="C3664" s="319"/>
      <c r="D3664" s="319"/>
    </row>
    <row r="3665" spans="3:4">
      <c r="C3665" s="319"/>
      <c r="D3665" s="319"/>
    </row>
    <row r="3666" spans="3:4">
      <c r="C3666" s="319"/>
      <c r="D3666" s="319"/>
    </row>
    <row r="3667" spans="3:4">
      <c r="C3667" s="319"/>
      <c r="D3667" s="319"/>
    </row>
    <row r="3668" spans="3:4">
      <c r="C3668" s="319"/>
      <c r="D3668" s="319"/>
    </row>
    <row r="3669" spans="3:7">
      <c r="C3669" s="319"/>
      <c r="D3669" s="319"/>
      <c r="G3669" s="320"/>
    </row>
    <row r="3670" spans="3:4">
      <c r="C3670" s="319"/>
      <c r="D3670" s="319"/>
    </row>
    <row r="3671" spans="3:4">
      <c r="C3671" s="319"/>
      <c r="D3671" s="319"/>
    </row>
    <row r="3672" spans="3:4">
      <c r="C3672" s="319"/>
      <c r="D3672" s="319"/>
    </row>
    <row r="3673" spans="3:4">
      <c r="C3673" s="319"/>
      <c r="D3673" s="319"/>
    </row>
    <row r="3674" spans="3:4">
      <c r="C3674" s="319"/>
      <c r="D3674" s="319"/>
    </row>
    <row r="3675" spans="3:7">
      <c r="C3675" s="319"/>
      <c r="D3675" s="319"/>
      <c r="G3675" s="320"/>
    </row>
    <row r="3676" spans="3:4">
      <c r="C3676" s="319"/>
      <c r="D3676" s="319"/>
    </row>
    <row r="3677" spans="3:4">
      <c r="C3677" s="319"/>
      <c r="D3677" s="319"/>
    </row>
    <row r="3678" spans="3:7">
      <c r="C3678" s="319"/>
      <c r="D3678" s="319"/>
      <c r="G3678" s="320"/>
    </row>
    <row r="3679" spans="3:4">
      <c r="C3679" s="319"/>
      <c r="D3679" s="319"/>
    </row>
    <row r="3680" spans="3:4">
      <c r="C3680" s="319"/>
      <c r="D3680" s="319"/>
    </row>
    <row r="3681" spans="3:4">
      <c r="C3681" s="319"/>
      <c r="D3681" s="319"/>
    </row>
    <row r="3682" spans="3:7">
      <c r="C3682" s="319"/>
      <c r="D3682" s="319"/>
      <c r="G3682" s="320"/>
    </row>
    <row r="3683" spans="3:7">
      <c r="C3683" s="319"/>
      <c r="D3683" s="319"/>
      <c r="G3683" s="320"/>
    </row>
    <row r="3684" spans="3:7">
      <c r="C3684" s="319"/>
      <c r="D3684" s="319"/>
      <c r="G3684" s="320"/>
    </row>
    <row r="3685" spans="3:4">
      <c r="C3685" s="319"/>
      <c r="D3685" s="319"/>
    </row>
    <row r="3686" spans="3:4">
      <c r="C3686" s="319"/>
      <c r="D3686" s="319"/>
    </row>
    <row r="3687" spans="3:7">
      <c r="C3687" s="319"/>
      <c r="D3687" s="319"/>
      <c r="G3687" s="320"/>
    </row>
    <row r="3688" spans="3:7">
      <c r="C3688" s="319"/>
      <c r="D3688" s="319"/>
      <c r="G3688" s="320"/>
    </row>
    <row r="3689" spans="3:7">
      <c r="C3689" s="319"/>
      <c r="D3689" s="319"/>
      <c r="G3689" s="320"/>
    </row>
    <row r="3690" spans="3:4">
      <c r="C3690" s="319"/>
      <c r="D3690" s="319"/>
    </row>
    <row r="3691" spans="3:4">
      <c r="C3691" s="319"/>
      <c r="D3691" s="319"/>
    </row>
    <row r="3692" spans="3:4">
      <c r="C3692" s="319"/>
      <c r="D3692" s="319"/>
    </row>
    <row r="3693" spans="3:4">
      <c r="C3693" s="319"/>
      <c r="D3693" s="319"/>
    </row>
    <row r="3694" spans="3:4">
      <c r="C3694" s="319"/>
      <c r="D3694" s="319"/>
    </row>
    <row r="3695" spans="3:4">
      <c r="C3695" s="319"/>
      <c r="D3695" s="319"/>
    </row>
    <row r="3696" spans="3:4">
      <c r="C3696" s="319"/>
      <c r="D3696" s="319"/>
    </row>
    <row r="3697" spans="3:4">
      <c r="C3697" s="319"/>
      <c r="D3697" s="319"/>
    </row>
    <row r="3698" spans="3:4">
      <c r="C3698" s="319"/>
      <c r="D3698" s="319"/>
    </row>
    <row r="3699" spans="3:4">
      <c r="C3699" s="319"/>
      <c r="D3699" s="319"/>
    </row>
    <row r="3700" spans="3:7">
      <c r="C3700" s="319"/>
      <c r="D3700" s="319"/>
      <c r="G3700" s="320"/>
    </row>
    <row r="3701" spans="3:4">
      <c r="C3701" s="319"/>
      <c r="D3701" s="319"/>
    </row>
    <row r="3702" spans="3:4">
      <c r="C3702" s="319"/>
      <c r="D3702" s="319"/>
    </row>
    <row r="3703" spans="3:4">
      <c r="C3703" s="319"/>
      <c r="D3703" s="319"/>
    </row>
    <row r="3704" spans="3:4">
      <c r="C3704" s="319"/>
      <c r="D3704" s="319"/>
    </row>
    <row r="3705" spans="3:4">
      <c r="C3705" s="319"/>
      <c r="D3705" s="319"/>
    </row>
    <row r="3706" spans="3:4">
      <c r="C3706" s="319"/>
      <c r="D3706" s="319"/>
    </row>
    <row r="3707" spans="3:4">
      <c r="C3707" s="319"/>
      <c r="D3707" s="319"/>
    </row>
    <row r="3708" spans="3:7">
      <c r="C3708" s="319"/>
      <c r="D3708" s="319"/>
      <c r="G3708" s="320"/>
    </row>
    <row r="3709" spans="3:7">
      <c r="C3709" s="319"/>
      <c r="D3709" s="319"/>
      <c r="G3709" s="320"/>
    </row>
    <row r="3710" spans="3:4">
      <c r="C3710" s="319"/>
      <c r="D3710" s="319"/>
    </row>
    <row r="3711" spans="3:7">
      <c r="C3711" s="319"/>
      <c r="D3711" s="319"/>
      <c r="G3711" s="320"/>
    </row>
    <row r="3712" spans="3:4">
      <c r="C3712" s="319"/>
      <c r="D3712" s="319"/>
    </row>
    <row r="3713" spans="3:4">
      <c r="C3713" s="319"/>
      <c r="D3713" s="319"/>
    </row>
    <row r="3714" spans="3:7">
      <c r="C3714" s="319"/>
      <c r="D3714" s="319"/>
      <c r="G3714" s="320"/>
    </row>
    <row r="3715" spans="3:7">
      <c r="C3715" s="319"/>
      <c r="D3715" s="319"/>
      <c r="G3715" s="320"/>
    </row>
    <row r="3716" spans="3:4">
      <c r="C3716" s="319"/>
      <c r="D3716" s="319"/>
    </row>
    <row r="3717" spans="3:4">
      <c r="C3717" s="319"/>
      <c r="D3717" s="319"/>
    </row>
    <row r="3718" spans="3:7">
      <c r="C3718" s="319"/>
      <c r="D3718" s="319"/>
      <c r="G3718" s="320"/>
    </row>
    <row r="3719" spans="3:4">
      <c r="C3719" s="319"/>
      <c r="D3719" s="319"/>
    </row>
    <row r="3720" spans="3:7">
      <c r="C3720" s="319"/>
      <c r="D3720" s="319"/>
      <c r="G3720" s="320"/>
    </row>
    <row r="3721" spans="3:4">
      <c r="C3721" s="319"/>
      <c r="D3721" s="319"/>
    </row>
    <row r="3722" spans="3:4">
      <c r="C3722" s="319"/>
      <c r="D3722" s="319"/>
    </row>
    <row r="3723" spans="3:4">
      <c r="C3723" s="319"/>
      <c r="D3723" s="319"/>
    </row>
    <row r="3724" spans="3:4">
      <c r="C3724" s="319"/>
      <c r="D3724" s="319"/>
    </row>
    <row r="3725" spans="3:7">
      <c r="C3725" s="319"/>
      <c r="D3725" s="319"/>
      <c r="G3725" s="320"/>
    </row>
    <row r="3726" spans="3:4">
      <c r="C3726" s="319"/>
      <c r="D3726" s="319"/>
    </row>
    <row r="3727" spans="3:4">
      <c r="C3727" s="319"/>
      <c r="D3727" s="319"/>
    </row>
    <row r="3728" spans="3:4">
      <c r="C3728" s="319"/>
      <c r="D3728" s="319"/>
    </row>
    <row r="3729" spans="3:7">
      <c r="C3729" s="319"/>
      <c r="D3729" s="319"/>
      <c r="G3729" s="320"/>
    </row>
    <row r="3730" spans="3:4">
      <c r="C3730" s="319"/>
      <c r="D3730" s="319"/>
    </row>
    <row r="3731" spans="3:4">
      <c r="C3731" s="319"/>
      <c r="D3731" s="319"/>
    </row>
    <row r="3732" spans="3:4">
      <c r="C3732" s="319"/>
      <c r="D3732" s="319"/>
    </row>
    <row r="3733" spans="3:7">
      <c r="C3733" s="319"/>
      <c r="D3733" s="319"/>
      <c r="G3733" s="320"/>
    </row>
    <row r="3734" spans="3:7">
      <c r="C3734" s="319"/>
      <c r="D3734" s="319"/>
      <c r="G3734" s="320"/>
    </row>
    <row r="3735" spans="3:4">
      <c r="C3735" s="319"/>
      <c r="D3735" s="319"/>
    </row>
    <row r="3736" spans="3:4">
      <c r="C3736" s="319"/>
      <c r="D3736" s="319"/>
    </row>
    <row r="3737" spans="3:7">
      <c r="C3737" s="319"/>
      <c r="D3737" s="319"/>
      <c r="G3737" s="320"/>
    </row>
    <row r="3738" spans="3:4">
      <c r="C3738" s="319"/>
      <c r="D3738" s="319"/>
    </row>
    <row r="3739" spans="3:4">
      <c r="C3739" s="319"/>
      <c r="D3739" s="319"/>
    </row>
    <row r="3740" spans="3:4">
      <c r="C3740" s="319"/>
      <c r="D3740" s="319"/>
    </row>
    <row r="3741" spans="3:4">
      <c r="C3741" s="319"/>
      <c r="D3741" s="319"/>
    </row>
    <row r="3742" spans="3:4">
      <c r="C3742" s="319"/>
      <c r="D3742" s="319"/>
    </row>
    <row r="3743" spans="3:7">
      <c r="C3743" s="319"/>
      <c r="D3743" s="319"/>
      <c r="G3743" s="320"/>
    </row>
    <row r="3744" spans="3:7">
      <c r="C3744" s="319"/>
      <c r="D3744" s="319"/>
      <c r="G3744" s="320"/>
    </row>
    <row r="3745" spans="3:7">
      <c r="C3745" s="319"/>
      <c r="D3745" s="319"/>
      <c r="G3745" s="320"/>
    </row>
    <row r="3746" spans="3:4">
      <c r="C3746" s="319"/>
      <c r="D3746" s="319"/>
    </row>
    <row r="3747" spans="3:4">
      <c r="C3747" s="319"/>
      <c r="D3747" s="319"/>
    </row>
    <row r="3748" spans="3:4">
      <c r="C3748" s="319"/>
      <c r="D3748" s="319"/>
    </row>
    <row r="3749" spans="3:4">
      <c r="C3749" s="319"/>
      <c r="D3749" s="319"/>
    </row>
    <row r="3750" spans="3:4">
      <c r="C3750" s="319"/>
      <c r="D3750" s="319"/>
    </row>
    <row r="3751" spans="3:4">
      <c r="C3751" s="319"/>
      <c r="D3751" s="319"/>
    </row>
    <row r="3752" spans="3:4">
      <c r="C3752" s="319"/>
      <c r="D3752" s="319"/>
    </row>
    <row r="3753" spans="3:4">
      <c r="C3753" s="319"/>
      <c r="D3753" s="319"/>
    </row>
    <row r="3754" spans="3:7">
      <c r="C3754" s="319"/>
      <c r="D3754" s="319"/>
      <c r="G3754" s="320"/>
    </row>
    <row r="3755" spans="3:7">
      <c r="C3755" s="319"/>
      <c r="D3755" s="319"/>
      <c r="G3755" s="320"/>
    </row>
    <row r="3756" spans="3:7">
      <c r="C3756" s="319"/>
      <c r="D3756" s="319"/>
      <c r="G3756" s="320"/>
    </row>
    <row r="3757" spans="3:4">
      <c r="C3757" s="319"/>
      <c r="D3757" s="319"/>
    </row>
    <row r="3758" spans="3:7">
      <c r="C3758" s="319"/>
      <c r="D3758" s="319"/>
      <c r="G3758" s="320"/>
    </row>
    <row r="3759" spans="3:4">
      <c r="C3759" s="319"/>
      <c r="D3759" s="319"/>
    </row>
    <row r="3760" spans="3:4">
      <c r="C3760" s="319"/>
      <c r="D3760" s="319"/>
    </row>
    <row r="3761" spans="3:4">
      <c r="C3761" s="319"/>
      <c r="D3761" s="319"/>
    </row>
    <row r="3762" spans="3:4">
      <c r="C3762" s="319"/>
      <c r="D3762" s="319"/>
    </row>
    <row r="3763" spans="3:4">
      <c r="C3763" s="319"/>
      <c r="D3763" s="319"/>
    </row>
    <row r="3764" spans="3:4">
      <c r="C3764" s="319"/>
      <c r="D3764" s="319"/>
    </row>
    <row r="3765" spans="3:7">
      <c r="C3765" s="319"/>
      <c r="D3765" s="319"/>
      <c r="G3765" s="320"/>
    </row>
    <row r="3766" spans="3:7">
      <c r="C3766" s="319"/>
      <c r="D3766" s="319"/>
      <c r="G3766" s="320"/>
    </row>
    <row r="3767" spans="3:4">
      <c r="C3767" s="319"/>
      <c r="D3767" s="319"/>
    </row>
    <row r="3768" spans="3:7">
      <c r="C3768" s="319"/>
      <c r="D3768" s="319"/>
      <c r="G3768" s="320"/>
    </row>
    <row r="3769" spans="3:7">
      <c r="C3769" s="319"/>
      <c r="D3769" s="319"/>
      <c r="G3769" s="320"/>
    </row>
    <row r="3770" spans="3:4">
      <c r="C3770" s="319"/>
      <c r="D3770" s="319"/>
    </row>
    <row r="3771" spans="3:7">
      <c r="C3771" s="319"/>
      <c r="D3771" s="319"/>
      <c r="G3771" s="320"/>
    </row>
    <row r="3772" spans="3:4">
      <c r="C3772" s="319"/>
      <c r="D3772" s="319"/>
    </row>
    <row r="3773" spans="3:7">
      <c r="C3773" s="319"/>
      <c r="D3773" s="319"/>
      <c r="G3773" s="320"/>
    </row>
    <row r="3774" spans="3:7">
      <c r="C3774" s="319"/>
      <c r="D3774" s="319"/>
      <c r="G3774" s="320"/>
    </row>
    <row r="3775" spans="3:7">
      <c r="C3775" s="319"/>
      <c r="D3775" s="319"/>
      <c r="G3775" s="320"/>
    </row>
    <row r="3776" spans="3:7">
      <c r="C3776" s="319"/>
      <c r="D3776" s="319"/>
      <c r="G3776" s="320"/>
    </row>
    <row r="3777" spans="3:4">
      <c r="C3777" s="319"/>
      <c r="D3777" s="319"/>
    </row>
    <row r="3778" spans="3:4">
      <c r="C3778" s="319"/>
      <c r="D3778" s="319"/>
    </row>
    <row r="3779" spans="3:7">
      <c r="C3779" s="319"/>
      <c r="D3779" s="319"/>
      <c r="G3779" s="320"/>
    </row>
    <row r="3780" spans="3:7">
      <c r="C3780" s="319"/>
      <c r="D3780" s="319"/>
      <c r="G3780" s="320"/>
    </row>
    <row r="3781" spans="3:7">
      <c r="C3781" s="319"/>
      <c r="D3781" s="319"/>
      <c r="G3781" s="320"/>
    </row>
    <row r="3782" spans="3:4">
      <c r="C3782" s="319"/>
      <c r="D3782" s="319"/>
    </row>
    <row r="3783" spans="3:7">
      <c r="C3783" s="319"/>
      <c r="D3783" s="319"/>
      <c r="G3783" s="320"/>
    </row>
    <row r="3784" spans="3:7">
      <c r="C3784" s="319"/>
      <c r="D3784" s="319"/>
      <c r="G3784" s="320"/>
    </row>
    <row r="3785" spans="3:4">
      <c r="C3785" s="319"/>
      <c r="D3785" s="319"/>
    </row>
    <row r="3786" spans="3:7">
      <c r="C3786" s="319"/>
      <c r="D3786" s="319"/>
      <c r="G3786" s="320"/>
    </row>
    <row r="3787" spans="3:4">
      <c r="C3787" s="319"/>
      <c r="D3787" s="319"/>
    </row>
    <row r="3788" spans="3:7">
      <c r="C3788" s="319"/>
      <c r="D3788" s="319"/>
      <c r="G3788" s="320"/>
    </row>
    <row r="3789" spans="3:7">
      <c r="C3789" s="319"/>
      <c r="D3789" s="319"/>
      <c r="G3789" s="320"/>
    </row>
    <row r="3790" spans="3:7">
      <c r="C3790" s="319"/>
      <c r="D3790" s="319"/>
      <c r="G3790" s="320"/>
    </row>
    <row r="3791" spans="3:7">
      <c r="C3791" s="319"/>
      <c r="D3791" s="319"/>
      <c r="G3791" s="320"/>
    </row>
    <row r="3792" spans="3:7">
      <c r="C3792" s="319"/>
      <c r="D3792" s="319"/>
      <c r="G3792" s="320"/>
    </row>
    <row r="3793" spans="3:4">
      <c r="C3793" s="319"/>
      <c r="D3793" s="319"/>
    </row>
    <row r="3794" spans="3:7">
      <c r="C3794" s="319"/>
      <c r="D3794" s="319"/>
      <c r="G3794" s="320"/>
    </row>
    <row r="3795" spans="3:7">
      <c r="C3795" s="319"/>
      <c r="D3795" s="319"/>
      <c r="G3795" s="320"/>
    </row>
    <row r="3796" spans="3:4">
      <c r="C3796" s="319"/>
      <c r="D3796" s="319"/>
    </row>
    <row r="3797" spans="3:4">
      <c r="C3797" s="319"/>
      <c r="D3797" s="319"/>
    </row>
    <row r="3798" spans="3:7">
      <c r="C3798" s="319"/>
      <c r="D3798" s="319"/>
      <c r="G3798" s="320"/>
    </row>
    <row r="3799" spans="3:4">
      <c r="C3799" s="319"/>
      <c r="D3799" s="319"/>
    </row>
    <row r="3800" spans="3:7">
      <c r="C3800" s="319"/>
      <c r="D3800" s="319"/>
      <c r="G3800" s="320"/>
    </row>
    <row r="3801" spans="3:7">
      <c r="C3801" s="319"/>
      <c r="D3801" s="319"/>
      <c r="G3801" s="320"/>
    </row>
    <row r="3802" spans="3:7">
      <c r="C3802" s="319"/>
      <c r="D3802" s="319"/>
      <c r="G3802" s="320"/>
    </row>
    <row r="3803" spans="3:7">
      <c r="C3803" s="319"/>
      <c r="D3803" s="319"/>
      <c r="G3803" s="320"/>
    </row>
    <row r="3804" spans="3:4">
      <c r="C3804" s="319"/>
      <c r="D3804" s="319"/>
    </row>
    <row r="3805" spans="3:4">
      <c r="C3805" s="319"/>
      <c r="D3805" s="319"/>
    </row>
    <row r="3806" spans="3:7">
      <c r="C3806" s="319"/>
      <c r="D3806" s="319"/>
      <c r="G3806" s="320"/>
    </row>
    <row r="3807" spans="3:7">
      <c r="C3807" s="319"/>
      <c r="D3807" s="319"/>
      <c r="G3807" s="320"/>
    </row>
    <row r="3808" spans="3:7">
      <c r="C3808" s="319"/>
      <c r="D3808" s="319"/>
      <c r="G3808" s="320"/>
    </row>
    <row r="3809" spans="3:7">
      <c r="C3809" s="319"/>
      <c r="D3809" s="319"/>
      <c r="G3809" s="320"/>
    </row>
    <row r="3810" spans="3:7">
      <c r="C3810" s="319"/>
      <c r="D3810" s="319"/>
      <c r="G3810" s="320"/>
    </row>
    <row r="3811" spans="3:7">
      <c r="C3811" s="319"/>
      <c r="D3811" s="319"/>
      <c r="G3811" s="320"/>
    </row>
    <row r="3812" spans="3:4">
      <c r="C3812" s="319"/>
      <c r="D3812" s="319"/>
    </row>
    <row r="3813" spans="3:4">
      <c r="C3813" s="319"/>
      <c r="D3813" s="319"/>
    </row>
    <row r="3814" spans="3:4">
      <c r="C3814" s="319"/>
      <c r="D3814" s="319"/>
    </row>
    <row r="3815" spans="3:4">
      <c r="C3815" s="319"/>
      <c r="D3815" s="319"/>
    </row>
    <row r="3816" spans="3:4">
      <c r="C3816" s="319"/>
      <c r="D3816" s="319"/>
    </row>
    <row r="3817" spans="3:4">
      <c r="C3817" s="319"/>
      <c r="D3817" s="319"/>
    </row>
    <row r="3818" spans="3:4">
      <c r="C3818" s="319"/>
      <c r="D3818" s="319"/>
    </row>
    <row r="3819" spans="3:7">
      <c r="C3819" s="319"/>
      <c r="D3819" s="319"/>
      <c r="G3819" s="320"/>
    </row>
    <row r="3820" spans="3:4">
      <c r="C3820" s="319"/>
      <c r="D3820" s="319"/>
    </row>
    <row r="3821" spans="3:4">
      <c r="C3821" s="319"/>
      <c r="D3821" s="319"/>
    </row>
    <row r="3822" spans="3:4">
      <c r="C3822" s="319"/>
      <c r="D3822" s="319"/>
    </row>
    <row r="3823" spans="3:4">
      <c r="C3823" s="319"/>
      <c r="D3823" s="319"/>
    </row>
    <row r="3824" spans="3:4">
      <c r="C3824" s="319"/>
      <c r="D3824" s="319"/>
    </row>
    <row r="3825" spans="3:7">
      <c r="C3825" s="319"/>
      <c r="D3825" s="319"/>
      <c r="G3825" s="320"/>
    </row>
    <row r="3826" spans="3:7">
      <c r="C3826" s="319"/>
      <c r="D3826" s="319"/>
      <c r="G3826" s="320"/>
    </row>
    <row r="3827" spans="3:7">
      <c r="C3827" s="319"/>
      <c r="D3827" s="319"/>
      <c r="G3827" s="320"/>
    </row>
    <row r="3828" spans="3:7">
      <c r="C3828" s="319"/>
      <c r="D3828" s="319"/>
      <c r="G3828" s="320"/>
    </row>
    <row r="3829" spans="3:4">
      <c r="C3829" s="319"/>
      <c r="D3829" s="319"/>
    </row>
    <row r="3830" spans="3:7">
      <c r="C3830" s="319"/>
      <c r="D3830" s="319"/>
      <c r="G3830" s="320"/>
    </row>
    <row r="3831" spans="3:4">
      <c r="C3831" s="319"/>
      <c r="D3831" s="319"/>
    </row>
    <row r="3832" spans="3:7">
      <c r="C3832" s="319"/>
      <c r="D3832" s="319"/>
      <c r="G3832" s="320"/>
    </row>
    <row r="3833" spans="3:7">
      <c r="C3833" s="319"/>
      <c r="D3833" s="319"/>
      <c r="G3833" s="320"/>
    </row>
    <row r="3834" spans="3:7">
      <c r="C3834" s="319"/>
      <c r="D3834" s="319"/>
      <c r="G3834" s="320"/>
    </row>
    <row r="3835" spans="3:7">
      <c r="C3835" s="319"/>
      <c r="D3835" s="319"/>
      <c r="G3835" s="320"/>
    </row>
    <row r="3836" spans="3:7">
      <c r="C3836" s="319"/>
      <c r="D3836" s="319"/>
      <c r="G3836" s="320"/>
    </row>
    <row r="3837" spans="3:4">
      <c r="C3837" s="319"/>
      <c r="D3837" s="319"/>
    </row>
    <row r="3838" spans="3:7">
      <c r="C3838" s="319"/>
      <c r="D3838" s="319"/>
      <c r="G3838" s="320"/>
    </row>
    <row r="3839" spans="3:7">
      <c r="C3839" s="319"/>
      <c r="D3839" s="319"/>
      <c r="G3839" s="320"/>
    </row>
    <row r="3840" spans="3:4">
      <c r="C3840" s="319"/>
      <c r="D3840" s="319"/>
    </row>
    <row r="3841" spans="3:4">
      <c r="C3841" s="319"/>
      <c r="D3841" s="319"/>
    </row>
    <row r="3842" spans="3:4">
      <c r="C3842" s="319"/>
      <c r="D3842" s="319"/>
    </row>
    <row r="3843" spans="3:4">
      <c r="C3843" s="319"/>
      <c r="D3843" s="319"/>
    </row>
    <row r="3844" spans="3:7">
      <c r="C3844" s="319"/>
      <c r="D3844" s="319"/>
      <c r="G3844" s="320"/>
    </row>
    <row r="3845" spans="3:4">
      <c r="C3845" s="319"/>
      <c r="D3845" s="319"/>
    </row>
    <row r="3846" spans="3:4">
      <c r="C3846" s="319"/>
      <c r="D3846" s="319"/>
    </row>
    <row r="3847" spans="3:4">
      <c r="C3847" s="319"/>
      <c r="D3847" s="319"/>
    </row>
    <row r="3848" spans="3:4">
      <c r="C3848" s="319"/>
      <c r="D3848" s="319"/>
    </row>
    <row r="3849" spans="3:7">
      <c r="C3849" s="319"/>
      <c r="D3849" s="319"/>
      <c r="G3849" s="320"/>
    </row>
    <row r="3850" spans="3:7">
      <c r="C3850" s="319"/>
      <c r="D3850" s="319"/>
      <c r="G3850" s="320"/>
    </row>
    <row r="3851" spans="3:7">
      <c r="C3851" s="319"/>
      <c r="D3851" s="319"/>
      <c r="G3851" s="320"/>
    </row>
    <row r="3852" spans="3:7">
      <c r="C3852" s="319"/>
      <c r="D3852" s="319"/>
      <c r="G3852" s="320"/>
    </row>
    <row r="3853" spans="3:7">
      <c r="C3853" s="319"/>
      <c r="D3853" s="319"/>
      <c r="G3853" s="320"/>
    </row>
    <row r="3854" spans="3:7">
      <c r="C3854" s="319"/>
      <c r="D3854" s="319"/>
      <c r="G3854" s="320"/>
    </row>
    <row r="3855" spans="3:7">
      <c r="C3855" s="319"/>
      <c r="D3855" s="319"/>
      <c r="G3855" s="320"/>
    </row>
    <row r="3856" spans="3:7">
      <c r="C3856" s="319"/>
      <c r="D3856" s="319"/>
      <c r="G3856" s="320"/>
    </row>
    <row r="3857" spans="3:7">
      <c r="C3857" s="319"/>
      <c r="D3857" s="319"/>
      <c r="G3857" s="320"/>
    </row>
    <row r="3858" spans="3:4">
      <c r="C3858" s="319"/>
      <c r="D3858" s="319"/>
    </row>
    <row r="3859" spans="3:4">
      <c r="C3859" s="319"/>
      <c r="D3859" s="319"/>
    </row>
    <row r="3860" spans="3:7">
      <c r="C3860" s="319"/>
      <c r="D3860" s="319"/>
      <c r="G3860" s="320"/>
    </row>
    <row r="3861" spans="3:7">
      <c r="C3861" s="319"/>
      <c r="D3861" s="319"/>
      <c r="G3861" s="320"/>
    </row>
    <row r="3862" spans="3:4">
      <c r="C3862" s="319"/>
      <c r="D3862" s="319"/>
    </row>
    <row r="3863" spans="3:7">
      <c r="C3863" s="319"/>
      <c r="D3863" s="319"/>
      <c r="G3863" s="320"/>
    </row>
    <row r="3864" spans="3:7">
      <c r="C3864" s="319"/>
      <c r="D3864" s="319"/>
      <c r="G3864" s="320"/>
    </row>
    <row r="3865" spans="3:4">
      <c r="C3865" s="319"/>
      <c r="D3865" s="319"/>
    </row>
    <row r="3866" spans="3:7">
      <c r="C3866" s="319"/>
      <c r="D3866" s="319"/>
      <c r="G3866" s="320"/>
    </row>
    <row r="3867" spans="3:4">
      <c r="C3867" s="319"/>
      <c r="D3867" s="319"/>
    </row>
    <row r="3868" spans="3:4">
      <c r="C3868" s="319"/>
      <c r="D3868" s="319"/>
    </row>
    <row r="3869" spans="3:7">
      <c r="C3869" s="319"/>
      <c r="D3869" s="319"/>
      <c r="G3869" s="320"/>
    </row>
    <row r="3870" spans="3:7">
      <c r="C3870" s="319"/>
      <c r="D3870" s="319"/>
      <c r="G3870" s="320"/>
    </row>
    <row r="3871" spans="3:7">
      <c r="C3871" s="319"/>
      <c r="D3871" s="319"/>
      <c r="G3871" s="320"/>
    </row>
    <row r="3872" spans="3:7">
      <c r="C3872" s="319"/>
      <c r="D3872" s="319"/>
      <c r="G3872" s="320"/>
    </row>
    <row r="3873" spans="3:7">
      <c r="C3873" s="319"/>
      <c r="D3873" s="319"/>
      <c r="G3873" s="320"/>
    </row>
    <row r="3874" spans="3:7">
      <c r="C3874" s="319"/>
      <c r="D3874" s="319"/>
      <c r="G3874" s="320"/>
    </row>
    <row r="3875" spans="3:7">
      <c r="C3875" s="319"/>
      <c r="D3875" s="319"/>
      <c r="G3875" s="320"/>
    </row>
    <row r="3876" spans="3:7">
      <c r="C3876" s="319"/>
      <c r="D3876" s="319"/>
      <c r="G3876" s="320"/>
    </row>
    <row r="3877" spans="3:7">
      <c r="C3877" s="319"/>
      <c r="D3877" s="319"/>
      <c r="G3877" s="320"/>
    </row>
    <row r="3878" spans="3:7">
      <c r="C3878" s="319"/>
      <c r="D3878" s="319"/>
      <c r="G3878" s="320"/>
    </row>
    <row r="3879" spans="3:7">
      <c r="C3879" s="319"/>
      <c r="D3879" s="319"/>
      <c r="G3879" s="320"/>
    </row>
    <row r="3880" spans="3:7">
      <c r="C3880" s="319"/>
      <c r="D3880" s="319"/>
      <c r="G3880" s="320"/>
    </row>
    <row r="3881" spans="3:7">
      <c r="C3881" s="319"/>
      <c r="D3881" s="319"/>
      <c r="G3881" s="320"/>
    </row>
    <row r="3882" spans="3:7">
      <c r="C3882" s="319"/>
      <c r="D3882" s="319"/>
      <c r="G3882" s="320"/>
    </row>
    <row r="3883" spans="3:7">
      <c r="C3883" s="319"/>
      <c r="D3883" s="319"/>
      <c r="G3883" s="320"/>
    </row>
    <row r="3884" spans="3:4">
      <c r="C3884" s="319"/>
      <c r="D3884" s="319"/>
    </row>
    <row r="3885" spans="3:7">
      <c r="C3885" s="319"/>
      <c r="D3885" s="319"/>
      <c r="G3885" s="320"/>
    </row>
    <row r="3886" spans="3:4">
      <c r="C3886" s="319"/>
      <c r="D3886" s="319"/>
    </row>
    <row r="3887" spans="3:7">
      <c r="C3887" s="319"/>
      <c r="D3887" s="319"/>
      <c r="G3887" s="320"/>
    </row>
    <row r="3888" spans="3:7">
      <c r="C3888" s="319"/>
      <c r="D3888" s="319"/>
      <c r="G3888" s="320"/>
    </row>
    <row r="3889" spans="3:7">
      <c r="C3889" s="319"/>
      <c r="D3889" s="319"/>
      <c r="G3889" s="320"/>
    </row>
    <row r="3890" spans="3:7">
      <c r="C3890" s="319"/>
      <c r="D3890" s="319"/>
      <c r="G3890" s="320"/>
    </row>
    <row r="3891" spans="3:4">
      <c r="C3891" s="319"/>
      <c r="D3891" s="319"/>
    </row>
    <row r="3892" spans="3:4">
      <c r="C3892" s="319"/>
      <c r="D3892" s="319"/>
    </row>
    <row r="3893" spans="3:7">
      <c r="C3893" s="319"/>
      <c r="D3893" s="319"/>
      <c r="G3893" s="320"/>
    </row>
    <row r="3894" spans="3:4">
      <c r="C3894" s="319"/>
      <c r="D3894" s="319"/>
    </row>
    <row r="3895" spans="3:7">
      <c r="C3895" s="319"/>
      <c r="D3895" s="319"/>
      <c r="G3895" s="320"/>
    </row>
    <row r="3896" spans="3:7">
      <c r="C3896" s="319"/>
      <c r="D3896" s="319"/>
      <c r="G3896" s="320"/>
    </row>
    <row r="3897" spans="3:7">
      <c r="C3897" s="319"/>
      <c r="D3897" s="319"/>
      <c r="G3897" s="320"/>
    </row>
    <row r="3898" spans="3:7">
      <c r="C3898" s="319"/>
      <c r="D3898" s="319"/>
      <c r="G3898" s="320"/>
    </row>
    <row r="3899" spans="3:7">
      <c r="C3899" s="319"/>
      <c r="D3899" s="319"/>
      <c r="G3899" s="320"/>
    </row>
    <row r="3900" spans="3:7">
      <c r="C3900" s="319"/>
      <c r="D3900" s="319"/>
      <c r="G3900" s="320"/>
    </row>
    <row r="3901" spans="3:7">
      <c r="C3901" s="319"/>
      <c r="D3901" s="319"/>
      <c r="G3901" s="320"/>
    </row>
    <row r="3902" spans="3:4">
      <c r="C3902" s="319"/>
      <c r="D3902" s="319"/>
    </row>
    <row r="3903" spans="3:7">
      <c r="C3903" s="319"/>
      <c r="D3903" s="319"/>
      <c r="G3903" s="320"/>
    </row>
    <row r="3904" spans="3:4">
      <c r="C3904" s="319"/>
      <c r="D3904" s="319"/>
    </row>
    <row r="3905" spans="3:7">
      <c r="C3905" s="319"/>
      <c r="D3905" s="319"/>
      <c r="G3905" s="320"/>
    </row>
    <row r="3906" spans="3:4">
      <c r="C3906" s="319"/>
      <c r="D3906" s="319"/>
    </row>
    <row r="3907" spans="3:4">
      <c r="C3907" s="319"/>
      <c r="D3907" s="319"/>
    </row>
    <row r="3908" spans="3:4">
      <c r="C3908" s="319"/>
      <c r="D3908" s="319"/>
    </row>
    <row r="3909" spans="3:4">
      <c r="C3909" s="319"/>
      <c r="D3909" s="319"/>
    </row>
    <row r="3910" spans="3:4">
      <c r="C3910" s="319"/>
      <c r="D3910" s="319"/>
    </row>
    <row r="3911" spans="3:7">
      <c r="C3911" s="319"/>
      <c r="D3911" s="319"/>
      <c r="G3911" s="320"/>
    </row>
    <row r="3912" spans="3:7">
      <c r="C3912" s="319"/>
      <c r="D3912" s="319"/>
      <c r="G3912" s="320"/>
    </row>
    <row r="3913" spans="3:4">
      <c r="C3913" s="319"/>
      <c r="D3913" s="319"/>
    </row>
    <row r="3914" spans="3:4">
      <c r="C3914" s="319"/>
      <c r="D3914" s="319"/>
    </row>
    <row r="3915" spans="3:7">
      <c r="C3915" s="319"/>
      <c r="D3915" s="319"/>
      <c r="G3915" s="320"/>
    </row>
    <row r="3916" spans="3:7">
      <c r="C3916" s="319"/>
      <c r="D3916" s="319"/>
      <c r="G3916" s="320"/>
    </row>
    <row r="3917" spans="3:4">
      <c r="C3917" s="319"/>
      <c r="D3917" s="319"/>
    </row>
    <row r="3918" spans="3:7">
      <c r="C3918" s="319"/>
      <c r="D3918" s="319"/>
      <c r="G3918" s="320"/>
    </row>
    <row r="3919" spans="3:7">
      <c r="C3919" s="319"/>
      <c r="D3919" s="319"/>
      <c r="G3919" s="320"/>
    </row>
    <row r="3920" spans="3:7">
      <c r="C3920" s="319"/>
      <c r="D3920" s="319"/>
      <c r="G3920" s="320"/>
    </row>
    <row r="3921" spans="3:7">
      <c r="C3921" s="319"/>
      <c r="D3921" s="319"/>
      <c r="G3921" s="320"/>
    </row>
    <row r="3922" spans="3:7">
      <c r="C3922" s="319"/>
      <c r="D3922" s="319"/>
      <c r="G3922" s="320"/>
    </row>
    <row r="3923" spans="3:7">
      <c r="C3923" s="319"/>
      <c r="D3923" s="319"/>
      <c r="G3923" s="320"/>
    </row>
    <row r="3924" spans="3:7">
      <c r="C3924" s="319"/>
      <c r="D3924" s="319"/>
      <c r="G3924" s="320"/>
    </row>
    <row r="3925" spans="3:7">
      <c r="C3925" s="319"/>
      <c r="D3925" s="319"/>
      <c r="G3925" s="320"/>
    </row>
    <row r="3926" spans="3:7">
      <c r="C3926" s="319"/>
      <c r="D3926" s="319"/>
      <c r="G3926" s="320"/>
    </row>
    <row r="3927" spans="3:7">
      <c r="C3927" s="319"/>
      <c r="D3927" s="319"/>
      <c r="G3927" s="320"/>
    </row>
    <row r="3928" spans="3:4">
      <c r="C3928" s="319"/>
      <c r="D3928" s="319"/>
    </row>
    <row r="3929" spans="3:7">
      <c r="C3929" s="319"/>
      <c r="D3929" s="319"/>
      <c r="G3929" s="320"/>
    </row>
    <row r="3930" spans="3:7">
      <c r="C3930" s="319"/>
      <c r="D3930" s="319"/>
      <c r="G3930" s="320"/>
    </row>
    <row r="3931" spans="3:4">
      <c r="C3931" s="319"/>
      <c r="D3931" s="319"/>
    </row>
    <row r="3932" spans="3:4">
      <c r="C3932" s="319"/>
      <c r="D3932" s="319"/>
    </row>
    <row r="3933" spans="3:7">
      <c r="C3933" s="319"/>
      <c r="D3933" s="319"/>
      <c r="G3933" s="320"/>
    </row>
    <row r="3934" spans="3:7">
      <c r="C3934" s="319"/>
      <c r="D3934" s="319"/>
      <c r="G3934" s="320"/>
    </row>
    <row r="3935" spans="3:7">
      <c r="C3935" s="319"/>
      <c r="D3935" s="319"/>
      <c r="G3935" s="320"/>
    </row>
    <row r="3936" spans="3:4">
      <c r="C3936" s="319"/>
      <c r="D3936" s="319"/>
    </row>
    <row r="3937" spans="3:7">
      <c r="C3937" s="319"/>
      <c r="D3937" s="319"/>
      <c r="G3937" s="320"/>
    </row>
    <row r="3938" spans="3:7">
      <c r="C3938" s="319"/>
      <c r="D3938" s="319"/>
      <c r="G3938" s="320"/>
    </row>
    <row r="3939" spans="3:7">
      <c r="C3939" s="319"/>
      <c r="D3939" s="319"/>
      <c r="G3939" s="320"/>
    </row>
    <row r="3940" spans="3:7">
      <c r="C3940" s="319"/>
      <c r="D3940" s="319"/>
      <c r="G3940" s="320"/>
    </row>
    <row r="3941" spans="3:4">
      <c r="C3941" s="319"/>
      <c r="D3941" s="319"/>
    </row>
    <row r="3942" spans="3:7">
      <c r="C3942" s="319"/>
      <c r="D3942" s="319"/>
      <c r="G3942" s="320"/>
    </row>
    <row r="3943" spans="3:7">
      <c r="C3943" s="319"/>
      <c r="D3943" s="319"/>
      <c r="G3943" s="320"/>
    </row>
    <row r="3944" spans="3:4">
      <c r="C3944" s="319"/>
      <c r="D3944" s="319"/>
    </row>
    <row r="3945" spans="3:7">
      <c r="C3945" s="319"/>
      <c r="D3945" s="319"/>
      <c r="G3945" s="320"/>
    </row>
    <row r="3946" spans="3:7">
      <c r="C3946" s="319"/>
      <c r="D3946" s="319"/>
      <c r="G3946" s="320"/>
    </row>
    <row r="3947" spans="3:7">
      <c r="C3947" s="319"/>
      <c r="D3947" s="319"/>
      <c r="G3947" s="320"/>
    </row>
    <row r="3948" spans="3:7">
      <c r="C3948" s="319"/>
      <c r="D3948" s="319"/>
      <c r="G3948" s="320"/>
    </row>
    <row r="3949" spans="3:7">
      <c r="C3949" s="319"/>
      <c r="D3949" s="319"/>
      <c r="G3949" s="320"/>
    </row>
    <row r="3950" spans="3:7">
      <c r="C3950" s="319"/>
      <c r="D3950" s="319"/>
      <c r="G3950" s="320"/>
    </row>
    <row r="3951" spans="3:7">
      <c r="C3951" s="319"/>
      <c r="D3951" s="319"/>
      <c r="G3951" s="320"/>
    </row>
    <row r="3952" spans="3:7">
      <c r="C3952" s="319"/>
      <c r="D3952" s="319"/>
      <c r="G3952" s="320"/>
    </row>
    <row r="3953" spans="3:7">
      <c r="C3953" s="319"/>
      <c r="D3953" s="319"/>
      <c r="G3953" s="320"/>
    </row>
    <row r="3954" spans="3:4">
      <c r="C3954" s="319"/>
      <c r="D3954" s="319"/>
    </row>
    <row r="3955" spans="3:4">
      <c r="C3955" s="319"/>
      <c r="D3955" s="319"/>
    </row>
    <row r="3956" spans="3:7">
      <c r="C3956" s="319"/>
      <c r="D3956" s="319"/>
      <c r="G3956" s="320"/>
    </row>
    <row r="3957" spans="3:7">
      <c r="C3957" s="319"/>
      <c r="D3957" s="319"/>
      <c r="G3957" s="320"/>
    </row>
    <row r="3958" spans="3:4">
      <c r="C3958" s="319"/>
      <c r="D3958" s="319"/>
    </row>
    <row r="3959" spans="3:7">
      <c r="C3959" s="319"/>
      <c r="D3959" s="319"/>
      <c r="G3959" s="320"/>
    </row>
    <row r="3960" spans="3:7">
      <c r="C3960" s="319"/>
      <c r="D3960" s="319"/>
      <c r="G3960" s="320"/>
    </row>
    <row r="3961" spans="3:7">
      <c r="C3961" s="319"/>
      <c r="D3961" s="319"/>
      <c r="G3961" s="320"/>
    </row>
    <row r="3962" spans="3:7">
      <c r="C3962" s="319"/>
      <c r="D3962" s="319"/>
      <c r="G3962" s="320"/>
    </row>
    <row r="3963" spans="3:7">
      <c r="C3963" s="319"/>
      <c r="D3963" s="319"/>
      <c r="G3963" s="320"/>
    </row>
    <row r="3964" spans="3:7">
      <c r="C3964" s="319"/>
      <c r="D3964" s="319"/>
      <c r="G3964" s="320"/>
    </row>
    <row r="3965" spans="3:4">
      <c r="C3965" s="319"/>
      <c r="D3965" s="319"/>
    </row>
    <row r="3966" spans="3:7">
      <c r="C3966" s="319"/>
      <c r="D3966" s="319"/>
      <c r="G3966" s="320"/>
    </row>
    <row r="3967" spans="3:4">
      <c r="C3967" s="319"/>
      <c r="D3967" s="319"/>
    </row>
    <row r="3968" spans="3:4">
      <c r="C3968" s="319"/>
      <c r="D3968" s="319"/>
    </row>
    <row r="3969" spans="3:4">
      <c r="C3969" s="319"/>
      <c r="D3969" s="319"/>
    </row>
    <row r="3970" spans="3:7">
      <c r="C3970" s="319"/>
      <c r="D3970" s="319"/>
      <c r="G3970" s="320"/>
    </row>
    <row r="3971" spans="3:4">
      <c r="C3971" s="319"/>
      <c r="D3971" s="319"/>
    </row>
    <row r="3972" spans="3:7">
      <c r="C3972" s="319"/>
      <c r="D3972" s="319"/>
      <c r="G3972" s="320"/>
    </row>
    <row r="3973" spans="3:7">
      <c r="C3973" s="319"/>
      <c r="D3973" s="319"/>
      <c r="G3973" s="320"/>
    </row>
    <row r="3974" spans="3:4">
      <c r="C3974" s="319"/>
      <c r="D3974" s="319"/>
    </row>
    <row r="3975" spans="3:7">
      <c r="C3975" s="319"/>
      <c r="D3975" s="319"/>
      <c r="G3975" s="320"/>
    </row>
    <row r="3976" spans="3:4">
      <c r="C3976" s="319"/>
      <c r="D3976" s="319"/>
    </row>
    <row r="3977" spans="3:7">
      <c r="C3977" s="319"/>
      <c r="D3977" s="319"/>
      <c r="G3977" s="320"/>
    </row>
    <row r="3978" spans="3:4">
      <c r="C3978" s="319"/>
      <c r="D3978" s="319"/>
    </row>
    <row r="3979" spans="3:4">
      <c r="C3979" s="319"/>
      <c r="D3979" s="319"/>
    </row>
    <row r="3980" spans="3:7">
      <c r="C3980" s="319"/>
      <c r="D3980" s="319"/>
      <c r="G3980" s="320"/>
    </row>
    <row r="3981" spans="3:7">
      <c r="C3981" s="319"/>
      <c r="D3981" s="319"/>
      <c r="G3981" s="320"/>
    </row>
    <row r="3982" spans="3:7">
      <c r="C3982" s="319"/>
      <c r="D3982" s="319"/>
      <c r="G3982" s="320"/>
    </row>
    <row r="3983" spans="3:7">
      <c r="C3983" s="319"/>
      <c r="D3983" s="319"/>
      <c r="G3983" s="320"/>
    </row>
    <row r="3984" spans="3:7">
      <c r="C3984" s="319"/>
      <c r="D3984" s="319"/>
      <c r="G3984" s="320"/>
    </row>
    <row r="3985" spans="3:7">
      <c r="C3985" s="319"/>
      <c r="D3985" s="319"/>
      <c r="G3985" s="320"/>
    </row>
    <row r="3986" spans="3:4">
      <c r="C3986" s="319"/>
      <c r="D3986" s="319"/>
    </row>
    <row r="3987" spans="3:7">
      <c r="C3987" s="319"/>
      <c r="D3987" s="319"/>
      <c r="G3987" s="320"/>
    </row>
    <row r="3988" spans="3:7">
      <c r="C3988" s="319"/>
      <c r="D3988" s="319"/>
      <c r="G3988" s="320"/>
    </row>
    <row r="3989" spans="3:7">
      <c r="C3989" s="319"/>
      <c r="D3989" s="319"/>
      <c r="G3989" s="320"/>
    </row>
    <row r="3990" spans="3:7">
      <c r="C3990" s="319"/>
      <c r="D3990" s="319"/>
      <c r="G3990" s="320"/>
    </row>
    <row r="3991" spans="3:4">
      <c r="C3991" s="319"/>
      <c r="D3991" s="319"/>
    </row>
    <row r="3992" spans="3:4">
      <c r="C3992" s="319"/>
      <c r="D3992" s="319"/>
    </row>
    <row r="3993" spans="3:7">
      <c r="C3993" s="319"/>
      <c r="D3993" s="319"/>
      <c r="G3993" s="320"/>
    </row>
    <row r="3994" spans="3:7">
      <c r="C3994" s="319"/>
      <c r="D3994" s="319"/>
      <c r="G3994" s="320"/>
    </row>
    <row r="3995" spans="3:7">
      <c r="C3995" s="319"/>
      <c r="D3995" s="319"/>
      <c r="G3995" s="320"/>
    </row>
    <row r="3996" spans="3:4">
      <c r="C3996" s="319"/>
      <c r="D3996" s="319"/>
    </row>
    <row r="3997" spans="3:4">
      <c r="C3997" s="319"/>
      <c r="D3997" s="319"/>
    </row>
    <row r="3998" spans="3:7">
      <c r="C3998" s="319"/>
      <c r="D3998" s="319"/>
      <c r="G3998" s="320"/>
    </row>
    <row r="3999" spans="3:7">
      <c r="C3999" s="319"/>
      <c r="D3999" s="319"/>
      <c r="G3999" s="320"/>
    </row>
    <row r="4000" spans="3:7">
      <c r="C4000" s="319"/>
      <c r="D4000" s="319"/>
      <c r="G4000" s="320"/>
    </row>
    <row r="4001" spans="3:7">
      <c r="C4001" s="319"/>
      <c r="D4001" s="319"/>
      <c r="G4001" s="320"/>
    </row>
    <row r="4002" spans="3:7">
      <c r="C4002" s="319"/>
      <c r="D4002" s="319"/>
      <c r="G4002" s="320"/>
    </row>
    <row r="4003" spans="3:7">
      <c r="C4003" s="319"/>
      <c r="D4003" s="319"/>
      <c r="G4003" s="320"/>
    </row>
    <row r="4004" spans="3:7">
      <c r="C4004" s="319"/>
      <c r="D4004" s="319"/>
      <c r="G4004" s="320"/>
    </row>
    <row r="4005" spans="3:7">
      <c r="C4005" s="319"/>
      <c r="D4005" s="319"/>
      <c r="G4005" s="320"/>
    </row>
    <row r="4006" spans="3:7">
      <c r="C4006" s="319"/>
      <c r="D4006" s="319"/>
      <c r="G4006" s="320"/>
    </row>
    <row r="4007" spans="3:4">
      <c r="C4007" s="319"/>
      <c r="D4007" s="319"/>
    </row>
    <row r="4008" spans="3:7">
      <c r="C4008" s="319"/>
      <c r="D4008" s="319"/>
      <c r="G4008" s="320"/>
    </row>
    <row r="4009" spans="3:4">
      <c r="C4009" s="319"/>
      <c r="D4009" s="319"/>
    </row>
    <row r="4010" spans="3:7">
      <c r="C4010" s="319"/>
      <c r="D4010" s="319"/>
      <c r="G4010" s="320"/>
    </row>
    <row r="4011" spans="3:7">
      <c r="C4011" s="319"/>
      <c r="D4011" s="319"/>
      <c r="G4011" s="320"/>
    </row>
    <row r="4012" spans="3:7">
      <c r="C4012" s="319"/>
      <c r="D4012" s="319"/>
      <c r="G4012" s="320"/>
    </row>
    <row r="4013" spans="3:7">
      <c r="C4013" s="319"/>
      <c r="D4013" s="319"/>
      <c r="G4013" s="320"/>
    </row>
    <row r="4014" spans="3:7">
      <c r="C4014" s="319"/>
      <c r="D4014" s="319"/>
      <c r="G4014" s="320"/>
    </row>
    <row r="4015" spans="3:4">
      <c r="C4015" s="319"/>
      <c r="D4015" s="319"/>
    </row>
    <row r="4016" spans="3:7">
      <c r="C4016" s="319"/>
      <c r="D4016" s="319"/>
      <c r="G4016" s="320"/>
    </row>
    <row r="4017" spans="3:4">
      <c r="C4017" s="319"/>
      <c r="D4017" s="319"/>
    </row>
    <row r="4018" spans="3:7">
      <c r="C4018" s="319"/>
      <c r="D4018" s="319"/>
      <c r="G4018" s="320"/>
    </row>
    <row r="4019" spans="3:4">
      <c r="C4019" s="319"/>
      <c r="D4019" s="319"/>
    </row>
    <row r="4020" spans="3:7">
      <c r="C4020" s="319"/>
      <c r="D4020" s="319"/>
      <c r="G4020" s="320"/>
    </row>
    <row r="4021" spans="3:7">
      <c r="C4021" s="319"/>
      <c r="D4021" s="319"/>
      <c r="G4021" s="320"/>
    </row>
    <row r="4022" spans="3:4">
      <c r="C4022" s="319"/>
      <c r="D4022" s="319"/>
    </row>
    <row r="4023" spans="3:4">
      <c r="C4023" s="319"/>
      <c r="D4023" s="319"/>
    </row>
    <row r="4024" spans="3:7">
      <c r="C4024" s="319"/>
      <c r="D4024" s="319"/>
      <c r="G4024" s="320"/>
    </row>
    <row r="4025" spans="3:7">
      <c r="C4025" s="319"/>
      <c r="D4025" s="319"/>
      <c r="G4025" s="320"/>
    </row>
    <row r="4026" spans="3:4">
      <c r="C4026" s="319"/>
      <c r="D4026" s="319"/>
    </row>
    <row r="4027" spans="3:7">
      <c r="C4027" s="319"/>
      <c r="D4027" s="319"/>
      <c r="G4027" s="320"/>
    </row>
    <row r="4028" spans="3:7">
      <c r="C4028" s="319"/>
      <c r="D4028" s="319"/>
      <c r="G4028" s="320"/>
    </row>
    <row r="4029" spans="3:4">
      <c r="C4029" s="319"/>
      <c r="D4029" s="319"/>
    </row>
    <row r="4030" spans="3:7">
      <c r="C4030" s="319"/>
      <c r="D4030" s="319"/>
      <c r="G4030" s="320"/>
    </row>
    <row r="4031" spans="3:7">
      <c r="C4031" s="319"/>
      <c r="D4031" s="319"/>
      <c r="G4031" s="320"/>
    </row>
    <row r="4032" spans="3:4">
      <c r="C4032" s="319"/>
      <c r="D4032" s="319"/>
    </row>
    <row r="4033" spans="3:4">
      <c r="C4033" s="319"/>
      <c r="D4033" s="319"/>
    </row>
    <row r="4034" spans="3:7">
      <c r="C4034" s="319"/>
      <c r="D4034" s="319"/>
      <c r="G4034" s="320"/>
    </row>
    <row r="4035" spans="3:7">
      <c r="C4035" s="319"/>
      <c r="D4035" s="319"/>
      <c r="G4035" s="320"/>
    </row>
    <row r="4036" spans="3:4">
      <c r="C4036" s="319"/>
      <c r="D4036" s="319"/>
    </row>
    <row r="4037" spans="3:7">
      <c r="C4037" s="319"/>
      <c r="D4037" s="319"/>
      <c r="G4037" s="320"/>
    </row>
    <row r="4038" spans="3:7">
      <c r="C4038" s="319"/>
      <c r="D4038" s="319"/>
      <c r="G4038" s="320"/>
    </row>
    <row r="4039" spans="3:4">
      <c r="C4039" s="319"/>
      <c r="D4039" s="319"/>
    </row>
    <row r="4040" spans="3:7">
      <c r="C4040" s="319"/>
      <c r="D4040" s="319"/>
      <c r="G4040" s="320"/>
    </row>
    <row r="4041" spans="3:7">
      <c r="C4041" s="319"/>
      <c r="D4041" s="319"/>
      <c r="G4041" s="320"/>
    </row>
    <row r="4042" spans="3:4">
      <c r="C4042" s="319"/>
      <c r="D4042" s="319"/>
    </row>
    <row r="4043" spans="3:7">
      <c r="C4043" s="319"/>
      <c r="D4043" s="319"/>
      <c r="G4043" s="320"/>
    </row>
    <row r="4044" spans="3:7">
      <c r="C4044" s="319"/>
      <c r="D4044" s="319"/>
      <c r="G4044" s="320"/>
    </row>
    <row r="4045" spans="3:7">
      <c r="C4045" s="319"/>
      <c r="D4045" s="319"/>
      <c r="G4045" s="320"/>
    </row>
    <row r="4046" spans="3:7">
      <c r="C4046" s="319"/>
      <c r="D4046" s="319"/>
      <c r="G4046" s="320"/>
    </row>
    <row r="4047" spans="3:4">
      <c r="C4047" s="319"/>
      <c r="D4047" s="319"/>
    </row>
    <row r="4048" spans="3:7">
      <c r="C4048" s="319"/>
      <c r="D4048" s="319"/>
      <c r="G4048" s="320"/>
    </row>
    <row r="4049" spans="3:7">
      <c r="C4049" s="319"/>
      <c r="D4049" s="319"/>
      <c r="G4049" s="320"/>
    </row>
    <row r="4050" spans="3:4">
      <c r="C4050" s="319"/>
      <c r="D4050" s="319"/>
    </row>
    <row r="4051" spans="3:7">
      <c r="C4051" s="319"/>
      <c r="D4051" s="319"/>
      <c r="G4051" s="320"/>
    </row>
    <row r="4052" spans="3:4">
      <c r="C4052" s="319"/>
      <c r="D4052" s="319"/>
    </row>
    <row r="4053" spans="3:7">
      <c r="C4053" s="319"/>
      <c r="D4053" s="319"/>
      <c r="G4053" s="320"/>
    </row>
    <row r="4054" spans="3:7">
      <c r="C4054" s="319"/>
      <c r="D4054" s="319"/>
      <c r="G4054" s="320"/>
    </row>
    <row r="4055" spans="3:7">
      <c r="C4055" s="319"/>
      <c r="D4055" s="319"/>
      <c r="G4055" s="320"/>
    </row>
    <row r="4056" spans="3:7">
      <c r="C4056" s="319"/>
      <c r="D4056" s="319"/>
      <c r="G4056" s="320"/>
    </row>
    <row r="4057" spans="3:4">
      <c r="C4057" s="319"/>
      <c r="D4057" s="319"/>
    </row>
    <row r="4058" spans="3:7">
      <c r="C4058" s="319"/>
      <c r="D4058" s="319"/>
      <c r="G4058" s="320"/>
    </row>
    <row r="4059" spans="3:7">
      <c r="C4059" s="319"/>
      <c r="D4059" s="319"/>
      <c r="G4059" s="320"/>
    </row>
    <row r="4060" spans="3:4">
      <c r="C4060" s="319"/>
      <c r="D4060" s="319"/>
    </row>
    <row r="4061" spans="3:7">
      <c r="C4061" s="319"/>
      <c r="D4061" s="319"/>
      <c r="G4061" s="320"/>
    </row>
    <row r="4062" spans="3:7">
      <c r="C4062" s="319"/>
      <c r="D4062" s="319"/>
      <c r="G4062" s="320"/>
    </row>
    <row r="4063" spans="3:7">
      <c r="C4063" s="319"/>
      <c r="D4063" s="319"/>
      <c r="G4063" s="320"/>
    </row>
    <row r="4064" spans="3:7">
      <c r="C4064" s="319"/>
      <c r="D4064" s="319"/>
      <c r="G4064" s="320"/>
    </row>
    <row r="4065" spans="3:7">
      <c r="C4065" s="319"/>
      <c r="D4065" s="319"/>
      <c r="G4065" s="320"/>
    </row>
    <row r="4066" spans="3:7">
      <c r="C4066" s="319"/>
      <c r="D4066" s="319"/>
      <c r="G4066" s="320"/>
    </row>
    <row r="4067" spans="3:4">
      <c r="C4067" s="319"/>
      <c r="D4067" s="319"/>
    </row>
    <row r="4068" spans="3:4">
      <c r="C4068" s="319"/>
      <c r="D4068" s="319"/>
    </row>
    <row r="4069" spans="3:7">
      <c r="C4069" s="319"/>
      <c r="D4069" s="319"/>
      <c r="G4069" s="320"/>
    </row>
    <row r="4070" spans="3:7">
      <c r="C4070" s="319"/>
      <c r="D4070" s="319"/>
      <c r="G4070" s="320"/>
    </row>
    <row r="4071" spans="3:7">
      <c r="C4071" s="319"/>
      <c r="D4071" s="319"/>
      <c r="G4071" s="320"/>
    </row>
    <row r="4072" spans="3:4">
      <c r="C4072" s="319"/>
      <c r="D4072" s="319"/>
    </row>
    <row r="4073" spans="3:4">
      <c r="C4073" s="319"/>
      <c r="D4073" s="319"/>
    </row>
    <row r="4074" spans="3:7">
      <c r="C4074" s="319"/>
      <c r="D4074" s="319"/>
      <c r="G4074" s="320"/>
    </row>
    <row r="4075" spans="3:4">
      <c r="C4075" s="319"/>
      <c r="D4075" s="319"/>
    </row>
    <row r="4076" spans="3:7">
      <c r="C4076" s="319"/>
      <c r="D4076" s="319"/>
      <c r="G4076" s="320"/>
    </row>
    <row r="4077" spans="3:7">
      <c r="C4077" s="319"/>
      <c r="D4077" s="319"/>
      <c r="G4077" s="320"/>
    </row>
    <row r="4078" spans="3:7">
      <c r="C4078" s="319"/>
      <c r="D4078" s="319"/>
      <c r="G4078" s="320"/>
    </row>
    <row r="4079" spans="3:7">
      <c r="C4079" s="319"/>
      <c r="D4079" s="319"/>
      <c r="G4079" s="320"/>
    </row>
    <row r="4080" spans="3:7">
      <c r="C4080" s="319"/>
      <c r="D4080" s="319"/>
      <c r="G4080" s="320"/>
    </row>
    <row r="4081" spans="3:4">
      <c r="C4081" s="319"/>
      <c r="D4081" s="319"/>
    </row>
    <row r="4082" spans="3:4">
      <c r="C4082" s="319"/>
      <c r="D4082" s="319"/>
    </row>
    <row r="4083" spans="3:7">
      <c r="C4083" s="319"/>
      <c r="D4083" s="319"/>
      <c r="G4083" s="320"/>
    </row>
    <row r="4084" spans="3:7">
      <c r="C4084" s="319"/>
      <c r="D4084" s="319"/>
      <c r="G4084" s="320"/>
    </row>
    <row r="4085" spans="3:7">
      <c r="C4085" s="319"/>
      <c r="D4085" s="319"/>
      <c r="G4085" s="320"/>
    </row>
    <row r="4086" spans="3:7">
      <c r="C4086" s="319"/>
      <c r="D4086" s="319"/>
      <c r="G4086" s="320"/>
    </row>
    <row r="4087" spans="3:7">
      <c r="C4087" s="319"/>
      <c r="D4087" s="319"/>
      <c r="G4087" s="320"/>
    </row>
    <row r="4088" spans="3:7">
      <c r="C4088" s="319"/>
      <c r="D4088" s="319"/>
      <c r="G4088" s="320"/>
    </row>
    <row r="4089" spans="3:7">
      <c r="C4089" s="319"/>
      <c r="D4089" s="319"/>
      <c r="G4089" s="320"/>
    </row>
    <row r="4090" spans="3:4">
      <c r="C4090" s="319"/>
      <c r="D4090" s="319"/>
    </row>
    <row r="4091" spans="3:4">
      <c r="C4091" s="319"/>
      <c r="D4091" s="319"/>
    </row>
    <row r="4092" spans="3:7">
      <c r="C4092" s="319"/>
      <c r="D4092" s="319"/>
      <c r="G4092" s="320"/>
    </row>
    <row r="4093" spans="3:7">
      <c r="C4093" s="319"/>
      <c r="D4093" s="319"/>
      <c r="G4093" s="320"/>
    </row>
    <row r="4094" spans="3:7">
      <c r="C4094" s="319"/>
      <c r="D4094" s="319"/>
      <c r="G4094" s="320"/>
    </row>
    <row r="4095" spans="3:7">
      <c r="C4095" s="319"/>
      <c r="D4095" s="319"/>
      <c r="G4095" s="320"/>
    </row>
    <row r="4096" spans="3:7">
      <c r="C4096" s="319"/>
      <c r="D4096" s="319"/>
      <c r="G4096" s="320"/>
    </row>
    <row r="4097" spans="3:7">
      <c r="C4097" s="319"/>
      <c r="D4097" s="319"/>
      <c r="G4097" s="320"/>
    </row>
    <row r="4098" spans="3:7">
      <c r="C4098" s="319"/>
      <c r="D4098" s="319"/>
      <c r="G4098" s="320"/>
    </row>
    <row r="4099" spans="3:7">
      <c r="C4099" s="319"/>
      <c r="D4099" s="319"/>
      <c r="G4099" s="320"/>
    </row>
    <row r="4100" spans="3:7">
      <c r="C4100" s="319"/>
      <c r="D4100" s="319"/>
      <c r="G4100" s="320"/>
    </row>
    <row r="4101" spans="3:4">
      <c r="C4101" s="319"/>
      <c r="D4101" s="319"/>
    </row>
    <row r="4102" spans="3:7">
      <c r="C4102" s="319"/>
      <c r="D4102" s="319"/>
      <c r="G4102" s="320"/>
    </row>
    <row r="4103" spans="3:7">
      <c r="C4103" s="319"/>
      <c r="D4103" s="319"/>
      <c r="G4103" s="320"/>
    </row>
    <row r="4104" spans="3:7">
      <c r="C4104" s="319"/>
      <c r="D4104" s="319"/>
      <c r="G4104" s="320"/>
    </row>
    <row r="4105" spans="3:7">
      <c r="C4105" s="319"/>
      <c r="D4105" s="319"/>
      <c r="G4105" s="320"/>
    </row>
    <row r="4106" spans="3:7">
      <c r="C4106" s="319"/>
      <c r="D4106" s="319"/>
      <c r="G4106" s="320"/>
    </row>
    <row r="4107" spans="3:7">
      <c r="C4107" s="319"/>
      <c r="D4107" s="319"/>
      <c r="G4107" s="320"/>
    </row>
    <row r="4108" spans="3:7">
      <c r="C4108" s="319"/>
      <c r="D4108" s="319"/>
      <c r="G4108" s="320"/>
    </row>
    <row r="4109" spans="3:7">
      <c r="C4109" s="319"/>
      <c r="D4109" s="319"/>
      <c r="G4109" s="320"/>
    </row>
    <row r="4110" spans="3:4">
      <c r="C4110" s="319"/>
      <c r="D4110" s="319"/>
    </row>
    <row r="4111" spans="3:7">
      <c r="C4111" s="319"/>
      <c r="D4111" s="319"/>
      <c r="G4111" s="320"/>
    </row>
    <row r="4112" spans="3:7">
      <c r="C4112" s="319"/>
      <c r="D4112" s="319"/>
      <c r="G4112" s="320"/>
    </row>
    <row r="4113" spans="3:7">
      <c r="C4113" s="319"/>
      <c r="D4113" s="319"/>
      <c r="G4113" s="320"/>
    </row>
    <row r="4114" spans="3:7">
      <c r="C4114" s="319"/>
      <c r="D4114" s="319"/>
      <c r="G4114" s="320"/>
    </row>
    <row r="4115" spans="3:7">
      <c r="C4115" s="319"/>
      <c r="D4115" s="319"/>
      <c r="G4115" s="320"/>
    </row>
    <row r="4116" spans="3:4">
      <c r="C4116" s="319"/>
      <c r="D4116" s="319"/>
    </row>
    <row r="4117" spans="3:4">
      <c r="C4117" s="319"/>
      <c r="D4117" s="319"/>
    </row>
    <row r="4118" spans="3:7">
      <c r="C4118" s="319"/>
      <c r="D4118" s="319"/>
      <c r="G4118" s="320"/>
    </row>
    <row r="4119" spans="3:7">
      <c r="C4119" s="319"/>
      <c r="D4119" s="319"/>
      <c r="G4119" s="320"/>
    </row>
    <row r="4120" spans="3:7">
      <c r="C4120" s="319"/>
      <c r="D4120" s="319"/>
      <c r="G4120" s="320"/>
    </row>
    <row r="4121" spans="3:7">
      <c r="C4121" s="319"/>
      <c r="D4121" s="319"/>
      <c r="G4121" s="320"/>
    </row>
    <row r="4122" spans="3:7">
      <c r="C4122" s="319"/>
      <c r="D4122" s="319"/>
      <c r="G4122" s="320"/>
    </row>
    <row r="4123" spans="3:4">
      <c r="C4123" s="319"/>
      <c r="D4123" s="319"/>
    </row>
    <row r="4124" spans="3:4">
      <c r="C4124" s="319"/>
      <c r="D4124" s="319"/>
    </row>
    <row r="4125" spans="3:7">
      <c r="C4125" s="319"/>
      <c r="D4125" s="319"/>
      <c r="G4125" s="320"/>
    </row>
    <row r="4126" spans="3:7">
      <c r="C4126" s="319"/>
      <c r="D4126" s="319"/>
      <c r="G4126" s="320"/>
    </row>
    <row r="4127" spans="3:7">
      <c r="C4127" s="319"/>
      <c r="D4127" s="319"/>
      <c r="G4127" s="320"/>
    </row>
    <row r="4128" spans="3:7">
      <c r="C4128" s="319"/>
      <c r="D4128" s="319"/>
      <c r="G4128" s="320"/>
    </row>
    <row r="4129" spans="3:7">
      <c r="C4129" s="319"/>
      <c r="D4129" s="319"/>
      <c r="G4129" s="320"/>
    </row>
    <row r="4130" spans="3:4">
      <c r="C4130" s="319"/>
      <c r="D4130" s="319"/>
    </row>
    <row r="4131" spans="3:7">
      <c r="C4131" s="319"/>
      <c r="D4131" s="319"/>
      <c r="G4131" s="320"/>
    </row>
    <row r="4132" spans="3:7">
      <c r="C4132" s="319"/>
      <c r="D4132" s="319"/>
      <c r="G4132" s="320"/>
    </row>
    <row r="4133" spans="3:7">
      <c r="C4133" s="319"/>
      <c r="D4133" s="319"/>
      <c r="G4133" s="320"/>
    </row>
    <row r="4134" spans="3:4">
      <c r="C4134" s="319"/>
      <c r="D4134" s="319"/>
    </row>
    <row r="4135" spans="3:4">
      <c r="C4135" s="319"/>
      <c r="D4135" s="319"/>
    </row>
    <row r="4136" spans="3:7">
      <c r="C4136" s="319"/>
      <c r="D4136" s="319"/>
      <c r="G4136" s="320"/>
    </row>
    <row r="4137" spans="3:7">
      <c r="C4137" s="319"/>
      <c r="D4137" s="319"/>
      <c r="G4137" s="320"/>
    </row>
    <row r="4138" spans="3:7">
      <c r="C4138" s="319"/>
      <c r="D4138" s="319"/>
      <c r="G4138" s="320"/>
    </row>
    <row r="4139" spans="3:7">
      <c r="C4139" s="319"/>
      <c r="D4139" s="319"/>
      <c r="G4139" s="320"/>
    </row>
    <row r="4140" spans="3:4">
      <c r="C4140" s="319"/>
      <c r="D4140" s="319"/>
    </row>
    <row r="4141" spans="3:7">
      <c r="C4141" s="319"/>
      <c r="D4141" s="319"/>
      <c r="G4141" s="320"/>
    </row>
    <row r="4142" spans="3:7">
      <c r="C4142" s="319"/>
      <c r="D4142" s="319"/>
      <c r="G4142" s="320"/>
    </row>
    <row r="4143" spans="3:7">
      <c r="C4143" s="319"/>
      <c r="D4143" s="319"/>
      <c r="G4143" s="320"/>
    </row>
    <row r="4144" spans="3:7">
      <c r="C4144" s="319"/>
      <c r="D4144" s="319"/>
      <c r="G4144" s="320"/>
    </row>
    <row r="4145" spans="3:7">
      <c r="C4145" s="319"/>
      <c r="D4145" s="319"/>
      <c r="G4145" s="320"/>
    </row>
    <row r="4146" spans="3:7">
      <c r="C4146" s="319"/>
      <c r="D4146" s="319"/>
      <c r="G4146" s="320"/>
    </row>
    <row r="4147" spans="3:7">
      <c r="C4147" s="319"/>
      <c r="D4147" s="319"/>
      <c r="G4147" s="320"/>
    </row>
    <row r="4148" spans="3:7">
      <c r="C4148" s="319"/>
      <c r="D4148" s="319"/>
      <c r="G4148" s="320"/>
    </row>
    <row r="4149" spans="3:4">
      <c r="C4149" s="319"/>
      <c r="D4149" s="319"/>
    </row>
    <row r="4150" spans="3:7">
      <c r="C4150" s="319"/>
      <c r="D4150" s="319"/>
      <c r="G4150" s="320"/>
    </row>
    <row r="4151" spans="3:7">
      <c r="C4151" s="319"/>
      <c r="D4151" s="319"/>
      <c r="G4151" s="320"/>
    </row>
    <row r="4152" spans="3:7">
      <c r="C4152" s="319"/>
      <c r="D4152" s="319"/>
      <c r="G4152" s="320"/>
    </row>
    <row r="4153" spans="3:7">
      <c r="C4153" s="319"/>
      <c r="D4153" s="319"/>
      <c r="G4153" s="320"/>
    </row>
    <row r="4154" spans="3:7">
      <c r="C4154" s="319"/>
      <c r="D4154" s="319"/>
      <c r="G4154" s="320"/>
    </row>
    <row r="4155" spans="3:7">
      <c r="C4155" s="319"/>
      <c r="D4155" s="319"/>
      <c r="G4155" s="320"/>
    </row>
    <row r="4156" spans="3:7">
      <c r="C4156" s="319"/>
      <c r="D4156" s="319"/>
      <c r="G4156" s="320"/>
    </row>
    <row r="4157" spans="3:7">
      <c r="C4157" s="319"/>
      <c r="D4157" s="319"/>
      <c r="G4157" s="320"/>
    </row>
    <row r="4158" spans="3:7">
      <c r="C4158" s="319"/>
      <c r="D4158" s="319"/>
      <c r="G4158" s="320"/>
    </row>
    <row r="4159" spans="3:7">
      <c r="C4159" s="319"/>
      <c r="D4159" s="319"/>
      <c r="G4159" s="320"/>
    </row>
    <row r="4160" spans="3:7">
      <c r="C4160" s="319"/>
      <c r="D4160" s="319"/>
      <c r="G4160" s="320"/>
    </row>
    <row r="4161" spans="3:7">
      <c r="C4161" s="319"/>
      <c r="D4161" s="319"/>
      <c r="G4161" s="320"/>
    </row>
    <row r="4162" spans="3:7">
      <c r="C4162" s="319"/>
      <c r="D4162" s="319"/>
      <c r="G4162" s="320"/>
    </row>
    <row r="4163" spans="3:7">
      <c r="C4163" s="319"/>
      <c r="D4163" s="319"/>
      <c r="G4163" s="320"/>
    </row>
    <row r="4164" spans="3:7">
      <c r="C4164" s="319"/>
      <c r="D4164" s="319"/>
      <c r="G4164" s="320"/>
    </row>
    <row r="4165" spans="3:7">
      <c r="C4165" s="319"/>
      <c r="D4165" s="319"/>
      <c r="G4165" s="320"/>
    </row>
    <row r="4166" spans="3:4">
      <c r="C4166" s="319"/>
      <c r="D4166" s="319"/>
    </row>
    <row r="4167" spans="3:7">
      <c r="C4167" s="319"/>
      <c r="D4167" s="319"/>
      <c r="G4167" s="320"/>
    </row>
    <row r="4168" spans="3:7">
      <c r="C4168" s="319"/>
      <c r="D4168" s="319"/>
      <c r="G4168" s="320"/>
    </row>
    <row r="4169" spans="3:7">
      <c r="C4169" s="319"/>
      <c r="D4169" s="319"/>
      <c r="G4169" s="320"/>
    </row>
    <row r="4170" spans="3:7">
      <c r="C4170" s="319"/>
      <c r="D4170" s="319"/>
      <c r="G4170" s="320"/>
    </row>
    <row r="4171" spans="3:7">
      <c r="C4171" s="319"/>
      <c r="D4171" s="319"/>
      <c r="G4171" s="320"/>
    </row>
    <row r="4172" spans="3:7">
      <c r="C4172" s="319"/>
      <c r="D4172" s="319"/>
      <c r="G4172" s="320"/>
    </row>
    <row r="4173" spans="3:7">
      <c r="C4173" s="319"/>
      <c r="D4173" s="319"/>
      <c r="G4173" s="320"/>
    </row>
    <row r="4174" spans="3:4">
      <c r="C4174" s="319"/>
      <c r="D4174" s="319"/>
    </row>
    <row r="4175" spans="3:7">
      <c r="C4175" s="319"/>
      <c r="D4175" s="319"/>
      <c r="G4175" s="320"/>
    </row>
    <row r="4176" spans="3:7">
      <c r="C4176" s="319"/>
      <c r="D4176" s="319"/>
      <c r="G4176" s="320"/>
    </row>
    <row r="4177" spans="3:7">
      <c r="C4177" s="319"/>
      <c r="D4177" s="319"/>
      <c r="G4177" s="320"/>
    </row>
    <row r="4178" spans="3:7">
      <c r="C4178" s="319"/>
      <c r="D4178" s="319"/>
      <c r="G4178" s="320"/>
    </row>
    <row r="4179" spans="3:4">
      <c r="C4179" s="319"/>
      <c r="D4179" s="319"/>
    </row>
    <row r="4180" spans="3:7">
      <c r="C4180" s="319"/>
      <c r="D4180" s="319"/>
      <c r="G4180" s="320"/>
    </row>
    <row r="4181" spans="3:7">
      <c r="C4181" s="319"/>
      <c r="D4181" s="319"/>
      <c r="G4181" s="320"/>
    </row>
    <row r="4182" spans="3:7">
      <c r="C4182" s="319"/>
      <c r="D4182" s="319"/>
      <c r="G4182" s="320"/>
    </row>
    <row r="4183" spans="3:7">
      <c r="C4183" s="319"/>
      <c r="D4183" s="319"/>
      <c r="G4183" s="320"/>
    </row>
    <row r="4184" spans="3:4">
      <c r="C4184" s="319"/>
      <c r="D4184" s="319"/>
    </row>
    <row r="4185" spans="3:7">
      <c r="C4185" s="319"/>
      <c r="D4185" s="319"/>
      <c r="G4185" s="320"/>
    </row>
    <row r="4186" spans="3:7">
      <c r="C4186" s="319"/>
      <c r="D4186" s="319"/>
      <c r="G4186" s="320"/>
    </row>
    <row r="4187" spans="3:7">
      <c r="C4187" s="319"/>
      <c r="D4187" s="319"/>
      <c r="G4187" s="320"/>
    </row>
    <row r="4188" spans="3:4">
      <c r="C4188" s="319"/>
      <c r="D4188" s="319"/>
    </row>
    <row r="4189" spans="3:4">
      <c r="C4189" s="319"/>
      <c r="D4189" s="319"/>
    </row>
    <row r="4190" spans="3:4">
      <c r="C4190" s="319"/>
      <c r="D4190" s="319"/>
    </row>
    <row r="4191" spans="3:4">
      <c r="C4191" s="319"/>
      <c r="D4191" s="319"/>
    </row>
    <row r="4192" spans="3:7">
      <c r="C4192" s="319"/>
      <c r="D4192" s="319"/>
      <c r="G4192" s="320"/>
    </row>
    <row r="4193" spans="3:7">
      <c r="C4193" s="319"/>
      <c r="D4193" s="319"/>
      <c r="G4193" s="320"/>
    </row>
    <row r="4194" spans="3:7">
      <c r="C4194" s="319"/>
      <c r="D4194" s="319"/>
      <c r="G4194" s="320"/>
    </row>
    <row r="4195" spans="3:7">
      <c r="C4195" s="319"/>
      <c r="D4195" s="319"/>
      <c r="G4195" s="320"/>
    </row>
    <row r="4196" spans="3:7">
      <c r="C4196" s="319"/>
      <c r="D4196" s="319"/>
      <c r="G4196" s="320"/>
    </row>
    <row r="4197" spans="3:7">
      <c r="C4197" s="319"/>
      <c r="D4197" s="319"/>
      <c r="G4197" s="320"/>
    </row>
    <row r="4198" spans="3:7">
      <c r="C4198" s="319"/>
      <c r="D4198" s="319"/>
      <c r="G4198" s="320"/>
    </row>
    <row r="4199" spans="3:4">
      <c r="C4199" s="319"/>
      <c r="D4199" s="319"/>
    </row>
    <row r="4200" spans="3:7">
      <c r="C4200" s="319"/>
      <c r="D4200" s="319"/>
      <c r="G4200" s="320"/>
    </row>
    <row r="4201" spans="3:4">
      <c r="C4201" s="319"/>
      <c r="D4201" s="319"/>
    </row>
    <row r="4202" spans="3:7">
      <c r="C4202" s="319"/>
      <c r="D4202" s="319"/>
      <c r="G4202" s="320"/>
    </row>
    <row r="4203" spans="3:7">
      <c r="C4203" s="319"/>
      <c r="D4203" s="319"/>
      <c r="G4203" s="320"/>
    </row>
    <row r="4204" spans="3:7">
      <c r="C4204" s="319"/>
      <c r="D4204" s="319"/>
      <c r="G4204" s="320"/>
    </row>
    <row r="4205" spans="3:7">
      <c r="C4205" s="319"/>
      <c r="D4205" s="319"/>
      <c r="G4205" s="320"/>
    </row>
    <row r="4206" spans="3:7">
      <c r="C4206" s="319"/>
      <c r="D4206" s="319"/>
      <c r="G4206" s="320"/>
    </row>
    <row r="4207" spans="3:4">
      <c r="C4207" s="319"/>
      <c r="D4207" s="319"/>
    </row>
    <row r="4208" spans="3:4">
      <c r="C4208" s="319"/>
      <c r="D4208" s="319"/>
    </row>
    <row r="4209" spans="3:7">
      <c r="C4209" s="319"/>
      <c r="D4209" s="319"/>
      <c r="G4209" s="320"/>
    </row>
    <row r="4210" spans="3:4">
      <c r="C4210" s="319"/>
      <c r="D4210" s="319"/>
    </row>
    <row r="4211" spans="3:7">
      <c r="C4211" s="319"/>
      <c r="D4211" s="319"/>
      <c r="G4211" s="320"/>
    </row>
    <row r="4212" spans="3:4">
      <c r="C4212" s="319"/>
      <c r="D4212" s="319"/>
    </row>
    <row r="4213" spans="3:7">
      <c r="C4213" s="319"/>
      <c r="D4213" s="319"/>
      <c r="G4213" s="320"/>
    </row>
    <row r="4214" spans="3:4">
      <c r="C4214" s="319"/>
      <c r="D4214" s="319"/>
    </row>
    <row r="4215" spans="3:4">
      <c r="C4215" s="319"/>
      <c r="D4215" s="319"/>
    </row>
    <row r="4216" spans="3:4">
      <c r="C4216" s="319"/>
      <c r="D4216" s="319"/>
    </row>
    <row r="4217" spans="3:4">
      <c r="C4217" s="319"/>
      <c r="D4217" s="319"/>
    </row>
    <row r="4218" spans="3:7">
      <c r="C4218" s="319"/>
      <c r="D4218" s="319"/>
      <c r="G4218" s="320"/>
    </row>
    <row r="4219" spans="3:7">
      <c r="C4219" s="319"/>
      <c r="D4219" s="319"/>
      <c r="G4219" s="320"/>
    </row>
    <row r="4220" spans="3:7">
      <c r="C4220" s="319"/>
      <c r="D4220" s="319"/>
      <c r="G4220" s="320"/>
    </row>
    <row r="4221" spans="3:7">
      <c r="C4221" s="319"/>
      <c r="D4221" s="319"/>
      <c r="G4221" s="320"/>
    </row>
    <row r="4222" spans="3:4">
      <c r="C4222" s="319"/>
      <c r="D4222" s="319"/>
    </row>
    <row r="4223" spans="3:7">
      <c r="C4223" s="319"/>
      <c r="D4223" s="319"/>
      <c r="G4223" s="320"/>
    </row>
    <row r="4224" spans="3:7">
      <c r="C4224" s="319"/>
      <c r="D4224" s="319"/>
      <c r="G4224" s="320"/>
    </row>
    <row r="4225" spans="3:7">
      <c r="C4225" s="319"/>
      <c r="D4225" s="319"/>
      <c r="G4225" s="320"/>
    </row>
    <row r="4226" spans="3:4">
      <c r="C4226" s="319"/>
      <c r="D4226" s="319"/>
    </row>
    <row r="4227" spans="3:7">
      <c r="C4227" s="319"/>
      <c r="D4227" s="319"/>
      <c r="G4227" s="320"/>
    </row>
    <row r="4228" spans="3:4">
      <c r="C4228" s="319"/>
      <c r="D4228" s="319"/>
    </row>
    <row r="4229" spans="3:7">
      <c r="C4229" s="319"/>
      <c r="D4229" s="319"/>
      <c r="G4229" s="320"/>
    </row>
    <row r="4230" spans="3:7">
      <c r="C4230" s="319"/>
      <c r="D4230" s="319"/>
      <c r="G4230" s="320"/>
    </row>
    <row r="4231" spans="3:4">
      <c r="C4231" s="319"/>
      <c r="D4231" s="319"/>
    </row>
    <row r="4232" spans="3:7">
      <c r="C4232" s="319"/>
      <c r="D4232" s="319"/>
      <c r="G4232" s="320"/>
    </row>
    <row r="4233" spans="3:7">
      <c r="C4233" s="319"/>
      <c r="D4233" s="319"/>
      <c r="G4233" s="320"/>
    </row>
    <row r="4234" spans="3:7">
      <c r="C4234" s="319"/>
      <c r="D4234" s="319"/>
      <c r="G4234" s="320"/>
    </row>
    <row r="4235" spans="3:4">
      <c r="C4235" s="319"/>
      <c r="D4235" s="319"/>
    </row>
    <row r="4236" spans="3:7">
      <c r="C4236" s="319"/>
      <c r="D4236" s="319"/>
      <c r="G4236" s="320"/>
    </row>
    <row r="4237" spans="3:7">
      <c r="C4237" s="319"/>
      <c r="D4237" s="319"/>
      <c r="G4237" s="320"/>
    </row>
    <row r="4238" spans="3:4">
      <c r="C4238" s="319"/>
      <c r="D4238" s="319"/>
    </row>
    <row r="4239" spans="3:7">
      <c r="C4239" s="319"/>
      <c r="D4239" s="319"/>
      <c r="G4239" s="320"/>
    </row>
    <row r="4240" spans="3:7">
      <c r="C4240" s="319"/>
      <c r="D4240" s="319"/>
      <c r="G4240" s="320"/>
    </row>
    <row r="4241" spans="3:7">
      <c r="C4241" s="319"/>
      <c r="D4241" s="319"/>
      <c r="G4241" s="320"/>
    </row>
    <row r="4242" spans="3:7">
      <c r="C4242" s="319"/>
      <c r="D4242" s="319"/>
      <c r="G4242" s="320"/>
    </row>
    <row r="4243" spans="3:7">
      <c r="C4243" s="319"/>
      <c r="D4243" s="319"/>
      <c r="G4243" s="320"/>
    </row>
    <row r="4244" spans="3:7">
      <c r="C4244" s="319"/>
      <c r="D4244" s="319"/>
      <c r="G4244" s="320"/>
    </row>
    <row r="4245" spans="3:4">
      <c r="C4245" s="319"/>
      <c r="D4245" s="319"/>
    </row>
    <row r="4246" spans="3:7">
      <c r="C4246" s="319"/>
      <c r="D4246" s="319"/>
      <c r="G4246" s="320"/>
    </row>
    <row r="4247" spans="3:7">
      <c r="C4247" s="319"/>
      <c r="D4247" s="319"/>
      <c r="G4247" s="320"/>
    </row>
    <row r="4248" spans="3:7">
      <c r="C4248" s="319"/>
      <c r="D4248" s="319"/>
      <c r="G4248" s="320"/>
    </row>
    <row r="4249" spans="3:4">
      <c r="C4249" s="319"/>
      <c r="D4249" s="319"/>
    </row>
    <row r="4250" spans="3:7">
      <c r="C4250" s="319"/>
      <c r="D4250" s="319"/>
      <c r="G4250" s="320"/>
    </row>
    <row r="4251" spans="3:7">
      <c r="C4251" s="319"/>
      <c r="D4251" s="319"/>
      <c r="G4251" s="320"/>
    </row>
    <row r="4252" spans="3:7">
      <c r="C4252" s="319"/>
      <c r="D4252" s="319"/>
      <c r="G4252" s="320"/>
    </row>
    <row r="4253" spans="3:7">
      <c r="C4253" s="319"/>
      <c r="D4253" s="319"/>
      <c r="G4253" s="320"/>
    </row>
    <row r="4254" spans="3:7">
      <c r="C4254" s="319"/>
      <c r="D4254" s="319"/>
      <c r="G4254" s="320"/>
    </row>
    <row r="4255" spans="3:7">
      <c r="C4255" s="319"/>
      <c r="D4255" s="319"/>
      <c r="G4255" s="320"/>
    </row>
    <row r="4256" spans="3:7">
      <c r="C4256" s="319"/>
      <c r="D4256" s="319"/>
      <c r="G4256" s="320"/>
    </row>
    <row r="4257" spans="3:7">
      <c r="C4257" s="319"/>
      <c r="D4257" s="319"/>
      <c r="G4257" s="320"/>
    </row>
    <row r="4258" spans="3:7">
      <c r="C4258" s="319"/>
      <c r="D4258" s="319"/>
      <c r="G4258" s="320"/>
    </row>
    <row r="4259" spans="3:7">
      <c r="C4259" s="319"/>
      <c r="D4259" s="319"/>
      <c r="G4259" s="320"/>
    </row>
    <row r="4260" spans="3:4">
      <c r="C4260" s="319"/>
      <c r="D4260" s="319"/>
    </row>
    <row r="4261" spans="3:7">
      <c r="C4261" s="319"/>
      <c r="D4261" s="319"/>
      <c r="G4261" s="320"/>
    </row>
    <row r="4262" spans="3:4">
      <c r="C4262" s="319"/>
      <c r="D4262" s="319"/>
    </row>
    <row r="4263" spans="3:7">
      <c r="C4263" s="319"/>
      <c r="D4263" s="319"/>
      <c r="G4263" s="320"/>
    </row>
    <row r="4264" spans="3:7">
      <c r="C4264" s="319"/>
      <c r="D4264" s="319"/>
      <c r="G4264" s="320"/>
    </row>
    <row r="4265" spans="3:7">
      <c r="C4265" s="319"/>
      <c r="D4265" s="319"/>
      <c r="G4265" s="320"/>
    </row>
    <row r="4266" spans="3:7">
      <c r="C4266" s="319"/>
      <c r="D4266" s="319"/>
      <c r="G4266" s="320"/>
    </row>
    <row r="4267" spans="3:7">
      <c r="C4267" s="319"/>
      <c r="D4267" s="319"/>
      <c r="G4267" s="320"/>
    </row>
    <row r="4268" spans="3:7">
      <c r="C4268" s="319"/>
      <c r="D4268" s="319"/>
      <c r="G4268" s="320"/>
    </row>
    <row r="4269" spans="3:7">
      <c r="C4269" s="319"/>
      <c r="D4269" s="319"/>
      <c r="G4269" s="320"/>
    </row>
    <row r="4270" spans="3:7">
      <c r="C4270" s="319"/>
      <c r="D4270" s="319"/>
      <c r="G4270" s="320"/>
    </row>
    <row r="4271" spans="3:7">
      <c r="C4271" s="319"/>
      <c r="D4271" s="319"/>
      <c r="G4271" s="320"/>
    </row>
    <row r="4272" spans="3:7">
      <c r="C4272" s="319"/>
      <c r="D4272" s="319"/>
      <c r="G4272" s="320"/>
    </row>
    <row r="4273" spans="3:4">
      <c r="C4273" s="319"/>
      <c r="D4273" s="319"/>
    </row>
    <row r="4274" spans="3:7">
      <c r="C4274" s="319"/>
      <c r="D4274" s="319"/>
      <c r="G4274" s="320"/>
    </row>
    <row r="4275" spans="3:7">
      <c r="C4275" s="319"/>
      <c r="D4275" s="319"/>
      <c r="G4275" s="320"/>
    </row>
    <row r="4276" spans="3:7">
      <c r="C4276" s="319"/>
      <c r="D4276" s="319"/>
      <c r="G4276" s="320"/>
    </row>
    <row r="4277" spans="3:7">
      <c r="C4277" s="319"/>
      <c r="D4277" s="319"/>
      <c r="G4277" s="320"/>
    </row>
    <row r="4278" spans="3:7">
      <c r="C4278" s="319"/>
      <c r="D4278" s="319"/>
      <c r="G4278" s="320"/>
    </row>
    <row r="4279" spans="3:7">
      <c r="C4279" s="319"/>
      <c r="D4279" s="319"/>
      <c r="G4279" s="320"/>
    </row>
    <row r="4280" spans="3:7">
      <c r="C4280" s="319"/>
      <c r="D4280" s="319"/>
      <c r="G4280" s="320"/>
    </row>
    <row r="4281" spans="3:4">
      <c r="C4281" s="319"/>
      <c r="D4281" s="319"/>
    </row>
    <row r="4282" spans="3:7">
      <c r="C4282" s="319"/>
      <c r="D4282" s="319"/>
      <c r="G4282" s="320"/>
    </row>
    <row r="4283" spans="3:4">
      <c r="C4283" s="319"/>
      <c r="D4283" s="319"/>
    </row>
    <row r="4284" spans="3:7">
      <c r="C4284" s="319"/>
      <c r="D4284" s="319"/>
      <c r="G4284" s="320"/>
    </row>
    <row r="4285" spans="3:7">
      <c r="C4285" s="319"/>
      <c r="D4285" s="319"/>
      <c r="G4285" s="320"/>
    </row>
    <row r="4286" spans="3:7">
      <c r="C4286" s="319"/>
      <c r="D4286" s="319"/>
      <c r="G4286" s="320"/>
    </row>
    <row r="4287" spans="3:7">
      <c r="C4287" s="319"/>
      <c r="D4287" s="319"/>
      <c r="G4287" s="320"/>
    </row>
    <row r="4288" spans="3:7">
      <c r="C4288" s="319"/>
      <c r="D4288" s="319"/>
      <c r="G4288" s="320"/>
    </row>
    <row r="4289" spans="3:4">
      <c r="C4289" s="319"/>
      <c r="D4289" s="319"/>
    </row>
    <row r="4290" spans="3:4">
      <c r="C4290" s="319"/>
      <c r="D4290" s="319"/>
    </row>
    <row r="4291" spans="3:4">
      <c r="C4291" s="319"/>
      <c r="D4291" s="319"/>
    </row>
    <row r="4292" spans="3:7">
      <c r="C4292" s="319"/>
      <c r="D4292" s="319"/>
      <c r="G4292" s="320"/>
    </row>
    <row r="4293" spans="3:7">
      <c r="C4293" s="319"/>
      <c r="D4293" s="319"/>
      <c r="G4293" s="320"/>
    </row>
    <row r="4294" spans="3:7">
      <c r="C4294" s="319"/>
      <c r="D4294" s="319"/>
      <c r="G4294" s="320"/>
    </row>
    <row r="4295" spans="3:4">
      <c r="C4295" s="319"/>
      <c r="D4295" s="319"/>
    </row>
    <row r="4296" spans="3:7">
      <c r="C4296" s="319"/>
      <c r="D4296" s="319"/>
      <c r="G4296" s="320"/>
    </row>
    <row r="4297" spans="3:4">
      <c r="C4297" s="319"/>
      <c r="D4297" s="319"/>
    </row>
    <row r="4298" spans="3:7">
      <c r="C4298" s="319"/>
      <c r="D4298" s="319"/>
      <c r="G4298" s="320"/>
    </row>
    <row r="4299" spans="3:7">
      <c r="C4299" s="319"/>
      <c r="D4299" s="319"/>
      <c r="G4299" s="320"/>
    </row>
    <row r="4300" spans="3:7">
      <c r="C4300" s="319"/>
      <c r="D4300" s="319"/>
      <c r="G4300" s="320"/>
    </row>
    <row r="4301" spans="3:7">
      <c r="C4301" s="319"/>
      <c r="D4301" s="319"/>
      <c r="G4301" s="320"/>
    </row>
    <row r="4302" spans="3:7">
      <c r="C4302" s="319"/>
      <c r="D4302" s="319"/>
      <c r="G4302" s="320"/>
    </row>
    <row r="4303" spans="3:4">
      <c r="C4303" s="319"/>
      <c r="D4303" s="319"/>
    </row>
    <row r="4304" spans="3:7">
      <c r="C4304" s="319"/>
      <c r="D4304" s="319"/>
      <c r="G4304" s="320"/>
    </row>
    <row r="4305" spans="3:7">
      <c r="C4305" s="319"/>
      <c r="D4305" s="319"/>
      <c r="G4305" s="320"/>
    </row>
    <row r="4306" spans="3:7">
      <c r="C4306" s="319"/>
      <c r="D4306" s="319"/>
      <c r="G4306" s="320"/>
    </row>
    <row r="4307" spans="3:7">
      <c r="C4307" s="319"/>
      <c r="D4307" s="319"/>
      <c r="G4307" s="320"/>
    </row>
    <row r="4308" spans="3:7">
      <c r="C4308" s="319"/>
      <c r="D4308" s="319"/>
      <c r="G4308" s="320"/>
    </row>
    <row r="4309" spans="3:7">
      <c r="C4309" s="319"/>
      <c r="D4309" s="319"/>
      <c r="G4309" s="320"/>
    </row>
    <row r="4310" spans="3:7">
      <c r="C4310" s="319"/>
      <c r="D4310" s="319"/>
      <c r="G4310" s="320"/>
    </row>
    <row r="4311" spans="3:7">
      <c r="C4311" s="319"/>
      <c r="D4311" s="319"/>
      <c r="G4311" s="320"/>
    </row>
    <row r="4312" spans="3:4">
      <c r="C4312" s="319"/>
      <c r="D4312" s="319"/>
    </row>
    <row r="4313" spans="3:7">
      <c r="C4313" s="319"/>
      <c r="D4313" s="319"/>
      <c r="G4313" s="320"/>
    </row>
    <row r="4314" spans="3:7">
      <c r="C4314" s="319"/>
      <c r="D4314" s="319"/>
      <c r="G4314" s="320"/>
    </row>
    <row r="4315" spans="3:7">
      <c r="C4315" s="319"/>
      <c r="D4315" s="319"/>
      <c r="G4315" s="320"/>
    </row>
    <row r="4316" spans="3:7">
      <c r="C4316" s="319"/>
      <c r="D4316" s="319"/>
      <c r="G4316" s="320"/>
    </row>
    <row r="4317" spans="3:4">
      <c r="C4317" s="319"/>
      <c r="D4317" s="319"/>
    </row>
    <row r="4318" spans="3:7">
      <c r="C4318" s="319"/>
      <c r="D4318" s="319"/>
      <c r="G4318" s="320"/>
    </row>
    <row r="4319" spans="3:4">
      <c r="C4319" s="319"/>
      <c r="D4319" s="319"/>
    </row>
    <row r="4320" spans="3:7">
      <c r="C4320" s="319"/>
      <c r="D4320" s="319"/>
      <c r="G4320" s="320"/>
    </row>
    <row r="4321" spans="3:7">
      <c r="C4321" s="319"/>
      <c r="D4321" s="319"/>
      <c r="G4321" s="320"/>
    </row>
    <row r="4322" spans="3:4">
      <c r="C4322" s="319"/>
      <c r="D4322" s="319"/>
    </row>
    <row r="4323" spans="3:7">
      <c r="C4323" s="319"/>
      <c r="D4323" s="319"/>
      <c r="G4323" s="320"/>
    </row>
    <row r="4324" spans="3:7">
      <c r="C4324" s="319"/>
      <c r="D4324" s="319"/>
      <c r="G4324" s="320"/>
    </row>
    <row r="4325" spans="3:7">
      <c r="C4325" s="319"/>
      <c r="D4325" s="319"/>
      <c r="G4325" s="320"/>
    </row>
    <row r="4326" spans="3:7">
      <c r="C4326" s="319"/>
      <c r="D4326" s="319"/>
      <c r="G4326" s="320"/>
    </row>
    <row r="4327" spans="3:7">
      <c r="C4327" s="319"/>
      <c r="D4327" s="319"/>
      <c r="G4327" s="320"/>
    </row>
    <row r="4328" spans="3:7">
      <c r="C4328" s="319"/>
      <c r="D4328" s="319"/>
      <c r="G4328" s="320"/>
    </row>
    <row r="4329" spans="3:7">
      <c r="C4329" s="319"/>
      <c r="D4329" s="319"/>
      <c r="G4329" s="320"/>
    </row>
    <row r="4330" spans="3:7">
      <c r="C4330" s="319"/>
      <c r="D4330" s="319"/>
      <c r="G4330" s="320"/>
    </row>
    <row r="4331" spans="3:7">
      <c r="C4331" s="319"/>
      <c r="D4331" s="319"/>
      <c r="G4331" s="320"/>
    </row>
    <row r="4332" spans="3:4">
      <c r="C4332" s="319"/>
      <c r="D4332" s="319"/>
    </row>
    <row r="4333" spans="3:7">
      <c r="C4333" s="319"/>
      <c r="D4333" s="319"/>
      <c r="G4333" s="320"/>
    </row>
    <row r="4334" spans="3:4">
      <c r="C4334" s="319"/>
      <c r="D4334" s="319"/>
    </row>
    <row r="4335" spans="3:4">
      <c r="C4335" s="319"/>
      <c r="D4335" s="319"/>
    </row>
    <row r="4336" spans="3:4">
      <c r="C4336" s="319"/>
      <c r="D4336" s="319"/>
    </row>
    <row r="4337" spans="3:4">
      <c r="C4337" s="319"/>
      <c r="D4337" s="319"/>
    </row>
    <row r="4338" spans="3:7">
      <c r="C4338" s="319"/>
      <c r="D4338" s="319"/>
      <c r="G4338" s="320"/>
    </row>
    <row r="4339" spans="3:4">
      <c r="C4339" s="319"/>
      <c r="D4339" s="319"/>
    </row>
    <row r="4340" spans="3:7">
      <c r="C4340" s="319"/>
      <c r="D4340" s="319"/>
      <c r="G4340" s="320"/>
    </row>
    <row r="4341" spans="3:4">
      <c r="C4341" s="319"/>
      <c r="D4341" s="319"/>
    </row>
    <row r="4342" spans="3:7">
      <c r="C4342" s="319"/>
      <c r="D4342" s="319"/>
      <c r="G4342" s="320"/>
    </row>
    <row r="4343" spans="3:7">
      <c r="C4343" s="319"/>
      <c r="D4343" s="319"/>
      <c r="G4343" s="320"/>
    </row>
    <row r="4344" spans="3:4">
      <c r="C4344" s="319"/>
      <c r="D4344" s="319"/>
    </row>
    <row r="4345" spans="3:7">
      <c r="C4345" s="319"/>
      <c r="D4345" s="319"/>
      <c r="G4345" s="320"/>
    </row>
    <row r="4346" spans="3:7">
      <c r="C4346" s="319"/>
      <c r="D4346" s="319"/>
      <c r="G4346" s="320"/>
    </row>
    <row r="4347" spans="3:4">
      <c r="C4347" s="319"/>
      <c r="D4347" s="319"/>
    </row>
    <row r="4348" spans="3:7">
      <c r="C4348" s="319"/>
      <c r="D4348" s="319"/>
      <c r="G4348" s="320"/>
    </row>
    <row r="4349" spans="3:7">
      <c r="C4349" s="319"/>
      <c r="D4349" s="319"/>
      <c r="G4349" s="320"/>
    </row>
    <row r="4350" spans="3:7">
      <c r="C4350" s="319"/>
      <c r="D4350" s="319"/>
      <c r="G4350" s="320"/>
    </row>
    <row r="4351" spans="3:7">
      <c r="C4351" s="319"/>
      <c r="D4351" s="319"/>
      <c r="G4351" s="320"/>
    </row>
    <row r="4352" spans="3:7">
      <c r="C4352" s="319"/>
      <c r="D4352" s="319"/>
      <c r="G4352" s="320"/>
    </row>
    <row r="4353" spans="3:4">
      <c r="C4353" s="319"/>
      <c r="D4353" s="319"/>
    </row>
    <row r="4354" spans="3:7">
      <c r="C4354" s="319"/>
      <c r="D4354" s="319"/>
      <c r="G4354" s="320"/>
    </row>
    <row r="4355" spans="3:4">
      <c r="C4355" s="319"/>
      <c r="D4355" s="319"/>
    </row>
    <row r="4356" spans="3:7">
      <c r="C4356" s="319"/>
      <c r="D4356" s="319"/>
      <c r="G4356" s="320"/>
    </row>
    <row r="4357" spans="3:7">
      <c r="C4357" s="319"/>
      <c r="D4357" s="319"/>
      <c r="G4357" s="320"/>
    </row>
    <row r="4358" spans="3:4">
      <c r="C4358" s="319"/>
      <c r="D4358" s="319"/>
    </row>
    <row r="4359" spans="3:7">
      <c r="C4359" s="319"/>
      <c r="D4359" s="319"/>
      <c r="G4359" s="320"/>
    </row>
    <row r="4360" spans="3:7">
      <c r="C4360" s="319"/>
      <c r="D4360" s="319"/>
      <c r="G4360" s="320"/>
    </row>
    <row r="4361" spans="3:4">
      <c r="C4361" s="319"/>
      <c r="D4361" s="319"/>
    </row>
    <row r="4362" spans="3:4">
      <c r="C4362" s="319"/>
      <c r="D4362" s="319"/>
    </row>
    <row r="4363" spans="3:7">
      <c r="C4363" s="319"/>
      <c r="D4363" s="319"/>
      <c r="G4363" s="320"/>
    </row>
    <row r="4364" spans="3:4">
      <c r="C4364" s="319"/>
      <c r="D4364" s="319"/>
    </row>
    <row r="4365" spans="3:7">
      <c r="C4365" s="319"/>
      <c r="D4365" s="319"/>
      <c r="G4365" s="320"/>
    </row>
    <row r="4366" spans="3:7">
      <c r="C4366" s="319"/>
      <c r="D4366" s="319"/>
      <c r="G4366" s="320"/>
    </row>
    <row r="4367" spans="3:7">
      <c r="C4367" s="319"/>
      <c r="D4367" s="319"/>
      <c r="G4367" s="320"/>
    </row>
    <row r="4368" spans="3:7">
      <c r="C4368" s="319"/>
      <c r="D4368" s="319"/>
      <c r="G4368" s="320"/>
    </row>
    <row r="4369" spans="3:7">
      <c r="C4369" s="319"/>
      <c r="D4369" s="319"/>
      <c r="G4369" s="320"/>
    </row>
    <row r="4370" spans="3:7">
      <c r="C4370" s="319"/>
      <c r="D4370" s="319"/>
      <c r="G4370" s="320"/>
    </row>
    <row r="4371" spans="3:4">
      <c r="C4371" s="319"/>
      <c r="D4371" s="319"/>
    </row>
    <row r="4372" spans="3:4">
      <c r="C4372" s="319"/>
      <c r="D4372" s="319"/>
    </row>
    <row r="4373" spans="3:4">
      <c r="C4373" s="319"/>
      <c r="D4373" s="319"/>
    </row>
    <row r="4374" spans="3:7">
      <c r="C4374" s="319"/>
      <c r="D4374" s="319"/>
      <c r="G4374" s="320"/>
    </row>
    <row r="4375" spans="3:4">
      <c r="C4375" s="319"/>
      <c r="D4375" s="319"/>
    </row>
    <row r="4376" spans="3:4">
      <c r="C4376" s="319"/>
      <c r="D4376" s="319"/>
    </row>
    <row r="4377" spans="3:7">
      <c r="C4377" s="319"/>
      <c r="D4377" s="319"/>
      <c r="G4377" s="320"/>
    </row>
    <row r="4378" spans="3:4">
      <c r="C4378" s="319"/>
      <c r="D4378" s="319"/>
    </row>
    <row r="4379" spans="3:7">
      <c r="C4379" s="319"/>
      <c r="D4379" s="319"/>
      <c r="G4379" s="320"/>
    </row>
    <row r="4380" spans="3:7">
      <c r="C4380" s="319"/>
      <c r="D4380" s="319"/>
      <c r="G4380" s="320"/>
    </row>
    <row r="4381" spans="3:7">
      <c r="C4381" s="319"/>
      <c r="D4381" s="319"/>
      <c r="G4381" s="320"/>
    </row>
    <row r="4382" spans="3:7">
      <c r="C4382" s="319"/>
      <c r="D4382" s="319"/>
      <c r="G4382" s="320"/>
    </row>
    <row r="4383" spans="3:4">
      <c r="C4383" s="319"/>
      <c r="D4383" s="319"/>
    </row>
    <row r="4384" spans="3:7">
      <c r="C4384" s="319"/>
      <c r="D4384" s="319"/>
      <c r="G4384" s="320"/>
    </row>
    <row r="4385" spans="3:4">
      <c r="C4385" s="319"/>
      <c r="D4385" s="319"/>
    </row>
    <row r="4386" spans="3:7">
      <c r="C4386" s="319"/>
      <c r="D4386" s="319"/>
      <c r="G4386" s="320"/>
    </row>
    <row r="4387" spans="3:7">
      <c r="C4387" s="319"/>
      <c r="D4387" s="319"/>
      <c r="G4387" s="320"/>
    </row>
    <row r="4388" spans="3:4">
      <c r="C4388" s="319"/>
      <c r="D4388" s="319"/>
    </row>
    <row r="4389" spans="3:4">
      <c r="C4389" s="319"/>
      <c r="D4389" s="319"/>
    </row>
    <row r="4390" spans="3:7">
      <c r="C4390" s="319"/>
      <c r="D4390" s="319"/>
      <c r="G4390" s="320"/>
    </row>
    <row r="4391" spans="3:7">
      <c r="C4391" s="319"/>
      <c r="D4391" s="319"/>
      <c r="G4391" s="320"/>
    </row>
    <row r="4392" spans="3:7">
      <c r="C4392" s="319"/>
      <c r="D4392" s="319"/>
      <c r="G4392" s="320"/>
    </row>
    <row r="4393" spans="3:7">
      <c r="C4393" s="319"/>
      <c r="D4393" s="319"/>
      <c r="G4393" s="320"/>
    </row>
    <row r="4394" spans="3:7">
      <c r="C4394" s="319"/>
      <c r="D4394" s="319"/>
      <c r="G4394" s="320"/>
    </row>
    <row r="4395" spans="3:7">
      <c r="C4395" s="319"/>
      <c r="D4395" s="319"/>
      <c r="G4395" s="320"/>
    </row>
    <row r="4396" spans="3:7">
      <c r="C4396" s="319"/>
      <c r="D4396" s="319"/>
      <c r="G4396" s="320"/>
    </row>
    <row r="4397" spans="3:7">
      <c r="C4397" s="319"/>
      <c r="D4397" s="319"/>
      <c r="G4397" s="320"/>
    </row>
    <row r="4398" spans="3:7">
      <c r="C4398" s="319"/>
      <c r="D4398" s="319"/>
      <c r="G4398" s="320"/>
    </row>
    <row r="4399" spans="3:7">
      <c r="C4399" s="319"/>
      <c r="D4399" s="319"/>
      <c r="G4399" s="320"/>
    </row>
    <row r="4400" spans="3:7">
      <c r="C4400" s="319"/>
      <c r="D4400" s="319"/>
      <c r="G4400" s="320"/>
    </row>
    <row r="4401" spans="3:7">
      <c r="C4401" s="319"/>
      <c r="D4401" s="319"/>
      <c r="G4401" s="320"/>
    </row>
    <row r="4402" spans="3:7">
      <c r="C4402" s="319"/>
      <c r="D4402" s="319"/>
      <c r="G4402" s="320"/>
    </row>
    <row r="4403" spans="3:4">
      <c r="C4403" s="319"/>
      <c r="D4403" s="319"/>
    </row>
    <row r="4404" spans="3:7">
      <c r="C4404" s="319"/>
      <c r="D4404" s="319"/>
      <c r="G4404" s="320"/>
    </row>
    <row r="4405" spans="3:7">
      <c r="C4405" s="319"/>
      <c r="D4405" s="319"/>
      <c r="G4405" s="320"/>
    </row>
    <row r="4406" spans="3:7">
      <c r="C4406" s="319"/>
      <c r="D4406" s="319"/>
      <c r="G4406" s="320"/>
    </row>
    <row r="4407" spans="3:7">
      <c r="C4407" s="319"/>
      <c r="D4407" s="319"/>
      <c r="G4407" s="320"/>
    </row>
    <row r="4408" spans="3:7">
      <c r="C4408" s="319"/>
      <c r="D4408" s="319"/>
      <c r="G4408" s="320"/>
    </row>
    <row r="4409" spans="3:7">
      <c r="C4409" s="319"/>
      <c r="D4409" s="319"/>
      <c r="G4409" s="320"/>
    </row>
    <row r="4410" spans="3:7">
      <c r="C4410" s="319"/>
      <c r="D4410" s="319"/>
      <c r="G4410" s="320"/>
    </row>
    <row r="4411" spans="3:7">
      <c r="C4411" s="319"/>
      <c r="D4411" s="319"/>
      <c r="G4411" s="320"/>
    </row>
    <row r="4412" spans="3:4">
      <c r="C4412" s="319"/>
      <c r="D4412" s="319"/>
    </row>
    <row r="4413" spans="3:4">
      <c r="C4413" s="319"/>
      <c r="D4413" s="319"/>
    </row>
    <row r="4414" spans="3:4">
      <c r="C4414" s="319"/>
      <c r="D4414" s="319"/>
    </row>
    <row r="4415" spans="3:7">
      <c r="C4415" s="319"/>
      <c r="D4415" s="319"/>
      <c r="G4415" s="320"/>
    </row>
    <row r="4416" spans="3:4">
      <c r="C4416" s="319"/>
      <c r="D4416" s="319"/>
    </row>
    <row r="4417" spans="3:7">
      <c r="C4417" s="319"/>
      <c r="D4417" s="319"/>
      <c r="G4417" s="320"/>
    </row>
    <row r="4418" spans="3:7">
      <c r="C4418" s="319"/>
      <c r="D4418" s="319"/>
      <c r="G4418" s="320"/>
    </row>
    <row r="4419" spans="3:4">
      <c r="C4419" s="319"/>
      <c r="D4419" s="319"/>
    </row>
    <row r="4420" spans="3:7">
      <c r="C4420" s="319"/>
      <c r="D4420" s="319"/>
      <c r="G4420" s="320"/>
    </row>
    <row r="4421" spans="3:7">
      <c r="C4421" s="319"/>
      <c r="D4421" s="319"/>
      <c r="G4421" s="320"/>
    </row>
    <row r="4422" spans="3:4">
      <c r="C4422" s="319"/>
      <c r="D4422" s="319"/>
    </row>
    <row r="4423" spans="3:7">
      <c r="C4423" s="319"/>
      <c r="D4423" s="319"/>
      <c r="G4423" s="320"/>
    </row>
    <row r="4424" spans="3:4">
      <c r="C4424" s="319"/>
      <c r="D4424" s="319"/>
    </row>
    <row r="4425" spans="3:4">
      <c r="C4425" s="319"/>
      <c r="D4425" s="319"/>
    </row>
    <row r="4426" spans="3:4">
      <c r="C4426" s="319"/>
      <c r="D4426" s="319"/>
    </row>
    <row r="4427" spans="3:7">
      <c r="C4427" s="319"/>
      <c r="D4427" s="319"/>
      <c r="G4427" s="320"/>
    </row>
    <row r="4428" spans="3:7">
      <c r="C4428" s="319"/>
      <c r="D4428" s="319"/>
      <c r="G4428" s="320"/>
    </row>
    <row r="4429" spans="3:4">
      <c r="C4429" s="319"/>
      <c r="D4429" s="319"/>
    </row>
    <row r="4430" spans="3:4">
      <c r="C4430" s="319"/>
      <c r="D4430" s="319"/>
    </row>
    <row r="4431" spans="3:4">
      <c r="C4431" s="319"/>
      <c r="D4431" s="319"/>
    </row>
    <row r="4432" spans="3:7">
      <c r="C4432" s="319"/>
      <c r="D4432" s="319"/>
      <c r="G4432" s="320"/>
    </row>
    <row r="4433" spans="3:7">
      <c r="C4433" s="319"/>
      <c r="D4433" s="319"/>
      <c r="G4433" s="320"/>
    </row>
    <row r="4434" spans="3:4">
      <c r="C4434" s="319"/>
      <c r="D4434" s="319"/>
    </row>
    <row r="4435" spans="3:7">
      <c r="C4435" s="319"/>
      <c r="D4435" s="319"/>
      <c r="G4435" s="320"/>
    </row>
    <row r="4436" spans="3:7">
      <c r="C4436" s="319"/>
      <c r="D4436" s="319"/>
      <c r="G4436" s="320"/>
    </row>
    <row r="4437" spans="3:4">
      <c r="C4437" s="319"/>
      <c r="D4437" s="319"/>
    </row>
    <row r="4438" spans="3:7">
      <c r="C4438" s="319"/>
      <c r="D4438" s="319"/>
      <c r="G4438" s="320"/>
    </row>
    <row r="4439" spans="3:7">
      <c r="C4439" s="319"/>
      <c r="D4439" s="319"/>
      <c r="G4439" s="320"/>
    </row>
    <row r="4440" spans="3:7">
      <c r="C4440" s="319"/>
      <c r="D4440" s="319"/>
      <c r="G4440" s="320"/>
    </row>
    <row r="4441" spans="3:4">
      <c r="C4441" s="319"/>
      <c r="D4441" s="319"/>
    </row>
    <row r="4442" spans="3:4">
      <c r="C4442" s="319"/>
      <c r="D4442" s="319"/>
    </row>
    <row r="4443" spans="3:4">
      <c r="C4443" s="319"/>
      <c r="D4443" s="319"/>
    </row>
    <row r="4444" spans="3:7">
      <c r="C4444" s="319"/>
      <c r="D4444" s="319"/>
      <c r="G4444" s="320"/>
    </row>
    <row r="4445" spans="3:4">
      <c r="C4445" s="319"/>
      <c r="D4445" s="319"/>
    </row>
    <row r="4446" spans="3:7">
      <c r="C4446" s="319"/>
      <c r="D4446" s="319"/>
      <c r="G4446" s="320"/>
    </row>
    <row r="4447" spans="3:7">
      <c r="C4447" s="319"/>
      <c r="D4447" s="319"/>
      <c r="G4447" s="320"/>
    </row>
    <row r="4448" spans="3:7">
      <c r="C4448" s="319"/>
      <c r="D4448" s="319"/>
      <c r="G4448" s="320"/>
    </row>
    <row r="4449" spans="3:7">
      <c r="C4449" s="319"/>
      <c r="D4449" s="319"/>
      <c r="G4449" s="320"/>
    </row>
    <row r="4450" spans="3:7">
      <c r="C4450" s="319"/>
      <c r="D4450" s="319"/>
      <c r="G4450" s="320"/>
    </row>
    <row r="4451" spans="3:7">
      <c r="C4451" s="319"/>
      <c r="D4451" s="319"/>
      <c r="G4451" s="320"/>
    </row>
    <row r="4452" spans="3:7">
      <c r="C4452" s="319"/>
      <c r="D4452" s="319"/>
      <c r="G4452" s="320"/>
    </row>
    <row r="4453" spans="3:7">
      <c r="C4453" s="319"/>
      <c r="D4453" s="319"/>
      <c r="G4453" s="320"/>
    </row>
    <row r="4454" spans="3:7">
      <c r="C4454" s="319"/>
      <c r="D4454" s="319"/>
      <c r="G4454" s="320"/>
    </row>
    <row r="4455" spans="3:7">
      <c r="C4455" s="319"/>
      <c r="D4455" s="319"/>
      <c r="G4455" s="320"/>
    </row>
    <row r="4456" spans="3:7">
      <c r="C4456" s="319"/>
      <c r="D4456" s="319"/>
      <c r="G4456" s="320"/>
    </row>
    <row r="4457" spans="3:7">
      <c r="C4457" s="319"/>
      <c r="D4457" s="319"/>
      <c r="G4457" s="320"/>
    </row>
    <row r="4458" spans="3:7">
      <c r="C4458" s="319"/>
      <c r="D4458" s="319"/>
      <c r="G4458" s="320"/>
    </row>
    <row r="4459" spans="3:4">
      <c r="C4459" s="319"/>
      <c r="D4459" s="319"/>
    </row>
    <row r="4460" spans="3:7">
      <c r="C4460" s="319"/>
      <c r="D4460" s="319"/>
      <c r="G4460" s="320"/>
    </row>
    <row r="4461" spans="3:7">
      <c r="C4461" s="319"/>
      <c r="D4461" s="319"/>
      <c r="G4461" s="320"/>
    </row>
    <row r="4462" spans="3:7">
      <c r="C4462" s="319"/>
      <c r="D4462" s="319"/>
      <c r="G4462" s="320"/>
    </row>
    <row r="4463" spans="3:4">
      <c r="C4463" s="319"/>
      <c r="D4463" s="319"/>
    </row>
    <row r="4464" spans="3:4">
      <c r="C4464" s="319"/>
      <c r="D4464" s="319"/>
    </row>
    <row r="4465" spans="3:4">
      <c r="C4465" s="319"/>
      <c r="D4465" s="319"/>
    </row>
    <row r="4466" spans="3:7">
      <c r="C4466" s="319"/>
      <c r="D4466" s="319"/>
      <c r="G4466" s="320"/>
    </row>
    <row r="4467" spans="3:4">
      <c r="C4467" s="319"/>
      <c r="D4467" s="319"/>
    </row>
    <row r="4468" spans="3:4">
      <c r="C4468" s="319"/>
      <c r="D4468" s="319"/>
    </row>
    <row r="4469" spans="3:4">
      <c r="C4469" s="319"/>
      <c r="D4469" s="319"/>
    </row>
    <row r="4470" spans="3:4">
      <c r="C4470" s="319"/>
      <c r="D4470" s="319"/>
    </row>
    <row r="4471" spans="3:7">
      <c r="C4471" s="319"/>
      <c r="D4471" s="319"/>
      <c r="G4471" s="320"/>
    </row>
    <row r="4472" spans="3:4">
      <c r="C4472" s="319"/>
      <c r="D4472" s="319"/>
    </row>
    <row r="4473" spans="3:7">
      <c r="C4473" s="319"/>
      <c r="D4473" s="319"/>
      <c r="G4473" s="320"/>
    </row>
    <row r="4474" spans="3:4">
      <c r="C4474" s="319"/>
      <c r="D4474" s="319"/>
    </row>
    <row r="4475" spans="3:7">
      <c r="C4475" s="319"/>
      <c r="D4475" s="319"/>
      <c r="G4475" s="320"/>
    </row>
    <row r="4476" spans="3:4">
      <c r="C4476" s="319"/>
      <c r="D4476" s="319"/>
    </row>
    <row r="4477" spans="3:4">
      <c r="C4477" s="319"/>
      <c r="D4477" s="319"/>
    </row>
    <row r="4478" spans="3:7">
      <c r="C4478" s="319"/>
      <c r="D4478" s="319"/>
      <c r="G4478" s="320"/>
    </row>
    <row r="4479" spans="3:7">
      <c r="C4479" s="319"/>
      <c r="D4479" s="319"/>
      <c r="G4479" s="320"/>
    </row>
    <row r="4480" spans="3:7">
      <c r="C4480" s="319"/>
      <c r="D4480" s="319"/>
      <c r="G4480" s="320"/>
    </row>
    <row r="4481" spans="3:7">
      <c r="C4481" s="319"/>
      <c r="D4481" s="319"/>
      <c r="G4481" s="320"/>
    </row>
    <row r="4482" spans="3:4">
      <c r="C4482" s="319"/>
      <c r="D4482" s="319"/>
    </row>
    <row r="4483" spans="3:4">
      <c r="C4483" s="319"/>
      <c r="D4483" s="319"/>
    </row>
    <row r="4484" spans="3:7">
      <c r="C4484" s="319"/>
      <c r="D4484" s="319"/>
      <c r="G4484" s="320"/>
    </row>
    <row r="4485" spans="3:7">
      <c r="C4485" s="319"/>
      <c r="D4485" s="319"/>
      <c r="G4485" s="320"/>
    </row>
    <row r="4486" spans="3:7">
      <c r="C4486" s="319"/>
      <c r="D4486" s="319"/>
      <c r="G4486" s="320"/>
    </row>
    <row r="4487" spans="3:7">
      <c r="C4487" s="319"/>
      <c r="D4487" s="319"/>
      <c r="G4487" s="320"/>
    </row>
    <row r="4488" spans="3:7">
      <c r="C4488" s="319"/>
      <c r="D4488" s="319"/>
      <c r="G4488" s="320"/>
    </row>
    <row r="4489" spans="3:7">
      <c r="C4489" s="319"/>
      <c r="D4489" s="319"/>
      <c r="G4489" s="320"/>
    </row>
    <row r="4490" spans="3:4">
      <c r="C4490" s="319"/>
      <c r="D4490" s="319"/>
    </row>
    <row r="4491" spans="3:7">
      <c r="C4491" s="319"/>
      <c r="D4491" s="319"/>
      <c r="G4491" s="320"/>
    </row>
    <row r="4492" spans="3:7">
      <c r="C4492" s="319"/>
      <c r="D4492" s="319"/>
      <c r="G4492" s="320"/>
    </row>
    <row r="4493" spans="3:7">
      <c r="C4493" s="319"/>
      <c r="D4493" s="319"/>
      <c r="G4493" s="320"/>
    </row>
    <row r="4494" spans="3:7">
      <c r="C4494" s="319"/>
      <c r="D4494" s="319"/>
      <c r="G4494" s="320"/>
    </row>
    <row r="4495" spans="3:7">
      <c r="C4495" s="319"/>
      <c r="D4495" s="319"/>
      <c r="G4495" s="320"/>
    </row>
    <row r="4496" spans="3:7">
      <c r="C4496" s="319"/>
      <c r="D4496" s="319"/>
      <c r="G4496" s="320"/>
    </row>
    <row r="4497" spans="3:7">
      <c r="C4497" s="319"/>
      <c r="D4497" s="319"/>
      <c r="G4497" s="320"/>
    </row>
    <row r="4498" spans="3:7">
      <c r="C4498" s="319"/>
      <c r="D4498" s="319"/>
      <c r="G4498" s="320"/>
    </row>
    <row r="4499" spans="3:7">
      <c r="C4499" s="319"/>
      <c r="D4499" s="319"/>
      <c r="G4499" s="320"/>
    </row>
    <row r="4500" spans="3:7">
      <c r="C4500" s="319"/>
      <c r="D4500" s="319"/>
      <c r="G4500" s="320"/>
    </row>
    <row r="4501" spans="3:7">
      <c r="C4501" s="319"/>
      <c r="D4501" s="319"/>
      <c r="G4501" s="320"/>
    </row>
    <row r="4502" spans="3:7">
      <c r="C4502" s="319"/>
      <c r="D4502" s="319"/>
      <c r="G4502" s="320"/>
    </row>
    <row r="4503" spans="3:4">
      <c r="C4503" s="319"/>
      <c r="D4503" s="319"/>
    </row>
    <row r="4504" spans="3:7">
      <c r="C4504" s="319"/>
      <c r="D4504" s="319"/>
      <c r="G4504" s="320"/>
    </row>
    <row r="4505" spans="3:7">
      <c r="C4505" s="319"/>
      <c r="D4505" s="319"/>
      <c r="G4505" s="320"/>
    </row>
    <row r="4506" spans="3:4">
      <c r="C4506" s="319"/>
      <c r="D4506" s="319"/>
    </row>
    <row r="4507" spans="3:7">
      <c r="C4507" s="319"/>
      <c r="D4507" s="319"/>
      <c r="G4507" s="320"/>
    </row>
    <row r="4508" spans="3:7">
      <c r="C4508" s="319"/>
      <c r="D4508" s="319"/>
      <c r="G4508" s="320"/>
    </row>
    <row r="4509" spans="3:7">
      <c r="C4509" s="319"/>
      <c r="D4509" s="319"/>
      <c r="G4509" s="320"/>
    </row>
    <row r="4510" spans="3:4">
      <c r="C4510" s="319"/>
      <c r="D4510" s="319"/>
    </row>
    <row r="4511" spans="3:7">
      <c r="C4511" s="319"/>
      <c r="D4511" s="319"/>
      <c r="G4511" s="320"/>
    </row>
    <row r="4512" spans="3:7">
      <c r="C4512" s="319"/>
      <c r="D4512" s="319"/>
      <c r="G4512" s="320"/>
    </row>
    <row r="4513" spans="3:7">
      <c r="C4513" s="319"/>
      <c r="D4513" s="319"/>
      <c r="G4513" s="320"/>
    </row>
    <row r="4514" spans="3:4">
      <c r="C4514" s="319"/>
      <c r="D4514" s="319"/>
    </row>
    <row r="4515" spans="3:7">
      <c r="C4515" s="319"/>
      <c r="D4515" s="319"/>
      <c r="G4515" s="320"/>
    </row>
    <row r="4516" spans="3:7">
      <c r="C4516" s="319"/>
      <c r="D4516" s="319"/>
      <c r="G4516" s="320"/>
    </row>
    <row r="4517" spans="3:7">
      <c r="C4517" s="319"/>
      <c r="D4517" s="319"/>
      <c r="G4517" s="320"/>
    </row>
    <row r="4518" spans="3:7">
      <c r="C4518" s="319"/>
      <c r="D4518" s="319"/>
      <c r="G4518" s="320"/>
    </row>
    <row r="4519" spans="3:7">
      <c r="C4519" s="319"/>
      <c r="D4519" s="319"/>
      <c r="G4519" s="320"/>
    </row>
    <row r="4520" spans="3:7">
      <c r="C4520" s="319"/>
      <c r="D4520" s="319"/>
      <c r="G4520" s="320"/>
    </row>
    <row r="4521" spans="3:4">
      <c r="C4521" s="319"/>
      <c r="D4521" s="319"/>
    </row>
    <row r="4522" spans="3:4">
      <c r="C4522" s="319"/>
      <c r="D4522" s="319"/>
    </row>
    <row r="4523" spans="3:7">
      <c r="C4523" s="319"/>
      <c r="D4523" s="319"/>
      <c r="G4523" s="320"/>
    </row>
    <row r="4524" spans="3:7">
      <c r="C4524" s="319"/>
      <c r="D4524" s="319"/>
      <c r="G4524" s="320"/>
    </row>
    <row r="4525" spans="3:4">
      <c r="C4525" s="319"/>
      <c r="D4525" s="319"/>
    </row>
    <row r="4526" spans="3:7">
      <c r="C4526" s="319"/>
      <c r="D4526" s="319"/>
      <c r="G4526" s="320"/>
    </row>
    <row r="4527" spans="3:7">
      <c r="C4527" s="319"/>
      <c r="D4527" s="319"/>
      <c r="G4527" s="320"/>
    </row>
    <row r="4528" spans="3:7">
      <c r="C4528" s="319"/>
      <c r="D4528" s="319"/>
      <c r="G4528" s="320"/>
    </row>
    <row r="4529" spans="3:7">
      <c r="C4529" s="319"/>
      <c r="D4529" s="319"/>
      <c r="G4529" s="320"/>
    </row>
    <row r="4530" spans="3:4">
      <c r="C4530" s="319"/>
      <c r="D4530" s="319"/>
    </row>
    <row r="4531" spans="3:7">
      <c r="C4531" s="319"/>
      <c r="D4531" s="319"/>
      <c r="G4531" s="320"/>
    </row>
    <row r="4532" spans="3:7">
      <c r="C4532" s="319"/>
      <c r="D4532" s="319"/>
      <c r="G4532" s="320"/>
    </row>
    <row r="4533" spans="3:4">
      <c r="C4533" s="319"/>
      <c r="D4533" s="319"/>
    </row>
    <row r="4534" spans="3:7">
      <c r="C4534" s="319"/>
      <c r="D4534" s="319"/>
      <c r="G4534" s="320"/>
    </row>
    <row r="4535" spans="3:4">
      <c r="C4535" s="319"/>
      <c r="D4535" s="319"/>
    </row>
    <row r="4536" spans="3:7">
      <c r="C4536" s="319"/>
      <c r="D4536" s="319"/>
      <c r="G4536" s="320"/>
    </row>
    <row r="4537" spans="3:4">
      <c r="C4537" s="319"/>
      <c r="D4537" s="319"/>
    </row>
    <row r="4538" spans="3:7">
      <c r="C4538" s="319"/>
      <c r="D4538" s="319"/>
      <c r="G4538" s="320"/>
    </row>
    <row r="4539" spans="3:7">
      <c r="C4539" s="319"/>
      <c r="D4539" s="319"/>
      <c r="G4539" s="320"/>
    </row>
    <row r="4540" spans="3:7">
      <c r="C4540" s="319"/>
      <c r="D4540" s="319"/>
      <c r="G4540" s="320"/>
    </row>
    <row r="4541" spans="3:7">
      <c r="C4541" s="319"/>
      <c r="D4541" s="319"/>
      <c r="G4541" s="320"/>
    </row>
    <row r="4542" spans="3:7">
      <c r="C4542" s="319"/>
      <c r="D4542" s="319"/>
      <c r="G4542" s="320"/>
    </row>
    <row r="4543" spans="3:7">
      <c r="C4543" s="319"/>
      <c r="D4543" s="319"/>
      <c r="G4543" s="320"/>
    </row>
    <row r="4544" spans="3:7">
      <c r="C4544" s="319"/>
      <c r="D4544" s="319"/>
      <c r="G4544" s="320"/>
    </row>
    <row r="4545" spans="3:7">
      <c r="C4545" s="319"/>
      <c r="D4545" s="319"/>
      <c r="G4545" s="320"/>
    </row>
    <row r="4546" spans="3:4">
      <c r="C4546" s="319"/>
      <c r="D4546" s="319"/>
    </row>
    <row r="4547" spans="3:4">
      <c r="C4547" s="319"/>
      <c r="D4547" s="319"/>
    </row>
    <row r="4548" spans="3:7">
      <c r="C4548" s="319"/>
      <c r="D4548" s="319"/>
      <c r="G4548" s="320"/>
    </row>
    <row r="4549" spans="3:7">
      <c r="C4549" s="319"/>
      <c r="D4549" s="319"/>
      <c r="G4549" s="320"/>
    </row>
    <row r="4550" spans="3:7">
      <c r="C4550" s="319"/>
      <c r="D4550" s="319"/>
      <c r="G4550" s="320"/>
    </row>
    <row r="4551" spans="3:7">
      <c r="C4551" s="319"/>
      <c r="D4551" s="319"/>
      <c r="G4551" s="320"/>
    </row>
    <row r="4552" spans="3:7">
      <c r="C4552" s="319"/>
      <c r="D4552" s="319"/>
      <c r="G4552" s="320"/>
    </row>
    <row r="4553" spans="3:4">
      <c r="C4553" s="319"/>
      <c r="D4553" s="319"/>
    </row>
    <row r="4554" spans="3:4">
      <c r="C4554" s="319"/>
      <c r="D4554" s="319"/>
    </row>
    <row r="4555" spans="3:4">
      <c r="C4555" s="319"/>
      <c r="D4555" s="319"/>
    </row>
    <row r="4556" spans="3:4">
      <c r="C4556" s="319"/>
      <c r="D4556" s="319"/>
    </row>
    <row r="4557" spans="3:4">
      <c r="C4557" s="319"/>
      <c r="D4557" s="319"/>
    </row>
    <row r="4558" spans="3:4">
      <c r="C4558" s="319"/>
      <c r="D4558" s="319"/>
    </row>
    <row r="4559" spans="3:4">
      <c r="C4559" s="319"/>
      <c r="D4559" s="319"/>
    </row>
    <row r="4560" spans="3:7">
      <c r="C4560" s="319"/>
      <c r="D4560" s="319"/>
      <c r="G4560" s="320"/>
    </row>
    <row r="4561" spans="3:7">
      <c r="C4561" s="319"/>
      <c r="D4561" s="319"/>
      <c r="G4561" s="320"/>
    </row>
    <row r="4562" spans="3:7">
      <c r="C4562" s="319"/>
      <c r="D4562" s="319"/>
      <c r="G4562" s="320"/>
    </row>
    <row r="4563" spans="3:4">
      <c r="C4563" s="319"/>
      <c r="D4563" s="319"/>
    </row>
    <row r="4564" spans="3:7">
      <c r="C4564" s="319"/>
      <c r="D4564" s="319"/>
      <c r="G4564" s="320"/>
    </row>
    <row r="4565" spans="3:7">
      <c r="C4565" s="319"/>
      <c r="D4565" s="319"/>
      <c r="G4565" s="320"/>
    </row>
    <row r="4566" spans="3:7">
      <c r="C4566" s="319"/>
      <c r="D4566" s="319"/>
      <c r="G4566" s="320"/>
    </row>
    <row r="4567" spans="3:4">
      <c r="C4567" s="319"/>
      <c r="D4567" s="319"/>
    </row>
    <row r="4568" spans="3:4">
      <c r="C4568" s="319"/>
      <c r="D4568" s="319"/>
    </row>
    <row r="4569" spans="3:7">
      <c r="C4569" s="319"/>
      <c r="D4569" s="319"/>
      <c r="G4569" s="320"/>
    </row>
    <row r="4570" spans="3:4">
      <c r="C4570" s="319"/>
      <c r="D4570" s="319"/>
    </row>
    <row r="4571" spans="3:7">
      <c r="C4571" s="319"/>
      <c r="D4571" s="319"/>
      <c r="G4571" s="320"/>
    </row>
    <row r="4572" spans="3:4">
      <c r="C4572" s="319"/>
      <c r="D4572" s="319"/>
    </row>
    <row r="4573" spans="3:4">
      <c r="C4573" s="319"/>
      <c r="D4573" s="319"/>
    </row>
    <row r="4574" spans="3:7">
      <c r="C4574" s="319"/>
      <c r="D4574" s="319"/>
      <c r="G4574" s="320"/>
    </row>
    <row r="4575" spans="3:4">
      <c r="C4575" s="319"/>
      <c r="D4575" s="319"/>
    </row>
    <row r="4576" spans="3:4">
      <c r="C4576" s="319"/>
      <c r="D4576" s="319"/>
    </row>
    <row r="4577" spans="3:4">
      <c r="C4577" s="319"/>
      <c r="D4577" s="319"/>
    </row>
    <row r="4578" spans="3:7">
      <c r="C4578" s="319"/>
      <c r="D4578" s="319"/>
      <c r="G4578" s="320"/>
    </row>
    <row r="4579" spans="3:7">
      <c r="C4579" s="319"/>
      <c r="D4579" s="319"/>
      <c r="G4579" s="320"/>
    </row>
    <row r="4580" spans="3:7">
      <c r="C4580" s="319"/>
      <c r="D4580" s="319"/>
      <c r="G4580" s="320"/>
    </row>
    <row r="4581" spans="3:7">
      <c r="C4581" s="319"/>
      <c r="D4581" s="319"/>
      <c r="G4581" s="320"/>
    </row>
    <row r="4582" spans="3:7">
      <c r="C4582" s="319"/>
      <c r="D4582" s="319"/>
      <c r="G4582" s="320"/>
    </row>
    <row r="4583" spans="3:7">
      <c r="C4583" s="319"/>
      <c r="D4583" s="319"/>
      <c r="G4583" s="320"/>
    </row>
    <row r="4584" spans="3:7">
      <c r="C4584" s="319"/>
      <c r="D4584" s="319"/>
      <c r="G4584" s="320"/>
    </row>
    <row r="4585" spans="3:7">
      <c r="C4585" s="319"/>
      <c r="D4585" s="319"/>
      <c r="G4585" s="320"/>
    </row>
    <row r="4586" spans="3:7">
      <c r="C4586" s="319"/>
      <c r="D4586" s="319"/>
      <c r="G4586" s="320"/>
    </row>
    <row r="4587" spans="3:4">
      <c r="C4587" s="319"/>
      <c r="D4587" s="319"/>
    </row>
    <row r="4588" spans="3:7">
      <c r="C4588" s="319"/>
      <c r="D4588" s="319"/>
      <c r="G4588" s="320"/>
    </row>
    <row r="4589" spans="3:7">
      <c r="C4589" s="319"/>
      <c r="D4589" s="319"/>
      <c r="G4589" s="320"/>
    </row>
    <row r="4590" spans="3:7">
      <c r="C4590" s="319"/>
      <c r="D4590" s="319"/>
      <c r="G4590" s="320"/>
    </row>
    <row r="4591" spans="3:4">
      <c r="C4591" s="319"/>
      <c r="D4591" s="319"/>
    </row>
    <row r="4592" spans="3:7">
      <c r="C4592" s="319"/>
      <c r="D4592" s="319"/>
      <c r="G4592" s="320"/>
    </row>
    <row r="4593" spans="3:4">
      <c r="C4593" s="319"/>
      <c r="D4593" s="319"/>
    </row>
    <row r="4594" spans="3:7">
      <c r="C4594" s="319"/>
      <c r="D4594" s="319"/>
      <c r="G4594" s="320"/>
    </row>
    <row r="4595" spans="3:7">
      <c r="C4595" s="319"/>
      <c r="D4595" s="319"/>
      <c r="G4595" s="320"/>
    </row>
    <row r="4596" spans="3:4">
      <c r="C4596" s="319"/>
      <c r="D4596" s="319"/>
    </row>
    <row r="4597" spans="3:7">
      <c r="C4597" s="319"/>
      <c r="D4597" s="319"/>
      <c r="G4597" s="320"/>
    </row>
    <row r="4598" spans="3:7">
      <c r="C4598" s="319"/>
      <c r="D4598" s="319"/>
      <c r="G4598" s="320"/>
    </row>
    <row r="4599" spans="3:7">
      <c r="C4599" s="319"/>
      <c r="D4599" s="319"/>
      <c r="G4599" s="320"/>
    </row>
    <row r="4600" spans="3:7">
      <c r="C4600" s="319"/>
      <c r="D4600" s="319"/>
      <c r="G4600" s="320"/>
    </row>
    <row r="4601" spans="3:7">
      <c r="C4601" s="319"/>
      <c r="D4601" s="319"/>
      <c r="G4601" s="320"/>
    </row>
    <row r="4602" spans="3:4">
      <c r="C4602" s="319"/>
      <c r="D4602" s="319"/>
    </row>
    <row r="4603" spans="3:7">
      <c r="C4603" s="319"/>
      <c r="D4603" s="319"/>
      <c r="G4603" s="320"/>
    </row>
    <row r="4604" spans="3:7">
      <c r="C4604" s="319"/>
      <c r="D4604" s="319"/>
      <c r="G4604" s="320"/>
    </row>
    <row r="4605" spans="3:7">
      <c r="C4605" s="319"/>
      <c r="D4605" s="319"/>
      <c r="G4605" s="320"/>
    </row>
    <row r="4606" spans="3:7">
      <c r="C4606" s="319"/>
      <c r="D4606" s="319"/>
      <c r="G4606" s="320"/>
    </row>
    <row r="4607" spans="3:7">
      <c r="C4607" s="319"/>
      <c r="D4607" s="319"/>
      <c r="G4607" s="320"/>
    </row>
    <row r="4608" spans="3:7">
      <c r="C4608" s="319"/>
      <c r="D4608" s="319"/>
      <c r="G4608" s="320"/>
    </row>
    <row r="4609" spans="3:7">
      <c r="C4609" s="319"/>
      <c r="D4609" s="319"/>
      <c r="G4609" s="320"/>
    </row>
    <row r="4610" spans="3:4">
      <c r="C4610" s="319"/>
      <c r="D4610" s="319"/>
    </row>
    <row r="4611" spans="3:7">
      <c r="C4611" s="319"/>
      <c r="D4611" s="319"/>
      <c r="G4611" s="320"/>
    </row>
    <row r="4612" spans="3:7">
      <c r="C4612" s="319"/>
      <c r="D4612" s="319"/>
      <c r="G4612" s="320"/>
    </row>
    <row r="4613" spans="3:7">
      <c r="C4613" s="319"/>
      <c r="D4613" s="319"/>
      <c r="G4613" s="320"/>
    </row>
    <row r="4614" spans="3:7">
      <c r="C4614" s="319"/>
      <c r="D4614" s="319"/>
      <c r="G4614" s="320"/>
    </row>
    <row r="4615" spans="3:7">
      <c r="C4615" s="319"/>
      <c r="D4615" s="319"/>
      <c r="G4615" s="320"/>
    </row>
    <row r="4616" spans="3:7">
      <c r="C4616" s="319"/>
      <c r="D4616" s="319"/>
      <c r="G4616" s="320"/>
    </row>
    <row r="4617" spans="3:4">
      <c r="C4617" s="319"/>
      <c r="D4617" s="319"/>
    </row>
    <row r="4618" spans="3:4">
      <c r="C4618" s="319"/>
      <c r="D4618" s="319"/>
    </row>
    <row r="4619" spans="3:7">
      <c r="C4619" s="319"/>
      <c r="D4619" s="319"/>
      <c r="G4619" s="320"/>
    </row>
    <row r="4620" spans="3:7">
      <c r="C4620" s="319"/>
      <c r="D4620" s="319"/>
      <c r="G4620" s="320"/>
    </row>
    <row r="4621" spans="3:7">
      <c r="C4621" s="319"/>
      <c r="D4621" s="319"/>
      <c r="G4621" s="320"/>
    </row>
    <row r="4622" spans="3:7">
      <c r="C4622" s="319"/>
      <c r="D4622" s="319"/>
      <c r="G4622" s="320"/>
    </row>
    <row r="4623" spans="3:4">
      <c r="C4623" s="319"/>
      <c r="D4623" s="319"/>
    </row>
    <row r="4624" spans="3:7">
      <c r="C4624" s="319"/>
      <c r="D4624" s="319"/>
      <c r="G4624" s="320"/>
    </row>
    <row r="4625" spans="3:7">
      <c r="C4625" s="319"/>
      <c r="D4625" s="319"/>
      <c r="G4625" s="320"/>
    </row>
    <row r="4626" spans="3:4">
      <c r="C4626" s="319"/>
      <c r="D4626" s="319"/>
    </row>
    <row r="4627" spans="3:7">
      <c r="C4627" s="319"/>
      <c r="D4627" s="319"/>
      <c r="G4627" s="320"/>
    </row>
    <row r="4628" spans="3:4">
      <c r="C4628" s="319"/>
      <c r="D4628" s="319"/>
    </row>
    <row r="4629" spans="3:7">
      <c r="C4629" s="319"/>
      <c r="D4629" s="319"/>
      <c r="G4629" s="320"/>
    </row>
    <row r="4630" spans="3:7">
      <c r="C4630" s="319"/>
      <c r="D4630" s="319"/>
      <c r="G4630" s="320"/>
    </row>
    <row r="4631" spans="3:7">
      <c r="C4631" s="319"/>
      <c r="D4631" s="319"/>
      <c r="G4631" s="320"/>
    </row>
    <row r="4632" spans="3:7">
      <c r="C4632" s="319"/>
      <c r="D4632" s="319"/>
      <c r="G4632" s="320"/>
    </row>
    <row r="4633" spans="3:4">
      <c r="C4633" s="319"/>
      <c r="D4633" s="319"/>
    </row>
    <row r="4634" spans="3:7">
      <c r="C4634" s="319"/>
      <c r="D4634" s="319"/>
      <c r="G4634" s="320"/>
    </row>
    <row r="4635" spans="3:7">
      <c r="C4635" s="319"/>
      <c r="D4635" s="319"/>
      <c r="G4635" s="320"/>
    </row>
    <row r="4636" spans="3:7">
      <c r="C4636" s="319"/>
      <c r="D4636" s="319"/>
      <c r="G4636" s="320"/>
    </row>
    <row r="4637" spans="3:7">
      <c r="C4637" s="319"/>
      <c r="D4637" s="319"/>
      <c r="G4637" s="320"/>
    </row>
    <row r="4638" spans="3:4">
      <c r="C4638" s="319"/>
      <c r="D4638" s="319"/>
    </row>
    <row r="4639" spans="3:4">
      <c r="C4639" s="319"/>
      <c r="D4639" s="319"/>
    </row>
    <row r="4640" spans="3:7">
      <c r="C4640" s="319"/>
      <c r="D4640" s="319"/>
      <c r="G4640" s="320"/>
    </row>
    <row r="4641" spans="3:7">
      <c r="C4641" s="319"/>
      <c r="D4641" s="319"/>
      <c r="G4641" s="320"/>
    </row>
    <row r="4642" spans="3:7">
      <c r="C4642" s="319"/>
      <c r="D4642" s="319"/>
      <c r="G4642" s="320"/>
    </row>
    <row r="4643" spans="3:4">
      <c r="C4643" s="319"/>
      <c r="D4643" s="319"/>
    </row>
    <row r="4644" spans="3:7">
      <c r="C4644" s="319"/>
      <c r="D4644" s="319"/>
      <c r="G4644" s="320"/>
    </row>
    <row r="4645" spans="3:4">
      <c r="C4645" s="319"/>
      <c r="D4645" s="319"/>
    </row>
    <row r="4646" spans="3:4">
      <c r="C4646" s="319"/>
      <c r="D4646" s="319"/>
    </row>
    <row r="4647" spans="3:7">
      <c r="C4647" s="319"/>
      <c r="D4647" s="319"/>
      <c r="G4647" s="320"/>
    </row>
    <row r="4648" spans="3:7">
      <c r="C4648" s="319"/>
      <c r="D4648" s="319"/>
      <c r="G4648" s="320"/>
    </row>
    <row r="4649" spans="3:7">
      <c r="C4649" s="319"/>
      <c r="D4649" s="319"/>
      <c r="G4649" s="320"/>
    </row>
    <row r="4650" spans="3:7">
      <c r="C4650" s="319"/>
      <c r="D4650" s="319"/>
      <c r="G4650" s="320"/>
    </row>
    <row r="4651" spans="3:7">
      <c r="C4651" s="319"/>
      <c r="D4651" s="319"/>
      <c r="G4651" s="320"/>
    </row>
    <row r="4652" spans="3:7">
      <c r="C4652" s="319"/>
      <c r="D4652" s="319"/>
      <c r="G4652" s="320"/>
    </row>
    <row r="4653" spans="3:4">
      <c r="C4653" s="319"/>
      <c r="D4653" s="319"/>
    </row>
    <row r="4654" spans="3:7">
      <c r="C4654" s="319"/>
      <c r="D4654" s="319"/>
      <c r="G4654" s="320"/>
    </row>
    <row r="4655" spans="3:7">
      <c r="C4655" s="319"/>
      <c r="D4655" s="319"/>
      <c r="G4655" s="320"/>
    </row>
    <row r="4656" spans="3:7">
      <c r="C4656" s="319"/>
      <c r="D4656" s="319"/>
      <c r="G4656" s="320"/>
    </row>
    <row r="4657" spans="3:7">
      <c r="C4657" s="319"/>
      <c r="D4657" s="319"/>
      <c r="G4657" s="320"/>
    </row>
    <row r="4658" spans="3:7">
      <c r="C4658" s="319"/>
      <c r="D4658" s="319"/>
      <c r="G4658" s="320"/>
    </row>
    <row r="4659" spans="3:7">
      <c r="C4659" s="319"/>
      <c r="D4659" s="319"/>
      <c r="G4659" s="320"/>
    </row>
    <row r="4660" spans="3:7">
      <c r="C4660" s="319"/>
      <c r="D4660" s="319"/>
      <c r="G4660" s="320"/>
    </row>
    <row r="4661" spans="3:7">
      <c r="C4661" s="319"/>
      <c r="D4661" s="319"/>
      <c r="G4661" s="320"/>
    </row>
    <row r="4662" spans="3:4">
      <c r="C4662" s="319"/>
      <c r="D4662" s="319"/>
    </row>
    <row r="4663" spans="3:7">
      <c r="C4663" s="319"/>
      <c r="D4663" s="319"/>
      <c r="G4663" s="320"/>
    </row>
    <row r="4664" spans="3:4">
      <c r="C4664" s="319"/>
      <c r="D4664" s="319"/>
    </row>
    <row r="4665" spans="3:7">
      <c r="C4665" s="319"/>
      <c r="D4665" s="319"/>
      <c r="G4665" s="320"/>
    </row>
    <row r="4666" spans="3:7">
      <c r="C4666" s="319"/>
      <c r="D4666" s="319"/>
      <c r="G4666" s="320"/>
    </row>
    <row r="4667" spans="3:4">
      <c r="C4667" s="319"/>
      <c r="D4667" s="319"/>
    </row>
    <row r="4668" spans="3:7">
      <c r="C4668" s="319"/>
      <c r="D4668" s="319"/>
      <c r="G4668" s="320"/>
    </row>
    <row r="4669" spans="3:7">
      <c r="C4669" s="319"/>
      <c r="D4669" s="319"/>
      <c r="G4669" s="320"/>
    </row>
    <row r="4670" spans="3:7">
      <c r="C4670" s="319"/>
      <c r="D4670" s="319"/>
      <c r="G4670" s="320"/>
    </row>
    <row r="4671" spans="3:7">
      <c r="C4671" s="319"/>
      <c r="D4671" s="319"/>
      <c r="G4671" s="320"/>
    </row>
    <row r="4672" spans="3:7">
      <c r="C4672" s="319"/>
      <c r="D4672" s="319"/>
      <c r="G4672" s="320"/>
    </row>
    <row r="4673" spans="3:7">
      <c r="C4673" s="319"/>
      <c r="D4673" s="319"/>
      <c r="G4673" s="320"/>
    </row>
    <row r="4674" spans="3:7">
      <c r="C4674" s="319"/>
      <c r="D4674" s="319"/>
      <c r="G4674" s="320"/>
    </row>
    <row r="4675" spans="3:7">
      <c r="C4675" s="319"/>
      <c r="D4675" s="319"/>
      <c r="G4675" s="320"/>
    </row>
    <row r="4676" spans="3:4">
      <c r="C4676" s="319"/>
      <c r="D4676" s="319"/>
    </row>
    <row r="4677" spans="3:7">
      <c r="C4677" s="319"/>
      <c r="D4677" s="319"/>
      <c r="G4677" s="320"/>
    </row>
    <row r="4678" spans="3:4">
      <c r="C4678" s="319"/>
      <c r="D4678" s="319"/>
    </row>
    <row r="4679" spans="3:4">
      <c r="C4679" s="319"/>
      <c r="D4679" s="319"/>
    </row>
    <row r="4680" spans="3:7">
      <c r="C4680" s="319"/>
      <c r="D4680" s="319"/>
      <c r="G4680" s="320"/>
    </row>
    <row r="4681" spans="3:4">
      <c r="C4681" s="319"/>
      <c r="D4681" s="319"/>
    </row>
    <row r="4682" spans="3:7">
      <c r="C4682" s="319"/>
      <c r="D4682" s="319"/>
      <c r="G4682" s="320"/>
    </row>
    <row r="4683" spans="3:4">
      <c r="C4683" s="319"/>
      <c r="D4683" s="319"/>
    </row>
    <row r="4684" spans="3:7">
      <c r="C4684" s="319"/>
      <c r="D4684" s="319"/>
      <c r="G4684" s="320"/>
    </row>
    <row r="4685" spans="3:7">
      <c r="C4685" s="319"/>
      <c r="D4685" s="319"/>
      <c r="G4685" s="320"/>
    </row>
    <row r="4686" spans="3:7">
      <c r="C4686" s="319"/>
      <c r="D4686" s="319"/>
      <c r="G4686" s="320"/>
    </row>
    <row r="4687" spans="3:7">
      <c r="C4687" s="319"/>
      <c r="D4687" s="319"/>
      <c r="G4687" s="320"/>
    </row>
    <row r="4688" spans="3:7">
      <c r="C4688" s="319"/>
      <c r="D4688" s="319"/>
      <c r="G4688" s="320"/>
    </row>
    <row r="4689" spans="3:7">
      <c r="C4689" s="319"/>
      <c r="D4689" s="319"/>
      <c r="G4689" s="320"/>
    </row>
    <row r="4690" spans="3:4">
      <c r="C4690" s="319"/>
      <c r="D4690" s="319"/>
    </row>
    <row r="4691" spans="3:7">
      <c r="C4691" s="319"/>
      <c r="D4691" s="319"/>
      <c r="G4691" s="320"/>
    </row>
    <row r="4692" spans="3:7">
      <c r="C4692" s="319"/>
      <c r="D4692" s="319"/>
      <c r="G4692" s="320"/>
    </row>
    <row r="4693" spans="3:7">
      <c r="C4693" s="319"/>
      <c r="D4693" s="319"/>
      <c r="G4693" s="320"/>
    </row>
    <row r="4694" spans="3:4">
      <c r="C4694" s="319"/>
      <c r="D4694" s="319"/>
    </row>
    <row r="4695" spans="3:7">
      <c r="C4695" s="319"/>
      <c r="D4695" s="319"/>
      <c r="G4695" s="320"/>
    </row>
    <row r="4696" spans="3:7">
      <c r="C4696" s="319"/>
      <c r="D4696" s="319"/>
      <c r="G4696" s="320"/>
    </row>
    <row r="4697" spans="3:7">
      <c r="C4697" s="319"/>
      <c r="D4697" s="319"/>
      <c r="G4697" s="320"/>
    </row>
    <row r="4698" spans="3:7">
      <c r="C4698" s="319"/>
      <c r="D4698" s="319"/>
      <c r="G4698" s="320"/>
    </row>
    <row r="4699" spans="3:4">
      <c r="C4699" s="319"/>
      <c r="D4699" s="319"/>
    </row>
    <row r="4700" spans="3:7">
      <c r="C4700" s="319"/>
      <c r="D4700" s="319"/>
      <c r="G4700" s="320"/>
    </row>
    <row r="4701" spans="3:7">
      <c r="C4701" s="319"/>
      <c r="D4701" s="319"/>
      <c r="G4701" s="320"/>
    </row>
    <row r="4702" spans="3:7">
      <c r="C4702" s="319"/>
      <c r="D4702" s="319"/>
      <c r="G4702" s="320"/>
    </row>
    <row r="4703" spans="3:7">
      <c r="C4703" s="319"/>
      <c r="D4703" s="319"/>
      <c r="G4703" s="320"/>
    </row>
    <row r="4704" spans="3:4">
      <c r="C4704" s="319"/>
      <c r="D4704" s="319"/>
    </row>
    <row r="4705" spans="3:4">
      <c r="C4705" s="319"/>
      <c r="D4705" s="319"/>
    </row>
    <row r="4706" spans="3:7">
      <c r="C4706" s="319"/>
      <c r="D4706" s="319"/>
      <c r="G4706" s="320"/>
    </row>
    <row r="4707" spans="3:7">
      <c r="C4707" s="319"/>
      <c r="D4707" s="319"/>
      <c r="G4707" s="320"/>
    </row>
    <row r="4708" spans="3:7">
      <c r="C4708" s="319"/>
      <c r="D4708" s="319"/>
      <c r="G4708" s="320"/>
    </row>
    <row r="4709" spans="3:7">
      <c r="C4709" s="319"/>
      <c r="D4709" s="319"/>
      <c r="G4709" s="320"/>
    </row>
    <row r="4710" spans="3:4">
      <c r="C4710" s="319"/>
      <c r="D4710" s="319"/>
    </row>
    <row r="4711" spans="3:7">
      <c r="C4711" s="319"/>
      <c r="D4711" s="319"/>
      <c r="G4711" s="320"/>
    </row>
    <row r="4712" spans="3:7">
      <c r="C4712" s="319"/>
      <c r="D4712" s="319"/>
      <c r="G4712" s="320"/>
    </row>
    <row r="4713" spans="3:7">
      <c r="C4713" s="319"/>
      <c r="D4713" s="319"/>
      <c r="G4713" s="320"/>
    </row>
    <row r="4714" spans="3:7">
      <c r="C4714" s="319"/>
      <c r="D4714" s="319"/>
      <c r="G4714" s="320"/>
    </row>
    <row r="4715" spans="3:7">
      <c r="C4715" s="319"/>
      <c r="D4715" s="319"/>
      <c r="G4715" s="320"/>
    </row>
    <row r="4716" spans="3:7">
      <c r="C4716" s="319"/>
      <c r="D4716" s="319"/>
      <c r="G4716" s="320"/>
    </row>
    <row r="4717" spans="3:4">
      <c r="C4717" s="319"/>
      <c r="D4717" s="319"/>
    </row>
    <row r="4718" spans="3:4">
      <c r="C4718" s="319"/>
      <c r="D4718" s="319"/>
    </row>
    <row r="4719" spans="3:7">
      <c r="C4719" s="319"/>
      <c r="D4719" s="319"/>
      <c r="G4719" s="320"/>
    </row>
    <row r="4720" spans="3:4">
      <c r="C4720" s="319"/>
      <c r="D4720" s="319"/>
    </row>
    <row r="4721" spans="3:7">
      <c r="C4721" s="319"/>
      <c r="D4721" s="319"/>
      <c r="G4721" s="320"/>
    </row>
    <row r="4722" spans="3:7">
      <c r="C4722" s="319"/>
      <c r="D4722" s="319"/>
      <c r="G4722" s="320"/>
    </row>
    <row r="4723" spans="3:7">
      <c r="C4723" s="319"/>
      <c r="D4723" s="319"/>
      <c r="G4723" s="320"/>
    </row>
    <row r="4724" spans="3:7">
      <c r="C4724" s="319"/>
      <c r="D4724" s="319"/>
      <c r="G4724" s="320"/>
    </row>
    <row r="4725" spans="3:4">
      <c r="C4725" s="319"/>
      <c r="D4725" s="319"/>
    </row>
    <row r="4726" spans="3:7">
      <c r="C4726" s="319"/>
      <c r="D4726" s="319"/>
      <c r="G4726" s="320"/>
    </row>
    <row r="4727" spans="3:7">
      <c r="C4727" s="319"/>
      <c r="D4727" s="319"/>
      <c r="G4727" s="320"/>
    </row>
    <row r="4728" spans="3:7">
      <c r="C4728" s="319"/>
      <c r="D4728" s="319"/>
      <c r="G4728" s="320"/>
    </row>
    <row r="4729" spans="3:4">
      <c r="C4729" s="319"/>
      <c r="D4729" s="319"/>
    </row>
    <row r="4730" spans="3:4">
      <c r="C4730" s="319"/>
      <c r="D4730" s="319"/>
    </row>
    <row r="4731" spans="3:7">
      <c r="C4731" s="319"/>
      <c r="D4731" s="319"/>
      <c r="G4731" s="320"/>
    </row>
    <row r="4732" spans="3:7">
      <c r="C4732" s="319"/>
      <c r="D4732" s="319"/>
      <c r="G4732" s="320"/>
    </row>
    <row r="4733" spans="3:7">
      <c r="C4733" s="319"/>
      <c r="D4733" s="319"/>
      <c r="G4733" s="320"/>
    </row>
    <row r="4734" spans="3:4">
      <c r="C4734" s="319"/>
      <c r="D4734" s="319"/>
    </row>
    <row r="4735" spans="3:4">
      <c r="C4735" s="319"/>
      <c r="D4735" s="319"/>
    </row>
    <row r="4736" spans="3:7">
      <c r="C4736" s="319"/>
      <c r="D4736" s="319"/>
      <c r="G4736" s="320"/>
    </row>
    <row r="4737" spans="3:4">
      <c r="C4737" s="319"/>
      <c r="D4737" s="319"/>
    </row>
    <row r="4738" spans="3:7">
      <c r="C4738" s="319"/>
      <c r="D4738" s="319"/>
      <c r="G4738" s="320"/>
    </row>
    <row r="4739" spans="3:7">
      <c r="C4739" s="319"/>
      <c r="D4739" s="319"/>
      <c r="G4739" s="320"/>
    </row>
    <row r="4740" spans="3:7">
      <c r="C4740" s="319"/>
      <c r="D4740" s="319"/>
      <c r="G4740" s="320"/>
    </row>
    <row r="4741" spans="3:4">
      <c r="C4741" s="319"/>
      <c r="D4741" s="319"/>
    </row>
    <row r="4742" spans="3:7">
      <c r="C4742" s="319"/>
      <c r="D4742" s="319"/>
      <c r="G4742" s="320"/>
    </row>
    <row r="4743" spans="3:7">
      <c r="C4743" s="319"/>
      <c r="D4743" s="319"/>
      <c r="G4743" s="320"/>
    </row>
    <row r="4744" spans="3:4">
      <c r="C4744" s="319"/>
      <c r="D4744" s="319"/>
    </row>
    <row r="4745" spans="3:4">
      <c r="C4745" s="319"/>
      <c r="D4745" s="319"/>
    </row>
    <row r="4746" spans="3:4">
      <c r="C4746" s="319"/>
      <c r="D4746" s="319"/>
    </row>
    <row r="4747" spans="3:4">
      <c r="C4747" s="319"/>
      <c r="D4747" s="319"/>
    </row>
    <row r="4748" spans="3:4">
      <c r="C4748" s="319"/>
      <c r="D4748" s="319"/>
    </row>
    <row r="4749" spans="3:7">
      <c r="C4749" s="319"/>
      <c r="D4749" s="319"/>
      <c r="G4749" s="320"/>
    </row>
    <row r="4750" spans="3:7">
      <c r="C4750" s="319"/>
      <c r="D4750" s="319"/>
      <c r="G4750" s="320"/>
    </row>
    <row r="4751" spans="3:4">
      <c r="C4751" s="319"/>
      <c r="D4751" s="319"/>
    </row>
    <row r="4752" spans="3:7">
      <c r="C4752" s="319"/>
      <c r="D4752" s="319"/>
      <c r="G4752" s="320"/>
    </row>
    <row r="4753" spans="3:7">
      <c r="C4753" s="319"/>
      <c r="D4753" s="319"/>
      <c r="G4753" s="320"/>
    </row>
    <row r="4754" spans="3:7">
      <c r="C4754" s="319"/>
      <c r="D4754" s="319"/>
      <c r="G4754" s="320"/>
    </row>
    <row r="4755" spans="3:4">
      <c r="C4755" s="319"/>
      <c r="D4755" s="319"/>
    </row>
    <row r="4756" spans="3:4">
      <c r="C4756" s="319"/>
      <c r="D4756" s="319"/>
    </row>
    <row r="4757" spans="3:7">
      <c r="C4757" s="319"/>
      <c r="D4757" s="319"/>
      <c r="G4757" s="320"/>
    </row>
    <row r="4758" spans="3:7">
      <c r="C4758" s="319"/>
      <c r="D4758" s="319"/>
      <c r="G4758" s="320"/>
    </row>
    <row r="4759" spans="3:4">
      <c r="C4759" s="319"/>
      <c r="D4759" s="319"/>
    </row>
    <row r="4760" spans="3:7">
      <c r="C4760" s="319"/>
      <c r="D4760" s="319"/>
      <c r="G4760" s="320"/>
    </row>
    <row r="4761" spans="3:7">
      <c r="C4761" s="319"/>
      <c r="D4761" s="319"/>
      <c r="G4761" s="320"/>
    </row>
    <row r="4762" spans="3:7">
      <c r="C4762" s="319"/>
      <c r="D4762" s="319"/>
      <c r="G4762" s="320"/>
    </row>
    <row r="4763" spans="3:4">
      <c r="C4763" s="319"/>
      <c r="D4763" s="319"/>
    </row>
    <row r="4764" spans="3:4">
      <c r="C4764" s="319"/>
      <c r="D4764" s="319"/>
    </row>
    <row r="4765" spans="3:7">
      <c r="C4765" s="319"/>
      <c r="D4765" s="319"/>
      <c r="G4765" s="320"/>
    </row>
    <row r="4766" spans="3:4">
      <c r="C4766" s="319"/>
      <c r="D4766" s="319"/>
    </row>
    <row r="4767" spans="3:4">
      <c r="C4767" s="319"/>
      <c r="D4767" s="319"/>
    </row>
    <row r="4768" spans="3:7">
      <c r="C4768" s="319"/>
      <c r="D4768" s="319"/>
      <c r="G4768" s="320"/>
    </row>
    <row r="4769" spans="3:4">
      <c r="C4769" s="319"/>
      <c r="D4769" s="319"/>
    </row>
    <row r="4770" spans="3:7">
      <c r="C4770" s="319"/>
      <c r="D4770" s="319"/>
      <c r="G4770" s="320"/>
    </row>
    <row r="4771" spans="3:7">
      <c r="C4771" s="319"/>
      <c r="D4771" s="319"/>
      <c r="G4771" s="320"/>
    </row>
    <row r="4772" spans="3:4">
      <c r="C4772" s="319"/>
      <c r="D4772" s="319"/>
    </row>
    <row r="4773" spans="3:4">
      <c r="C4773" s="319"/>
      <c r="D4773" s="319"/>
    </row>
    <row r="4774" spans="3:7">
      <c r="C4774" s="319"/>
      <c r="D4774" s="319"/>
      <c r="G4774" s="320"/>
    </row>
    <row r="4775" spans="3:7">
      <c r="C4775" s="319"/>
      <c r="D4775" s="319"/>
      <c r="G4775" s="320"/>
    </row>
    <row r="4776" spans="3:7">
      <c r="C4776" s="319"/>
      <c r="D4776" s="319"/>
      <c r="G4776" s="320"/>
    </row>
    <row r="4777" spans="3:4">
      <c r="C4777" s="319"/>
      <c r="D4777" s="319"/>
    </row>
    <row r="4778" spans="3:7">
      <c r="C4778" s="319"/>
      <c r="D4778" s="319"/>
      <c r="G4778" s="320"/>
    </row>
    <row r="4779" spans="3:7">
      <c r="C4779" s="319"/>
      <c r="D4779" s="319"/>
      <c r="G4779" s="320"/>
    </row>
    <row r="4780" spans="3:7">
      <c r="C4780" s="319"/>
      <c r="D4780" s="319"/>
      <c r="G4780" s="320"/>
    </row>
    <row r="4781" spans="3:7">
      <c r="C4781" s="319"/>
      <c r="D4781" s="319"/>
      <c r="G4781" s="320"/>
    </row>
    <row r="4782" spans="3:7">
      <c r="C4782" s="319"/>
      <c r="D4782" s="319"/>
      <c r="G4782" s="320"/>
    </row>
    <row r="4783" spans="3:4">
      <c r="C4783" s="319"/>
      <c r="D4783" s="319"/>
    </row>
    <row r="4784" spans="3:7">
      <c r="C4784" s="319"/>
      <c r="D4784" s="319"/>
      <c r="G4784" s="320"/>
    </row>
    <row r="4785" spans="3:7">
      <c r="C4785" s="319"/>
      <c r="D4785" s="319"/>
      <c r="G4785" s="320"/>
    </row>
    <row r="4786" spans="3:4">
      <c r="C4786" s="319"/>
      <c r="D4786" s="319"/>
    </row>
    <row r="4787" spans="3:7">
      <c r="C4787" s="319"/>
      <c r="D4787" s="319"/>
      <c r="G4787" s="320"/>
    </row>
    <row r="4788" spans="3:7">
      <c r="C4788" s="319"/>
      <c r="D4788" s="319"/>
      <c r="G4788" s="320"/>
    </row>
    <row r="4789" spans="3:7">
      <c r="C4789" s="319"/>
      <c r="D4789" s="319"/>
      <c r="G4789" s="320"/>
    </row>
    <row r="4790" spans="3:7">
      <c r="C4790" s="319"/>
      <c r="D4790" s="319"/>
      <c r="G4790" s="320"/>
    </row>
    <row r="4791" spans="3:7">
      <c r="C4791" s="319"/>
      <c r="D4791" s="319"/>
      <c r="G4791" s="320"/>
    </row>
    <row r="4792" spans="3:7">
      <c r="C4792" s="319"/>
      <c r="D4792" s="319"/>
      <c r="G4792" s="320"/>
    </row>
    <row r="4793" spans="3:4">
      <c r="C4793" s="319"/>
      <c r="D4793" s="319"/>
    </row>
    <row r="4794" spans="3:7">
      <c r="C4794" s="319"/>
      <c r="D4794" s="319"/>
      <c r="G4794" s="320"/>
    </row>
    <row r="4795" spans="3:7">
      <c r="C4795" s="319"/>
      <c r="D4795" s="319"/>
      <c r="G4795" s="320"/>
    </row>
    <row r="4796" spans="3:7">
      <c r="C4796" s="319"/>
      <c r="D4796" s="319"/>
      <c r="G4796" s="320"/>
    </row>
    <row r="4797" spans="3:7">
      <c r="C4797" s="319"/>
      <c r="D4797" s="319"/>
      <c r="G4797" s="320"/>
    </row>
    <row r="4798" spans="3:7">
      <c r="C4798" s="319"/>
      <c r="D4798" s="319"/>
      <c r="G4798" s="320"/>
    </row>
    <row r="4799" spans="3:7">
      <c r="C4799" s="319"/>
      <c r="D4799" s="319"/>
      <c r="G4799" s="320"/>
    </row>
    <row r="4800" spans="3:4">
      <c r="C4800" s="319"/>
      <c r="D4800" s="319"/>
    </row>
    <row r="4801" spans="3:4">
      <c r="C4801" s="319"/>
      <c r="D4801" s="319"/>
    </row>
    <row r="4802" spans="3:4">
      <c r="C4802" s="319"/>
      <c r="D4802" s="319"/>
    </row>
    <row r="4803" spans="3:7">
      <c r="C4803" s="319"/>
      <c r="D4803" s="319"/>
      <c r="G4803" s="320"/>
    </row>
    <row r="4804" spans="3:7">
      <c r="C4804" s="319"/>
      <c r="D4804" s="319"/>
      <c r="G4804" s="320"/>
    </row>
    <row r="4805" spans="3:7">
      <c r="C4805" s="319"/>
      <c r="D4805" s="319"/>
      <c r="G4805" s="320"/>
    </row>
    <row r="4806" spans="3:7">
      <c r="C4806" s="319"/>
      <c r="D4806" s="319"/>
      <c r="G4806" s="320"/>
    </row>
    <row r="4807" spans="3:7">
      <c r="C4807" s="319"/>
      <c r="D4807" s="319"/>
      <c r="G4807" s="320"/>
    </row>
    <row r="4808" spans="3:4">
      <c r="C4808" s="319"/>
      <c r="D4808" s="319"/>
    </row>
    <row r="4809" spans="3:7">
      <c r="C4809" s="319"/>
      <c r="D4809" s="319"/>
      <c r="G4809" s="320"/>
    </row>
    <row r="4810" spans="3:7">
      <c r="C4810" s="319"/>
      <c r="D4810" s="319"/>
      <c r="G4810" s="320"/>
    </row>
    <row r="4811" spans="3:7">
      <c r="C4811" s="319"/>
      <c r="D4811" s="319"/>
      <c r="G4811" s="320"/>
    </row>
    <row r="4812" spans="3:7">
      <c r="C4812" s="319"/>
      <c r="D4812" s="319"/>
      <c r="G4812" s="320"/>
    </row>
    <row r="4813" spans="3:7">
      <c r="C4813" s="319"/>
      <c r="D4813" s="319"/>
      <c r="G4813" s="320"/>
    </row>
    <row r="4814" spans="3:7">
      <c r="C4814" s="319"/>
      <c r="D4814" s="319"/>
      <c r="G4814" s="320"/>
    </row>
    <row r="4815" spans="3:4">
      <c r="C4815" s="319"/>
      <c r="D4815" s="319"/>
    </row>
    <row r="4816" spans="3:4">
      <c r="C4816" s="319"/>
      <c r="D4816" s="319"/>
    </row>
    <row r="4817" spans="3:7">
      <c r="C4817" s="319"/>
      <c r="D4817" s="319"/>
      <c r="G4817" s="320"/>
    </row>
    <row r="4818" spans="3:7">
      <c r="C4818" s="319"/>
      <c r="D4818" s="319"/>
      <c r="G4818" s="320"/>
    </row>
    <row r="4819" spans="3:4">
      <c r="C4819" s="319"/>
      <c r="D4819" s="319"/>
    </row>
    <row r="4820" spans="3:4">
      <c r="C4820" s="319"/>
      <c r="D4820" s="319"/>
    </row>
    <row r="4821" spans="3:4">
      <c r="C4821" s="319"/>
      <c r="D4821" s="319"/>
    </row>
    <row r="4822" spans="3:7">
      <c r="C4822" s="319"/>
      <c r="D4822" s="319"/>
      <c r="G4822" s="320"/>
    </row>
    <row r="4823" spans="3:7">
      <c r="C4823" s="319"/>
      <c r="D4823" s="319"/>
      <c r="G4823" s="320"/>
    </row>
    <row r="4824" spans="3:4">
      <c r="C4824" s="319"/>
      <c r="D4824" s="319"/>
    </row>
    <row r="4825" spans="3:7">
      <c r="C4825" s="319"/>
      <c r="D4825" s="319"/>
      <c r="G4825" s="320"/>
    </row>
    <row r="4826" spans="3:7">
      <c r="C4826" s="319"/>
      <c r="D4826" s="319"/>
      <c r="G4826" s="320"/>
    </row>
    <row r="4827" spans="3:7">
      <c r="C4827" s="319"/>
      <c r="D4827" s="319"/>
      <c r="G4827" s="320"/>
    </row>
    <row r="4828" spans="3:7">
      <c r="C4828" s="319"/>
      <c r="D4828" s="319"/>
      <c r="G4828" s="320"/>
    </row>
    <row r="4829" spans="3:7">
      <c r="C4829" s="319"/>
      <c r="D4829" s="319"/>
      <c r="G4829" s="320"/>
    </row>
    <row r="4830" spans="3:7">
      <c r="C4830" s="319"/>
      <c r="D4830" s="319"/>
      <c r="G4830" s="320"/>
    </row>
    <row r="4831" spans="3:4">
      <c r="C4831" s="319"/>
      <c r="D4831" s="319"/>
    </row>
    <row r="4832" spans="3:7">
      <c r="C4832" s="319"/>
      <c r="D4832" s="319"/>
      <c r="G4832" s="320"/>
    </row>
    <row r="4833" spans="3:7">
      <c r="C4833" s="319"/>
      <c r="D4833" s="319"/>
      <c r="G4833" s="320"/>
    </row>
    <row r="4834" spans="3:7">
      <c r="C4834" s="319"/>
      <c r="D4834" s="319"/>
      <c r="G4834" s="320"/>
    </row>
    <row r="4835" spans="3:7">
      <c r="C4835" s="319"/>
      <c r="D4835" s="319"/>
      <c r="G4835" s="320"/>
    </row>
    <row r="4836" spans="3:7">
      <c r="C4836" s="319"/>
      <c r="D4836" s="319"/>
      <c r="G4836" s="320"/>
    </row>
    <row r="4837" spans="3:7">
      <c r="C4837" s="319"/>
      <c r="D4837" s="319"/>
      <c r="G4837" s="320"/>
    </row>
    <row r="4838" spans="3:7">
      <c r="C4838" s="319"/>
      <c r="D4838" s="319"/>
      <c r="G4838" s="320"/>
    </row>
    <row r="4839" spans="3:4">
      <c r="C4839" s="319"/>
      <c r="D4839" s="319"/>
    </row>
    <row r="4840" spans="3:7">
      <c r="C4840" s="319"/>
      <c r="D4840" s="319"/>
      <c r="G4840" s="320"/>
    </row>
    <row r="4841" spans="3:4">
      <c r="C4841" s="319"/>
      <c r="D4841" s="319"/>
    </row>
    <row r="4842" spans="3:7">
      <c r="C4842" s="319"/>
      <c r="D4842" s="319"/>
      <c r="G4842" s="320"/>
    </row>
    <row r="4843" spans="3:7">
      <c r="C4843" s="319"/>
      <c r="D4843" s="319"/>
      <c r="G4843" s="320"/>
    </row>
    <row r="4844" spans="3:4">
      <c r="C4844" s="319"/>
      <c r="D4844" s="319"/>
    </row>
    <row r="4845" spans="3:7">
      <c r="C4845" s="319"/>
      <c r="D4845" s="319"/>
      <c r="G4845" s="320"/>
    </row>
    <row r="4846" spans="3:4">
      <c r="C4846" s="319"/>
      <c r="D4846" s="319"/>
    </row>
    <row r="4847" spans="3:7">
      <c r="C4847" s="319"/>
      <c r="D4847" s="319"/>
      <c r="G4847" s="320"/>
    </row>
    <row r="4848" spans="3:4">
      <c r="C4848" s="319"/>
      <c r="D4848" s="319"/>
    </row>
    <row r="4849" spans="3:4">
      <c r="C4849" s="319"/>
      <c r="D4849" s="319"/>
    </row>
    <row r="4850" spans="3:7">
      <c r="C4850" s="319"/>
      <c r="D4850" s="319"/>
      <c r="G4850" s="320"/>
    </row>
    <row r="4851" spans="3:4">
      <c r="C4851" s="319"/>
      <c r="D4851" s="319"/>
    </row>
    <row r="4852" spans="3:4">
      <c r="C4852" s="319"/>
      <c r="D4852" s="319"/>
    </row>
    <row r="4853" spans="3:7">
      <c r="C4853" s="319"/>
      <c r="D4853" s="319"/>
      <c r="G4853" s="320"/>
    </row>
    <row r="4854" spans="3:7">
      <c r="C4854" s="319"/>
      <c r="D4854" s="319"/>
      <c r="G4854" s="320"/>
    </row>
    <row r="4855" spans="3:7">
      <c r="C4855" s="319"/>
      <c r="D4855" s="319"/>
      <c r="G4855" s="320"/>
    </row>
    <row r="4856" spans="3:4">
      <c r="C4856" s="319"/>
      <c r="D4856" s="319"/>
    </row>
    <row r="4857" spans="3:7">
      <c r="C4857" s="319"/>
      <c r="D4857" s="319"/>
      <c r="G4857" s="320"/>
    </row>
    <row r="4858" spans="3:7">
      <c r="C4858" s="319"/>
      <c r="D4858" s="319"/>
      <c r="G4858" s="320"/>
    </row>
    <row r="4859" spans="3:4">
      <c r="C4859" s="319"/>
      <c r="D4859" s="319"/>
    </row>
    <row r="4860" spans="3:4">
      <c r="C4860" s="319"/>
      <c r="D4860" s="319"/>
    </row>
    <row r="4861" spans="3:7">
      <c r="C4861" s="319"/>
      <c r="D4861" s="319"/>
      <c r="G4861" s="320"/>
    </row>
    <row r="4862" spans="3:4">
      <c r="C4862" s="319"/>
      <c r="D4862" s="319"/>
    </row>
    <row r="4863" spans="3:7">
      <c r="C4863" s="319"/>
      <c r="D4863" s="319"/>
      <c r="G4863" s="320"/>
    </row>
    <row r="4864" spans="3:7">
      <c r="C4864" s="319"/>
      <c r="D4864" s="319"/>
      <c r="G4864" s="320"/>
    </row>
    <row r="4865" spans="3:4">
      <c r="C4865" s="319"/>
      <c r="D4865" s="319"/>
    </row>
    <row r="4866" spans="3:7">
      <c r="C4866" s="319"/>
      <c r="D4866" s="319"/>
      <c r="G4866" s="320"/>
    </row>
    <row r="4867" spans="3:4">
      <c r="C4867" s="319"/>
      <c r="D4867" s="319"/>
    </row>
    <row r="4868" spans="3:7">
      <c r="C4868" s="319"/>
      <c r="D4868" s="319"/>
      <c r="G4868" s="320"/>
    </row>
    <row r="4869" spans="3:4">
      <c r="C4869" s="319"/>
      <c r="D4869" s="319"/>
    </row>
    <row r="4870" spans="3:4">
      <c r="C4870" s="319"/>
      <c r="D4870" s="319"/>
    </row>
    <row r="4871" spans="3:4">
      <c r="C4871" s="319"/>
      <c r="D4871" s="319"/>
    </row>
    <row r="4872" spans="3:7">
      <c r="C4872" s="319"/>
      <c r="D4872" s="319"/>
      <c r="G4872" s="320"/>
    </row>
    <row r="4873" spans="3:7">
      <c r="C4873" s="319"/>
      <c r="D4873" s="319"/>
      <c r="G4873" s="320"/>
    </row>
    <row r="4874" spans="3:7">
      <c r="C4874" s="319"/>
      <c r="D4874" s="319"/>
      <c r="G4874" s="320"/>
    </row>
    <row r="4875" spans="3:7">
      <c r="C4875" s="319"/>
      <c r="D4875" s="319"/>
      <c r="G4875" s="320"/>
    </row>
    <row r="4876" spans="3:4">
      <c r="C4876" s="319"/>
      <c r="D4876" s="319"/>
    </row>
    <row r="4877" spans="3:4">
      <c r="C4877" s="319"/>
      <c r="D4877" s="319"/>
    </row>
    <row r="4878" spans="3:4">
      <c r="C4878" s="319"/>
      <c r="D4878" s="319"/>
    </row>
    <row r="4879" spans="3:7">
      <c r="C4879" s="319"/>
      <c r="D4879" s="319"/>
      <c r="G4879" s="320"/>
    </row>
    <row r="4880" spans="3:7">
      <c r="C4880" s="319"/>
      <c r="D4880" s="319"/>
      <c r="G4880" s="320"/>
    </row>
    <row r="4881" spans="3:7">
      <c r="C4881" s="319"/>
      <c r="D4881" s="319"/>
      <c r="G4881" s="320"/>
    </row>
    <row r="4882" spans="3:7">
      <c r="C4882" s="319"/>
      <c r="D4882" s="319"/>
      <c r="G4882" s="320"/>
    </row>
    <row r="4883" spans="3:7">
      <c r="C4883" s="319"/>
      <c r="D4883" s="319"/>
      <c r="G4883" s="320"/>
    </row>
    <row r="4884" spans="3:7">
      <c r="C4884" s="319"/>
      <c r="D4884" s="319"/>
      <c r="G4884" s="320"/>
    </row>
    <row r="4885" spans="3:7">
      <c r="C4885" s="319"/>
      <c r="D4885" s="319"/>
      <c r="G4885" s="320"/>
    </row>
    <row r="4886" spans="3:4">
      <c r="C4886" s="319"/>
      <c r="D4886" s="319"/>
    </row>
    <row r="4887" spans="3:7">
      <c r="C4887" s="319"/>
      <c r="D4887" s="319"/>
      <c r="G4887" s="320"/>
    </row>
    <row r="4888" spans="3:4">
      <c r="C4888" s="319"/>
      <c r="D4888" s="319"/>
    </row>
    <row r="4889" spans="3:7">
      <c r="C4889" s="319"/>
      <c r="D4889" s="319"/>
      <c r="G4889" s="320"/>
    </row>
    <row r="4890" spans="3:7">
      <c r="C4890" s="319"/>
      <c r="D4890" s="319"/>
      <c r="G4890" s="320"/>
    </row>
    <row r="4891" spans="3:7">
      <c r="C4891" s="319"/>
      <c r="D4891" s="319"/>
      <c r="G4891" s="320"/>
    </row>
    <row r="4892" spans="3:4">
      <c r="C4892" s="319"/>
      <c r="D4892" s="319"/>
    </row>
    <row r="4893" spans="3:7">
      <c r="C4893" s="319"/>
      <c r="D4893" s="319"/>
      <c r="G4893" s="320"/>
    </row>
    <row r="4894" spans="3:7">
      <c r="C4894" s="319"/>
      <c r="D4894" s="319"/>
      <c r="G4894" s="320"/>
    </row>
    <row r="4895" spans="3:4">
      <c r="C4895" s="319"/>
      <c r="D4895" s="319"/>
    </row>
    <row r="4896" spans="3:4">
      <c r="C4896" s="319"/>
      <c r="D4896" s="319"/>
    </row>
    <row r="4897" spans="3:7">
      <c r="C4897" s="319"/>
      <c r="D4897" s="319"/>
      <c r="G4897" s="320"/>
    </row>
    <row r="4898" spans="3:7">
      <c r="C4898" s="319"/>
      <c r="D4898" s="319"/>
      <c r="G4898" s="320"/>
    </row>
    <row r="4899" spans="3:4">
      <c r="C4899" s="319"/>
      <c r="D4899" s="319"/>
    </row>
    <row r="4900" spans="3:7">
      <c r="C4900" s="319"/>
      <c r="D4900" s="319"/>
      <c r="G4900" s="320"/>
    </row>
    <row r="4901" spans="3:7">
      <c r="C4901" s="319"/>
      <c r="D4901" s="319"/>
      <c r="G4901" s="320"/>
    </row>
    <row r="4902" spans="3:7">
      <c r="C4902" s="319"/>
      <c r="D4902" s="319"/>
      <c r="G4902" s="320"/>
    </row>
    <row r="4903" spans="3:7">
      <c r="C4903" s="319"/>
      <c r="D4903" s="319"/>
      <c r="G4903" s="320"/>
    </row>
    <row r="4904" spans="3:7">
      <c r="C4904" s="319"/>
      <c r="D4904" s="319"/>
      <c r="G4904" s="320"/>
    </row>
    <row r="4905" spans="3:4">
      <c r="C4905" s="319"/>
      <c r="D4905" s="319"/>
    </row>
    <row r="4906" spans="3:7">
      <c r="C4906" s="319"/>
      <c r="D4906" s="319"/>
      <c r="G4906" s="320"/>
    </row>
    <row r="4907" spans="3:4">
      <c r="C4907" s="319"/>
      <c r="D4907" s="319"/>
    </row>
    <row r="4908" spans="3:4">
      <c r="C4908" s="319"/>
      <c r="D4908" s="319"/>
    </row>
    <row r="4909" spans="3:7">
      <c r="C4909" s="319"/>
      <c r="D4909" s="319"/>
      <c r="G4909" s="320"/>
    </row>
    <row r="4910" spans="3:4">
      <c r="C4910" s="319"/>
      <c r="D4910" s="319"/>
    </row>
    <row r="4911" spans="3:7">
      <c r="C4911" s="319"/>
      <c r="D4911" s="319"/>
      <c r="G4911" s="320"/>
    </row>
    <row r="4912" spans="3:7">
      <c r="C4912" s="319"/>
      <c r="D4912" s="319"/>
      <c r="G4912" s="320"/>
    </row>
    <row r="4913" spans="3:7">
      <c r="C4913" s="319"/>
      <c r="D4913" s="319"/>
      <c r="G4913" s="320"/>
    </row>
    <row r="4914" spans="3:7">
      <c r="C4914" s="319"/>
      <c r="D4914" s="319"/>
      <c r="G4914" s="320"/>
    </row>
    <row r="4915" spans="3:7">
      <c r="C4915" s="319"/>
      <c r="D4915" s="319"/>
      <c r="G4915" s="320"/>
    </row>
    <row r="4916" spans="3:4">
      <c r="C4916" s="319"/>
      <c r="D4916" s="319"/>
    </row>
    <row r="4917" spans="3:7">
      <c r="C4917" s="319"/>
      <c r="D4917" s="319"/>
      <c r="G4917" s="320"/>
    </row>
    <row r="4918" spans="3:7">
      <c r="C4918" s="319"/>
      <c r="D4918" s="319"/>
      <c r="G4918" s="320"/>
    </row>
    <row r="4919" spans="3:4">
      <c r="C4919" s="319"/>
      <c r="D4919" s="319"/>
    </row>
    <row r="4920" spans="3:4">
      <c r="C4920" s="319"/>
      <c r="D4920" s="319"/>
    </row>
    <row r="4921" spans="3:7">
      <c r="C4921" s="319"/>
      <c r="D4921" s="319"/>
      <c r="G4921" s="320"/>
    </row>
    <row r="4922" spans="3:7">
      <c r="C4922" s="319"/>
      <c r="D4922" s="319"/>
      <c r="G4922" s="320"/>
    </row>
    <row r="4923" spans="3:7">
      <c r="C4923" s="319"/>
      <c r="D4923" s="319"/>
      <c r="G4923" s="320"/>
    </row>
    <row r="4924" spans="3:7">
      <c r="C4924" s="319"/>
      <c r="D4924" s="319"/>
      <c r="G4924" s="320"/>
    </row>
    <row r="4925" spans="3:7">
      <c r="C4925" s="319"/>
      <c r="D4925" s="319"/>
      <c r="G4925" s="320"/>
    </row>
    <row r="4926" spans="3:7">
      <c r="C4926" s="319"/>
      <c r="D4926" s="319"/>
      <c r="G4926" s="320"/>
    </row>
    <row r="4927" spans="3:7">
      <c r="C4927" s="319"/>
      <c r="D4927" s="319"/>
      <c r="G4927" s="320"/>
    </row>
    <row r="4928" spans="3:7">
      <c r="C4928" s="319"/>
      <c r="D4928" s="319"/>
      <c r="G4928" s="320"/>
    </row>
    <row r="4929" spans="3:7">
      <c r="C4929" s="319"/>
      <c r="D4929" s="319"/>
      <c r="G4929" s="320"/>
    </row>
    <row r="4930" spans="3:4">
      <c r="C4930" s="319"/>
      <c r="D4930" s="319"/>
    </row>
    <row r="4931" spans="3:7">
      <c r="C4931" s="319"/>
      <c r="D4931" s="319"/>
      <c r="G4931" s="320"/>
    </row>
    <row r="4932" spans="3:7">
      <c r="C4932" s="319"/>
      <c r="D4932" s="319"/>
      <c r="G4932" s="320"/>
    </row>
    <row r="4933" spans="3:4">
      <c r="C4933" s="319"/>
      <c r="D4933" s="319"/>
    </row>
    <row r="4934" spans="3:4">
      <c r="C4934" s="319"/>
      <c r="D4934" s="319"/>
    </row>
    <row r="4935" spans="3:4">
      <c r="C4935" s="319"/>
      <c r="D4935" s="319"/>
    </row>
    <row r="4936" spans="3:7">
      <c r="C4936" s="319"/>
      <c r="D4936" s="319"/>
      <c r="G4936" s="320"/>
    </row>
    <row r="4937" spans="3:4">
      <c r="C4937" s="319"/>
      <c r="D4937" s="319"/>
    </row>
    <row r="4938" spans="3:7">
      <c r="C4938" s="319"/>
      <c r="D4938" s="319"/>
      <c r="G4938" s="320"/>
    </row>
    <row r="4939" spans="3:7">
      <c r="C4939" s="319"/>
      <c r="D4939" s="319"/>
      <c r="G4939" s="320"/>
    </row>
    <row r="4940" spans="3:7">
      <c r="C4940" s="319"/>
      <c r="D4940" s="319"/>
      <c r="G4940" s="320"/>
    </row>
    <row r="4941" spans="3:7">
      <c r="C4941" s="319"/>
      <c r="D4941" s="319"/>
      <c r="G4941" s="320"/>
    </row>
    <row r="4942" spans="3:7">
      <c r="C4942" s="319"/>
      <c r="D4942" s="319"/>
      <c r="G4942" s="320"/>
    </row>
    <row r="4943" spans="3:7">
      <c r="C4943" s="319"/>
      <c r="D4943" s="319"/>
      <c r="G4943" s="320"/>
    </row>
    <row r="4944" spans="3:7">
      <c r="C4944" s="319"/>
      <c r="D4944" s="319"/>
      <c r="G4944" s="320"/>
    </row>
    <row r="4945" spans="3:4">
      <c r="C4945" s="319"/>
      <c r="D4945" s="319"/>
    </row>
    <row r="4946" spans="3:7">
      <c r="C4946" s="319"/>
      <c r="D4946" s="319"/>
      <c r="G4946" s="320"/>
    </row>
    <row r="4947" spans="3:7">
      <c r="C4947" s="319"/>
      <c r="D4947" s="319"/>
      <c r="G4947" s="320"/>
    </row>
    <row r="4948" spans="3:7">
      <c r="C4948" s="319"/>
      <c r="D4948" s="319"/>
      <c r="G4948" s="320"/>
    </row>
    <row r="4949" spans="3:7">
      <c r="C4949" s="319"/>
      <c r="D4949" s="319"/>
      <c r="G4949" s="320"/>
    </row>
    <row r="4950" spans="3:7">
      <c r="C4950" s="319"/>
      <c r="D4950" s="319"/>
      <c r="G4950" s="320"/>
    </row>
    <row r="4951" spans="3:7">
      <c r="C4951" s="319"/>
      <c r="D4951" s="319"/>
      <c r="G4951" s="320"/>
    </row>
    <row r="4952" spans="3:7">
      <c r="C4952" s="319"/>
      <c r="D4952" s="319"/>
      <c r="G4952" s="320"/>
    </row>
    <row r="4953" spans="3:7">
      <c r="C4953" s="319"/>
      <c r="D4953" s="319"/>
      <c r="G4953" s="320"/>
    </row>
    <row r="4954" spans="3:7">
      <c r="C4954" s="319"/>
      <c r="D4954" s="319"/>
      <c r="G4954" s="320"/>
    </row>
    <row r="4955" spans="3:4">
      <c r="C4955" s="319"/>
      <c r="D4955" s="319"/>
    </row>
    <row r="4956" spans="3:7">
      <c r="C4956" s="319"/>
      <c r="D4956" s="319"/>
      <c r="G4956" s="320"/>
    </row>
    <row r="4957" spans="3:4">
      <c r="C4957" s="319"/>
      <c r="D4957" s="319"/>
    </row>
    <row r="4958" spans="3:4">
      <c r="C4958" s="319"/>
      <c r="D4958" s="319"/>
    </row>
    <row r="4959" spans="3:7">
      <c r="C4959" s="319"/>
      <c r="D4959" s="319"/>
      <c r="G4959" s="320"/>
    </row>
    <row r="4960" spans="3:7">
      <c r="C4960" s="319"/>
      <c r="D4960" s="319"/>
      <c r="G4960" s="320"/>
    </row>
    <row r="4961" spans="3:7">
      <c r="C4961" s="319"/>
      <c r="D4961" s="319"/>
      <c r="G4961" s="320"/>
    </row>
    <row r="4962" spans="3:4">
      <c r="C4962" s="319"/>
      <c r="D4962" s="319"/>
    </row>
    <row r="4963" spans="3:7">
      <c r="C4963" s="319"/>
      <c r="D4963" s="319"/>
      <c r="G4963" s="320"/>
    </row>
    <row r="4964" spans="3:7">
      <c r="C4964" s="319"/>
      <c r="D4964" s="319"/>
      <c r="G4964" s="320"/>
    </row>
    <row r="4965" spans="3:7">
      <c r="C4965" s="319"/>
      <c r="D4965" s="319"/>
      <c r="G4965" s="320"/>
    </row>
    <row r="4966" spans="3:7">
      <c r="C4966" s="319"/>
      <c r="D4966" s="319"/>
      <c r="G4966" s="320"/>
    </row>
    <row r="4967" spans="3:7">
      <c r="C4967" s="319"/>
      <c r="D4967" s="319"/>
      <c r="G4967" s="320"/>
    </row>
    <row r="4968" spans="3:7">
      <c r="C4968" s="319"/>
      <c r="D4968" s="319"/>
      <c r="G4968" s="320"/>
    </row>
    <row r="4969" spans="3:4">
      <c r="C4969" s="319"/>
      <c r="D4969" s="319"/>
    </row>
    <row r="4970" spans="3:7">
      <c r="C4970" s="319"/>
      <c r="D4970" s="319"/>
      <c r="G4970" s="320"/>
    </row>
    <row r="4971" spans="3:4">
      <c r="C4971" s="319"/>
      <c r="D4971" s="319"/>
    </row>
    <row r="4972" spans="3:7">
      <c r="C4972" s="319"/>
      <c r="D4972" s="319"/>
      <c r="G4972" s="320"/>
    </row>
    <row r="4973" spans="3:4">
      <c r="C4973" s="319"/>
      <c r="D4973" s="319"/>
    </row>
    <row r="4974" spans="3:7">
      <c r="C4974" s="319"/>
      <c r="D4974" s="319"/>
      <c r="G4974" s="320"/>
    </row>
    <row r="4975" spans="3:7">
      <c r="C4975" s="319"/>
      <c r="D4975" s="319"/>
      <c r="G4975" s="320"/>
    </row>
    <row r="4976" spans="3:7">
      <c r="C4976" s="319"/>
      <c r="D4976" s="319"/>
      <c r="G4976" s="320"/>
    </row>
    <row r="4977" spans="3:7">
      <c r="C4977" s="319"/>
      <c r="D4977" s="319"/>
      <c r="G4977" s="320"/>
    </row>
    <row r="4978" spans="3:4">
      <c r="C4978" s="319"/>
      <c r="D4978" s="319"/>
    </row>
    <row r="4979" spans="3:7">
      <c r="C4979" s="319"/>
      <c r="D4979" s="319"/>
      <c r="G4979" s="320"/>
    </row>
    <row r="4980" spans="3:4">
      <c r="C4980" s="319"/>
      <c r="D4980" s="319"/>
    </row>
    <row r="4981" spans="3:7">
      <c r="C4981" s="319"/>
      <c r="D4981" s="319"/>
      <c r="G4981" s="320"/>
    </row>
    <row r="4982" spans="3:7">
      <c r="C4982" s="319"/>
      <c r="D4982" s="319"/>
      <c r="G4982" s="320"/>
    </row>
    <row r="4983" spans="3:7">
      <c r="C4983" s="319"/>
      <c r="D4983" s="319"/>
      <c r="G4983" s="320"/>
    </row>
    <row r="4984" spans="3:4">
      <c r="C4984" s="319"/>
      <c r="D4984" s="319"/>
    </row>
    <row r="4985" spans="3:7">
      <c r="C4985" s="319"/>
      <c r="D4985" s="319"/>
      <c r="G4985" s="320"/>
    </row>
    <row r="4986" spans="3:7">
      <c r="C4986" s="319"/>
      <c r="D4986" s="319"/>
      <c r="G4986" s="320"/>
    </row>
    <row r="4987" spans="3:4">
      <c r="C4987" s="319"/>
      <c r="D4987" s="319"/>
    </row>
    <row r="4988" spans="3:7">
      <c r="C4988" s="319"/>
      <c r="D4988" s="319"/>
      <c r="G4988" s="320"/>
    </row>
    <row r="4989" spans="3:7">
      <c r="C4989" s="319"/>
      <c r="D4989" s="319"/>
      <c r="G4989" s="320"/>
    </row>
    <row r="4990" spans="3:7">
      <c r="C4990" s="319"/>
      <c r="D4990" s="319"/>
      <c r="G4990" s="320"/>
    </row>
    <row r="4991" spans="3:7">
      <c r="C4991" s="319"/>
      <c r="D4991" s="319"/>
      <c r="G4991" s="320"/>
    </row>
    <row r="4992" spans="3:7">
      <c r="C4992" s="319"/>
      <c r="D4992" s="319"/>
      <c r="G4992" s="320"/>
    </row>
    <row r="4993" spans="3:7">
      <c r="C4993" s="319"/>
      <c r="D4993" s="319"/>
      <c r="G4993" s="320"/>
    </row>
    <row r="4994" spans="3:4">
      <c r="C4994" s="319"/>
      <c r="D4994" s="319"/>
    </row>
    <row r="4995" spans="3:7">
      <c r="C4995" s="319"/>
      <c r="D4995" s="319"/>
      <c r="G4995" s="320"/>
    </row>
    <row r="4996" spans="3:7">
      <c r="C4996" s="319"/>
      <c r="D4996" s="319"/>
      <c r="G4996" s="320"/>
    </row>
    <row r="4997" spans="3:4">
      <c r="C4997" s="319"/>
      <c r="D4997" s="319"/>
    </row>
    <row r="4998" spans="3:7">
      <c r="C4998" s="319"/>
      <c r="D4998" s="319"/>
      <c r="G4998" s="320"/>
    </row>
    <row r="4999" spans="3:7">
      <c r="C4999" s="319"/>
      <c r="D4999" s="319"/>
      <c r="G4999" s="320"/>
    </row>
    <row r="5000" spans="3:4">
      <c r="C5000" s="319"/>
      <c r="D5000" s="319"/>
    </row>
    <row r="5001" spans="3:4">
      <c r="C5001" s="319"/>
      <c r="D5001" s="319"/>
    </row>
    <row r="5002" spans="3:7">
      <c r="C5002" s="319"/>
      <c r="D5002" s="319"/>
      <c r="G5002" s="320"/>
    </row>
    <row r="5003" spans="3:7">
      <c r="C5003" s="319"/>
      <c r="D5003" s="319"/>
      <c r="G5003" s="320"/>
    </row>
    <row r="5004" spans="3:7">
      <c r="C5004" s="319"/>
      <c r="D5004" s="319"/>
      <c r="G5004" s="320"/>
    </row>
    <row r="5005" spans="3:7">
      <c r="C5005" s="319"/>
      <c r="D5005" s="319"/>
      <c r="G5005" s="320"/>
    </row>
    <row r="5006" spans="3:7">
      <c r="C5006" s="319"/>
      <c r="D5006" s="319"/>
      <c r="G5006" s="320"/>
    </row>
    <row r="5007" spans="3:4">
      <c r="C5007" s="319"/>
      <c r="D5007" s="319"/>
    </row>
    <row r="5008" spans="3:7">
      <c r="C5008" s="319"/>
      <c r="D5008" s="319"/>
      <c r="G5008" s="320"/>
    </row>
    <row r="5009" spans="3:7">
      <c r="C5009" s="319"/>
      <c r="D5009" s="319"/>
      <c r="G5009" s="320"/>
    </row>
    <row r="5010" spans="3:7">
      <c r="C5010" s="319"/>
      <c r="D5010" s="319"/>
      <c r="G5010" s="320"/>
    </row>
    <row r="5011" spans="3:7">
      <c r="C5011" s="319"/>
      <c r="D5011" s="319"/>
      <c r="G5011" s="320"/>
    </row>
    <row r="5012" spans="3:4">
      <c r="C5012" s="319"/>
      <c r="D5012" s="319"/>
    </row>
    <row r="5013" spans="3:4">
      <c r="C5013" s="319"/>
      <c r="D5013" s="319"/>
    </row>
    <row r="5014" spans="3:7">
      <c r="C5014" s="319"/>
      <c r="D5014" s="319"/>
      <c r="G5014" s="320"/>
    </row>
    <row r="5015" spans="3:7">
      <c r="C5015" s="319"/>
      <c r="D5015" s="319"/>
      <c r="G5015" s="320"/>
    </row>
    <row r="5016" spans="3:7">
      <c r="C5016" s="319"/>
      <c r="D5016" s="319"/>
      <c r="G5016" s="320"/>
    </row>
    <row r="5017" spans="3:7">
      <c r="C5017" s="319"/>
      <c r="D5017" s="319"/>
      <c r="G5017" s="320"/>
    </row>
    <row r="5018" spans="3:7">
      <c r="C5018" s="319"/>
      <c r="D5018" s="319"/>
      <c r="G5018" s="320"/>
    </row>
    <row r="5019" spans="3:7">
      <c r="C5019" s="319"/>
      <c r="D5019" s="319"/>
      <c r="G5019" s="320"/>
    </row>
    <row r="5020" spans="3:4">
      <c r="C5020" s="319"/>
      <c r="D5020" s="319"/>
    </row>
    <row r="5021" spans="3:7">
      <c r="C5021" s="319"/>
      <c r="D5021" s="319"/>
      <c r="G5021" s="320"/>
    </row>
    <row r="5022" spans="3:4">
      <c r="C5022" s="319"/>
      <c r="D5022" s="319"/>
    </row>
    <row r="5023" spans="3:7">
      <c r="C5023" s="319"/>
      <c r="D5023" s="319"/>
      <c r="G5023" s="320"/>
    </row>
    <row r="5024" spans="3:4">
      <c r="C5024" s="319"/>
      <c r="D5024" s="319"/>
    </row>
    <row r="5025" spans="3:7">
      <c r="C5025" s="319"/>
      <c r="D5025" s="319"/>
      <c r="G5025" s="320"/>
    </row>
    <row r="5026" spans="3:4">
      <c r="C5026" s="319"/>
      <c r="D5026" s="319"/>
    </row>
    <row r="5027" spans="3:7">
      <c r="C5027" s="319"/>
      <c r="D5027" s="319"/>
      <c r="G5027" s="320"/>
    </row>
    <row r="5028" spans="3:4">
      <c r="C5028" s="319"/>
      <c r="D5028" s="319"/>
    </row>
    <row r="5029" spans="3:7">
      <c r="C5029" s="319"/>
      <c r="D5029" s="319"/>
      <c r="G5029" s="320"/>
    </row>
    <row r="5030" spans="3:7">
      <c r="C5030" s="319"/>
      <c r="D5030" s="319"/>
      <c r="G5030" s="320"/>
    </row>
    <row r="5031" spans="3:7">
      <c r="C5031" s="319"/>
      <c r="D5031" s="319"/>
      <c r="G5031" s="320"/>
    </row>
    <row r="5032" spans="3:7">
      <c r="C5032" s="319"/>
      <c r="D5032" s="319"/>
      <c r="G5032" s="320"/>
    </row>
    <row r="5033" spans="3:4">
      <c r="C5033" s="319"/>
      <c r="D5033" s="319"/>
    </row>
    <row r="5034" spans="3:4">
      <c r="C5034" s="319"/>
      <c r="D5034" s="319"/>
    </row>
    <row r="5035" spans="3:7">
      <c r="C5035" s="319"/>
      <c r="D5035" s="319"/>
      <c r="G5035" s="320"/>
    </row>
    <row r="5036" spans="3:7">
      <c r="C5036" s="319"/>
      <c r="D5036" s="319"/>
      <c r="G5036" s="320"/>
    </row>
    <row r="5037" spans="3:7">
      <c r="C5037" s="319"/>
      <c r="D5037" s="319"/>
      <c r="G5037" s="320"/>
    </row>
    <row r="5038" spans="3:7">
      <c r="C5038" s="319"/>
      <c r="D5038" s="319"/>
      <c r="G5038" s="320"/>
    </row>
    <row r="5039" spans="3:4">
      <c r="C5039" s="319"/>
      <c r="D5039" s="319"/>
    </row>
    <row r="5040" spans="3:7">
      <c r="C5040" s="319"/>
      <c r="D5040" s="319"/>
      <c r="G5040" s="320"/>
    </row>
    <row r="5041" spans="3:7">
      <c r="C5041" s="319"/>
      <c r="D5041" s="319"/>
      <c r="G5041" s="320"/>
    </row>
    <row r="5042" spans="3:7">
      <c r="C5042" s="319"/>
      <c r="D5042" s="319"/>
      <c r="G5042" s="320"/>
    </row>
    <row r="5043" spans="3:7">
      <c r="C5043" s="319"/>
      <c r="D5043" s="319"/>
      <c r="G5043" s="320"/>
    </row>
    <row r="5044" spans="3:7">
      <c r="C5044" s="319"/>
      <c r="D5044" s="319"/>
      <c r="G5044" s="320"/>
    </row>
    <row r="5045" spans="3:7">
      <c r="C5045" s="319"/>
      <c r="D5045" s="319"/>
      <c r="G5045" s="320"/>
    </row>
    <row r="5046" spans="3:4">
      <c r="C5046" s="319"/>
      <c r="D5046" s="319"/>
    </row>
    <row r="5047" spans="3:7">
      <c r="C5047" s="319"/>
      <c r="D5047" s="319"/>
      <c r="G5047" s="320"/>
    </row>
    <row r="5048" spans="3:7">
      <c r="C5048" s="319"/>
      <c r="D5048" s="319"/>
      <c r="G5048" s="320"/>
    </row>
    <row r="5049" spans="3:7">
      <c r="C5049" s="319"/>
      <c r="D5049" s="319"/>
      <c r="G5049" s="320"/>
    </row>
    <row r="5050" spans="3:7">
      <c r="C5050" s="319"/>
      <c r="D5050" s="319"/>
      <c r="G5050" s="320"/>
    </row>
    <row r="5051" spans="3:7">
      <c r="C5051" s="319"/>
      <c r="D5051" s="319"/>
      <c r="G5051" s="320"/>
    </row>
    <row r="5052" spans="3:7">
      <c r="C5052" s="319"/>
      <c r="D5052" s="319"/>
      <c r="G5052" s="320"/>
    </row>
    <row r="5053" spans="3:7">
      <c r="C5053" s="319"/>
      <c r="D5053" s="319"/>
      <c r="G5053" s="320"/>
    </row>
    <row r="5054" spans="3:4">
      <c r="C5054" s="319"/>
      <c r="D5054" s="319"/>
    </row>
    <row r="5055" spans="3:7">
      <c r="C5055" s="319"/>
      <c r="D5055" s="319"/>
      <c r="G5055" s="320"/>
    </row>
    <row r="5056" spans="3:4">
      <c r="C5056" s="319"/>
      <c r="D5056" s="319"/>
    </row>
    <row r="5057" spans="3:7">
      <c r="C5057" s="319"/>
      <c r="D5057" s="319"/>
      <c r="G5057" s="320"/>
    </row>
    <row r="5058" spans="3:7">
      <c r="C5058" s="319"/>
      <c r="D5058" s="319"/>
      <c r="G5058" s="320"/>
    </row>
    <row r="5059" spans="3:7">
      <c r="C5059" s="319"/>
      <c r="D5059" s="319"/>
      <c r="G5059" s="320"/>
    </row>
    <row r="5060" spans="3:4">
      <c r="C5060" s="319"/>
      <c r="D5060" s="319"/>
    </row>
    <row r="5061" spans="3:7">
      <c r="C5061" s="319"/>
      <c r="D5061" s="319"/>
      <c r="G5061" s="320"/>
    </row>
    <row r="5062" spans="3:4">
      <c r="C5062" s="319"/>
      <c r="D5062" s="319"/>
    </row>
    <row r="5063" spans="3:7">
      <c r="C5063" s="319"/>
      <c r="D5063" s="319"/>
      <c r="G5063" s="320"/>
    </row>
    <row r="5064" spans="3:4">
      <c r="C5064" s="319"/>
      <c r="D5064" s="319"/>
    </row>
    <row r="5065" spans="3:7">
      <c r="C5065" s="319"/>
      <c r="D5065" s="319"/>
      <c r="G5065" s="320"/>
    </row>
    <row r="5066" spans="3:7">
      <c r="C5066" s="319"/>
      <c r="D5066" s="319"/>
      <c r="G5066" s="320"/>
    </row>
    <row r="5067" spans="3:7">
      <c r="C5067" s="319"/>
      <c r="D5067" s="319"/>
      <c r="G5067" s="320"/>
    </row>
    <row r="5068" spans="3:4">
      <c r="C5068" s="319"/>
      <c r="D5068" s="319"/>
    </row>
    <row r="5069" spans="3:4">
      <c r="C5069" s="319"/>
      <c r="D5069" s="319"/>
    </row>
    <row r="5070" spans="3:7">
      <c r="C5070" s="319"/>
      <c r="D5070" s="319"/>
      <c r="G5070" s="320"/>
    </row>
    <row r="5071" spans="3:7">
      <c r="C5071" s="319"/>
      <c r="D5071" s="319"/>
      <c r="G5071" s="320"/>
    </row>
    <row r="5072" spans="3:7">
      <c r="C5072" s="319"/>
      <c r="D5072" s="319"/>
      <c r="G5072" s="320"/>
    </row>
    <row r="5073" spans="3:7">
      <c r="C5073" s="319"/>
      <c r="D5073" s="319"/>
      <c r="G5073" s="320"/>
    </row>
    <row r="5074" spans="3:4">
      <c r="C5074" s="319"/>
      <c r="D5074" s="319"/>
    </row>
    <row r="5075" spans="3:7">
      <c r="C5075" s="319"/>
      <c r="D5075" s="319"/>
      <c r="G5075" s="320"/>
    </row>
    <row r="5076" spans="3:4">
      <c r="C5076" s="319"/>
      <c r="D5076" s="319"/>
    </row>
    <row r="5077" spans="3:7">
      <c r="C5077" s="319"/>
      <c r="D5077" s="319"/>
      <c r="G5077" s="320"/>
    </row>
    <row r="5078" spans="3:7">
      <c r="C5078" s="319"/>
      <c r="D5078" s="319"/>
      <c r="G5078" s="320"/>
    </row>
    <row r="5079" spans="3:4">
      <c r="C5079" s="319"/>
      <c r="D5079" s="319"/>
    </row>
    <row r="5080" spans="3:4">
      <c r="C5080" s="319"/>
      <c r="D5080" s="319"/>
    </row>
    <row r="5081" spans="3:7">
      <c r="C5081" s="319"/>
      <c r="D5081" s="319"/>
      <c r="G5081" s="320"/>
    </row>
    <row r="5082" spans="3:4">
      <c r="C5082" s="319"/>
      <c r="D5082" s="319"/>
    </row>
    <row r="5083" spans="3:7">
      <c r="C5083" s="319"/>
      <c r="D5083" s="319"/>
      <c r="G5083" s="320"/>
    </row>
    <row r="5084" spans="3:4">
      <c r="C5084" s="319"/>
      <c r="D5084" s="319"/>
    </row>
    <row r="5085" spans="3:7">
      <c r="C5085" s="319"/>
      <c r="D5085" s="319"/>
      <c r="G5085" s="320"/>
    </row>
    <row r="5086" spans="3:7">
      <c r="C5086" s="319"/>
      <c r="D5086" s="319"/>
      <c r="G5086" s="320"/>
    </row>
    <row r="5087" spans="3:4">
      <c r="C5087" s="319"/>
      <c r="D5087" s="319"/>
    </row>
    <row r="5088" spans="3:4">
      <c r="C5088" s="319"/>
      <c r="D5088" s="319"/>
    </row>
    <row r="5089" spans="3:7">
      <c r="C5089" s="319"/>
      <c r="D5089" s="319"/>
      <c r="G5089" s="320"/>
    </row>
    <row r="5090" spans="3:7">
      <c r="C5090" s="319"/>
      <c r="D5090" s="319"/>
      <c r="G5090" s="320"/>
    </row>
    <row r="5091" spans="3:4">
      <c r="C5091" s="319"/>
      <c r="D5091" s="319"/>
    </row>
    <row r="5092" spans="3:7">
      <c r="C5092" s="319"/>
      <c r="D5092" s="319"/>
      <c r="G5092" s="320"/>
    </row>
    <row r="5093" spans="3:7">
      <c r="C5093" s="319"/>
      <c r="D5093" s="319"/>
      <c r="G5093" s="320"/>
    </row>
    <row r="5094" spans="3:4">
      <c r="C5094" s="319"/>
      <c r="D5094" s="319"/>
    </row>
    <row r="5095" spans="3:7">
      <c r="C5095" s="319"/>
      <c r="D5095" s="319"/>
      <c r="G5095" s="320"/>
    </row>
    <row r="5096" spans="3:4">
      <c r="C5096" s="319"/>
      <c r="D5096" s="319"/>
    </row>
    <row r="5097" spans="3:7">
      <c r="C5097" s="319"/>
      <c r="D5097" s="319"/>
      <c r="G5097" s="320"/>
    </row>
    <row r="5098" spans="3:4">
      <c r="C5098" s="319"/>
      <c r="D5098" s="319"/>
    </row>
    <row r="5099" spans="3:7">
      <c r="C5099" s="319"/>
      <c r="D5099" s="319"/>
      <c r="G5099" s="320"/>
    </row>
    <row r="5100" spans="3:7">
      <c r="C5100" s="319"/>
      <c r="D5100" s="319"/>
      <c r="G5100" s="320"/>
    </row>
    <row r="5101" spans="3:7">
      <c r="C5101" s="319"/>
      <c r="D5101" s="319"/>
      <c r="G5101" s="320"/>
    </row>
    <row r="5102" spans="3:4">
      <c r="C5102" s="319"/>
      <c r="D5102" s="319"/>
    </row>
    <row r="5103" spans="3:7">
      <c r="C5103" s="319"/>
      <c r="D5103" s="319"/>
      <c r="G5103" s="320"/>
    </row>
    <row r="5104" spans="3:4">
      <c r="C5104" s="319"/>
      <c r="D5104" s="319"/>
    </row>
    <row r="5105" spans="3:7">
      <c r="C5105" s="319"/>
      <c r="D5105" s="319"/>
      <c r="G5105" s="320"/>
    </row>
    <row r="5106" spans="3:7">
      <c r="C5106" s="319"/>
      <c r="D5106" s="319"/>
      <c r="G5106" s="320"/>
    </row>
    <row r="5107" spans="3:4">
      <c r="C5107" s="319"/>
      <c r="D5107" s="319"/>
    </row>
    <row r="5108" spans="3:7">
      <c r="C5108" s="319"/>
      <c r="D5108" s="319"/>
      <c r="G5108" s="320"/>
    </row>
    <row r="5109" spans="3:4">
      <c r="C5109" s="319"/>
      <c r="D5109" s="319"/>
    </row>
    <row r="5110" spans="3:4">
      <c r="C5110" s="319"/>
      <c r="D5110" s="319"/>
    </row>
    <row r="5111" spans="3:4">
      <c r="C5111" s="319"/>
      <c r="D5111" s="319"/>
    </row>
    <row r="5112" spans="3:7">
      <c r="C5112" s="319"/>
      <c r="D5112" s="319"/>
      <c r="G5112" s="320"/>
    </row>
    <row r="5113" spans="3:7">
      <c r="C5113" s="319"/>
      <c r="D5113" s="319"/>
      <c r="G5113" s="320"/>
    </row>
    <row r="5114" spans="3:4">
      <c r="C5114" s="319"/>
      <c r="D5114" s="319"/>
    </row>
    <row r="5115" spans="3:7">
      <c r="C5115" s="319"/>
      <c r="D5115" s="319"/>
      <c r="G5115" s="320"/>
    </row>
    <row r="5116" spans="3:7">
      <c r="C5116" s="319"/>
      <c r="D5116" s="319"/>
      <c r="G5116" s="320"/>
    </row>
    <row r="5117" spans="3:7">
      <c r="C5117" s="319"/>
      <c r="D5117" s="319"/>
      <c r="G5117" s="320"/>
    </row>
    <row r="5118" spans="3:4">
      <c r="C5118" s="319"/>
      <c r="D5118" s="319"/>
    </row>
    <row r="5119" spans="3:7">
      <c r="C5119" s="319"/>
      <c r="D5119" s="319"/>
      <c r="G5119" s="320"/>
    </row>
    <row r="5120" spans="3:7">
      <c r="C5120" s="319"/>
      <c r="D5120" s="319"/>
      <c r="G5120" s="320"/>
    </row>
    <row r="5121" spans="3:7">
      <c r="C5121" s="319"/>
      <c r="D5121" s="319"/>
      <c r="G5121" s="320"/>
    </row>
    <row r="5122" spans="3:7">
      <c r="C5122" s="319"/>
      <c r="D5122" s="319"/>
      <c r="G5122" s="320"/>
    </row>
    <row r="5123" spans="3:7">
      <c r="C5123" s="319"/>
      <c r="D5123" s="319"/>
      <c r="G5123" s="320"/>
    </row>
    <row r="5124" spans="3:4">
      <c r="C5124" s="319"/>
      <c r="D5124" s="319"/>
    </row>
    <row r="5125" spans="3:7">
      <c r="C5125" s="319"/>
      <c r="D5125" s="319"/>
      <c r="G5125" s="320"/>
    </row>
    <row r="5126" spans="3:7">
      <c r="C5126" s="319"/>
      <c r="D5126" s="319"/>
      <c r="G5126" s="320"/>
    </row>
    <row r="5127" spans="3:4">
      <c r="C5127" s="319"/>
      <c r="D5127" s="319"/>
    </row>
    <row r="5128" spans="3:4">
      <c r="C5128" s="319"/>
      <c r="D5128" s="319"/>
    </row>
    <row r="5129" spans="3:7">
      <c r="C5129" s="319"/>
      <c r="D5129" s="319"/>
      <c r="G5129" s="320"/>
    </row>
    <row r="5130" spans="3:7">
      <c r="C5130" s="319"/>
      <c r="D5130" s="319"/>
      <c r="G5130" s="320"/>
    </row>
    <row r="5131" spans="3:4">
      <c r="C5131" s="319"/>
      <c r="D5131" s="319"/>
    </row>
    <row r="5132" spans="3:7">
      <c r="C5132" s="319"/>
      <c r="D5132" s="319"/>
      <c r="G5132" s="320"/>
    </row>
    <row r="5133" spans="3:4">
      <c r="C5133" s="319"/>
      <c r="D5133" s="319"/>
    </row>
    <row r="5134" spans="3:7">
      <c r="C5134" s="319"/>
      <c r="D5134" s="319"/>
      <c r="G5134" s="320"/>
    </row>
    <row r="5135" spans="3:7">
      <c r="C5135" s="319"/>
      <c r="D5135" s="319"/>
      <c r="G5135" s="320"/>
    </row>
    <row r="5136" spans="3:4">
      <c r="C5136" s="319"/>
      <c r="D5136" s="319"/>
    </row>
    <row r="5137" spans="3:4">
      <c r="C5137" s="319"/>
      <c r="D5137" s="319"/>
    </row>
    <row r="5138" spans="3:4">
      <c r="C5138" s="319"/>
      <c r="D5138" s="319"/>
    </row>
    <row r="5139" spans="3:4">
      <c r="C5139" s="319"/>
      <c r="D5139" s="319"/>
    </row>
    <row r="5140" spans="3:7">
      <c r="C5140" s="319"/>
      <c r="D5140" s="319"/>
      <c r="G5140" s="320"/>
    </row>
    <row r="5141" spans="3:7">
      <c r="C5141" s="319"/>
      <c r="D5141" s="319"/>
      <c r="G5141" s="320"/>
    </row>
    <row r="5142" spans="3:7">
      <c r="C5142" s="319"/>
      <c r="D5142" s="319"/>
      <c r="G5142" s="320"/>
    </row>
    <row r="5143" spans="3:4">
      <c r="C5143" s="319"/>
      <c r="D5143" s="319"/>
    </row>
    <row r="5144" spans="3:7">
      <c r="C5144" s="319"/>
      <c r="D5144" s="319"/>
      <c r="G5144" s="320"/>
    </row>
    <row r="5145" spans="3:7">
      <c r="C5145" s="319"/>
      <c r="D5145" s="319"/>
      <c r="G5145" s="320"/>
    </row>
    <row r="5146" spans="3:7">
      <c r="C5146" s="319"/>
      <c r="D5146" s="319"/>
      <c r="G5146" s="320"/>
    </row>
    <row r="5147" spans="3:4">
      <c r="C5147" s="319"/>
      <c r="D5147" s="319"/>
    </row>
    <row r="5148" spans="3:4">
      <c r="C5148" s="319"/>
      <c r="D5148" s="319"/>
    </row>
    <row r="5149" spans="3:7">
      <c r="C5149" s="319"/>
      <c r="D5149" s="319"/>
      <c r="G5149" s="320"/>
    </row>
    <row r="5150" spans="3:4">
      <c r="C5150" s="319"/>
      <c r="D5150" s="319"/>
    </row>
    <row r="5151" spans="3:7">
      <c r="C5151" s="319"/>
      <c r="D5151" s="319"/>
      <c r="G5151" s="320"/>
    </row>
    <row r="5152" spans="3:4">
      <c r="C5152" s="319"/>
      <c r="D5152" s="319"/>
    </row>
    <row r="5153" spans="3:7">
      <c r="C5153" s="319"/>
      <c r="D5153" s="319"/>
      <c r="G5153" s="320"/>
    </row>
    <row r="5154" spans="3:4">
      <c r="C5154" s="319"/>
      <c r="D5154" s="319"/>
    </row>
    <row r="5155" spans="3:7">
      <c r="C5155" s="319"/>
      <c r="D5155" s="319"/>
      <c r="G5155" s="320"/>
    </row>
    <row r="5156" spans="3:7">
      <c r="C5156" s="319"/>
      <c r="D5156" s="319"/>
      <c r="G5156" s="320"/>
    </row>
    <row r="5157" spans="3:7">
      <c r="C5157" s="319"/>
      <c r="D5157" s="319"/>
      <c r="G5157" s="320"/>
    </row>
    <row r="5158" spans="3:7">
      <c r="C5158" s="319"/>
      <c r="D5158" s="319"/>
      <c r="G5158" s="320"/>
    </row>
    <row r="5159" spans="3:4">
      <c r="C5159" s="319"/>
      <c r="D5159" s="319"/>
    </row>
    <row r="5160" spans="3:7">
      <c r="C5160" s="319"/>
      <c r="D5160" s="319"/>
      <c r="G5160" s="320"/>
    </row>
    <row r="5161" spans="3:7">
      <c r="C5161" s="319"/>
      <c r="D5161" s="319"/>
      <c r="G5161" s="320"/>
    </row>
    <row r="5162" spans="3:7">
      <c r="C5162" s="319"/>
      <c r="D5162" s="319"/>
      <c r="G5162" s="320"/>
    </row>
    <row r="5163" spans="3:7">
      <c r="C5163" s="319"/>
      <c r="D5163" s="319"/>
      <c r="G5163" s="320"/>
    </row>
    <row r="5164" spans="3:4">
      <c r="C5164" s="319"/>
      <c r="D5164" s="319"/>
    </row>
    <row r="5165" spans="3:4">
      <c r="C5165" s="319"/>
      <c r="D5165" s="319"/>
    </row>
    <row r="5166" spans="3:7">
      <c r="C5166" s="319"/>
      <c r="D5166" s="319"/>
      <c r="G5166" s="320"/>
    </row>
    <row r="5167" spans="3:7">
      <c r="C5167" s="319"/>
      <c r="D5167" s="319"/>
      <c r="G5167" s="320"/>
    </row>
    <row r="5168" spans="3:4">
      <c r="C5168" s="319"/>
      <c r="D5168" s="319"/>
    </row>
    <row r="5169" spans="3:7">
      <c r="C5169" s="319"/>
      <c r="D5169" s="319"/>
      <c r="G5169" s="320"/>
    </row>
    <row r="5170" spans="3:4">
      <c r="C5170" s="319"/>
      <c r="D5170" s="319"/>
    </row>
    <row r="5171" spans="3:7">
      <c r="C5171" s="319"/>
      <c r="D5171" s="319"/>
      <c r="G5171" s="320"/>
    </row>
    <row r="5172" spans="3:7">
      <c r="C5172" s="319"/>
      <c r="D5172" s="319"/>
      <c r="G5172" s="320"/>
    </row>
    <row r="5173" spans="3:4">
      <c r="C5173" s="319"/>
      <c r="D5173" s="319"/>
    </row>
    <row r="5174" spans="3:7">
      <c r="C5174" s="319"/>
      <c r="D5174" s="319"/>
      <c r="G5174" s="320"/>
    </row>
    <row r="5175" spans="3:7">
      <c r="C5175" s="319"/>
      <c r="D5175" s="319"/>
      <c r="G5175" s="320"/>
    </row>
    <row r="5176" spans="3:7">
      <c r="C5176" s="319"/>
      <c r="D5176" s="319"/>
      <c r="G5176" s="320"/>
    </row>
    <row r="5177" spans="3:4">
      <c r="C5177" s="319"/>
      <c r="D5177" s="319"/>
    </row>
    <row r="5178" spans="3:7">
      <c r="C5178" s="319"/>
      <c r="D5178" s="319"/>
      <c r="G5178" s="320"/>
    </row>
    <row r="5179" spans="3:7">
      <c r="C5179" s="319"/>
      <c r="D5179" s="319"/>
      <c r="G5179" s="320"/>
    </row>
    <row r="5180" spans="3:7">
      <c r="C5180" s="319"/>
      <c r="D5180" s="319"/>
      <c r="G5180" s="320"/>
    </row>
    <row r="5181" spans="3:4">
      <c r="C5181" s="319"/>
      <c r="D5181" s="319"/>
    </row>
    <row r="5182" spans="3:7">
      <c r="C5182" s="319"/>
      <c r="D5182" s="319"/>
      <c r="G5182" s="320"/>
    </row>
    <row r="5183" spans="3:7">
      <c r="C5183" s="319"/>
      <c r="D5183" s="319"/>
      <c r="G5183" s="320"/>
    </row>
    <row r="5184" spans="3:7">
      <c r="C5184" s="319"/>
      <c r="D5184" s="319"/>
      <c r="G5184" s="320"/>
    </row>
    <row r="5185" spans="3:7">
      <c r="C5185" s="319"/>
      <c r="D5185" s="319"/>
      <c r="G5185" s="320"/>
    </row>
    <row r="5186" spans="3:7">
      <c r="C5186" s="319"/>
      <c r="D5186" s="319"/>
      <c r="G5186" s="320"/>
    </row>
    <row r="5187" spans="3:7">
      <c r="C5187" s="319"/>
      <c r="D5187" s="319"/>
      <c r="G5187" s="320"/>
    </row>
    <row r="5188" spans="3:7">
      <c r="C5188" s="319"/>
      <c r="D5188" s="319"/>
      <c r="G5188" s="320"/>
    </row>
    <row r="5189" spans="3:4">
      <c r="C5189" s="319"/>
      <c r="D5189" s="319"/>
    </row>
    <row r="5190" spans="3:7">
      <c r="C5190" s="319"/>
      <c r="D5190" s="319"/>
      <c r="G5190" s="320"/>
    </row>
    <row r="5191" spans="3:7">
      <c r="C5191" s="319"/>
      <c r="D5191" s="319"/>
      <c r="G5191" s="320"/>
    </row>
    <row r="5192" spans="3:7">
      <c r="C5192" s="319"/>
      <c r="D5192" s="319"/>
      <c r="G5192" s="320"/>
    </row>
    <row r="5193" spans="3:7">
      <c r="C5193" s="319"/>
      <c r="D5193" s="319"/>
      <c r="G5193" s="320"/>
    </row>
    <row r="5194" spans="3:7">
      <c r="C5194" s="319"/>
      <c r="D5194" s="319"/>
      <c r="G5194" s="320"/>
    </row>
    <row r="5195" spans="3:7">
      <c r="C5195" s="319"/>
      <c r="D5195" s="319"/>
      <c r="G5195" s="320"/>
    </row>
    <row r="5196" spans="3:7">
      <c r="C5196" s="319"/>
      <c r="D5196" s="319"/>
      <c r="G5196" s="320"/>
    </row>
    <row r="5197" spans="3:7">
      <c r="C5197" s="319"/>
      <c r="D5197" s="319"/>
      <c r="G5197" s="320"/>
    </row>
    <row r="5198" spans="3:7">
      <c r="C5198" s="319"/>
      <c r="D5198" s="319"/>
      <c r="G5198" s="320"/>
    </row>
    <row r="5199" spans="3:4">
      <c r="C5199" s="319"/>
      <c r="D5199" s="319"/>
    </row>
    <row r="5200" spans="3:7">
      <c r="C5200" s="319"/>
      <c r="D5200" s="319"/>
      <c r="G5200" s="320"/>
    </row>
    <row r="5201" spans="3:4">
      <c r="C5201" s="319"/>
      <c r="D5201" s="319"/>
    </row>
    <row r="5202" spans="3:7">
      <c r="C5202" s="319"/>
      <c r="D5202" s="319"/>
      <c r="G5202" s="320"/>
    </row>
    <row r="5203" spans="3:4">
      <c r="C5203" s="319"/>
      <c r="D5203" s="319"/>
    </row>
    <row r="5204" spans="3:4">
      <c r="C5204" s="319"/>
      <c r="D5204" s="319"/>
    </row>
    <row r="5205" spans="3:7">
      <c r="C5205" s="319"/>
      <c r="D5205" s="319"/>
      <c r="G5205" s="320"/>
    </row>
    <row r="5206" spans="3:7">
      <c r="C5206" s="319"/>
      <c r="D5206" s="319"/>
      <c r="G5206" s="320"/>
    </row>
    <row r="5207" spans="3:7">
      <c r="C5207" s="319"/>
      <c r="D5207" s="319"/>
      <c r="G5207" s="320"/>
    </row>
    <row r="5208" spans="3:7">
      <c r="C5208" s="319"/>
      <c r="D5208" s="319"/>
      <c r="G5208" s="320"/>
    </row>
    <row r="5209" spans="3:7">
      <c r="C5209" s="319"/>
      <c r="D5209" s="319"/>
      <c r="G5209" s="320"/>
    </row>
    <row r="5210" spans="3:4">
      <c r="C5210" s="319"/>
      <c r="D5210" s="319"/>
    </row>
    <row r="5211" spans="3:4">
      <c r="C5211" s="319"/>
      <c r="D5211" s="319"/>
    </row>
    <row r="5212" spans="3:7">
      <c r="C5212" s="319"/>
      <c r="D5212" s="319"/>
      <c r="G5212" s="320"/>
    </row>
    <row r="5213" spans="3:4">
      <c r="C5213" s="319"/>
      <c r="D5213" s="319"/>
    </row>
    <row r="5214" spans="3:7">
      <c r="C5214" s="319"/>
      <c r="D5214" s="319"/>
      <c r="G5214" s="320"/>
    </row>
    <row r="5215" spans="3:4">
      <c r="C5215" s="319"/>
      <c r="D5215" s="319"/>
    </row>
    <row r="5216" spans="3:4">
      <c r="C5216" s="319"/>
      <c r="D5216" s="319"/>
    </row>
    <row r="5217" spans="3:7">
      <c r="C5217" s="319"/>
      <c r="D5217" s="319"/>
      <c r="G5217" s="320"/>
    </row>
    <row r="5218" spans="3:7">
      <c r="C5218" s="319"/>
      <c r="D5218" s="319"/>
      <c r="G5218" s="320"/>
    </row>
    <row r="5219" spans="3:7">
      <c r="C5219" s="319"/>
      <c r="D5219" s="319"/>
      <c r="G5219" s="320"/>
    </row>
    <row r="5220" spans="3:7">
      <c r="C5220" s="319"/>
      <c r="D5220" s="319"/>
      <c r="G5220" s="320"/>
    </row>
    <row r="5221" spans="3:7">
      <c r="C5221" s="319"/>
      <c r="D5221" s="319"/>
      <c r="G5221" s="320"/>
    </row>
    <row r="5222" spans="3:7">
      <c r="C5222" s="319"/>
      <c r="D5222" s="319"/>
      <c r="G5222" s="320"/>
    </row>
    <row r="5223" spans="3:4">
      <c r="C5223" s="319"/>
      <c r="D5223" s="319"/>
    </row>
    <row r="5224" spans="3:7">
      <c r="C5224" s="319"/>
      <c r="D5224" s="319"/>
      <c r="G5224" s="320"/>
    </row>
    <row r="5225" spans="3:7">
      <c r="C5225" s="319"/>
      <c r="D5225" s="319"/>
      <c r="G5225" s="320"/>
    </row>
    <row r="5226" spans="3:7">
      <c r="C5226" s="319"/>
      <c r="D5226" s="319"/>
      <c r="G5226" s="320"/>
    </row>
    <row r="5227" spans="3:4">
      <c r="C5227" s="319"/>
      <c r="D5227" s="319"/>
    </row>
    <row r="5228" spans="3:4">
      <c r="C5228" s="319"/>
      <c r="D5228" s="319"/>
    </row>
    <row r="5229" spans="3:4">
      <c r="C5229" s="319"/>
      <c r="D5229" s="319"/>
    </row>
    <row r="5230" spans="3:7">
      <c r="C5230" s="319"/>
      <c r="D5230" s="319"/>
      <c r="G5230" s="320"/>
    </row>
    <row r="5231" spans="3:7">
      <c r="C5231" s="319"/>
      <c r="D5231" s="319"/>
      <c r="G5231" s="320"/>
    </row>
    <row r="5232" spans="3:7">
      <c r="C5232" s="319"/>
      <c r="D5232" s="319"/>
      <c r="G5232" s="320"/>
    </row>
    <row r="5233" spans="3:7">
      <c r="C5233" s="319"/>
      <c r="D5233" s="319"/>
      <c r="G5233" s="320"/>
    </row>
    <row r="5234" spans="3:7">
      <c r="C5234" s="319"/>
      <c r="D5234" s="319"/>
      <c r="G5234" s="320"/>
    </row>
    <row r="5235" spans="3:4">
      <c r="C5235" s="319"/>
      <c r="D5235" s="319"/>
    </row>
    <row r="5236" spans="3:7">
      <c r="C5236" s="319"/>
      <c r="D5236" s="319"/>
      <c r="G5236" s="320"/>
    </row>
    <row r="5237" spans="3:7">
      <c r="C5237" s="319"/>
      <c r="D5237" s="319"/>
      <c r="G5237" s="320"/>
    </row>
    <row r="5238" spans="3:7">
      <c r="C5238" s="319"/>
      <c r="D5238" s="319"/>
      <c r="G5238" s="320"/>
    </row>
    <row r="5239" spans="3:7">
      <c r="C5239" s="319"/>
      <c r="D5239" s="319"/>
      <c r="G5239" s="320"/>
    </row>
    <row r="5240" spans="3:4">
      <c r="C5240" s="319"/>
      <c r="D5240" s="319"/>
    </row>
    <row r="5241" spans="3:7">
      <c r="C5241" s="319"/>
      <c r="D5241" s="319"/>
      <c r="G5241" s="320"/>
    </row>
    <row r="5242" spans="3:4">
      <c r="C5242" s="319"/>
      <c r="D5242" s="319"/>
    </row>
    <row r="5243" spans="3:7">
      <c r="C5243" s="319"/>
      <c r="D5243" s="319"/>
      <c r="G5243" s="320"/>
    </row>
    <row r="5244" spans="3:4">
      <c r="C5244" s="319"/>
      <c r="D5244" s="319"/>
    </row>
    <row r="5245" spans="3:4">
      <c r="C5245" s="319"/>
      <c r="D5245" s="319"/>
    </row>
    <row r="5246" spans="3:4">
      <c r="C5246" s="319"/>
      <c r="D5246" s="319"/>
    </row>
    <row r="5247" spans="3:4">
      <c r="C5247" s="319"/>
      <c r="D5247" s="319"/>
    </row>
    <row r="5248" spans="3:4">
      <c r="C5248" s="319"/>
      <c r="D5248" s="319"/>
    </row>
    <row r="5249" spans="3:4">
      <c r="C5249" s="319"/>
      <c r="D5249" s="319"/>
    </row>
    <row r="5250" spans="3:4">
      <c r="C5250" s="319"/>
      <c r="D5250" s="319"/>
    </row>
    <row r="5251" spans="3:7">
      <c r="C5251" s="319"/>
      <c r="D5251" s="319"/>
      <c r="G5251" s="320"/>
    </row>
    <row r="5252" spans="3:7">
      <c r="C5252" s="319"/>
      <c r="D5252" s="319"/>
      <c r="G5252" s="320"/>
    </row>
    <row r="5253" spans="3:7">
      <c r="C5253" s="319"/>
      <c r="D5253" s="319"/>
      <c r="G5253" s="320"/>
    </row>
    <row r="5254" spans="3:7">
      <c r="C5254" s="319"/>
      <c r="D5254" s="319"/>
      <c r="G5254" s="320"/>
    </row>
    <row r="5255" spans="3:7">
      <c r="C5255" s="319"/>
      <c r="D5255" s="319"/>
      <c r="G5255" s="320"/>
    </row>
    <row r="5256" spans="3:4">
      <c r="C5256" s="319"/>
      <c r="D5256" s="319"/>
    </row>
    <row r="5257" spans="3:7">
      <c r="C5257" s="319"/>
      <c r="D5257" s="319"/>
      <c r="G5257" s="320"/>
    </row>
    <row r="5258" spans="3:7">
      <c r="C5258" s="319"/>
      <c r="D5258" s="319"/>
      <c r="G5258" s="320"/>
    </row>
    <row r="5259" spans="3:7">
      <c r="C5259" s="319"/>
      <c r="D5259" s="319"/>
      <c r="G5259" s="320"/>
    </row>
    <row r="5260" spans="3:7">
      <c r="C5260" s="319"/>
      <c r="D5260" s="319"/>
      <c r="G5260" s="320"/>
    </row>
    <row r="5261" spans="3:7">
      <c r="C5261" s="319"/>
      <c r="D5261" s="319"/>
      <c r="G5261" s="320"/>
    </row>
    <row r="5262" spans="3:7">
      <c r="C5262" s="319"/>
      <c r="D5262" s="319"/>
      <c r="G5262" s="320"/>
    </row>
    <row r="5263" spans="3:7">
      <c r="C5263" s="319"/>
      <c r="D5263" s="319"/>
      <c r="G5263" s="320"/>
    </row>
    <row r="5264" spans="3:7">
      <c r="C5264" s="319"/>
      <c r="D5264" s="319"/>
      <c r="G5264" s="320"/>
    </row>
    <row r="5265" spans="3:7">
      <c r="C5265" s="319"/>
      <c r="D5265" s="319"/>
      <c r="G5265" s="320"/>
    </row>
    <row r="5266" spans="3:7">
      <c r="C5266" s="319"/>
      <c r="D5266" s="319"/>
      <c r="G5266" s="320"/>
    </row>
    <row r="5267" spans="3:7">
      <c r="C5267" s="319"/>
      <c r="D5267" s="319"/>
      <c r="G5267" s="320"/>
    </row>
    <row r="5268" spans="3:7">
      <c r="C5268" s="319"/>
      <c r="D5268" s="319"/>
      <c r="G5268" s="320"/>
    </row>
    <row r="5269" spans="3:7">
      <c r="C5269" s="319"/>
      <c r="D5269" s="319"/>
      <c r="G5269" s="320"/>
    </row>
    <row r="5270" spans="3:4">
      <c r="C5270" s="319"/>
      <c r="D5270" s="319"/>
    </row>
    <row r="5271" spans="3:7">
      <c r="C5271" s="319"/>
      <c r="D5271" s="319"/>
      <c r="G5271" s="320"/>
    </row>
    <row r="5272" spans="3:7">
      <c r="C5272" s="319"/>
      <c r="D5272" s="319"/>
      <c r="G5272" s="320"/>
    </row>
    <row r="5273" spans="3:7">
      <c r="C5273" s="319"/>
      <c r="D5273" s="319"/>
      <c r="G5273" s="320"/>
    </row>
    <row r="5274" spans="3:7">
      <c r="C5274" s="319"/>
      <c r="D5274" s="319"/>
      <c r="G5274" s="320"/>
    </row>
    <row r="5275" spans="3:7">
      <c r="C5275" s="319"/>
      <c r="D5275" s="319"/>
      <c r="G5275" s="320"/>
    </row>
    <row r="5276" spans="3:7">
      <c r="C5276" s="319"/>
      <c r="D5276" s="319"/>
      <c r="G5276" s="320"/>
    </row>
    <row r="5277" spans="3:7">
      <c r="C5277" s="319"/>
      <c r="D5277" s="319"/>
      <c r="G5277" s="320"/>
    </row>
    <row r="5278" spans="3:4">
      <c r="C5278" s="319"/>
      <c r="D5278" s="319"/>
    </row>
    <row r="5279" spans="3:4">
      <c r="C5279" s="319"/>
      <c r="D5279" s="319"/>
    </row>
    <row r="5280" spans="3:7">
      <c r="C5280" s="319"/>
      <c r="D5280" s="319"/>
      <c r="G5280" s="320"/>
    </row>
    <row r="5281" spans="3:7">
      <c r="C5281" s="319"/>
      <c r="D5281" s="319"/>
      <c r="G5281" s="320"/>
    </row>
    <row r="5282" spans="3:4">
      <c r="C5282" s="319"/>
      <c r="D5282" s="319"/>
    </row>
    <row r="5283" spans="3:4">
      <c r="C5283" s="319"/>
      <c r="D5283" s="319"/>
    </row>
    <row r="5284" spans="3:7">
      <c r="C5284" s="319"/>
      <c r="D5284" s="319"/>
      <c r="G5284" s="320"/>
    </row>
    <row r="5285" spans="3:7">
      <c r="C5285" s="319"/>
      <c r="D5285" s="319"/>
      <c r="G5285" s="320"/>
    </row>
    <row r="5286" spans="3:4">
      <c r="C5286" s="319"/>
      <c r="D5286" s="319"/>
    </row>
    <row r="5287" spans="3:4">
      <c r="C5287" s="319"/>
      <c r="D5287" s="319"/>
    </row>
    <row r="5288" spans="3:7">
      <c r="C5288" s="319"/>
      <c r="D5288" s="319"/>
      <c r="G5288" s="320"/>
    </row>
    <row r="5289" spans="3:7">
      <c r="C5289" s="319"/>
      <c r="D5289" s="319"/>
      <c r="G5289" s="320"/>
    </row>
    <row r="5290" spans="3:7">
      <c r="C5290" s="319"/>
      <c r="D5290" s="319"/>
      <c r="G5290" s="320"/>
    </row>
    <row r="5291" spans="3:7">
      <c r="C5291" s="319"/>
      <c r="D5291" s="319"/>
      <c r="G5291" s="320"/>
    </row>
    <row r="5292" spans="3:7">
      <c r="C5292" s="319"/>
      <c r="D5292" s="319"/>
      <c r="G5292" s="320"/>
    </row>
    <row r="5293" spans="3:4">
      <c r="C5293" s="319"/>
      <c r="D5293" s="319"/>
    </row>
    <row r="5294" spans="3:7">
      <c r="C5294" s="319"/>
      <c r="D5294" s="319"/>
      <c r="G5294" s="320"/>
    </row>
    <row r="5295" spans="3:7">
      <c r="C5295" s="319"/>
      <c r="D5295" s="319"/>
      <c r="G5295" s="320"/>
    </row>
    <row r="5296" spans="3:4">
      <c r="C5296" s="319"/>
      <c r="D5296" s="319"/>
    </row>
    <row r="5297" spans="3:7">
      <c r="C5297" s="319"/>
      <c r="D5297" s="319"/>
      <c r="G5297" s="320"/>
    </row>
    <row r="5298" spans="3:7">
      <c r="C5298" s="319"/>
      <c r="D5298" s="319"/>
      <c r="G5298" s="320"/>
    </row>
    <row r="5299" spans="3:4">
      <c r="C5299" s="319"/>
      <c r="D5299" s="319"/>
    </row>
    <row r="5300" spans="3:7">
      <c r="C5300" s="319"/>
      <c r="D5300" s="319"/>
      <c r="G5300" s="320"/>
    </row>
    <row r="5301" spans="3:7">
      <c r="C5301" s="319"/>
      <c r="D5301" s="319"/>
      <c r="G5301" s="320"/>
    </row>
    <row r="5302" spans="3:4">
      <c r="C5302" s="319"/>
      <c r="D5302" s="319"/>
    </row>
    <row r="5303" spans="3:7">
      <c r="C5303" s="319"/>
      <c r="D5303" s="319"/>
      <c r="G5303" s="320"/>
    </row>
    <row r="5304" spans="3:7">
      <c r="C5304" s="319"/>
      <c r="D5304" s="319"/>
      <c r="G5304" s="320"/>
    </row>
    <row r="5305" spans="3:7">
      <c r="C5305" s="319"/>
      <c r="D5305" s="319"/>
      <c r="G5305" s="320"/>
    </row>
    <row r="5306" spans="3:7">
      <c r="C5306" s="319"/>
      <c r="D5306" s="319"/>
      <c r="G5306" s="320"/>
    </row>
    <row r="5307" spans="3:4">
      <c r="C5307" s="319"/>
      <c r="D5307" s="319"/>
    </row>
    <row r="5308" spans="3:7">
      <c r="C5308" s="319"/>
      <c r="D5308" s="319"/>
      <c r="G5308" s="320"/>
    </row>
    <row r="5309" spans="3:7">
      <c r="C5309" s="319"/>
      <c r="D5309" s="319"/>
      <c r="G5309" s="320"/>
    </row>
    <row r="5310" spans="3:7">
      <c r="C5310" s="319"/>
      <c r="D5310" s="319"/>
      <c r="G5310" s="320"/>
    </row>
    <row r="5311" spans="3:7">
      <c r="C5311" s="319"/>
      <c r="D5311" s="319"/>
      <c r="G5311" s="320"/>
    </row>
    <row r="5312" spans="3:7">
      <c r="C5312" s="319"/>
      <c r="D5312" s="319"/>
      <c r="G5312" s="320"/>
    </row>
    <row r="5313" spans="3:7">
      <c r="C5313" s="319"/>
      <c r="D5313" s="319"/>
      <c r="G5313" s="320"/>
    </row>
    <row r="5314" spans="3:7">
      <c r="C5314" s="319"/>
      <c r="D5314" s="319"/>
      <c r="G5314" s="320"/>
    </row>
    <row r="5315" spans="3:7">
      <c r="C5315" s="319"/>
      <c r="D5315" s="319"/>
      <c r="G5315" s="320"/>
    </row>
    <row r="5316" spans="3:7">
      <c r="C5316" s="319"/>
      <c r="D5316" s="319"/>
      <c r="G5316" s="320"/>
    </row>
    <row r="5317" spans="3:7">
      <c r="C5317" s="319"/>
      <c r="D5317" s="319"/>
      <c r="G5317" s="320"/>
    </row>
    <row r="5318" spans="3:7">
      <c r="C5318" s="319"/>
      <c r="D5318" s="319"/>
      <c r="G5318" s="320"/>
    </row>
    <row r="5319" spans="3:7">
      <c r="C5319" s="319"/>
      <c r="D5319" s="319"/>
      <c r="G5319" s="320"/>
    </row>
    <row r="5320" spans="3:7">
      <c r="C5320" s="319"/>
      <c r="D5320" s="319"/>
      <c r="G5320" s="320"/>
    </row>
    <row r="5321" spans="3:7">
      <c r="C5321" s="319"/>
      <c r="D5321" s="319"/>
      <c r="G5321" s="320"/>
    </row>
    <row r="5322" spans="3:4">
      <c r="C5322" s="319"/>
      <c r="D5322" s="319"/>
    </row>
    <row r="5323" spans="3:7">
      <c r="C5323" s="319"/>
      <c r="D5323" s="319"/>
      <c r="G5323" s="320"/>
    </row>
    <row r="5324" spans="3:7">
      <c r="C5324" s="319"/>
      <c r="D5324" s="319"/>
      <c r="G5324" s="320"/>
    </row>
    <row r="5325" spans="3:7">
      <c r="C5325" s="319"/>
      <c r="D5325" s="319"/>
      <c r="G5325" s="320"/>
    </row>
    <row r="5326" spans="3:7">
      <c r="C5326" s="319"/>
      <c r="D5326" s="319"/>
      <c r="G5326" s="320"/>
    </row>
    <row r="5327" spans="3:7">
      <c r="C5327" s="319"/>
      <c r="D5327" s="319"/>
      <c r="G5327" s="320"/>
    </row>
    <row r="5328" spans="3:4">
      <c r="C5328" s="319"/>
      <c r="D5328" s="319"/>
    </row>
    <row r="5329" spans="3:7">
      <c r="C5329" s="319"/>
      <c r="D5329" s="319"/>
      <c r="G5329" s="320"/>
    </row>
    <row r="5330" spans="3:7">
      <c r="C5330" s="319"/>
      <c r="D5330" s="319"/>
      <c r="G5330" s="320"/>
    </row>
    <row r="5331" spans="3:4">
      <c r="C5331" s="319"/>
      <c r="D5331" s="319"/>
    </row>
    <row r="5332" spans="3:7">
      <c r="C5332" s="319"/>
      <c r="D5332" s="319"/>
      <c r="G5332" s="320"/>
    </row>
    <row r="5333" spans="3:7">
      <c r="C5333" s="319"/>
      <c r="D5333" s="319"/>
      <c r="G5333" s="320"/>
    </row>
    <row r="5334" spans="3:4">
      <c r="C5334" s="319"/>
      <c r="D5334" s="319"/>
    </row>
    <row r="5335" spans="3:7">
      <c r="C5335" s="319"/>
      <c r="D5335" s="319"/>
      <c r="G5335" s="320"/>
    </row>
    <row r="5336" spans="3:7">
      <c r="C5336" s="319"/>
      <c r="D5336" s="319"/>
      <c r="G5336" s="320"/>
    </row>
    <row r="5337" spans="3:7">
      <c r="C5337" s="319"/>
      <c r="D5337" s="319"/>
      <c r="G5337" s="320"/>
    </row>
    <row r="5338" spans="3:4">
      <c r="C5338" s="319"/>
      <c r="D5338" s="319"/>
    </row>
    <row r="5339" spans="3:4">
      <c r="C5339" s="319"/>
      <c r="D5339" s="319"/>
    </row>
    <row r="5340" spans="3:7">
      <c r="C5340" s="319"/>
      <c r="D5340" s="319"/>
      <c r="G5340" s="320"/>
    </row>
    <row r="5341" spans="3:7">
      <c r="C5341" s="319"/>
      <c r="D5341" s="319"/>
      <c r="G5341" s="320"/>
    </row>
    <row r="5342" spans="3:7">
      <c r="C5342" s="319"/>
      <c r="D5342" s="319"/>
      <c r="G5342" s="320"/>
    </row>
    <row r="5343" spans="3:7">
      <c r="C5343" s="319"/>
      <c r="D5343" s="319"/>
      <c r="G5343" s="320"/>
    </row>
    <row r="5344" spans="3:7">
      <c r="C5344" s="319"/>
      <c r="D5344" s="319"/>
      <c r="G5344" s="320"/>
    </row>
    <row r="5345" spans="3:7">
      <c r="C5345" s="319"/>
      <c r="D5345" s="319"/>
      <c r="G5345" s="320"/>
    </row>
    <row r="5346" spans="3:7">
      <c r="C5346" s="319"/>
      <c r="D5346" s="319"/>
      <c r="G5346" s="320"/>
    </row>
    <row r="5347" spans="3:7">
      <c r="C5347" s="319"/>
      <c r="D5347" s="319"/>
      <c r="G5347" s="320"/>
    </row>
    <row r="5348" spans="3:4">
      <c r="C5348" s="319"/>
      <c r="D5348" s="319"/>
    </row>
    <row r="5349" spans="3:4">
      <c r="C5349" s="319"/>
      <c r="D5349" s="319"/>
    </row>
    <row r="5350" spans="3:7">
      <c r="C5350" s="319"/>
      <c r="D5350" s="319"/>
      <c r="G5350" s="320"/>
    </row>
    <row r="5351" spans="3:4">
      <c r="C5351" s="319"/>
      <c r="D5351" s="319"/>
    </row>
    <row r="5352" spans="3:7">
      <c r="C5352" s="319"/>
      <c r="D5352" s="319"/>
      <c r="G5352" s="320"/>
    </row>
    <row r="5353" spans="3:7">
      <c r="C5353" s="319"/>
      <c r="D5353" s="319"/>
      <c r="G5353" s="320"/>
    </row>
    <row r="5354" spans="3:7">
      <c r="C5354" s="319"/>
      <c r="D5354" s="319"/>
      <c r="G5354" s="320"/>
    </row>
    <row r="5355" spans="3:7">
      <c r="C5355" s="319"/>
      <c r="D5355" s="319"/>
      <c r="G5355" s="320"/>
    </row>
    <row r="5356" spans="3:7">
      <c r="C5356" s="319"/>
      <c r="D5356" s="319"/>
      <c r="G5356" s="320"/>
    </row>
    <row r="5357" spans="3:7">
      <c r="C5357" s="319"/>
      <c r="D5357" s="319"/>
      <c r="G5357" s="320"/>
    </row>
    <row r="5358" spans="3:7">
      <c r="C5358" s="319"/>
      <c r="D5358" s="319"/>
      <c r="G5358" s="320"/>
    </row>
    <row r="5359" spans="3:4">
      <c r="C5359" s="319"/>
      <c r="D5359" s="319"/>
    </row>
    <row r="5360" spans="3:7">
      <c r="C5360" s="319"/>
      <c r="D5360" s="319"/>
      <c r="G5360" s="320"/>
    </row>
    <row r="5361" spans="3:7">
      <c r="C5361" s="319"/>
      <c r="D5361" s="319"/>
      <c r="G5361" s="320"/>
    </row>
    <row r="5362" spans="3:4">
      <c r="C5362" s="319"/>
      <c r="D5362" s="319"/>
    </row>
    <row r="5363" spans="3:4">
      <c r="C5363" s="319"/>
      <c r="D5363" s="319"/>
    </row>
    <row r="5364" spans="3:4">
      <c r="C5364" s="319"/>
      <c r="D5364" s="319"/>
    </row>
    <row r="5365" spans="3:7">
      <c r="C5365" s="319"/>
      <c r="D5365" s="319"/>
      <c r="G5365" s="320"/>
    </row>
    <row r="5366" spans="3:7">
      <c r="C5366" s="319"/>
      <c r="D5366" s="319"/>
      <c r="G5366" s="320"/>
    </row>
    <row r="5367" spans="3:4">
      <c r="C5367" s="319"/>
      <c r="D5367" s="319"/>
    </row>
    <row r="5368" spans="3:4">
      <c r="C5368" s="319"/>
      <c r="D5368" s="319"/>
    </row>
    <row r="5369" spans="3:7">
      <c r="C5369" s="319"/>
      <c r="D5369" s="319"/>
      <c r="G5369" s="320"/>
    </row>
    <row r="5370" spans="3:7">
      <c r="C5370" s="319"/>
      <c r="D5370" s="319"/>
      <c r="G5370" s="320"/>
    </row>
    <row r="5371" spans="3:4">
      <c r="C5371" s="319"/>
      <c r="D5371" s="319"/>
    </row>
    <row r="5372" spans="3:4">
      <c r="C5372" s="319"/>
      <c r="D5372" s="319"/>
    </row>
    <row r="5373" spans="3:7">
      <c r="C5373" s="319"/>
      <c r="D5373" s="319"/>
      <c r="G5373" s="320"/>
    </row>
    <row r="5374" spans="3:4">
      <c r="C5374" s="319"/>
      <c r="D5374" s="319"/>
    </row>
    <row r="5375" spans="3:7">
      <c r="C5375" s="319"/>
      <c r="D5375" s="319"/>
      <c r="G5375" s="320"/>
    </row>
    <row r="5376" spans="3:4">
      <c r="C5376" s="319"/>
      <c r="D5376" s="319"/>
    </row>
    <row r="5377" spans="3:7">
      <c r="C5377" s="319"/>
      <c r="D5377" s="319"/>
      <c r="G5377" s="320"/>
    </row>
    <row r="5378" spans="3:7">
      <c r="C5378" s="319"/>
      <c r="D5378" s="319"/>
      <c r="G5378" s="320"/>
    </row>
    <row r="5379" spans="3:4">
      <c r="C5379" s="319"/>
      <c r="D5379" s="319"/>
    </row>
    <row r="5380" spans="3:7">
      <c r="C5380" s="319"/>
      <c r="D5380" s="319"/>
      <c r="G5380" s="320"/>
    </row>
    <row r="5381" spans="3:7">
      <c r="C5381" s="319"/>
      <c r="D5381" s="319"/>
      <c r="G5381" s="320"/>
    </row>
    <row r="5382" spans="3:7">
      <c r="C5382" s="319"/>
      <c r="D5382" s="319"/>
      <c r="G5382" s="320"/>
    </row>
    <row r="5383" spans="3:7">
      <c r="C5383" s="319"/>
      <c r="D5383" s="319"/>
      <c r="G5383" s="320"/>
    </row>
    <row r="5384" spans="3:7">
      <c r="C5384" s="319"/>
      <c r="D5384" s="319"/>
      <c r="G5384" s="320"/>
    </row>
    <row r="5385" spans="3:7">
      <c r="C5385" s="319"/>
      <c r="D5385" s="319"/>
      <c r="G5385" s="320"/>
    </row>
    <row r="5386" spans="3:7">
      <c r="C5386" s="319"/>
      <c r="D5386" s="319"/>
      <c r="G5386" s="320"/>
    </row>
    <row r="5387" spans="3:4">
      <c r="C5387" s="319"/>
      <c r="D5387" s="319"/>
    </row>
    <row r="5388" spans="3:7">
      <c r="C5388" s="319"/>
      <c r="D5388" s="319"/>
      <c r="G5388" s="320"/>
    </row>
    <row r="5389" spans="3:4">
      <c r="C5389" s="319"/>
      <c r="D5389" s="319"/>
    </row>
    <row r="5390" spans="3:4">
      <c r="C5390" s="319"/>
      <c r="D5390" s="319"/>
    </row>
    <row r="5391" spans="3:4">
      <c r="C5391" s="319"/>
      <c r="D5391" s="319"/>
    </row>
    <row r="5392" spans="3:4">
      <c r="C5392" s="319"/>
      <c r="D5392" s="319"/>
    </row>
    <row r="5393" spans="3:7">
      <c r="C5393" s="319"/>
      <c r="D5393" s="319"/>
      <c r="G5393" s="320"/>
    </row>
    <row r="5394" spans="3:7">
      <c r="C5394" s="319"/>
      <c r="D5394" s="319"/>
      <c r="G5394" s="320"/>
    </row>
    <row r="5395" spans="3:7">
      <c r="C5395" s="319"/>
      <c r="D5395" s="319"/>
      <c r="G5395" s="320"/>
    </row>
    <row r="5396" spans="3:7">
      <c r="C5396" s="319"/>
      <c r="D5396" s="319"/>
      <c r="G5396" s="320"/>
    </row>
    <row r="5397" spans="3:7">
      <c r="C5397" s="319"/>
      <c r="D5397" s="319"/>
      <c r="G5397" s="320"/>
    </row>
    <row r="5398" spans="3:7">
      <c r="C5398" s="319"/>
      <c r="D5398" s="319"/>
      <c r="G5398" s="320"/>
    </row>
    <row r="5399" spans="3:7">
      <c r="C5399" s="319"/>
      <c r="D5399" s="319"/>
      <c r="G5399" s="320"/>
    </row>
    <row r="5400" spans="3:7">
      <c r="C5400" s="319"/>
      <c r="D5400" s="319"/>
      <c r="G5400" s="320"/>
    </row>
    <row r="5401" spans="3:7">
      <c r="C5401" s="319"/>
      <c r="D5401" s="319"/>
      <c r="G5401" s="320"/>
    </row>
    <row r="5402" spans="3:7">
      <c r="C5402" s="319"/>
      <c r="D5402" s="319"/>
      <c r="G5402" s="320"/>
    </row>
    <row r="5403" spans="3:7">
      <c r="C5403" s="319"/>
      <c r="D5403" s="319"/>
      <c r="G5403" s="320"/>
    </row>
    <row r="5404" spans="3:4">
      <c r="C5404" s="319"/>
      <c r="D5404" s="319"/>
    </row>
    <row r="5405" spans="3:4">
      <c r="C5405" s="319"/>
      <c r="D5405" s="319"/>
    </row>
    <row r="5406" spans="3:4">
      <c r="C5406" s="319"/>
      <c r="D5406" s="319"/>
    </row>
    <row r="5407" spans="3:7">
      <c r="C5407" s="319"/>
      <c r="D5407" s="319"/>
      <c r="G5407" s="320"/>
    </row>
    <row r="5408" spans="3:7">
      <c r="C5408" s="319"/>
      <c r="D5408" s="319"/>
      <c r="G5408" s="320"/>
    </row>
    <row r="5409" spans="3:4">
      <c r="C5409" s="319"/>
      <c r="D5409" s="319"/>
    </row>
    <row r="5410" spans="3:7">
      <c r="C5410" s="319"/>
      <c r="D5410" s="319"/>
      <c r="G5410" s="320"/>
    </row>
    <row r="5411" spans="3:4">
      <c r="C5411" s="319"/>
      <c r="D5411" s="319"/>
    </row>
    <row r="5412" spans="3:7">
      <c r="C5412" s="319"/>
      <c r="D5412" s="319"/>
      <c r="G5412" s="320"/>
    </row>
    <row r="5413" spans="3:4">
      <c r="C5413" s="319"/>
      <c r="D5413" s="319"/>
    </row>
    <row r="5414" spans="3:7">
      <c r="C5414" s="319"/>
      <c r="D5414" s="319"/>
      <c r="G5414" s="320"/>
    </row>
    <row r="5415" spans="3:7">
      <c r="C5415" s="319"/>
      <c r="D5415" s="319"/>
      <c r="G5415" s="320"/>
    </row>
    <row r="5416" spans="3:4">
      <c r="C5416" s="319"/>
      <c r="D5416" s="319"/>
    </row>
    <row r="5417" spans="3:7">
      <c r="C5417" s="319"/>
      <c r="D5417" s="319"/>
      <c r="G5417" s="320"/>
    </row>
    <row r="5418" spans="3:7">
      <c r="C5418" s="319"/>
      <c r="D5418" s="319"/>
      <c r="G5418" s="320"/>
    </row>
    <row r="5419" spans="3:7">
      <c r="C5419" s="319"/>
      <c r="D5419" s="319"/>
      <c r="G5419" s="320"/>
    </row>
    <row r="5420" spans="3:7">
      <c r="C5420" s="319"/>
      <c r="D5420" s="319"/>
      <c r="G5420" s="320"/>
    </row>
    <row r="5421" spans="3:7">
      <c r="C5421" s="319"/>
      <c r="D5421" s="319"/>
      <c r="G5421" s="320"/>
    </row>
    <row r="5422" spans="3:7">
      <c r="C5422" s="319"/>
      <c r="D5422" s="319"/>
      <c r="G5422" s="320"/>
    </row>
    <row r="5423" spans="3:7">
      <c r="C5423" s="319"/>
      <c r="D5423" s="319"/>
      <c r="G5423" s="320"/>
    </row>
    <row r="5424" spans="3:4">
      <c r="C5424" s="319"/>
      <c r="D5424" s="319"/>
    </row>
    <row r="5425" spans="3:7">
      <c r="C5425" s="319"/>
      <c r="D5425" s="319"/>
      <c r="G5425" s="320"/>
    </row>
    <row r="5426" spans="3:7">
      <c r="C5426" s="319"/>
      <c r="D5426" s="319"/>
      <c r="G5426" s="320"/>
    </row>
    <row r="5427" spans="3:7">
      <c r="C5427" s="319"/>
      <c r="D5427" s="319"/>
      <c r="G5427" s="320"/>
    </row>
    <row r="5428" spans="3:4">
      <c r="C5428" s="319"/>
      <c r="D5428" s="319"/>
    </row>
    <row r="5429" spans="3:7">
      <c r="C5429" s="319"/>
      <c r="D5429" s="319"/>
      <c r="G5429" s="320"/>
    </row>
    <row r="5430" spans="3:7">
      <c r="C5430" s="319"/>
      <c r="D5430" s="319"/>
      <c r="G5430" s="320"/>
    </row>
    <row r="5431" spans="3:7">
      <c r="C5431" s="319"/>
      <c r="D5431" s="319"/>
      <c r="G5431" s="320"/>
    </row>
    <row r="5432" spans="3:7">
      <c r="C5432" s="319"/>
      <c r="D5432" s="319"/>
      <c r="G5432" s="320"/>
    </row>
    <row r="5433" spans="3:4">
      <c r="C5433" s="319"/>
      <c r="D5433" s="319"/>
    </row>
    <row r="5434" spans="3:4">
      <c r="C5434" s="319"/>
      <c r="D5434" s="319"/>
    </row>
    <row r="5435" spans="3:7">
      <c r="C5435" s="319"/>
      <c r="D5435" s="319"/>
      <c r="G5435" s="320"/>
    </row>
    <row r="5436" spans="3:7">
      <c r="C5436" s="319"/>
      <c r="D5436" s="319"/>
      <c r="G5436" s="320"/>
    </row>
    <row r="5437" spans="3:4">
      <c r="C5437" s="319"/>
      <c r="D5437" s="319"/>
    </row>
    <row r="5438" spans="3:7">
      <c r="C5438" s="319"/>
      <c r="D5438" s="319"/>
      <c r="G5438" s="320"/>
    </row>
    <row r="5439" spans="3:7">
      <c r="C5439" s="319"/>
      <c r="D5439" s="319"/>
      <c r="G5439" s="320"/>
    </row>
    <row r="5440" spans="3:7">
      <c r="C5440" s="319"/>
      <c r="D5440" s="319"/>
      <c r="G5440" s="320"/>
    </row>
    <row r="5441" spans="3:4">
      <c r="C5441" s="319"/>
      <c r="D5441" s="319"/>
    </row>
    <row r="5442" spans="3:7">
      <c r="C5442" s="319"/>
      <c r="D5442" s="319"/>
      <c r="G5442" s="320"/>
    </row>
    <row r="5443" spans="3:4">
      <c r="C5443" s="319"/>
      <c r="D5443" s="319"/>
    </row>
    <row r="5444" spans="3:7">
      <c r="C5444" s="319"/>
      <c r="D5444" s="319"/>
      <c r="G5444" s="320"/>
    </row>
    <row r="5445" spans="3:4">
      <c r="C5445" s="319"/>
      <c r="D5445" s="319"/>
    </row>
    <row r="5446" spans="3:4">
      <c r="C5446" s="319"/>
      <c r="D5446" s="319"/>
    </row>
    <row r="5447" spans="3:7">
      <c r="C5447" s="319"/>
      <c r="D5447" s="319"/>
      <c r="G5447" s="320"/>
    </row>
    <row r="5448" spans="3:7">
      <c r="C5448" s="319"/>
      <c r="D5448" s="319"/>
      <c r="G5448" s="320"/>
    </row>
    <row r="5449" spans="3:4">
      <c r="C5449" s="319"/>
      <c r="D5449" s="319"/>
    </row>
    <row r="5450" spans="3:7">
      <c r="C5450" s="319"/>
      <c r="D5450" s="319"/>
      <c r="G5450" s="320"/>
    </row>
    <row r="5451" spans="3:4">
      <c r="C5451" s="319"/>
      <c r="D5451" s="319"/>
    </row>
    <row r="5452" spans="3:7">
      <c r="C5452" s="319"/>
      <c r="D5452" s="319"/>
      <c r="G5452" s="320"/>
    </row>
    <row r="5453" spans="3:4">
      <c r="C5453" s="319"/>
      <c r="D5453" s="319"/>
    </row>
    <row r="5454" spans="3:7">
      <c r="C5454" s="319"/>
      <c r="D5454" s="319"/>
      <c r="G5454" s="320"/>
    </row>
    <row r="5455" spans="3:7">
      <c r="C5455" s="319"/>
      <c r="D5455" s="319"/>
      <c r="G5455" s="320"/>
    </row>
    <row r="5456" spans="3:7">
      <c r="C5456" s="319"/>
      <c r="D5456" s="319"/>
      <c r="G5456" s="320"/>
    </row>
    <row r="5457" spans="3:4">
      <c r="C5457" s="319"/>
      <c r="D5457" s="319"/>
    </row>
    <row r="5458" spans="3:7">
      <c r="C5458" s="319"/>
      <c r="D5458" s="319"/>
      <c r="G5458" s="320"/>
    </row>
    <row r="5459" spans="3:4">
      <c r="C5459" s="319"/>
      <c r="D5459" s="319"/>
    </row>
    <row r="5460" spans="3:7">
      <c r="C5460" s="319"/>
      <c r="D5460" s="319"/>
      <c r="G5460" s="320"/>
    </row>
    <row r="5461" spans="3:7">
      <c r="C5461" s="319"/>
      <c r="D5461" s="319"/>
      <c r="G5461" s="320"/>
    </row>
    <row r="5462" spans="3:7">
      <c r="C5462" s="319"/>
      <c r="D5462" s="319"/>
      <c r="G5462" s="320"/>
    </row>
    <row r="5463" spans="3:4">
      <c r="C5463" s="319"/>
      <c r="D5463" s="319"/>
    </row>
    <row r="5464" spans="3:7">
      <c r="C5464" s="319"/>
      <c r="D5464" s="319"/>
      <c r="G5464" s="320"/>
    </row>
    <row r="5465" spans="3:4">
      <c r="C5465" s="319"/>
      <c r="D5465" s="319"/>
    </row>
    <row r="5466" spans="3:7">
      <c r="C5466" s="319"/>
      <c r="D5466" s="319"/>
      <c r="G5466" s="320"/>
    </row>
    <row r="5467" spans="3:7">
      <c r="C5467" s="319"/>
      <c r="D5467" s="319"/>
      <c r="G5467" s="320"/>
    </row>
    <row r="5468" spans="3:7">
      <c r="C5468" s="319"/>
      <c r="D5468" s="319"/>
      <c r="G5468" s="320"/>
    </row>
    <row r="5469" spans="3:4">
      <c r="C5469" s="319"/>
      <c r="D5469" s="319"/>
    </row>
    <row r="5470" spans="3:7">
      <c r="C5470" s="319"/>
      <c r="D5470" s="319"/>
      <c r="G5470" s="320"/>
    </row>
    <row r="5471" spans="3:7">
      <c r="C5471" s="319"/>
      <c r="D5471" s="319"/>
      <c r="G5471" s="320"/>
    </row>
    <row r="5472" spans="3:7">
      <c r="C5472" s="319"/>
      <c r="D5472" s="319"/>
      <c r="G5472" s="320"/>
    </row>
    <row r="5473" spans="3:7">
      <c r="C5473" s="319"/>
      <c r="D5473" s="319"/>
      <c r="G5473" s="320"/>
    </row>
    <row r="5474" spans="3:4">
      <c r="C5474" s="319"/>
      <c r="D5474" s="319"/>
    </row>
    <row r="5475" spans="3:4">
      <c r="C5475" s="319"/>
      <c r="D5475" s="319"/>
    </row>
    <row r="5476" spans="3:7">
      <c r="C5476" s="319"/>
      <c r="D5476" s="319"/>
      <c r="G5476" s="320"/>
    </row>
    <row r="5477" spans="3:7">
      <c r="C5477" s="319"/>
      <c r="D5477" s="319"/>
      <c r="G5477" s="320"/>
    </row>
    <row r="5478" spans="3:7">
      <c r="C5478" s="319"/>
      <c r="D5478" s="319"/>
      <c r="G5478" s="320"/>
    </row>
    <row r="5479" spans="3:4">
      <c r="C5479" s="319"/>
      <c r="D5479" s="319"/>
    </row>
    <row r="5480" spans="3:7">
      <c r="C5480" s="319"/>
      <c r="D5480" s="319"/>
      <c r="G5480" s="320"/>
    </row>
    <row r="5481" spans="3:4">
      <c r="C5481" s="319"/>
      <c r="D5481" s="319"/>
    </row>
    <row r="5482" spans="3:4">
      <c r="C5482" s="319"/>
      <c r="D5482" s="319"/>
    </row>
    <row r="5483" spans="3:7">
      <c r="C5483" s="319"/>
      <c r="D5483" s="319"/>
      <c r="G5483" s="320"/>
    </row>
    <row r="5484" spans="3:7">
      <c r="C5484" s="319"/>
      <c r="D5484" s="319"/>
      <c r="G5484" s="320"/>
    </row>
    <row r="5485" spans="3:7">
      <c r="C5485" s="319"/>
      <c r="D5485" s="319"/>
      <c r="G5485" s="320"/>
    </row>
    <row r="5486" spans="3:7">
      <c r="C5486" s="319"/>
      <c r="D5486" s="319"/>
      <c r="G5486" s="320"/>
    </row>
    <row r="5487" spans="3:4">
      <c r="C5487" s="319"/>
      <c r="D5487" s="319"/>
    </row>
    <row r="5488" spans="3:7">
      <c r="C5488" s="319"/>
      <c r="D5488" s="319"/>
      <c r="G5488" s="320"/>
    </row>
    <row r="5489" spans="3:4">
      <c r="C5489" s="319"/>
      <c r="D5489" s="319"/>
    </row>
    <row r="5490" spans="3:7">
      <c r="C5490" s="319"/>
      <c r="D5490" s="319"/>
      <c r="G5490" s="320"/>
    </row>
    <row r="5491" spans="3:4">
      <c r="C5491" s="319"/>
      <c r="D5491" s="319"/>
    </row>
    <row r="5492" spans="3:4">
      <c r="C5492" s="319"/>
      <c r="D5492" s="319"/>
    </row>
    <row r="5493" spans="3:4">
      <c r="C5493" s="319"/>
      <c r="D5493" s="319"/>
    </row>
    <row r="5494" spans="3:7">
      <c r="C5494" s="319"/>
      <c r="D5494" s="319"/>
      <c r="G5494" s="320"/>
    </row>
    <row r="5495" spans="3:7">
      <c r="C5495" s="319"/>
      <c r="D5495" s="319"/>
      <c r="G5495" s="320"/>
    </row>
    <row r="5496" spans="3:7">
      <c r="C5496" s="319"/>
      <c r="D5496" s="319"/>
      <c r="G5496" s="320"/>
    </row>
    <row r="5497" spans="3:7">
      <c r="C5497" s="319"/>
      <c r="D5497" s="319"/>
      <c r="G5497" s="320"/>
    </row>
    <row r="5498" spans="3:4">
      <c r="C5498" s="319"/>
      <c r="D5498" s="319"/>
    </row>
    <row r="5499" spans="3:7">
      <c r="C5499" s="319"/>
      <c r="D5499" s="319"/>
      <c r="G5499" s="320"/>
    </row>
    <row r="5500" spans="3:7">
      <c r="C5500" s="319"/>
      <c r="D5500" s="319"/>
      <c r="G5500" s="320"/>
    </row>
    <row r="5501" spans="3:4">
      <c r="C5501" s="319"/>
      <c r="D5501" s="319"/>
    </row>
    <row r="5502" spans="3:7">
      <c r="C5502" s="319"/>
      <c r="D5502" s="319"/>
      <c r="G5502" s="320"/>
    </row>
    <row r="5503" spans="3:7">
      <c r="C5503" s="319"/>
      <c r="D5503" s="319"/>
      <c r="G5503" s="320"/>
    </row>
    <row r="5504" spans="3:7">
      <c r="C5504" s="319"/>
      <c r="D5504" s="319"/>
      <c r="G5504" s="320"/>
    </row>
    <row r="5505" spans="3:4">
      <c r="C5505" s="319"/>
      <c r="D5505" s="319"/>
    </row>
    <row r="5506" spans="3:7">
      <c r="C5506" s="319"/>
      <c r="D5506" s="319"/>
      <c r="G5506" s="320"/>
    </row>
    <row r="5507" spans="3:7">
      <c r="C5507" s="319"/>
      <c r="D5507" s="319"/>
      <c r="G5507" s="320"/>
    </row>
    <row r="5508" spans="3:4">
      <c r="C5508" s="319"/>
      <c r="D5508" s="319"/>
    </row>
    <row r="5509" spans="3:4">
      <c r="C5509" s="319"/>
      <c r="D5509" s="319"/>
    </row>
    <row r="5510" spans="3:4">
      <c r="C5510" s="319"/>
      <c r="D5510" s="319"/>
    </row>
    <row r="5511" spans="3:4">
      <c r="C5511" s="319"/>
      <c r="D5511" s="319"/>
    </row>
    <row r="5512" spans="3:4">
      <c r="C5512" s="319"/>
      <c r="D5512" s="319"/>
    </row>
    <row r="5513" spans="3:7">
      <c r="C5513" s="319"/>
      <c r="D5513" s="319"/>
      <c r="G5513" s="320"/>
    </row>
    <row r="5514" spans="3:7">
      <c r="C5514" s="319"/>
      <c r="D5514" s="319"/>
      <c r="G5514" s="320"/>
    </row>
    <row r="5515" spans="3:7">
      <c r="C5515" s="319"/>
      <c r="D5515" s="319"/>
      <c r="G5515" s="320"/>
    </row>
    <row r="5516" spans="3:4">
      <c r="C5516" s="319"/>
      <c r="D5516" s="319"/>
    </row>
    <row r="5517" spans="3:7">
      <c r="C5517" s="319"/>
      <c r="D5517" s="319"/>
      <c r="G5517" s="320"/>
    </row>
    <row r="5518" spans="3:7">
      <c r="C5518" s="319"/>
      <c r="D5518" s="319"/>
      <c r="G5518" s="320"/>
    </row>
    <row r="5519" spans="3:7">
      <c r="C5519" s="319"/>
      <c r="D5519" s="319"/>
      <c r="G5519" s="320"/>
    </row>
    <row r="5520" spans="3:7">
      <c r="C5520" s="319"/>
      <c r="D5520" s="319"/>
      <c r="G5520" s="320"/>
    </row>
    <row r="5521" spans="3:7">
      <c r="C5521" s="319"/>
      <c r="D5521" s="319"/>
      <c r="G5521" s="320"/>
    </row>
    <row r="5522" spans="3:4">
      <c r="C5522" s="319"/>
      <c r="D5522" s="319"/>
    </row>
    <row r="5523" spans="3:7">
      <c r="C5523" s="319"/>
      <c r="D5523" s="319"/>
      <c r="G5523" s="320"/>
    </row>
    <row r="5524" spans="3:4">
      <c r="C5524" s="319"/>
      <c r="D5524" s="319"/>
    </row>
    <row r="5525" spans="3:7">
      <c r="C5525" s="319"/>
      <c r="D5525" s="319"/>
      <c r="G5525" s="320"/>
    </row>
    <row r="5526" spans="3:7">
      <c r="C5526" s="319"/>
      <c r="D5526" s="319"/>
      <c r="G5526" s="320"/>
    </row>
    <row r="5527" spans="3:7">
      <c r="C5527" s="319"/>
      <c r="D5527" s="319"/>
      <c r="G5527" s="320"/>
    </row>
    <row r="5528" spans="3:4">
      <c r="C5528" s="319"/>
      <c r="D5528" s="319"/>
    </row>
    <row r="5529" spans="3:4">
      <c r="C5529" s="319"/>
      <c r="D5529" s="319"/>
    </row>
    <row r="5530" spans="3:7">
      <c r="C5530" s="319"/>
      <c r="D5530" s="319"/>
      <c r="G5530" s="320"/>
    </row>
    <row r="5531" spans="3:4">
      <c r="C5531" s="319"/>
      <c r="D5531" s="319"/>
    </row>
    <row r="5532" spans="3:4">
      <c r="C5532" s="319"/>
      <c r="D5532" s="319"/>
    </row>
    <row r="5533" spans="3:7">
      <c r="C5533" s="319"/>
      <c r="D5533" s="319"/>
      <c r="G5533" s="320"/>
    </row>
    <row r="5534" spans="3:7">
      <c r="C5534" s="319"/>
      <c r="D5534" s="319"/>
      <c r="G5534" s="320"/>
    </row>
    <row r="5535" spans="3:7">
      <c r="C5535" s="319"/>
      <c r="D5535" s="319"/>
      <c r="G5535" s="320"/>
    </row>
    <row r="5536" spans="3:7">
      <c r="C5536" s="319"/>
      <c r="D5536" s="319"/>
      <c r="G5536" s="320"/>
    </row>
    <row r="5537" spans="3:7">
      <c r="C5537" s="319"/>
      <c r="D5537" s="319"/>
      <c r="G5537" s="320"/>
    </row>
    <row r="5538" spans="3:7">
      <c r="C5538" s="319"/>
      <c r="D5538" s="319"/>
      <c r="G5538" s="320"/>
    </row>
    <row r="5539" spans="3:7">
      <c r="C5539" s="319"/>
      <c r="D5539" s="319"/>
      <c r="G5539" s="320"/>
    </row>
    <row r="5540" spans="3:7">
      <c r="C5540" s="319"/>
      <c r="D5540" s="319"/>
      <c r="G5540" s="320"/>
    </row>
    <row r="5541" spans="3:7">
      <c r="C5541" s="319"/>
      <c r="D5541" s="319"/>
      <c r="G5541" s="320"/>
    </row>
    <row r="5542" spans="3:4">
      <c r="C5542" s="319"/>
      <c r="D5542" s="319"/>
    </row>
    <row r="5543" spans="3:4">
      <c r="C5543" s="319"/>
      <c r="D5543" s="319"/>
    </row>
    <row r="5544" spans="3:7">
      <c r="C5544" s="319"/>
      <c r="D5544" s="319"/>
      <c r="G5544" s="320"/>
    </row>
    <row r="5545" spans="3:4">
      <c r="C5545" s="319"/>
      <c r="D5545" s="319"/>
    </row>
    <row r="5546" spans="3:7">
      <c r="C5546" s="319"/>
      <c r="D5546" s="319"/>
      <c r="G5546" s="320"/>
    </row>
    <row r="5547" spans="3:4">
      <c r="C5547" s="319"/>
      <c r="D5547" s="319"/>
    </row>
    <row r="5548" spans="3:7">
      <c r="C5548" s="319"/>
      <c r="D5548" s="319"/>
      <c r="G5548" s="320"/>
    </row>
    <row r="5549" spans="3:4">
      <c r="C5549" s="319"/>
      <c r="D5549" s="319"/>
    </row>
    <row r="5550" spans="3:7">
      <c r="C5550" s="319"/>
      <c r="D5550" s="319"/>
      <c r="G5550" s="320"/>
    </row>
    <row r="5551" spans="3:7">
      <c r="C5551" s="319"/>
      <c r="D5551" s="319"/>
      <c r="G5551" s="320"/>
    </row>
    <row r="5552" spans="3:4">
      <c r="C5552" s="319"/>
      <c r="D5552" s="319"/>
    </row>
    <row r="5553" spans="3:7">
      <c r="C5553" s="319"/>
      <c r="D5553" s="319"/>
      <c r="G5553" s="320"/>
    </row>
    <row r="5554" spans="3:4">
      <c r="C5554" s="319"/>
      <c r="D5554" s="319"/>
    </row>
    <row r="5555" spans="3:4">
      <c r="C5555" s="319"/>
      <c r="D5555" s="319"/>
    </row>
    <row r="5556" spans="3:4">
      <c r="C5556" s="319"/>
      <c r="D5556" s="319"/>
    </row>
    <row r="5557" spans="3:7">
      <c r="C5557" s="319"/>
      <c r="D5557" s="319"/>
      <c r="G5557" s="320"/>
    </row>
    <row r="5558" spans="3:4">
      <c r="C5558" s="319"/>
      <c r="D5558" s="319"/>
    </row>
    <row r="5559" spans="3:7">
      <c r="C5559" s="319"/>
      <c r="D5559" s="319"/>
      <c r="G5559" s="320"/>
    </row>
    <row r="5560" spans="3:4">
      <c r="C5560" s="319"/>
      <c r="D5560" s="319"/>
    </row>
    <row r="5561" spans="3:7">
      <c r="C5561" s="319"/>
      <c r="D5561" s="319"/>
      <c r="G5561" s="320"/>
    </row>
    <row r="5562" spans="3:7">
      <c r="C5562" s="319"/>
      <c r="D5562" s="319"/>
      <c r="G5562" s="320"/>
    </row>
    <row r="5563" spans="3:4">
      <c r="C5563" s="319"/>
      <c r="D5563" s="319"/>
    </row>
    <row r="5564" spans="3:4">
      <c r="C5564" s="319"/>
      <c r="D5564" s="319"/>
    </row>
    <row r="5565" spans="3:7">
      <c r="C5565" s="319"/>
      <c r="D5565" s="319"/>
      <c r="G5565" s="320"/>
    </row>
    <row r="5566" spans="3:7">
      <c r="C5566" s="319"/>
      <c r="D5566" s="319"/>
      <c r="G5566" s="320"/>
    </row>
    <row r="5567" spans="3:7">
      <c r="C5567" s="319"/>
      <c r="D5567" s="319"/>
      <c r="G5567" s="320"/>
    </row>
    <row r="5568" spans="3:7">
      <c r="C5568" s="319"/>
      <c r="D5568" s="319"/>
      <c r="G5568" s="320"/>
    </row>
    <row r="5569" spans="3:7">
      <c r="C5569" s="319"/>
      <c r="D5569" s="319"/>
      <c r="G5569" s="320"/>
    </row>
    <row r="5570" spans="3:7">
      <c r="C5570" s="319"/>
      <c r="D5570" s="319"/>
      <c r="G5570" s="320"/>
    </row>
    <row r="5571" spans="3:7">
      <c r="C5571" s="319"/>
      <c r="D5571" s="319"/>
      <c r="G5571" s="320"/>
    </row>
    <row r="5572" spans="3:7">
      <c r="C5572" s="319"/>
      <c r="D5572" s="319"/>
      <c r="G5572" s="320"/>
    </row>
    <row r="5573" spans="3:7">
      <c r="C5573" s="319"/>
      <c r="D5573" s="319"/>
      <c r="G5573" s="320"/>
    </row>
    <row r="5574" spans="3:7">
      <c r="C5574" s="319"/>
      <c r="D5574" s="319"/>
      <c r="G5574" s="320"/>
    </row>
    <row r="5575" spans="3:7">
      <c r="C5575" s="319"/>
      <c r="D5575" s="319"/>
      <c r="G5575" s="320"/>
    </row>
    <row r="5576" spans="3:7">
      <c r="C5576" s="319"/>
      <c r="D5576" s="319"/>
      <c r="G5576" s="320"/>
    </row>
    <row r="5577" spans="3:7">
      <c r="C5577" s="319"/>
      <c r="D5577" s="319"/>
      <c r="G5577" s="320"/>
    </row>
    <row r="5578" spans="3:7">
      <c r="C5578" s="319"/>
      <c r="D5578" s="319"/>
      <c r="G5578" s="320"/>
    </row>
    <row r="5579" spans="3:7">
      <c r="C5579" s="319"/>
      <c r="D5579" s="319"/>
      <c r="G5579" s="320"/>
    </row>
    <row r="5580" spans="3:7">
      <c r="C5580" s="319"/>
      <c r="D5580" s="319"/>
      <c r="G5580" s="320"/>
    </row>
    <row r="5581" spans="3:7">
      <c r="C5581" s="319"/>
      <c r="D5581" s="319"/>
      <c r="G5581" s="320"/>
    </row>
    <row r="5582" spans="3:7">
      <c r="C5582" s="319"/>
      <c r="D5582" s="319"/>
      <c r="G5582" s="320"/>
    </row>
    <row r="5583" spans="3:7">
      <c r="C5583" s="319"/>
      <c r="D5583" s="319"/>
      <c r="G5583" s="320"/>
    </row>
    <row r="5584" spans="3:7">
      <c r="C5584" s="319"/>
      <c r="D5584" s="319"/>
      <c r="G5584" s="320"/>
    </row>
    <row r="5585" spans="3:7">
      <c r="C5585" s="319"/>
      <c r="D5585" s="319"/>
      <c r="G5585" s="320"/>
    </row>
    <row r="5586" spans="3:7">
      <c r="C5586" s="319"/>
      <c r="D5586" s="319"/>
      <c r="G5586" s="320"/>
    </row>
    <row r="5587" spans="3:4">
      <c r="C5587" s="319"/>
      <c r="D5587" s="319"/>
    </row>
    <row r="5588" spans="3:7">
      <c r="C5588" s="319"/>
      <c r="D5588" s="319"/>
      <c r="G5588" s="320"/>
    </row>
    <row r="5589" spans="3:4">
      <c r="C5589" s="319"/>
      <c r="D5589" s="319"/>
    </row>
    <row r="5590" spans="3:7">
      <c r="C5590" s="319"/>
      <c r="D5590" s="319"/>
      <c r="G5590" s="320"/>
    </row>
    <row r="5591" spans="3:7">
      <c r="C5591" s="319"/>
      <c r="D5591" s="319"/>
      <c r="G5591" s="320"/>
    </row>
    <row r="5592" spans="3:7">
      <c r="C5592" s="319"/>
      <c r="D5592" s="319"/>
      <c r="G5592" s="320"/>
    </row>
    <row r="5593" spans="3:7">
      <c r="C5593" s="319"/>
      <c r="D5593" s="319"/>
      <c r="G5593" s="320"/>
    </row>
    <row r="5594" spans="3:7">
      <c r="C5594" s="319"/>
      <c r="D5594" s="319"/>
      <c r="G5594" s="320"/>
    </row>
    <row r="5595" spans="3:7">
      <c r="C5595" s="319"/>
      <c r="D5595" s="319"/>
      <c r="G5595" s="320"/>
    </row>
    <row r="5596" spans="3:7">
      <c r="C5596" s="319"/>
      <c r="D5596" s="319"/>
      <c r="G5596" s="320"/>
    </row>
    <row r="5597" spans="3:7">
      <c r="C5597" s="319"/>
      <c r="D5597" s="319"/>
      <c r="G5597" s="320"/>
    </row>
    <row r="5598" spans="3:7">
      <c r="C5598" s="319"/>
      <c r="D5598" s="319"/>
      <c r="G5598" s="320"/>
    </row>
    <row r="5599" spans="3:7">
      <c r="C5599" s="319"/>
      <c r="D5599" s="319"/>
      <c r="G5599" s="320"/>
    </row>
    <row r="5600" spans="3:7">
      <c r="C5600" s="319"/>
      <c r="D5600" s="319"/>
      <c r="G5600" s="320"/>
    </row>
    <row r="5601" spans="3:7">
      <c r="C5601" s="319"/>
      <c r="D5601" s="319"/>
      <c r="G5601" s="320"/>
    </row>
    <row r="5602" spans="3:7">
      <c r="C5602" s="319"/>
      <c r="D5602" s="319"/>
      <c r="G5602" s="320"/>
    </row>
    <row r="5603" spans="3:4">
      <c r="C5603" s="319"/>
      <c r="D5603" s="319"/>
    </row>
    <row r="5604" spans="3:7">
      <c r="C5604" s="319"/>
      <c r="D5604" s="319"/>
      <c r="G5604" s="320"/>
    </row>
    <row r="5605" spans="3:4">
      <c r="C5605" s="319"/>
      <c r="D5605" s="319"/>
    </row>
    <row r="5606" spans="3:7">
      <c r="C5606" s="319"/>
      <c r="D5606" s="319"/>
      <c r="G5606" s="320"/>
    </row>
    <row r="5607" spans="3:7">
      <c r="C5607" s="319"/>
      <c r="D5607" s="319"/>
      <c r="G5607" s="320"/>
    </row>
    <row r="5608" spans="3:7">
      <c r="C5608" s="319"/>
      <c r="D5608" s="319"/>
      <c r="G5608" s="320"/>
    </row>
    <row r="5609" spans="3:7">
      <c r="C5609" s="319"/>
      <c r="D5609" s="319"/>
      <c r="G5609" s="320"/>
    </row>
    <row r="5610" spans="3:7">
      <c r="C5610" s="319"/>
      <c r="D5610" s="319"/>
      <c r="G5610" s="320"/>
    </row>
    <row r="5611" spans="3:7">
      <c r="C5611" s="319"/>
      <c r="D5611" s="319"/>
      <c r="G5611" s="320"/>
    </row>
    <row r="5612" spans="3:7">
      <c r="C5612" s="319"/>
      <c r="D5612" s="319"/>
      <c r="G5612" s="320"/>
    </row>
    <row r="5613" spans="3:7">
      <c r="C5613" s="319"/>
      <c r="D5613" s="319"/>
      <c r="G5613" s="320"/>
    </row>
    <row r="5614" spans="3:4">
      <c r="C5614" s="319"/>
      <c r="D5614" s="319"/>
    </row>
    <row r="5615" spans="3:7">
      <c r="C5615" s="319"/>
      <c r="D5615" s="319"/>
      <c r="G5615" s="320"/>
    </row>
    <row r="5616" spans="3:7">
      <c r="C5616" s="319"/>
      <c r="D5616" s="319"/>
      <c r="G5616" s="320"/>
    </row>
    <row r="5617" spans="3:7">
      <c r="C5617" s="319"/>
      <c r="D5617" s="319"/>
      <c r="G5617" s="320"/>
    </row>
    <row r="5618" spans="3:7">
      <c r="C5618" s="319"/>
      <c r="D5618" s="319"/>
      <c r="G5618" s="320"/>
    </row>
    <row r="5619" spans="3:7">
      <c r="C5619" s="319"/>
      <c r="D5619" s="319"/>
      <c r="G5619" s="320"/>
    </row>
    <row r="5620" spans="3:7">
      <c r="C5620" s="319"/>
      <c r="D5620" s="319"/>
      <c r="G5620" s="320"/>
    </row>
    <row r="5621" spans="3:7">
      <c r="C5621" s="319"/>
      <c r="D5621" s="319"/>
      <c r="G5621" s="320"/>
    </row>
    <row r="5622" spans="3:7">
      <c r="C5622" s="319"/>
      <c r="D5622" s="319"/>
      <c r="G5622" s="320"/>
    </row>
    <row r="5623" spans="3:7">
      <c r="C5623" s="319"/>
      <c r="D5623" s="319"/>
      <c r="G5623" s="320"/>
    </row>
    <row r="5624" spans="3:7">
      <c r="C5624" s="319"/>
      <c r="D5624" s="319"/>
      <c r="G5624" s="320"/>
    </row>
    <row r="5625" spans="3:4">
      <c r="C5625" s="319"/>
      <c r="D5625" s="319"/>
    </row>
    <row r="5626" spans="3:4">
      <c r="C5626" s="319"/>
      <c r="D5626" s="319"/>
    </row>
    <row r="5627" spans="3:7">
      <c r="C5627" s="319"/>
      <c r="D5627" s="319"/>
      <c r="G5627" s="320"/>
    </row>
    <row r="5628" spans="3:7">
      <c r="C5628" s="319"/>
      <c r="D5628" s="319"/>
      <c r="G5628" s="320"/>
    </row>
    <row r="5629" spans="3:7">
      <c r="C5629" s="319"/>
      <c r="D5629" s="319"/>
      <c r="G5629" s="320"/>
    </row>
    <row r="5630" spans="3:7">
      <c r="C5630" s="319"/>
      <c r="D5630" s="319"/>
      <c r="G5630" s="320"/>
    </row>
    <row r="5631" spans="3:7">
      <c r="C5631" s="319"/>
      <c r="D5631" s="319"/>
      <c r="G5631" s="320"/>
    </row>
    <row r="5632" spans="3:4">
      <c r="C5632" s="319"/>
      <c r="D5632" s="319"/>
    </row>
    <row r="5633" spans="3:4">
      <c r="C5633" s="319"/>
      <c r="D5633" s="319"/>
    </row>
    <row r="5634" spans="3:4">
      <c r="C5634" s="319"/>
      <c r="D5634" s="319"/>
    </row>
    <row r="5635" spans="3:7">
      <c r="C5635" s="319"/>
      <c r="D5635" s="319"/>
      <c r="G5635" s="320"/>
    </row>
    <row r="5636" spans="3:4">
      <c r="C5636" s="319"/>
      <c r="D5636" s="319"/>
    </row>
    <row r="5637" spans="3:4">
      <c r="C5637" s="319"/>
      <c r="D5637" s="319"/>
    </row>
    <row r="5638" spans="3:7">
      <c r="C5638" s="319"/>
      <c r="D5638" s="319"/>
      <c r="G5638" s="320"/>
    </row>
    <row r="5639" spans="3:4">
      <c r="C5639" s="319"/>
      <c r="D5639" s="319"/>
    </row>
    <row r="5640" spans="3:7">
      <c r="C5640" s="319"/>
      <c r="D5640" s="319"/>
      <c r="G5640" s="320"/>
    </row>
    <row r="5641" spans="3:4">
      <c r="C5641" s="319"/>
      <c r="D5641" s="319"/>
    </row>
    <row r="5642" spans="3:7">
      <c r="C5642" s="319"/>
      <c r="D5642" s="319"/>
      <c r="G5642" s="320"/>
    </row>
    <row r="5643" spans="3:7">
      <c r="C5643" s="319"/>
      <c r="D5643" s="319"/>
      <c r="G5643" s="320"/>
    </row>
    <row r="5644" spans="3:7">
      <c r="C5644" s="319"/>
      <c r="D5644" s="319"/>
      <c r="G5644" s="320"/>
    </row>
    <row r="5645" spans="3:4">
      <c r="C5645" s="319"/>
      <c r="D5645" s="319"/>
    </row>
    <row r="5646" spans="3:7">
      <c r="C5646" s="319"/>
      <c r="D5646" s="319"/>
      <c r="G5646" s="320"/>
    </row>
    <row r="5647" spans="3:7">
      <c r="C5647" s="319"/>
      <c r="D5647" s="319"/>
      <c r="G5647" s="320"/>
    </row>
    <row r="5648" spans="3:4">
      <c r="C5648" s="319"/>
      <c r="D5648" s="319"/>
    </row>
    <row r="5649" spans="3:7">
      <c r="C5649" s="319"/>
      <c r="D5649" s="319"/>
      <c r="G5649" s="320"/>
    </row>
    <row r="5650" spans="3:4">
      <c r="C5650" s="319"/>
      <c r="D5650" s="319"/>
    </row>
    <row r="5651" spans="3:7">
      <c r="C5651" s="319"/>
      <c r="D5651" s="319"/>
      <c r="G5651" s="320"/>
    </row>
    <row r="5652" spans="3:4">
      <c r="C5652" s="319"/>
      <c r="D5652" s="319"/>
    </row>
    <row r="5653" spans="3:7">
      <c r="C5653" s="319"/>
      <c r="D5653" s="319"/>
      <c r="G5653" s="320"/>
    </row>
    <row r="5654" spans="3:7">
      <c r="C5654" s="319"/>
      <c r="D5654" s="319"/>
      <c r="G5654" s="320"/>
    </row>
    <row r="5655" spans="3:7">
      <c r="C5655" s="319"/>
      <c r="D5655" s="319"/>
      <c r="G5655" s="320"/>
    </row>
    <row r="5656" spans="3:4">
      <c r="C5656" s="319"/>
      <c r="D5656" s="319"/>
    </row>
    <row r="5657" spans="3:7">
      <c r="C5657" s="319"/>
      <c r="D5657" s="319"/>
      <c r="G5657" s="320"/>
    </row>
    <row r="5658" spans="3:4">
      <c r="C5658" s="319"/>
      <c r="D5658" s="319"/>
    </row>
    <row r="5659" spans="3:4">
      <c r="C5659" s="319"/>
      <c r="D5659" s="319"/>
    </row>
    <row r="5660" spans="3:4">
      <c r="C5660" s="319"/>
      <c r="D5660" s="319"/>
    </row>
    <row r="5661" spans="3:7">
      <c r="C5661" s="319"/>
      <c r="D5661" s="319"/>
      <c r="G5661" s="320"/>
    </row>
    <row r="5662" spans="3:7">
      <c r="C5662" s="319"/>
      <c r="D5662" s="319"/>
      <c r="G5662" s="320"/>
    </row>
    <row r="5663" spans="3:7">
      <c r="C5663" s="319"/>
      <c r="D5663" s="319"/>
      <c r="G5663" s="320"/>
    </row>
    <row r="5664" spans="3:7">
      <c r="C5664" s="319"/>
      <c r="D5664" s="319"/>
      <c r="G5664" s="320"/>
    </row>
    <row r="5665" spans="3:4">
      <c r="C5665" s="319"/>
      <c r="D5665" s="319"/>
    </row>
    <row r="5666" spans="3:4">
      <c r="C5666" s="319"/>
      <c r="D5666" s="319"/>
    </row>
    <row r="5667" spans="3:7">
      <c r="C5667" s="319"/>
      <c r="D5667" s="319"/>
      <c r="G5667" s="320"/>
    </row>
    <row r="5668" spans="3:7">
      <c r="C5668" s="319"/>
      <c r="D5668" s="319"/>
      <c r="G5668" s="320"/>
    </row>
    <row r="5669" spans="3:7">
      <c r="C5669" s="319"/>
      <c r="D5669" s="319"/>
      <c r="G5669" s="320"/>
    </row>
    <row r="5670" spans="3:7">
      <c r="C5670" s="319"/>
      <c r="D5670" s="319"/>
      <c r="G5670" s="320"/>
    </row>
    <row r="5671" spans="3:4">
      <c r="C5671" s="319"/>
      <c r="D5671" s="319"/>
    </row>
    <row r="5672" spans="3:7">
      <c r="C5672" s="319"/>
      <c r="D5672" s="319"/>
      <c r="G5672" s="320"/>
    </row>
    <row r="5673" spans="3:4">
      <c r="C5673" s="319"/>
      <c r="D5673" s="319"/>
    </row>
    <row r="5674" spans="3:7">
      <c r="C5674" s="319"/>
      <c r="D5674" s="319"/>
      <c r="G5674" s="320"/>
    </row>
    <row r="5675" spans="3:4">
      <c r="C5675" s="319"/>
      <c r="D5675" s="319"/>
    </row>
    <row r="5676" spans="3:4">
      <c r="C5676" s="319"/>
      <c r="D5676" s="319"/>
    </row>
    <row r="5677" spans="3:7">
      <c r="C5677" s="319"/>
      <c r="D5677" s="319"/>
      <c r="G5677" s="320"/>
    </row>
    <row r="5678" spans="3:4">
      <c r="C5678" s="319"/>
      <c r="D5678" s="319"/>
    </row>
    <row r="5679" spans="3:4">
      <c r="C5679" s="319"/>
      <c r="D5679" s="319"/>
    </row>
    <row r="5680" spans="3:7">
      <c r="C5680" s="319"/>
      <c r="D5680" s="319"/>
      <c r="G5680" s="320"/>
    </row>
    <row r="5681" spans="3:7">
      <c r="C5681" s="319"/>
      <c r="D5681" s="319"/>
      <c r="G5681" s="320"/>
    </row>
    <row r="5682" spans="3:7">
      <c r="C5682" s="319"/>
      <c r="D5682" s="319"/>
      <c r="G5682" s="320"/>
    </row>
    <row r="5683" spans="3:7">
      <c r="C5683" s="319"/>
      <c r="D5683" s="319"/>
      <c r="G5683" s="320"/>
    </row>
    <row r="5684" spans="3:4">
      <c r="C5684" s="319"/>
      <c r="D5684" s="319"/>
    </row>
    <row r="5685" spans="3:7">
      <c r="C5685" s="319"/>
      <c r="D5685" s="319"/>
      <c r="G5685" s="320"/>
    </row>
    <row r="5686" spans="3:7">
      <c r="C5686" s="319"/>
      <c r="D5686" s="319"/>
      <c r="G5686" s="320"/>
    </row>
    <row r="5687" spans="3:7">
      <c r="C5687" s="319"/>
      <c r="D5687" s="319"/>
      <c r="G5687" s="320"/>
    </row>
    <row r="5688" spans="3:4">
      <c r="C5688" s="319"/>
      <c r="D5688" s="319"/>
    </row>
    <row r="5689" spans="3:7">
      <c r="C5689" s="319"/>
      <c r="D5689" s="319"/>
      <c r="G5689" s="320"/>
    </row>
    <row r="5690" spans="3:4">
      <c r="C5690" s="319"/>
      <c r="D5690" s="319"/>
    </row>
    <row r="5691" spans="3:4">
      <c r="C5691" s="319"/>
      <c r="D5691" s="319"/>
    </row>
    <row r="5692" spans="3:7">
      <c r="C5692" s="319"/>
      <c r="D5692" s="319"/>
      <c r="G5692" s="320"/>
    </row>
    <row r="5693" spans="3:7">
      <c r="C5693" s="319"/>
      <c r="D5693" s="319"/>
      <c r="G5693" s="320"/>
    </row>
    <row r="5694" spans="3:7">
      <c r="C5694" s="319"/>
      <c r="D5694" s="319"/>
      <c r="G5694" s="320"/>
    </row>
    <row r="5695" spans="3:7">
      <c r="C5695" s="319"/>
      <c r="D5695" s="319"/>
      <c r="G5695" s="320"/>
    </row>
    <row r="5696" spans="3:4">
      <c r="C5696" s="319"/>
      <c r="D5696" s="319"/>
    </row>
    <row r="5697" spans="3:4">
      <c r="C5697" s="319"/>
      <c r="D5697" s="319"/>
    </row>
    <row r="5698" spans="3:7">
      <c r="C5698" s="319"/>
      <c r="D5698" s="319"/>
      <c r="G5698" s="320"/>
    </row>
    <row r="5699" spans="3:7">
      <c r="C5699" s="319"/>
      <c r="D5699" s="319"/>
      <c r="G5699" s="320"/>
    </row>
    <row r="5700" spans="3:7">
      <c r="C5700" s="319"/>
      <c r="D5700" s="319"/>
      <c r="G5700" s="320"/>
    </row>
    <row r="5701" spans="3:4">
      <c r="C5701" s="319"/>
      <c r="D5701" s="319"/>
    </row>
    <row r="5702" spans="3:4">
      <c r="C5702" s="319"/>
      <c r="D5702" s="319"/>
    </row>
    <row r="5703" spans="3:7">
      <c r="C5703" s="319"/>
      <c r="D5703" s="319"/>
      <c r="G5703" s="320"/>
    </row>
    <row r="5704" spans="3:7">
      <c r="C5704" s="319"/>
      <c r="D5704" s="319"/>
      <c r="G5704" s="320"/>
    </row>
    <row r="5705" spans="3:4">
      <c r="C5705" s="319"/>
      <c r="D5705" s="319"/>
    </row>
    <row r="5706" spans="3:7">
      <c r="C5706" s="319"/>
      <c r="D5706" s="319"/>
      <c r="G5706" s="320"/>
    </row>
    <row r="5707" spans="3:4">
      <c r="C5707" s="319"/>
      <c r="D5707" s="319"/>
    </row>
    <row r="5708" spans="3:7">
      <c r="C5708" s="319"/>
      <c r="D5708" s="319"/>
      <c r="G5708" s="320"/>
    </row>
    <row r="5709" spans="3:7">
      <c r="C5709" s="319"/>
      <c r="D5709" s="319"/>
      <c r="G5709" s="320"/>
    </row>
    <row r="5710" spans="3:4">
      <c r="C5710" s="319"/>
      <c r="D5710" s="319"/>
    </row>
    <row r="5711" spans="3:7">
      <c r="C5711" s="319"/>
      <c r="D5711" s="319"/>
      <c r="G5711" s="320"/>
    </row>
    <row r="5712" spans="3:4">
      <c r="C5712" s="319"/>
      <c r="D5712" s="319"/>
    </row>
    <row r="5713" spans="3:7">
      <c r="C5713" s="319"/>
      <c r="D5713" s="319"/>
      <c r="G5713" s="320"/>
    </row>
    <row r="5714" spans="3:7">
      <c r="C5714" s="319"/>
      <c r="D5714" s="319"/>
      <c r="G5714" s="320"/>
    </row>
    <row r="5715" spans="3:7">
      <c r="C5715" s="319"/>
      <c r="D5715" s="319"/>
      <c r="G5715" s="320"/>
    </row>
    <row r="5716" spans="3:7">
      <c r="C5716" s="319"/>
      <c r="D5716" s="319"/>
      <c r="G5716" s="320"/>
    </row>
    <row r="5717" spans="3:7">
      <c r="C5717" s="319"/>
      <c r="D5717" s="319"/>
      <c r="G5717" s="320"/>
    </row>
    <row r="5718" spans="3:4">
      <c r="C5718" s="319"/>
      <c r="D5718" s="319"/>
    </row>
    <row r="5719" spans="3:7">
      <c r="C5719" s="319"/>
      <c r="D5719" s="319"/>
      <c r="G5719" s="320"/>
    </row>
    <row r="5720" spans="3:7">
      <c r="C5720" s="319"/>
      <c r="D5720" s="319"/>
      <c r="G5720" s="320"/>
    </row>
    <row r="5721" spans="3:7">
      <c r="C5721" s="319"/>
      <c r="D5721" s="319"/>
      <c r="G5721" s="320"/>
    </row>
    <row r="5722" spans="3:4">
      <c r="C5722" s="319"/>
      <c r="D5722" s="319"/>
    </row>
    <row r="5723" spans="3:7">
      <c r="C5723" s="319"/>
      <c r="D5723" s="319"/>
      <c r="G5723" s="320"/>
    </row>
    <row r="5724" spans="3:4">
      <c r="C5724" s="319"/>
      <c r="D5724" s="319"/>
    </row>
    <row r="5725" spans="3:4">
      <c r="C5725" s="319"/>
      <c r="D5725" s="319"/>
    </row>
    <row r="5726" spans="3:4">
      <c r="C5726" s="319"/>
      <c r="D5726" s="319"/>
    </row>
    <row r="5727" spans="3:4">
      <c r="C5727" s="319"/>
      <c r="D5727" s="319"/>
    </row>
    <row r="5728" spans="3:4">
      <c r="C5728" s="319"/>
      <c r="D5728" s="319"/>
    </row>
    <row r="5729" spans="3:7">
      <c r="C5729" s="319"/>
      <c r="D5729" s="319"/>
      <c r="G5729" s="320"/>
    </row>
    <row r="5730" spans="3:4">
      <c r="C5730" s="319"/>
      <c r="D5730" s="319"/>
    </row>
    <row r="5731" spans="3:4">
      <c r="C5731" s="319"/>
      <c r="D5731" s="319"/>
    </row>
    <row r="5732" spans="3:7">
      <c r="C5732" s="319"/>
      <c r="D5732" s="319"/>
      <c r="G5732" s="320"/>
    </row>
    <row r="5733" spans="3:4">
      <c r="C5733" s="319"/>
      <c r="D5733" s="319"/>
    </row>
    <row r="5734" spans="3:7">
      <c r="C5734" s="319"/>
      <c r="D5734" s="319"/>
      <c r="G5734" s="320"/>
    </row>
    <row r="5735" spans="3:7">
      <c r="C5735" s="319"/>
      <c r="D5735" s="319"/>
      <c r="G5735" s="320"/>
    </row>
    <row r="5736" spans="3:4">
      <c r="C5736" s="319"/>
      <c r="D5736" s="319"/>
    </row>
    <row r="5737" spans="3:4">
      <c r="C5737" s="319"/>
      <c r="D5737" s="319"/>
    </row>
    <row r="5738" spans="3:7">
      <c r="C5738" s="319"/>
      <c r="D5738" s="319"/>
      <c r="G5738" s="320"/>
    </row>
    <row r="5739" spans="3:7">
      <c r="C5739" s="319"/>
      <c r="D5739" s="319"/>
      <c r="G5739" s="320"/>
    </row>
    <row r="5740" spans="3:4">
      <c r="C5740" s="319"/>
      <c r="D5740" s="319"/>
    </row>
    <row r="5741" spans="3:7">
      <c r="C5741" s="319"/>
      <c r="D5741" s="319"/>
      <c r="G5741" s="320"/>
    </row>
    <row r="5742" spans="3:7">
      <c r="C5742" s="319"/>
      <c r="D5742" s="319"/>
      <c r="G5742" s="320"/>
    </row>
    <row r="5743" spans="3:4">
      <c r="C5743" s="319"/>
      <c r="D5743" s="319"/>
    </row>
    <row r="5744" spans="3:4">
      <c r="C5744" s="319"/>
      <c r="D5744" s="319"/>
    </row>
    <row r="5745" spans="3:7">
      <c r="C5745" s="319"/>
      <c r="D5745" s="319"/>
      <c r="G5745" s="320"/>
    </row>
    <row r="5746" spans="3:7">
      <c r="C5746" s="319"/>
      <c r="D5746" s="319"/>
      <c r="G5746" s="320"/>
    </row>
    <row r="5747" spans="3:7">
      <c r="C5747" s="319"/>
      <c r="D5747" s="319"/>
      <c r="G5747" s="320"/>
    </row>
    <row r="5748" spans="3:7">
      <c r="C5748" s="319"/>
      <c r="D5748" s="319"/>
      <c r="G5748" s="320"/>
    </row>
    <row r="5749" spans="3:4">
      <c r="C5749" s="319"/>
      <c r="D5749" s="319"/>
    </row>
    <row r="5750" spans="3:4">
      <c r="C5750" s="319"/>
      <c r="D5750" s="319"/>
    </row>
    <row r="5751" spans="3:7">
      <c r="C5751" s="319"/>
      <c r="D5751" s="319"/>
      <c r="G5751" s="320"/>
    </row>
    <row r="5752" spans="3:4">
      <c r="C5752" s="319"/>
      <c r="D5752" s="319"/>
    </row>
    <row r="5753" spans="3:4">
      <c r="C5753" s="319"/>
      <c r="D5753" s="319"/>
    </row>
    <row r="5754" spans="3:7">
      <c r="C5754" s="319"/>
      <c r="D5754" s="319"/>
      <c r="G5754" s="320"/>
    </row>
    <row r="5755" spans="3:4">
      <c r="C5755" s="319"/>
      <c r="D5755" s="319"/>
    </row>
    <row r="5756" spans="3:7">
      <c r="C5756" s="319"/>
      <c r="D5756" s="319"/>
      <c r="G5756" s="320"/>
    </row>
    <row r="5757" spans="3:4">
      <c r="C5757" s="319"/>
      <c r="D5757" s="319"/>
    </row>
    <row r="5758" spans="3:4">
      <c r="C5758" s="319"/>
      <c r="D5758" s="319"/>
    </row>
    <row r="5759" spans="3:7">
      <c r="C5759" s="319"/>
      <c r="D5759" s="319"/>
      <c r="G5759" s="320"/>
    </row>
    <row r="5760" spans="3:7">
      <c r="C5760" s="319"/>
      <c r="D5760" s="319"/>
      <c r="G5760" s="320"/>
    </row>
    <row r="5761" spans="3:4">
      <c r="C5761" s="319"/>
      <c r="D5761" s="319"/>
    </row>
    <row r="5762" spans="3:7">
      <c r="C5762" s="319"/>
      <c r="D5762" s="319"/>
      <c r="G5762" s="320"/>
    </row>
    <row r="5763" spans="3:7">
      <c r="C5763" s="319"/>
      <c r="D5763" s="319"/>
      <c r="G5763" s="320"/>
    </row>
    <row r="5764" spans="3:7">
      <c r="C5764" s="319"/>
      <c r="D5764" s="319"/>
      <c r="G5764" s="320"/>
    </row>
    <row r="5765" spans="3:4">
      <c r="C5765" s="319"/>
      <c r="D5765" s="319"/>
    </row>
    <row r="5766" spans="3:4">
      <c r="C5766" s="319"/>
      <c r="D5766" s="319"/>
    </row>
    <row r="5767" spans="3:4">
      <c r="C5767" s="319"/>
      <c r="D5767" s="319"/>
    </row>
    <row r="5768" spans="3:7">
      <c r="C5768" s="319"/>
      <c r="D5768" s="319"/>
      <c r="G5768" s="320"/>
    </row>
    <row r="5769" spans="3:7">
      <c r="C5769" s="319"/>
      <c r="D5769" s="319"/>
      <c r="G5769" s="320"/>
    </row>
    <row r="5770" spans="3:4">
      <c r="C5770" s="319"/>
      <c r="D5770" s="319"/>
    </row>
    <row r="5771" spans="3:4">
      <c r="C5771" s="319"/>
      <c r="D5771" s="319"/>
    </row>
    <row r="5772" spans="3:4">
      <c r="C5772" s="319"/>
      <c r="D5772" s="319"/>
    </row>
    <row r="5773" spans="3:4">
      <c r="C5773" s="319"/>
      <c r="D5773" s="319"/>
    </row>
    <row r="5774" spans="3:7">
      <c r="C5774" s="319"/>
      <c r="D5774" s="319"/>
      <c r="G5774" s="320"/>
    </row>
    <row r="5775" spans="3:4">
      <c r="C5775" s="319"/>
      <c r="D5775" s="319"/>
    </row>
    <row r="5776" spans="3:7">
      <c r="C5776" s="319"/>
      <c r="D5776" s="319"/>
      <c r="G5776" s="320"/>
    </row>
    <row r="5777" spans="3:4">
      <c r="C5777" s="319"/>
      <c r="D5777" s="319"/>
    </row>
    <row r="5778" spans="3:7">
      <c r="C5778" s="319"/>
      <c r="D5778" s="319"/>
      <c r="G5778" s="320"/>
    </row>
    <row r="5779" spans="3:4">
      <c r="C5779" s="319"/>
      <c r="D5779" s="319"/>
    </row>
    <row r="5780" spans="3:7">
      <c r="C5780" s="319"/>
      <c r="D5780" s="319"/>
      <c r="G5780" s="320"/>
    </row>
    <row r="5781" spans="3:7">
      <c r="C5781" s="319"/>
      <c r="D5781" s="319"/>
      <c r="G5781" s="320"/>
    </row>
    <row r="5782" spans="3:7">
      <c r="C5782" s="319"/>
      <c r="D5782" s="319"/>
      <c r="G5782" s="320"/>
    </row>
    <row r="5783" spans="3:7">
      <c r="C5783" s="319"/>
      <c r="D5783" s="319"/>
      <c r="G5783" s="320"/>
    </row>
    <row r="5784" spans="3:7">
      <c r="C5784" s="319"/>
      <c r="D5784" s="319"/>
      <c r="G5784" s="320"/>
    </row>
    <row r="5785" spans="3:7">
      <c r="C5785" s="319"/>
      <c r="D5785" s="319"/>
      <c r="G5785" s="320"/>
    </row>
    <row r="5786" spans="3:7">
      <c r="C5786" s="319"/>
      <c r="D5786" s="319"/>
      <c r="G5786" s="320"/>
    </row>
    <row r="5787" spans="3:4">
      <c r="C5787" s="319"/>
      <c r="D5787" s="319"/>
    </row>
    <row r="5788" spans="3:4">
      <c r="C5788" s="319"/>
      <c r="D5788" s="319"/>
    </row>
    <row r="5789" spans="3:7">
      <c r="C5789" s="319"/>
      <c r="D5789" s="319"/>
      <c r="G5789" s="320"/>
    </row>
    <row r="5790" spans="3:7">
      <c r="C5790" s="319"/>
      <c r="D5790" s="319"/>
      <c r="G5790" s="320"/>
    </row>
    <row r="5791" spans="3:4">
      <c r="C5791" s="319"/>
      <c r="D5791" s="319"/>
    </row>
    <row r="5792" spans="3:4">
      <c r="C5792" s="319"/>
      <c r="D5792" s="319"/>
    </row>
    <row r="5793" spans="3:4">
      <c r="C5793" s="319"/>
      <c r="D5793" s="319"/>
    </row>
    <row r="5794" spans="3:4">
      <c r="C5794" s="319"/>
      <c r="D5794" s="319"/>
    </row>
    <row r="5795" spans="3:7">
      <c r="C5795" s="319"/>
      <c r="D5795" s="319"/>
      <c r="G5795" s="320"/>
    </row>
    <row r="5796" spans="3:7">
      <c r="C5796" s="319"/>
      <c r="D5796" s="319"/>
      <c r="G5796" s="320"/>
    </row>
    <row r="5797" spans="3:7">
      <c r="C5797" s="319"/>
      <c r="D5797" s="319"/>
      <c r="G5797" s="320"/>
    </row>
    <row r="5798" spans="3:7">
      <c r="C5798" s="319"/>
      <c r="D5798" s="319"/>
      <c r="G5798" s="320"/>
    </row>
    <row r="5799" spans="3:4">
      <c r="C5799" s="319"/>
      <c r="D5799" s="319"/>
    </row>
    <row r="5800" spans="3:7">
      <c r="C5800" s="319"/>
      <c r="D5800" s="319"/>
      <c r="G5800" s="320"/>
    </row>
    <row r="5801" spans="3:7">
      <c r="C5801" s="319"/>
      <c r="D5801" s="319"/>
      <c r="G5801" s="320"/>
    </row>
    <row r="5802" spans="3:4">
      <c r="C5802" s="319"/>
      <c r="D5802" s="319"/>
    </row>
    <row r="5803" spans="3:4">
      <c r="C5803" s="319"/>
      <c r="D5803" s="319"/>
    </row>
    <row r="5804" spans="3:7">
      <c r="C5804" s="319"/>
      <c r="D5804" s="319"/>
      <c r="G5804" s="320"/>
    </row>
    <row r="5805" spans="3:7">
      <c r="C5805" s="319"/>
      <c r="D5805" s="319"/>
      <c r="G5805" s="320"/>
    </row>
    <row r="5806" spans="3:7">
      <c r="C5806" s="319"/>
      <c r="D5806" s="319"/>
      <c r="G5806" s="320"/>
    </row>
    <row r="5807" spans="3:7">
      <c r="C5807" s="319"/>
      <c r="D5807" s="319"/>
      <c r="G5807" s="320"/>
    </row>
    <row r="5808" spans="3:4">
      <c r="C5808" s="319"/>
      <c r="D5808" s="319"/>
    </row>
    <row r="5809" spans="3:7">
      <c r="C5809" s="319"/>
      <c r="D5809" s="319"/>
      <c r="G5809" s="320"/>
    </row>
    <row r="5810" spans="3:4">
      <c r="C5810" s="319"/>
      <c r="D5810" s="319"/>
    </row>
    <row r="5811" spans="3:4">
      <c r="C5811" s="319"/>
      <c r="D5811" s="319"/>
    </row>
    <row r="5812" spans="3:7">
      <c r="C5812" s="319"/>
      <c r="D5812" s="319"/>
      <c r="G5812" s="320"/>
    </row>
    <row r="5813" spans="3:7">
      <c r="C5813" s="319"/>
      <c r="D5813" s="319"/>
      <c r="G5813" s="320"/>
    </row>
    <row r="5814" spans="3:4">
      <c r="C5814" s="319"/>
      <c r="D5814" s="319"/>
    </row>
    <row r="5815" spans="3:7">
      <c r="C5815" s="319"/>
      <c r="D5815" s="319"/>
      <c r="G5815" s="320"/>
    </row>
    <row r="5816" spans="3:4">
      <c r="C5816" s="319"/>
      <c r="D5816" s="319"/>
    </row>
    <row r="5817" spans="3:4">
      <c r="C5817" s="319"/>
      <c r="D5817" s="319"/>
    </row>
    <row r="5818" spans="3:4">
      <c r="C5818" s="319"/>
      <c r="D5818" s="319"/>
    </row>
    <row r="5819" spans="3:7">
      <c r="C5819" s="319"/>
      <c r="D5819" s="319"/>
      <c r="G5819" s="320"/>
    </row>
    <row r="5820" spans="3:7">
      <c r="C5820" s="319"/>
      <c r="D5820" s="319"/>
      <c r="G5820" s="320"/>
    </row>
    <row r="5821" spans="3:7">
      <c r="C5821" s="319"/>
      <c r="D5821" s="319"/>
      <c r="G5821" s="320"/>
    </row>
    <row r="5822" spans="3:7">
      <c r="C5822" s="319"/>
      <c r="D5822" s="319"/>
      <c r="G5822" s="320"/>
    </row>
    <row r="5823" spans="3:4">
      <c r="C5823" s="319"/>
      <c r="D5823" s="319"/>
    </row>
    <row r="5824" spans="3:7">
      <c r="C5824" s="319"/>
      <c r="D5824" s="319"/>
      <c r="G5824" s="320"/>
    </row>
    <row r="5825" spans="3:7">
      <c r="C5825" s="319"/>
      <c r="D5825" s="319"/>
      <c r="G5825" s="320"/>
    </row>
    <row r="5826" spans="3:7">
      <c r="C5826" s="319"/>
      <c r="D5826" s="319"/>
      <c r="G5826" s="320"/>
    </row>
    <row r="5827" spans="3:7">
      <c r="C5827" s="319"/>
      <c r="D5827" s="319"/>
      <c r="G5827" s="320"/>
    </row>
    <row r="5828" spans="3:7">
      <c r="C5828" s="319"/>
      <c r="D5828" s="319"/>
      <c r="G5828" s="320"/>
    </row>
    <row r="5829" spans="3:7">
      <c r="C5829" s="319"/>
      <c r="D5829" s="319"/>
      <c r="G5829" s="320"/>
    </row>
    <row r="5830" spans="3:7">
      <c r="C5830" s="319"/>
      <c r="D5830" s="319"/>
      <c r="G5830" s="320"/>
    </row>
    <row r="5831" spans="3:7">
      <c r="C5831" s="319"/>
      <c r="D5831" s="319"/>
      <c r="G5831" s="320"/>
    </row>
    <row r="5832" spans="3:7">
      <c r="C5832" s="319"/>
      <c r="D5832" s="319"/>
      <c r="G5832" s="320"/>
    </row>
    <row r="5833" spans="3:7">
      <c r="C5833" s="319"/>
      <c r="D5833" s="319"/>
      <c r="G5833" s="320"/>
    </row>
    <row r="5834" spans="3:7">
      <c r="C5834" s="319"/>
      <c r="D5834" s="319"/>
      <c r="G5834" s="320"/>
    </row>
    <row r="5835" spans="3:4">
      <c r="C5835" s="319"/>
      <c r="D5835" s="319"/>
    </row>
    <row r="5836" spans="3:4">
      <c r="C5836" s="319"/>
      <c r="D5836" s="319"/>
    </row>
    <row r="5837" spans="3:7">
      <c r="C5837" s="319"/>
      <c r="D5837" s="319"/>
      <c r="G5837" s="320"/>
    </row>
    <row r="5838" spans="3:4">
      <c r="C5838" s="319"/>
      <c r="D5838" s="319"/>
    </row>
    <row r="5839" spans="3:7">
      <c r="C5839" s="319"/>
      <c r="D5839" s="319"/>
      <c r="G5839" s="320"/>
    </row>
    <row r="5840" spans="3:7">
      <c r="C5840" s="319"/>
      <c r="D5840" s="319"/>
      <c r="G5840" s="320"/>
    </row>
    <row r="5841" spans="3:7">
      <c r="C5841" s="319"/>
      <c r="D5841" s="319"/>
      <c r="G5841" s="320"/>
    </row>
    <row r="5842" spans="3:4">
      <c r="C5842" s="319"/>
      <c r="D5842" s="319"/>
    </row>
    <row r="5843" spans="3:7">
      <c r="C5843" s="319"/>
      <c r="D5843" s="319"/>
      <c r="G5843" s="320"/>
    </row>
    <row r="5844" spans="3:7">
      <c r="C5844" s="319"/>
      <c r="D5844" s="319"/>
      <c r="G5844" s="320"/>
    </row>
    <row r="5845" spans="3:7">
      <c r="C5845" s="319"/>
      <c r="D5845" s="319"/>
      <c r="G5845" s="320"/>
    </row>
    <row r="5846" spans="3:4">
      <c r="C5846" s="319"/>
      <c r="D5846" s="319"/>
    </row>
    <row r="5847" spans="3:7">
      <c r="C5847" s="319"/>
      <c r="D5847" s="319"/>
      <c r="G5847" s="320"/>
    </row>
    <row r="5848" spans="3:7">
      <c r="C5848" s="319"/>
      <c r="D5848" s="319"/>
      <c r="G5848" s="320"/>
    </row>
    <row r="5849" spans="3:7">
      <c r="C5849" s="319"/>
      <c r="D5849" s="319"/>
      <c r="G5849" s="320"/>
    </row>
    <row r="5850" spans="3:7">
      <c r="C5850" s="319"/>
      <c r="D5850" s="319"/>
      <c r="G5850" s="320"/>
    </row>
    <row r="5851" spans="3:4">
      <c r="C5851" s="319"/>
      <c r="D5851" s="319"/>
    </row>
    <row r="5852" spans="3:4">
      <c r="C5852" s="319"/>
      <c r="D5852" s="319"/>
    </row>
    <row r="5853" spans="3:4">
      <c r="C5853" s="319"/>
      <c r="D5853" s="319"/>
    </row>
    <row r="5854" spans="3:7">
      <c r="C5854" s="319"/>
      <c r="D5854" s="319"/>
      <c r="G5854" s="320"/>
    </row>
    <row r="5855" spans="3:7">
      <c r="C5855" s="319"/>
      <c r="D5855" s="319"/>
      <c r="G5855" s="320"/>
    </row>
    <row r="5856" spans="3:7">
      <c r="C5856" s="319"/>
      <c r="D5856" s="319"/>
      <c r="G5856" s="320"/>
    </row>
    <row r="5857" spans="3:4">
      <c r="C5857" s="319"/>
      <c r="D5857" s="319"/>
    </row>
    <row r="5858" spans="3:7">
      <c r="C5858" s="319"/>
      <c r="D5858" s="319"/>
      <c r="G5858" s="320"/>
    </row>
    <row r="5859" spans="3:7">
      <c r="C5859" s="319"/>
      <c r="D5859" s="319"/>
      <c r="G5859" s="320"/>
    </row>
    <row r="5860" spans="3:7">
      <c r="C5860" s="319"/>
      <c r="D5860" s="319"/>
      <c r="G5860" s="320"/>
    </row>
    <row r="5861" spans="3:7">
      <c r="C5861" s="319"/>
      <c r="D5861" s="319"/>
      <c r="G5861" s="320"/>
    </row>
    <row r="5862" spans="3:4">
      <c r="C5862" s="319"/>
      <c r="D5862" s="319"/>
    </row>
    <row r="5863" spans="3:7">
      <c r="C5863" s="319"/>
      <c r="D5863" s="319"/>
      <c r="G5863" s="320"/>
    </row>
    <row r="5864" spans="3:4">
      <c r="C5864" s="319"/>
      <c r="D5864" s="319"/>
    </row>
    <row r="5865" spans="3:7">
      <c r="C5865" s="319"/>
      <c r="D5865" s="319"/>
      <c r="G5865" s="320"/>
    </row>
    <row r="5866" spans="3:7">
      <c r="C5866" s="319"/>
      <c r="D5866" s="319"/>
      <c r="G5866" s="320"/>
    </row>
    <row r="5867" spans="3:7">
      <c r="C5867" s="319"/>
      <c r="D5867" s="319"/>
      <c r="G5867" s="320"/>
    </row>
    <row r="5868" spans="3:4">
      <c r="C5868" s="319"/>
      <c r="D5868" s="319"/>
    </row>
    <row r="5869" spans="3:7">
      <c r="C5869" s="319"/>
      <c r="D5869" s="319"/>
      <c r="G5869" s="320"/>
    </row>
    <row r="5870" spans="3:7">
      <c r="C5870" s="319"/>
      <c r="D5870" s="319"/>
      <c r="G5870" s="320"/>
    </row>
    <row r="5871" spans="3:7">
      <c r="C5871" s="319"/>
      <c r="D5871" s="319"/>
      <c r="G5871" s="320"/>
    </row>
    <row r="5872" spans="3:7">
      <c r="C5872" s="319"/>
      <c r="D5872" s="319"/>
      <c r="G5872" s="320"/>
    </row>
    <row r="5873" spans="3:7">
      <c r="C5873" s="319"/>
      <c r="D5873" s="319"/>
      <c r="G5873" s="320"/>
    </row>
    <row r="5874" spans="3:7">
      <c r="C5874" s="319"/>
      <c r="D5874" s="319"/>
      <c r="G5874" s="320"/>
    </row>
    <row r="5875" spans="3:7">
      <c r="C5875" s="319"/>
      <c r="D5875" s="319"/>
      <c r="G5875" s="320"/>
    </row>
    <row r="5876" spans="3:4">
      <c r="C5876" s="319"/>
      <c r="D5876" s="319"/>
    </row>
    <row r="5877" spans="3:4">
      <c r="C5877" s="319"/>
      <c r="D5877" s="319"/>
    </row>
    <row r="5878" spans="3:7">
      <c r="C5878" s="319"/>
      <c r="D5878" s="319"/>
      <c r="G5878" s="320"/>
    </row>
    <row r="5879" spans="3:4">
      <c r="C5879" s="319"/>
      <c r="D5879" s="319"/>
    </row>
    <row r="5880" spans="3:7">
      <c r="C5880" s="319"/>
      <c r="D5880" s="319"/>
      <c r="G5880" s="320"/>
    </row>
    <row r="5881" spans="3:4">
      <c r="C5881" s="319"/>
      <c r="D5881" s="319"/>
    </row>
    <row r="5882" spans="3:4">
      <c r="C5882" s="319"/>
      <c r="D5882" s="319"/>
    </row>
    <row r="5883" spans="3:4">
      <c r="C5883" s="319"/>
      <c r="D5883" s="319"/>
    </row>
    <row r="5884" spans="3:4">
      <c r="C5884" s="319"/>
      <c r="D5884" s="319"/>
    </row>
    <row r="5885" spans="3:7">
      <c r="C5885" s="319"/>
      <c r="D5885" s="319"/>
      <c r="G5885" s="320"/>
    </row>
    <row r="5886" spans="3:7">
      <c r="C5886" s="319"/>
      <c r="D5886" s="319"/>
      <c r="G5886" s="320"/>
    </row>
    <row r="5887" spans="3:4">
      <c r="C5887" s="319"/>
      <c r="D5887" s="319"/>
    </row>
    <row r="5888" spans="3:4">
      <c r="C5888" s="319"/>
      <c r="D5888" s="319"/>
    </row>
    <row r="5889" spans="3:7">
      <c r="C5889" s="319"/>
      <c r="D5889" s="319"/>
      <c r="G5889" s="320"/>
    </row>
    <row r="5890" spans="3:7">
      <c r="C5890" s="319"/>
      <c r="D5890" s="319"/>
      <c r="G5890" s="320"/>
    </row>
    <row r="5891" spans="3:7">
      <c r="C5891" s="319"/>
      <c r="D5891" s="319"/>
      <c r="G5891" s="320"/>
    </row>
    <row r="5892" spans="3:4">
      <c r="C5892" s="319"/>
      <c r="D5892" s="319"/>
    </row>
    <row r="5893" spans="3:7">
      <c r="C5893" s="319"/>
      <c r="D5893" s="319"/>
      <c r="G5893" s="320"/>
    </row>
    <row r="5894" spans="3:7">
      <c r="C5894" s="319"/>
      <c r="D5894" s="319"/>
      <c r="G5894" s="320"/>
    </row>
    <row r="5895" spans="3:7">
      <c r="C5895" s="319"/>
      <c r="D5895" s="319"/>
      <c r="G5895" s="320"/>
    </row>
    <row r="5896" spans="3:7">
      <c r="C5896" s="319"/>
      <c r="D5896" s="319"/>
      <c r="G5896" s="320"/>
    </row>
    <row r="5897" spans="3:7">
      <c r="C5897" s="319"/>
      <c r="D5897" s="319"/>
      <c r="G5897" s="320"/>
    </row>
    <row r="5898" spans="3:4">
      <c r="C5898" s="319"/>
      <c r="D5898" s="319"/>
    </row>
    <row r="5899" spans="3:4">
      <c r="C5899" s="319"/>
      <c r="D5899" s="319"/>
    </row>
    <row r="5900" spans="3:7">
      <c r="C5900" s="319"/>
      <c r="D5900" s="319"/>
      <c r="G5900" s="320"/>
    </row>
    <row r="5901" spans="3:7">
      <c r="C5901" s="319"/>
      <c r="D5901" s="319"/>
      <c r="G5901" s="320"/>
    </row>
    <row r="5902" spans="3:7">
      <c r="C5902" s="319"/>
      <c r="D5902" s="319"/>
      <c r="G5902" s="320"/>
    </row>
    <row r="5903" spans="3:7">
      <c r="C5903" s="319"/>
      <c r="D5903" s="319"/>
      <c r="G5903" s="320"/>
    </row>
    <row r="5904" spans="3:7">
      <c r="C5904" s="319"/>
      <c r="D5904" s="319"/>
      <c r="G5904" s="320"/>
    </row>
    <row r="5905" spans="3:7">
      <c r="C5905" s="319"/>
      <c r="D5905" s="319"/>
      <c r="G5905" s="320"/>
    </row>
    <row r="5906" spans="3:7">
      <c r="C5906" s="319"/>
      <c r="D5906" s="319"/>
      <c r="G5906" s="320"/>
    </row>
    <row r="5907" spans="3:7">
      <c r="C5907" s="319"/>
      <c r="D5907" s="319"/>
      <c r="G5907" s="320"/>
    </row>
    <row r="5908" spans="3:7">
      <c r="C5908" s="319"/>
      <c r="D5908" s="319"/>
      <c r="G5908" s="320"/>
    </row>
    <row r="5909" spans="3:7">
      <c r="C5909" s="319"/>
      <c r="D5909" s="319"/>
      <c r="G5909" s="320"/>
    </row>
    <row r="5910" spans="3:4">
      <c r="C5910" s="319"/>
      <c r="D5910" s="319"/>
    </row>
    <row r="5911" spans="3:4">
      <c r="C5911" s="319"/>
      <c r="D5911" s="319"/>
    </row>
    <row r="5912" spans="3:4">
      <c r="C5912" s="319"/>
      <c r="D5912" s="319"/>
    </row>
    <row r="5913" spans="3:4">
      <c r="C5913" s="319"/>
      <c r="D5913" s="319"/>
    </row>
    <row r="5914" spans="3:7">
      <c r="C5914" s="319"/>
      <c r="D5914" s="319"/>
      <c r="G5914" s="320"/>
    </row>
    <row r="5915" spans="3:7">
      <c r="C5915" s="319"/>
      <c r="D5915" s="319"/>
      <c r="G5915" s="320"/>
    </row>
    <row r="5916" spans="3:4">
      <c r="C5916" s="319"/>
      <c r="D5916" s="319"/>
    </row>
    <row r="5917" spans="3:4">
      <c r="C5917" s="319"/>
      <c r="D5917" s="319"/>
    </row>
    <row r="5918" spans="3:7">
      <c r="C5918" s="319"/>
      <c r="D5918" s="319"/>
      <c r="G5918" s="320"/>
    </row>
    <row r="5919" spans="3:4">
      <c r="C5919" s="319"/>
      <c r="D5919" s="319"/>
    </row>
    <row r="5920" spans="3:4">
      <c r="C5920" s="319"/>
      <c r="D5920" s="319"/>
    </row>
    <row r="5921" spans="3:4">
      <c r="C5921" s="319"/>
      <c r="D5921" s="319"/>
    </row>
    <row r="5922" spans="3:7">
      <c r="C5922" s="319"/>
      <c r="D5922" s="319"/>
      <c r="G5922" s="320"/>
    </row>
    <row r="5923" spans="3:4">
      <c r="C5923" s="319"/>
      <c r="D5923" s="319"/>
    </row>
    <row r="5924" spans="3:7">
      <c r="C5924" s="319"/>
      <c r="D5924" s="319"/>
      <c r="G5924" s="320"/>
    </row>
    <row r="5925" spans="3:4">
      <c r="C5925" s="319"/>
      <c r="D5925" s="319"/>
    </row>
    <row r="5926" spans="3:4">
      <c r="C5926" s="319"/>
      <c r="D5926" s="319"/>
    </row>
    <row r="5927" spans="3:4">
      <c r="C5927" s="319"/>
      <c r="D5927" s="319"/>
    </row>
    <row r="5928" spans="3:7">
      <c r="C5928" s="319"/>
      <c r="D5928" s="319"/>
      <c r="G5928" s="320"/>
    </row>
    <row r="5929" spans="3:4">
      <c r="C5929" s="319"/>
      <c r="D5929" s="319"/>
    </row>
    <row r="5930" spans="3:7">
      <c r="C5930" s="319"/>
      <c r="D5930" s="319"/>
      <c r="G5930" s="320"/>
    </row>
    <row r="5931" spans="3:4">
      <c r="C5931" s="319"/>
      <c r="D5931" s="319"/>
    </row>
    <row r="5932" spans="3:4">
      <c r="C5932" s="319"/>
      <c r="D5932" s="319"/>
    </row>
    <row r="5933" spans="3:7">
      <c r="C5933" s="319"/>
      <c r="D5933" s="319"/>
      <c r="G5933" s="320"/>
    </row>
    <row r="5934" spans="3:7">
      <c r="C5934" s="319"/>
      <c r="D5934" s="319"/>
      <c r="G5934" s="320"/>
    </row>
    <row r="5935" spans="3:7">
      <c r="C5935" s="319"/>
      <c r="D5935" s="319"/>
      <c r="G5935" s="320"/>
    </row>
    <row r="5936" spans="3:7">
      <c r="C5936" s="319"/>
      <c r="D5936" s="319"/>
      <c r="G5936" s="320"/>
    </row>
    <row r="5937" spans="3:4">
      <c r="C5937" s="319"/>
      <c r="D5937" s="319"/>
    </row>
    <row r="5938" spans="3:7">
      <c r="C5938" s="319"/>
      <c r="D5938" s="319"/>
      <c r="G5938" s="320"/>
    </row>
    <row r="5939" spans="3:7">
      <c r="C5939" s="319"/>
      <c r="D5939" s="319"/>
      <c r="G5939" s="320"/>
    </row>
    <row r="5940" spans="3:4">
      <c r="C5940" s="319"/>
      <c r="D5940" s="319"/>
    </row>
    <row r="5941" spans="3:4">
      <c r="C5941" s="319"/>
      <c r="D5941" s="319"/>
    </row>
    <row r="5942" spans="3:7">
      <c r="C5942" s="319"/>
      <c r="D5942" s="319"/>
      <c r="G5942" s="320"/>
    </row>
    <row r="5943" spans="3:7">
      <c r="C5943" s="319"/>
      <c r="D5943" s="319"/>
      <c r="G5943" s="320"/>
    </row>
    <row r="5944" spans="3:4">
      <c r="C5944" s="319"/>
      <c r="D5944" s="319"/>
    </row>
    <row r="5945" spans="3:7">
      <c r="C5945" s="319"/>
      <c r="D5945" s="319"/>
      <c r="G5945" s="320"/>
    </row>
    <row r="5946" spans="3:4">
      <c r="C5946" s="319"/>
      <c r="D5946" s="319"/>
    </row>
    <row r="5947" spans="3:7">
      <c r="C5947" s="319"/>
      <c r="D5947" s="319"/>
      <c r="G5947" s="320"/>
    </row>
    <row r="5948" spans="3:7">
      <c r="C5948" s="319"/>
      <c r="D5948" s="319"/>
      <c r="G5948" s="320"/>
    </row>
    <row r="5949" spans="3:7">
      <c r="C5949" s="319"/>
      <c r="D5949" s="319"/>
      <c r="G5949" s="320"/>
    </row>
    <row r="5950" spans="3:7">
      <c r="C5950" s="319"/>
      <c r="D5950" s="319"/>
      <c r="G5950" s="320"/>
    </row>
    <row r="5951" spans="3:7">
      <c r="C5951" s="319"/>
      <c r="D5951" s="319"/>
      <c r="G5951" s="320"/>
    </row>
    <row r="5952" spans="3:4">
      <c r="C5952" s="319"/>
      <c r="D5952" s="319"/>
    </row>
    <row r="5953" spans="3:4">
      <c r="C5953" s="319"/>
      <c r="D5953" s="319"/>
    </row>
    <row r="5954" spans="3:7">
      <c r="C5954" s="319"/>
      <c r="D5954" s="319"/>
      <c r="G5954" s="320"/>
    </row>
    <row r="5955" spans="3:7">
      <c r="C5955" s="319"/>
      <c r="D5955" s="319"/>
      <c r="G5955" s="320"/>
    </row>
    <row r="5956" spans="3:7">
      <c r="C5956" s="319"/>
      <c r="D5956" s="319"/>
      <c r="G5956" s="320"/>
    </row>
    <row r="5957" spans="3:7">
      <c r="C5957" s="319"/>
      <c r="D5957" s="319"/>
      <c r="G5957" s="320"/>
    </row>
    <row r="5958" spans="3:7">
      <c r="C5958" s="319"/>
      <c r="D5958" s="319"/>
      <c r="G5958" s="320"/>
    </row>
    <row r="5959" spans="3:7">
      <c r="C5959" s="319"/>
      <c r="D5959" s="319"/>
      <c r="G5959" s="320"/>
    </row>
    <row r="5960" spans="3:7">
      <c r="C5960" s="319"/>
      <c r="D5960" s="319"/>
      <c r="G5960" s="320"/>
    </row>
    <row r="5961" spans="3:7">
      <c r="C5961" s="319"/>
      <c r="D5961" s="319"/>
      <c r="G5961" s="320"/>
    </row>
    <row r="5962" spans="3:7">
      <c r="C5962" s="319"/>
      <c r="D5962" s="319"/>
      <c r="G5962" s="320"/>
    </row>
    <row r="5963" spans="3:4">
      <c r="C5963" s="319"/>
      <c r="D5963" s="319"/>
    </row>
    <row r="5964" spans="3:7">
      <c r="C5964" s="319"/>
      <c r="D5964" s="319"/>
      <c r="G5964" s="320"/>
    </row>
    <row r="5965" spans="3:4">
      <c r="C5965" s="319"/>
      <c r="D5965" s="319"/>
    </row>
    <row r="5966" spans="3:7">
      <c r="C5966" s="319"/>
      <c r="D5966" s="319"/>
      <c r="G5966" s="320"/>
    </row>
    <row r="5967" spans="3:7">
      <c r="C5967" s="319"/>
      <c r="D5967" s="319"/>
      <c r="G5967" s="320"/>
    </row>
    <row r="5968" spans="3:4">
      <c r="C5968" s="319"/>
      <c r="D5968" s="319"/>
    </row>
    <row r="5969" spans="3:7">
      <c r="C5969" s="319"/>
      <c r="D5969" s="319"/>
      <c r="G5969" s="320"/>
    </row>
    <row r="5970" spans="3:7">
      <c r="C5970" s="319"/>
      <c r="D5970" s="319"/>
      <c r="G5970" s="320"/>
    </row>
    <row r="5971" spans="3:4">
      <c r="C5971" s="319"/>
      <c r="D5971" s="319"/>
    </row>
    <row r="5972" spans="3:4">
      <c r="C5972" s="319"/>
      <c r="D5972" s="319"/>
    </row>
    <row r="5973" spans="3:7">
      <c r="C5973" s="319"/>
      <c r="D5973" s="319"/>
      <c r="G5973" s="320"/>
    </row>
    <row r="5974" spans="3:7">
      <c r="C5974" s="319"/>
      <c r="D5974" s="319"/>
      <c r="G5974" s="320"/>
    </row>
    <row r="5975" spans="3:4">
      <c r="C5975" s="319"/>
      <c r="D5975" s="319"/>
    </row>
    <row r="5976" spans="3:7">
      <c r="C5976" s="319"/>
      <c r="D5976" s="319"/>
      <c r="G5976" s="320"/>
    </row>
    <row r="5977" spans="3:7">
      <c r="C5977" s="319"/>
      <c r="D5977" s="319"/>
      <c r="G5977" s="320"/>
    </row>
    <row r="5978" spans="3:7">
      <c r="C5978" s="319"/>
      <c r="D5978" s="319"/>
      <c r="G5978" s="320"/>
    </row>
    <row r="5979" spans="3:4">
      <c r="C5979" s="319"/>
      <c r="D5979" s="319"/>
    </row>
    <row r="5980" spans="3:7">
      <c r="C5980" s="319"/>
      <c r="D5980" s="319"/>
      <c r="G5980" s="320"/>
    </row>
    <row r="5981" spans="3:7">
      <c r="C5981" s="319"/>
      <c r="D5981" s="319"/>
      <c r="G5981" s="320"/>
    </row>
    <row r="5982" spans="3:4">
      <c r="C5982" s="319"/>
      <c r="D5982" s="319"/>
    </row>
    <row r="5983" spans="3:4">
      <c r="C5983" s="319"/>
      <c r="D5983" s="319"/>
    </row>
    <row r="5984" spans="3:7">
      <c r="C5984" s="319"/>
      <c r="D5984" s="319"/>
      <c r="G5984" s="320"/>
    </row>
    <row r="5985" spans="3:7">
      <c r="C5985" s="319"/>
      <c r="D5985" s="319"/>
      <c r="G5985" s="320"/>
    </row>
    <row r="5986" spans="3:7">
      <c r="C5986" s="319"/>
      <c r="D5986" s="319"/>
      <c r="G5986" s="320"/>
    </row>
    <row r="5987" spans="3:7">
      <c r="C5987" s="319"/>
      <c r="D5987" s="319"/>
      <c r="G5987" s="320"/>
    </row>
    <row r="5988" spans="3:7">
      <c r="C5988" s="319"/>
      <c r="D5988" s="319"/>
      <c r="G5988" s="320"/>
    </row>
    <row r="5989" spans="3:4">
      <c r="C5989" s="319"/>
      <c r="D5989" s="319"/>
    </row>
    <row r="5990" spans="3:7">
      <c r="C5990" s="319"/>
      <c r="D5990" s="319"/>
      <c r="G5990" s="320"/>
    </row>
    <row r="5991" spans="3:7">
      <c r="C5991" s="319"/>
      <c r="D5991" s="319"/>
      <c r="G5991" s="320"/>
    </row>
    <row r="5992" spans="3:7">
      <c r="C5992" s="319"/>
      <c r="D5992" s="319"/>
      <c r="G5992" s="320"/>
    </row>
    <row r="5993" spans="3:7">
      <c r="C5993" s="319"/>
      <c r="D5993" s="319"/>
      <c r="G5993" s="320"/>
    </row>
    <row r="5994" spans="3:7">
      <c r="C5994" s="319"/>
      <c r="D5994" s="319"/>
      <c r="G5994" s="320"/>
    </row>
    <row r="5995" spans="3:7">
      <c r="C5995" s="319"/>
      <c r="D5995" s="319"/>
      <c r="G5995" s="320"/>
    </row>
    <row r="5996" spans="3:7">
      <c r="C5996" s="319"/>
      <c r="D5996" s="319"/>
      <c r="G5996" s="320"/>
    </row>
    <row r="5997" spans="3:7">
      <c r="C5997" s="319"/>
      <c r="D5997" s="319"/>
      <c r="G5997" s="320"/>
    </row>
    <row r="5998" spans="3:7">
      <c r="C5998" s="319"/>
      <c r="D5998" s="319"/>
      <c r="G5998" s="320"/>
    </row>
    <row r="5999" spans="3:7">
      <c r="C5999" s="319"/>
      <c r="D5999" s="319"/>
      <c r="G5999" s="320"/>
    </row>
    <row r="6000" spans="3:7">
      <c r="C6000" s="319"/>
      <c r="D6000" s="319"/>
      <c r="G6000" s="320"/>
    </row>
    <row r="6001" spans="3:7">
      <c r="C6001" s="319"/>
      <c r="D6001" s="319"/>
      <c r="G6001" s="320"/>
    </row>
    <row r="6002" spans="3:7">
      <c r="C6002" s="319"/>
      <c r="D6002" s="319"/>
      <c r="G6002" s="320"/>
    </row>
    <row r="6003" spans="3:4">
      <c r="C6003" s="319"/>
      <c r="D6003" s="319"/>
    </row>
    <row r="6004" spans="3:4">
      <c r="C6004" s="319"/>
      <c r="D6004" s="319"/>
    </row>
    <row r="6005" spans="3:4">
      <c r="C6005" s="319"/>
      <c r="D6005" s="319"/>
    </row>
    <row r="6006" spans="3:7">
      <c r="C6006" s="319"/>
      <c r="D6006" s="319"/>
      <c r="G6006" s="320"/>
    </row>
    <row r="6007" spans="3:7">
      <c r="C6007" s="319"/>
      <c r="D6007" s="319"/>
      <c r="G6007" s="320"/>
    </row>
    <row r="6008" spans="3:7">
      <c r="C6008" s="319"/>
      <c r="D6008" s="319"/>
      <c r="G6008" s="320"/>
    </row>
    <row r="6009" spans="3:7">
      <c r="C6009" s="319"/>
      <c r="D6009" s="319"/>
      <c r="G6009" s="320"/>
    </row>
    <row r="6010" spans="3:7">
      <c r="C6010" s="319"/>
      <c r="D6010" s="319"/>
      <c r="G6010" s="320"/>
    </row>
    <row r="6011" spans="3:7">
      <c r="C6011" s="319"/>
      <c r="D6011" s="319"/>
      <c r="G6011" s="320"/>
    </row>
    <row r="6012" spans="3:4">
      <c r="C6012" s="319"/>
      <c r="D6012" s="319"/>
    </row>
    <row r="6013" spans="3:7">
      <c r="C6013" s="319"/>
      <c r="D6013" s="319"/>
      <c r="G6013" s="320"/>
    </row>
    <row r="6014" spans="3:7">
      <c r="C6014" s="319"/>
      <c r="D6014" s="319"/>
      <c r="G6014" s="320"/>
    </row>
    <row r="6015" spans="3:7">
      <c r="C6015" s="319"/>
      <c r="D6015" s="319"/>
      <c r="G6015" s="320"/>
    </row>
    <row r="6016" spans="3:4">
      <c r="C6016" s="319"/>
      <c r="D6016" s="319"/>
    </row>
    <row r="6017" spans="3:7">
      <c r="C6017" s="319"/>
      <c r="D6017" s="319"/>
      <c r="G6017" s="320"/>
    </row>
    <row r="6018" spans="3:4">
      <c r="C6018" s="319"/>
      <c r="D6018" s="319"/>
    </row>
    <row r="6019" spans="3:7">
      <c r="C6019" s="319"/>
      <c r="D6019" s="319"/>
      <c r="G6019" s="320"/>
    </row>
    <row r="6020" spans="3:7">
      <c r="C6020" s="319"/>
      <c r="D6020" s="319"/>
      <c r="G6020" s="320"/>
    </row>
    <row r="6021" spans="3:7">
      <c r="C6021" s="319"/>
      <c r="D6021" s="319"/>
      <c r="G6021" s="320"/>
    </row>
    <row r="6022" spans="3:7">
      <c r="C6022" s="319"/>
      <c r="D6022" s="319"/>
      <c r="G6022" s="320"/>
    </row>
    <row r="6023" spans="3:7">
      <c r="C6023" s="319"/>
      <c r="D6023" s="319"/>
      <c r="G6023" s="320"/>
    </row>
    <row r="6024" spans="3:4">
      <c r="C6024" s="319"/>
      <c r="D6024" s="319"/>
    </row>
    <row r="6025" spans="3:7">
      <c r="C6025" s="319"/>
      <c r="D6025" s="319"/>
      <c r="G6025" s="320"/>
    </row>
    <row r="6026" spans="3:7">
      <c r="C6026" s="319"/>
      <c r="D6026" s="319"/>
      <c r="G6026" s="320"/>
    </row>
    <row r="6027" spans="3:4">
      <c r="C6027" s="319"/>
      <c r="D6027" s="319"/>
    </row>
    <row r="6028" spans="3:7">
      <c r="C6028" s="319"/>
      <c r="D6028" s="319"/>
      <c r="G6028" s="320"/>
    </row>
    <row r="6029" spans="3:4">
      <c r="C6029" s="319"/>
      <c r="D6029" s="319"/>
    </row>
    <row r="6030" spans="3:4">
      <c r="C6030" s="319"/>
      <c r="D6030" s="319"/>
    </row>
    <row r="6031" spans="3:7">
      <c r="C6031" s="319"/>
      <c r="D6031" s="319"/>
      <c r="G6031" s="320"/>
    </row>
    <row r="6032" spans="3:7">
      <c r="C6032" s="319"/>
      <c r="D6032" s="319"/>
      <c r="G6032" s="320"/>
    </row>
    <row r="6033" spans="3:7">
      <c r="C6033" s="319"/>
      <c r="D6033" s="319"/>
      <c r="G6033" s="320"/>
    </row>
    <row r="6034" spans="3:7">
      <c r="C6034" s="319"/>
      <c r="D6034" s="319"/>
      <c r="G6034" s="320"/>
    </row>
    <row r="6035" spans="3:7">
      <c r="C6035" s="319"/>
      <c r="D6035" s="319"/>
      <c r="G6035" s="320"/>
    </row>
    <row r="6036" spans="3:7">
      <c r="C6036" s="319"/>
      <c r="D6036" s="319"/>
      <c r="G6036" s="320"/>
    </row>
    <row r="6037" spans="3:7">
      <c r="C6037" s="319"/>
      <c r="D6037" s="319"/>
      <c r="G6037" s="320"/>
    </row>
    <row r="6038" spans="3:7">
      <c r="C6038" s="319"/>
      <c r="D6038" s="319"/>
      <c r="G6038" s="320"/>
    </row>
    <row r="6039" spans="3:7">
      <c r="C6039" s="319"/>
      <c r="D6039" s="319"/>
      <c r="G6039" s="320"/>
    </row>
    <row r="6040" spans="3:4">
      <c r="C6040" s="319"/>
      <c r="D6040" s="319"/>
    </row>
    <row r="6041" spans="3:7">
      <c r="C6041" s="319"/>
      <c r="D6041" s="319"/>
      <c r="G6041" s="320"/>
    </row>
    <row r="6042" spans="3:7">
      <c r="C6042" s="319"/>
      <c r="D6042" s="319"/>
      <c r="G6042" s="320"/>
    </row>
    <row r="6043" spans="3:7">
      <c r="C6043" s="319"/>
      <c r="D6043" s="319"/>
      <c r="G6043" s="320"/>
    </row>
    <row r="6044" spans="3:4">
      <c r="C6044" s="319"/>
      <c r="D6044" s="319"/>
    </row>
    <row r="6045" spans="3:7">
      <c r="C6045" s="319"/>
      <c r="D6045" s="319"/>
      <c r="G6045" s="320"/>
    </row>
    <row r="6046" spans="3:7">
      <c r="C6046" s="319"/>
      <c r="D6046" s="319"/>
      <c r="G6046" s="320"/>
    </row>
    <row r="6047" spans="3:4">
      <c r="C6047" s="319"/>
      <c r="D6047" s="319"/>
    </row>
    <row r="6048" spans="3:7">
      <c r="C6048" s="319"/>
      <c r="D6048" s="319"/>
      <c r="G6048" s="320"/>
    </row>
    <row r="6049" spans="3:4">
      <c r="C6049" s="319"/>
      <c r="D6049" s="319"/>
    </row>
    <row r="6050" spans="3:7">
      <c r="C6050" s="319"/>
      <c r="D6050" s="319"/>
      <c r="G6050" s="320"/>
    </row>
    <row r="6051" spans="3:4">
      <c r="C6051" s="319"/>
      <c r="D6051" s="319"/>
    </row>
    <row r="6052" spans="3:7">
      <c r="C6052" s="319"/>
      <c r="D6052" s="319"/>
      <c r="G6052" s="320"/>
    </row>
    <row r="6053" spans="3:7">
      <c r="C6053" s="319"/>
      <c r="D6053" s="319"/>
      <c r="G6053" s="320"/>
    </row>
    <row r="6054" spans="3:4">
      <c r="C6054" s="319"/>
      <c r="D6054" s="319"/>
    </row>
    <row r="6055" spans="3:7">
      <c r="C6055" s="319"/>
      <c r="D6055" s="319"/>
      <c r="G6055" s="320"/>
    </row>
    <row r="6056" spans="3:7">
      <c r="C6056" s="319"/>
      <c r="D6056" s="319"/>
      <c r="G6056" s="320"/>
    </row>
    <row r="6057" spans="3:7">
      <c r="C6057" s="319"/>
      <c r="D6057" s="319"/>
      <c r="G6057" s="320"/>
    </row>
    <row r="6058" spans="3:4">
      <c r="C6058" s="319"/>
      <c r="D6058" s="319"/>
    </row>
    <row r="6059" spans="3:7">
      <c r="C6059" s="319"/>
      <c r="D6059" s="319"/>
      <c r="G6059" s="320"/>
    </row>
    <row r="6060" spans="3:7">
      <c r="C6060" s="319"/>
      <c r="D6060" s="319"/>
      <c r="G6060" s="320"/>
    </row>
    <row r="6061" spans="3:7">
      <c r="C6061" s="319"/>
      <c r="D6061" s="319"/>
      <c r="G6061" s="320"/>
    </row>
    <row r="6062" spans="3:7">
      <c r="C6062" s="319"/>
      <c r="D6062" s="319"/>
      <c r="G6062" s="320"/>
    </row>
    <row r="6063" spans="3:7">
      <c r="C6063" s="319"/>
      <c r="D6063" s="319"/>
      <c r="G6063" s="320"/>
    </row>
    <row r="6064" spans="3:7">
      <c r="C6064" s="319"/>
      <c r="D6064" s="319"/>
      <c r="G6064" s="320"/>
    </row>
    <row r="6065" spans="3:7">
      <c r="C6065" s="319"/>
      <c r="D6065" s="319"/>
      <c r="G6065" s="320"/>
    </row>
    <row r="6066" spans="3:7">
      <c r="C6066" s="319"/>
      <c r="D6066" s="319"/>
      <c r="G6066" s="320"/>
    </row>
    <row r="6067" spans="3:7">
      <c r="C6067" s="319"/>
      <c r="D6067" s="319"/>
      <c r="G6067" s="320"/>
    </row>
    <row r="6068" spans="3:7">
      <c r="C6068" s="319"/>
      <c r="D6068" s="319"/>
      <c r="G6068" s="320"/>
    </row>
    <row r="6069" spans="3:7">
      <c r="C6069" s="319"/>
      <c r="D6069" s="319"/>
      <c r="G6069" s="320"/>
    </row>
    <row r="6070" spans="3:7">
      <c r="C6070" s="319"/>
      <c r="D6070" s="319"/>
      <c r="G6070" s="320"/>
    </row>
    <row r="6071" spans="3:4">
      <c r="C6071" s="319"/>
      <c r="D6071" s="319"/>
    </row>
    <row r="6072" spans="3:7">
      <c r="C6072" s="319"/>
      <c r="D6072" s="319"/>
      <c r="G6072" s="320"/>
    </row>
    <row r="6073" spans="3:7">
      <c r="C6073" s="319"/>
      <c r="D6073" s="319"/>
      <c r="G6073" s="320"/>
    </row>
    <row r="6074" spans="3:7">
      <c r="C6074" s="319"/>
      <c r="D6074" s="319"/>
      <c r="G6074" s="320"/>
    </row>
    <row r="6075" spans="3:7">
      <c r="C6075" s="319"/>
      <c r="D6075" s="319"/>
      <c r="G6075" s="320"/>
    </row>
    <row r="6076" spans="3:7">
      <c r="C6076" s="319"/>
      <c r="D6076" s="319"/>
      <c r="G6076" s="320"/>
    </row>
    <row r="6077" spans="3:7">
      <c r="C6077" s="319"/>
      <c r="D6077" s="319"/>
      <c r="G6077" s="320"/>
    </row>
    <row r="6078" spans="3:7">
      <c r="C6078" s="319"/>
      <c r="D6078" s="319"/>
      <c r="G6078" s="320"/>
    </row>
    <row r="6079" spans="3:7">
      <c r="C6079" s="319"/>
      <c r="D6079" s="319"/>
      <c r="G6079" s="320"/>
    </row>
    <row r="6080" spans="3:7">
      <c r="C6080" s="319"/>
      <c r="D6080" s="319"/>
      <c r="G6080" s="320"/>
    </row>
    <row r="6081" spans="3:4">
      <c r="C6081" s="319"/>
      <c r="D6081" s="319"/>
    </row>
    <row r="6082" spans="3:7">
      <c r="C6082" s="319"/>
      <c r="D6082" s="319"/>
      <c r="G6082" s="320"/>
    </row>
    <row r="6083" spans="3:7">
      <c r="C6083" s="319"/>
      <c r="D6083" s="319"/>
      <c r="G6083" s="320"/>
    </row>
    <row r="6084" spans="3:4">
      <c r="C6084" s="319"/>
      <c r="D6084" s="319"/>
    </row>
    <row r="6085" spans="3:7">
      <c r="C6085" s="319"/>
      <c r="D6085" s="319"/>
      <c r="G6085" s="320"/>
    </row>
    <row r="6086" spans="3:7">
      <c r="C6086" s="319"/>
      <c r="D6086" s="319"/>
      <c r="G6086" s="320"/>
    </row>
    <row r="6087" spans="3:7">
      <c r="C6087" s="319"/>
      <c r="D6087" s="319"/>
      <c r="G6087" s="320"/>
    </row>
    <row r="6088" spans="3:4">
      <c r="C6088" s="319"/>
      <c r="D6088" s="319"/>
    </row>
    <row r="6089" spans="3:7">
      <c r="C6089" s="319"/>
      <c r="D6089" s="319"/>
      <c r="G6089" s="320"/>
    </row>
    <row r="6090" spans="3:7">
      <c r="C6090" s="319"/>
      <c r="D6090" s="319"/>
      <c r="G6090" s="320"/>
    </row>
    <row r="6091" spans="3:7">
      <c r="C6091" s="319"/>
      <c r="D6091" s="319"/>
      <c r="G6091" s="320"/>
    </row>
    <row r="6092" spans="3:7">
      <c r="C6092" s="319"/>
      <c r="D6092" s="319"/>
      <c r="G6092" s="320"/>
    </row>
    <row r="6093" spans="3:4">
      <c r="C6093" s="319"/>
      <c r="D6093" s="319"/>
    </row>
    <row r="6094" spans="3:7">
      <c r="C6094" s="319"/>
      <c r="D6094" s="319"/>
      <c r="G6094" s="320"/>
    </row>
    <row r="6095" spans="3:7">
      <c r="C6095" s="319"/>
      <c r="D6095" s="319"/>
      <c r="G6095" s="320"/>
    </row>
    <row r="6096" spans="3:7">
      <c r="C6096" s="319"/>
      <c r="D6096" s="319"/>
      <c r="G6096" s="320"/>
    </row>
    <row r="6097" spans="3:7">
      <c r="C6097" s="319"/>
      <c r="D6097" s="319"/>
      <c r="G6097" s="320"/>
    </row>
    <row r="6098" spans="3:7">
      <c r="C6098" s="319"/>
      <c r="D6098" s="319"/>
      <c r="G6098" s="320"/>
    </row>
    <row r="6099" spans="3:7">
      <c r="C6099" s="319"/>
      <c r="D6099" s="319"/>
      <c r="G6099" s="320"/>
    </row>
    <row r="6100" spans="3:4">
      <c r="C6100" s="319"/>
      <c r="D6100" s="319"/>
    </row>
    <row r="6101" spans="3:4">
      <c r="C6101" s="319"/>
      <c r="D6101" s="319"/>
    </row>
    <row r="6102" spans="3:7">
      <c r="C6102" s="319"/>
      <c r="D6102" s="319"/>
      <c r="G6102" s="320"/>
    </row>
    <row r="6103" spans="3:7">
      <c r="C6103" s="319"/>
      <c r="D6103" s="319"/>
      <c r="G6103" s="320"/>
    </row>
    <row r="6104" spans="3:7">
      <c r="C6104" s="319"/>
      <c r="D6104" s="319"/>
      <c r="G6104" s="320"/>
    </row>
    <row r="6105" spans="3:7">
      <c r="C6105" s="319"/>
      <c r="D6105" s="319"/>
      <c r="G6105" s="320"/>
    </row>
    <row r="6106" spans="3:7">
      <c r="C6106" s="319"/>
      <c r="D6106" s="319"/>
      <c r="G6106" s="320"/>
    </row>
    <row r="6107" spans="3:7">
      <c r="C6107" s="319"/>
      <c r="D6107" s="319"/>
      <c r="G6107" s="320"/>
    </row>
    <row r="6108" spans="3:7">
      <c r="C6108" s="319"/>
      <c r="D6108" s="319"/>
      <c r="G6108" s="320"/>
    </row>
    <row r="6109" spans="3:7">
      <c r="C6109" s="319"/>
      <c r="D6109" s="319"/>
      <c r="G6109" s="320"/>
    </row>
    <row r="6110" spans="3:7">
      <c r="C6110" s="319"/>
      <c r="D6110" s="319"/>
      <c r="G6110" s="320"/>
    </row>
    <row r="6111" spans="3:7">
      <c r="C6111" s="319"/>
      <c r="D6111" s="319"/>
      <c r="G6111" s="320"/>
    </row>
    <row r="6112" spans="3:7">
      <c r="C6112" s="319"/>
      <c r="D6112" s="319"/>
      <c r="G6112" s="320"/>
    </row>
    <row r="6113" spans="3:7">
      <c r="C6113" s="319"/>
      <c r="D6113" s="319"/>
      <c r="G6113" s="320"/>
    </row>
    <row r="6114" spans="3:7">
      <c r="C6114" s="319"/>
      <c r="D6114" s="319"/>
      <c r="G6114" s="320"/>
    </row>
    <row r="6115" spans="3:7">
      <c r="C6115" s="319"/>
      <c r="D6115" s="319"/>
      <c r="G6115" s="320"/>
    </row>
    <row r="6116" spans="3:7">
      <c r="C6116" s="319"/>
      <c r="D6116" s="319"/>
      <c r="G6116" s="320"/>
    </row>
    <row r="6117" spans="3:4">
      <c r="C6117" s="319"/>
      <c r="D6117" s="319"/>
    </row>
    <row r="6118" spans="3:7">
      <c r="C6118" s="319"/>
      <c r="D6118" s="319"/>
      <c r="G6118" s="320"/>
    </row>
    <row r="6119" spans="3:7">
      <c r="C6119" s="319"/>
      <c r="D6119" s="319"/>
      <c r="G6119" s="320"/>
    </row>
    <row r="6120" spans="3:4">
      <c r="C6120" s="319"/>
      <c r="D6120" s="319"/>
    </row>
    <row r="6121" spans="3:7">
      <c r="C6121" s="319"/>
      <c r="D6121" s="319"/>
      <c r="G6121" s="320"/>
    </row>
    <row r="6122" spans="3:4">
      <c r="C6122" s="319"/>
      <c r="D6122" s="319"/>
    </row>
    <row r="6123" spans="3:7">
      <c r="C6123" s="319"/>
      <c r="D6123" s="319"/>
      <c r="G6123" s="320"/>
    </row>
    <row r="6124" spans="3:7">
      <c r="C6124" s="319"/>
      <c r="D6124" s="319"/>
      <c r="G6124" s="320"/>
    </row>
    <row r="6125" spans="3:7">
      <c r="C6125" s="319"/>
      <c r="D6125" s="319"/>
      <c r="G6125" s="320"/>
    </row>
    <row r="6126" spans="3:4">
      <c r="C6126" s="319"/>
      <c r="D6126" s="319"/>
    </row>
    <row r="6127" spans="3:7">
      <c r="C6127" s="319"/>
      <c r="D6127" s="319"/>
      <c r="G6127" s="320"/>
    </row>
    <row r="6128" spans="3:7">
      <c r="C6128" s="319"/>
      <c r="D6128" s="319"/>
      <c r="G6128" s="320"/>
    </row>
    <row r="6129" spans="3:4">
      <c r="C6129" s="319"/>
      <c r="D6129" s="319"/>
    </row>
    <row r="6130" spans="3:4">
      <c r="C6130" s="319"/>
      <c r="D6130" s="319"/>
    </row>
    <row r="6131" spans="3:7">
      <c r="C6131" s="319"/>
      <c r="D6131" s="319"/>
      <c r="G6131" s="320"/>
    </row>
    <row r="6132" spans="3:4">
      <c r="C6132" s="319"/>
      <c r="D6132" s="319"/>
    </row>
    <row r="6133" spans="3:4">
      <c r="C6133" s="319"/>
      <c r="D6133" s="319"/>
    </row>
    <row r="6134" spans="3:7">
      <c r="C6134" s="319"/>
      <c r="D6134" s="319"/>
      <c r="G6134" s="320"/>
    </row>
    <row r="6135" spans="3:4">
      <c r="C6135" s="319"/>
      <c r="D6135" s="319"/>
    </row>
    <row r="6136" spans="3:7">
      <c r="C6136" s="319"/>
      <c r="D6136" s="319"/>
      <c r="G6136" s="320"/>
    </row>
    <row r="6137" spans="3:4">
      <c r="C6137" s="319"/>
      <c r="D6137" s="319"/>
    </row>
    <row r="6138" spans="3:7">
      <c r="C6138" s="319"/>
      <c r="D6138" s="319"/>
      <c r="G6138" s="320"/>
    </row>
    <row r="6139" spans="3:4">
      <c r="C6139" s="319"/>
      <c r="D6139" s="319"/>
    </row>
    <row r="6140" spans="3:4">
      <c r="C6140" s="319"/>
      <c r="D6140" s="319"/>
    </row>
    <row r="6141" spans="3:4">
      <c r="C6141" s="319"/>
      <c r="D6141" s="319"/>
    </row>
    <row r="6142" spans="3:7">
      <c r="C6142" s="319"/>
      <c r="D6142" s="319"/>
      <c r="G6142" s="320"/>
    </row>
    <row r="6143" spans="3:4">
      <c r="C6143" s="319"/>
      <c r="D6143" s="319"/>
    </row>
    <row r="6144" spans="3:4">
      <c r="C6144" s="319"/>
      <c r="D6144" s="319"/>
    </row>
    <row r="6145" spans="3:4">
      <c r="C6145" s="319"/>
      <c r="D6145" s="319"/>
    </row>
    <row r="6146" spans="3:4">
      <c r="C6146" s="319"/>
      <c r="D6146" s="319"/>
    </row>
    <row r="6147" spans="3:7">
      <c r="C6147" s="319"/>
      <c r="D6147" s="319"/>
      <c r="G6147" s="320"/>
    </row>
    <row r="6148" spans="3:4">
      <c r="C6148" s="319"/>
      <c r="D6148" s="319"/>
    </row>
    <row r="6149" spans="3:4">
      <c r="C6149" s="319"/>
      <c r="D6149" s="319"/>
    </row>
    <row r="6150" spans="3:4">
      <c r="C6150" s="319"/>
      <c r="D6150" s="319"/>
    </row>
    <row r="6151" spans="3:4">
      <c r="C6151" s="319"/>
      <c r="D6151" s="319"/>
    </row>
    <row r="6152" spans="3:7">
      <c r="C6152" s="319"/>
      <c r="D6152" s="319"/>
      <c r="G6152" s="320"/>
    </row>
    <row r="6153" spans="3:4">
      <c r="C6153" s="319"/>
      <c r="D6153" s="319"/>
    </row>
    <row r="6154" spans="3:4">
      <c r="C6154" s="319"/>
      <c r="D6154" s="319"/>
    </row>
    <row r="6155" spans="3:4">
      <c r="C6155" s="319"/>
      <c r="D6155" s="319"/>
    </row>
    <row r="6156" spans="3:4">
      <c r="C6156" s="319"/>
      <c r="D6156" s="319"/>
    </row>
    <row r="6157" spans="3:4">
      <c r="C6157" s="319"/>
      <c r="D6157" s="319"/>
    </row>
    <row r="6158" spans="3:4">
      <c r="C6158" s="319"/>
      <c r="D6158" s="319"/>
    </row>
    <row r="6159" spans="3:4">
      <c r="C6159" s="319"/>
      <c r="D6159" s="319"/>
    </row>
    <row r="6160" spans="3:4">
      <c r="C6160" s="319"/>
      <c r="D6160" s="319"/>
    </row>
    <row r="6161" spans="3:4">
      <c r="C6161" s="319"/>
      <c r="D6161" s="319"/>
    </row>
    <row r="6162" spans="3:4">
      <c r="C6162" s="319"/>
      <c r="D6162" s="319"/>
    </row>
    <row r="6163" spans="3:4">
      <c r="C6163" s="319"/>
      <c r="D6163" s="319"/>
    </row>
    <row r="6164" spans="3:4">
      <c r="C6164" s="319"/>
      <c r="D6164" s="319"/>
    </row>
    <row r="6165" spans="3:4">
      <c r="C6165" s="319"/>
      <c r="D6165" s="319"/>
    </row>
    <row r="6166" spans="3:4">
      <c r="C6166" s="319"/>
      <c r="D6166" s="319"/>
    </row>
    <row r="6167" spans="3:4">
      <c r="C6167" s="319"/>
      <c r="D6167" s="319"/>
    </row>
    <row r="6168" spans="3:7">
      <c r="C6168" s="319"/>
      <c r="D6168" s="319"/>
      <c r="G6168" s="320"/>
    </row>
    <row r="6169" spans="3:4">
      <c r="C6169" s="319"/>
      <c r="D6169" s="319"/>
    </row>
    <row r="6170" spans="3:4">
      <c r="C6170" s="319"/>
      <c r="D6170" s="319"/>
    </row>
    <row r="6171" spans="3:4">
      <c r="C6171" s="319"/>
      <c r="D6171" s="319"/>
    </row>
    <row r="6172" spans="3:4">
      <c r="C6172" s="319"/>
      <c r="D6172" s="319"/>
    </row>
    <row r="6173" spans="3:4">
      <c r="C6173" s="319"/>
      <c r="D6173" s="319"/>
    </row>
    <row r="6174" spans="3:4">
      <c r="C6174" s="319"/>
      <c r="D6174" s="319"/>
    </row>
    <row r="6175" spans="3:7">
      <c r="C6175" s="319"/>
      <c r="D6175" s="319"/>
      <c r="G6175" s="320"/>
    </row>
    <row r="6176" spans="3:7">
      <c r="C6176" s="319"/>
      <c r="D6176" s="319"/>
      <c r="G6176" s="320"/>
    </row>
    <row r="6177" spans="3:4">
      <c r="C6177" s="319"/>
      <c r="D6177" s="319"/>
    </row>
    <row r="6178" spans="3:7">
      <c r="C6178" s="319"/>
      <c r="D6178" s="319"/>
      <c r="G6178" s="320"/>
    </row>
    <row r="6179" spans="3:4">
      <c r="C6179" s="319"/>
      <c r="D6179" s="319"/>
    </row>
    <row r="6180" spans="3:7">
      <c r="C6180" s="319"/>
      <c r="D6180" s="319"/>
      <c r="G6180" s="320"/>
    </row>
    <row r="6181" spans="3:4">
      <c r="C6181" s="319"/>
      <c r="D6181" s="319"/>
    </row>
    <row r="6182" spans="3:4">
      <c r="C6182" s="319"/>
      <c r="D6182" s="319"/>
    </row>
    <row r="6183" spans="3:4">
      <c r="C6183" s="319"/>
      <c r="D6183" s="319"/>
    </row>
    <row r="6184" spans="3:4">
      <c r="C6184" s="319"/>
      <c r="D6184" s="319"/>
    </row>
    <row r="6185" spans="3:4">
      <c r="C6185" s="319"/>
      <c r="D6185" s="319"/>
    </row>
    <row r="6186" spans="3:4">
      <c r="C6186" s="319"/>
      <c r="D6186" s="319"/>
    </row>
    <row r="6187" spans="3:4">
      <c r="C6187" s="319"/>
      <c r="D6187" s="319"/>
    </row>
    <row r="6188" spans="3:4">
      <c r="C6188" s="319"/>
      <c r="D6188" s="319"/>
    </row>
    <row r="6189" spans="3:4">
      <c r="C6189" s="319"/>
      <c r="D6189" s="319"/>
    </row>
    <row r="6190" spans="3:4">
      <c r="C6190" s="319"/>
      <c r="D6190" s="319"/>
    </row>
    <row r="6191" spans="3:7">
      <c r="C6191" s="319"/>
      <c r="D6191" s="319"/>
      <c r="G6191" s="320"/>
    </row>
    <row r="6192" spans="3:7">
      <c r="C6192" s="319"/>
      <c r="D6192" s="319"/>
      <c r="G6192" s="320"/>
    </row>
    <row r="6193" spans="3:4">
      <c r="C6193" s="319"/>
      <c r="D6193" s="319"/>
    </row>
    <row r="6194" spans="3:4">
      <c r="C6194" s="319"/>
      <c r="D6194" s="319"/>
    </row>
    <row r="6195" spans="3:4">
      <c r="C6195" s="319"/>
      <c r="D6195" s="319"/>
    </row>
    <row r="6196" spans="3:7">
      <c r="C6196" s="319"/>
      <c r="D6196" s="319"/>
      <c r="G6196" s="320"/>
    </row>
    <row r="6197" spans="3:4">
      <c r="C6197" s="319"/>
      <c r="D6197" s="319"/>
    </row>
    <row r="6198" spans="3:4">
      <c r="C6198" s="319"/>
      <c r="D6198" s="319"/>
    </row>
    <row r="6199" spans="3:4">
      <c r="C6199" s="319"/>
      <c r="D6199" s="319"/>
    </row>
    <row r="6200" spans="3:7">
      <c r="C6200" s="319"/>
      <c r="D6200" s="319"/>
      <c r="G6200" s="320"/>
    </row>
    <row r="6201" spans="3:4">
      <c r="C6201" s="319"/>
      <c r="D6201" s="319"/>
    </row>
    <row r="6202" spans="3:4">
      <c r="C6202" s="319"/>
      <c r="D6202" s="319"/>
    </row>
    <row r="6203" spans="3:4">
      <c r="C6203" s="319"/>
      <c r="D6203" s="319"/>
    </row>
    <row r="6204" spans="3:4">
      <c r="C6204" s="319"/>
      <c r="D6204" s="319"/>
    </row>
    <row r="6205" spans="3:4">
      <c r="C6205" s="319"/>
      <c r="D6205" s="319"/>
    </row>
    <row r="6206" spans="3:4">
      <c r="C6206" s="319"/>
      <c r="D6206" s="319"/>
    </row>
    <row r="6207" spans="3:4">
      <c r="C6207" s="319"/>
      <c r="D6207" s="319"/>
    </row>
    <row r="6208" spans="3:4">
      <c r="C6208" s="319"/>
      <c r="D6208" s="319"/>
    </row>
    <row r="6209" spans="3:4">
      <c r="C6209" s="319"/>
      <c r="D6209" s="319"/>
    </row>
    <row r="6210" spans="3:4">
      <c r="C6210" s="319"/>
      <c r="D6210" s="319"/>
    </row>
    <row r="6211" spans="3:4">
      <c r="C6211" s="319"/>
      <c r="D6211" s="319"/>
    </row>
    <row r="6212" spans="3:4">
      <c r="C6212" s="319"/>
      <c r="D6212" s="319"/>
    </row>
    <row r="6213" spans="3:7">
      <c r="C6213" s="319"/>
      <c r="D6213" s="319"/>
      <c r="G6213" s="320"/>
    </row>
    <row r="6214" spans="3:4">
      <c r="C6214" s="319"/>
      <c r="D6214" s="319"/>
    </row>
    <row r="6215" spans="3:4">
      <c r="C6215" s="319"/>
      <c r="D6215" s="319"/>
    </row>
    <row r="6216" spans="3:4">
      <c r="C6216" s="319"/>
      <c r="D6216" s="319"/>
    </row>
    <row r="6217" spans="3:4">
      <c r="C6217" s="319"/>
      <c r="D6217" s="319"/>
    </row>
    <row r="6218" spans="3:4">
      <c r="C6218" s="319"/>
      <c r="D6218" s="319"/>
    </row>
    <row r="6219" spans="3:4">
      <c r="C6219" s="319"/>
      <c r="D6219" s="319"/>
    </row>
    <row r="6220" spans="3:4">
      <c r="C6220" s="319"/>
      <c r="D6220" s="319"/>
    </row>
    <row r="6221" spans="3:4">
      <c r="C6221" s="319"/>
      <c r="D6221" s="319"/>
    </row>
    <row r="6222" spans="3:4">
      <c r="C6222" s="319"/>
      <c r="D6222" s="319"/>
    </row>
    <row r="6223" spans="3:7">
      <c r="C6223" s="319"/>
      <c r="D6223" s="319"/>
      <c r="G6223" s="320"/>
    </row>
    <row r="6224" spans="3:4">
      <c r="C6224" s="319"/>
      <c r="D6224" s="319"/>
    </row>
    <row r="6225" spans="3:4">
      <c r="C6225" s="319"/>
      <c r="D6225" s="319"/>
    </row>
    <row r="6226" spans="3:4">
      <c r="C6226" s="319"/>
      <c r="D6226" s="319"/>
    </row>
    <row r="6227" spans="3:4">
      <c r="C6227" s="319"/>
      <c r="D6227" s="319"/>
    </row>
    <row r="6228" spans="3:4">
      <c r="C6228" s="319"/>
      <c r="D6228" s="319"/>
    </row>
    <row r="6229" spans="3:4">
      <c r="C6229" s="319"/>
      <c r="D6229" s="319"/>
    </row>
    <row r="6230" spans="3:4">
      <c r="C6230" s="319"/>
      <c r="D6230" s="319"/>
    </row>
    <row r="6231" spans="3:7">
      <c r="C6231" s="319"/>
      <c r="D6231" s="319"/>
      <c r="G6231" s="320"/>
    </row>
    <row r="6232" spans="3:4">
      <c r="C6232" s="319"/>
      <c r="D6232" s="319"/>
    </row>
    <row r="6233" spans="3:4">
      <c r="C6233" s="319"/>
      <c r="D6233" s="319"/>
    </row>
    <row r="6234" spans="3:4">
      <c r="C6234" s="319"/>
      <c r="D6234" s="319"/>
    </row>
    <row r="6235" spans="3:4">
      <c r="C6235" s="319"/>
      <c r="D6235" s="319"/>
    </row>
    <row r="6236" spans="3:7">
      <c r="C6236" s="319"/>
      <c r="D6236" s="319"/>
      <c r="G6236" s="320"/>
    </row>
    <row r="6237" spans="3:4">
      <c r="C6237" s="319"/>
      <c r="D6237" s="319"/>
    </row>
    <row r="6238" spans="3:4">
      <c r="C6238" s="319"/>
      <c r="D6238" s="319"/>
    </row>
    <row r="6239" spans="3:7">
      <c r="C6239" s="319"/>
      <c r="D6239" s="319"/>
      <c r="G6239" s="320"/>
    </row>
    <row r="6240" spans="3:4">
      <c r="C6240" s="319"/>
      <c r="D6240" s="319"/>
    </row>
    <row r="6241" spans="3:4">
      <c r="C6241" s="319"/>
      <c r="D6241" s="319"/>
    </row>
    <row r="6242" spans="3:4">
      <c r="C6242" s="319"/>
      <c r="D6242" s="319"/>
    </row>
    <row r="6243" spans="3:4">
      <c r="C6243" s="319"/>
      <c r="D6243" s="319"/>
    </row>
    <row r="6244" spans="3:4">
      <c r="C6244" s="319"/>
      <c r="D6244" s="319"/>
    </row>
    <row r="6245" spans="3:4">
      <c r="C6245" s="319"/>
      <c r="D6245" s="319"/>
    </row>
    <row r="6246" spans="3:7">
      <c r="C6246" s="319"/>
      <c r="D6246" s="319"/>
      <c r="G6246" s="320"/>
    </row>
    <row r="6247" spans="3:7">
      <c r="C6247" s="319"/>
      <c r="D6247" s="319"/>
      <c r="G6247" s="320"/>
    </row>
    <row r="6248" spans="3:7">
      <c r="C6248" s="319"/>
      <c r="D6248" s="319"/>
      <c r="G6248" s="320"/>
    </row>
    <row r="6249" spans="3:4">
      <c r="C6249" s="319"/>
      <c r="D6249" s="319"/>
    </row>
    <row r="6250" spans="3:7">
      <c r="C6250" s="319"/>
      <c r="D6250" s="319"/>
      <c r="G6250" s="320"/>
    </row>
    <row r="6251" spans="3:7">
      <c r="C6251" s="319"/>
      <c r="D6251" s="319"/>
      <c r="G6251" s="320"/>
    </row>
    <row r="6252" spans="3:4">
      <c r="C6252" s="319"/>
      <c r="D6252" s="319"/>
    </row>
    <row r="6253" spans="3:7">
      <c r="C6253" s="319"/>
      <c r="D6253" s="319"/>
      <c r="G6253" s="320"/>
    </row>
    <row r="6254" spans="3:4">
      <c r="C6254" s="319"/>
      <c r="D6254" s="319"/>
    </row>
    <row r="6255" spans="3:4">
      <c r="C6255" s="319"/>
      <c r="D6255" s="319"/>
    </row>
    <row r="6256" spans="3:4">
      <c r="C6256" s="319"/>
      <c r="D6256" s="319"/>
    </row>
    <row r="6257" spans="3:7">
      <c r="C6257" s="319"/>
      <c r="D6257" s="319"/>
      <c r="G6257" s="320"/>
    </row>
    <row r="6258" spans="3:7">
      <c r="C6258" s="319"/>
      <c r="D6258" s="319"/>
      <c r="G6258" s="320"/>
    </row>
    <row r="6259" spans="3:4">
      <c r="C6259" s="319"/>
      <c r="D6259" s="319"/>
    </row>
    <row r="6260" spans="3:7">
      <c r="C6260" s="319"/>
      <c r="D6260" s="319"/>
      <c r="G6260" s="320"/>
    </row>
    <row r="6261" spans="3:7">
      <c r="C6261" s="319"/>
      <c r="D6261" s="319"/>
      <c r="G6261" s="320"/>
    </row>
    <row r="6262" spans="3:7">
      <c r="C6262" s="319"/>
      <c r="D6262" s="319"/>
      <c r="G6262" s="320"/>
    </row>
    <row r="6263" spans="3:7">
      <c r="C6263" s="319"/>
      <c r="D6263" s="319"/>
      <c r="G6263" s="320"/>
    </row>
    <row r="6264" spans="3:4">
      <c r="C6264" s="319"/>
      <c r="D6264" s="319"/>
    </row>
    <row r="6265" spans="3:4">
      <c r="C6265" s="319"/>
      <c r="D6265" s="319"/>
    </row>
    <row r="6266" spans="3:4">
      <c r="C6266" s="319"/>
      <c r="D6266" s="319"/>
    </row>
    <row r="6267" spans="3:4">
      <c r="C6267" s="319"/>
      <c r="D6267" s="319"/>
    </row>
    <row r="6268" spans="3:7">
      <c r="C6268" s="319"/>
      <c r="D6268" s="319"/>
      <c r="G6268" s="320"/>
    </row>
    <row r="6269" spans="3:7">
      <c r="C6269" s="319"/>
      <c r="D6269" s="319"/>
      <c r="G6269" s="320"/>
    </row>
    <row r="6270" spans="3:7">
      <c r="C6270" s="319"/>
      <c r="D6270" s="319"/>
      <c r="G6270" s="320"/>
    </row>
    <row r="6271" spans="3:4">
      <c r="C6271" s="319"/>
      <c r="D6271" s="319"/>
    </row>
    <row r="6272" spans="3:7">
      <c r="C6272" s="319"/>
      <c r="D6272" s="319"/>
      <c r="G6272" s="320"/>
    </row>
    <row r="6273" spans="3:7">
      <c r="C6273" s="319"/>
      <c r="D6273" s="319"/>
      <c r="G6273" s="320"/>
    </row>
    <row r="6274" spans="3:7">
      <c r="C6274" s="319"/>
      <c r="D6274" s="319"/>
      <c r="G6274" s="320"/>
    </row>
    <row r="6275" spans="3:7">
      <c r="C6275" s="319"/>
      <c r="D6275" s="319"/>
      <c r="G6275" s="320"/>
    </row>
    <row r="6276" spans="3:7">
      <c r="C6276" s="319"/>
      <c r="D6276" s="319"/>
      <c r="G6276" s="320"/>
    </row>
    <row r="6277" spans="3:7">
      <c r="C6277" s="319"/>
      <c r="D6277" s="319"/>
      <c r="G6277" s="320"/>
    </row>
    <row r="6278" spans="3:7">
      <c r="C6278" s="319"/>
      <c r="D6278" s="319"/>
      <c r="G6278" s="320"/>
    </row>
    <row r="6279" spans="3:4">
      <c r="C6279" s="319"/>
      <c r="D6279" s="319"/>
    </row>
    <row r="6280" spans="3:7">
      <c r="C6280" s="319"/>
      <c r="D6280" s="319"/>
      <c r="G6280" s="320"/>
    </row>
    <row r="6281" spans="3:7">
      <c r="C6281" s="319"/>
      <c r="D6281" s="319"/>
      <c r="G6281" s="320"/>
    </row>
    <row r="6282" spans="3:4">
      <c r="C6282" s="319"/>
      <c r="D6282" s="319"/>
    </row>
    <row r="6283" spans="3:4">
      <c r="C6283" s="319"/>
      <c r="D6283" s="319"/>
    </row>
    <row r="6284" spans="3:4">
      <c r="C6284" s="319"/>
      <c r="D6284" s="319"/>
    </row>
    <row r="6285" spans="3:7">
      <c r="C6285" s="319"/>
      <c r="D6285" s="319"/>
      <c r="G6285" s="320"/>
    </row>
    <row r="6286" spans="3:4">
      <c r="C6286" s="319"/>
      <c r="D6286" s="319"/>
    </row>
    <row r="6287" spans="3:7">
      <c r="C6287" s="319"/>
      <c r="D6287" s="319"/>
      <c r="G6287" s="320"/>
    </row>
    <row r="6288" spans="3:4">
      <c r="C6288" s="319"/>
      <c r="D6288" s="319"/>
    </row>
    <row r="6289" spans="3:4">
      <c r="C6289" s="319"/>
      <c r="D6289" s="319"/>
    </row>
    <row r="6290" spans="3:4">
      <c r="C6290" s="319"/>
      <c r="D6290" s="319"/>
    </row>
    <row r="6291" spans="3:4">
      <c r="C6291" s="319"/>
      <c r="D6291" s="319"/>
    </row>
    <row r="6292" spans="3:4">
      <c r="C6292" s="319"/>
      <c r="D6292" s="319"/>
    </row>
    <row r="6293" spans="3:7">
      <c r="C6293" s="319"/>
      <c r="D6293" s="319"/>
      <c r="G6293" s="320"/>
    </row>
    <row r="6294" spans="3:7">
      <c r="C6294" s="319"/>
      <c r="D6294" s="319"/>
      <c r="G6294" s="320"/>
    </row>
    <row r="6295" spans="3:4">
      <c r="C6295" s="319"/>
      <c r="D6295" s="319"/>
    </row>
    <row r="6296" spans="3:4">
      <c r="C6296" s="319"/>
      <c r="D6296" s="319"/>
    </row>
    <row r="6297" spans="3:7">
      <c r="C6297" s="319"/>
      <c r="D6297" s="319"/>
      <c r="G6297" s="320"/>
    </row>
    <row r="6298" spans="3:4">
      <c r="C6298" s="319"/>
      <c r="D6298" s="319"/>
    </row>
    <row r="6299" spans="3:7">
      <c r="C6299" s="319"/>
      <c r="D6299" s="319"/>
      <c r="G6299" s="320"/>
    </row>
    <row r="6300" spans="3:4">
      <c r="C6300" s="319"/>
      <c r="D6300" s="319"/>
    </row>
    <row r="6301" spans="3:7">
      <c r="C6301" s="319"/>
      <c r="D6301" s="319"/>
      <c r="G6301" s="320"/>
    </row>
    <row r="6302" spans="3:4">
      <c r="C6302" s="319"/>
      <c r="D6302" s="319"/>
    </row>
    <row r="6303" spans="3:4">
      <c r="C6303" s="319"/>
      <c r="D6303" s="319"/>
    </row>
    <row r="6304" spans="3:7">
      <c r="C6304" s="319"/>
      <c r="D6304" s="319"/>
      <c r="G6304" s="320"/>
    </row>
    <row r="6305" spans="3:4">
      <c r="C6305" s="319"/>
      <c r="D6305" s="319"/>
    </row>
    <row r="6306" spans="3:4">
      <c r="C6306" s="319"/>
      <c r="D6306" s="319"/>
    </row>
    <row r="6307" spans="3:4">
      <c r="C6307" s="319"/>
      <c r="D6307" s="319"/>
    </row>
    <row r="6308" spans="3:7">
      <c r="C6308" s="319"/>
      <c r="D6308" s="319"/>
      <c r="G6308" s="320"/>
    </row>
    <row r="6309" spans="3:4">
      <c r="C6309" s="319"/>
      <c r="D6309" s="319"/>
    </row>
    <row r="6310" spans="3:4">
      <c r="C6310" s="319"/>
      <c r="D6310" s="319"/>
    </row>
    <row r="6311" spans="3:7">
      <c r="C6311" s="319"/>
      <c r="D6311" s="319"/>
      <c r="G6311" s="320"/>
    </row>
    <row r="6312" spans="3:7">
      <c r="C6312" s="319"/>
      <c r="D6312" s="319"/>
      <c r="G6312" s="320"/>
    </row>
    <row r="6313" spans="3:7">
      <c r="C6313" s="319"/>
      <c r="D6313" s="319"/>
      <c r="G6313" s="320"/>
    </row>
    <row r="6314" spans="3:7">
      <c r="C6314" s="319"/>
      <c r="D6314" s="319"/>
      <c r="G6314" s="320"/>
    </row>
    <row r="6315" spans="3:4">
      <c r="C6315" s="319"/>
      <c r="D6315" s="319"/>
    </row>
    <row r="6316" spans="3:4">
      <c r="C6316" s="319"/>
      <c r="D6316" s="319"/>
    </row>
    <row r="6317" spans="3:4">
      <c r="C6317" s="319"/>
      <c r="D6317" s="319"/>
    </row>
    <row r="6318" spans="3:4">
      <c r="C6318" s="319"/>
      <c r="D6318" s="319"/>
    </row>
    <row r="6319" spans="3:7">
      <c r="C6319" s="319"/>
      <c r="D6319" s="319"/>
      <c r="G6319" s="320"/>
    </row>
    <row r="6320" spans="3:7">
      <c r="C6320" s="319"/>
      <c r="D6320" s="319"/>
      <c r="G6320" s="320"/>
    </row>
    <row r="6321" spans="3:7">
      <c r="C6321" s="319"/>
      <c r="D6321" s="319"/>
      <c r="G6321" s="320"/>
    </row>
    <row r="6322" spans="3:7">
      <c r="C6322" s="319"/>
      <c r="D6322" s="319"/>
      <c r="G6322" s="320"/>
    </row>
    <row r="6323" spans="3:7">
      <c r="C6323" s="319"/>
      <c r="D6323" s="319"/>
      <c r="G6323" s="320"/>
    </row>
    <row r="6324" spans="3:4">
      <c r="C6324" s="319"/>
      <c r="D6324" s="319"/>
    </row>
    <row r="6325" spans="3:4">
      <c r="C6325" s="319"/>
      <c r="D6325" s="319"/>
    </row>
    <row r="6326" spans="3:4">
      <c r="C6326" s="319"/>
      <c r="D6326" s="319"/>
    </row>
    <row r="6327" spans="3:4">
      <c r="C6327" s="319"/>
      <c r="D6327" s="319"/>
    </row>
    <row r="6328" spans="3:4">
      <c r="C6328" s="319"/>
      <c r="D6328" s="319"/>
    </row>
    <row r="6329" spans="3:4">
      <c r="C6329" s="319"/>
      <c r="D6329" s="319"/>
    </row>
    <row r="6330" spans="3:4">
      <c r="C6330" s="319"/>
      <c r="D6330" s="319"/>
    </row>
    <row r="6331" spans="3:7">
      <c r="C6331" s="319"/>
      <c r="D6331" s="319"/>
      <c r="G6331" s="320"/>
    </row>
    <row r="6332" spans="3:4">
      <c r="C6332" s="319"/>
      <c r="D6332" s="319"/>
    </row>
    <row r="6333" spans="3:4">
      <c r="C6333" s="319"/>
      <c r="D6333" s="319"/>
    </row>
    <row r="6334" spans="3:7">
      <c r="C6334" s="319"/>
      <c r="D6334" s="319"/>
      <c r="G6334" s="320"/>
    </row>
    <row r="6335" spans="3:4">
      <c r="C6335" s="319"/>
      <c r="D6335" s="319"/>
    </row>
    <row r="6336" spans="3:4">
      <c r="C6336" s="319"/>
      <c r="D6336" s="319"/>
    </row>
    <row r="6337" spans="3:4">
      <c r="C6337" s="319"/>
      <c r="D6337" s="319"/>
    </row>
    <row r="6338" spans="3:4">
      <c r="C6338" s="319"/>
      <c r="D6338" s="319"/>
    </row>
    <row r="6339" spans="3:7">
      <c r="C6339" s="319"/>
      <c r="D6339" s="319"/>
      <c r="G6339" s="320"/>
    </row>
    <row r="6340" spans="3:7">
      <c r="C6340" s="319"/>
      <c r="D6340" s="319"/>
      <c r="G6340" s="320"/>
    </row>
    <row r="6341" spans="3:4">
      <c r="C6341" s="319"/>
      <c r="D6341" s="319"/>
    </row>
    <row r="6342" spans="3:7">
      <c r="C6342" s="319"/>
      <c r="D6342" s="319"/>
      <c r="G6342" s="320"/>
    </row>
    <row r="6343" spans="3:4">
      <c r="C6343" s="319"/>
      <c r="D6343" s="319"/>
    </row>
    <row r="6344" spans="3:4">
      <c r="C6344" s="319"/>
      <c r="D6344" s="319"/>
    </row>
    <row r="6345" spans="3:4">
      <c r="C6345" s="319"/>
      <c r="D6345" s="319"/>
    </row>
    <row r="6346" spans="3:4">
      <c r="C6346" s="319"/>
      <c r="D6346" s="319"/>
    </row>
    <row r="6347" spans="3:4">
      <c r="C6347" s="319"/>
      <c r="D6347" s="319"/>
    </row>
    <row r="6348" spans="3:7">
      <c r="C6348" s="319"/>
      <c r="D6348" s="319"/>
      <c r="G6348" s="320"/>
    </row>
    <row r="6349" spans="3:7">
      <c r="C6349" s="319"/>
      <c r="D6349" s="319"/>
      <c r="G6349" s="320"/>
    </row>
    <row r="6350" spans="3:7">
      <c r="C6350" s="319"/>
      <c r="D6350" s="319"/>
      <c r="G6350" s="320"/>
    </row>
    <row r="6351" spans="3:4">
      <c r="C6351" s="319"/>
      <c r="D6351" s="319"/>
    </row>
    <row r="6352" spans="3:7">
      <c r="C6352" s="319"/>
      <c r="D6352" s="319"/>
      <c r="G6352" s="320"/>
    </row>
    <row r="6353" spans="3:7">
      <c r="C6353" s="319"/>
      <c r="D6353" s="319"/>
      <c r="G6353" s="320"/>
    </row>
    <row r="6354" spans="3:7">
      <c r="C6354" s="319"/>
      <c r="D6354" s="319"/>
      <c r="G6354" s="320"/>
    </row>
    <row r="6355" spans="3:4">
      <c r="C6355" s="319"/>
      <c r="D6355" s="319"/>
    </row>
    <row r="6356" spans="3:4">
      <c r="C6356" s="319"/>
      <c r="D6356" s="319"/>
    </row>
    <row r="6357" spans="3:4">
      <c r="C6357" s="319"/>
      <c r="D6357" s="319"/>
    </row>
    <row r="6358" spans="3:7">
      <c r="C6358" s="319"/>
      <c r="D6358" s="319"/>
      <c r="G6358" s="320"/>
    </row>
    <row r="6359" spans="3:7">
      <c r="C6359" s="319"/>
      <c r="D6359" s="319"/>
      <c r="G6359" s="320"/>
    </row>
    <row r="6360" spans="3:4">
      <c r="C6360" s="319"/>
      <c r="D6360" s="319"/>
    </row>
    <row r="6361" spans="3:7">
      <c r="C6361" s="319"/>
      <c r="D6361" s="319"/>
      <c r="G6361" s="320"/>
    </row>
    <row r="6362" spans="3:4">
      <c r="C6362" s="319"/>
      <c r="D6362" s="319"/>
    </row>
    <row r="6363" spans="3:4">
      <c r="C6363" s="319"/>
      <c r="D6363" s="319"/>
    </row>
    <row r="6364" spans="3:4">
      <c r="C6364" s="319"/>
      <c r="D6364" s="319"/>
    </row>
    <row r="6365" spans="3:4">
      <c r="C6365" s="319"/>
      <c r="D6365" s="319"/>
    </row>
    <row r="6366" spans="3:7">
      <c r="C6366" s="319"/>
      <c r="D6366" s="319"/>
      <c r="G6366" s="320"/>
    </row>
    <row r="6367" spans="3:4">
      <c r="C6367" s="319"/>
      <c r="D6367" s="319"/>
    </row>
    <row r="6368" spans="3:4">
      <c r="C6368" s="319"/>
      <c r="D6368" s="319"/>
    </row>
    <row r="6369" spans="3:4">
      <c r="C6369" s="319"/>
      <c r="D6369" s="319"/>
    </row>
    <row r="6370" spans="3:7">
      <c r="C6370" s="319"/>
      <c r="D6370" s="319"/>
      <c r="G6370" s="320"/>
    </row>
    <row r="6371" spans="3:7">
      <c r="C6371" s="319"/>
      <c r="D6371" s="319"/>
      <c r="G6371" s="320"/>
    </row>
    <row r="6372" spans="3:4">
      <c r="C6372" s="319"/>
      <c r="D6372" s="319"/>
    </row>
    <row r="6373" spans="3:7">
      <c r="C6373" s="319"/>
      <c r="D6373" s="319"/>
      <c r="G6373" s="320"/>
    </row>
    <row r="6374" spans="3:4">
      <c r="C6374" s="319"/>
      <c r="D6374" s="319"/>
    </row>
    <row r="6375" spans="3:4">
      <c r="C6375" s="319"/>
      <c r="D6375" s="319"/>
    </row>
    <row r="6376" spans="3:7">
      <c r="C6376" s="319"/>
      <c r="D6376" s="319"/>
      <c r="G6376" s="320"/>
    </row>
    <row r="6377" spans="3:7">
      <c r="C6377" s="319"/>
      <c r="D6377" s="319"/>
      <c r="G6377" s="320"/>
    </row>
    <row r="6378" spans="3:4">
      <c r="C6378" s="319"/>
      <c r="D6378" s="319"/>
    </row>
    <row r="6379" spans="3:4">
      <c r="C6379" s="319"/>
      <c r="D6379" s="319"/>
    </row>
    <row r="6380" spans="3:4">
      <c r="C6380" s="319"/>
      <c r="D6380" s="319"/>
    </row>
    <row r="6381" spans="3:7">
      <c r="C6381" s="319"/>
      <c r="D6381" s="319"/>
      <c r="G6381" s="320"/>
    </row>
    <row r="6382" spans="3:4">
      <c r="C6382" s="319"/>
      <c r="D6382" s="319"/>
    </row>
    <row r="6383" spans="3:4">
      <c r="C6383" s="319"/>
      <c r="D6383" s="319"/>
    </row>
    <row r="6384" spans="3:4">
      <c r="C6384" s="319"/>
      <c r="D6384" s="319"/>
    </row>
    <row r="6385" spans="3:4">
      <c r="C6385" s="319"/>
      <c r="D6385" s="319"/>
    </row>
    <row r="6386" spans="3:7">
      <c r="C6386" s="319"/>
      <c r="D6386" s="319"/>
      <c r="G6386" s="320"/>
    </row>
    <row r="6387" spans="3:4">
      <c r="C6387" s="319"/>
      <c r="D6387" s="319"/>
    </row>
    <row r="6388" spans="3:7">
      <c r="C6388" s="319"/>
      <c r="D6388" s="319"/>
      <c r="G6388" s="320"/>
    </row>
    <row r="6389" spans="3:4">
      <c r="C6389" s="319"/>
      <c r="D6389" s="319"/>
    </row>
    <row r="6390" spans="3:7">
      <c r="C6390" s="319"/>
      <c r="D6390" s="319"/>
      <c r="G6390" s="320"/>
    </row>
    <row r="6391" spans="3:4">
      <c r="C6391" s="319"/>
      <c r="D6391" s="319"/>
    </row>
    <row r="6392" spans="3:4">
      <c r="C6392" s="319"/>
      <c r="D6392" s="319"/>
    </row>
    <row r="6393" spans="3:4">
      <c r="C6393" s="319"/>
      <c r="D6393" s="319"/>
    </row>
    <row r="6394" spans="3:7">
      <c r="C6394" s="319"/>
      <c r="D6394" s="319"/>
      <c r="G6394" s="320"/>
    </row>
    <row r="6395" spans="3:7">
      <c r="C6395" s="319"/>
      <c r="D6395" s="319"/>
      <c r="G6395" s="320"/>
    </row>
    <row r="6396" spans="3:4">
      <c r="C6396" s="319"/>
      <c r="D6396" s="319"/>
    </row>
    <row r="6397" spans="3:4">
      <c r="C6397" s="319"/>
      <c r="D6397" s="319"/>
    </row>
    <row r="6398" spans="3:4">
      <c r="C6398" s="319"/>
      <c r="D6398" s="319"/>
    </row>
    <row r="6399" spans="3:7">
      <c r="C6399" s="319"/>
      <c r="D6399" s="319"/>
      <c r="G6399" s="320"/>
    </row>
    <row r="6400" spans="3:7">
      <c r="C6400" s="319"/>
      <c r="D6400" s="319"/>
      <c r="G6400" s="320"/>
    </row>
    <row r="6401" spans="3:4">
      <c r="C6401" s="319"/>
      <c r="D6401" s="319"/>
    </row>
    <row r="6402" spans="3:4">
      <c r="C6402" s="319"/>
      <c r="D6402" s="319"/>
    </row>
    <row r="6403" spans="3:7">
      <c r="C6403" s="319"/>
      <c r="D6403" s="319"/>
      <c r="G6403" s="320"/>
    </row>
    <row r="6404" spans="3:7">
      <c r="C6404" s="319"/>
      <c r="D6404" s="319"/>
      <c r="G6404" s="320"/>
    </row>
    <row r="6405" spans="3:7">
      <c r="C6405" s="319"/>
      <c r="D6405" s="319"/>
      <c r="G6405" s="320"/>
    </row>
    <row r="6406" spans="3:4">
      <c r="C6406" s="319"/>
      <c r="D6406" s="319"/>
    </row>
    <row r="6407" spans="3:4">
      <c r="C6407" s="319"/>
      <c r="D6407" s="319"/>
    </row>
    <row r="6408" spans="3:7">
      <c r="C6408" s="319"/>
      <c r="D6408" s="319"/>
      <c r="G6408" s="320"/>
    </row>
    <row r="6409" spans="3:4">
      <c r="C6409" s="319"/>
      <c r="D6409" s="319"/>
    </row>
    <row r="6410" spans="3:4">
      <c r="C6410" s="319"/>
      <c r="D6410" s="319"/>
    </row>
    <row r="6411" spans="3:7">
      <c r="C6411" s="319"/>
      <c r="D6411" s="319"/>
      <c r="G6411" s="320"/>
    </row>
    <row r="6412" spans="3:4">
      <c r="C6412" s="319"/>
      <c r="D6412" s="319"/>
    </row>
    <row r="6413" spans="3:7">
      <c r="C6413" s="319"/>
      <c r="D6413" s="319"/>
      <c r="G6413" s="320"/>
    </row>
    <row r="6414" spans="3:7">
      <c r="C6414" s="319"/>
      <c r="D6414" s="319"/>
      <c r="G6414" s="320"/>
    </row>
    <row r="6415" spans="3:7">
      <c r="C6415" s="319"/>
      <c r="D6415" s="319"/>
      <c r="G6415" s="320"/>
    </row>
    <row r="6416" spans="3:4">
      <c r="C6416" s="319"/>
      <c r="D6416" s="319"/>
    </row>
    <row r="6417" spans="3:4">
      <c r="C6417" s="319"/>
      <c r="D6417" s="319"/>
    </row>
    <row r="6418" spans="3:7">
      <c r="C6418" s="319"/>
      <c r="D6418" s="319"/>
      <c r="G6418" s="320"/>
    </row>
    <row r="6419" spans="3:7">
      <c r="C6419" s="319"/>
      <c r="D6419" s="319"/>
      <c r="G6419" s="320"/>
    </row>
    <row r="6420" spans="3:7">
      <c r="C6420" s="319"/>
      <c r="D6420" s="319"/>
      <c r="G6420" s="320"/>
    </row>
    <row r="6421" spans="3:4">
      <c r="C6421" s="319"/>
      <c r="D6421" s="319"/>
    </row>
    <row r="6422" spans="3:4">
      <c r="C6422" s="319"/>
      <c r="D6422" s="319"/>
    </row>
    <row r="6423" spans="3:4">
      <c r="C6423" s="319"/>
      <c r="D6423" s="319"/>
    </row>
    <row r="6424" spans="3:4">
      <c r="C6424" s="319"/>
      <c r="D6424" s="319"/>
    </row>
    <row r="6425" spans="3:4">
      <c r="C6425" s="319"/>
      <c r="D6425" s="319"/>
    </row>
    <row r="6426" spans="3:7">
      <c r="C6426" s="319"/>
      <c r="D6426" s="319"/>
      <c r="G6426" s="320"/>
    </row>
    <row r="6427" spans="3:4">
      <c r="C6427" s="319"/>
      <c r="D6427" s="319"/>
    </row>
    <row r="6428" spans="3:4">
      <c r="C6428" s="319"/>
      <c r="D6428" s="319"/>
    </row>
    <row r="6429" spans="3:7">
      <c r="C6429" s="319"/>
      <c r="D6429" s="319"/>
      <c r="G6429" s="320"/>
    </row>
    <row r="6430" spans="3:4">
      <c r="C6430" s="319"/>
      <c r="D6430" s="319"/>
    </row>
    <row r="6431" spans="3:4">
      <c r="C6431" s="319"/>
      <c r="D6431" s="319"/>
    </row>
    <row r="6432" spans="3:7">
      <c r="C6432" s="319"/>
      <c r="D6432" s="319"/>
      <c r="G6432" s="320"/>
    </row>
    <row r="6433" spans="3:4">
      <c r="C6433" s="319"/>
      <c r="D6433" s="319"/>
    </row>
    <row r="6434" spans="3:7">
      <c r="C6434" s="319"/>
      <c r="D6434" s="319"/>
      <c r="G6434" s="320"/>
    </row>
    <row r="6435" spans="3:7">
      <c r="C6435" s="319"/>
      <c r="D6435" s="319"/>
      <c r="G6435" s="320"/>
    </row>
    <row r="6436" spans="3:4">
      <c r="C6436" s="319"/>
      <c r="D6436" s="319"/>
    </row>
    <row r="6437" spans="3:4">
      <c r="C6437" s="319"/>
      <c r="D6437" s="319"/>
    </row>
    <row r="6438" spans="3:7">
      <c r="C6438" s="319"/>
      <c r="D6438" s="319"/>
      <c r="G6438" s="320"/>
    </row>
    <row r="6439" spans="3:4">
      <c r="C6439" s="319"/>
      <c r="D6439" s="319"/>
    </row>
    <row r="6440" spans="3:4">
      <c r="C6440" s="319"/>
      <c r="D6440" s="319"/>
    </row>
    <row r="6441" spans="3:7">
      <c r="C6441" s="319"/>
      <c r="D6441" s="319"/>
      <c r="G6441" s="320"/>
    </row>
    <row r="6442" spans="3:7">
      <c r="C6442" s="319"/>
      <c r="D6442" s="319"/>
      <c r="G6442" s="320"/>
    </row>
    <row r="6443" spans="3:7">
      <c r="C6443" s="319"/>
      <c r="D6443" s="319"/>
      <c r="G6443" s="320"/>
    </row>
    <row r="6444" spans="3:4">
      <c r="C6444" s="319"/>
      <c r="D6444" s="319"/>
    </row>
    <row r="6445" spans="3:7">
      <c r="C6445" s="319"/>
      <c r="D6445" s="319"/>
      <c r="G6445" s="320"/>
    </row>
    <row r="6446" spans="3:7">
      <c r="C6446" s="319"/>
      <c r="D6446" s="319"/>
      <c r="G6446" s="320"/>
    </row>
    <row r="6447" spans="3:7">
      <c r="C6447" s="319"/>
      <c r="D6447" s="319"/>
      <c r="G6447" s="320"/>
    </row>
    <row r="6448" spans="3:4">
      <c r="C6448" s="319"/>
      <c r="D6448" s="319"/>
    </row>
    <row r="6449" spans="3:7">
      <c r="C6449" s="319"/>
      <c r="D6449" s="319"/>
      <c r="G6449" s="320"/>
    </row>
    <row r="6450" spans="3:4">
      <c r="C6450" s="319"/>
      <c r="D6450" s="319"/>
    </row>
    <row r="6451" spans="3:4">
      <c r="C6451" s="319"/>
      <c r="D6451" s="319"/>
    </row>
    <row r="6452" spans="3:7">
      <c r="C6452" s="319"/>
      <c r="D6452" s="319"/>
      <c r="G6452" s="320"/>
    </row>
    <row r="6453" spans="3:7">
      <c r="C6453" s="319"/>
      <c r="D6453" s="319"/>
      <c r="G6453" s="320"/>
    </row>
    <row r="6454" spans="3:7">
      <c r="C6454" s="319"/>
      <c r="D6454" s="319"/>
      <c r="G6454" s="320"/>
    </row>
    <row r="6455" spans="3:7">
      <c r="C6455" s="319"/>
      <c r="D6455" s="319"/>
      <c r="G6455" s="320"/>
    </row>
    <row r="6456" spans="3:7">
      <c r="C6456" s="319"/>
      <c r="D6456" s="319"/>
      <c r="G6456" s="320"/>
    </row>
    <row r="6457" spans="3:7">
      <c r="C6457" s="319"/>
      <c r="D6457" s="319"/>
      <c r="G6457" s="320"/>
    </row>
    <row r="6458" spans="3:4">
      <c r="C6458" s="319"/>
      <c r="D6458" s="319"/>
    </row>
    <row r="6459" spans="3:7">
      <c r="C6459" s="319"/>
      <c r="D6459" s="319"/>
      <c r="G6459" s="320"/>
    </row>
    <row r="6460" spans="3:4">
      <c r="C6460" s="319"/>
      <c r="D6460" s="319"/>
    </row>
    <row r="6461" spans="3:4">
      <c r="C6461" s="319"/>
      <c r="D6461" s="319"/>
    </row>
    <row r="6462" spans="3:4">
      <c r="C6462" s="319"/>
      <c r="D6462" s="319"/>
    </row>
    <row r="6463" spans="3:7">
      <c r="C6463" s="319"/>
      <c r="D6463" s="319"/>
      <c r="G6463" s="320"/>
    </row>
    <row r="6464" spans="3:4">
      <c r="C6464" s="319"/>
      <c r="D6464" s="319"/>
    </row>
    <row r="6465" spans="3:7">
      <c r="C6465" s="319"/>
      <c r="D6465" s="319"/>
      <c r="G6465" s="320"/>
    </row>
    <row r="6466" spans="3:7">
      <c r="C6466" s="319"/>
      <c r="D6466" s="319"/>
      <c r="G6466" s="320"/>
    </row>
    <row r="6467" spans="3:7">
      <c r="C6467" s="319"/>
      <c r="D6467" s="319"/>
      <c r="G6467" s="320"/>
    </row>
    <row r="6468" spans="3:7">
      <c r="C6468" s="319"/>
      <c r="D6468" s="319"/>
      <c r="G6468" s="320"/>
    </row>
    <row r="6469" spans="3:4">
      <c r="C6469" s="319"/>
      <c r="D6469" s="319"/>
    </row>
    <row r="6470" spans="3:4">
      <c r="C6470" s="319"/>
      <c r="D6470" s="319"/>
    </row>
    <row r="6471" spans="3:4">
      <c r="C6471" s="319"/>
      <c r="D6471" s="319"/>
    </row>
    <row r="6472" spans="3:4">
      <c r="C6472" s="319"/>
      <c r="D6472" s="319"/>
    </row>
    <row r="6473" spans="3:7">
      <c r="C6473" s="319"/>
      <c r="D6473" s="319"/>
      <c r="G6473" s="320"/>
    </row>
    <row r="6474" spans="3:7">
      <c r="C6474" s="319"/>
      <c r="D6474" s="319"/>
      <c r="G6474" s="320"/>
    </row>
    <row r="6475" spans="3:7">
      <c r="C6475" s="319"/>
      <c r="D6475" s="319"/>
      <c r="G6475" s="320"/>
    </row>
    <row r="6476" spans="3:4">
      <c r="C6476" s="319"/>
      <c r="D6476" s="319"/>
    </row>
    <row r="6477" spans="3:7">
      <c r="C6477" s="319"/>
      <c r="D6477" s="319"/>
      <c r="G6477" s="320"/>
    </row>
    <row r="6478" spans="3:4">
      <c r="C6478" s="319"/>
      <c r="D6478" s="319"/>
    </row>
    <row r="6479" spans="3:4">
      <c r="C6479" s="319"/>
      <c r="D6479" s="319"/>
    </row>
    <row r="6480" spans="3:7">
      <c r="C6480" s="319"/>
      <c r="D6480" s="319"/>
      <c r="G6480" s="320"/>
    </row>
    <row r="6481" spans="3:7">
      <c r="C6481" s="319"/>
      <c r="D6481" s="319"/>
      <c r="G6481" s="320"/>
    </row>
    <row r="6482" spans="3:7">
      <c r="C6482" s="319"/>
      <c r="D6482" s="319"/>
      <c r="G6482" s="320"/>
    </row>
    <row r="6483" spans="3:7">
      <c r="C6483" s="319"/>
      <c r="D6483" s="319"/>
      <c r="G6483" s="320"/>
    </row>
    <row r="6484" spans="3:4">
      <c r="C6484" s="319"/>
      <c r="D6484" s="319"/>
    </row>
    <row r="6485" spans="3:7">
      <c r="C6485" s="319"/>
      <c r="D6485" s="319"/>
      <c r="G6485" s="320"/>
    </row>
    <row r="6486" spans="3:7">
      <c r="C6486" s="319"/>
      <c r="D6486" s="319"/>
      <c r="G6486" s="320"/>
    </row>
    <row r="6487" spans="3:7">
      <c r="C6487" s="319"/>
      <c r="D6487" s="319"/>
      <c r="G6487" s="320"/>
    </row>
    <row r="6488" spans="3:4">
      <c r="C6488" s="319"/>
      <c r="D6488" s="319"/>
    </row>
    <row r="6489" spans="3:7">
      <c r="C6489" s="319"/>
      <c r="D6489" s="319"/>
      <c r="G6489" s="320"/>
    </row>
    <row r="6490" spans="3:7">
      <c r="C6490" s="319"/>
      <c r="D6490" s="319"/>
      <c r="G6490" s="320"/>
    </row>
    <row r="6491" spans="3:7">
      <c r="C6491" s="319"/>
      <c r="D6491" s="319"/>
      <c r="G6491" s="320"/>
    </row>
    <row r="6492" spans="3:4">
      <c r="C6492" s="319"/>
      <c r="D6492" s="319"/>
    </row>
    <row r="6493" spans="3:4">
      <c r="C6493" s="319"/>
      <c r="D6493" s="319"/>
    </row>
    <row r="6494" spans="3:7">
      <c r="C6494" s="319"/>
      <c r="D6494" s="319"/>
      <c r="G6494" s="320"/>
    </row>
    <row r="6495" spans="3:4">
      <c r="C6495" s="319"/>
      <c r="D6495" s="319"/>
    </row>
    <row r="6496" spans="3:7">
      <c r="C6496" s="319"/>
      <c r="D6496" s="319"/>
      <c r="G6496" s="320"/>
    </row>
    <row r="6497" spans="3:4">
      <c r="C6497" s="319"/>
      <c r="D6497" s="319"/>
    </row>
    <row r="6498" spans="3:7">
      <c r="C6498" s="319"/>
      <c r="D6498" s="319"/>
      <c r="G6498" s="320"/>
    </row>
    <row r="6499" spans="3:7">
      <c r="C6499" s="319"/>
      <c r="D6499" s="319"/>
      <c r="G6499" s="320"/>
    </row>
    <row r="6500" spans="3:7">
      <c r="C6500" s="319"/>
      <c r="D6500" s="319"/>
      <c r="G6500" s="320"/>
    </row>
    <row r="6501" spans="3:7">
      <c r="C6501" s="319"/>
      <c r="D6501" s="319"/>
      <c r="G6501" s="320"/>
    </row>
    <row r="6502" spans="3:4">
      <c r="C6502" s="319"/>
      <c r="D6502" s="319"/>
    </row>
    <row r="6503" spans="3:7">
      <c r="C6503" s="319"/>
      <c r="D6503" s="319"/>
      <c r="G6503" s="320"/>
    </row>
    <row r="6504" spans="3:4">
      <c r="C6504" s="319"/>
      <c r="D6504" s="319"/>
    </row>
    <row r="6505" spans="3:7">
      <c r="C6505" s="319"/>
      <c r="D6505" s="319"/>
      <c r="G6505" s="320"/>
    </row>
    <row r="6506" spans="3:4">
      <c r="C6506" s="319"/>
      <c r="D6506" s="319"/>
    </row>
    <row r="6507" spans="3:4">
      <c r="C6507" s="319"/>
      <c r="D6507" s="319"/>
    </row>
    <row r="6508" spans="3:4">
      <c r="C6508" s="319"/>
      <c r="D6508" s="319"/>
    </row>
    <row r="6509" spans="3:7">
      <c r="C6509" s="319"/>
      <c r="D6509" s="319"/>
      <c r="G6509" s="320"/>
    </row>
    <row r="6510" spans="3:4">
      <c r="C6510" s="319"/>
      <c r="D6510" s="319"/>
    </row>
    <row r="6511" spans="3:7">
      <c r="C6511" s="319"/>
      <c r="D6511" s="319"/>
      <c r="G6511" s="320"/>
    </row>
    <row r="6512" spans="3:7">
      <c r="C6512" s="319"/>
      <c r="D6512" s="319"/>
      <c r="G6512" s="320"/>
    </row>
    <row r="6513" spans="3:7">
      <c r="C6513" s="319"/>
      <c r="D6513" s="319"/>
      <c r="G6513" s="320"/>
    </row>
    <row r="6514" spans="3:7">
      <c r="C6514" s="319"/>
      <c r="D6514" s="319"/>
      <c r="G6514" s="320"/>
    </row>
    <row r="6515" spans="3:4">
      <c r="C6515" s="319"/>
      <c r="D6515" s="319"/>
    </row>
    <row r="6516" spans="3:7">
      <c r="C6516" s="319"/>
      <c r="D6516" s="319"/>
      <c r="G6516" s="320"/>
    </row>
    <row r="6517" spans="3:4">
      <c r="C6517" s="319"/>
      <c r="D6517" s="319"/>
    </row>
    <row r="6518" spans="3:4">
      <c r="C6518" s="319"/>
      <c r="D6518" s="319"/>
    </row>
    <row r="6519" spans="3:7">
      <c r="C6519" s="319"/>
      <c r="D6519" s="319"/>
      <c r="G6519" s="320"/>
    </row>
    <row r="6520" spans="3:4">
      <c r="C6520" s="319"/>
      <c r="D6520" s="319"/>
    </row>
    <row r="6521" spans="3:4">
      <c r="C6521" s="319"/>
      <c r="D6521" s="319"/>
    </row>
    <row r="6522" spans="3:7">
      <c r="C6522" s="319"/>
      <c r="D6522" s="319"/>
      <c r="G6522" s="320"/>
    </row>
    <row r="6523" spans="3:7">
      <c r="C6523" s="319"/>
      <c r="D6523" s="319"/>
      <c r="G6523" s="320"/>
    </row>
    <row r="6524" spans="3:7">
      <c r="C6524" s="319"/>
      <c r="D6524" s="319"/>
      <c r="G6524" s="320"/>
    </row>
    <row r="6525" spans="3:7">
      <c r="C6525" s="319"/>
      <c r="D6525" s="319"/>
      <c r="G6525" s="320"/>
    </row>
    <row r="6526" spans="3:7">
      <c r="C6526" s="319"/>
      <c r="D6526" s="319"/>
      <c r="G6526" s="320"/>
    </row>
    <row r="6527" spans="3:7">
      <c r="C6527" s="319"/>
      <c r="D6527" s="319"/>
      <c r="G6527" s="320"/>
    </row>
    <row r="6528" spans="3:4">
      <c r="C6528" s="319"/>
      <c r="D6528" s="319"/>
    </row>
    <row r="6529" spans="3:4">
      <c r="C6529" s="319"/>
      <c r="D6529" s="319"/>
    </row>
    <row r="6530" spans="3:4">
      <c r="C6530" s="319"/>
      <c r="D6530" s="319"/>
    </row>
    <row r="6531" spans="3:4">
      <c r="C6531" s="319"/>
      <c r="D6531" s="319"/>
    </row>
    <row r="6532" spans="3:7">
      <c r="C6532" s="319"/>
      <c r="D6532" s="319"/>
      <c r="G6532" s="320"/>
    </row>
    <row r="6533" spans="3:7">
      <c r="C6533" s="319"/>
      <c r="D6533" s="319"/>
      <c r="G6533" s="320"/>
    </row>
    <row r="6534" spans="3:7">
      <c r="C6534" s="319"/>
      <c r="D6534" s="319"/>
      <c r="G6534" s="320"/>
    </row>
    <row r="6535" spans="3:7">
      <c r="C6535" s="319"/>
      <c r="D6535" s="319"/>
      <c r="G6535" s="320"/>
    </row>
    <row r="6536" spans="3:4">
      <c r="C6536" s="319"/>
      <c r="D6536" s="319"/>
    </row>
    <row r="6537" spans="3:4">
      <c r="C6537" s="319"/>
      <c r="D6537" s="319"/>
    </row>
    <row r="6538" spans="3:7">
      <c r="C6538" s="319"/>
      <c r="D6538" s="319"/>
      <c r="G6538" s="320"/>
    </row>
    <row r="6539" spans="3:7">
      <c r="C6539" s="319"/>
      <c r="D6539" s="319"/>
      <c r="G6539" s="320"/>
    </row>
    <row r="6540" spans="3:4">
      <c r="C6540" s="319"/>
      <c r="D6540" s="319"/>
    </row>
    <row r="6541" spans="3:7">
      <c r="C6541" s="319"/>
      <c r="D6541" s="319"/>
      <c r="G6541" s="320"/>
    </row>
    <row r="6542" spans="3:7">
      <c r="C6542" s="319"/>
      <c r="D6542" s="319"/>
      <c r="G6542" s="320"/>
    </row>
    <row r="6543" spans="3:4">
      <c r="C6543" s="319"/>
      <c r="D6543" s="319"/>
    </row>
    <row r="6544" spans="3:7">
      <c r="C6544" s="319"/>
      <c r="D6544" s="319"/>
      <c r="G6544" s="320"/>
    </row>
    <row r="6545" spans="3:7">
      <c r="C6545" s="319"/>
      <c r="D6545" s="319"/>
      <c r="G6545" s="320"/>
    </row>
    <row r="6546" spans="3:7">
      <c r="C6546" s="319"/>
      <c r="D6546" s="319"/>
      <c r="G6546" s="320"/>
    </row>
    <row r="6547" spans="3:7">
      <c r="C6547" s="319"/>
      <c r="D6547" s="319"/>
      <c r="G6547" s="320"/>
    </row>
    <row r="6548" spans="3:7">
      <c r="C6548" s="319"/>
      <c r="D6548" s="319"/>
      <c r="G6548" s="320"/>
    </row>
    <row r="6549" spans="3:7">
      <c r="C6549" s="319"/>
      <c r="D6549" s="319"/>
      <c r="G6549" s="320"/>
    </row>
    <row r="6550" spans="3:7">
      <c r="C6550" s="319"/>
      <c r="D6550" s="319"/>
      <c r="G6550" s="320"/>
    </row>
    <row r="6551" spans="3:7">
      <c r="C6551" s="319"/>
      <c r="D6551" s="319"/>
      <c r="G6551" s="320"/>
    </row>
    <row r="6552" spans="3:7">
      <c r="C6552" s="319"/>
      <c r="D6552" s="319"/>
      <c r="G6552" s="320"/>
    </row>
    <row r="6553" spans="3:7">
      <c r="C6553" s="319"/>
      <c r="D6553" s="319"/>
      <c r="G6553" s="320"/>
    </row>
    <row r="6554" spans="3:7">
      <c r="C6554" s="319"/>
      <c r="D6554" s="319"/>
      <c r="G6554" s="320"/>
    </row>
    <row r="6555" spans="3:7">
      <c r="C6555" s="319"/>
      <c r="D6555" s="319"/>
      <c r="G6555" s="320"/>
    </row>
    <row r="6556" spans="3:4">
      <c r="C6556" s="319"/>
      <c r="D6556" s="319"/>
    </row>
    <row r="6557" spans="3:4">
      <c r="C6557" s="319"/>
      <c r="D6557" s="319"/>
    </row>
    <row r="6558" spans="3:7">
      <c r="C6558" s="319"/>
      <c r="D6558" s="319"/>
      <c r="G6558" s="320"/>
    </row>
    <row r="6559" spans="3:7">
      <c r="C6559" s="319"/>
      <c r="D6559" s="319"/>
      <c r="G6559" s="320"/>
    </row>
    <row r="6560" spans="3:4">
      <c r="C6560" s="319"/>
      <c r="D6560" s="319"/>
    </row>
    <row r="6561" spans="3:4">
      <c r="C6561" s="319"/>
      <c r="D6561" s="319"/>
    </row>
    <row r="6562" spans="3:4">
      <c r="C6562" s="319"/>
      <c r="D6562" s="319"/>
    </row>
    <row r="6563" spans="3:4">
      <c r="C6563" s="319"/>
      <c r="D6563" s="319"/>
    </row>
    <row r="6564" spans="3:4">
      <c r="C6564" s="319"/>
      <c r="D6564" s="319"/>
    </row>
    <row r="6565" spans="3:4">
      <c r="C6565" s="319"/>
      <c r="D6565" s="319"/>
    </row>
    <row r="6566" spans="3:4">
      <c r="C6566" s="319"/>
      <c r="D6566" s="319"/>
    </row>
    <row r="6567" spans="3:7">
      <c r="C6567" s="319"/>
      <c r="D6567" s="319"/>
      <c r="G6567" s="320"/>
    </row>
    <row r="6568" spans="3:4">
      <c r="C6568" s="319"/>
      <c r="D6568" s="319"/>
    </row>
    <row r="6569" spans="3:4">
      <c r="C6569" s="319"/>
      <c r="D6569" s="319"/>
    </row>
    <row r="6570" spans="3:4">
      <c r="C6570" s="319"/>
      <c r="D6570" s="319"/>
    </row>
    <row r="6571" spans="3:7">
      <c r="C6571" s="319"/>
      <c r="D6571" s="319"/>
      <c r="G6571" s="320"/>
    </row>
    <row r="6572" spans="3:7">
      <c r="C6572" s="319"/>
      <c r="D6572" s="319"/>
      <c r="G6572" s="320"/>
    </row>
    <row r="6573" spans="3:4">
      <c r="C6573" s="319"/>
      <c r="D6573" s="319"/>
    </row>
    <row r="6574" spans="3:7">
      <c r="C6574" s="319"/>
      <c r="D6574" s="319"/>
      <c r="G6574" s="320"/>
    </row>
    <row r="6575" spans="3:4">
      <c r="C6575" s="319"/>
      <c r="D6575" s="319"/>
    </row>
    <row r="6576" spans="3:7">
      <c r="C6576" s="319"/>
      <c r="D6576" s="319"/>
      <c r="G6576" s="320"/>
    </row>
    <row r="6577" spans="3:4">
      <c r="C6577" s="319"/>
      <c r="D6577" s="319"/>
    </row>
    <row r="6578" spans="3:7">
      <c r="C6578" s="319"/>
      <c r="D6578" s="319"/>
      <c r="G6578" s="320"/>
    </row>
    <row r="6579" spans="3:7">
      <c r="C6579" s="319"/>
      <c r="D6579" s="319"/>
      <c r="G6579" s="320"/>
    </row>
    <row r="6580" spans="3:7">
      <c r="C6580" s="319"/>
      <c r="D6580" s="319"/>
      <c r="G6580" s="320"/>
    </row>
    <row r="6581" spans="3:7">
      <c r="C6581" s="319"/>
      <c r="D6581" s="319"/>
      <c r="G6581" s="320"/>
    </row>
    <row r="6582" spans="3:7">
      <c r="C6582" s="319"/>
      <c r="D6582" s="319"/>
      <c r="G6582" s="320"/>
    </row>
    <row r="6583" spans="3:4">
      <c r="C6583" s="319"/>
      <c r="D6583" s="319"/>
    </row>
    <row r="6584" spans="3:4">
      <c r="C6584" s="319"/>
      <c r="D6584" s="319"/>
    </row>
    <row r="6585" spans="3:4">
      <c r="C6585" s="319"/>
      <c r="D6585" s="319"/>
    </row>
    <row r="6586" spans="3:7">
      <c r="C6586" s="319"/>
      <c r="D6586" s="319"/>
      <c r="G6586" s="320"/>
    </row>
    <row r="6587" spans="3:4">
      <c r="C6587" s="319"/>
      <c r="D6587" s="319"/>
    </row>
    <row r="6588" spans="3:4">
      <c r="C6588" s="319"/>
      <c r="D6588" s="319"/>
    </row>
    <row r="6589" spans="3:4">
      <c r="C6589" s="319"/>
      <c r="D6589" s="319"/>
    </row>
    <row r="6590" spans="3:7">
      <c r="C6590" s="319"/>
      <c r="D6590" s="319"/>
      <c r="G6590" s="320"/>
    </row>
    <row r="6591" spans="3:4">
      <c r="C6591" s="319"/>
      <c r="D6591" s="319"/>
    </row>
    <row r="6592" spans="3:7">
      <c r="C6592" s="319"/>
      <c r="D6592" s="319"/>
      <c r="G6592" s="320"/>
    </row>
    <row r="6593" spans="3:4">
      <c r="C6593" s="319"/>
      <c r="D6593" s="319"/>
    </row>
    <row r="6594" spans="3:7">
      <c r="C6594" s="319"/>
      <c r="D6594" s="319"/>
      <c r="G6594" s="320"/>
    </row>
    <row r="6595" spans="3:7">
      <c r="C6595" s="319"/>
      <c r="D6595" s="319"/>
      <c r="G6595" s="320"/>
    </row>
    <row r="6596" spans="3:4">
      <c r="C6596" s="319"/>
      <c r="D6596" s="319"/>
    </row>
    <row r="6597" spans="3:4">
      <c r="C6597" s="319"/>
      <c r="D6597" s="319"/>
    </row>
    <row r="6598" spans="3:7">
      <c r="C6598" s="319"/>
      <c r="D6598" s="319"/>
      <c r="G6598" s="320"/>
    </row>
    <row r="6599" spans="3:4">
      <c r="C6599" s="319"/>
      <c r="D6599" s="319"/>
    </row>
    <row r="6600" spans="3:7">
      <c r="C6600" s="319"/>
      <c r="D6600" s="319"/>
      <c r="G6600" s="320"/>
    </row>
    <row r="6601" spans="3:4">
      <c r="C6601" s="319"/>
      <c r="D6601" s="319"/>
    </row>
    <row r="6602" spans="3:4">
      <c r="C6602" s="319"/>
      <c r="D6602" s="319"/>
    </row>
    <row r="6603" spans="3:4">
      <c r="C6603" s="319"/>
      <c r="D6603" s="319"/>
    </row>
    <row r="6604" spans="3:4">
      <c r="C6604" s="319"/>
      <c r="D6604" s="319"/>
    </row>
    <row r="6605" spans="3:7">
      <c r="C6605" s="319"/>
      <c r="D6605" s="319"/>
      <c r="G6605" s="320"/>
    </row>
    <row r="6606" spans="3:4">
      <c r="C6606" s="319"/>
      <c r="D6606" s="319"/>
    </row>
    <row r="6607" spans="3:4">
      <c r="C6607" s="319"/>
      <c r="D6607" s="319"/>
    </row>
    <row r="6608" spans="3:7">
      <c r="C6608" s="319"/>
      <c r="D6608" s="319"/>
      <c r="G6608" s="320"/>
    </row>
    <row r="6609" spans="3:4">
      <c r="C6609" s="319"/>
      <c r="D6609" s="319"/>
    </row>
    <row r="6610" spans="3:7">
      <c r="C6610" s="319"/>
      <c r="D6610" s="319"/>
      <c r="G6610" s="320"/>
    </row>
    <row r="6611" spans="3:7">
      <c r="C6611" s="319"/>
      <c r="D6611" s="319"/>
      <c r="G6611" s="320"/>
    </row>
    <row r="6612" spans="3:7">
      <c r="C6612" s="319"/>
      <c r="D6612" s="319"/>
      <c r="G6612" s="320"/>
    </row>
    <row r="6613" spans="3:4">
      <c r="C6613" s="319"/>
      <c r="D6613" s="319"/>
    </row>
    <row r="6614" spans="3:4">
      <c r="C6614" s="319"/>
      <c r="D6614" s="319"/>
    </row>
    <row r="6615" spans="3:4">
      <c r="C6615" s="319"/>
      <c r="D6615" s="319"/>
    </row>
    <row r="6616" spans="3:4">
      <c r="C6616" s="319"/>
      <c r="D6616" s="319"/>
    </row>
    <row r="6617" spans="3:7">
      <c r="C6617" s="319"/>
      <c r="D6617" s="319"/>
      <c r="G6617" s="320"/>
    </row>
    <row r="6618" spans="3:4">
      <c r="C6618" s="319"/>
      <c r="D6618" s="319"/>
    </row>
    <row r="6619" spans="3:7">
      <c r="C6619" s="319"/>
      <c r="D6619" s="319"/>
      <c r="G6619" s="320"/>
    </row>
    <row r="6620" spans="3:7">
      <c r="C6620" s="319"/>
      <c r="D6620" s="319"/>
      <c r="G6620" s="320"/>
    </row>
    <row r="6621" spans="3:4">
      <c r="C6621" s="319"/>
      <c r="D6621" s="319"/>
    </row>
    <row r="6622" spans="3:4">
      <c r="C6622" s="319"/>
      <c r="D6622" s="319"/>
    </row>
    <row r="6623" spans="3:4">
      <c r="C6623" s="319"/>
      <c r="D6623" s="319"/>
    </row>
    <row r="6624" spans="3:4">
      <c r="C6624" s="319"/>
      <c r="D6624" s="319"/>
    </row>
    <row r="6625" spans="3:7">
      <c r="C6625" s="319"/>
      <c r="D6625" s="319"/>
      <c r="G6625" s="320"/>
    </row>
    <row r="6626" spans="3:4">
      <c r="C6626" s="319"/>
      <c r="D6626" s="319"/>
    </row>
    <row r="6627" spans="3:4">
      <c r="C6627" s="319"/>
      <c r="D6627" s="319"/>
    </row>
    <row r="6628" spans="3:4">
      <c r="C6628" s="319"/>
      <c r="D6628" s="319"/>
    </row>
    <row r="6629" spans="3:7">
      <c r="C6629" s="319"/>
      <c r="D6629" s="319"/>
      <c r="G6629" s="320"/>
    </row>
    <row r="6630" spans="3:7">
      <c r="C6630" s="319"/>
      <c r="D6630" s="319"/>
      <c r="G6630" s="320"/>
    </row>
    <row r="6631" spans="3:4">
      <c r="C6631" s="319"/>
      <c r="D6631" s="319"/>
    </row>
    <row r="6632" spans="3:7">
      <c r="C6632" s="319"/>
      <c r="D6632" s="319"/>
      <c r="G6632" s="320"/>
    </row>
    <row r="6633" spans="3:4">
      <c r="C6633" s="319"/>
      <c r="D6633" s="319"/>
    </row>
    <row r="6634" spans="3:7">
      <c r="C6634" s="319"/>
      <c r="D6634" s="319"/>
      <c r="G6634" s="320"/>
    </row>
    <row r="6635" spans="3:7">
      <c r="C6635" s="319"/>
      <c r="D6635" s="319"/>
      <c r="G6635" s="320"/>
    </row>
    <row r="6636" spans="3:7">
      <c r="C6636" s="319"/>
      <c r="D6636" s="319"/>
      <c r="G6636" s="320"/>
    </row>
    <row r="6637" spans="3:7">
      <c r="C6637" s="319"/>
      <c r="D6637" s="319"/>
      <c r="G6637" s="320"/>
    </row>
    <row r="6638" spans="3:7">
      <c r="C6638" s="319"/>
      <c r="D6638" s="319"/>
      <c r="G6638" s="320"/>
    </row>
    <row r="6639" spans="3:7">
      <c r="C6639" s="319"/>
      <c r="D6639" s="319"/>
      <c r="G6639" s="320"/>
    </row>
    <row r="6640" spans="3:7">
      <c r="C6640" s="319"/>
      <c r="D6640" s="319"/>
      <c r="G6640" s="320"/>
    </row>
    <row r="6641" spans="3:7">
      <c r="C6641" s="319"/>
      <c r="D6641" s="319"/>
      <c r="G6641" s="320"/>
    </row>
    <row r="6642" spans="3:7">
      <c r="C6642" s="319"/>
      <c r="D6642" s="319"/>
      <c r="G6642" s="320"/>
    </row>
    <row r="6643" spans="3:4">
      <c r="C6643" s="319"/>
      <c r="D6643" s="319"/>
    </row>
    <row r="6644" spans="3:4">
      <c r="C6644" s="319"/>
      <c r="D6644" s="319"/>
    </row>
    <row r="6645" spans="3:7">
      <c r="C6645" s="319"/>
      <c r="D6645" s="319"/>
      <c r="G6645" s="320"/>
    </row>
    <row r="6646" spans="3:7">
      <c r="C6646" s="319"/>
      <c r="D6646" s="319"/>
      <c r="G6646" s="320"/>
    </row>
    <row r="6647" spans="3:4">
      <c r="C6647" s="319"/>
      <c r="D6647" s="319"/>
    </row>
    <row r="6648" spans="3:4">
      <c r="C6648" s="319"/>
      <c r="D6648" s="319"/>
    </row>
    <row r="6649" spans="3:7">
      <c r="C6649" s="319"/>
      <c r="D6649" s="319"/>
      <c r="G6649" s="320"/>
    </row>
    <row r="6650" spans="3:7">
      <c r="C6650" s="319"/>
      <c r="D6650" s="319"/>
      <c r="G6650" s="320"/>
    </row>
    <row r="6651" spans="3:7">
      <c r="C6651" s="319"/>
      <c r="D6651" s="319"/>
      <c r="G6651" s="320"/>
    </row>
    <row r="6652" spans="3:4">
      <c r="C6652" s="319"/>
      <c r="D6652" s="319"/>
    </row>
    <row r="6653" spans="3:7">
      <c r="C6653" s="319"/>
      <c r="D6653" s="319"/>
      <c r="G6653" s="320"/>
    </row>
    <row r="6654" spans="3:7">
      <c r="C6654" s="319"/>
      <c r="D6654" s="319"/>
      <c r="G6654" s="320"/>
    </row>
    <row r="6655" spans="3:4">
      <c r="C6655" s="319"/>
      <c r="D6655" s="319"/>
    </row>
    <row r="6656" spans="3:4">
      <c r="C6656" s="319"/>
      <c r="D6656" s="319"/>
    </row>
    <row r="6657" spans="3:4">
      <c r="C6657" s="319"/>
      <c r="D6657" s="319"/>
    </row>
    <row r="6658" spans="3:4">
      <c r="C6658" s="319"/>
      <c r="D6658" s="319"/>
    </row>
    <row r="6659" spans="3:4">
      <c r="C6659" s="319"/>
      <c r="D6659" s="319"/>
    </row>
    <row r="6660" spans="3:7">
      <c r="C6660" s="319"/>
      <c r="D6660" s="319"/>
      <c r="G6660" s="320"/>
    </row>
    <row r="6661" spans="3:7">
      <c r="C6661" s="319"/>
      <c r="D6661" s="319"/>
      <c r="G6661" s="320"/>
    </row>
    <row r="6662" spans="3:7">
      <c r="C6662" s="319"/>
      <c r="D6662" s="319"/>
      <c r="G6662" s="320"/>
    </row>
    <row r="6663" spans="3:7">
      <c r="C6663" s="319"/>
      <c r="D6663" s="319"/>
      <c r="G6663" s="320"/>
    </row>
    <row r="6664" spans="3:7">
      <c r="C6664" s="319"/>
      <c r="D6664" s="319"/>
      <c r="G6664" s="320"/>
    </row>
    <row r="6665" spans="3:7">
      <c r="C6665" s="319"/>
      <c r="D6665" s="319"/>
      <c r="G6665" s="320"/>
    </row>
    <row r="6666" spans="3:4">
      <c r="C6666" s="319"/>
      <c r="D6666" s="319"/>
    </row>
    <row r="6667" spans="3:7">
      <c r="C6667" s="319"/>
      <c r="D6667" s="319"/>
      <c r="G6667" s="320"/>
    </row>
    <row r="6668" spans="3:7">
      <c r="C6668" s="319"/>
      <c r="D6668" s="319"/>
      <c r="G6668" s="320"/>
    </row>
    <row r="6669" spans="3:7">
      <c r="C6669" s="319"/>
      <c r="D6669" s="319"/>
      <c r="G6669" s="320"/>
    </row>
    <row r="6670" spans="3:4">
      <c r="C6670" s="319"/>
      <c r="D6670" s="319"/>
    </row>
    <row r="6671" spans="3:7">
      <c r="C6671" s="319"/>
      <c r="D6671" s="319"/>
      <c r="G6671" s="320"/>
    </row>
    <row r="6672" spans="3:7">
      <c r="C6672" s="319"/>
      <c r="D6672" s="319"/>
      <c r="G6672" s="320"/>
    </row>
    <row r="6673" spans="3:4">
      <c r="C6673" s="319"/>
      <c r="D6673" s="319"/>
    </row>
    <row r="6674" spans="3:4">
      <c r="C6674" s="319"/>
      <c r="D6674" s="319"/>
    </row>
    <row r="6675" spans="3:4">
      <c r="C6675" s="319"/>
      <c r="D6675" s="319"/>
    </row>
    <row r="6676" spans="3:7">
      <c r="C6676" s="319"/>
      <c r="D6676" s="319"/>
      <c r="G6676" s="320"/>
    </row>
    <row r="6677" spans="3:7">
      <c r="C6677" s="319"/>
      <c r="D6677" s="319"/>
      <c r="G6677" s="320"/>
    </row>
    <row r="6678" spans="3:7">
      <c r="C6678" s="319"/>
      <c r="D6678" s="319"/>
      <c r="G6678" s="320"/>
    </row>
    <row r="6679" spans="3:7">
      <c r="C6679" s="319"/>
      <c r="D6679" s="319"/>
      <c r="G6679" s="320"/>
    </row>
    <row r="6680" spans="3:7">
      <c r="C6680" s="319"/>
      <c r="D6680" s="319"/>
      <c r="G6680" s="320"/>
    </row>
    <row r="6681" spans="3:7">
      <c r="C6681" s="319"/>
      <c r="D6681" s="319"/>
      <c r="G6681" s="320"/>
    </row>
    <row r="6682" spans="3:4">
      <c r="C6682" s="319"/>
      <c r="D6682" s="319"/>
    </row>
    <row r="6683" spans="3:4">
      <c r="C6683" s="319"/>
      <c r="D6683" s="319"/>
    </row>
    <row r="6684" spans="3:4">
      <c r="C6684" s="319"/>
      <c r="D6684" s="319"/>
    </row>
    <row r="6685" spans="3:7">
      <c r="C6685" s="319"/>
      <c r="D6685" s="319"/>
      <c r="G6685" s="320"/>
    </row>
    <row r="6686" spans="3:4">
      <c r="C6686" s="319"/>
      <c r="D6686" s="319"/>
    </row>
    <row r="6687" spans="3:4">
      <c r="C6687" s="319"/>
      <c r="D6687" s="319"/>
    </row>
    <row r="6688" spans="3:4">
      <c r="C6688" s="319"/>
      <c r="D6688" s="319"/>
    </row>
    <row r="6689" spans="3:4">
      <c r="C6689" s="319"/>
      <c r="D6689" s="319"/>
    </row>
    <row r="6690" spans="3:7">
      <c r="C6690" s="319"/>
      <c r="D6690" s="319"/>
      <c r="G6690" s="320"/>
    </row>
    <row r="6691" spans="3:4">
      <c r="C6691" s="319"/>
      <c r="D6691" s="319"/>
    </row>
    <row r="6692" spans="3:4">
      <c r="C6692" s="319"/>
      <c r="D6692" s="319"/>
    </row>
    <row r="6693" spans="3:4">
      <c r="C6693" s="319"/>
      <c r="D6693" s="319"/>
    </row>
    <row r="6694" spans="3:4">
      <c r="C6694" s="319"/>
      <c r="D6694" s="319"/>
    </row>
    <row r="6695" spans="3:7">
      <c r="C6695" s="319"/>
      <c r="D6695" s="319"/>
      <c r="G6695" s="320"/>
    </row>
    <row r="6696" spans="3:4">
      <c r="C6696" s="319"/>
      <c r="D6696" s="319"/>
    </row>
    <row r="6697" spans="3:4">
      <c r="C6697" s="319"/>
      <c r="D6697" s="319"/>
    </row>
    <row r="6698" spans="3:4">
      <c r="C6698" s="319"/>
      <c r="D6698" s="319"/>
    </row>
    <row r="6699" spans="3:4">
      <c r="C6699" s="319"/>
      <c r="D6699" s="319"/>
    </row>
    <row r="6700" spans="3:4">
      <c r="C6700" s="319"/>
      <c r="D6700" s="319"/>
    </row>
    <row r="6701" spans="3:4">
      <c r="C6701" s="319"/>
      <c r="D6701" s="319"/>
    </row>
    <row r="6702" spans="3:4">
      <c r="C6702" s="319"/>
      <c r="D6702" s="319"/>
    </row>
    <row r="6703" spans="3:4">
      <c r="C6703" s="319"/>
      <c r="D6703" s="319"/>
    </row>
    <row r="6704" spans="3:4">
      <c r="C6704" s="319"/>
      <c r="D6704" s="319"/>
    </row>
    <row r="6705" spans="3:7">
      <c r="C6705" s="319"/>
      <c r="D6705" s="319"/>
      <c r="G6705" s="320"/>
    </row>
    <row r="6706" spans="3:7">
      <c r="C6706" s="319"/>
      <c r="D6706" s="319"/>
      <c r="G6706" s="320"/>
    </row>
    <row r="6707" spans="3:7">
      <c r="C6707" s="319"/>
      <c r="D6707" s="319"/>
      <c r="G6707" s="320"/>
    </row>
    <row r="6708" spans="3:7">
      <c r="C6708" s="319"/>
      <c r="D6708" s="319"/>
      <c r="G6708" s="320"/>
    </row>
    <row r="6709" spans="3:7">
      <c r="C6709" s="319"/>
      <c r="D6709" s="319"/>
      <c r="G6709" s="320"/>
    </row>
    <row r="6710" spans="3:7">
      <c r="C6710" s="319"/>
      <c r="D6710" s="319"/>
      <c r="G6710" s="320"/>
    </row>
    <row r="6711" spans="3:4">
      <c r="C6711" s="319"/>
      <c r="D6711" s="319"/>
    </row>
    <row r="6712" spans="3:7">
      <c r="C6712" s="319"/>
      <c r="D6712" s="319"/>
      <c r="G6712" s="320"/>
    </row>
    <row r="6713" spans="3:7">
      <c r="C6713" s="319"/>
      <c r="D6713" s="319"/>
      <c r="G6713" s="320"/>
    </row>
    <row r="6714" spans="3:7">
      <c r="C6714" s="319"/>
      <c r="D6714" s="319"/>
      <c r="G6714" s="320"/>
    </row>
    <row r="6715" spans="3:4">
      <c r="C6715" s="319"/>
      <c r="D6715" s="319"/>
    </row>
    <row r="6716" spans="3:7">
      <c r="C6716" s="319"/>
      <c r="D6716" s="319"/>
      <c r="G6716" s="320"/>
    </row>
    <row r="6717" spans="3:7">
      <c r="C6717" s="319"/>
      <c r="D6717" s="319"/>
      <c r="G6717" s="320"/>
    </row>
    <row r="6718" spans="3:7">
      <c r="C6718" s="319"/>
      <c r="D6718" s="319"/>
      <c r="G6718" s="320"/>
    </row>
    <row r="6719" spans="3:4">
      <c r="C6719" s="319"/>
      <c r="D6719" s="319"/>
    </row>
    <row r="6720" spans="3:4">
      <c r="C6720" s="319"/>
      <c r="D6720" s="319"/>
    </row>
    <row r="6721" spans="3:7">
      <c r="C6721" s="319"/>
      <c r="D6721" s="319"/>
      <c r="G6721" s="320"/>
    </row>
    <row r="6722" spans="3:7">
      <c r="C6722" s="319"/>
      <c r="D6722" s="319"/>
      <c r="G6722" s="320"/>
    </row>
    <row r="6723" spans="3:7">
      <c r="C6723" s="319"/>
      <c r="D6723" s="319"/>
      <c r="G6723" s="320"/>
    </row>
    <row r="6724" spans="3:7">
      <c r="C6724" s="319"/>
      <c r="D6724" s="319"/>
      <c r="G6724" s="320"/>
    </row>
    <row r="6725" spans="3:7">
      <c r="C6725" s="319"/>
      <c r="D6725" s="319"/>
      <c r="G6725" s="320"/>
    </row>
    <row r="6726" spans="3:7">
      <c r="C6726" s="319"/>
      <c r="D6726" s="319"/>
      <c r="G6726" s="320"/>
    </row>
    <row r="6727" spans="3:7">
      <c r="C6727" s="319"/>
      <c r="D6727" s="319"/>
      <c r="G6727" s="320"/>
    </row>
    <row r="6728" spans="3:7">
      <c r="C6728" s="319"/>
      <c r="D6728" s="319"/>
      <c r="G6728" s="320"/>
    </row>
    <row r="6729" spans="3:7">
      <c r="C6729" s="319"/>
      <c r="D6729" s="319"/>
      <c r="G6729" s="320"/>
    </row>
    <row r="6730" spans="3:7">
      <c r="C6730" s="319"/>
      <c r="D6730" s="319"/>
      <c r="G6730" s="320"/>
    </row>
    <row r="6731" spans="3:7">
      <c r="C6731" s="319"/>
      <c r="D6731" s="319"/>
      <c r="G6731" s="320"/>
    </row>
    <row r="6732" spans="3:7">
      <c r="C6732" s="319"/>
      <c r="D6732" s="319"/>
      <c r="G6732" s="320"/>
    </row>
    <row r="6733" spans="3:7">
      <c r="C6733" s="319"/>
      <c r="D6733" s="319"/>
      <c r="G6733" s="320"/>
    </row>
    <row r="6734" spans="3:4">
      <c r="C6734" s="319"/>
      <c r="D6734" s="319"/>
    </row>
    <row r="6735" spans="3:4">
      <c r="C6735" s="319"/>
      <c r="D6735" s="319"/>
    </row>
    <row r="6736" spans="3:7">
      <c r="C6736" s="319"/>
      <c r="D6736" s="319"/>
      <c r="G6736" s="320"/>
    </row>
    <row r="6737" spans="3:4">
      <c r="C6737" s="319"/>
      <c r="D6737" s="319"/>
    </row>
    <row r="6738" spans="3:7">
      <c r="C6738" s="319"/>
      <c r="D6738" s="319"/>
      <c r="G6738" s="320"/>
    </row>
    <row r="6739" spans="3:7">
      <c r="C6739" s="319"/>
      <c r="D6739" s="319"/>
      <c r="G6739" s="320"/>
    </row>
    <row r="6740" spans="3:7">
      <c r="C6740" s="319"/>
      <c r="D6740" s="319"/>
      <c r="G6740" s="320"/>
    </row>
    <row r="6741" spans="3:7">
      <c r="C6741" s="319"/>
      <c r="D6741" s="319"/>
      <c r="G6741" s="320"/>
    </row>
    <row r="6742" spans="3:7">
      <c r="C6742" s="319"/>
      <c r="D6742" s="319"/>
      <c r="G6742" s="320"/>
    </row>
    <row r="6743" spans="3:7">
      <c r="C6743" s="319"/>
      <c r="D6743" s="319"/>
      <c r="G6743" s="320"/>
    </row>
    <row r="6744" spans="3:7">
      <c r="C6744" s="319"/>
      <c r="D6744" s="319"/>
      <c r="G6744" s="320"/>
    </row>
    <row r="6745" spans="3:7">
      <c r="C6745" s="319"/>
      <c r="D6745" s="319"/>
      <c r="G6745" s="320"/>
    </row>
    <row r="6746" spans="3:7">
      <c r="C6746" s="319"/>
      <c r="D6746" s="319"/>
      <c r="G6746" s="320"/>
    </row>
    <row r="6747" spans="3:7">
      <c r="C6747" s="319"/>
      <c r="D6747" s="319"/>
      <c r="G6747" s="320"/>
    </row>
    <row r="6748" spans="3:7">
      <c r="C6748" s="319"/>
      <c r="D6748" s="319"/>
      <c r="G6748" s="320"/>
    </row>
    <row r="6749" spans="3:4">
      <c r="C6749" s="319"/>
      <c r="D6749" s="319"/>
    </row>
    <row r="6750" spans="3:4">
      <c r="C6750" s="319"/>
      <c r="D6750" s="319"/>
    </row>
    <row r="6751" spans="3:7">
      <c r="C6751" s="319"/>
      <c r="D6751" s="319"/>
      <c r="G6751" s="320"/>
    </row>
    <row r="6752" spans="3:7">
      <c r="C6752" s="319"/>
      <c r="D6752" s="319"/>
      <c r="G6752" s="320"/>
    </row>
    <row r="6753" spans="3:7">
      <c r="C6753" s="319"/>
      <c r="D6753" s="319"/>
      <c r="G6753" s="320"/>
    </row>
    <row r="6754" spans="3:4">
      <c r="C6754" s="319"/>
      <c r="D6754" s="319"/>
    </row>
    <row r="6755" spans="3:4">
      <c r="C6755" s="319"/>
      <c r="D6755" s="319"/>
    </row>
    <row r="6756" spans="3:7">
      <c r="C6756" s="319"/>
      <c r="D6756" s="319"/>
      <c r="G6756" s="320"/>
    </row>
    <row r="6757" spans="3:7">
      <c r="C6757" s="319"/>
      <c r="D6757" s="319"/>
      <c r="G6757" s="320"/>
    </row>
    <row r="6758" spans="3:7">
      <c r="C6758" s="319"/>
      <c r="D6758" s="319"/>
      <c r="G6758" s="320"/>
    </row>
    <row r="6759" spans="3:4">
      <c r="C6759" s="319"/>
      <c r="D6759" s="319"/>
    </row>
    <row r="6760" spans="3:7">
      <c r="C6760" s="319"/>
      <c r="D6760" s="319"/>
      <c r="G6760" s="320"/>
    </row>
    <row r="6761" spans="3:7">
      <c r="C6761" s="319"/>
      <c r="D6761" s="319"/>
      <c r="G6761" s="320"/>
    </row>
    <row r="6762" spans="3:7">
      <c r="C6762" s="319"/>
      <c r="D6762" s="319"/>
      <c r="G6762" s="320"/>
    </row>
    <row r="6763" spans="3:7">
      <c r="C6763" s="319"/>
      <c r="D6763" s="319"/>
      <c r="G6763" s="320"/>
    </row>
    <row r="6764" spans="3:7">
      <c r="C6764" s="319"/>
      <c r="D6764" s="319"/>
      <c r="G6764" s="320"/>
    </row>
    <row r="6765" spans="3:7">
      <c r="C6765" s="319"/>
      <c r="D6765" s="319"/>
      <c r="G6765" s="320"/>
    </row>
    <row r="6766" spans="3:7">
      <c r="C6766" s="319"/>
      <c r="D6766" s="319"/>
      <c r="G6766" s="320"/>
    </row>
    <row r="6767" spans="3:7">
      <c r="C6767" s="319"/>
      <c r="D6767" s="319"/>
      <c r="G6767" s="320"/>
    </row>
    <row r="6768" spans="3:7">
      <c r="C6768" s="319"/>
      <c r="D6768" s="319"/>
      <c r="G6768" s="320"/>
    </row>
    <row r="6769" spans="3:4">
      <c r="C6769" s="319"/>
      <c r="D6769" s="319"/>
    </row>
    <row r="6770" spans="3:4">
      <c r="C6770" s="319"/>
      <c r="D6770" s="319"/>
    </row>
    <row r="6771" spans="3:4">
      <c r="C6771" s="319"/>
      <c r="D6771" s="319"/>
    </row>
    <row r="6772" spans="3:4">
      <c r="C6772" s="319"/>
      <c r="D6772" s="319"/>
    </row>
    <row r="6773" spans="3:4">
      <c r="C6773" s="319"/>
      <c r="D6773" s="319"/>
    </row>
    <row r="6774" spans="3:4">
      <c r="C6774" s="319"/>
      <c r="D6774" s="319"/>
    </row>
    <row r="6775" spans="3:4">
      <c r="C6775" s="319"/>
      <c r="D6775" s="319"/>
    </row>
    <row r="6776" spans="3:4">
      <c r="C6776" s="319"/>
      <c r="D6776" s="319"/>
    </row>
    <row r="6777" spans="3:4">
      <c r="C6777" s="319"/>
      <c r="D6777" s="319"/>
    </row>
    <row r="6778" spans="3:7">
      <c r="C6778" s="319"/>
      <c r="D6778" s="319"/>
      <c r="G6778" s="320"/>
    </row>
    <row r="6779" spans="3:4">
      <c r="C6779" s="319"/>
      <c r="D6779" s="319"/>
    </row>
    <row r="6780" spans="3:7">
      <c r="C6780" s="319"/>
      <c r="D6780" s="319"/>
      <c r="G6780" s="320"/>
    </row>
    <row r="6781" spans="3:7">
      <c r="C6781" s="319"/>
      <c r="D6781" s="319"/>
      <c r="G6781" s="320"/>
    </row>
    <row r="6782" spans="3:7">
      <c r="C6782" s="319"/>
      <c r="D6782" s="319"/>
      <c r="G6782" s="320"/>
    </row>
    <row r="6783" spans="3:4">
      <c r="C6783" s="319"/>
      <c r="D6783" s="319"/>
    </row>
    <row r="6784" spans="3:4">
      <c r="C6784" s="319"/>
      <c r="D6784" s="319"/>
    </row>
    <row r="6785" spans="3:7">
      <c r="C6785" s="319"/>
      <c r="D6785" s="319"/>
      <c r="G6785" s="320"/>
    </row>
    <row r="6786" spans="3:7">
      <c r="C6786" s="319"/>
      <c r="D6786" s="319"/>
      <c r="G6786" s="320"/>
    </row>
    <row r="6787" spans="3:4">
      <c r="C6787" s="319"/>
      <c r="D6787" s="319"/>
    </row>
    <row r="6788" spans="3:7">
      <c r="C6788" s="319"/>
      <c r="D6788" s="319"/>
      <c r="G6788" s="320"/>
    </row>
    <row r="6789" spans="3:7">
      <c r="C6789" s="319"/>
      <c r="D6789" s="319"/>
      <c r="G6789" s="320"/>
    </row>
    <row r="6790" spans="3:7">
      <c r="C6790" s="319"/>
      <c r="D6790" s="319"/>
      <c r="G6790" s="320"/>
    </row>
    <row r="6791" spans="3:7">
      <c r="C6791" s="319"/>
      <c r="D6791" s="319"/>
      <c r="G6791" s="320"/>
    </row>
    <row r="6792" spans="3:7">
      <c r="C6792" s="319"/>
      <c r="D6792" s="319"/>
      <c r="G6792" s="320"/>
    </row>
    <row r="6793" spans="3:7">
      <c r="C6793" s="319"/>
      <c r="D6793" s="319"/>
      <c r="G6793" s="320"/>
    </row>
    <row r="6794" spans="3:7">
      <c r="C6794" s="319"/>
      <c r="D6794" s="319"/>
      <c r="G6794" s="320"/>
    </row>
    <row r="6795" spans="3:7">
      <c r="C6795" s="319"/>
      <c r="D6795" s="319"/>
      <c r="G6795" s="320"/>
    </row>
    <row r="6796" spans="3:7">
      <c r="C6796" s="319"/>
      <c r="D6796" s="319"/>
      <c r="G6796" s="320"/>
    </row>
    <row r="6797" spans="3:7">
      <c r="C6797" s="319"/>
      <c r="D6797" s="319"/>
      <c r="G6797" s="320"/>
    </row>
    <row r="6798" spans="3:4">
      <c r="C6798" s="319"/>
      <c r="D6798" s="319"/>
    </row>
    <row r="6799" spans="3:4">
      <c r="C6799" s="319"/>
      <c r="D6799" s="319"/>
    </row>
    <row r="6800" spans="3:4">
      <c r="C6800" s="319"/>
      <c r="D6800" s="319"/>
    </row>
    <row r="6801" spans="3:4">
      <c r="C6801" s="319"/>
      <c r="D6801" s="319"/>
    </row>
    <row r="6802" spans="3:4">
      <c r="C6802" s="319"/>
      <c r="D6802" s="319"/>
    </row>
    <row r="6803" spans="3:4">
      <c r="C6803" s="319"/>
      <c r="D6803" s="319"/>
    </row>
    <row r="6804" spans="3:7">
      <c r="C6804" s="319"/>
      <c r="D6804" s="319"/>
      <c r="G6804" s="320"/>
    </row>
    <row r="6805" spans="3:4">
      <c r="C6805" s="319"/>
      <c r="D6805" s="319"/>
    </row>
    <row r="6806" spans="3:4">
      <c r="C6806" s="319"/>
      <c r="D6806" s="319"/>
    </row>
    <row r="6807" spans="3:7">
      <c r="C6807" s="319"/>
      <c r="D6807" s="319"/>
      <c r="G6807" s="320"/>
    </row>
    <row r="6808" spans="3:7">
      <c r="C6808" s="319"/>
      <c r="D6808" s="319"/>
      <c r="G6808" s="320"/>
    </row>
    <row r="6809" spans="3:4">
      <c r="C6809" s="319"/>
      <c r="D6809" s="319"/>
    </row>
    <row r="6810" spans="3:4">
      <c r="C6810" s="319"/>
      <c r="D6810" s="319"/>
    </row>
    <row r="6811" spans="3:4">
      <c r="C6811" s="319"/>
      <c r="D6811" s="319"/>
    </row>
    <row r="6812" spans="3:7">
      <c r="C6812" s="319"/>
      <c r="D6812" s="319"/>
      <c r="G6812" s="320"/>
    </row>
    <row r="6813" spans="3:4">
      <c r="C6813" s="319"/>
      <c r="D6813" s="319"/>
    </row>
    <row r="6814" spans="3:7">
      <c r="C6814" s="319"/>
      <c r="D6814" s="319"/>
      <c r="G6814" s="320"/>
    </row>
    <row r="6815" spans="3:7">
      <c r="C6815" s="319"/>
      <c r="D6815" s="319"/>
      <c r="G6815" s="320"/>
    </row>
    <row r="6816" spans="3:7">
      <c r="C6816" s="319"/>
      <c r="D6816" s="319"/>
      <c r="G6816" s="320"/>
    </row>
    <row r="6817" spans="3:7">
      <c r="C6817" s="319"/>
      <c r="D6817" s="319"/>
      <c r="G6817" s="320"/>
    </row>
    <row r="6818" spans="3:7">
      <c r="C6818" s="319"/>
      <c r="D6818" s="319"/>
      <c r="G6818" s="320"/>
    </row>
    <row r="6819" spans="3:7">
      <c r="C6819" s="319"/>
      <c r="D6819" s="319"/>
      <c r="G6819" s="320"/>
    </row>
    <row r="6820" spans="3:4">
      <c r="C6820" s="319"/>
      <c r="D6820" s="319"/>
    </row>
    <row r="6821" spans="3:7">
      <c r="C6821" s="319"/>
      <c r="D6821" s="319"/>
      <c r="G6821" s="320"/>
    </row>
    <row r="6822" spans="3:7">
      <c r="C6822" s="319"/>
      <c r="D6822" s="319"/>
      <c r="G6822" s="320"/>
    </row>
    <row r="6823" spans="3:4">
      <c r="C6823" s="319"/>
      <c r="D6823" s="319"/>
    </row>
    <row r="6824" spans="3:7">
      <c r="C6824" s="319"/>
      <c r="D6824" s="319"/>
      <c r="G6824" s="320"/>
    </row>
    <row r="6825" spans="3:4">
      <c r="C6825" s="319"/>
      <c r="D6825" s="319"/>
    </row>
    <row r="6826" spans="3:4">
      <c r="C6826" s="319"/>
      <c r="D6826" s="319"/>
    </row>
    <row r="6827" spans="3:7">
      <c r="C6827" s="319"/>
      <c r="D6827" s="319"/>
      <c r="G6827" s="320"/>
    </row>
    <row r="6828" spans="3:4">
      <c r="C6828" s="319"/>
      <c r="D6828" s="319"/>
    </row>
    <row r="6829" spans="3:4">
      <c r="C6829" s="319"/>
      <c r="D6829" s="319"/>
    </row>
    <row r="6830" spans="3:7">
      <c r="C6830" s="319"/>
      <c r="D6830" s="319"/>
      <c r="G6830" s="320"/>
    </row>
    <row r="6831" spans="3:4">
      <c r="C6831" s="319"/>
      <c r="D6831" s="319"/>
    </row>
    <row r="6832" spans="3:7">
      <c r="C6832" s="319"/>
      <c r="D6832" s="319"/>
      <c r="G6832" s="320"/>
    </row>
    <row r="6833" spans="3:4">
      <c r="C6833" s="319"/>
      <c r="D6833" s="319"/>
    </row>
    <row r="6834" spans="3:4">
      <c r="C6834" s="319"/>
      <c r="D6834" s="319"/>
    </row>
    <row r="6835" spans="3:4">
      <c r="C6835" s="319"/>
      <c r="D6835" s="319"/>
    </row>
    <row r="6836" spans="3:4">
      <c r="C6836" s="319"/>
      <c r="D6836" s="319"/>
    </row>
    <row r="6837" spans="3:4">
      <c r="C6837" s="319"/>
      <c r="D6837" s="319"/>
    </row>
    <row r="6838" spans="3:4">
      <c r="C6838" s="319"/>
      <c r="D6838" s="319"/>
    </row>
    <row r="6839" spans="3:7">
      <c r="C6839" s="319"/>
      <c r="D6839" s="319"/>
      <c r="G6839" s="320"/>
    </row>
    <row r="6840" spans="3:4">
      <c r="C6840" s="319"/>
      <c r="D6840" s="319"/>
    </row>
    <row r="6841" spans="3:7">
      <c r="C6841" s="319"/>
      <c r="D6841" s="319"/>
      <c r="G6841" s="320"/>
    </row>
    <row r="6842" spans="3:4">
      <c r="C6842" s="319"/>
      <c r="D6842" s="319"/>
    </row>
    <row r="6843" spans="3:4">
      <c r="C6843" s="319"/>
      <c r="D6843" s="319"/>
    </row>
    <row r="6844" spans="3:7">
      <c r="C6844" s="319"/>
      <c r="D6844" s="319"/>
      <c r="G6844" s="320"/>
    </row>
    <row r="6845" spans="3:7">
      <c r="C6845" s="319"/>
      <c r="D6845" s="319"/>
      <c r="G6845" s="320"/>
    </row>
    <row r="6846" spans="3:4">
      <c r="C6846" s="319"/>
      <c r="D6846" s="319"/>
    </row>
    <row r="6847" spans="3:4">
      <c r="C6847" s="319"/>
      <c r="D6847" s="319"/>
    </row>
    <row r="6848" spans="3:7">
      <c r="C6848" s="319"/>
      <c r="D6848" s="319"/>
      <c r="G6848" s="320"/>
    </row>
    <row r="6849" spans="3:4">
      <c r="C6849" s="319"/>
      <c r="D6849" s="319"/>
    </row>
    <row r="6850" spans="3:4">
      <c r="C6850" s="319"/>
      <c r="D6850" s="319"/>
    </row>
    <row r="6851" spans="3:4">
      <c r="C6851" s="319"/>
      <c r="D6851" s="319"/>
    </row>
    <row r="6852" spans="3:7">
      <c r="C6852" s="319"/>
      <c r="D6852" s="319"/>
      <c r="G6852" s="320"/>
    </row>
    <row r="6853" spans="3:4">
      <c r="C6853" s="319"/>
      <c r="D6853" s="319"/>
    </row>
    <row r="6854" spans="3:4">
      <c r="C6854" s="319"/>
      <c r="D6854" s="319"/>
    </row>
    <row r="6855" spans="3:7">
      <c r="C6855" s="319"/>
      <c r="D6855" s="319"/>
      <c r="G6855" s="320"/>
    </row>
    <row r="6856" spans="3:7">
      <c r="C6856" s="319"/>
      <c r="D6856" s="319"/>
      <c r="G6856" s="320"/>
    </row>
    <row r="6857" spans="3:4">
      <c r="C6857" s="319"/>
      <c r="D6857" s="319"/>
    </row>
    <row r="6858" spans="3:7">
      <c r="C6858" s="319"/>
      <c r="D6858" s="319"/>
      <c r="G6858" s="320"/>
    </row>
    <row r="6859" spans="3:7">
      <c r="C6859" s="319"/>
      <c r="D6859" s="319"/>
      <c r="G6859" s="320"/>
    </row>
    <row r="6860" spans="3:7">
      <c r="C6860" s="319"/>
      <c r="D6860" s="319"/>
      <c r="G6860" s="320"/>
    </row>
    <row r="6861" spans="3:7">
      <c r="C6861" s="319"/>
      <c r="D6861" s="319"/>
      <c r="G6861" s="320"/>
    </row>
    <row r="6862" spans="3:7">
      <c r="C6862" s="319"/>
      <c r="D6862" s="319"/>
      <c r="G6862" s="320"/>
    </row>
    <row r="6863" spans="3:7">
      <c r="C6863" s="319"/>
      <c r="D6863" s="319"/>
      <c r="G6863" s="320"/>
    </row>
    <row r="6864" spans="3:7">
      <c r="C6864" s="319"/>
      <c r="D6864" s="319"/>
      <c r="G6864" s="320"/>
    </row>
    <row r="6865" spans="3:4">
      <c r="C6865" s="319"/>
      <c r="D6865" s="319"/>
    </row>
    <row r="6866" spans="3:7">
      <c r="C6866" s="319"/>
      <c r="D6866" s="319"/>
      <c r="G6866" s="320"/>
    </row>
    <row r="6867" spans="3:4">
      <c r="C6867" s="319"/>
      <c r="D6867" s="319"/>
    </row>
    <row r="6868" spans="3:4">
      <c r="C6868" s="319"/>
      <c r="D6868" s="319"/>
    </row>
    <row r="6869" spans="3:4">
      <c r="C6869" s="319"/>
      <c r="D6869" s="319"/>
    </row>
    <row r="6870" spans="3:4">
      <c r="C6870" s="319"/>
      <c r="D6870" s="319"/>
    </row>
    <row r="6871" spans="3:4">
      <c r="C6871" s="319"/>
      <c r="D6871" s="319"/>
    </row>
    <row r="6872" spans="3:4">
      <c r="C6872" s="319"/>
      <c r="D6872" s="319"/>
    </row>
    <row r="6873" spans="3:7">
      <c r="C6873" s="319"/>
      <c r="D6873" s="319"/>
      <c r="G6873" s="320"/>
    </row>
    <row r="6874" spans="3:7">
      <c r="C6874" s="319"/>
      <c r="D6874" s="319"/>
      <c r="G6874" s="320"/>
    </row>
    <row r="6875" spans="3:4">
      <c r="C6875" s="319"/>
      <c r="D6875" s="319"/>
    </row>
    <row r="6876" spans="3:7">
      <c r="C6876" s="319"/>
      <c r="D6876" s="319"/>
      <c r="G6876" s="320"/>
    </row>
    <row r="6877" spans="3:4">
      <c r="C6877" s="319"/>
      <c r="D6877" s="319"/>
    </row>
    <row r="6878" spans="3:4">
      <c r="C6878" s="319"/>
      <c r="D6878" s="319"/>
    </row>
    <row r="6879" spans="3:4">
      <c r="C6879" s="319"/>
      <c r="D6879" s="319"/>
    </row>
    <row r="6880" spans="3:4">
      <c r="C6880" s="319"/>
      <c r="D6880" s="319"/>
    </row>
    <row r="6881" spans="3:4">
      <c r="C6881" s="319"/>
      <c r="D6881" s="319"/>
    </row>
    <row r="6882" spans="3:4">
      <c r="C6882" s="319"/>
      <c r="D6882" s="319"/>
    </row>
    <row r="6883" spans="3:4">
      <c r="C6883" s="319"/>
      <c r="D6883" s="319"/>
    </row>
    <row r="6884" spans="3:7">
      <c r="C6884" s="319"/>
      <c r="D6884" s="319"/>
      <c r="G6884" s="320"/>
    </row>
    <row r="6885" spans="3:4">
      <c r="C6885" s="319"/>
      <c r="D6885" s="319"/>
    </row>
    <row r="6886" spans="3:4">
      <c r="C6886" s="319"/>
      <c r="D6886" s="319"/>
    </row>
    <row r="6887" spans="3:7">
      <c r="C6887" s="319"/>
      <c r="D6887" s="319"/>
      <c r="G6887" s="320"/>
    </row>
    <row r="6888" spans="3:7">
      <c r="C6888" s="319"/>
      <c r="D6888" s="319"/>
      <c r="G6888" s="320"/>
    </row>
    <row r="6889" spans="3:7">
      <c r="C6889" s="319"/>
      <c r="D6889" s="319"/>
      <c r="G6889" s="320"/>
    </row>
    <row r="6890" spans="3:7">
      <c r="C6890" s="319"/>
      <c r="D6890" s="319"/>
      <c r="G6890" s="320"/>
    </row>
    <row r="6891" spans="3:7">
      <c r="C6891" s="319"/>
      <c r="D6891" s="319"/>
      <c r="G6891" s="320"/>
    </row>
    <row r="6892" spans="3:4">
      <c r="C6892" s="319"/>
      <c r="D6892" s="319"/>
    </row>
    <row r="6893" spans="3:7">
      <c r="C6893" s="319"/>
      <c r="D6893" s="319"/>
      <c r="G6893" s="320"/>
    </row>
    <row r="6894" spans="3:7">
      <c r="C6894" s="319"/>
      <c r="D6894" s="319"/>
      <c r="G6894" s="320"/>
    </row>
    <row r="6895" spans="3:7">
      <c r="C6895" s="319"/>
      <c r="D6895" s="319"/>
      <c r="G6895" s="320"/>
    </row>
    <row r="6896" spans="3:4">
      <c r="C6896" s="319"/>
      <c r="D6896" s="319"/>
    </row>
    <row r="6897" spans="3:7">
      <c r="C6897" s="319"/>
      <c r="D6897" s="319"/>
      <c r="G6897" s="320"/>
    </row>
    <row r="6898" spans="3:4">
      <c r="C6898" s="319"/>
      <c r="D6898" s="319"/>
    </row>
    <row r="6899" spans="3:4">
      <c r="C6899" s="319"/>
      <c r="D6899" s="319"/>
    </row>
    <row r="6900" spans="3:7">
      <c r="C6900" s="319"/>
      <c r="D6900" s="319"/>
      <c r="G6900" s="320"/>
    </row>
    <row r="6901" spans="3:7">
      <c r="C6901" s="319"/>
      <c r="D6901" s="319"/>
      <c r="G6901" s="320"/>
    </row>
    <row r="6902" spans="3:4">
      <c r="C6902" s="319"/>
      <c r="D6902" s="319"/>
    </row>
    <row r="6903" spans="3:4">
      <c r="C6903" s="319"/>
      <c r="D6903" s="319"/>
    </row>
    <row r="6904" spans="3:4">
      <c r="C6904" s="319"/>
      <c r="D6904" s="319"/>
    </row>
    <row r="6905" spans="3:4">
      <c r="C6905" s="319"/>
      <c r="D6905" s="319"/>
    </row>
    <row r="6906" spans="3:4">
      <c r="C6906" s="319"/>
      <c r="D6906" s="319"/>
    </row>
    <row r="6907" spans="3:4">
      <c r="C6907" s="319"/>
      <c r="D6907" s="319"/>
    </row>
    <row r="6908" spans="3:4">
      <c r="C6908" s="319"/>
      <c r="D6908" s="319"/>
    </row>
    <row r="6909" spans="3:4">
      <c r="C6909" s="319"/>
      <c r="D6909" s="319"/>
    </row>
    <row r="6910" spans="3:4">
      <c r="C6910" s="319"/>
      <c r="D6910" s="319"/>
    </row>
    <row r="6911" spans="3:4">
      <c r="C6911" s="319"/>
      <c r="D6911" s="319"/>
    </row>
    <row r="6912" spans="3:4">
      <c r="C6912" s="319"/>
      <c r="D6912" s="319"/>
    </row>
    <row r="6913" spans="3:7">
      <c r="C6913" s="319"/>
      <c r="D6913" s="319"/>
      <c r="G6913" s="320"/>
    </row>
    <row r="6914" spans="3:7">
      <c r="C6914" s="319"/>
      <c r="D6914" s="319"/>
      <c r="G6914" s="320"/>
    </row>
    <row r="6915" spans="3:7">
      <c r="C6915" s="319"/>
      <c r="D6915" s="319"/>
      <c r="G6915" s="320"/>
    </row>
    <row r="6916" spans="3:7">
      <c r="C6916" s="319"/>
      <c r="D6916" s="319"/>
      <c r="G6916" s="320"/>
    </row>
    <row r="6917" spans="3:7">
      <c r="C6917" s="319"/>
      <c r="D6917" s="319"/>
      <c r="G6917" s="320"/>
    </row>
    <row r="6918" spans="3:7">
      <c r="C6918" s="319"/>
      <c r="D6918" s="319"/>
      <c r="G6918" s="320"/>
    </row>
    <row r="6919" spans="3:4">
      <c r="C6919" s="319"/>
      <c r="D6919" s="319"/>
    </row>
    <row r="6920" spans="3:4">
      <c r="C6920" s="319"/>
      <c r="D6920" s="319"/>
    </row>
    <row r="6921" spans="3:4">
      <c r="C6921" s="319"/>
      <c r="D6921" s="319"/>
    </row>
    <row r="6922" spans="3:4">
      <c r="C6922" s="319"/>
      <c r="D6922" s="319"/>
    </row>
    <row r="6923" spans="3:4">
      <c r="C6923" s="319"/>
      <c r="D6923" s="319"/>
    </row>
    <row r="6924" spans="3:4">
      <c r="C6924" s="319"/>
      <c r="D6924" s="319"/>
    </row>
    <row r="6925" spans="3:4">
      <c r="C6925" s="319"/>
      <c r="D6925" s="319"/>
    </row>
    <row r="6926" spans="3:7">
      <c r="C6926" s="319"/>
      <c r="D6926" s="319"/>
      <c r="G6926" s="320"/>
    </row>
    <row r="6927" spans="3:7">
      <c r="C6927" s="319"/>
      <c r="D6927" s="319"/>
      <c r="G6927" s="320"/>
    </row>
    <row r="6928" spans="3:4">
      <c r="C6928" s="319"/>
      <c r="D6928" s="319"/>
    </row>
    <row r="6929" spans="3:7">
      <c r="C6929" s="319"/>
      <c r="D6929" s="319"/>
      <c r="G6929" s="320"/>
    </row>
    <row r="6930" spans="3:7">
      <c r="C6930" s="319"/>
      <c r="D6930" s="319"/>
      <c r="G6930" s="320"/>
    </row>
    <row r="6931" spans="3:4">
      <c r="C6931" s="319"/>
      <c r="D6931" s="319"/>
    </row>
    <row r="6932" spans="3:4">
      <c r="C6932" s="319"/>
      <c r="D6932" s="319"/>
    </row>
    <row r="6933" spans="3:7">
      <c r="C6933" s="319"/>
      <c r="D6933" s="319"/>
      <c r="G6933" s="320"/>
    </row>
    <row r="6934" spans="3:7">
      <c r="C6934" s="319"/>
      <c r="D6934" s="319"/>
      <c r="G6934" s="320"/>
    </row>
    <row r="6935" spans="3:4">
      <c r="C6935" s="319"/>
      <c r="D6935" s="319"/>
    </row>
    <row r="6936" spans="3:4">
      <c r="C6936" s="319"/>
      <c r="D6936" s="319"/>
    </row>
    <row r="6937" spans="3:4">
      <c r="C6937" s="319"/>
      <c r="D6937" s="319"/>
    </row>
    <row r="6938" spans="3:4">
      <c r="C6938" s="319"/>
      <c r="D6938" s="319"/>
    </row>
    <row r="6939" spans="3:4">
      <c r="C6939" s="319"/>
      <c r="D6939" s="319"/>
    </row>
    <row r="6940" spans="3:4">
      <c r="C6940" s="319"/>
      <c r="D6940" s="319"/>
    </row>
    <row r="6941" spans="3:7">
      <c r="C6941" s="319"/>
      <c r="D6941" s="319"/>
      <c r="G6941" s="320"/>
    </row>
    <row r="6942" spans="3:7">
      <c r="C6942" s="319"/>
      <c r="D6942" s="319"/>
      <c r="G6942" s="320"/>
    </row>
    <row r="6943" spans="3:7">
      <c r="C6943" s="319"/>
      <c r="D6943" s="319"/>
      <c r="G6943" s="320"/>
    </row>
    <row r="6944" spans="3:7">
      <c r="C6944" s="319"/>
      <c r="D6944" s="319"/>
      <c r="G6944" s="320"/>
    </row>
    <row r="6945" spans="3:4">
      <c r="C6945" s="319"/>
      <c r="D6945" s="319"/>
    </row>
    <row r="6946" spans="3:4">
      <c r="C6946" s="319"/>
      <c r="D6946" s="319"/>
    </row>
    <row r="6947" spans="3:7">
      <c r="C6947" s="319"/>
      <c r="D6947" s="319"/>
      <c r="G6947" s="320"/>
    </row>
    <row r="6948" spans="3:7">
      <c r="C6948" s="319"/>
      <c r="D6948" s="319"/>
      <c r="G6948" s="320"/>
    </row>
    <row r="6949" spans="3:7">
      <c r="C6949" s="319"/>
      <c r="D6949" s="319"/>
      <c r="G6949" s="320"/>
    </row>
    <row r="6950" spans="3:7">
      <c r="C6950" s="319"/>
      <c r="D6950" s="319"/>
      <c r="G6950" s="320"/>
    </row>
    <row r="6951" spans="3:4">
      <c r="C6951" s="319"/>
      <c r="D6951" s="319"/>
    </row>
    <row r="6952" spans="3:4">
      <c r="C6952" s="319"/>
      <c r="D6952" s="319"/>
    </row>
    <row r="6953" spans="3:7">
      <c r="C6953" s="319"/>
      <c r="D6953" s="319"/>
      <c r="G6953" s="320"/>
    </row>
    <row r="6954" spans="3:7">
      <c r="C6954" s="319"/>
      <c r="D6954" s="319"/>
      <c r="G6954" s="320"/>
    </row>
    <row r="6955" spans="3:4">
      <c r="C6955" s="319"/>
      <c r="D6955" s="319"/>
    </row>
    <row r="6956" spans="3:7">
      <c r="C6956" s="319"/>
      <c r="D6956" s="319"/>
      <c r="G6956" s="320"/>
    </row>
    <row r="6957" spans="3:7">
      <c r="C6957" s="319"/>
      <c r="D6957" s="319"/>
      <c r="G6957" s="320"/>
    </row>
    <row r="6958" spans="3:7">
      <c r="C6958" s="319"/>
      <c r="D6958" s="319"/>
      <c r="G6958" s="320"/>
    </row>
    <row r="6959" spans="3:4">
      <c r="C6959" s="319"/>
      <c r="D6959" s="319"/>
    </row>
    <row r="6960" spans="3:7">
      <c r="C6960" s="319"/>
      <c r="D6960" s="319"/>
      <c r="G6960" s="320"/>
    </row>
    <row r="6961" spans="3:7">
      <c r="C6961" s="319"/>
      <c r="D6961" s="319"/>
      <c r="G6961" s="320"/>
    </row>
    <row r="6962" spans="3:7">
      <c r="C6962" s="319"/>
      <c r="D6962" s="319"/>
      <c r="G6962" s="320"/>
    </row>
    <row r="6963" spans="3:4">
      <c r="C6963" s="319"/>
      <c r="D6963" s="319"/>
    </row>
    <row r="6964" spans="3:7">
      <c r="C6964" s="319"/>
      <c r="D6964" s="319"/>
      <c r="G6964" s="320"/>
    </row>
    <row r="6965" spans="3:4">
      <c r="C6965" s="319"/>
      <c r="D6965" s="319"/>
    </row>
    <row r="6966" spans="3:4">
      <c r="C6966" s="319"/>
      <c r="D6966" s="319"/>
    </row>
    <row r="6967" spans="3:7">
      <c r="C6967" s="319"/>
      <c r="D6967" s="319"/>
      <c r="G6967" s="320"/>
    </row>
    <row r="6968" spans="3:4">
      <c r="C6968" s="319"/>
      <c r="D6968" s="319"/>
    </row>
    <row r="6969" spans="3:4">
      <c r="C6969" s="319"/>
      <c r="D6969" s="319"/>
    </row>
    <row r="6970" spans="3:4">
      <c r="C6970" s="319"/>
      <c r="D6970" s="319"/>
    </row>
    <row r="6971" spans="3:4">
      <c r="C6971" s="319"/>
      <c r="D6971" s="319"/>
    </row>
    <row r="6972" spans="3:7">
      <c r="C6972" s="319"/>
      <c r="D6972" s="319"/>
      <c r="G6972" s="320"/>
    </row>
    <row r="6973" spans="3:7">
      <c r="C6973" s="319"/>
      <c r="D6973" s="319"/>
      <c r="G6973" s="320"/>
    </row>
    <row r="6974" spans="3:4">
      <c r="C6974" s="319"/>
      <c r="D6974" s="319"/>
    </row>
    <row r="6975" spans="3:7">
      <c r="C6975" s="319"/>
      <c r="D6975" s="319"/>
      <c r="G6975" s="320"/>
    </row>
    <row r="6976" spans="3:4">
      <c r="C6976" s="319"/>
      <c r="D6976" s="319"/>
    </row>
    <row r="6977" spans="3:7">
      <c r="C6977" s="319"/>
      <c r="D6977" s="319"/>
      <c r="G6977" s="320"/>
    </row>
    <row r="6978" spans="3:4">
      <c r="C6978" s="319"/>
      <c r="D6978" s="319"/>
    </row>
    <row r="6979" spans="3:7">
      <c r="C6979" s="319"/>
      <c r="D6979" s="319"/>
      <c r="G6979" s="320"/>
    </row>
    <row r="6980" spans="3:7">
      <c r="C6980" s="319"/>
      <c r="D6980" s="319"/>
      <c r="G6980" s="320"/>
    </row>
    <row r="6981" spans="3:7">
      <c r="C6981" s="319"/>
      <c r="D6981" s="319"/>
      <c r="G6981" s="320"/>
    </row>
    <row r="6982" spans="3:4">
      <c r="C6982" s="319"/>
      <c r="D6982" s="319"/>
    </row>
    <row r="6983" spans="3:4">
      <c r="C6983" s="319"/>
      <c r="D6983" s="319"/>
    </row>
    <row r="6984" spans="3:4">
      <c r="C6984" s="319"/>
      <c r="D6984" s="319"/>
    </row>
    <row r="6985" spans="3:4">
      <c r="C6985" s="319"/>
      <c r="D6985" s="319"/>
    </row>
    <row r="6986" spans="3:7">
      <c r="C6986" s="319"/>
      <c r="D6986" s="319"/>
      <c r="G6986" s="320"/>
    </row>
    <row r="6987" spans="3:7">
      <c r="C6987" s="319"/>
      <c r="D6987" s="319"/>
      <c r="G6987" s="320"/>
    </row>
    <row r="6988" spans="3:4">
      <c r="C6988" s="319"/>
      <c r="D6988" s="319"/>
    </row>
    <row r="6989" spans="3:4">
      <c r="C6989" s="319"/>
      <c r="D6989" s="319"/>
    </row>
    <row r="6990" spans="3:7">
      <c r="C6990" s="319"/>
      <c r="D6990" s="319"/>
      <c r="G6990" s="320"/>
    </row>
    <row r="6991" spans="3:4">
      <c r="C6991" s="319"/>
      <c r="D6991" s="319"/>
    </row>
    <row r="6992" spans="3:7">
      <c r="C6992" s="319"/>
      <c r="D6992" s="319"/>
      <c r="G6992" s="320"/>
    </row>
    <row r="6993" spans="3:4">
      <c r="C6993" s="319"/>
      <c r="D6993" s="319"/>
    </row>
    <row r="6994" spans="3:4">
      <c r="C6994" s="319"/>
      <c r="D6994" s="319"/>
    </row>
    <row r="6995" spans="3:7">
      <c r="C6995" s="319"/>
      <c r="D6995" s="319"/>
      <c r="G6995" s="320"/>
    </row>
    <row r="6996" spans="3:7">
      <c r="C6996" s="319"/>
      <c r="D6996" s="319"/>
      <c r="G6996" s="320"/>
    </row>
    <row r="6997" spans="3:7">
      <c r="C6997" s="319"/>
      <c r="D6997" s="319"/>
      <c r="G6997" s="320"/>
    </row>
    <row r="6998" spans="3:4">
      <c r="C6998" s="319"/>
      <c r="D6998" s="319"/>
    </row>
    <row r="6999" spans="3:4">
      <c r="C6999" s="319"/>
      <c r="D6999" s="319"/>
    </row>
    <row r="7000" spans="3:7">
      <c r="C7000" s="319"/>
      <c r="D7000" s="319"/>
      <c r="G7000" s="320"/>
    </row>
    <row r="7001" spans="3:4">
      <c r="C7001" s="319"/>
      <c r="D7001" s="319"/>
    </row>
    <row r="7002" spans="3:7">
      <c r="C7002" s="319"/>
      <c r="D7002" s="319"/>
      <c r="G7002" s="320"/>
    </row>
    <row r="7003" spans="3:7">
      <c r="C7003" s="319"/>
      <c r="D7003" s="319"/>
      <c r="G7003" s="320"/>
    </row>
    <row r="7004" spans="3:4">
      <c r="C7004" s="319"/>
      <c r="D7004" s="319"/>
    </row>
    <row r="7005" spans="3:4">
      <c r="C7005" s="319"/>
      <c r="D7005" s="319"/>
    </row>
    <row r="7006" spans="3:7">
      <c r="C7006" s="319"/>
      <c r="D7006" s="319"/>
      <c r="G7006" s="320"/>
    </row>
    <row r="7007" spans="3:4">
      <c r="C7007" s="319"/>
      <c r="D7007" s="319"/>
    </row>
    <row r="7008" spans="3:7">
      <c r="C7008" s="319"/>
      <c r="D7008" s="319"/>
      <c r="G7008" s="320"/>
    </row>
    <row r="7009" spans="3:4">
      <c r="C7009" s="319"/>
      <c r="D7009" s="319"/>
    </row>
    <row r="7010" spans="3:4">
      <c r="C7010" s="319"/>
      <c r="D7010" s="319"/>
    </row>
    <row r="7011" spans="3:4">
      <c r="C7011" s="319"/>
      <c r="D7011" s="319"/>
    </row>
    <row r="7012" spans="3:7">
      <c r="C7012" s="319"/>
      <c r="D7012" s="319"/>
      <c r="G7012" s="320"/>
    </row>
    <row r="7013" spans="3:4">
      <c r="C7013" s="319"/>
      <c r="D7013" s="319"/>
    </row>
    <row r="7014" spans="3:7">
      <c r="C7014" s="319"/>
      <c r="D7014" s="319"/>
      <c r="G7014" s="320"/>
    </row>
    <row r="7015" spans="3:4">
      <c r="C7015" s="319"/>
      <c r="D7015" s="319"/>
    </row>
    <row r="7016" spans="3:7">
      <c r="C7016" s="319"/>
      <c r="D7016" s="319"/>
      <c r="G7016" s="320"/>
    </row>
    <row r="7017" spans="3:4">
      <c r="C7017" s="319"/>
      <c r="D7017" s="319"/>
    </row>
    <row r="7018" spans="3:4">
      <c r="C7018" s="319"/>
      <c r="D7018" s="319"/>
    </row>
    <row r="7019" spans="3:7">
      <c r="C7019" s="319"/>
      <c r="D7019" s="319"/>
      <c r="G7019" s="320"/>
    </row>
    <row r="7020" spans="3:7">
      <c r="C7020" s="319"/>
      <c r="D7020" s="319"/>
      <c r="G7020" s="320"/>
    </row>
    <row r="7021" spans="3:4">
      <c r="C7021" s="319"/>
      <c r="D7021" s="319"/>
    </row>
    <row r="7022" spans="3:7">
      <c r="C7022" s="319"/>
      <c r="D7022" s="319"/>
      <c r="G7022" s="320"/>
    </row>
    <row r="7023" spans="3:4">
      <c r="C7023" s="319"/>
      <c r="D7023" s="319"/>
    </row>
    <row r="7024" spans="3:4">
      <c r="C7024" s="319"/>
      <c r="D7024" s="319"/>
    </row>
    <row r="7025" spans="3:7">
      <c r="C7025" s="319"/>
      <c r="D7025" s="319"/>
      <c r="G7025" s="320"/>
    </row>
    <row r="7026" spans="3:4">
      <c r="C7026" s="319"/>
      <c r="D7026" s="319"/>
    </row>
    <row r="7027" spans="3:7">
      <c r="C7027" s="319"/>
      <c r="D7027" s="319"/>
      <c r="G7027" s="320"/>
    </row>
    <row r="7028" spans="3:7">
      <c r="C7028" s="319"/>
      <c r="D7028" s="319"/>
      <c r="G7028" s="320"/>
    </row>
    <row r="7029" spans="3:7">
      <c r="C7029" s="319"/>
      <c r="D7029" s="319"/>
      <c r="G7029" s="320"/>
    </row>
    <row r="7030" spans="3:7">
      <c r="C7030" s="319"/>
      <c r="D7030" s="319"/>
      <c r="G7030" s="320"/>
    </row>
    <row r="7031" spans="3:7">
      <c r="C7031" s="319"/>
      <c r="D7031" s="319"/>
      <c r="G7031" s="320"/>
    </row>
    <row r="7032" spans="3:7">
      <c r="C7032" s="319"/>
      <c r="D7032" s="319"/>
      <c r="G7032" s="320"/>
    </row>
    <row r="7033" spans="3:4">
      <c r="C7033" s="319"/>
      <c r="D7033" s="319"/>
    </row>
    <row r="7034" spans="3:4">
      <c r="C7034" s="319"/>
      <c r="D7034" s="319"/>
    </row>
    <row r="7035" spans="3:4">
      <c r="C7035" s="319"/>
      <c r="D7035" s="319"/>
    </row>
    <row r="7036" spans="3:7">
      <c r="C7036" s="319"/>
      <c r="D7036" s="319"/>
      <c r="G7036" s="320"/>
    </row>
    <row r="7037" spans="3:7">
      <c r="C7037" s="319"/>
      <c r="D7037" s="319"/>
      <c r="G7037" s="320"/>
    </row>
    <row r="7038" spans="3:7">
      <c r="C7038" s="319"/>
      <c r="D7038" s="319"/>
      <c r="G7038" s="320"/>
    </row>
    <row r="7039" spans="3:7">
      <c r="C7039" s="319"/>
      <c r="D7039" s="319"/>
      <c r="G7039" s="320"/>
    </row>
    <row r="7040" spans="3:7">
      <c r="C7040" s="319"/>
      <c r="D7040" s="319"/>
      <c r="G7040" s="320"/>
    </row>
    <row r="7041" spans="3:7">
      <c r="C7041" s="319"/>
      <c r="D7041" s="319"/>
      <c r="G7041" s="320"/>
    </row>
    <row r="7042" spans="3:4">
      <c r="C7042" s="319"/>
      <c r="D7042" s="319"/>
    </row>
    <row r="7043" spans="3:7">
      <c r="C7043" s="319"/>
      <c r="D7043" s="319"/>
      <c r="G7043" s="320"/>
    </row>
    <row r="7044" spans="3:7">
      <c r="C7044" s="319"/>
      <c r="D7044" s="319"/>
      <c r="G7044" s="320"/>
    </row>
    <row r="7045" spans="3:7">
      <c r="C7045" s="319"/>
      <c r="D7045" s="319"/>
      <c r="G7045" s="320"/>
    </row>
    <row r="7046" spans="3:7">
      <c r="C7046" s="319"/>
      <c r="D7046" s="319"/>
      <c r="G7046" s="320"/>
    </row>
    <row r="7047" spans="3:7">
      <c r="C7047" s="319"/>
      <c r="D7047" s="319"/>
      <c r="G7047" s="320"/>
    </row>
    <row r="7048" spans="3:7">
      <c r="C7048" s="319"/>
      <c r="D7048" s="319"/>
      <c r="G7048" s="320"/>
    </row>
    <row r="7049" spans="3:7">
      <c r="C7049" s="319"/>
      <c r="D7049" s="319"/>
      <c r="G7049" s="320"/>
    </row>
    <row r="7050" spans="3:7">
      <c r="C7050" s="319"/>
      <c r="D7050" s="319"/>
      <c r="G7050" s="320"/>
    </row>
    <row r="7051" spans="3:4">
      <c r="C7051" s="319"/>
      <c r="D7051" s="319"/>
    </row>
    <row r="7052" spans="3:4">
      <c r="C7052" s="319"/>
      <c r="D7052" s="319"/>
    </row>
    <row r="7053" spans="3:4">
      <c r="C7053" s="319"/>
      <c r="D7053" s="319"/>
    </row>
    <row r="7054" spans="3:4">
      <c r="C7054" s="319"/>
      <c r="D7054" s="319"/>
    </row>
    <row r="7055" spans="3:4">
      <c r="C7055" s="319"/>
      <c r="D7055" s="319"/>
    </row>
    <row r="7056" spans="3:4">
      <c r="C7056" s="319"/>
      <c r="D7056" s="319"/>
    </row>
    <row r="7057" spans="3:4">
      <c r="C7057" s="319"/>
      <c r="D7057" s="319"/>
    </row>
    <row r="7058" spans="3:4">
      <c r="C7058" s="319"/>
      <c r="D7058" s="319"/>
    </row>
    <row r="7059" spans="3:4">
      <c r="C7059" s="319"/>
      <c r="D7059" s="319"/>
    </row>
    <row r="7060" spans="3:7">
      <c r="C7060" s="319"/>
      <c r="D7060" s="319"/>
      <c r="G7060" s="320"/>
    </row>
    <row r="7061" spans="3:4">
      <c r="C7061" s="319"/>
      <c r="D7061" s="319"/>
    </row>
    <row r="7062" spans="3:4">
      <c r="C7062" s="319"/>
      <c r="D7062" s="319"/>
    </row>
    <row r="7063" spans="3:7">
      <c r="C7063" s="319"/>
      <c r="D7063" s="319"/>
      <c r="G7063" s="320"/>
    </row>
    <row r="7064" spans="3:7">
      <c r="C7064" s="319"/>
      <c r="D7064" s="319"/>
      <c r="G7064" s="320"/>
    </row>
    <row r="7065" spans="3:4">
      <c r="C7065" s="319"/>
      <c r="D7065" s="319"/>
    </row>
    <row r="7066" spans="3:7">
      <c r="C7066" s="319"/>
      <c r="D7066" s="319"/>
      <c r="G7066" s="320"/>
    </row>
    <row r="7067" spans="3:4">
      <c r="C7067" s="319"/>
      <c r="D7067" s="319"/>
    </row>
    <row r="7068" spans="3:7">
      <c r="C7068" s="319"/>
      <c r="D7068" s="319"/>
      <c r="G7068" s="320"/>
    </row>
    <row r="7069" spans="3:4">
      <c r="C7069" s="319"/>
      <c r="D7069" s="319"/>
    </row>
    <row r="7070" spans="3:4">
      <c r="C7070" s="319"/>
      <c r="D7070" s="319"/>
    </row>
    <row r="7071" spans="3:7">
      <c r="C7071" s="319"/>
      <c r="D7071" s="319"/>
      <c r="G7071" s="320"/>
    </row>
    <row r="7072" spans="3:7">
      <c r="C7072" s="319"/>
      <c r="D7072" s="319"/>
      <c r="G7072" s="320"/>
    </row>
    <row r="7073" spans="3:7">
      <c r="C7073" s="319"/>
      <c r="D7073" s="319"/>
      <c r="G7073" s="320"/>
    </row>
    <row r="7074" spans="3:7">
      <c r="C7074" s="319"/>
      <c r="D7074" s="319"/>
      <c r="G7074" s="320"/>
    </row>
    <row r="7075" spans="3:7">
      <c r="C7075" s="319"/>
      <c r="D7075" s="319"/>
      <c r="G7075" s="320"/>
    </row>
    <row r="7076" spans="3:4">
      <c r="C7076" s="319"/>
      <c r="D7076" s="319"/>
    </row>
    <row r="7077" spans="3:4">
      <c r="C7077" s="319"/>
      <c r="D7077" s="319"/>
    </row>
    <row r="7078" spans="3:7">
      <c r="C7078" s="319"/>
      <c r="D7078" s="319"/>
      <c r="G7078" s="320"/>
    </row>
    <row r="7079" spans="3:7">
      <c r="C7079" s="319"/>
      <c r="D7079" s="319"/>
      <c r="G7079" s="320"/>
    </row>
    <row r="7080" spans="3:7">
      <c r="C7080" s="319"/>
      <c r="D7080" s="319"/>
      <c r="G7080" s="320"/>
    </row>
    <row r="7081" spans="3:4">
      <c r="C7081" s="319"/>
      <c r="D7081" s="319"/>
    </row>
    <row r="7082" spans="3:7">
      <c r="C7082" s="319"/>
      <c r="D7082" s="319"/>
      <c r="G7082" s="320"/>
    </row>
    <row r="7083" spans="3:7">
      <c r="C7083" s="319"/>
      <c r="D7083" s="319"/>
      <c r="G7083" s="320"/>
    </row>
    <row r="7084" spans="3:7">
      <c r="C7084" s="319"/>
      <c r="D7084" s="319"/>
      <c r="G7084" s="320"/>
    </row>
    <row r="7085" spans="3:7">
      <c r="C7085" s="319"/>
      <c r="D7085" s="319"/>
      <c r="G7085" s="320"/>
    </row>
    <row r="7086" spans="3:7">
      <c r="C7086" s="319"/>
      <c r="D7086" s="319"/>
      <c r="G7086" s="320"/>
    </row>
    <row r="7087" spans="3:7">
      <c r="C7087" s="319"/>
      <c r="D7087" s="319"/>
      <c r="G7087" s="320"/>
    </row>
    <row r="7088" spans="3:7">
      <c r="C7088" s="319"/>
      <c r="D7088" s="319"/>
      <c r="G7088" s="320"/>
    </row>
    <row r="7089" spans="3:7">
      <c r="C7089" s="319"/>
      <c r="D7089" s="319"/>
      <c r="G7089" s="320"/>
    </row>
    <row r="7090" spans="3:4">
      <c r="C7090" s="319"/>
      <c r="D7090" s="319"/>
    </row>
    <row r="7091" spans="3:4">
      <c r="C7091" s="319"/>
      <c r="D7091" s="319"/>
    </row>
    <row r="7092" spans="3:7">
      <c r="C7092" s="319"/>
      <c r="D7092" s="319"/>
      <c r="G7092" s="320"/>
    </row>
    <row r="7093" spans="3:4">
      <c r="C7093" s="319"/>
      <c r="D7093" s="319"/>
    </row>
    <row r="7094" spans="3:7">
      <c r="C7094" s="319"/>
      <c r="D7094" s="319"/>
      <c r="G7094" s="320"/>
    </row>
    <row r="7095" spans="3:7">
      <c r="C7095" s="319"/>
      <c r="D7095" s="319"/>
      <c r="G7095" s="320"/>
    </row>
    <row r="7096" spans="3:7">
      <c r="C7096" s="319"/>
      <c r="D7096" s="319"/>
      <c r="G7096" s="320"/>
    </row>
    <row r="7097" spans="3:7">
      <c r="C7097" s="319"/>
      <c r="D7097" s="319"/>
      <c r="G7097" s="320"/>
    </row>
    <row r="7098" spans="3:7">
      <c r="C7098" s="319"/>
      <c r="D7098" s="319"/>
      <c r="G7098" s="320"/>
    </row>
    <row r="7099" spans="3:7">
      <c r="C7099" s="319"/>
      <c r="D7099" s="319"/>
      <c r="G7099" s="320"/>
    </row>
    <row r="7100" spans="3:4">
      <c r="C7100" s="319"/>
      <c r="D7100" s="319"/>
    </row>
    <row r="7101" spans="3:4">
      <c r="C7101" s="319"/>
      <c r="D7101" s="319"/>
    </row>
    <row r="7102" spans="3:4">
      <c r="C7102" s="319"/>
      <c r="D7102" s="319"/>
    </row>
    <row r="7103" spans="3:7">
      <c r="C7103" s="319"/>
      <c r="D7103" s="319"/>
      <c r="G7103" s="320"/>
    </row>
    <row r="7104" spans="3:4">
      <c r="C7104" s="319"/>
      <c r="D7104" s="319"/>
    </row>
    <row r="7105" spans="3:4">
      <c r="C7105" s="319"/>
      <c r="D7105" s="319"/>
    </row>
    <row r="7106" spans="3:7">
      <c r="C7106" s="319"/>
      <c r="D7106" s="319"/>
      <c r="G7106" s="320"/>
    </row>
    <row r="7107" spans="3:7">
      <c r="C7107" s="319"/>
      <c r="D7107" s="319"/>
      <c r="G7107" s="320"/>
    </row>
    <row r="7108" spans="3:7">
      <c r="C7108" s="319"/>
      <c r="D7108" s="319"/>
      <c r="G7108" s="320"/>
    </row>
    <row r="7109" spans="3:7">
      <c r="C7109" s="319"/>
      <c r="D7109" s="319"/>
      <c r="G7109" s="320"/>
    </row>
    <row r="7110" spans="3:7">
      <c r="C7110" s="319"/>
      <c r="D7110" s="319"/>
      <c r="G7110" s="320"/>
    </row>
    <row r="7111" spans="3:7">
      <c r="C7111" s="319"/>
      <c r="D7111" s="319"/>
      <c r="G7111" s="320"/>
    </row>
    <row r="7112" spans="3:7">
      <c r="C7112" s="319"/>
      <c r="D7112" s="319"/>
      <c r="G7112" s="320"/>
    </row>
    <row r="7113" spans="3:7">
      <c r="C7113" s="319"/>
      <c r="D7113" s="319"/>
      <c r="G7113" s="320"/>
    </row>
    <row r="7114" spans="3:7">
      <c r="C7114" s="319"/>
      <c r="D7114" s="319"/>
      <c r="G7114" s="320"/>
    </row>
    <row r="7115" spans="3:4">
      <c r="C7115" s="319"/>
      <c r="D7115" s="319"/>
    </row>
    <row r="7116" spans="3:7">
      <c r="C7116" s="319"/>
      <c r="D7116" s="319"/>
      <c r="G7116" s="320"/>
    </row>
    <row r="7117" spans="3:4">
      <c r="C7117" s="319"/>
      <c r="D7117" s="319"/>
    </row>
    <row r="7118" spans="3:7">
      <c r="C7118" s="319"/>
      <c r="D7118" s="319"/>
      <c r="G7118" s="320"/>
    </row>
    <row r="7119" spans="3:7">
      <c r="C7119" s="319"/>
      <c r="D7119" s="319"/>
      <c r="G7119" s="320"/>
    </row>
    <row r="7120" spans="3:7">
      <c r="C7120" s="319"/>
      <c r="D7120" s="319"/>
      <c r="G7120" s="320"/>
    </row>
    <row r="7121" spans="3:7">
      <c r="C7121" s="319"/>
      <c r="D7121" s="319"/>
      <c r="G7121" s="320"/>
    </row>
    <row r="7122" spans="3:7">
      <c r="C7122" s="319"/>
      <c r="D7122" s="319"/>
      <c r="G7122" s="320"/>
    </row>
    <row r="7123" spans="3:7">
      <c r="C7123" s="319"/>
      <c r="D7123" s="319"/>
      <c r="G7123" s="320"/>
    </row>
    <row r="7124" spans="3:7">
      <c r="C7124" s="319"/>
      <c r="D7124" s="319"/>
      <c r="G7124" s="320"/>
    </row>
    <row r="7125" spans="3:7">
      <c r="C7125" s="319"/>
      <c r="D7125" s="319"/>
      <c r="G7125" s="320"/>
    </row>
    <row r="7126" spans="3:4">
      <c r="C7126" s="319"/>
      <c r="D7126" s="319"/>
    </row>
    <row r="7127" spans="3:4">
      <c r="C7127" s="319"/>
      <c r="D7127" s="319"/>
    </row>
    <row r="7128" spans="3:4">
      <c r="C7128" s="319"/>
      <c r="D7128" s="319"/>
    </row>
    <row r="7129" spans="3:7">
      <c r="C7129" s="319"/>
      <c r="D7129" s="319"/>
      <c r="G7129" s="320"/>
    </row>
    <row r="7130" spans="3:7">
      <c r="C7130" s="319"/>
      <c r="D7130" s="319"/>
      <c r="G7130" s="320"/>
    </row>
    <row r="7131" spans="3:7">
      <c r="C7131" s="319"/>
      <c r="D7131" s="319"/>
      <c r="G7131" s="320"/>
    </row>
    <row r="7132" spans="3:7">
      <c r="C7132" s="319"/>
      <c r="D7132" s="319"/>
      <c r="G7132" s="320"/>
    </row>
    <row r="7133" spans="3:7">
      <c r="C7133" s="319"/>
      <c r="D7133" s="319"/>
      <c r="G7133" s="320"/>
    </row>
    <row r="7134" spans="3:4">
      <c r="C7134" s="319"/>
      <c r="D7134" s="319"/>
    </row>
    <row r="7135" spans="3:7">
      <c r="C7135" s="319"/>
      <c r="D7135" s="319"/>
      <c r="G7135" s="320"/>
    </row>
    <row r="7136" spans="3:7">
      <c r="C7136" s="319"/>
      <c r="D7136" s="319"/>
      <c r="G7136" s="320"/>
    </row>
    <row r="7137" spans="3:4">
      <c r="C7137" s="319"/>
      <c r="D7137" s="319"/>
    </row>
    <row r="7138" spans="3:7">
      <c r="C7138" s="319"/>
      <c r="D7138" s="319"/>
      <c r="G7138" s="320"/>
    </row>
    <row r="7139" spans="3:7">
      <c r="C7139" s="319"/>
      <c r="D7139" s="319"/>
      <c r="G7139" s="320"/>
    </row>
    <row r="7140" spans="3:7">
      <c r="C7140" s="319"/>
      <c r="D7140" s="319"/>
      <c r="G7140" s="320"/>
    </row>
    <row r="7141" spans="3:4">
      <c r="C7141" s="319"/>
      <c r="D7141" s="319"/>
    </row>
    <row r="7142" spans="3:7">
      <c r="C7142" s="319"/>
      <c r="D7142" s="319"/>
      <c r="G7142" s="320"/>
    </row>
    <row r="7143" spans="3:7">
      <c r="C7143" s="319"/>
      <c r="D7143" s="319"/>
      <c r="G7143" s="320"/>
    </row>
    <row r="7144" spans="3:7">
      <c r="C7144" s="319"/>
      <c r="D7144" s="319"/>
      <c r="G7144" s="320"/>
    </row>
    <row r="7145" spans="3:7">
      <c r="C7145" s="319"/>
      <c r="D7145" s="319"/>
      <c r="G7145" s="320"/>
    </row>
    <row r="7146" spans="3:7">
      <c r="C7146" s="319"/>
      <c r="D7146" s="319"/>
      <c r="G7146" s="320"/>
    </row>
    <row r="7147" spans="3:7">
      <c r="C7147" s="319"/>
      <c r="D7147" s="319"/>
      <c r="G7147" s="320"/>
    </row>
    <row r="7148" spans="3:4">
      <c r="C7148" s="319"/>
      <c r="D7148" s="319"/>
    </row>
    <row r="7149" spans="3:4">
      <c r="C7149" s="319"/>
      <c r="D7149" s="319"/>
    </row>
    <row r="7150" spans="3:4">
      <c r="C7150" s="319"/>
      <c r="D7150" s="319"/>
    </row>
    <row r="7151" spans="3:4">
      <c r="C7151" s="319"/>
      <c r="D7151" s="319"/>
    </row>
    <row r="7152" spans="3:7">
      <c r="C7152" s="319"/>
      <c r="D7152" s="319"/>
      <c r="G7152" s="320"/>
    </row>
    <row r="7153" spans="3:4">
      <c r="C7153" s="319"/>
      <c r="D7153" s="319"/>
    </row>
    <row r="7154" spans="3:7">
      <c r="C7154" s="319"/>
      <c r="D7154" s="319"/>
      <c r="G7154" s="320"/>
    </row>
    <row r="7155" spans="3:4">
      <c r="C7155" s="319"/>
      <c r="D7155" s="319"/>
    </row>
    <row r="7156" spans="3:7">
      <c r="C7156" s="319"/>
      <c r="D7156" s="319"/>
      <c r="G7156" s="320"/>
    </row>
    <row r="7157" spans="3:4">
      <c r="C7157" s="319"/>
      <c r="D7157" s="319"/>
    </row>
    <row r="7158" spans="3:4">
      <c r="C7158" s="319"/>
      <c r="D7158" s="319"/>
    </row>
    <row r="7159" spans="3:4">
      <c r="C7159" s="319"/>
      <c r="D7159" s="319"/>
    </row>
    <row r="7160" spans="3:7">
      <c r="C7160" s="319"/>
      <c r="D7160" s="319"/>
      <c r="G7160" s="320"/>
    </row>
    <row r="7161" spans="3:7">
      <c r="C7161" s="319"/>
      <c r="D7161" s="319"/>
      <c r="G7161" s="320"/>
    </row>
    <row r="7162" spans="3:7">
      <c r="C7162" s="319"/>
      <c r="D7162" s="319"/>
      <c r="G7162" s="320"/>
    </row>
    <row r="7163" spans="3:7">
      <c r="C7163" s="319"/>
      <c r="D7163" s="319"/>
      <c r="G7163" s="320"/>
    </row>
    <row r="7164" spans="3:7">
      <c r="C7164" s="319"/>
      <c r="D7164" s="319"/>
      <c r="G7164" s="320"/>
    </row>
    <row r="7165" spans="3:4">
      <c r="C7165" s="319"/>
      <c r="D7165" s="319"/>
    </row>
    <row r="7166" spans="3:7">
      <c r="C7166" s="319"/>
      <c r="D7166" s="319"/>
      <c r="G7166" s="320"/>
    </row>
    <row r="7167" spans="3:7">
      <c r="C7167" s="319"/>
      <c r="D7167" s="319"/>
      <c r="G7167" s="320"/>
    </row>
    <row r="7168" spans="3:4">
      <c r="C7168" s="319"/>
      <c r="D7168" s="319"/>
    </row>
    <row r="7169" spans="3:7">
      <c r="C7169" s="319"/>
      <c r="D7169" s="319"/>
      <c r="G7169" s="320"/>
    </row>
    <row r="7170" spans="3:7">
      <c r="C7170" s="319"/>
      <c r="D7170" s="319"/>
      <c r="G7170" s="320"/>
    </row>
    <row r="7171" spans="3:7">
      <c r="C7171" s="319"/>
      <c r="D7171" s="319"/>
      <c r="G7171" s="320"/>
    </row>
    <row r="7172" spans="3:4">
      <c r="C7172" s="319"/>
      <c r="D7172" s="319"/>
    </row>
    <row r="7173" spans="3:4">
      <c r="C7173" s="319"/>
      <c r="D7173" s="319"/>
    </row>
    <row r="7174" spans="3:7">
      <c r="C7174" s="319"/>
      <c r="D7174" s="319"/>
      <c r="G7174" s="320"/>
    </row>
    <row r="7175" spans="3:7">
      <c r="C7175" s="319"/>
      <c r="D7175" s="319"/>
      <c r="G7175" s="320"/>
    </row>
    <row r="7176" spans="3:4">
      <c r="C7176" s="319"/>
      <c r="D7176" s="319"/>
    </row>
    <row r="7177" spans="3:4">
      <c r="C7177" s="319"/>
      <c r="D7177" s="319"/>
    </row>
    <row r="7178" spans="3:4">
      <c r="C7178" s="319"/>
      <c r="D7178" s="319"/>
    </row>
    <row r="7179" spans="3:4">
      <c r="C7179" s="319"/>
      <c r="D7179" s="319"/>
    </row>
    <row r="7180" spans="3:4">
      <c r="C7180" s="319"/>
      <c r="D7180" s="319"/>
    </row>
    <row r="7181" spans="3:4">
      <c r="C7181" s="319"/>
      <c r="D7181" s="319"/>
    </row>
    <row r="7182" spans="3:7">
      <c r="C7182" s="319"/>
      <c r="D7182" s="319"/>
      <c r="G7182" s="320"/>
    </row>
    <row r="7183" spans="3:7">
      <c r="C7183" s="319"/>
      <c r="D7183" s="319"/>
      <c r="G7183" s="320"/>
    </row>
    <row r="7184" spans="3:7">
      <c r="C7184" s="319"/>
      <c r="D7184" s="319"/>
      <c r="G7184" s="320"/>
    </row>
    <row r="7185" spans="3:7">
      <c r="C7185" s="319"/>
      <c r="D7185" s="319"/>
      <c r="G7185" s="320"/>
    </row>
    <row r="7186" spans="3:4">
      <c r="C7186" s="319"/>
      <c r="D7186" s="319"/>
    </row>
    <row r="7187" spans="3:4">
      <c r="C7187" s="319"/>
      <c r="D7187" s="319"/>
    </row>
    <row r="7188" spans="3:4">
      <c r="C7188" s="319"/>
      <c r="D7188" s="319"/>
    </row>
    <row r="7189" spans="3:7">
      <c r="C7189" s="319"/>
      <c r="D7189" s="319"/>
      <c r="G7189" s="320"/>
    </row>
    <row r="7190" spans="3:4">
      <c r="C7190" s="319"/>
      <c r="D7190" s="319"/>
    </row>
    <row r="7191" spans="3:7">
      <c r="C7191" s="319"/>
      <c r="D7191" s="319"/>
      <c r="G7191" s="320"/>
    </row>
    <row r="7192" spans="3:7">
      <c r="C7192" s="319"/>
      <c r="D7192" s="319"/>
      <c r="G7192" s="320"/>
    </row>
    <row r="7193" spans="3:4">
      <c r="C7193" s="319"/>
      <c r="D7193" s="319"/>
    </row>
    <row r="7194" spans="3:4">
      <c r="C7194" s="319"/>
      <c r="D7194" s="319"/>
    </row>
    <row r="7195" spans="3:4">
      <c r="C7195" s="319"/>
      <c r="D7195" s="319"/>
    </row>
    <row r="7196" spans="3:7">
      <c r="C7196" s="319"/>
      <c r="D7196" s="319"/>
      <c r="G7196" s="320"/>
    </row>
    <row r="7197" spans="3:7">
      <c r="C7197" s="319"/>
      <c r="D7197" s="319"/>
      <c r="G7197" s="320"/>
    </row>
    <row r="7198" spans="3:7">
      <c r="C7198" s="319"/>
      <c r="D7198" s="319"/>
      <c r="G7198" s="320"/>
    </row>
    <row r="7199" spans="3:7">
      <c r="C7199" s="319"/>
      <c r="D7199" s="319"/>
      <c r="G7199" s="320"/>
    </row>
    <row r="7200" spans="3:4">
      <c r="C7200" s="319"/>
      <c r="D7200" s="319"/>
    </row>
    <row r="7201" spans="3:7">
      <c r="C7201" s="319"/>
      <c r="D7201" s="319"/>
      <c r="G7201" s="320"/>
    </row>
    <row r="7202" spans="3:4">
      <c r="C7202" s="319"/>
      <c r="D7202" s="319"/>
    </row>
    <row r="7203" spans="3:4">
      <c r="C7203" s="319"/>
      <c r="D7203" s="319"/>
    </row>
    <row r="7204" spans="3:7">
      <c r="C7204" s="319"/>
      <c r="D7204" s="319"/>
      <c r="G7204" s="320"/>
    </row>
    <row r="7205" spans="3:4">
      <c r="C7205" s="319"/>
      <c r="D7205" s="319"/>
    </row>
    <row r="7206" spans="3:4">
      <c r="C7206" s="319"/>
      <c r="D7206" s="319"/>
    </row>
    <row r="7207" spans="3:4">
      <c r="C7207" s="319"/>
      <c r="D7207" s="319"/>
    </row>
    <row r="7208" spans="3:7">
      <c r="C7208" s="319"/>
      <c r="D7208" s="319"/>
      <c r="G7208" s="320"/>
    </row>
    <row r="7209" spans="3:4">
      <c r="C7209" s="319"/>
      <c r="D7209" s="319"/>
    </row>
    <row r="7210" spans="3:7">
      <c r="C7210" s="319"/>
      <c r="D7210" s="319"/>
      <c r="G7210" s="320"/>
    </row>
    <row r="7211" spans="3:4">
      <c r="C7211" s="319"/>
      <c r="D7211" s="319"/>
    </row>
    <row r="7212" spans="3:7">
      <c r="C7212" s="319"/>
      <c r="D7212" s="319"/>
      <c r="G7212" s="320"/>
    </row>
    <row r="7213" spans="3:7">
      <c r="C7213" s="319"/>
      <c r="D7213" s="319"/>
      <c r="G7213" s="320"/>
    </row>
    <row r="7214" spans="3:4">
      <c r="C7214" s="319"/>
      <c r="D7214" s="319"/>
    </row>
    <row r="7215" spans="3:4">
      <c r="C7215" s="319"/>
      <c r="D7215" s="319"/>
    </row>
    <row r="7216" spans="3:4">
      <c r="C7216" s="319"/>
      <c r="D7216" s="319"/>
    </row>
    <row r="7217" spans="3:7">
      <c r="C7217" s="319"/>
      <c r="D7217" s="319"/>
      <c r="G7217" s="320"/>
    </row>
    <row r="7218" spans="3:4">
      <c r="C7218" s="319"/>
      <c r="D7218" s="319"/>
    </row>
    <row r="7219" spans="3:4">
      <c r="C7219" s="319"/>
      <c r="D7219" s="319"/>
    </row>
    <row r="7220" spans="3:7">
      <c r="C7220" s="319"/>
      <c r="D7220" s="319"/>
      <c r="G7220" s="320"/>
    </row>
    <row r="7221" spans="3:7">
      <c r="C7221" s="319"/>
      <c r="D7221" s="319"/>
      <c r="G7221" s="320"/>
    </row>
    <row r="7222" spans="3:7">
      <c r="C7222" s="319"/>
      <c r="D7222" s="319"/>
      <c r="G7222" s="320"/>
    </row>
    <row r="7223" spans="3:7">
      <c r="C7223" s="319"/>
      <c r="D7223" s="319"/>
      <c r="G7223" s="320"/>
    </row>
    <row r="7224" spans="3:7">
      <c r="C7224" s="319"/>
      <c r="D7224" s="319"/>
      <c r="G7224" s="320"/>
    </row>
    <row r="7225" spans="3:7">
      <c r="C7225" s="319"/>
      <c r="D7225" s="319"/>
      <c r="G7225" s="320"/>
    </row>
    <row r="7226" spans="3:4">
      <c r="C7226" s="319"/>
      <c r="D7226" s="319"/>
    </row>
    <row r="7227" spans="3:4">
      <c r="C7227" s="319"/>
      <c r="D7227" s="319"/>
    </row>
    <row r="7228" spans="3:7">
      <c r="C7228" s="319"/>
      <c r="D7228" s="319"/>
      <c r="G7228" s="320"/>
    </row>
    <row r="7229" spans="3:4">
      <c r="C7229" s="319"/>
      <c r="D7229" s="319"/>
    </row>
    <row r="7230" spans="3:4">
      <c r="C7230" s="319"/>
      <c r="D7230" s="319"/>
    </row>
    <row r="7231" spans="3:7">
      <c r="C7231" s="319"/>
      <c r="D7231" s="319"/>
      <c r="G7231" s="320"/>
    </row>
    <row r="7232" spans="3:4">
      <c r="C7232" s="319"/>
      <c r="D7232" s="319"/>
    </row>
    <row r="7233" spans="3:4">
      <c r="C7233" s="319"/>
      <c r="D7233" s="319"/>
    </row>
    <row r="7234" spans="3:4">
      <c r="C7234" s="319"/>
      <c r="D7234" s="319"/>
    </row>
    <row r="7235" spans="3:4">
      <c r="C7235" s="319"/>
      <c r="D7235" s="319"/>
    </row>
    <row r="7236" spans="3:4">
      <c r="C7236" s="319"/>
      <c r="D7236" s="319"/>
    </row>
    <row r="7237" spans="3:7">
      <c r="C7237" s="319"/>
      <c r="D7237" s="319"/>
      <c r="G7237" s="320"/>
    </row>
    <row r="7238" spans="3:7">
      <c r="C7238" s="319"/>
      <c r="D7238" s="319"/>
      <c r="G7238" s="320"/>
    </row>
    <row r="7239" spans="3:4">
      <c r="C7239" s="319"/>
      <c r="D7239" s="319"/>
    </row>
    <row r="7240" spans="3:7">
      <c r="C7240" s="319"/>
      <c r="D7240" s="319"/>
      <c r="G7240" s="320"/>
    </row>
    <row r="7241" spans="3:7">
      <c r="C7241" s="319"/>
      <c r="D7241" s="319"/>
      <c r="G7241" s="320"/>
    </row>
    <row r="7242" spans="3:7">
      <c r="C7242" s="319"/>
      <c r="D7242" s="319"/>
      <c r="G7242" s="320"/>
    </row>
    <row r="7243" spans="3:4">
      <c r="C7243" s="319"/>
      <c r="D7243" s="319"/>
    </row>
    <row r="7244" spans="3:4">
      <c r="C7244" s="319"/>
      <c r="D7244" s="319"/>
    </row>
    <row r="7245" spans="3:4">
      <c r="C7245" s="319"/>
      <c r="D7245" s="319"/>
    </row>
    <row r="7246" spans="3:4">
      <c r="C7246" s="319"/>
      <c r="D7246" s="319"/>
    </row>
    <row r="7247" spans="3:4">
      <c r="C7247" s="319"/>
      <c r="D7247" s="319"/>
    </row>
    <row r="7248" spans="3:4">
      <c r="C7248" s="319"/>
      <c r="D7248" s="319"/>
    </row>
    <row r="7249" spans="3:4">
      <c r="C7249" s="319"/>
      <c r="D7249" s="319"/>
    </row>
    <row r="7250" spans="3:7">
      <c r="C7250" s="319"/>
      <c r="D7250" s="319"/>
      <c r="G7250" s="320"/>
    </row>
    <row r="7251" spans="3:7">
      <c r="C7251" s="319"/>
      <c r="D7251" s="319"/>
      <c r="G7251" s="320"/>
    </row>
    <row r="7252" spans="3:4">
      <c r="C7252" s="319"/>
      <c r="D7252" s="319"/>
    </row>
    <row r="7253" spans="3:7">
      <c r="C7253" s="319"/>
      <c r="D7253" s="319"/>
      <c r="G7253" s="320"/>
    </row>
    <row r="7254" spans="3:7">
      <c r="C7254" s="319"/>
      <c r="D7254" s="319"/>
      <c r="G7254" s="320"/>
    </row>
    <row r="7255" spans="3:7">
      <c r="C7255" s="319"/>
      <c r="D7255" s="319"/>
      <c r="G7255" s="320"/>
    </row>
    <row r="7256" spans="3:4">
      <c r="C7256" s="319"/>
      <c r="D7256" s="319"/>
    </row>
    <row r="7257" spans="3:7">
      <c r="C7257" s="319"/>
      <c r="D7257" s="319"/>
      <c r="G7257" s="320"/>
    </row>
    <row r="7258" spans="3:7">
      <c r="C7258" s="319"/>
      <c r="D7258" s="319"/>
      <c r="G7258" s="320"/>
    </row>
    <row r="7259" spans="3:7">
      <c r="C7259" s="319"/>
      <c r="D7259" s="319"/>
      <c r="G7259" s="320"/>
    </row>
    <row r="7260" spans="3:4">
      <c r="C7260" s="319"/>
      <c r="D7260" s="319"/>
    </row>
    <row r="7261" spans="3:7">
      <c r="C7261" s="319"/>
      <c r="D7261" s="319"/>
      <c r="G7261" s="320"/>
    </row>
    <row r="7262" spans="3:4">
      <c r="C7262" s="319"/>
      <c r="D7262" s="319"/>
    </row>
    <row r="7263" spans="3:4">
      <c r="C7263" s="319"/>
      <c r="D7263" s="319"/>
    </row>
    <row r="7264" spans="3:7">
      <c r="C7264" s="319"/>
      <c r="D7264" s="319"/>
      <c r="G7264" s="320"/>
    </row>
    <row r="7265" spans="3:4">
      <c r="C7265" s="319"/>
      <c r="D7265" s="319"/>
    </row>
    <row r="7266" spans="3:4">
      <c r="C7266" s="319"/>
      <c r="D7266" s="319"/>
    </row>
    <row r="7267" spans="3:4">
      <c r="C7267" s="319"/>
      <c r="D7267" s="319"/>
    </row>
    <row r="7268" spans="3:7">
      <c r="C7268" s="319"/>
      <c r="D7268" s="319"/>
      <c r="G7268" s="320"/>
    </row>
    <row r="7269" spans="3:7">
      <c r="C7269" s="319"/>
      <c r="D7269" s="319"/>
      <c r="G7269" s="320"/>
    </row>
    <row r="7270" spans="3:4">
      <c r="C7270" s="319"/>
      <c r="D7270" s="319"/>
    </row>
    <row r="7271" spans="3:7">
      <c r="C7271" s="319"/>
      <c r="D7271" s="319"/>
      <c r="G7271" s="320"/>
    </row>
    <row r="7272" spans="3:4">
      <c r="C7272" s="319"/>
      <c r="D7272" s="319"/>
    </row>
    <row r="7273" spans="3:4">
      <c r="C7273" s="319"/>
      <c r="D7273" s="319"/>
    </row>
    <row r="7274" spans="3:4">
      <c r="C7274" s="319"/>
      <c r="D7274" s="319"/>
    </row>
    <row r="7275" spans="3:7">
      <c r="C7275" s="319"/>
      <c r="D7275" s="319"/>
      <c r="G7275" s="320"/>
    </row>
    <row r="7276" spans="3:4">
      <c r="C7276" s="319"/>
      <c r="D7276" s="319"/>
    </row>
    <row r="7277" spans="3:4">
      <c r="C7277" s="319"/>
      <c r="D7277" s="319"/>
    </row>
    <row r="7278" spans="3:4">
      <c r="C7278" s="319"/>
      <c r="D7278" s="319"/>
    </row>
    <row r="7279" spans="3:4">
      <c r="C7279" s="319"/>
      <c r="D7279" s="319"/>
    </row>
    <row r="7280" spans="3:7">
      <c r="C7280" s="319"/>
      <c r="D7280" s="319"/>
      <c r="G7280" s="320"/>
    </row>
    <row r="7281" spans="3:7">
      <c r="C7281" s="319"/>
      <c r="D7281" s="319"/>
      <c r="G7281" s="320"/>
    </row>
    <row r="7282" spans="3:4">
      <c r="C7282" s="319"/>
      <c r="D7282" s="319"/>
    </row>
    <row r="7283" spans="3:4">
      <c r="C7283" s="319"/>
      <c r="D7283" s="319"/>
    </row>
    <row r="7284" spans="3:4">
      <c r="C7284" s="319"/>
      <c r="D7284" s="319"/>
    </row>
    <row r="7285" spans="3:4">
      <c r="C7285" s="319"/>
      <c r="D7285" s="319"/>
    </row>
    <row r="7286" spans="3:7">
      <c r="C7286" s="319"/>
      <c r="D7286" s="319"/>
      <c r="G7286" s="320"/>
    </row>
    <row r="7287" spans="3:7">
      <c r="C7287" s="319"/>
      <c r="D7287" s="319"/>
      <c r="G7287" s="320"/>
    </row>
    <row r="7288" spans="3:4">
      <c r="C7288" s="319"/>
      <c r="D7288" s="319"/>
    </row>
    <row r="7289" spans="3:4">
      <c r="C7289" s="319"/>
      <c r="D7289" s="319"/>
    </row>
    <row r="7290" spans="3:7">
      <c r="C7290" s="319"/>
      <c r="D7290" s="319"/>
      <c r="G7290" s="320"/>
    </row>
    <row r="7291" spans="3:7">
      <c r="C7291" s="319"/>
      <c r="D7291" s="319"/>
      <c r="G7291" s="320"/>
    </row>
    <row r="7292" spans="3:7">
      <c r="C7292" s="319"/>
      <c r="D7292" s="319"/>
      <c r="G7292" s="320"/>
    </row>
    <row r="7293" spans="3:4">
      <c r="C7293" s="319"/>
      <c r="D7293" s="319"/>
    </row>
    <row r="7294" spans="3:4">
      <c r="C7294" s="319"/>
      <c r="D7294" s="319"/>
    </row>
    <row r="7295" spans="3:4">
      <c r="C7295" s="319"/>
      <c r="D7295" s="319"/>
    </row>
    <row r="7296" spans="3:7">
      <c r="C7296" s="319"/>
      <c r="D7296" s="319"/>
      <c r="G7296" s="320"/>
    </row>
    <row r="7297" spans="3:7">
      <c r="C7297" s="319"/>
      <c r="D7297" s="319"/>
      <c r="G7297" s="320"/>
    </row>
    <row r="7298" spans="3:4">
      <c r="C7298" s="319"/>
      <c r="D7298" s="319"/>
    </row>
    <row r="7299" spans="3:7">
      <c r="C7299" s="319"/>
      <c r="D7299" s="319"/>
      <c r="G7299" s="320"/>
    </row>
    <row r="7300" spans="3:7">
      <c r="C7300" s="319"/>
      <c r="D7300" s="319"/>
      <c r="G7300" s="320"/>
    </row>
    <row r="7301" spans="3:7">
      <c r="C7301" s="319"/>
      <c r="D7301" s="319"/>
      <c r="G7301" s="320"/>
    </row>
    <row r="7302" spans="3:4">
      <c r="C7302" s="319"/>
      <c r="D7302" s="319"/>
    </row>
    <row r="7303" spans="3:4">
      <c r="C7303" s="319"/>
      <c r="D7303" s="319"/>
    </row>
    <row r="7304" spans="3:4">
      <c r="C7304" s="319"/>
      <c r="D7304" s="319"/>
    </row>
    <row r="7305" spans="3:4">
      <c r="C7305" s="319"/>
      <c r="D7305" s="319"/>
    </row>
    <row r="7306" spans="3:7">
      <c r="C7306" s="319"/>
      <c r="D7306" s="319"/>
      <c r="G7306" s="320"/>
    </row>
    <row r="7307" spans="3:7">
      <c r="C7307" s="319"/>
      <c r="D7307" s="319"/>
      <c r="G7307" s="320"/>
    </row>
    <row r="7308" spans="3:7">
      <c r="C7308" s="319"/>
      <c r="D7308" s="319"/>
      <c r="G7308" s="320"/>
    </row>
    <row r="7309" spans="3:4">
      <c r="C7309" s="319"/>
      <c r="D7309" s="319"/>
    </row>
    <row r="7310" spans="3:7">
      <c r="C7310" s="319"/>
      <c r="D7310" s="319"/>
      <c r="G7310" s="320"/>
    </row>
    <row r="7311" spans="3:4">
      <c r="C7311" s="319"/>
      <c r="D7311" s="319"/>
    </row>
    <row r="7312" spans="3:7">
      <c r="C7312" s="319"/>
      <c r="D7312" s="319"/>
      <c r="G7312" s="320"/>
    </row>
    <row r="7313" spans="3:4">
      <c r="C7313" s="319"/>
      <c r="D7313" s="319"/>
    </row>
    <row r="7314" spans="3:4">
      <c r="C7314" s="319"/>
      <c r="D7314" s="319"/>
    </row>
    <row r="7315" spans="3:4">
      <c r="C7315" s="319"/>
      <c r="D7315" s="319"/>
    </row>
    <row r="7316" spans="3:4">
      <c r="C7316" s="319"/>
      <c r="D7316" s="319"/>
    </row>
    <row r="7317" spans="3:4">
      <c r="C7317" s="319"/>
      <c r="D7317" s="319"/>
    </row>
    <row r="7318" spans="3:4">
      <c r="C7318" s="319"/>
      <c r="D7318" s="319"/>
    </row>
    <row r="7319" spans="3:4">
      <c r="C7319" s="319"/>
      <c r="D7319" s="319"/>
    </row>
    <row r="7320" spans="3:4">
      <c r="C7320" s="319"/>
      <c r="D7320" s="319"/>
    </row>
    <row r="7321" spans="3:7">
      <c r="C7321" s="319"/>
      <c r="D7321" s="319"/>
      <c r="G7321" s="320"/>
    </row>
    <row r="7322" spans="3:7">
      <c r="C7322" s="319"/>
      <c r="D7322" s="319"/>
      <c r="G7322" s="320"/>
    </row>
    <row r="7323" spans="3:7">
      <c r="C7323" s="319"/>
      <c r="D7323" s="319"/>
      <c r="G7323" s="320"/>
    </row>
    <row r="7324" spans="3:4">
      <c r="C7324" s="319"/>
      <c r="D7324" s="319"/>
    </row>
    <row r="7325" spans="3:7">
      <c r="C7325" s="319"/>
      <c r="D7325" s="319"/>
      <c r="G7325" s="320"/>
    </row>
    <row r="7326" spans="3:7">
      <c r="C7326" s="319"/>
      <c r="D7326" s="319"/>
      <c r="G7326" s="320"/>
    </row>
    <row r="7327" spans="3:7">
      <c r="C7327" s="319"/>
      <c r="D7327" s="319"/>
      <c r="G7327" s="320"/>
    </row>
    <row r="7328" spans="3:4">
      <c r="C7328" s="319"/>
      <c r="D7328" s="319"/>
    </row>
    <row r="7329" spans="3:7">
      <c r="C7329" s="319"/>
      <c r="D7329" s="319"/>
      <c r="G7329" s="320"/>
    </row>
    <row r="7330" spans="3:4">
      <c r="C7330" s="319"/>
      <c r="D7330" s="319"/>
    </row>
    <row r="7331" spans="3:4">
      <c r="C7331" s="319"/>
      <c r="D7331" s="319"/>
    </row>
    <row r="7332" spans="3:7">
      <c r="C7332" s="319"/>
      <c r="D7332" s="319"/>
      <c r="G7332" s="320"/>
    </row>
    <row r="7333" spans="3:4">
      <c r="C7333" s="319"/>
      <c r="D7333" s="319"/>
    </row>
    <row r="7334" spans="3:4">
      <c r="C7334" s="319"/>
      <c r="D7334" s="319"/>
    </row>
    <row r="7335" spans="3:4">
      <c r="C7335" s="319"/>
      <c r="D7335" s="319"/>
    </row>
    <row r="7336" spans="3:7">
      <c r="C7336" s="319"/>
      <c r="D7336" s="319"/>
      <c r="G7336" s="320"/>
    </row>
    <row r="7337" spans="3:4">
      <c r="C7337" s="319"/>
      <c r="D7337" s="319"/>
    </row>
    <row r="7338" spans="3:7">
      <c r="C7338" s="319"/>
      <c r="D7338" s="319"/>
      <c r="G7338" s="320"/>
    </row>
    <row r="7339" spans="3:7">
      <c r="C7339" s="319"/>
      <c r="D7339" s="319"/>
      <c r="G7339" s="320"/>
    </row>
    <row r="7340" spans="3:7">
      <c r="C7340" s="319"/>
      <c r="D7340" s="319"/>
      <c r="G7340" s="320"/>
    </row>
    <row r="7341" spans="3:4">
      <c r="C7341" s="319"/>
      <c r="D7341" s="319"/>
    </row>
    <row r="7342" spans="3:4">
      <c r="C7342" s="319"/>
      <c r="D7342" s="319"/>
    </row>
    <row r="7343" spans="3:4">
      <c r="C7343" s="319"/>
      <c r="D7343" s="319"/>
    </row>
    <row r="7344" spans="3:4">
      <c r="C7344" s="319"/>
      <c r="D7344" s="319"/>
    </row>
    <row r="7345" spans="3:7">
      <c r="C7345" s="319"/>
      <c r="D7345" s="319"/>
      <c r="G7345" s="320"/>
    </row>
    <row r="7346" spans="3:7">
      <c r="C7346" s="319"/>
      <c r="D7346" s="319"/>
      <c r="G7346" s="320"/>
    </row>
    <row r="7347" spans="3:7">
      <c r="C7347" s="319"/>
      <c r="D7347" s="319"/>
      <c r="G7347" s="320"/>
    </row>
    <row r="7348" spans="3:7">
      <c r="C7348" s="319"/>
      <c r="D7348" s="319"/>
      <c r="G7348" s="320"/>
    </row>
    <row r="7349" spans="3:4">
      <c r="C7349" s="319"/>
      <c r="D7349" s="319"/>
    </row>
    <row r="7350" spans="3:7">
      <c r="C7350" s="319"/>
      <c r="D7350" s="319"/>
      <c r="G7350" s="320"/>
    </row>
    <row r="7351" spans="3:4">
      <c r="C7351" s="319"/>
      <c r="D7351" s="319"/>
    </row>
    <row r="7352" spans="3:4">
      <c r="C7352" s="319"/>
      <c r="D7352" s="319"/>
    </row>
    <row r="7353" spans="3:7">
      <c r="C7353" s="319"/>
      <c r="D7353" s="319"/>
      <c r="G7353" s="320"/>
    </row>
    <row r="7354" spans="3:4">
      <c r="C7354" s="319"/>
      <c r="D7354" s="319"/>
    </row>
    <row r="7355" spans="3:4">
      <c r="C7355" s="319"/>
      <c r="D7355" s="319"/>
    </row>
    <row r="7356" spans="3:4">
      <c r="C7356" s="319"/>
      <c r="D7356" s="319"/>
    </row>
    <row r="7357" spans="3:4">
      <c r="C7357" s="319"/>
      <c r="D7357" s="319"/>
    </row>
    <row r="7358" spans="3:7">
      <c r="C7358" s="319"/>
      <c r="D7358" s="319"/>
      <c r="G7358" s="320"/>
    </row>
    <row r="7359" spans="3:7">
      <c r="C7359" s="319"/>
      <c r="D7359" s="319"/>
      <c r="G7359" s="320"/>
    </row>
    <row r="7360" spans="3:4">
      <c r="C7360" s="319"/>
      <c r="D7360" s="319"/>
    </row>
    <row r="7361" spans="3:7">
      <c r="C7361" s="319"/>
      <c r="D7361" s="319"/>
      <c r="G7361" s="320"/>
    </row>
    <row r="7362" spans="3:4">
      <c r="C7362" s="319"/>
      <c r="D7362" s="319"/>
    </row>
    <row r="7363" spans="3:4">
      <c r="C7363" s="319"/>
      <c r="D7363" s="319"/>
    </row>
    <row r="7364" spans="3:7">
      <c r="C7364" s="319"/>
      <c r="D7364" s="319"/>
      <c r="G7364" s="320"/>
    </row>
    <row r="7365" spans="3:4">
      <c r="C7365" s="319"/>
      <c r="D7365" s="319"/>
    </row>
    <row r="7366" spans="3:7">
      <c r="C7366" s="319"/>
      <c r="D7366" s="319"/>
      <c r="G7366" s="320"/>
    </row>
    <row r="7367" spans="3:7">
      <c r="C7367" s="319"/>
      <c r="D7367" s="319"/>
      <c r="G7367" s="320"/>
    </row>
    <row r="7368" spans="3:4">
      <c r="C7368" s="319"/>
      <c r="D7368" s="319"/>
    </row>
    <row r="7369" spans="3:4">
      <c r="C7369" s="319"/>
      <c r="D7369" s="319"/>
    </row>
    <row r="7370" spans="3:7">
      <c r="C7370" s="319"/>
      <c r="D7370" s="319"/>
      <c r="G7370" s="320"/>
    </row>
    <row r="7371" spans="3:4">
      <c r="C7371" s="319"/>
      <c r="D7371" s="319"/>
    </row>
    <row r="7372" spans="3:4">
      <c r="C7372" s="319"/>
      <c r="D7372" s="319"/>
    </row>
    <row r="7373" spans="3:7">
      <c r="C7373" s="319"/>
      <c r="D7373" s="319"/>
      <c r="G7373" s="320"/>
    </row>
    <row r="7374" spans="3:4">
      <c r="C7374" s="319"/>
      <c r="D7374" s="319"/>
    </row>
    <row r="7375" spans="3:7">
      <c r="C7375" s="319"/>
      <c r="D7375" s="319"/>
      <c r="G7375" s="320"/>
    </row>
    <row r="7376" spans="3:4">
      <c r="C7376" s="319"/>
      <c r="D7376" s="319"/>
    </row>
    <row r="7377" spans="3:4">
      <c r="C7377" s="319"/>
      <c r="D7377" s="319"/>
    </row>
    <row r="7378" spans="3:7">
      <c r="C7378" s="319"/>
      <c r="D7378" s="319"/>
      <c r="G7378" s="320"/>
    </row>
    <row r="7379" spans="3:7">
      <c r="C7379" s="319"/>
      <c r="D7379" s="319"/>
      <c r="G7379" s="320"/>
    </row>
    <row r="7380" spans="3:7">
      <c r="C7380" s="319"/>
      <c r="D7380" s="319"/>
      <c r="G7380" s="320"/>
    </row>
    <row r="7381" spans="3:4">
      <c r="C7381" s="319"/>
      <c r="D7381" s="319"/>
    </row>
    <row r="7382" spans="3:4">
      <c r="C7382" s="319"/>
      <c r="D7382" s="319"/>
    </row>
    <row r="7383" spans="3:7">
      <c r="C7383" s="319"/>
      <c r="D7383" s="319"/>
      <c r="G7383" s="320"/>
    </row>
    <row r="7384" spans="3:4">
      <c r="C7384" s="319"/>
      <c r="D7384" s="319"/>
    </row>
    <row r="7385" spans="3:4">
      <c r="C7385" s="319"/>
      <c r="D7385" s="319"/>
    </row>
    <row r="7386" spans="3:7">
      <c r="C7386" s="319"/>
      <c r="D7386" s="319"/>
      <c r="G7386" s="320"/>
    </row>
    <row r="7387" spans="3:7">
      <c r="C7387" s="319"/>
      <c r="D7387" s="319"/>
      <c r="G7387" s="320"/>
    </row>
    <row r="7388" spans="3:4">
      <c r="C7388" s="319"/>
      <c r="D7388" s="319"/>
    </row>
    <row r="7389" spans="3:7">
      <c r="C7389" s="319"/>
      <c r="D7389" s="319"/>
      <c r="G7389" s="320"/>
    </row>
    <row r="7390" spans="3:7">
      <c r="C7390" s="319"/>
      <c r="D7390" s="319"/>
      <c r="G7390" s="320"/>
    </row>
    <row r="7391" spans="3:4">
      <c r="C7391" s="319"/>
      <c r="D7391" s="319"/>
    </row>
    <row r="7392" spans="3:7">
      <c r="C7392" s="319"/>
      <c r="D7392" s="319"/>
      <c r="G7392" s="320"/>
    </row>
    <row r="7393" spans="3:4">
      <c r="C7393" s="319"/>
      <c r="D7393" s="319"/>
    </row>
    <row r="7394" spans="3:7">
      <c r="C7394" s="319"/>
      <c r="D7394" s="319"/>
      <c r="G7394" s="320"/>
    </row>
    <row r="7395" spans="3:4">
      <c r="C7395" s="319"/>
      <c r="D7395" s="319"/>
    </row>
    <row r="7396" spans="3:7">
      <c r="C7396" s="319"/>
      <c r="D7396" s="319"/>
      <c r="G7396" s="320"/>
    </row>
    <row r="7397" spans="3:4">
      <c r="C7397" s="319"/>
      <c r="D7397" s="319"/>
    </row>
    <row r="7398" spans="3:4">
      <c r="C7398" s="319"/>
      <c r="D7398" s="319"/>
    </row>
    <row r="7399" spans="3:4">
      <c r="C7399" s="319"/>
      <c r="D7399" s="319"/>
    </row>
    <row r="7400" spans="3:7">
      <c r="C7400" s="319"/>
      <c r="D7400" s="319"/>
      <c r="G7400" s="320"/>
    </row>
    <row r="7401" spans="3:4">
      <c r="C7401" s="319"/>
      <c r="D7401" s="319"/>
    </row>
    <row r="7402" spans="3:4">
      <c r="C7402" s="319"/>
      <c r="D7402" s="319"/>
    </row>
    <row r="7403" spans="3:4">
      <c r="C7403" s="319"/>
      <c r="D7403" s="319"/>
    </row>
    <row r="7404" spans="3:7">
      <c r="C7404" s="319"/>
      <c r="D7404" s="319"/>
      <c r="G7404" s="320"/>
    </row>
    <row r="7405" spans="3:4">
      <c r="C7405" s="319"/>
      <c r="D7405" s="319"/>
    </row>
    <row r="7406" spans="3:7">
      <c r="C7406" s="319"/>
      <c r="D7406" s="319"/>
      <c r="G7406" s="320"/>
    </row>
    <row r="7407" spans="3:7">
      <c r="C7407" s="319"/>
      <c r="D7407" s="319"/>
      <c r="G7407" s="320"/>
    </row>
    <row r="7408" spans="3:7">
      <c r="C7408" s="319"/>
      <c r="D7408" s="319"/>
      <c r="G7408" s="320"/>
    </row>
    <row r="7409" spans="3:7">
      <c r="C7409" s="319"/>
      <c r="D7409" s="319"/>
      <c r="G7409" s="320"/>
    </row>
    <row r="7410" spans="3:4">
      <c r="C7410" s="319"/>
      <c r="D7410" s="319"/>
    </row>
    <row r="7411" spans="3:4">
      <c r="C7411" s="319"/>
      <c r="D7411" s="319"/>
    </row>
    <row r="7412" spans="3:7">
      <c r="C7412" s="319"/>
      <c r="D7412" s="319"/>
      <c r="G7412" s="320"/>
    </row>
    <row r="7413" spans="3:7">
      <c r="C7413" s="319"/>
      <c r="D7413" s="319"/>
      <c r="G7413" s="320"/>
    </row>
    <row r="7414" spans="3:4">
      <c r="C7414" s="319"/>
      <c r="D7414" s="319"/>
    </row>
    <row r="7415" spans="3:7">
      <c r="C7415" s="319"/>
      <c r="D7415" s="319"/>
      <c r="G7415" s="320"/>
    </row>
    <row r="7416" spans="3:7">
      <c r="C7416" s="319"/>
      <c r="D7416" s="319"/>
      <c r="G7416" s="320"/>
    </row>
    <row r="7417" spans="3:4">
      <c r="C7417" s="319"/>
      <c r="D7417" s="319"/>
    </row>
    <row r="7418" spans="3:7">
      <c r="C7418" s="319"/>
      <c r="D7418" s="319"/>
      <c r="G7418" s="320"/>
    </row>
    <row r="7419" spans="3:4">
      <c r="C7419" s="319"/>
      <c r="D7419" s="319"/>
    </row>
    <row r="7420" spans="3:4">
      <c r="C7420" s="319"/>
      <c r="D7420" s="319"/>
    </row>
    <row r="7421" spans="3:7">
      <c r="C7421" s="319"/>
      <c r="D7421" s="319"/>
      <c r="G7421" s="320"/>
    </row>
    <row r="7422" spans="3:7">
      <c r="C7422" s="319"/>
      <c r="D7422" s="319"/>
      <c r="G7422" s="320"/>
    </row>
    <row r="7423" spans="3:7">
      <c r="C7423" s="319"/>
      <c r="D7423" s="319"/>
      <c r="G7423" s="320"/>
    </row>
    <row r="7424" spans="3:4">
      <c r="C7424" s="319"/>
      <c r="D7424" s="319"/>
    </row>
    <row r="7425" spans="3:4">
      <c r="C7425" s="319"/>
      <c r="D7425" s="319"/>
    </row>
    <row r="7426" spans="3:4">
      <c r="C7426" s="319"/>
      <c r="D7426" s="319"/>
    </row>
    <row r="7427" spans="3:7">
      <c r="C7427" s="319"/>
      <c r="D7427" s="319"/>
      <c r="G7427" s="320"/>
    </row>
    <row r="7428" spans="3:4">
      <c r="C7428" s="319"/>
      <c r="D7428" s="319"/>
    </row>
    <row r="7429" spans="3:4">
      <c r="C7429" s="319"/>
      <c r="D7429" s="319"/>
    </row>
    <row r="7430" spans="3:4">
      <c r="C7430" s="319"/>
      <c r="D7430" s="319"/>
    </row>
    <row r="7431" spans="3:7">
      <c r="C7431" s="319"/>
      <c r="D7431" s="319"/>
      <c r="G7431" s="320"/>
    </row>
    <row r="7432" spans="3:4">
      <c r="C7432" s="319"/>
      <c r="D7432" s="319"/>
    </row>
    <row r="7433" spans="3:7">
      <c r="C7433" s="319"/>
      <c r="D7433" s="319"/>
      <c r="G7433" s="320"/>
    </row>
    <row r="7434" spans="3:4">
      <c r="C7434" s="319"/>
      <c r="D7434" s="319"/>
    </row>
    <row r="7435" spans="3:4">
      <c r="C7435" s="319"/>
      <c r="D7435" s="319"/>
    </row>
    <row r="7436" spans="3:4">
      <c r="C7436" s="319"/>
      <c r="D7436" s="319"/>
    </row>
    <row r="7437" spans="3:7">
      <c r="C7437" s="319"/>
      <c r="D7437" s="319"/>
      <c r="G7437" s="320"/>
    </row>
    <row r="7438" spans="3:4">
      <c r="C7438" s="319"/>
      <c r="D7438" s="319"/>
    </row>
    <row r="7439" spans="3:7">
      <c r="C7439" s="319"/>
      <c r="D7439" s="319"/>
      <c r="G7439" s="320"/>
    </row>
    <row r="7440" spans="3:7">
      <c r="C7440" s="319"/>
      <c r="D7440" s="319"/>
      <c r="G7440" s="320"/>
    </row>
    <row r="7441" spans="3:4">
      <c r="C7441" s="319"/>
      <c r="D7441" s="319"/>
    </row>
    <row r="7442" spans="3:4">
      <c r="C7442" s="319"/>
      <c r="D7442" s="319"/>
    </row>
    <row r="7443" spans="3:4">
      <c r="C7443" s="319"/>
      <c r="D7443" s="319"/>
    </row>
    <row r="7444" spans="3:4">
      <c r="C7444" s="319"/>
      <c r="D7444" s="319"/>
    </row>
    <row r="7445" spans="3:7">
      <c r="C7445" s="319"/>
      <c r="D7445" s="319"/>
      <c r="G7445" s="320"/>
    </row>
    <row r="7446" spans="3:4">
      <c r="C7446" s="319"/>
      <c r="D7446" s="319"/>
    </row>
    <row r="7447" spans="3:4">
      <c r="C7447" s="319"/>
      <c r="D7447" s="319"/>
    </row>
    <row r="7448" spans="3:4">
      <c r="C7448" s="319"/>
      <c r="D7448" s="319"/>
    </row>
    <row r="7449" spans="3:7">
      <c r="C7449" s="319"/>
      <c r="D7449" s="319"/>
      <c r="G7449" s="320"/>
    </row>
    <row r="7450" spans="3:4">
      <c r="C7450" s="319"/>
      <c r="D7450" s="319"/>
    </row>
    <row r="7451" spans="3:7">
      <c r="C7451" s="319"/>
      <c r="D7451" s="319"/>
      <c r="G7451" s="320"/>
    </row>
    <row r="7452" spans="3:4">
      <c r="C7452" s="319"/>
      <c r="D7452" s="319"/>
    </row>
    <row r="7453" spans="3:7">
      <c r="C7453" s="319"/>
      <c r="D7453" s="319"/>
      <c r="G7453" s="320"/>
    </row>
    <row r="7454" spans="3:4">
      <c r="C7454" s="319"/>
      <c r="D7454" s="319"/>
    </row>
    <row r="7455" spans="3:4">
      <c r="C7455" s="319"/>
      <c r="D7455" s="319"/>
    </row>
    <row r="7456" spans="3:4">
      <c r="C7456" s="319"/>
      <c r="D7456" s="319"/>
    </row>
    <row r="7457" spans="3:4">
      <c r="C7457" s="319"/>
      <c r="D7457" s="319"/>
    </row>
    <row r="7458" spans="3:4">
      <c r="C7458" s="319"/>
      <c r="D7458" s="319"/>
    </row>
    <row r="7459" spans="3:4">
      <c r="C7459" s="319"/>
      <c r="D7459" s="319"/>
    </row>
    <row r="7460" spans="3:7">
      <c r="C7460" s="319"/>
      <c r="D7460" s="319"/>
      <c r="G7460" s="320"/>
    </row>
    <row r="7461" spans="3:4">
      <c r="C7461" s="319"/>
      <c r="D7461" s="319"/>
    </row>
    <row r="7462" spans="3:7">
      <c r="C7462" s="319"/>
      <c r="D7462" s="319"/>
      <c r="G7462" s="320"/>
    </row>
    <row r="7463" spans="3:4">
      <c r="C7463" s="319"/>
      <c r="D7463" s="319"/>
    </row>
    <row r="7464" spans="3:4">
      <c r="C7464" s="319"/>
      <c r="D7464" s="319"/>
    </row>
    <row r="7465" spans="3:4">
      <c r="C7465" s="319"/>
      <c r="D7465" s="319"/>
    </row>
    <row r="7466" spans="3:7">
      <c r="C7466" s="319"/>
      <c r="D7466" s="319"/>
      <c r="G7466" s="320"/>
    </row>
    <row r="7467" spans="3:7">
      <c r="C7467" s="319"/>
      <c r="D7467" s="319"/>
      <c r="G7467" s="320"/>
    </row>
    <row r="7468" spans="3:7">
      <c r="C7468" s="319"/>
      <c r="D7468" s="319"/>
      <c r="G7468" s="320"/>
    </row>
    <row r="7469" spans="3:4">
      <c r="C7469" s="319"/>
      <c r="D7469" s="319"/>
    </row>
    <row r="7470" spans="3:4">
      <c r="C7470" s="319"/>
      <c r="D7470" s="319"/>
    </row>
    <row r="7471" spans="3:4">
      <c r="C7471" s="319"/>
      <c r="D7471" s="319"/>
    </row>
    <row r="7472" spans="3:4">
      <c r="C7472" s="319"/>
      <c r="D7472" s="319"/>
    </row>
    <row r="7473" spans="3:4">
      <c r="C7473" s="319"/>
      <c r="D7473" s="319"/>
    </row>
    <row r="7474" spans="3:7">
      <c r="C7474" s="319"/>
      <c r="D7474" s="319"/>
      <c r="G7474" s="320"/>
    </row>
    <row r="7475" spans="3:4">
      <c r="C7475" s="319"/>
      <c r="D7475" s="319"/>
    </row>
    <row r="7476" spans="3:4">
      <c r="C7476" s="319"/>
      <c r="D7476" s="319"/>
    </row>
    <row r="7477" spans="3:4">
      <c r="C7477" s="319"/>
      <c r="D7477" s="319"/>
    </row>
    <row r="7478" spans="3:4">
      <c r="C7478" s="319"/>
      <c r="D7478" s="319"/>
    </row>
    <row r="7479" spans="3:4">
      <c r="C7479" s="319"/>
      <c r="D7479" s="319"/>
    </row>
    <row r="7480" spans="3:4">
      <c r="C7480" s="319"/>
      <c r="D7480" s="319"/>
    </row>
    <row r="7481" spans="3:7">
      <c r="C7481" s="319"/>
      <c r="D7481" s="319"/>
      <c r="G7481" s="320"/>
    </row>
    <row r="7482" spans="3:7">
      <c r="C7482" s="319"/>
      <c r="D7482" s="319"/>
      <c r="G7482" s="320"/>
    </row>
    <row r="7483" spans="3:7">
      <c r="C7483" s="319"/>
      <c r="D7483" s="319"/>
      <c r="G7483" s="320"/>
    </row>
    <row r="7484" spans="3:7">
      <c r="C7484" s="319"/>
      <c r="D7484" s="319"/>
      <c r="G7484" s="320"/>
    </row>
    <row r="7485" spans="3:7">
      <c r="C7485" s="319"/>
      <c r="D7485" s="319"/>
      <c r="G7485" s="320"/>
    </row>
    <row r="7486" spans="3:7">
      <c r="C7486" s="319"/>
      <c r="D7486" s="319"/>
      <c r="G7486" s="320"/>
    </row>
    <row r="7487" spans="3:7">
      <c r="C7487" s="319"/>
      <c r="D7487" s="319"/>
      <c r="G7487" s="320"/>
    </row>
    <row r="7488" spans="3:4">
      <c r="C7488" s="319"/>
      <c r="D7488" s="319"/>
    </row>
    <row r="7489" spans="3:4">
      <c r="C7489" s="319"/>
      <c r="D7489" s="319"/>
    </row>
    <row r="7490" spans="3:4">
      <c r="C7490" s="319"/>
      <c r="D7490" s="319"/>
    </row>
    <row r="7491" spans="3:4">
      <c r="C7491" s="319"/>
      <c r="D7491" s="319"/>
    </row>
    <row r="7492" spans="3:4">
      <c r="C7492" s="319"/>
      <c r="D7492" s="319"/>
    </row>
    <row r="7493" spans="3:4">
      <c r="C7493" s="319"/>
      <c r="D7493" s="319"/>
    </row>
    <row r="7494" spans="3:4">
      <c r="C7494" s="319"/>
      <c r="D7494" s="319"/>
    </row>
    <row r="7495" spans="3:4">
      <c r="C7495" s="319"/>
      <c r="D7495" s="319"/>
    </row>
    <row r="7496" spans="3:4">
      <c r="C7496" s="319"/>
      <c r="D7496" s="319"/>
    </row>
    <row r="7497" spans="3:7">
      <c r="C7497" s="319"/>
      <c r="D7497" s="319"/>
      <c r="G7497" s="320"/>
    </row>
    <row r="7498" spans="3:7">
      <c r="C7498" s="319"/>
      <c r="D7498" s="319"/>
      <c r="G7498" s="320"/>
    </row>
    <row r="7499" spans="3:7">
      <c r="C7499" s="319"/>
      <c r="D7499" s="319"/>
      <c r="G7499" s="320"/>
    </row>
    <row r="7500" spans="3:7">
      <c r="C7500" s="319"/>
      <c r="D7500" s="319"/>
      <c r="G7500" s="320"/>
    </row>
    <row r="7501" spans="3:4">
      <c r="C7501" s="319"/>
      <c r="D7501" s="319"/>
    </row>
    <row r="7502" spans="3:7">
      <c r="C7502" s="319"/>
      <c r="D7502" s="319"/>
      <c r="G7502" s="320"/>
    </row>
    <row r="7503" spans="3:7">
      <c r="C7503" s="319"/>
      <c r="D7503" s="319"/>
      <c r="G7503" s="320"/>
    </row>
    <row r="7504" spans="3:7">
      <c r="C7504" s="319"/>
      <c r="D7504" s="319"/>
      <c r="G7504" s="320"/>
    </row>
    <row r="7505" spans="3:4">
      <c r="C7505" s="319"/>
      <c r="D7505" s="319"/>
    </row>
    <row r="7506" spans="3:4">
      <c r="C7506" s="319"/>
      <c r="D7506" s="319"/>
    </row>
    <row r="7507" spans="3:7">
      <c r="C7507" s="319"/>
      <c r="D7507" s="319"/>
      <c r="G7507" s="320"/>
    </row>
    <row r="7508" spans="3:4">
      <c r="C7508" s="319"/>
      <c r="D7508" s="319"/>
    </row>
    <row r="7509" spans="3:4">
      <c r="C7509" s="319"/>
      <c r="D7509" s="319"/>
    </row>
    <row r="7510" spans="3:7">
      <c r="C7510" s="319"/>
      <c r="D7510" s="319"/>
      <c r="G7510" s="320"/>
    </row>
    <row r="7511" spans="3:7">
      <c r="C7511" s="319"/>
      <c r="D7511" s="319"/>
      <c r="G7511" s="320"/>
    </row>
    <row r="7512" spans="3:7">
      <c r="C7512" s="319"/>
      <c r="D7512" s="319"/>
      <c r="G7512" s="320"/>
    </row>
    <row r="7513" spans="3:4">
      <c r="C7513" s="319"/>
      <c r="D7513" s="319"/>
    </row>
    <row r="7514" spans="3:4">
      <c r="C7514" s="319"/>
      <c r="D7514" s="319"/>
    </row>
    <row r="7515" spans="3:4">
      <c r="C7515" s="319"/>
      <c r="D7515" s="319"/>
    </row>
    <row r="7516" spans="3:7">
      <c r="C7516" s="319"/>
      <c r="D7516" s="319"/>
      <c r="G7516" s="320"/>
    </row>
    <row r="7517" spans="3:4">
      <c r="C7517" s="319"/>
      <c r="D7517" s="319"/>
    </row>
    <row r="7518" spans="3:4">
      <c r="C7518" s="319"/>
      <c r="D7518" s="319"/>
    </row>
    <row r="7519" spans="3:4">
      <c r="C7519" s="319"/>
      <c r="D7519" s="319"/>
    </row>
    <row r="7520" spans="3:4">
      <c r="C7520" s="319"/>
      <c r="D7520" s="319"/>
    </row>
    <row r="7521" spans="3:4">
      <c r="C7521" s="319"/>
      <c r="D7521" s="319"/>
    </row>
    <row r="7522" spans="3:7">
      <c r="C7522" s="319"/>
      <c r="D7522" s="319"/>
      <c r="G7522" s="320"/>
    </row>
    <row r="7523" spans="3:4">
      <c r="C7523" s="319"/>
      <c r="D7523" s="319"/>
    </row>
    <row r="7524" spans="3:4">
      <c r="C7524" s="319"/>
      <c r="D7524" s="319"/>
    </row>
    <row r="7525" spans="3:7">
      <c r="C7525" s="319"/>
      <c r="D7525" s="319"/>
      <c r="G7525" s="320"/>
    </row>
    <row r="7526" spans="3:7">
      <c r="C7526" s="319"/>
      <c r="D7526" s="319"/>
      <c r="G7526" s="320"/>
    </row>
    <row r="7527" spans="3:7">
      <c r="C7527" s="319"/>
      <c r="D7527" s="319"/>
      <c r="G7527" s="320"/>
    </row>
    <row r="7528" spans="3:7">
      <c r="C7528" s="319"/>
      <c r="D7528" s="319"/>
      <c r="G7528" s="320"/>
    </row>
    <row r="7529" spans="3:4">
      <c r="C7529" s="319"/>
      <c r="D7529" s="319"/>
    </row>
    <row r="7530" spans="3:7">
      <c r="C7530" s="319"/>
      <c r="D7530" s="319"/>
      <c r="G7530" s="320"/>
    </row>
    <row r="7531" spans="3:7">
      <c r="C7531" s="319"/>
      <c r="D7531" s="319"/>
      <c r="G7531" s="320"/>
    </row>
    <row r="7532" spans="3:7">
      <c r="C7532" s="319"/>
      <c r="D7532" s="319"/>
      <c r="G7532" s="320"/>
    </row>
    <row r="7533" spans="3:4">
      <c r="C7533" s="319"/>
      <c r="D7533" s="319"/>
    </row>
    <row r="7534" spans="3:7">
      <c r="C7534" s="319"/>
      <c r="D7534" s="319"/>
      <c r="G7534" s="320"/>
    </row>
    <row r="7535" spans="3:7">
      <c r="C7535" s="319"/>
      <c r="D7535" s="319"/>
      <c r="G7535" s="320"/>
    </row>
    <row r="7536" spans="3:4">
      <c r="C7536" s="319"/>
      <c r="D7536" s="319"/>
    </row>
    <row r="7537" spans="3:4">
      <c r="C7537" s="319"/>
      <c r="D7537" s="319"/>
    </row>
    <row r="7538" spans="3:7">
      <c r="C7538" s="319"/>
      <c r="D7538" s="319"/>
      <c r="G7538" s="320"/>
    </row>
    <row r="7539" spans="3:4">
      <c r="C7539" s="319"/>
      <c r="D7539" s="319"/>
    </row>
    <row r="7540" spans="3:4">
      <c r="C7540" s="319"/>
      <c r="D7540" s="319"/>
    </row>
    <row r="7541" spans="3:7">
      <c r="C7541" s="319"/>
      <c r="D7541" s="319"/>
      <c r="G7541" s="320"/>
    </row>
    <row r="7542" spans="3:4">
      <c r="C7542" s="319"/>
      <c r="D7542" s="319"/>
    </row>
    <row r="7543" spans="3:4">
      <c r="C7543" s="319"/>
      <c r="D7543" s="319"/>
    </row>
    <row r="7544" spans="3:4">
      <c r="C7544" s="319"/>
      <c r="D7544" s="319"/>
    </row>
    <row r="7545" spans="3:7">
      <c r="C7545" s="319"/>
      <c r="D7545" s="319"/>
      <c r="G7545" s="320"/>
    </row>
    <row r="7546" spans="3:4">
      <c r="C7546" s="319"/>
      <c r="D7546" s="319"/>
    </row>
    <row r="7547" spans="3:4">
      <c r="C7547" s="319"/>
      <c r="D7547" s="319"/>
    </row>
    <row r="7548" spans="3:7">
      <c r="C7548" s="319"/>
      <c r="D7548" s="319"/>
      <c r="G7548" s="320"/>
    </row>
    <row r="7549" spans="3:7">
      <c r="C7549" s="319"/>
      <c r="D7549" s="319"/>
      <c r="G7549" s="320"/>
    </row>
    <row r="7550" spans="3:7">
      <c r="C7550" s="319"/>
      <c r="D7550" s="319"/>
      <c r="G7550" s="320"/>
    </row>
    <row r="7551" spans="3:7">
      <c r="C7551" s="319"/>
      <c r="D7551" s="319"/>
      <c r="G7551" s="320"/>
    </row>
    <row r="7552" spans="3:7">
      <c r="C7552" s="319"/>
      <c r="D7552" s="319"/>
      <c r="G7552" s="320"/>
    </row>
    <row r="7553" spans="3:4">
      <c r="C7553" s="319"/>
      <c r="D7553" s="319"/>
    </row>
    <row r="7554" spans="3:4">
      <c r="C7554" s="319"/>
      <c r="D7554" s="319"/>
    </row>
    <row r="7555" spans="3:7">
      <c r="C7555" s="319"/>
      <c r="D7555" s="319"/>
      <c r="G7555" s="320"/>
    </row>
    <row r="7556" spans="3:7">
      <c r="C7556" s="319"/>
      <c r="D7556" s="319"/>
      <c r="G7556" s="320"/>
    </row>
    <row r="7557" spans="3:4">
      <c r="C7557" s="319"/>
      <c r="D7557" s="319"/>
    </row>
    <row r="7558" spans="3:7">
      <c r="C7558" s="319"/>
      <c r="D7558" s="319"/>
      <c r="G7558" s="320"/>
    </row>
    <row r="7559" spans="3:4">
      <c r="C7559" s="319"/>
      <c r="D7559" s="319"/>
    </row>
    <row r="7560" spans="3:4">
      <c r="C7560" s="319"/>
      <c r="D7560" s="319"/>
    </row>
    <row r="7561" spans="3:4">
      <c r="C7561" s="319"/>
      <c r="D7561" s="319"/>
    </row>
    <row r="7562" spans="3:4">
      <c r="C7562" s="319"/>
      <c r="D7562" s="319"/>
    </row>
    <row r="7563" spans="3:7">
      <c r="C7563" s="319"/>
      <c r="D7563" s="319"/>
      <c r="G7563" s="320"/>
    </row>
    <row r="7564" spans="3:7">
      <c r="C7564" s="319"/>
      <c r="D7564" s="319"/>
      <c r="G7564" s="320"/>
    </row>
    <row r="7565" spans="3:7">
      <c r="C7565" s="319"/>
      <c r="D7565" s="319"/>
      <c r="G7565" s="320"/>
    </row>
    <row r="7566" spans="3:7">
      <c r="C7566" s="319"/>
      <c r="D7566" s="319"/>
      <c r="G7566" s="320"/>
    </row>
    <row r="7567" spans="3:7">
      <c r="C7567" s="319"/>
      <c r="D7567" s="319"/>
      <c r="G7567" s="320"/>
    </row>
    <row r="7568" spans="3:7">
      <c r="C7568" s="319"/>
      <c r="D7568" s="319"/>
      <c r="G7568" s="320"/>
    </row>
    <row r="7569" spans="3:4">
      <c r="C7569" s="319"/>
      <c r="D7569" s="319"/>
    </row>
    <row r="7570" spans="3:4">
      <c r="C7570" s="319"/>
      <c r="D7570" s="319"/>
    </row>
    <row r="7571" spans="3:7">
      <c r="C7571" s="319"/>
      <c r="D7571" s="319"/>
      <c r="G7571" s="320"/>
    </row>
    <row r="7572" spans="3:7">
      <c r="C7572" s="319"/>
      <c r="D7572" s="319"/>
      <c r="G7572" s="320"/>
    </row>
    <row r="7573" spans="3:7">
      <c r="C7573" s="319"/>
      <c r="D7573" s="319"/>
      <c r="G7573" s="320"/>
    </row>
    <row r="7574" spans="3:7">
      <c r="C7574" s="319"/>
      <c r="D7574" s="319"/>
      <c r="G7574" s="320"/>
    </row>
    <row r="7575" spans="3:7">
      <c r="C7575" s="319"/>
      <c r="D7575" s="319"/>
      <c r="G7575" s="320"/>
    </row>
    <row r="7576" spans="3:7">
      <c r="C7576" s="319"/>
      <c r="D7576" s="319"/>
      <c r="G7576" s="320"/>
    </row>
    <row r="7577" spans="3:4">
      <c r="C7577" s="319"/>
      <c r="D7577" s="319"/>
    </row>
    <row r="7578" spans="3:4">
      <c r="C7578" s="319"/>
      <c r="D7578" s="319"/>
    </row>
    <row r="7579" spans="3:4">
      <c r="C7579" s="319"/>
      <c r="D7579" s="319"/>
    </row>
    <row r="7580" spans="3:4">
      <c r="C7580" s="319"/>
      <c r="D7580" s="319"/>
    </row>
    <row r="7581" spans="3:4">
      <c r="C7581" s="319"/>
      <c r="D7581" s="319"/>
    </row>
    <row r="7582" spans="3:7">
      <c r="C7582" s="319"/>
      <c r="D7582" s="319"/>
      <c r="G7582" s="320"/>
    </row>
    <row r="7583" spans="3:4">
      <c r="C7583" s="319"/>
      <c r="D7583" s="319"/>
    </row>
    <row r="7584" spans="3:4">
      <c r="C7584" s="319"/>
      <c r="D7584" s="319"/>
    </row>
    <row r="7585" spans="3:4">
      <c r="C7585" s="319"/>
      <c r="D7585" s="319"/>
    </row>
    <row r="7586" spans="3:7">
      <c r="C7586" s="319"/>
      <c r="D7586" s="319"/>
      <c r="G7586" s="320"/>
    </row>
    <row r="7587" spans="3:7">
      <c r="C7587" s="319"/>
      <c r="D7587" s="319"/>
      <c r="G7587" s="320"/>
    </row>
    <row r="7588" spans="3:4">
      <c r="C7588" s="319"/>
      <c r="D7588" s="319"/>
    </row>
    <row r="7589" spans="3:4">
      <c r="C7589" s="319"/>
      <c r="D7589" s="319"/>
    </row>
    <row r="7590" spans="3:7">
      <c r="C7590" s="319"/>
      <c r="D7590" s="319"/>
      <c r="G7590" s="320"/>
    </row>
    <row r="7591" spans="3:4">
      <c r="C7591" s="319"/>
      <c r="D7591" s="319"/>
    </row>
    <row r="7592" spans="3:7">
      <c r="C7592" s="319"/>
      <c r="D7592" s="319"/>
      <c r="G7592" s="320"/>
    </row>
    <row r="7593" spans="3:7">
      <c r="C7593" s="319"/>
      <c r="D7593" s="319"/>
      <c r="G7593" s="320"/>
    </row>
    <row r="7594" spans="3:4">
      <c r="C7594" s="319"/>
      <c r="D7594" s="319"/>
    </row>
    <row r="7595" spans="3:7">
      <c r="C7595" s="319"/>
      <c r="D7595" s="319"/>
      <c r="G7595" s="320"/>
    </row>
    <row r="7596" spans="3:4">
      <c r="C7596" s="319"/>
      <c r="D7596" s="319"/>
    </row>
    <row r="7597" spans="3:4">
      <c r="C7597" s="319"/>
      <c r="D7597" s="319"/>
    </row>
    <row r="7598" spans="3:7">
      <c r="C7598" s="319"/>
      <c r="D7598" s="319"/>
      <c r="G7598" s="320"/>
    </row>
    <row r="7599" spans="3:7">
      <c r="C7599" s="319"/>
      <c r="D7599" s="319"/>
      <c r="G7599" s="320"/>
    </row>
    <row r="7600" spans="3:4">
      <c r="C7600" s="319"/>
      <c r="D7600" s="319"/>
    </row>
    <row r="7601" spans="3:7">
      <c r="C7601" s="319"/>
      <c r="D7601" s="319"/>
      <c r="G7601" s="320"/>
    </row>
    <row r="7602" spans="3:4">
      <c r="C7602" s="319"/>
      <c r="D7602" s="319"/>
    </row>
    <row r="7603" spans="3:7">
      <c r="C7603" s="319"/>
      <c r="D7603" s="319"/>
      <c r="G7603" s="320"/>
    </row>
    <row r="7604" spans="3:7">
      <c r="C7604" s="319"/>
      <c r="D7604" s="319"/>
      <c r="G7604" s="320"/>
    </row>
    <row r="7605" spans="3:7">
      <c r="C7605" s="319"/>
      <c r="D7605" s="319"/>
      <c r="G7605" s="320"/>
    </row>
    <row r="7606" spans="3:4">
      <c r="C7606" s="319"/>
      <c r="D7606" s="319"/>
    </row>
    <row r="7607" spans="3:4">
      <c r="C7607" s="319"/>
      <c r="D7607" s="319"/>
    </row>
    <row r="7608" spans="3:4">
      <c r="C7608" s="319"/>
      <c r="D7608" s="319"/>
    </row>
    <row r="7609" spans="3:4">
      <c r="C7609" s="319"/>
      <c r="D7609" s="319"/>
    </row>
    <row r="7610" spans="3:4">
      <c r="C7610" s="319"/>
      <c r="D7610" s="319"/>
    </row>
    <row r="7611" spans="3:4">
      <c r="C7611" s="319"/>
      <c r="D7611" s="319"/>
    </row>
    <row r="7612" spans="3:4">
      <c r="C7612" s="319"/>
      <c r="D7612" s="319"/>
    </row>
    <row r="7613" spans="3:7">
      <c r="C7613" s="319"/>
      <c r="D7613" s="319"/>
      <c r="G7613" s="320"/>
    </row>
    <row r="7614" spans="3:7">
      <c r="C7614" s="319"/>
      <c r="D7614" s="319"/>
      <c r="G7614" s="320"/>
    </row>
    <row r="7615" spans="3:7">
      <c r="C7615" s="319"/>
      <c r="D7615" s="319"/>
      <c r="G7615" s="320"/>
    </row>
    <row r="7616" spans="3:7">
      <c r="C7616" s="319"/>
      <c r="D7616" s="319"/>
      <c r="G7616" s="320"/>
    </row>
    <row r="7617" spans="3:7">
      <c r="C7617" s="319"/>
      <c r="D7617" s="319"/>
      <c r="G7617" s="320"/>
    </row>
    <row r="7618" spans="3:7">
      <c r="C7618" s="319"/>
      <c r="D7618" s="319"/>
      <c r="G7618" s="320"/>
    </row>
    <row r="7619" spans="3:4">
      <c r="C7619" s="319"/>
      <c r="D7619" s="319"/>
    </row>
    <row r="7620" spans="3:4">
      <c r="C7620" s="319"/>
      <c r="D7620" s="319"/>
    </row>
    <row r="7621" spans="3:7">
      <c r="C7621" s="319"/>
      <c r="D7621" s="319"/>
      <c r="G7621" s="320"/>
    </row>
    <row r="7622" spans="3:4">
      <c r="C7622" s="319"/>
      <c r="D7622" s="319"/>
    </row>
    <row r="7623" spans="3:4">
      <c r="C7623" s="319"/>
      <c r="D7623" s="319"/>
    </row>
    <row r="7624" spans="3:4">
      <c r="C7624" s="319"/>
      <c r="D7624" s="319"/>
    </row>
    <row r="7625" spans="3:4">
      <c r="C7625" s="319"/>
      <c r="D7625" s="319"/>
    </row>
    <row r="7626" spans="3:4">
      <c r="C7626" s="319"/>
      <c r="D7626" s="319"/>
    </row>
    <row r="7627" spans="3:7">
      <c r="C7627" s="319"/>
      <c r="D7627" s="319"/>
      <c r="G7627" s="320"/>
    </row>
    <row r="7628" spans="3:7">
      <c r="C7628" s="319"/>
      <c r="D7628" s="319"/>
      <c r="G7628" s="320"/>
    </row>
    <row r="7629" spans="3:7">
      <c r="C7629" s="319"/>
      <c r="D7629" s="319"/>
      <c r="G7629" s="320"/>
    </row>
    <row r="7630" spans="3:7">
      <c r="C7630" s="319"/>
      <c r="D7630" s="319"/>
      <c r="G7630" s="320"/>
    </row>
    <row r="7631" spans="3:4">
      <c r="C7631" s="319"/>
      <c r="D7631" s="319"/>
    </row>
    <row r="7632" spans="3:4">
      <c r="C7632" s="319"/>
      <c r="D7632" s="319"/>
    </row>
    <row r="7633" spans="3:7">
      <c r="C7633" s="319"/>
      <c r="D7633" s="319"/>
      <c r="G7633" s="320"/>
    </row>
    <row r="7634" spans="3:4">
      <c r="C7634" s="319"/>
      <c r="D7634" s="319"/>
    </row>
    <row r="7635" spans="3:4">
      <c r="C7635" s="319"/>
      <c r="D7635" s="319"/>
    </row>
    <row r="7636" spans="3:4">
      <c r="C7636" s="319"/>
      <c r="D7636" s="319"/>
    </row>
    <row r="7637" spans="3:7">
      <c r="C7637" s="319"/>
      <c r="D7637" s="319"/>
      <c r="G7637" s="320"/>
    </row>
    <row r="7638" spans="3:7">
      <c r="C7638" s="319"/>
      <c r="D7638" s="319"/>
      <c r="G7638" s="320"/>
    </row>
    <row r="7639" spans="3:7">
      <c r="C7639" s="319"/>
      <c r="D7639" s="319"/>
      <c r="G7639" s="320"/>
    </row>
    <row r="7640" spans="3:7">
      <c r="C7640" s="319"/>
      <c r="D7640" s="319"/>
      <c r="G7640" s="320"/>
    </row>
    <row r="7641" spans="3:7">
      <c r="C7641" s="319"/>
      <c r="D7641" s="319"/>
      <c r="G7641" s="320"/>
    </row>
    <row r="7642" spans="3:7">
      <c r="C7642" s="319"/>
      <c r="D7642" s="319"/>
      <c r="G7642" s="320"/>
    </row>
    <row r="7643" spans="3:4">
      <c r="C7643" s="319"/>
      <c r="D7643" s="319"/>
    </row>
    <row r="7644" spans="3:4">
      <c r="C7644" s="319"/>
      <c r="D7644" s="319"/>
    </row>
    <row r="7645" spans="3:4">
      <c r="C7645" s="319"/>
      <c r="D7645" s="319"/>
    </row>
    <row r="7646" spans="3:4">
      <c r="C7646" s="319"/>
      <c r="D7646" s="319"/>
    </row>
    <row r="7647" spans="3:4">
      <c r="C7647" s="319"/>
      <c r="D7647" s="319"/>
    </row>
    <row r="7648" spans="3:4">
      <c r="C7648" s="319"/>
      <c r="D7648" s="319"/>
    </row>
    <row r="7649" spans="3:4">
      <c r="C7649" s="319"/>
      <c r="D7649" s="319"/>
    </row>
    <row r="7650" spans="3:4">
      <c r="C7650" s="319"/>
      <c r="D7650" s="319"/>
    </row>
    <row r="7651" spans="3:4">
      <c r="C7651" s="319"/>
      <c r="D7651" s="319"/>
    </row>
    <row r="7652" spans="3:7">
      <c r="C7652" s="319"/>
      <c r="D7652" s="319"/>
      <c r="G7652" s="320"/>
    </row>
    <row r="7653" spans="3:4">
      <c r="C7653" s="319"/>
      <c r="D7653" s="319"/>
    </row>
    <row r="7654" spans="3:7">
      <c r="C7654" s="319"/>
      <c r="D7654" s="319"/>
      <c r="G7654" s="320"/>
    </row>
    <row r="7655" spans="3:7">
      <c r="C7655" s="319"/>
      <c r="D7655" s="319"/>
      <c r="G7655" s="320"/>
    </row>
    <row r="7656" spans="3:7">
      <c r="C7656" s="319"/>
      <c r="D7656" s="319"/>
      <c r="G7656" s="320"/>
    </row>
    <row r="7657" spans="3:4">
      <c r="C7657" s="319"/>
      <c r="D7657" s="319"/>
    </row>
    <row r="7658" spans="3:4">
      <c r="C7658" s="319"/>
      <c r="D7658" s="319"/>
    </row>
    <row r="7659" spans="3:7">
      <c r="C7659" s="319"/>
      <c r="D7659" s="319"/>
      <c r="G7659" s="320"/>
    </row>
    <row r="7660" spans="3:4">
      <c r="C7660" s="319"/>
      <c r="D7660" s="319"/>
    </row>
    <row r="7661" spans="3:7">
      <c r="C7661" s="319"/>
      <c r="D7661" s="319"/>
      <c r="G7661" s="320"/>
    </row>
    <row r="7662" spans="3:4">
      <c r="C7662" s="319"/>
      <c r="D7662" s="319"/>
    </row>
    <row r="7663" spans="3:4">
      <c r="C7663" s="319"/>
      <c r="D7663" s="319"/>
    </row>
    <row r="7664" spans="3:4">
      <c r="C7664" s="319"/>
      <c r="D7664" s="319"/>
    </row>
    <row r="7665" spans="3:4">
      <c r="C7665" s="319"/>
      <c r="D7665" s="319"/>
    </row>
    <row r="7666" spans="3:4">
      <c r="C7666" s="319"/>
      <c r="D7666" s="319"/>
    </row>
    <row r="7667" spans="3:4">
      <c r="C7667" s="319"/>
      <c r="D7667" s="319"/>
    </row>
    <row r="7668" spans="3:4">
      <c r="C7668" s="319"/>
      <c r="D7668" s="319"/>
    </row>
    <row r="7669" spans="3:4">
      <c r="C7669" s="319"/>
      <c r="D7669" s="319"/>
    </row>
    <row r="7670" spans="3:4">
      <c r="C7670" s="319"/>
      <c r="D7670" s="319"/>
    </row>
    <row r="7671" spans="3:4">
      <c r="C7671" s="319"/>
      <c r="D7671" s="319"/>
    </row>
    <row r="7672" spans="3:4">
      <c r="C7672" s="319"/>
      <c r="D7672" s="319"/>
    </row>
    <row r="7673" spans="3:4">
      <c r="C7673" s="319"/>
      <c r="D7673" s="319"/>
    </row>
    <row r="7674" spans="3:4">
      <c r="C7674" s="319"/>
      <c r="D7674" s="319"/>
    </row>
    <row r="7675" spans="3:4">
      <c r="C7675" s="319"/>
      <c r="D7675" s="319"/>
    </row>
    <row r="7676" spans="3:4">
      <c r="C7676" s="319"/>
      <c r="D7676" s="319"/>
    </row>
    <row r="7677" spans="3:7">
      <c r="C7677" s="319"/>
      <c r="D7677" s="319"/>
      <c r="G7677" s="320"/>
    </row>
    <row r="7678" spans="3:7">
      <c r="C7678" s="319"/>
      <c r="D7678" s="319"/>
      <c r="G7678" s="320"/>
    </row>
    <row r="7679" spans="3:7">
      <c r="C7679" s="319"/>
      <c r="D7679" s="319"/>
      <c r="G7679" s="320"/>
    </row>
    <row r="7680" spans="3:7">
      <c r="C7680" s="319"/>
      <c r="D7680" s="319"/>
      <c r="G7680" s="320"/>
    </row>
    <row r="7681" spans="3:7">
      <c r="C7681" s="319"/>
      <c r="D7681" s="319"/>
      <c r="G7681" s="320"/>
    </row>
    <row r="7682" spans="3:4">
      <c r="C7682" s="319"/>
      <c r="D7682" s="319"/>
    </row>
    <row r="7683" spans="3:7">
      <c r="C7683" s="319"/>
      <c r="D7683" s="319"/>
      <c r="G7683" s="320"/>
    </row>
    <row r="7684" spans="3:7">
      <c r="C7684" s="319"/>
      <c r="D7684" s="319"/>
      <c r="G7684" s="320"/>
    </row>
    <row r="7685" spans="3:7">
      <c r="C7685" s="319"/>
      <c r="D7685" s="319"/>
      <c r="G7685" s="320"/>
    </row>
    <row r="7686" spans="3:4">
      <c r="C7686" s="319"/>
      <c r="D7686" s="319"/>
    </row>
    <row r="7687" spans="3:7">
      <c r="C7687" s="319"/>
      <c r="D7687" s="319"/>
      <c r="G7687" s="320"/>
    </row>
    <row r="7688" spans="3:4">
      <c r="C7688" s="319"/>
      <c r="D7688" s="319"/>
    </row>
    <row r="7689" spans="3:4">
      <c r="C7689" s="319"/>
      <c r="D7689" s="319"/>
    </row>
    <row r="7690" spans="3:7">
      <c r="C7690" s="319"/>
      <c r="D7690" s="319"/>
      <c r="G7690" s="320"/>
    </row>
    <row r="7691" spans="3:4">
      <c r="C7691" s="319"/>
      <c r="D7691" s="319"/>
    </row>
    <row r="7692" spans="3:4">
      <c r="C7692" s="319"/>
      <c r="D7692" s="319"/>
    </row>
    <row r="7693" spans="3:7">
      <c r="C7693" s="319"/>
      <c r="D7693" s="319"/>
      <c r="G7693" s="320"/>
    </row>
    <row r="7694" spans="3:4">
      <c r="C7694" s="319"/>
      <c r="D7694" s="319"/>
    </row>
    <row r="7695" spans="3:4">
      <c r="C7695" s="319"/>
      <c r="D7695" s="319"/>
    </row>
    <row r="7696" spans="3:4">
      <c r="C7696" s="319"/>
      <c r="D7696" s="319"/>
    </row>
    <row r="7697" spans="3:7">
      <c r="C7697" s="319"/>
      <c r="D7697" s="319"/>
      <c r="G7697" s="320"/>
    </row>
    <row r="7698" spans="3:7">
      <c r="C7698" s="319"/>
      <c r="D7698" s="319"/>
      <c r="G7698" s="320"/>
    </row>
    <row r="7699" spans="3:7">
      <c r="C7699" s="319"/>
      <c r="D7699" s="319"/>
      <c r="G7699" s="320"/>
    </row>
    <row r="7700" spans="3:4">
      <c r="C7700" s="319"/>
      <c r="D7700" s="319"/>
    </row>
    <row r="7701" spans="3:7">
      <c r="C7701" s="319"/>
      <c r="D7701" s="319"/>
      <c r="G7701" s="320"/>
    </row>
    <row r="7702" spans="3:7">
      <c r="C7702" s="319"/>
      <c r="D7702" s="319"/>
      <c r="G7702" s="320"/>
    </row>
    <row r="7703" spans="3:7">
      <c r="C7703" s="319"/>
      <c r="D7703" s="319"/>
      <c r="G7703" s="320"/>
    </row>
    <row r="7704" spans="3:7">
      <c r="C7704" s="319"/>
      <c r="D7704" s="319"/>
      <c r="G7704" s="320"/>
    </row>
    <row r="7705" spans="3:7">
      <c r="C7705" s="319"/>
      <c r="D7705" s="319"/>
      <c r="G7705" s="320"/>
    </row>
    <row r="7706" spans="3:4">
      <c r="C7706" s="319"/>
      <c r="D7706" s="319"/>
    </row>
    <row r="7707" spans="3:4">
      <c r="C7707" s="319"/>
      <c r="D7707" s="319"/>
    </row>
    <row r="7708" spans="3:7">
      <c r="C7708" s="319"/>
      <c r="D7708" s="319"/>
      <c r="G7708" s="320"/>
    </row>
    <row r="7709" spans="3:4">
      <c r="C7709" s="319"/>
      <c r="D7709" s="319"/>
    </row>
    <row r="7710" spans="3:7">
      <c r="C7710" s="319"/>
      <c r="D7710" s="319"/>
      <c r="G7710" s="320"/>
    </row>
    <row r="7711" spans="3:7">
      <c r="C7711" s="319"/>
      <c r="D7711" s="319"/>
      <c r="G7711" s="320"/>
    </row>
    <row r="7712" spans="3:4">
      <c r="C7712" s="319"/>
      <c r="D7712" s="319"/>
    </row>
    <row r="7713" spans="3:7">
      <c r="C7713" s="319"/>
      <c r="D7713" s="319"/>
      <c r="G7713" s="320"/>
    </row>
    <row r="7714" spans="3:4">
      <c r="C7714" s="319"/>
      <c r="D7714" s="319"/>
    </row>
    <row r="7715" spans="3:7">
      <c r="C7715" s="319"/>
      <c r="D7715" s="319"/>
      <c r="G7715" s="320"/>
    </row>
    <row r="7716" spans="3:7">
      <c r="C7716" s="319"/>
      <c r="D7716" s="319"/>
      <c r="G7716" s="320"/>
    </row>
    <row r="7717" spans="3:4">
      <c r="C7717" s="319"/>
      <c r="D7717" s="319"/>
    </row>
    <row r="7718" spans="3:4">
      <c r="C7718" s="319"/>
      <c r="D7718" s="319"/>
    </row>
    <row r="7719" spans="3:4">
      <c r="C7719" s="319"/>
      <c r="D7719" s="319"/>
    </row>
    <row r="7720" spans="3:4">
      <c r="C7720" s="319"/>
      <c r="D7720" s="319"/>
    </row>
    <row r="7721" spans="3:7">
      <c r="C7721" s="319"/>
      <c r="D7721" s="319"/>
      <c r="G7721" s="320"/>
    </row>
    <row r="7722" spans="3:4">
      <c r="C7722" s="319"/>
      <c r="D7722" s="319"/>
    </row>
    <row r="7723" spans="3:7">
      <c r="C7723" s="319"/>
      <c r="D7723" s="319"/>
      <c r="G7723" s="320"/>
    </row>
    <row r="7724" spans="3:7">
      <c r="C7724" s="319"/>
      <c r="D7724" s="319"/>
      <c r="G7724" s="320"/>
    </row>
    <row r="7725" spans="3:4">
      <c r="C7725" s="319"/>
      <c r="D7725" s="319"/>
    </row>
    <row r="7726" spans="3:7">
      <c r="C7726" s="319"/>
      <c r="D7726" s="319"/>
      <c r="G7726" s="320"/>
    </row>
    <row r="7727" spans="3:7">
      <c r="C7727" s="319"/>
      <c r="D7727" s="319"/>
      <c r="G7727" s="320"/>
    </row>
    <row r="7728" spans="3:7">
      <c r="C7728" s="319"/>
      <c r="D7728" s="319"/>
      <c r="G7728" s="320"/>
    </row>
    <row r="7729" spans="3:7">
      <c r="C7729" s="319"/>
      <c r="D7729" s="319"/>
      <c r="G7729" s="320"/>
    </row>
    <row r="7730" spans="3:7">
      <c r="C7730" s="319"/>
      <c r="D7730" s="319"/>
      <c r="G7730" s="320"/>
    </row>
    <row r="7731" spans="3:7">
      <c r="C7731" s="319"/>
      <c r="D7731" s="319"/>
      <c r="G7731" s="320"/>
    </row>
    <row r="7732" spans="3:7">
      <c r="C7732" s="319"/>
      <c r="D7732" s="319"/>
      <c r="G7732" s="320"/>
    </row>
    <row r="7733" spans="3:7">
      <c r="C7733" s="319"/>
      <c r="D7733" s="319"/>
      <c r="G7733" s="320"/>
    </row>
    <row r="7734" spans="3:7">
      <c r="C7734" s="319"/>
      <c r="D7734" s="319"/>
      <c r="G7734" s="320"/>
    </row>
    <row r="7735" spans="3:7">
      <c r="C7735" s="319"/>
      <c r="D7735" s="319"/>
      <c r="G7735" s="320"/>
    </row>
    <row r="7736" spans="3:4">
      <c r="C7736" s="319"/>
      <c r="D7736" s="319"/>
    </row>
    <row r="7737" spans="3:4">
      <c r="C7737" s="319"/>
      <c r="D7737" s="319"/>
    </row>
    <row r="7738" spans="3:4">
      <c r="C7738" s="319"/>
      <c r="D7738" s="319"/>
    </row>
    <row r="7739" spans="3:4">
      <c r="C7739" s="319"/>
      <c r="D7739" s="319"/>
    </row>
    <row r="7740" spans="3:7">
      <c r="C7740" s="319"/>
      <c r="D7740" s="319"/>
      <c r="G7740" s="320"/>
    </row>
    <row r="7741" spans="3:4">
      <c r="C7741" s="319"/>
      <c r="D7741" s="319"/>
    </row>
    <row r="7742" spans="3:4">
      <c r="C7742" s="319"/>
      <c r="D7742" s="319"/>
    </row>
    <row r="7743" spans="3:4">
      <c r="C7743" s="319"/>
      <c r="D7743" s="319"/>
    </row>
    <row r="7744" spans="3:4">
      <c r="C7744" s="319"/>
      <c r="D7744" s="319"/>
    </row>
    <row r="7745" spans="3:4">
      <c r="C7745" s="319"/>
      <c r="D7745" s="319"/>
    </row>
    <row r="7746" spans="3:4">
      <c r="C7746" s="319"/>
      <c r="D7746" s="319"/>
    </row>
    <row r="7747" spans="3:7">
      <c r="C7747" s="319"/>
      <c r="D7747" s="319"/>
      <c r="G7747" s="320"/>
    </row>
    <row r="7748" spans="3:4">
      <c r="C7748" s="319"/>
      <c r="D7748" s="319"/>
    </row>
    <row r="7749" spans="3:4">
      <c r="C7749" s="319"/>
      <c r="D7749" s="319"/>
    </row>
    <row r="7750" spans="3:7">
      <c r="C7750" s="319"/>
      <c r="D7750" s="319"/>
      <c r="G7750" s="320"/>
    </row>
    <row r="7751" spans="3:7">
      <c r="C7751" s="319"/>
      <c r="D7751" s="319"/>
      <c r="G7751" s="320"/>
    </row>
    <row r="7752" spans="3:7">
      <c r="C7752" s="319"/>
      <c r="D7752" s="319"/>
      <c r="G7752" s="320"/>
    </row>
    <row r="7753" spans="3:7">
      <c r="C7753" s="319"/>
      <c r="D7753" s="319"/>
      <c r="G7753" s="320"/>
    </row>
    <row r="7754" spans="3:7">
      <c r="C7754" s="319"/>
      <c r="D7754" s="319"/>
      <c r="G7754" s="320"/>
    </row>
    <row r="7755" spans="3:7">
      <c r="C7755" s="319"/>
      <c r="D7755" s="319"/>
      <c r="G7755" s="320"/>
    </row>
    <row r="7756" spans="3:7">
      <c r="C7756" s="319"/>
      <c r="D7756" s="319"/>
      <c r="G7756" s="320"/>
    </row>
    <row r="7757" spans="3:7">
      <c r="C7757" s="319"/>
      <c r="D7757" s="319"/>
      <c r="G7757" s="320"/>
    </row>
    <row r="7758" spans="3:7">
      <c r="C7758" s="319"/>
      <c r="D7758" s="319"/>
      <c r="G7758" s="320"/>
    </row>
    <row r="7759" spans="3:4">
      <c r="C7759" s="319"/>
      <c r="D7759" s="319"/>
    </row>
    <row r="7760" spans="3:4">
      <c r="C7760" s="319"/>
      <c r="D7760" s="319"/>
    </row>
    <row r="7761" spans="3:4">
      <c r="C7761" s="319"/>
      <c r="D7761" s="319"/>
    </row>
    <row r="7762" spans="3:4">
      <c r="C7762" s="319"/>
      <c r="D7762" s="319"/>
    </row>
    <row r="7763" spans="3:4">
      <c r="C7763" s="319"/>
      <c r="D7763" s="319"/>
    </row>
    <row r="7764" spans="3:7">
      <c r="C7764" s="319"/>
      <c r="D7764" s="319"/>
      <c r="G7764" s="320"/>
    </row>
    <row r="7765" spans="3:4">
      <c r="C7765" s="319"/>
      <c r="D7765" s="319"/>
    </row>
    <row r="7766" spans="3:7">
      <c r="C7766" s="319"/>
      <c r="D7766" s="319"/>
      <c r="G7766" s="320"/>
    </row>
    <row r="7767" spans="3:7">
      <c r="C7767" s="319"/>
      <c r="D7767" s="319"/>
      <c r="G7767" s="320"/>
    </row>
    <row r="7768" spans="3:7">
      <c r="C7768" s="319"/>
      <c r="D7768" s="319"/>
      <c r="G7768" s="320"/>
    </row>
    <row r="7769" spans="3:4">
      <c r="C7769" s="319"/>
      <c r="D7769" s="319"/>
    </row>
    <row r="7770" spans="3:7">
      <c r="C7770" s="319"/>
      <c r="D7770" s="319"/>
      <c r="G7770" s="320"/>
    </row>
    <row r="7771" spans="3:7">
      <c r="C7771" s="319"/>
      <c r="D7771" s="319"/>
      <c r="G7771" s="320"/>
    </row>
    <row r="7772" spans="3:7">
      <c r="C7772" s="319"/>
      <c r="D7772" s="319"/>
      <c r="G7772" s="320"/>
    </row>
    <row r="7773" spans="3:7">
      <c r="C7773" s="319"/>
      <c r="D7773" s="319"/>
      <c r="G7773" s="320"/>
    </row>
    <row r="7774" spans="3:7">
      <c r="C7774" s="319"/>
      <c r="D7774" s="319"/>
      <c r="G7774" s="320"/>
    </row>
    <row r="7775" spans="3:7">
      <c r="C7775" s="319"/>
      <c r="D7775" s="319"/>
      <c r="G7775" s="320"/>
    </row>
    <row r="7776" spans="3:4">
      <c r="C7776" s="319"/>
      <c r="D7776" s="319"/>
    </row>
    <row r="7777" spans="3:4">
      <c r="C7777" s="319"/>
      <c r="D7777" s="319"/>
    </row>
    <row r="7778" spans="3:4">
      <c r="C7778" s="319"/>
      <c r="D7778" s="319"/>
    </row>
    <row r="7779" spans="3:4">
      <c r="C7779" s="319"/>
      <c r="D7779" s="319"/>
    </row>
    <row r="7780" spans="3:4">
      <c r="C7780" s="319"/>
      <c r="D7780" s="319"/>
    </row>
    <row r="7781" spans="3:4">
      <c r="C7781" s="319"/>
      <c r="D7781" s="319"/>
    </row>
    <row r="7782" spans="3:4">
      <c r="C7782" s="319"/>
      <c r="D7782" s="319"/>
    </row>
    <row r="7783" spans="3:4">
      <c r="C7783" s="319"/>
      <c r="D7783" s="319"/>
    </row>
    <row r="7784" spans="3:4">
      <c r="C7784" s="319"/>
      <c r="D7784" s="319"/>
    </row>
    <row r="7785" spans="3:7">
      <c r="C7785" s="319"/>
      <c r="D7785" s="319"/>
      <c r="G7785" s="320"/>
    </row>
    <row r="7786" spans="3:4">
      <c r="C7786" s="319"/>
      <c r="D7786" s="319"/>
    </row>
    <row r="7787" spans="3:4">
      <c r="C7787" s="319"/>
      <c r="D7787" s="319"/>
    </row>
    <row r="7788" spans="3:7">
      <c r="C7788" s="319"/>
      <c r="D7788" s="319"/>
      <c r="G7788" s="320"/>
    </row>
    <row r="7789" spans="3:7">
      <c r="C7789" s="319"/>
      <c r="D7789" s="319"/>
      <c r="G7789" s="320"/>
    </row>
    <row r="7790" spans="3:4">
      <c r="C7790" s="319"/>
      <c r="D7790" s="319"/>
    </row>
    <row r="7791" spans="3:7">
      <c r="C7791" s="319"/>
      <c r="D7791" s="319"/>
      <c r="G7791" s="320"/>
    </row>
    <row r="7792" spans="3:7">
      <c r="C7792" s="319"/>
      <c r="D7792" s="319"/>
      <c r="G7792" s="320"/>
    </row>
    <row r="7793" spans="3:7">
      <c r="C7793" s="319"/>
      <c r="D7793" s="319"/>
      <c r="G7793" s="320"/>
    </row>
    <row r="7794" spans="3:4">
      <c r="C7794" s="319"/>
      <c r="D7794" s="319"/>
    </row>
    <row r="7795" spans="3:7">
      <c r="C7795" s="319"/>
      <c r="D7795" s="319"/>
      <c r="G7795" s="320"/>
    </row>
    <row r="7796" spans="3:7">
      <c r="C7796" s="319"/>
      <c r="D7796" s="319"/>
      <c r="G7796" s="320"/>
    </row>
    <row r="7797" spans="3:7">
      <c r="C7797" s="319"/>
      <c r="D7797" s="319"/>
      <c r="G7797" s="320"/>
    </row>
    <row r="7798" spans="3:4">
      <c r="C7798" s="319"/>
      <c r="D7798" s="319"/>
    </row>
    <row r="7799" spans="3:7">
      <c r="C7799" s="319"/>
      <c r="D7799" s="319"/>
      <c r="G7799" s="320"/>
    </row>
    <row r="7800" spans="3:7">
      <c r="C7800" s="319"/>
      <c r="D7800" s="319"/>
      <c r="G7800" s="320"/>
    </row>
    <row r="7801" spans="3:4">
      <c r="C7801" s="319"/>
      <c r="D7801" s="319"/>
    </row>
    <row r="7802" spans="3:4">
      <c r="C7802" s="319"/>
      <c r="D7802" s="319"/>
    </row>
    <row r="7803" spans="3:4">
      <c r="C7803" s="319"/>
      <c r="D7803" s="319"/>
    </row>
    <row r="7804" spans="3:7">
      <c r="C7804" s="319"/>
      <c r="D7804" s="319"/>
      <c r="G7804" s="320"/>
    </row>
    <row r="7805" spans="3:4">
      <c r="C7805" s="319"/>
      <c r="D7805" s="319"/>
    </row>
    <row r="7806" spans="3:7">
      <c r="C7806" s="319"/>
      <c r="D7806" s="319"/>
      <c r="G7806" s="320"/>
    </row>
    <row r="7807" spans="3:4">
      <c r="C7807" s="319"/>
      <c r="D7807" s="319"/>
    </row>
    <row r="7808" spans="3:7">
      <c r="C7808" s="319"/>
      <c r="D7808" s="319"/>
      <c r="G7808" s="320"/>
    </row>
    <row r="7809" spans="3:4">
      <c r="C7809" s="319"/>
      <c r="D7809" s="319"/>
    </row>
    <row r="7810" spans="3:7">
      <c r="C7810" s="319"/>
      <c r="D7810" s="319"/>
      <c r="G7810" s="320"/>
    </row>
    <row r="7811" spans="3:4">
      <c r="C7811" s="319"/>
      <c r="D7811" s="319"/>
    </row>
    <row r="7812" spans="3:7">
      <c r="C7812" s="319"/>
      <c r="D7812" s="319"/>
      <c r="G7812" s="320"/>
    </row>
    <row r="7813" spans="3:7">
      <c r="C7813" s="319"/>
      <c r="D7813" s="319"/>
      <c r="G7813" s="320"/>
    </row>
    <row r="7814" spans="3:4">
      <c r="C7814" s="319"/>
      <c r="D7814" s="319"/>
    </row>
    <row r="7815" spans="3:4">
      <c r="C7815" s="319"/>
      <c r="D7815" s="319"/>
    </row>
    <row r="7816" spans="3:4">
      <c r="C7816" s="319"/>
      <c r="D7816" s="319"/>
    </row>
    <row r="7817" spans="3:4">
      <c r="C7817" s="319"/>
      <c r="D7817" s="319"/>
    </row>
    <row r="7818" spans="3:4">
      <c r="C7818" s="319"/>
      <c r="D7818" s="319"/>
    </row>
    <row r="7819" spans="3:7">
      <c r="C7819" s="319"/>
      <c r="D7819" s="319"/>
      <c r="G7819" s="320"/>
    </row>
    <row r="7820" spans="3:7">
      <c r="C7820" s="319"/>
      <c r="D7820" s="319"/>
      <c r="G7820" s="320"/>
    </row>
    <row r="7821" spans="3:7">
      <c r="C7821" s="319"/>
      <c r="D7821" s="319"/>
      <c r="G7821" s="320"/>
    </row>
    <row r="7822" spans="3:7">
      <c r="C7822" s="319"/>
      <c r="D7822" s="319"/>
      <c r="G7822" s="320"/>
    </row>
    <row r="7823" spans="3:7">
      <c r="C7823" s="319"/>
      <c r="D7823" s="319"/>
      <c r="G7823" s="320"/>
    </row>
    <row r="7824" spans="3:7">
      <c r="C7824" s="319"/>
      <c r="D7824" s="319"/>
      <c r="G7824" s="320"/>
    </row>
    <row r="7825" spans="3:4">
      <c r="C7825" s="319"/>
      <c r="D7825" s="319"/>
    </row>
    <row r="7826" spans="3:4">
      <c r="C7826" s="319"/>
      <c r="D7826" s="319"/>
    </row>
    <row r="7827" spans="3:4">
      <c r="C7827" s="319"/>
      <c r="D7827" s="319"/>
    </row>
    <row r="7828" spans="3:7">
      <c r="C7828" s="319"/>
      <c r="D7828" s="319"/>
      <c r="G7828" s="320"/>
    </row>
    <row r="7829" spans="3:4">
      <c r="C7829" s="319"/>
      <c r="D7829" s="319"/>
    </row>
    <row r="7830" spans="3:4">
      <c r="C7830" s="319"/>
      <c r="D7830" s="319"/>
    </row>
    <row r="7831" spans="3:4">
      <c r="C7831" s="319"/>
      <c r="D7831" s="319"/>
    </row>
    <row r="7832" spans="3:4">
      <c r="C7832" s="319"/>
      <c r="D7832" s="319"/>
    </row>
    <row r="7833" spans="3:7">
      <c r="C7833" s="319"/>
      <c r="D7833" s="319"/>
      <c r="G7833" s="320"/>
    </row>
    <row r="7834" spans="3:4">
      <c r="C7834" s="319"/>
      <c r="D7834" s="319"/>
    </row>
    <row r="7835" spans="3:4">
      <c r="C7835" s="319"/>
      <c r="D7835" s="319"/>
    </row>
    <row r="7836" spans="3:7">
      <c r="C7836" s="319"/>
      <c r="D7836" s="319"/>
      <c r="G7836" s="320"/>
    </row>
    <row r="7837" spans="3:4">
      <c r="C7837" s="319"/>
      <c r="D7837" s="319"/>
    </row>
    <row r="7838" spans="3:4">
      <c r="C7838" s="319"/>
      <c r="D7838" s="319"/>
    </row>
    <row r="7839" spans="3:7">
      <c r="C7839" s="319"/>
      <c r="D7839" s="319"/>
      <c r="G7839" s="320"/>
    </row>
    <row r="7840" spans="3:4">
      <c r="C7840" s="319"/>
      <c r="D7840" s="319"/>
    </row>
    <row r="7841" spans="3:4">
      <c r="C7841" s="319"/>
      <c r="D7841" s="319"/>
    </row>
    <row r="7842" spans="3:4">
      <c r="C7842" s="319"/>
      <c r="D7842" s="319"/>
    </row>
    <row r="7843" spans="3:4">
      <c r="C7843" s="319"/>
      <c r="D7843" s="319"/>
    </row>
    <row r="7844" spans="3:4">
      <c r="C7844" s="319"/>
      <c r="D7844" s="319"/>
    </row>
    <row r="7845" spans="3:7">
      <c r="C7845" s="319"/>
      <c r="D7845" s="319"/>
      <c r="G7845" s="320"/>
    </row>
    <row r="7846" spans="3:7">
      <c r="C7846" s="319"/>
      <c r="D7846" s="319"/>
      <c r="G7846" s="320"/>
    </row>
    <row r="7847" spans="3:7">
      <c r="C7847" s="319"/>
      <c r="D7847" s="319"/>
      <c r="G7847" s="320"/>
    </row>
    <row r="7848" spans="3:4">
      <c r="C7848" s="319"/>
      <c r="D7848" s="319"/>
    </row>
    <row r="7849" spans="3:7">
      <c r="C7849" s="319"/>
      <c r="D7849" s="319"/>
      <c r="G7849" s="320"/>
    </row>
    <row r="7850" spans="3:7">
      <c r="C7850" s="319"/>
      <c r="D7850" s="319"/>
      <c r="G7850" s="320"/>
    </row>
    <row r="7851" spans="3:4">
      <c r="C7851" s="319"/>
      <c r="D7851" s="319"/>
    </row>
    <row r="7852" spans="3:4">
      <c r="C7852" s="319"/>
      <c r="D7852" s="319"/>
    </row>
    <row r="7853" spans="3:4">
      <c r="C7853" s="319"/>
      <c r="D7853" s="319"/>
    </row>
    <row r="7854" spans="3:7">
      <c r="C7854" s="319"/>
      <c r="D7854" s="319"/>
      <c r="G7854" s="320"/>
    </row>
    <row r="7855" spans="3:4">
      <c r="C7855" s="319"/>
      <c r="D7855" s="319"/>
    </row>
    <row r="7856" spans="3:4">
      <c r="C7856" s="319"/>
      <c r="D7856" s="319"/>
    </row>
    <row r="7857" spans="3:4">
      <c r="C7857" s="319"/>
      <c r="D7857" s="319"/>
    </row>
    <row r="7858" spans="3:4">
      <c r="C7858" s="319"/>
      <c r="D7858" s="319"/>
    </row>
    <row r="7859" spans="3:4">
      <c r="C7859" s="319"/>
      <c r="D7859" s="319"/>
    </row>
    <row r="7860" spans="3:4">
      <c r="C7860" s="319"/>
      <c r="D7860" s="319"/>
    </row>
    <row r="7861" spans="3:4">
      <c r="C7861" s="319"/>
      <c r="D7861" s="319"/>
    </row>
    <row r="7862" spans="3:4">
      <c r="C7862" s="319"/>
      <c r="D7862" s="319"/>
    </row>
    <row r="7863" spans="3:4">
      <c r="C7863" s="319"/>
      <c r="D7863" s="319"/>
    </row>
    <row r="7864" spans="3:4">
      <c r="C7864" s="319"/>
      <c r="D7864" s="319"/>
    </row>
    <row r="7865" spans="3:4">
      <c r="C7865" s="319"/>
      <c r="D7865" s="319"/>
    </row>
    <row r="7866" spans="3:4">
      <c r="C7866" s="319"/>
      <c r="D7866" s="319"/>
    </row>
    <row r="7867" spans="3:7">
      <c r="C7867" s="319"/>
      <c r="D7867" s="319"/>
      <c r="G7867" s="320"/>
    </row>
    <row r="7868" spans="3:4">
      <c r="C7868" s="319"/>
      <c r="D7868" s="319"/>
    </row>
    <row r="7869" spans="3:4">
      <c r="C7869" s="319"/>
      <c r="D7869" s="319"/>
    </row>
    <row r="7870" spans="3:4">
      <c r="C7870" s="319"/>
      <c r="D7870" s="319"/>
    </row>
    <row r="7871" spans="3:7">
      <c r="C7871" s="319"/>
      <c r="D7871" s="319"/>
      <c r="G7871" s="320"/>
    </row>
    <row r="7872" spans="3:7">
      <c r="C7872" s="319"/>
      <c r="D7872" s="319"/>
      <c r="G7872" s="320"/>
    </row>
    <row r="7873" spans="3:7">
      <c r="C7873" s="319"/>
      <c r="D7873" s="319"/>
      <c r="G7873" s="320"/>
    </row>
    <row r="7874" spans="3:7">
      <c r="C7874" s="319"/>
      <c r="D7874" s="319"/>
      <c r="G7874" s="320"/>
    </row>
    <row r="7875" spans="3:4">
      <c r="C7875" s="319"/>
      <c r="D7875" s="319"/>
    </row>
    <row r="7876" spans="3:7">
      <c r="C7876" s="319"/>
      <c r="D7876" s="319"/>
      <c r="G7876" s="320"/>
    </row>
    <row r="7877" spans="3:7">
      <c r="C7877" s="319"/>
      <c r="D7877" s="319"/>
      <c r="G7877" s="320"/>
    </row>
    <row r="7878" spans="3:7">
      <c r="C7878" s="319"/>
      <c r="D7878" s="319"/>
      <c r="G7878" s="320"/>
    </row>
    <row r="7879" spans="3:4">
      <c r="C7879" s="319"/>
      <c r="D7879" s="319"/>
    </row>
    <row r="7880" spans="3:4">
      <c r="C7880" s="319"/>
      <c r="D7880" s="319"/>
    </row>
    <row r="7881" spans="3:4">
      <c r="C7881" s="319"/>
      <c r="D7881" s="319"/>
    </row>
    <row r="7882" spans="3:4">
      <c r="C7882" s="319"/>
      <c r="D7882" s="319"/>
    </row>
    <row r="7883" spans="3:4">
      <c r="C7883" s="319"/>
      <c r="D7883" s="319"/>
    </row>
    <row r="7884" spans="3:4">
      <c r="C7884" s="319"/>
      <c r="D7884" s="319"/>
    </row>
    <row r="7885" spans="3:4">
      <c r="C7885" s="319"/>
      <c r="D7885" s="319"/>
    </row>
    <row r="7886" spans="3:7">
      <c r="C7886" s="319"/>
      <c r="D7886" s="319"/>
      <c r="G7886" s="320"/>
    </row>
    <row r="7887" spans="3:4">
      <c r="C7887" s="319"/>
      <c r="D7887" s="319"/>
    </row>
    <row r="7888" spans="3:4">
      <c r="C7888" s="319"/>
      <c r="D7888" s="319"/>
    </row>
    <row r="7889" spans="3:4">
      <c r="C7889" s="319"/>
      <c r="D7889" s="319"/>
    </row>
    <row r="7890" spans="3:4">
      <c r="C7890" s="319"/>
      <c r="D7890" s="319"/>
    </row>
    <row r="7891" spans="3:4">
      <c r="C7891" s="319"/>
      <c r="D7891" s="319"/>
    </row>
    <row r="7892" spans="3:4">
      <c r="C7892" s="319"/>
      <c r="D7892" s="319"/>
    </row>
    <row r="7893" spans="3:4">
      <c r="C7893" s="319"/>
      <c r="D7893" s="319"/>
    </row>
    <row r="7894" spans="3:4">
      <c r="C7894" s="319"/>
      <c r="D7894" s="319"/>
    </row>
    <row r="7895" spans="3:7">
      <c r="C7895" s="319"/>
      <c r="D7895" s="319"/>
      <c r="G7895" s="320"/>
    </row>
    <row r="7896" spans="3:4">
      <c r="C7896" s="319"/>
      <c r="D7896" s="319"/>
    </row>
    <row r="7897" spans="3:7">
      <c r="C7897" s="319"/>
      <c r="D7897" s="319"/>
      <c r="G7897" s="320"/>
    </row>
    <row r="7898" spans="3:7">
      <c r="C7898" s="319"/>
      <c r="D7898" s="319"/>
      <c r="G7898" s="320"/>
    </row>
    <row r="7899" spans="3:7">
      <c r="C7899" s="319"/>
      <c r="D7899" s="319"/>
      <c r="G7899" s="320"/>
    </row>
    <row r="7900" spans="3:7">
      <c r="C7900" s="319"/>
      <c r="D7900" s="319"/>
      <c r="G7900" s="320"/>
    </row>
    <row r="7901" spans="3:7">
      <c r="C7901" s="319"/>
      <c r="D7901" s="319"/>
      <c r="G7901" s="320"/>
    </row>
    <row r="7902" spans="3:4">
      <c r="C7902" s="319"/>
      <c r="D7902" s="319"/>
    </row>
    <row r="7903" spans="3:7">
      <c r="C7903" s="319"/>
      <c r="D7903" s="319"/>
      <c r="G7903" s="320"/>
    </row>
    <row r="7904" spans="3:7">
      <c r="C7904" s="319"/>
      <c r="D7904" s="319"/>
      <c r="G7904" s="320"/>
    </row>
    <row r="7905" spans="3:4">
      <c r="C7905" s="319"/>
      <c r="D7905" s="319"/>
    </row>
    <row r="7906" spans="3:7">
      <c r="C7906" s="319"/>
      <c r="D7906" s="319"/>
      <c r="G7906" s="320"/>
    </row>
    <row r="7907" spans="3:4">
      <c r="C7907" s="319"/>
      <c r="D7907" s="319"/>
    </row>
    <row r="7908" spans="3:7">
      <c r="C7908" s="319"/>
      <c r="D7908" s="319"/>
      <c r="G7908" s="320"/>
    </row>
    <row r="7909" spans="3:7">
      <c r="C7909" s="319"/>
      <c r="D7909" s="319"/>
      <c r="G7909" s="320"/>
    </row>
    <row r="7910" spans="3:4">
      <c r="C7910" s="319"/>
      <c r="D7910" s="319"/>
    </row>
    <row r="7911" spans="3:4">
      <c r="C7911" s="319"/>
      <c r="D7911" s="319"/>
    </row>
    <row r="7912" spans="3:7">
      <c r="C7912" s="319"/>
      <c r="D7912" s="319"/>
      <c r="G7912" s="320"/>
    </row>
    <row r="7913" spans="3:4">
      <c r="C7913" s="319"/>
      <c r="D7913" s="319"/>
    </row>
    <row r="7914" spans="3:7">
      <c r="C7914" s="319"/>
      <c r="D7914" s="319"/>
      <c r="G7914" s="320"/>
    </row>
    <row r="7915" spans="3:4">
      <c r="C7915" s="319"/>
      <c r="D7915" s="319"/>
    </row>
    <row r="7916" spans="3:4">
      <c r="C7916" s="319"/>
      <c r="D7916" s="319"/>
    </row>
    <row r="7917" spans="3:4">
      <c r="C7917" s="319"/>
      <c r="D7917" s="319"/>
    </row>
    <row r="7918" spans="3:4">
      <c r="C7918" s="319"/>
      <c r="D7918" s="319"/>
    </row>
    <row r="7919" spans="3:4">
      <c r="C7919" s="319"/>
      <c r="D7919" s="319"/>
    </row>
    <row r="7920" spans="3:4">
      <c r="C7920" s="319"/>
      <c r="D7920" s="319"/>
    </row>
    <row r="7921" spans="3:4">
      <c r="C7921" s="319"/>
      <c r="D7921" s="319"/>
    </row>
    <row r="7922" spans="3:7">
      <c r="C7922" s="319"/>
      <c r="D7922" s="319"/>
      <c r="G7922" s="320"/>
    </row>
    <row r="7923" spans="3:7">
      <c r="C7923" s="319"/>
      <c r="D7923" s="319"/>
      <c r="G7923" s="320"/>
    </row>
    <row r="7924" spans="3:7">
      <c r="C7924" s="319"/>
      <c r="D7924" s="319"/>
      <c r="G7924" s="320"/>
    </row>
    <row r="7925" spans="3:4">
      <c r="C7925" s="319"/>
      <c r="D7925" s="319"/>
    </row>
    <row r="7926" spans="3:4">
      <c r="C7926" s="319"/>
      <c r="D7926" s="319"/>
    </row>
    <row r="7927" spans="3:4">
      <c r="C7927" s="319"/>
      <c r="D7927" s="319"/>
    </row>
    <row r="7928" spans="3:4">
      <c r="C7928" s="319"/>
      <c r="D7928" s="319"/>
    </row>
    <row r="7929" spans="3:4">
      <c r="C7929" s="319"/>
      <c r="D7929" s="319"/>
    </row>
    <row r="7930" spans="3:7">
      <c r="C7930" s="319"/>
      <c r="D7930" s="319"/>
      <c r="G7930" s="320"/>
    </row>
    <row r="7931" spans="3:4">
      <c r="C7931" s="319"/>
      <c r="D7931" s="319"/>
    </row>
    <row r="7932" spans="3:4">
      <c r="C7932" s="319"/>
      <c r="D7932" s="319"/>
    </row>
    <row r="7933" spans="3:7">
      <c r="C7933" s="319"/>
      <c r="D7933" s="319"/>
      <c r="G7933" s="320"/>
    </row>
    <row r="7934" spans="3:4">
      <c r="C7934" s="319"/>
      <c r="D7934" s="319"/>
    </row>
    <row r="7935" spans="3:4">
      <c r="C7935" s="319"/>
      <c r="D7935" s="319"/>
    </row>
    <row r="7936" spans="3:4">
      <c r="C7936" s="319"/>
      <c r="D7936" s="319"/>
    </row>
    <row r="7937" spans="3:4">
      <c r="C7937" s="319"/>
      <c r="D7937" s="319"/>
    </row>
    <row r="7938" spans="3:4">
      <c r="C7938" s="319"/>
      <c r="D7938" s="319"/>
    </row>
    <row r="7939" spans="3:4">
      <c r="C7939" s="319"/>
      <c r="D7939" s="319"/>
    </row>
    <row r="7940" spans="3:4">
      <c r="C7940" s="319"/>
      <c r="D7940" s="319"/>
    </row>
    <row r="7941" spans="3:4">
      <c r="C7941" s="319"/>
      <c r="D7941" s="319"/>
    </row>
    <row r="7942" spans="3:4">
      <c r="C7942" s="319"/>
      <c r="D7942" s="319"/>
    </row>
    <row r="7943" spans="3:4">
      <c r="C7943" s="319"/>
      <c r="D7943" s="319"/>
    </row>
    <row r="7944" spans="3:4">
      <c r="C7944" s="319"/>
      <c r="D7944" s="319"/>
    </row>
    <row r="7945" spans="3:4">
      <c r="C7945" s="319"/>
      <c r="D7945" s="319"/>
    </row>
    <row r="7946" spans="3:4">
      <c r="C7946" s="319"/>
      <c r="D7946" s="319"/>
    </row>
    <row r="7947" spans="3:4">
      <c r="C7947" s="319"/>
      <c r="D7947" s="319"/>
    </row>
    <row r="7948" spans="3:4">
      <c r="C7948" s="319"/>
      <c r="D7948" s="319"/>
    </row>
    <row r="7949" spans="3:7">
      <c r="C7949" s="319"/>
      <c r="D7949" s="319"/>
      <c r="G7949" s="320"/>
    </row>
    <row r="7950" spans="3:4">
      <c r="C7950" s="319"/>
      <c r="D7950" s="319"/>
    </row>
    <row r="7951" spans="3:7">
      <c r="C7951" s="319"/>
      <c r="D7951" s="319"/>
      <c r="G7951" s="320"/>
    </row>
    <row r="7952" spans="3:4">
      <c r="C7952" s="319"/>
      <c r="D7952" s="319"/>
    </row>
    <row r="7953" spans="3:7">
      <c r="C7953" s="319"/>
      <c r="D7953" s="319"/>
      <c r="G7953" s="320"/>
    </row>
    <row r="7954" spans="3:4">
      <c r="C7954" s="319"/>
      <c r="D7954" s="319"/>
    </row>
    <row r="7955" spans="3:4">
      <c r="C7955" s="319"/>
      <c r="D7955" s="319"/>
    </row>
    <row r="7956" spans="3:7">
      <c r="C7956" s="319"/>
      <c r="D7956" s="319"/>
      <c r="G7956" s="320"/>
    </row>
    <row r="7957" spans="3:7">
      <c r="C7957" s="319"/>
      <c r="D7957" s="319"/>
      <c r="G7957" s="320"/>
    </row>
    <row r="7958" spans="3:7">
      <c r="C7958" s="319"/>
      <c r="D7958" s="319"/>
      <c r="G7958" s="320"/>
    </row>
    <row r="7959" spans="3:7">
      <c r="C7959" s="319"/>
      <c r="D7959" s="319"/>
      <c r="G7959" s="320"/>
    </row>
    <row r="7960" spans="3:4">
      <c r="C7960" s="319"/>
      <c r="D7960" s="319"/>
    </row>
    <row r="7961" spans="3:4">
      <c r="C7961" s="319"/>
      <c r="D7961" s="319"/>
    </row>
    <row r="7962" spans="3:4">
      <c r="C7962" s="319"/>
      <c r="D7962" s="319"/>
    </row>
    <row r="7963" spans="3:4">
      <c r="C7963" s="319"/>
      <c r="D7963" s="319"/>
    </row>
    <row r="7964" spans="3:7">
      <c r="C7964" s="319"/>
      <c r="D7964" s="319"/>
      <c r="G7964" s="320"/>
    </row>
    <row r="7965" spans="3:4">
      <c r="C7965" s="319"/>
      <c r="D7965" s="319"/>
    </row>
    <row r="7966" spans="3:4">
      <c r="C7966" s="319"/>
      <c r="D7966" s="319"/>
    </row>
    <row r="7967" spans="3:4">
      <c r="C7967" s="319"/>
      <c r="D7967" s="319"/>
    </row>
    <row r="7968" spans="3:4">
      <c r="C7968" s="319"/>
      <c r="D7968" s="319"/>
    </row>
    <row r="7969" spans="3:7">
      <c r="C7969" s="319"/>
      <c r="D7969" s="319"/>
      <c r="G7969" s="320"/>
    </row>
    <row r="7970" spans="3:4">
      <c r="C7970" s="319"/>
      <c r="D7970" s="319"/>
    </row>
    <row r="7971" spans="3:4">
      <c r="C7971" s="319"/>
      <c r="D7971" s="319"/>
    </row>
    <row r="7972" spans="3:4">
      <c r="C7972" s="319"/>
      <c r="D7972" s="319"/>
    </row>
    <row r="7973" spans="3:4">
      <c r="C7973" s="319"/>
      <c r="D7973" s="319"/>
    </row>
    <row r="7974" spans="3:7">
      <c r="C7974" s="319"/>
      <c r="D7974" s="319"/>
      <c r="G7974" s="320"/>
    </row>
    <row r="7975" spans="3:7">
      <c r="C7975" s="319"/>
      <c r="D7975" s="319"/>
      <c r="G7975" s="320"/>
    </row>
    <row r="7976" spans="3:4">
      <c r="C7976" s="319"/>
      <c r="D7976" s="319"/>
    </row>
    <row r="7977" spans="3:4">
      <c r="C7977" s="319"/>
      <c r="D7977" s="319"/>
    </row>
    <row r="7978" spans="3:7">
      <c r="C7978" s="319"/>
      <c r="D7978" s="319"/>
      <c r="G7978" s="320"/>
    </row>
    <row r="7979" spans="3:7">
      <c r="C7979" s="319"/>
      <c r="D7979" s="319"/>
      <c r="G7979" s="320"/>
    </row>
    <row r="7980" spans="3:4">
      <c r="C7980" s="319"/>
      <c r="D7980" s="319"/>
    </row>
    <row r="7981" spans="3:4">
      <c r="C7981" s="319"/>
      <c r="D7981" s="319"/>
    </row>
    <row r="7982" spans="3:7">
      <c r="C7982" s="319"/>
      <c r="D7982" s="319"/>
      <c r="G7982" s="320"/>
    </row>
    <row r="7983" spans="3:4">
      <c r="C7983" s="319"/>
      <c r="D7983" s="319"/>
    </row>
    <row r="7984" spans="3:4">
      <c r="C7984" s="319"/>
      <c r="D7984" s="319"/>
    </row>
    <row r="7985" spans="3:7">
      <c r="C7985" s="319"/>
      <c r="D7985" s="319"/>
      <c r="G7985" s="320"/>
    </row>
    <row r="7986" spans="3:4">
      <c r="C7986" s="319"/>
      <c r="D7986" s="319"/>
    </row>
    <row r="7987" spans="3:4">
      <c r="C7987" s="319"/>
      <c r="D7987" s="319"/>
    </row>
    <row r="7988" spans="3:4">
      <c r="C7988" s="319"/>
      <c r="D7988" s="319"/>
    </row>
    <row r="7989" spans="3:4">
      <c r="C7989" s="319"/>
      <c r="D7989" s="319"/>
    </row>
    <row r="7990" spans="3:4">
      <c r="C7990" s="319"/>
      <c r="D7990" s="319"/>
    </row>
    <row r="7991" spans="3:4">
      <c r="C7991" s="319"/>
      <c r="D7991" s="319"/>
    </row>
    <row r="7992" spans="3:4">
      <c r="C7992" s="319"/>
      <c r="D7992" s="319"/>
    </row>
    <row r="7993" spans="3:4">
      <c r="C7993" s="319"/>
      <c r="D7993" s="319"/>
    </row>
    <row r="7994" spans="3:4">
      <c r="C7994" s="319"/>
      <c r="D7994" s="319"/>
    </row>
    <row r="7995" spans="3:4">
      <c r="C7995" s="319"/>
      <c r="D7995" s="319"/>
    </row>
    <row r="7996" spans="3:7">
      <c r="C7996" s="319"/>
      <c r="D7996" s="319"/>
      <c r="G7996" s="320"/>
    </row>
    <row r="7997" spans="3:4">
      <c r="C7997" s="319"/>
      <c r="D7997" s="319"/>
    </row>
    <row r="7998" spans="3:7">
      <c r="C7998" s="319"/>
      <c r="D7998" s="319"/>
      <c r="G7998" s="320"/>
    </row>
    <row r="7999" spans="3:4">
      <c r="C7999" s="319"/>
      <c r="D7999" s="319"/>
    </row>
    <row r="8000" spans="3:7">
      <c r="C8000" s="319"/>
      <c r="D8000" s="319"/>
      <c r="G8000" s="320"/>
    </row>
    <row r="8001" spans="3:7">
      <c r="C8001" s="319"/>
      <c r="D8001" s="319"/>
      <c r="G8001" s="320"/>
    </row>
    <row r="8002" spans="3:4">
      <c r="C8002" s="319"/>
      <c r="D8002" s="319"/>
    </row>
    <row r="8003" spans="3:4">
      <c r="C8003" s="319"/>
      <c r="D8003" s="319"/>
    </row>
    <row r="8004" spans="3:4">
      <c r="C8004" s="319"/>
      <c r="D8004" s="319"/>
    </row>
    <row r="8005" spans="3:7">
      <c r="C8005" s="319"/>
      <c r="D8005" s="319"/>
      <c r="G8005" s="320"/>
    </row>
    <row r="8006" spans="3:4">
      <c r="C8006" s="319"/>
      <c r="D8006" s="319"/>
    </row>
    <row r="8007" spans="3:4">
      <c r="C8007" s="319"/>
      <c r="D8007" s="319"/>
    </row>
    <row r="8008" spans="3:4">
      <c r="C8008" s="319"/>
      <c r="D8008" s="319"/>
    </row>
    <row r="8009" spans="3:7">
      <c r="C8009" s="319"/>
      <c r="D8009" s="319"/>
      <c r="G8009" s="320"/>
    </row>
    <row r="8010" spans="3:4">
      <c r="C8010" s="319"/>
      <c r="D8010" s="319"/>
    </row>
    <row r="8011" spans="3:7">
      <c r="C8011" s="319"/>
      <c r="D8011" s="319"/>
      <c r="G8011" s="320"/>
    </row>
    <row r="8012" spans="3:4">
      <c r="C8012" s="319"/>
      <c r="D8012" s="319"/>
    </row>
    <row r="8013" spans="3:7">
      <c r="C8013" s="319"/>
      <c r="D8013" s="319"/>
      <c r="G8013" s="320"/>
    </row>
    <row r="8014" spans="3:4">
      <c r="C8014" s="319"/>
      <c r="D8014" s="319"/>
    </row>
    <row r="8015" spans="3:7">
      <c r="C8015" s="319"/>
      <c r="D8015" s="319"/>
      <c r="G8015" s="320"/>
    </row>
    <row r="8016" spans="3:7">
      <c r="C8016" s="319"/>
      <c r="D8016" s="319"/>
      <c r="G8016" s="320"/>
    </row>
    <row r="8017" spans="3:4">
      <c r="C8017" s="319"/>
      <c r="D8017" s="319"/>
    </row>
    <row r="8018" spans="3:4">
      <c r="C8018" s="319"/>
      <c r="D8018" s="319"/>
    </row>
    <row r="8019" spans="3:4">
      <c r="C8019" s="319"/>
      <c r="D8019" s="319"/>
    </row>
    <row r="8020" spans="3:4">
      <c r="C8020" s="319"/>
      <c r="D8020" s="319"/>
    </row>
    <row r="8021" spans="3:7">
      <c r="C8021" s="319"/>
      <c r="D8021" s="319"/>
      <c r="G8021" s="320"/>
    </row>
    <row r="8022" spans="3:7">
      <c r="C8022" s="319"/>
      <c r="D8022" s="319"/>
      <c r="G8022" s="320"/>
    </row>
    <row r="8023" spans="3:7">
      <c r="C8023" s="319"/>
      <c r="D8023" s="319"/>
      <c r="G8023" s="320"/>
    </row>
    <row r="8024" spans="3:7">
      <c r="C8024" s="319"/>
      <c r="D8024" s="319"/>
      <c r="G8024" s="320"/>
    </row>
    <row r="8025" spans="3:7">
      <c r="C8025" s="319"/>
      <c r="D8025" s="319"/>
      <c r="G8025" s="320"/>
    </row>
    <row r="8026" spans="3:7">
      <c r="C8026" s="319"/>
      <c r="D8026" s="319"/>
      <c r="G8026" s="320"/>
    </row>
    <row r="8027" spans="3:7">
      <c r="C8027" s="319"/>
      <c r="D8027" s="319"/>
      <c r="G8027" s="320"/>
    </row>
    <row r="8028" spans="3:7">
      <c r="C8028" s="319"/>
      <c r="D8028" s="319"/>
      <c r="G8028" s="320"/>
    </row>
    <row r="8029" spans="3:7">
      <c r="C8029" s="319"/>
      <c r="D8029" s="319"/>
      <c r="G8029" s="320"/>
    </row>
    <row r="8030" spans="3:7">
      <c r="C8030" s="319"/>
      <c r="D8030" s="319"/>
      <c r="G8030" s="320"/>
    </row>
    <row r="8031" spans="3:7">
      <c r="C8031" s="319"/>
      <c r="D8031" s="319"/>
      <c r="G8031" s="320"/>
    </row>
    <row r="8032" spans="3:4">
      <c r="C8032" s="319"/>
      <c r="D8032" s="319"/>
    </row>
    <row r="8033" spans="3:7">
      <c r="C8033" s="319"/>
      <c r="D8033" s="319"/>
      <c r="G8033" s="320"/>
    </row>
    <row r="8034" spans="3:7">
      <c r="C8034" s="319"/>
      <c r="D8034" s="319"/>
      <c r="G8034" s="320"/>
    </row>
    <row r="8035" spans="3:7">
      <c r="C8035" s="319"/>
      <c r="D8035" s="319"/>
      <c r="G8035" s="320"/>
    </row>
    <row r="8036" spans="3:4">
      <c r="C8036" s="319"/>
      <c r="D8036" s="319"/>
    </row>
    <row r="8037" spans="3:7">
      <c r="C8037" s="319"/>
      <c r="D8037" s="319"/>
      <c r="G8037" s="320"/>
    </row>
    <row r="8038" spans="3:7">
      <c r="C8038" s="319"/>
      <c r="D8038" s="319"/>
      <c r="G8038" s="320"/>
    </row>
    <row r="8039" spans="3:4">
      <c r="C8039" s="319"/>
      <c r="D8039" s="319"/>
    </row>
    <row r="8040" spans="3:4">
      <c r="C8040" s="319"/>
      <c r="D8040" s="319"/>
    </row>
    <row r="8041" spans="3:7">
      <c r="C8041" s="319"/>
      <c r="D8041" s="319"/>
      <c r="G8041" s="320"/>
    </row>
    <row r="8042" spans="3:4">
      <c r="C8042" s="319"/>
      <c r="D8042" s="319"/>
    </row>
    <row r="8043" spans="3:7">
      <c r="C8043" s="319"/>
      <c r="D8043" s="319"/>
      <c r="G8043" s="320"/>
    </row>
    <row r="8044" spans="3:4">
      <c r="C8044" s="319"/>
      <c r="D8044" s="319"/>
    </row>
    <row r="8045" spans="3:7">
      <c r="C8045" s="319"/>
      <c r="D8045" s="319"/>
      <c r="G8045" s="320"/>
    </row>
    <row r="8046" spans="3:4">
      <c r="C8046" s="319"/>
      <c r="D8046" s="319"/>
    </row>
    <row r="8047" spans="3:4">
      <c r="C8047" s="319"/>
      <c r="D8047" s="319"/>
    </row>
    <row r="8048" spans="3:4">
      <c r="C8048" s="319"/>
      <c r="D8048" s="319"/>
    </row>
    <row r="8049" spans="3:7">
      <c r="C8049" s="319"/>
      <c r="D8049" s="319"/>
      <c r="G8049" s="320"/>
    </row>
    <row r="8050" spans="3:7">
      <c r="C8050" s="319"/>
      <c r="D8050" s="319"/>
      <c r="G8050" s="320"/>
    </row>
    <row r="8051" spans="3:7">
      <c r="C8051" s="319"/>
      <c r="D8051" s="319"/>
      <c r="G8051" s="320"/>
    </row>
    <row r="8052" spans="3:4">
      <c r="C8052" s="319"/>
      <c r="D8052" s="319"/>
    </row>
    <row r="8053" spans="3:4">
      <c r="C8053" s="319"/>
      <c r="D8053" s="319"/>
    </row>
    <row r="8054" spans="3:7">
      <c r="C8054" s="319"/>
      <c r="D8054" s="319"/>
      <c r="G8054" s="320"/>
    </row>
    <row r="8055" spans="3:7">
      <c r="C8055" s="319"/>
      <c r="D8055" s="319"/>
      <c r="G8055" s="320"/>
    </row>
    <row r="8056" spans="3:7">
      <c r="C8056" s="319"/>
      <c r="D8056" s="319"/>
      <c r="G8056" s="320"/>
    </row>
    <row r="8057" spans="3:7">
      <c r="C8057" s="319"/>
      <c r="D8057" s="319"/>
      <c r="G8057" s="320"/>
    </row>
    <row r="8058" spans="3:4">
      <c r="C8058" s="319"/>
      <c r="D8058" s="319"/>
    </row>
    <row r="8059" spans="3:7">
      <c r="C8059" s="319"/>
      <c r="D8059" s="319"/>
      <c r="G8059" s="320"/>
    </row>
    <row r="8060" spans="3:7">
      <c r="C8060" s="319"/>
      <c r="D8060" s="319"/>
      <c r="G8060" s="320"/>
    </row>
    <row r="8061" spans="3:7">
      <c r="C8061" s="319"/>
      <c r="D8061" s="319"/>
      <c r="G8061" s="320"/>
    </row>
    <row r="8062" spans="3:4">
      <c r="C8062" s="319"/>
      <c r="D8062" s="319"/>
    </row>
    <row r="8063" spans="3:4">
      <c r="C8063" s="319"/>
      <c r="D8063" s="319"/>
    </row>
    <row r="8064" spans="3:4">
      <c r="C8064" s="319"/>
      <c r="D8064" s="319"/>
    </row>
    <row r="8065" spans="3:4">
      <c r="C8065" s="319"/>
      <c r="D8065" s="319"/>
    </row>
    <row r="8066" spans="3:4">
      <c r="C8066" s="319"/>
      <c r="D8066" s="319"/>
    </row>
    <row r="8067" spans="3:4">
      <c r="C8067" s="319"/>
      <c r="D8067" s="319"/>
    </row>
    <row r="8068" spans="3:4">
      <c r="C8068" s="319"/>
      <c r="D8068" s="319"/>
    </row>
    <row r="8069" spans="3:4">
      <c r="C8069" s="319"/>
      <c r="D8069" s="319"/>
    </row>
    <row r="8070" spans="3:7">
      <c r="C8070" s="319"/>
      <c r="D8070" s="319"/>
      <c r="G8070" s="320"/>
    </row>
    <row r="8071" spans="3:4">
      <c r="C8071" s="319"/>
      <c r="D8071" s="319"/>
    </row>
    <row r="8072" spans="3:4">
      <c r="C8072" s="319"/>
      <c r="D8072" s="319"/>
    </row>
    <row r="8073" spans="3:7">
      <c r="C8073" s="319"/>
      <c r="D8073" s="319"/>
      <c r="G8073" s="320"/>
    </row>
    <row r="8074" spans="3:4">
      <c r="C8074" s="319"/>
      <c r="D8074" s="319"/>
    </row>
    <row r="8075" spans="3:7">
      <c r="C8075" s="319"/>
      <c r="D8075" s="319"/>
      <c r="G8075" s="320"/>
    </row>
    <row r="8076" spans="3:4">
      <c r="C8076" s="319"/>
      <c r="D8076" s="319"/>
    </row>
    <row r="8077" spans="3:4">
      <c r="C8077" s="319"/>
      <c r="D8077" s="319"/>
    </row>
    <row r="8078" spans="3:4">
      <c r="C8078" s="319"/>
      <c r="D8078" s="319"/>
    </row>
    <row r="8079" spans="3:4">
      <c r="C8079" s="319"/>
      <c r="D8079" s="319"/>
    </row>
    <row r="8080" spans="3:4">
      <c r="C8080" s="319"/>
      <c r="D8080" s="319"/>
    </row>
    <row r="8081" spans="3:4">
      <c r="C8081" s="319"/>
      <c r="D8081" s="319"/>
    </row>
    <row r="8082" spans="3:4">
      <c r="C8082" s="319"/>
      <c r="D8082" s="319"/>
    </row>
    <row r="8083" spans="3:4">
      <c r="C8083" s="319"/>
      <c r="D8083" s="319"/>
    </row>
    <row r="8084" spans="3:4">
      <c r="C8084" s="319"/>
      <c r="D8084" s="319"/>
    </row>
    <row r="8085" spans="3:4">
      <c r="C8085" s="319"/>
      <c r="D8085" s="319"/>
    </row>
    <row r="8086" spans="3:4">
      <c r="C8086" s="319"/>
      <c r="D8086" s="319"/>
    </row>
    <row r="8087" spans="3:7">
      <c r="C8087" s="319"/>
      <c r="D8087" s="319"/>
      <c r="G8087" s="320"/>
    </row>
    <row r="8088" spans="3:4">
      <c r="C8088" s="319"/>
      <c r="D8088" s="319"/>
    </row>
    <row r="8089" spans="3:4">
      <c r="C8089" s="319"/>
      <c r="D8089" s="319"/>
    </row>
    <row r="8090" spans="3:4">
      <c r="C8090" s="319"/>
      <c r="D8090" s="319"/>
    </row>
    <row r="8091" spans="3:4">
      <c r="C8091" s="319"/>
      <c r="D8091" s="319"/>
    </row>
    <row r="8092" spans="3:4">
      <c r="C8092" s="319"/>
      <c r="D8092" s="319"/>
    </row>
    <row r="8093" spans="3:4">
      <c r="C8093" s="319"/>
      <c r="D8093" s="319"/>
    </row>
    <row r="8094" spans="3:7">
      <c r="C8094" s="319"/>
      <c r="D8094" s="319"/>
      <c r="G8094" s="320"/>
    </row>
    <row r="8095" spans="3:4">
      <c r="C8095" s="319"/>
      <c r="D8095" s="319"/>
    </row>
    <row r="8096" spans="3:7">
      <c r="C8096" s="319"/>
      <c r="D8096" s="319"/>
      <c r="G8096" s="320"/>
    </row>
    <row r="8097" spans="3:7">
      <c r="C8097" s="319"/>
      <c r="D8097" s="319"/>
      <c r="G8097" s="320"/>
    </row>
    <row r="8098" spans="3:7">
      <c r="C8098" s="319"/>
      <c r="D8098" s="319"/>
      <c r="G8098" s="320"/>
    </row>
    <row r="8099" spans="3:7">
      <c r="C8099" s="319"/>
      <c r="D8099" s="319"/>
      <c r="G8099" s="320"/>
    </row>
    <row r="8100" spans="3:7">
      <c r="C8100" s="319"/>
      <c r="D8100" s="319"/>
      <c r="G8100" s="320"/>
    </row>
    <row r="8101" spans="3:4">
      <c r="C8101" s="319"/>
      <c r="D8101" s="319"/>
    </row>
    <row r="8102" spans="3:4">
      <c r="C8102" s="319"/>
      <c r="D8102" s="319"/>
    </row>
    <row r="8103" spans="3:4">
      <c r="C8103" s="319"/>
      <c r="D8103" s="319"/>
    </row>
    <row r="8104" spans="3:4">
      <c r="C8104" s="319"/>
      <c r="D8104" s="319"/>
    </row>
    <row r="8105" spans="3:4">
      <c r="C8105" s="319"/>
      <c r="D8105" s="319"/>
    </row>
    <row r="8106" spans="3:4">
      <c r="C8106" s="319"/>
      <c r="D8106" s="319"/>
    </row>
    <row r="8107" spans="3:4">
      <c r="C8107" s="319"/>
      <c r="D8107" s="319"/>
    </row>
    <row r="8108" spans="3:7">
      <c r="C8108" s="319"/>
      <c r="D8108" s="319"/>
      <c r="G8108" s="320"/>
    </row>
    <row r="8109" spans="3:4">
      <c r="C8109" s="319"/>
      <c r="D8109" s="319"/>
    </row>
    <row r="8110" spans="3:4">
      <c r="C8110" s="319"/>
      <c r="D8110" s="319"/>
    </row>
    <row r="8111" spans="3:4">
      <c r="C8111" s="319"/>
      <c r="D8111" s="319"/>
    </row>
    <row r="8112" spans="3:7">
      <c r="C8112" s="319"/>
      <c r="D8112" s="319"/>
      <c r="G8112" s="320"/>
    </row>
    <row r="8113" spans="3:4">
      <c r="C8113" s="319"/>
      <c r="D8113" s="319"/>
    </row>
    <row r="8114" spans="3:4">
      <c r="C8114" s="319"/>
      <c r="D8114" s="319"/>
    </row>
    <row r="8115" spans="3:4">
      <c r="C8115" s="319"/>
      <c r="D8115" s="319"/>
    </row>
    <row r="8116" spans="3:7">
      <c r="C8116" s="319"/>
      <c r="D8116" s="319"/>
      <c r="G8116" s="320"/>
    </row>
    <row r="8117" spans="3:4">
      <c r="C8117" s="319"/>
      <c r="D8117" s="319"/>
    </row>
    <row r="8118" spans="3:4">
      <c r="C8118" s="319"/>
      <c r="D8118" s="319"/>
    </row>
    <row r="8119" spans="3:4">
      <c r="C8119" s="319"/>
      <c r="D8119" s="319"/>
    </row>
    <row r="8120" spans="3:7">
      <c r="C8120" s="319"/>
      <c r="D8120" s="319"/>
      <c r="G8120" s="320"/>
    </row>
    <row r="8121" spans="3:7">
      <c r="C8121" s="319"/>
      <c r="D8121" s="319"/>
      <c r="G8121" s="320"/>
    </row>
    <row r="8122" spans="3:7">
      <c r="C8122" s="319"/>
      <c r="D8122" s="319"/>
      <c r="G8122" s="320"/>
    </row>
    <row r="8123" spans="3:7">
      <c r="C8123" s="319"/>
      <c r="D8123" s="319"/>
      <c r="G8123" s="320"/>
    </row>
    <row r="8124" spans="3:7">
      <c r="C8124" s="319"/>
      <c r="D8124" s="319"/>
      <c r="G8124" s="320"/>
    </row>
    <row r="8125" spans="3:7">
      <c r="C8125" s="319"/>
      <c r="D8125" s="319"/>
      <c r="G8125" s="320"/>
    </row>
    <row r="8126" spans="3:7">
      <c r="C8126" s="319"/>
      <c r="D8126" s="319"/>
      <c r="G8126" s="320"/>
    </row>
    <row r="8127" spans="3:7">
      <c r="C8127" s="319"/>
      <c r="D8127" s="319"/>
      <c r="G8127" s="320"/>
    </row>
    <row r="8128" spans="3:7">
      <c r="C8128" s="319"/>
      <c r="D8128" s="319"/>
      <c r="G8128" s="320"/>
    </row>
    <row r="8129" spans="3:7">
      <c r="C8129" s="319"/>
      <c r="D8129" s="319"/>
      <c r="G8129" s="320"/>
    </row>
    <row r="8130" spans="3:7">
      <c r="C8130" s="319"/>
      <c r="D8130" s="319"/>
      <c r="G8130" s="320"/>
    </row>
    <row r="8131" spans="3:7">
      <c r="C8131" s="319"/>
      <c r="D8131" s="319"/>
      <c r="G8131" s="320"/>
    </row>
    <row r="8132" spans="3:7">
      <c r="C8132" s="319"/>
      <c r="D8132" s="319"/>
      <c r="G8132" s="320"/>
    </row>
    <row r="8133" spans="3:7">
      <c r="C8133" s="319"/>
      <c r="D8133" s="319"/>
      <c r="G8133" s="320"/>
    </row>
    <row r="8134" spans="3:7">
      <c r="C8134" s="319"/>
      <c r="D8134" s="319"/>
      <c r="G8134" s="320"/>
    </row>
    <row r="8135" spans="3:7">
      <c r="C8135" s="319"/>
      <c r="D8135" s="319"/>
      <c r="G8135" s="320"/>
    </row>
    <row r="8136" spans="3:7">
      <c r="C8136" s="319"/>
      <c r="D8136" s="319"/>
      <c r="G8136" s="320"/>
    </row>
    <row r="8137" spans="3:7">
      <c r="C8137" s="319"/>
      <c r="D8137" s="319"/>
      <c r="G8137" s="320"/>
    </row>
    <row r="8138" spans="3:7">
      <c r="C8138" s="319"/>
      <c r="D8138" s="319"/>
      <c r="G8138" s="320"/>
    </row>
    <row r="8139" spans="3:7">
      <c r="C8139" s="319"/>
      <c r="D8139" s="319"/>
      <c r="G8139" s="320"/>
    </row>
    <row r="8140" spans="3:7">
      <c r="C8140" s="319"/>
      <c r="D8140" s="319"/>
      <c r="G8140" s="320"/>
    </row>
    <row r="8141" spans="3:7">
      <c r="C8141" s="319"/>
      <c r="D8141" s="319"/>
      <c r="G8141" s="320"/>
    </row>
    <row r="8142" spans="3:7">
      <c r="C8142" s="319"/>
      <c r="D8142" s="319"/>
      <c r="G8142" s="320"/>
    </row>
    <row r="8143" spans="3:7">
      <c r="C8143" s="319"/>
      <c r="D8143" s="319"/>
      <c r="G8143" s="320"/>
    </row>
    <row r="8144" spans="3:7">
      <c r="C8144" s="319"/>
      <c r="D8144" s="319"/>
      <c r="G8144" s="320"/>
    </row>
    <row r="8145" spans="3:7">
      <c r="C8145" s="319"/>
      <c r="D8145" s="319"/>
      <c r="G8145" s="320"/>
    </row>
    <row r="8146" spans="3:7">
      <c r="C8146" s="319"/>
      <c r="D8146" s="319"/>
      <c r="G8146" s="320"/>
    </row>
    <row r="8147" spans="3:7">
      <c r="C8147" s="319"/>
      <c r="D8147" s="319"/>
      <c r="G8147" s="320"/>
    </row>
    <row r="8148" spans="3:7">
      <c r="C8148" s="319"/>
      <c r="D8148" s="319"/>
      <c r="G8148" s="320"/>
    </row>
    <row r="8149" spans="3:4">
      <c r="C8149" s="319"/>
      <c r="D8149" s="319"/>
    </row>
    <row r="8150" spans="3:4">
      <c r="C8150" s="319"/>
      <c r="D8150" s="319"/>
    </row>
    <row r="8151" spans="3:4">
      <c r="C8151" s="319"/>
      <c r="D8151" s="319"/>
    </row>
    <row r="8152" spans="3:7">
      <c r="C8152" s="319"/>
      <c r="D8152" s="319"/>
      <c r="G8152" s="320"/>
    </row>
    <row r="8153" spans="3:4">
      <c r="C8153" s="319"/>
      <c r="D8153" s="319"/>
    </row>
    <row r="8154" spans="3:7">
      <c r="C8154" s="319"/>
      <c r="D8154" s="319"/>
      <c r="G8154" s="320"/>
    </row>
    <row r="8155" spans="3:7">
      <c r="C8155" s="319"/>
      <c r="D8155" s="319"/>
      <c r="G8155" s="320"/>
    </row>
    <row r="8156" spans="3:7">
      <c r="C8156" s="319"/>
      <c r="D8156" s="319"/>
      <c r="G8156" s="320"/>
    </row>
    <row r="8157" spans="3:7">
      <c r="C8157" s="319"/>
      <c r="D8157" s="319"/>
      <c r="G8157" s="320"/>
    </row>
    <row r="8158" spans="3:4">
      <c r="C8158" s="319"/>
      <c r="D8158" s="319"/>
    </row>
    <row r="8159" spans="3:4">
      <c r="C8159" s="319"/>
      <c r="D8159" s="319"/>
    </row>
    <row r="8160" spans="3:4">
      <c r="C8160" s="319"/>
      <c r="D8160" s="319"/>
    </row>
    <row r="8161" spans="3:4">
      <c r="C8161" s="319"/>
      <c r="D8161" s="319"/>
    </row>
    <row r="8162" spans="3:4">
      <c r="C8162" s="319"/>
      <c r="D8162" s="319"/>
    </row>
    <row r="8163" spans="3:7">
      <c r="C8163" s="319"/>
      <c r="D8163" s="319"/>
      <c r="G8163" s="320"/>
    </row>
    <row r="8164" spans="3:4">
      <c r="C8164" s="319"/>
      <c r="D8164" s="319"/>
    </row>
    <row r="8165" spans="3:4">
      <c r="C8165" s="319"/>
      <c r="D8165" s="319"/>
    </row>
    <row r="8166" spans="3:7">
      <c r="C8166" s="319"/>
      <c r="D8166" s="319"/>
      <c r="G8166" s="320"/>
    </row>
    <row r="8167" spans="3:4">
      <c r="C8167" s="319"/>
      <c r="D8167" s="319"/>
    </row>
    <row r="8168" spans="3:7">
      <c r="C8168" s="319"/>
      <c r="D8168" s="319"/>
      <c r="G8168" s="320"/>
    </row>
    <row r="8169" spans="3:7">
      <c r="C8169" s="319"/>
      <c r="D8169" s="319"/>
      <c r="G8169" s="320"/>
    </row>
    <row r="8170" spans="3:4">
      <c r="C8170" s="319"/>
      <c r="D8170" s="319"/>
    </row>
    <row r="8171" spans="3:4">
      <c r="C8171" s="319"/>
      <c r="D8171" s="319"/>
    </row>
    <row r="8172" spans="3:4">
      <c r="C8172" s="319"/>
      <c r="D8172" s="319"/>
    </row>
    <row r="8173" spans="3:7">
      <c r="C8173" s="319"/>
      <c r="D8173" s="319"/>
      <c r="G8173" s="320"/>
    </row>
    <row r="8174" spans="3:4">
      <c r="C8174" s="319"/>
      <c r="D8174" s="319"/>
    </row>
    <row r="8175" spans="3:4">
      <c r="C8175" s="319"/>
      <c r="D8175" s="319"/>
    </row>
    <row r="8176" spans="3:4">
      <c r="C8176" s="319"/>
      <c r="D8176" s="319"/>
    </row>
    <row r="8177" spans="3:4">
      <c r="C8177" s="319"/>
      <c r="D8177" s="319"/>
    </row>
    <row r="8178" spans="3:4">
      <c r="C8178" s="319"/>
      <c r="D8178" s="319"/>
    </row>
    <row r="8179" spans="3:4">
      <c r="C8179" s="319"/>
      <c r="D8179" s="319"/>
    </row>
    <row r="8180" spans="3:4">
      <c r="C8180" s="319"/>
      <c r="D8180" s="319"/>
    </row>
    <row r="8181" spans="3:4">
      <c r="C8181" s="319"/>
      <c r="D8181" s="319"/>
    </row>
    <row r="8182" spans="3:4">
      <c r="C8182" s="319"/>
      <c r="D8182" s="319"/>
    </row>
    <row r="8183" spans="3:4">
      <c r="C8183" s="319"/>
      <c r="D8183" s="319"/>
    </row>
    <row r="8184" spans="3:7">
      <c r="C8184" s="319"/>
      <c r="D8184" s="319"/>
      <c r="G8184" s="320"/>
    </row>
    <row r="8185" spans="3:4">
      <c r="C8185" s="319"/>
      <c r="D8185" s="319"/>
    </row>
    <row r="8186" spans="3:4">
      <c r="C8186" s="319"/>
      <c r="D8186" s="319"/>
    </row>
    <row r="8187" spans="3:7">
      <c r="C8187" s="319"/>
      <c r="D8187" s="319"/>
      <c r="G8187" s="320"/>
    </row>
    <row r="8188" spans="3:7">
      <c r="C8188" s="319"/>
      <c r="D8188" s="319"/>
      <c r="G8188" s="320"/>
    </row>
    <row r="8189" spans="3:7">
      <c r="C8189" s="319"/>
      <c r="D8189" s="319"/>
      <c r="G8189" s="320"/>
    </row>
    <row r="8190" spans="3:7">
      <c r="C8190" s="319"/>
      <c r="D8190" s="319"/>
      <c r="G8190" s="320"/>
    </row>
    <row r="8191" spans="3:4">
      <c r="C8191" s="319"/>
      <c r="D8191" s="319"/>
    </row>
    <row r="8192" spans="3:4">
      <c r="C8192" s="319"/>
      <c r="D8192" s="319"/>
    </row>
    <row r="8193" spans="3:4">
      <c r="C8193" s="319"/>
      <c r="D8193" s="319"/>
    </row>
    <row r="8194" spans="3:4">
      <c r="C8194" s="319"/>
      <c r="D8194" s="319"/>
    </row>
    <row r="8195" spans="3:4">
      <c r="C8195" s="319"/>
      <c r="D8195" s="319"/>
    </row>
    <row r="8196" spans="3:7">
      <c r="C8196" s="319"/>
      <c r="D8196" s="319"/>
      <c r="G8196" s="320"/>
    </row>
    <row r="8197" spans="3:7">
      <c r="C8197" s="319"/>
      <c r="D8197" s="319"/>
      <c r="G8197" s="320"/>
    </row>
    <row r="8198" spans="3:7">
      <c r="C8198" s="319"/>
      <c r="D8198" s="319"/>
      <c r="G8198" s="320"/>
    </row>
    <row r="8199" spans="3:4">
      <c r="C8199" s="319"/>
      <c r="D8199" s="319"/>
    </row>
    <row r="8200" spans="3:4">
      <c r="C8200" s="319"/>
      <c r="D8200" s="319"/>
    </row>
    <row r="8201" spans="3:7">
      <c r="C8201" s="319"/>
      <c r="D8201" s="319"/>
      <c r="G8201" s="320"/>
    </row>
    <row r="8202" spans="3:7">
      <c r="C8202" s="319"/>
      <c r="D8202" s="319"/>
      <c r="G8202" s="320"/>
    </row>
    <row r="8203" spans="3:7">
      <c r="C8203" s="319"/>
      <c r="D8203" s="319"/>
      <c r="G8203" s="320"/>
    </row>
    <row r="8204" spans="3:7">
      <c r="C8204" s="319"/>
      <c r="D8204" s="319"/>
      <c r="G8204" s="320"/>
    </row>
    <row r="8205" spans="3:4">
      <c r="C8205" s="319"/>
      <c r="D8205" s="319"/>
    </row>
    <row r="8206" spans="3:4">
      <c r="C8206" s="319"/>
      <c r="D8206" s="319"/>
    </row>
    <row r="8207" spans="3:4">
      <c r="C8207" s="319"/>
      <c r="D8207" s="319"/>
    </row>
    <row r="8208" spans="3:7">
      <c r="C8208" s="319"/>
      <c r="D8208" s="319"/>
      <c r="G8208" s="320"/>
    </row>
    <row r="8209" spans="3:7">
      <c r="C8209" s="319"/>
      <c r="D8209" s="319"/>
      <c r="G8209" s="320"/>
    </row>
    <row r="8210" spans="3:7">
      <c r="C8210" s="319"/>
      <c r="D8210" s="319"/>
      <c r="G8210" s="320"/>
    </row>
    <row r="8211" spans="3:7">
      <c r="C8211" s="319"/>
      <c r="D8211" s="319"/>
      <c r="G8211" s="320"/>
    </row>
    <row r="8212" spans="3:7">
      <c r="C8212" s="319"/>
      <c r="D8212" s="319"/>
      <c r="G8212" s="320"/>
    </row>
    <row r="8213" spans="3:4">
      <c r="C8213" s="319"/>
      <c r="D8213" s="319"/>
    </row>
    <row r="8214" spans="3:4">
      <c r="C8214" s="319"/>
      <c r="D8214" s="319"/>
    </row>
    <row r="8215" spans="3:4">
      <c r="C8215" s="319"/>
      <c r="D8215" s="319"/>
    </row>
    <row r="8216" spans="3:4">
      <c r="C8216" s="319"/>
      <c r="D8216" s="319"/>
    </row>
    <row r="8217" spans="1:7">
      <c r="A8217" s="321"/>
      <c r="C8217" s="319"/>
      <c r="D8217" s="319"/>
      <c r="G8217" s="320"/>
    </row>
    <row r="8218" spans="3:7">
      <c r="C8218" s="319"/>
      <c r="D8218" s="319"/>
      <c r="G8218" s="320"/>
    </row>
    <row r="8219" spans="3:4">
      <c r="C8219" s="319"/>
      <c r="D8219" s="319"/>
    </row>
    <row r="8220" spans="3:7">
      <c r="C8220" s="319"/>
      <c r="D8220" s="319"/>
      <c r="G8220" s="320"/>
    </row>
    <row r="8221" spans="3:4">
      <c r="C8221" s="319"/>
      <c r="D8221" s="319"/>
    </row>
    <row r="8222" spans="3:7">
      <c r="C8222" s="319"/>
      <c r="D8222" s="319"/>
      <c r="G8222" s="320"/>
    </row>
    <row r="8223" spans="3:7">
      <c r="C8223" s="319"/>
      <c r="D8223" s="319"/>
      <c r="G8223" s="320"/>
    </row>
    <row r="8224" spans="3:7">
      <c r="C8224" s="319"/>
      <c r="D8224" s="319"/>
      <c r="G8224" s="320"/>
    </row>
    <row r="8225" spans="3:7">
      <c r="C8225" s="319"/>
      <c r="D8225" s="319"/>
      <c r="G8225" s="320"/>
    </row>
    <row r="8226" spans="3:7">
      <c r="C8226" s="319"/>
      <c r="D8226" s="319"/>
      <c r="G8226" s="320"/>
    </row>
    <row r="8227" spans="3:7">
      <c r="C8227" s="319"/>
      <c r="D8227" s="319"/>
      <c r="G8227" s="320"/>
    </row>
    <row r="8228" spans="3:7">
      <c r="C8228" s="319"/>
      <c r="D8228" s="319"/>
      <c r="G8228" s="320"/>
    </row>
    <row r="8229" spans="3:7">
      <c r="C8229" s="319"/>
      <c r="D8229" s="319"/>
      <c r="G8229" s="320"/>
    </row>
    <row r="8230" spans="3:7">
      <c r="C8230" s="319"/>
      <c r="D8230" s="319"/>
      <c r="G8230" s="320"/>
    </row>
    <row r="8231" spans="3:4">
      <c r="C8231" s="319"/>
      <c r="D8231" s="319"/>
    </row>
    <row r="8232" spans="3:4">
      <c r="C8232" s="319"/>
      <c r="D8232" s="319"/>
    </row>
    <row r="8233" spans="3:7">
      <c r="C8233" s="319"/>
      <c r="D8233" s="319"/>
      <c r="G8233" s="320"/>
    </row>
    <row r="8234" spans="3:4">
      <c r="C8234" s="319"/>
      <c r="D8234" s="319"/>
    </row>
    <row r="8235" spans="3:7">
      <c r="C8235" s="319"/>
      <c r="D8235" s="319"/>
      <c r="G8235" s="320"/>
    </row>
    <row r="8236" spans="3:4">
      <c r="C8236" s="319"/>
      <c r="D8236" s="319"/>
    </row>
    <row r="8237" spans="3:4">
      <c r="C8237" s="319"/>
      <c r="D8237" s="319"/>
    </row>
    <row r="8238" spans="3:4">
      <c r="C8238" s="319"/>
      <c r="D8238" s="319"/>
    </row>
    <row r="8239" spans="3:4">
      <c r="C8239" s="319"/>
      <c r="D8239" s="319"/>
    </row>
    <row r="8240" spans="3:7">
      <c r="C8240" s="319"/>
      <c r="D8240" s="319"/>
      <c r="G8240" s="320"/>
    </row>
    <row r="8241" spans="3:7">
      <c r="C8241" s="319"/>
      <c r="D8241" s="319"/>
      <c r="G8241" s="320"/>
    </row>
    <row r="8242" spans="3:4">
      <c r="C8242" s="319"/>
      <c r="D8242" s="319"/>
    </row>
    <row r="8243" spans="3:7">
      <c r="C8243" s="319"/>
      <c r="D8243" s="319"/>
      <c r="G8243" s="320"/>
    </row>
    <row r="8244" spans="3:4">
      <c r="C8244" s="319"/>
      <c r="D8244" s="319"/>
    </row>
    <row r="8245" spans="3:4">
      <c r="C8245" s="319"/>
      <c r="D8245" s="319"/>
    </row>
    <row r="8246" spans="3:4">
      <c r="C8246" s="319"/>
      <c r="D8246" s="319"/>
    </row>
    <row r="8247" spans="3:7">
      <c r="C8247" s="319"/>
      <c r="D8247" s="319"/>
      <c r="G8247" s="320"/>
    </row>
    <row r="8248" spans="3:4">
      <c r="C8248" s="319"/>
      <c r="D8248" s="319"/>
    </row>
    <row r="8249" spans="3:4">
      <c r="C8249" s="319"/>
      <c r="D8249" s="319"/>
    </row>
    <row r="8250" spans="3:4">
      <c r="C8250" s="319"/>
      <c r="D8250" s="319"/>
    </row>
    <row r="8251" spans="3:4">
      <c r="C8251" s="319"/>
      <c r="D8251" s="319"/>
    </row>
    <row r="8252" spans="3:7">
      <c r="C8252" s="319"/>
      <c r="D8252" s="319"/>
      <c r="G8252" s="320"/>
    </row>
    <row r="8253" spans="3:4">
      <c r="C8253" s="319"/>
      <c r="D8253" s="319"/>
    </row>
    <row r="8254" spans="3:4">
      <c r="C8254" s="319"/>
      <c r="D8254" s="319"/>
    </row>
    <row r="8255" spans="3:4">
      <c r="C8255" s="319"/>
      <c r="D8255" s="319"/>
    </row>
    <row r="8256" spans="3:4">
      <c r="C8256" s="319"/>
      <c r="D8256" s="319"/>
    </row>
    <row r="8257" spans="3:4">
      <c r="C8257" s="319"/>
      <c r="D8257" s="319"/>
    </row>
    <row r="8258" spans="3:7">
      <c r="C8258" s="319"/>
      <c r="D8258" s="319"/>
      <c r="G8258" s="320"/>
    </row>
    <row r="8259" spans="3:4">
      <c r="C8259" s="319"/>
      <c r="D8259" s="319"/>
    </row>
    <row r="8260" spans="3:4">
      <c r="C8260" s="319"/>
      <c r="D8260" s="319"/>
    </row>
    <row r="8261" spans="3:7">
      <c r="C8261" s="319"/>
      <c r="D8261" s="319"/>
      <c r="G8261" s="320"/>
    </row>
    <row r="8262" spans="3:7">
      <c r="C8262" s="319"/>
      <c r="D8262" s="319"/>
      <c r="G8262" s="320"/>
    </row>
    <row r="8263" spans="3:7">
      <c r="C8263" s="319"/>
      <c r="D8263" s="319"/>
      <c r="G8263" s="320"/>
    </row>
    <row r="8264" spans="3:4">
      <c r="C8264" s="319"/>
      <c r="D8264" s="319"/>
    </row>
    <row r="8265" spans="3:4">
      <c r="C8265" s="319"/>
      <c r="D8265" s="319"/>
    </row>
    <row r="8266" spans="3:4">
      <c r="C8266" s="319"/>
      <c r="D8266" s="319"/>
    </row>
    <row r="8267" spans="3:4">
      <c r="C8267" s="319"/>
      <c r="D8267" s="319"/>
    </row>
    <row r="8268" spans="3:4">
      <c r="C8268" s="319"/>
      <c r="D8268" s="319"/>
    </row>
    <row r="8269" spans="3:4">
      <c r="C8269" s="319"/>
      <c r="D8269" s="319"/>
    </row>
    <row r="8270" spans="3:4">
      <c r="C8270" s="319"/>
      <c r="D8270" s="319"/>
    </row>
    <row r="8271" spans="3:4">
      <c r="C8271" s="319"/>
      <c r="D8271" s="319"/>
    </row>
    <row r="8272" spans="3:7">
      <c r="C8272" s="319"/>
      <c r="D8272" s="319"/>
      <c r="G8272" s="320"/>
    </row>
    <row r="8273" spans="3:7">
      <c r="C8273" s="319"/>
      <c r="D8273" s="319"/>
      <c r="G8273" s="320"/>
    </row>
    <row r="8274" spans="3:4">
      <c r="C8274" s="319"/>
      <c r="D8274" s="319"/>
    </row>
    <row r="8275" spans="3:4">
      <c r="C8275" s="319"/>
      <c r="D8275" s="319"/>
    </row>
    <row r="8276" spans="3:4">
      <c r="C8276" s="319"/>
      <c r="D8276" s="319"/>
    </row>
    <row r="8277" spans="3:7">
      <c r="C8277" s="319"/>
      <c r="D8277" s="319"/>
      <c r="G8277" s="320"/>
    </row>
    <row r="8278" spans="3:4">
      <c r="C8278" s="319"/>
      <c r="D8278" s="319"/>
    </row>
    <row r="8279" spans="3:4">
      <c r="C8279" s="319"/>
      <c r="D8279" s="319"/>
    </row>
    <row r="8280" spans="3:4">
      <c r="C8280" s="319"/>
      <c r="D8280" s="319"/>
    </row>
    <row r="8281" spans="3:7">
      <c r="C8281" s="319"/>
      <c r="D8281" s="319"/>
      <c r="G8281" s="320"/>
    </row>
    <row r="8282" spans="3:4">
      <c r="C8282" s="319"/>
      <c r="D8282" s="319"/>
    </row>
    <row r="8283" spans="3:4">
      <c r="C8283" s="319"/>
      <c r="D8283" s="319"/>
    </row>
    <row r="8284" spans="3:7">
      <c r="C8284" s="319"/>
      <c r="D8284" s="319"/>
      <c r="G8284" s="320"/>
    </row>
    <row r="8285" spans="3:4">
      <c r="C8285" s="319"/>
      <c r="D8285" s="319"/>
    </row>
    <row r="8286" spans="3:4">
      <c r="C8286" s="319"/>
      <c r="D8286" s="319"/>
    </row>
    <row r="8287" spans="3:4">
      <c r="C8287" s="319"/>
      <c r="D8287" s="319"/>
    </row>
    <row r="8288" spans="3:4">
      <c r="C8288" s="319"/>
      <c r="D8288" s="319"/>
    </row>
    <row r="8289" spans="3:4">
      <c r="C8289" s="319"/>
      <c r="D8289" s="319"/>
    </row>
    <row r="8290" spans="3:7">
      <c r="C8290" s="319"/>
      <c r="D8290" s="319"/>
      <c r="G8290" s="320"/>
    </row>
    <row r="8291" spans="3:4">
      <c r="C8291" s="319"/>
      <c r="D8291" s="319"/>
    </row>
    <row r="8292" spans="3:4">
      <c r="C8292" s="319"/>
      <c r="D8292" s="319"/>
    </row>
    <row r="8293" spans="3:7">
      <c r="C8293" s="319"/>
      <c r="D8293" s="319"/>
      <c r="G8293" s="320"/>
    </row>
    <row r="8294" spans="3:4">
      <c r="C8294" s="319"/>
      <c r="D8294" s="319"/>
    </row>
    <row r="8295" spans="3:4">
      <c r="C8295" s="319"/>
      <c r="D8295" s="319"/>
    </row>
    <row r="8296" spans="3:4">
      <c r="C8296" s="319"/>
      <c r="D8296" s="319"/>
    </row>
    <row r="8297" spans="3:4">
      <c r="C8297" s="319"/>
      <c r="D8297" s="319"/>
    </row>
    <row r="8298" spans="3:4">
      <c r="C8298" s="319"/>
      <c r="D8298" s="319"/>
    </row>
    <row r="8299" spans="3:4">
      <c r="C8299" s="319"/>
      <c r="D8299" s="319"/>
    </row>
    <row r="8300" spans="3:4">
      <c r="C8300" s="319"/>
      <c r="D8300" s="319"/>
    </row>
    <row r="8301" spans="3:4">
      <c r="C8301" s="319"/>
      <c r="D8301" s="319"/>
    </row>
    <row r="8302" spans="3:4">
      <c r="C8302" s="319"/>
      <c r="D8302" s="319"/>
    </row>
    <row r="8303" spans="3:7">
      <c r="C8303" s="319"/>
      <c r="D8303" s="319"/>
      <c r="G8303" s="320"/>
    </row>
    <row r="8304" spans="3:7">
      <c r="C8304" s="319"/>
      <c r="D8304" s="319"/>
      <c r="G8304" s="320"/>
    </row>
    <row r="8305" spans="3:4">
      <c r="C8305" s="319"/>
      <c r="D8305" s="319"/>
    </row>
    <row r="8306" spans="3:4">
      <c r="C8306" s="319"/>
      <c r="D8306" s="319"/>
    </row>
    <row r="8307" spans="3:4">
      <c r="C8307" s="319"/>
      <c r="D8307" s="319"/>
    </row>
    <row r="8308" spans="3:4">
      <c r="C8308" s="319"/>
      <c r="D8308" s="319"/>
    </row>
    <row r="8309" spans="3:7">
      <c r="C8309" s="319"/>
      <c r="D8309" s="319"/>
      <c r="G8309" s="320"/>
    </row>
    <row r="8310" spans="3:4">
      <c r="C8310" s="319"/>
      <c r="D8310" s="319"/>
    </row>
    <row r="8311" spans="3:7">
      <c r="C8311" s="319"/>
      <c r="D8311" s="319"/>
      <c r="G8311" s="320"/>
    </row>
    <row r="8312" spans="3:7">
      <c r="C8312" s="319"/>
      <c r="D8312" s="319"/>
      <c r="G8312" s="320"/>
    </row>
    <row r="8313" spans="3:4">
      <c r="C8313" s="319"/>
      <c r="D8313" s="319"/>
    </row>
    <row r="8314" spans="3:4">
      <c r="C8314" s="319"/>
      <c r="D8314" s="319"/>
    </row>
    <row r="8315" spans="3:7">
      <c r="C8315" s="319"/>
      <c r="D8315" s="319"/>
      <c r="G8315" s="320"/>
    </row>
    <row r="8316" spans="3:4">
      <c r="C8316" s="319"/>
      <c r="D8316" s="319"/>
    </row>
    <row r="8317" spans="3:4">
      <c r="C8317" s="319"/>
      <c r="D8317" s="319"/>
    </row>
    <row r="8318" spans="3:4">
      <c r="C8318" s="319"/>
      <c r="D8318" s="319"/>
    </row>
    <row r="8319" spans="3:4">
      <c r="C8319" s="319"/>
      <c r="D8319" s="319"/>
    </row>
    <row r="8320" spans="3:7">
      <c r="C8320" s="319"/>
      <c r="D8320" s="319"/>
      <c r="G8320" s="320"/>
    </row>
    <row r="8321" spans="3:7">
      <c r="C8321" s="319"/>
      <c r="D8321" s="319"/>
      <c r="G8321" s="320"/>
    </row>
    <row r="8322" spans="3:4">
      <c r="C8322" s="319"/>
      <c r="D8322" s="319"/>
    </row>
    <row r="8323" spans="3:7">
      <c r="C8323" s="319"/>
      <c r="D8323" s="319"/>
      <c r="G8323" s="320"/>
    </row>
    <row r="8324" spans="3:4">
      <c r="C8324" s="319"/>
      <c r="D8324" s="319"/>
    </row>
    <row r="8325" spans="3:4">
      <c r="C8325" s="319"/>
      <c r="D8325" s="319"/>
    </row>
    <row r="8326" spans="3:4">
      <c r="C8326" s="319"/>
      <c r="D8326" s="319"/>
    </row>
    <row r="8327" spans="3:4">
      <c r="C8327" s="319"/>
      <c r="D8327" s="319"/>
    </row>
    <row r="8328" spans="3:7">
      <c r="C8328" s="319"/>
      <c r="D8328" s="319"/>
      <c r="G8328" s="320"/>
    </row>
    <row r="8329" spans="3:7">
      <c r="C8329" s="319"/>
      <c r="D8329" s="319"/>
      <c r="G8329" s="320"/>
    </row>
    <row r="8330" spans="3:4">
      <c r="C8330" s="319"/>
      <c r="D8330" s="319"/>
    </row>
    <row r="8331" spans="3:7">
      <c r="C8331" s="319"/>
      <c r="D8331" s="319"/>
      <c r="G8331" s="320"/>
    </row>
    <row r="8332" spans="3:4">
      <c r="C8332" s="319"/>
      <c r="D8332" s="319"/>
    </row>
    <row r="8333" spans="3:4">
      <c r="C8333" s="319"/>
      <c r="D8333" s="319"/>
    </row>
    <row r="8334" spans="3:7">
      <c r="C8334" s="319"/>
      <c r="D8334" s="319"/>
      <c r="G8334" s="320"/>
    </row>
    <row r="8335" spans="3:4">
      <c r="C8335" s="319"/>
      <c r="D8335" s="319"/>
    </row>
    <row r="8336" spans="3:7">
      <c r="C8336" s="319"/>
      <c r="D8336" s="319"/>
      <c r="G8336" s="320"/>
    </row>
    <row r="8337" spans="3:4">
      <c r="C8337" s="319"/>
      <c r="D8337" s="319"/>
    </row>
    <row r="8338" spans="3:4">
      <c r="C8338" s="319"/>
      <c r="D8338" s="319"/>
    </row>
    <row r="8339" spans="3:7">
      <c r="C8339" s="319"/>
      <c r="D8339" s="319"/>
      <c r="G8339" s="320"/>
    </row>
    <row r="8340" spans="3:4">
      <c r="C8340" s="319"/>
      <c r="D8340" s="319"/>
    </row>
    <row r="8341" spans="3:4">
      <c r="C8341" s="319"/>
      <c r="D8341" s="319"/>
    </row>
    <row r="8342" spans="3:7">
      <c r="C8342" s="319"/>
      <c r="D8342" s="319"/>
      <c r="G8342" s="320"/>
    </row>
    <row r="8343" spans="3:4">
      <c r="C8343" s="319"/>
      <c r="D8343" s="319"/>
    </row>
    <row r="8344" spans="3:7">
      <c r="C8344" s="319"/>
      <c r="D8344" s="319"/>
      <c r="G8344" s="320"/>
    </row>
    <row r="8345" spans="3:7">
      <c r="C8345" s="319"/>
      <c r="D8345" s="319"/>
      <c r="G8345" s="320"/>
    </row>
    <row r="8346" spans="3:4">
      <c r="C8346" s="319"/>
      <c r="D8346" s="319"/>
    </row>
    <row r="8347" spans="3:4">
      <c r="C8347" s="319"/>
      <c r="D8347" s="319"/>
    </row>
    <row r="8348" spans="3:4">
      <c r="C8348" s="319"/>
      <c r="D8348" s="319"/>
    </row>
    <row r="8349" spans="3:4">
      <c r="C8349" s="319"/>
      <c r="D8349" s="319"/>
    </row>
    <row r="8350" spans="3:4">
      <c r="C8350" s="319"/>
      <c r="D8350" s="319"/>
    </row>
    <row r="8351" spans="3:4">
      <c r="C8351" s="319"/>
      <c r="D8351" s="319"/>
    </row>
    <row r="8352" spans="3:7">
      <c r="C8352" s="319"/>
      <c r="D8352" s="319"/>
      <c r="G8352" s="320"/>
    </row>
    <row r="8353" spans="3:7">
      <c r="C8353" s="319"/>
      <c r="D8353" s="319"/>
      <c r="G8353" s="320"/>
    </row>
    <row r="8354" spans="3:4">
      <c r="C8354" s="319"/>
      <c r="D8354" s="319"/>
    </row>
    <row r="8355" spans="3:7">
      <c r="C8355" s="319"/>
      <c r="D8355" s="319"/>
      <c r="G8355" s="320"/>
    </row>
    <row r="8356" spans="3:4">
      <c r="C8356" s="319"/>
      <c r="D8356" s="319"/>
    </row>
    <row r="8357" spans="3:4">
      <c r="C8357" s="319"/>
      <c r="D8357" s="319"/>
    </row>
    <row r="8358" spans="3:7">
      <c r="C8358" s="319"/>
      <c r="D8358" s="319"/>
      <c r="G8358" s="320"/>
    </row>
    <row r="8359" spans="3:7">
      <c r="C8359" s="319"/>
      <c r="D8359" s="319"/>
      <c r="G8359" s="320"/>
    </row>
    <row r="8360" spans="3:7">
      <c r="C8360" s="319"/>
      <c r="D8360" s="319"/>
      <c r="G8360" s="320"/>
    </row>
    <row r="8361" spans="3:7">
      <c r="C8361" s="319"/>
      <c r="D8361" s="319"/>
      <c r="G8361" s="320"/>
    </row>
    <row r="8362" spans="3:7">
      <c r="C8362" s="319"/>
      <c r="D8362" s="319"/>
      <c r="G8362" s="320"/>
    </row>
    <row r="8363" spans="3:4">
      <c r="C8363" s="319"/>
      <c r="D8363" s="319"/>
    </row>
    <row r="8364" spans="3:7">
      <c r="C8364" s="319"/>
      <c r="D8364" s="319"/>
      <c r="G8364" s="320"/>
    </row>
    <row r="8365" spans="3:4">
      <c r="C8365" s="319"/>
      <c r="D8365" s="319"/>
    </row>
    <row r="8366" spans="3:4">
      <c r="C8366" s="319"/>
      <c r="D8366" s="319"/>
    </row>
    <row r="8367" spans="3:7">
      <c r="C8367" s="319"/>
      <c r="D8367" s="319"/>
      <c r="G8367" s="320"/>
    </row>
    <row r="8368" spans="3:4">
      <c r="C8368" s="319"/>
      <c r="D8368" s="319"/>
    </row>
    <row r="8369" spans="3:7">
      <c r="C8369" s="319"/>
      <c r="D8369" s="319"/>
      <c r="G8369" s="320"/>
    </row>
    <row r="8370" spans="3:4">
      <c r="C8370" s="319"/>
      <c r="D8370" s="319"/>
    </row>
    <row r="8371" spans="3:4">
      <c r="C8371" s="319"/>
      <c r="D8371" s="319"/>
    </row>
    <row r="8372" spans="3:4">
      <c r="C8372" s="319"/>
      <c r="D8372" s="319"/>
    </row>
    <row r="8373" spans="3:4">
      <c r="C8373" s="319"/>
      <c r="D8373" s="319"/>
    </row>
    <row r="8374" spans="3:4">
      <c r="C8374" s="319"/>
      <c r="D8374" s="319"/>
    </row>
    <row r="8375" spans="3:4">
      <c r="C8375" s="319"/>
      <c r="D8375" s="319"/>
    </row>
    <row r="8376" spans="3:4">
      <c r="C8376" s="319"/>
      <c r="D8376" s="319"/>
    </row>
    <row r="8377" spans="3:4">
      <c r="C8377" s="319"/>
      <c r="D8377" s="319"/>
    </row>
    <row r="8378" spans="3:4">
      <c r="C8378" s="319"/>
      <c r="D8378" s="319"/>
    </row>
    <row r="8379" spans="3:7">
      <c r="C8379" s="319"/>
      <c r="D8379" s="319"/>
      <c r="G8379" s="320"/>
    </row>
    <row r="8380" spans="3:7">
      <c r="C8380" s="319"/>
      <c r="D8380" s="319"/>
      <c r="G8380" s="320"/>
    </row>
    <row r="8381" spans="3:4">
      <c r="C8381" s="319"/>
      <c r="D8381" s="319"/>
    </row>
    <row r="8382" spans="3:4">
      <c r="C8382" s="319"/>
      <c r="D8382" s="319"/>
    </row>
    <row r="8383" spans="3:7">
      <c r="C8383" s="319"/>
      <c r="D8383" s="319"/>
      <c r="G8383" s="320"/>
    </row>
    <row r="8384" spans="3:7">
      <c r="C8384" s="319"/>
      <c r="D8384" s="319"/>
      <c r="G8384" s="320"/>
    </row>
    <row r="8385" spans="3:7">
      <c r="C8385" s="319"/>
      <c r="D8385" s="319"/>
      <c r="G8385" s="320"/>
    </row>
    <row r="8386" spans="3:4">
      <c r="C8386" s="319"/>
      <c r="D8386" s="319"/>
    </row>
    <row r="8387" spans="3:4">
      <c r="C8387" s="319"/>
      <c r="D8387" s="319"/>
    </row>
    <row r="8388" spans="3:4">
      <c r="C8388" s="319"/>
      <c r="D8388" s="319"/>
    </row>
    <row r="8389" spans="3:7">
      <c r="C8389" s="319"/>
      <c r="D8389" s="319"/>
      <c r="G8389" s="320"/>
    </row>
    <row r="8390" spans="3:4">
      <c r="C8390" s="319"/>
      <c r="D8390" s="319"/>
    </row>
    <row r="8391" spans="3:4">
      <c r="C8391" s="319"/>
      <c r="D8391" s="319"/>
    </row>
    <row r="8392" spans="3:7">
      <c r="C8392" s="319"/>
      <c r="D8392" s="319"/>
      <c r="G8392" s="320"/>
    </row>
    <row r="8393" spans="3:7">
      <c r="C8393" s="319"/>
      <c r="D8393" s="319"/>
      <c r="G8393" s="320"/>
    </row>
    <row r="8394" spans="3:7">
      <c r="C8394" s="319"/>
      <c r="D8394" s="319"/>
      <c r="G8394" s="320"/>
    </row>
    <row r="8395" spans="3:7">
      <c r="C8395" s="319"/>
      <c r="D8395" s="319"/>
      <c r="G8395" s="320"/>
    </row>
    <row r="8396" spans="3:4">
      <c r="C8396" s="319"/>
      <c r="D8396" s="319"/>
    </row>
    <row r="8397" spans="3:7">
      <c r="C8397" s="319"/>
      <c r="D8397" s="319"/>
      <c r="G8397" s="320"/>
    </row>
    <row r="8398" spans="3:4">
      <c r="C8398" s="319"/>
      <c r="D8398" s="319"/>
    </row>
    <row r="8399" spans="3:4">
      <c r="C8399" s="319"/>
      <c r="D8399" s="319"/>
    </row>
    <row r="8400" spans="3:4">
      <c r="C8400" s="319"/>
      <c r="D8400" s="319"/>
    </row>
    <row r="8401" spans="3:4">
      <c r="C8401" s="319"/>
      <c r="D8401" s="319"/>
    </row>
    <row r="8402" spans="3:4">
      <c r="C8402" s="319"/>
      <c r="D8402" s="319"/>
    </row>
    <row r="8403" spans="3:7">
      <c r="C8403" s="319"/>
      <c r="D8403" s="319"/>
      <c r="G8403" s="320"/>
    </row>
    <row r="8404" spans="3:4">
      <c r="C8404" s="319"/>
      <c r="D8404" s="319"/>
    </row>
    <row r="8405" spans="3:4">
      <c r="C8405" s="319"/>
      <c r="D8405" s="319"/>
    </row>
    <row r="8406" spans="3:7">
      <c r="C8406" s="319"/>
      <c r="D8406" s="319"/>
      <c r="G8406" s="320"/>
    </row>
    <row r="8407" spans="3:7">
      <c r="C8407" s="319"/>
      <c r="D8407" s="319"/>
      <c r="G8407" s="320"/>
    </row>
    <row r="8408" spans="3:4">
      <c r="C8408" s="319"/>
      <c r="D8408" s="319"/>
    </row>
    <row r="8409" spans="3:7">
      <c r="C8409" s="319"/>
      <c r="D8409" s="319"/>
      <c r="G8409" s="320"/>
    </row>
    <row r="8410" spans="3:4">
      <c r="C8410" s="319"/>
      <c r="D8410" s="319"/>
    </row>
    <row r="8411" spans="3:4">
      <c r="C8411" s="319"/>
      <c r="D8411" s="319"/>
    </row>
    <row r="8412" spans="3:7">
      <c r="C8412" s="319"/>
      <c r="D8412" s="319"/>
      <c r="G8412" s="320"/>
    </row>
    <row r="8413" spans="3:4">
      <c r="C8413" s="319"/>
      <c r="D8413" s="319"/>
    </row>
    <row r="8414" spans="3:4">
      <c r="C8414" s="319"/>
      <c r="D8414" s="319"/>
    </row>
    <row r="8415" spans="3:4">
      <c r="C8415" s="319"/>
      <c r="D8415" s="319"/>
    </row>
    <row r="8416" spans="3:7">
      <c r="C8416" s="319"/>
      <c r="D8416" s="319"/>
      <c r="G8416" s="320"/>
    </row>
    <row r="8417" spans="3:7">
      <c r="C8417" s="319"/>
      <c r="D8417" s="319"/>
      <c r="G8417" s="320"/>
    </row>
    <row r="8418" spans="3:7">
      <c r="C8418" s="319"/>
      <c r="D8418" s="319"/>
      <c r="G8418" s="320"/>
    </row>
    <row r="8419" spans="3:7">
      <c r="C8419" s="319"/>
      <c r="D8419" s="319"/>
      <c r="G8419" s="320"/>
    </row>
    <row r="8420" spans="3:4">
      <c r="C8420" s="319"/>
      <c r="D8420" s="319"/>
    </row>
    <row r="8421" spans="3:4">
      <c r="C8421" s="319"/>
      <c r="D8421" s="319"/>
    </row>
    <row r="8422" spans="3:7">
      <c r="C8422" s="319"/>
      <c r="D8422" s="319"/>
      <c r="G8422" s="320"/>
    </row>
    <row r="8423" spans="3:7">
      <c r="C8423" s="319"/>
      <c r="D8423" s="319"/>
      <c r="G8423" s="320"/>
    </row>
    <row r="8424" spans="3:7">
      <c r="C8424" s="319"/>
      <c r="D8424" s="319"/>
      <c r="G8424" s="320"/>
    </row>
    <row r="8425" spans="3:7">
      <c r="C8425" s="319"/>
      <c r="D8425" s="319"/>
      <c r="G8425" s="320"/>
    </row>
    <row r="8426" spans="3:7">
      <c r="C8426" s="319"/>
      <c r="D8426" s="319"/>
      <c r="G8426" s="320"/>
    </row>
    <row r="8427" spans="3:7">
      <c r="C8427" s="319"/>
      <c r="D8427" s="319"/>
      <c r="G8427" s="320"/>
    </row>
    <row r="8428" spans="3:4">
      <c r="C8428" s="319"/>
      <c r="D8428" s="319"/>
    </row>
    <row r="8429" spans="3:7">
      <c r="C8429" s="319"/>
      <c r="D8429" s="319"/>
      <c r="G8429" s="320"/>
    </row>
    <row r="8430" spans="3:7">
      <c r="C8430" s="319"/>
      <c r="D8430" s="319"/>
      <c r="G8430" s="320"/>
    </row>
    <row r="8431" spans="3:4">
      <c r="C8431" s="319"/>
      <c r="D8431" s="319"/>
    </row>
    <row r="8432" spans="3:4">
      <c r="C8432" s="319"/>
      <c r="D8432" s="319"/>
    </row>
    <row r="8433" spans="3:7">
      <c r="C8433" s="319"/>
      <c r="D8433" s="319"/>
      <c r="G8433" s="320"/>
    </row>
    <row r="8434" spans="3:7">
      <c r="C8434" s="319"/>
      <c r="D8434" s="319"/>
      <c r="G8434" s="320"/>
    </row>
    <row r="8435" spans="3:7">
      <c r="C8435" s="319"/>
      <c r="D8435" s="319"/>
      <c r="G8435" s="320"/>
    </row>
    <row r="8436" spans="3:7">
      <c r="C8436" s="319"/>
      <c r="D8436" s="319"/>
      <c r="G8436" s="320"/>
    </row>
    <row r="8437" spans="3:7">
      <c r="C8437" s="319"/>
      <c r="D8437" s="319"/>
      <c r="G8437" s="320"/>
    </row>
    <row r="8438" spans="3:4">
      <c r="C8438" s="319"/>
      <c r="D8438" s="319"/>
    </row>
    <row r="8439" spans="3:7">
      <c r="C8439" s="319"/>
      <c r="D8439" s="319"/>
      <c r="G8439" s="320"/>
    </row>
    <row r="8440" spans="3:7">
      <c r="C8440" s="319"/>
      <c r="D8440" s="319"/>
      <c r="G8440" s="320"/>
    </row>
    <row r="8441" spans="3:7">
      <c r="C8441" s="319"/>
      <c r="D8441" s="319"/>
      <c r="G8441" s="320"/>
    </row>
    <row r="8442" spans="3:4">
      <c r="C8442" s="319"/>
      <c r="D8442" s="319"/>
    </row>
    <row r="8443" spans="3:7">
      <c r="C8443" s="319"/>
      <c r="D8443" s="319"/>
      <c r="G8443" s="320"/>
    </row>
    <row r="8444" spans="3:7">
      <c r="C8444" s="319"/>
      <c r="D8444" s="319"/>
      <c r="G8444" s="320"/>
    </row>
    <row r="8445" spans="3:4">
      <c r="C8445" s="319"/>
      <c r="D8445" s="319"/>
    </row>
    <row r="8446" spans="3:4">
      <c r="C8446" s="319"/>
      <c r="D8446" s="319"/>
    </row>
    <row r="8447" spans="3:4">
      <c r="C8447" s="319"/>
      <c r="D8447" s="319"/>
    </row>
    <row r="8448" spans="3:4">
      <c r="C8448" s="319"/>
      <c r="D8448" s="319"/>
    </row>
    <row r="8449" spans="3:4">
      <c r="C8449" s="319"/>
      <c r="D8449" s="319"/>
    </row>
    <row r="8450" spans="3:7">
      <c r="C8450" s="319"/>
      <c r="D8450" s="319"/>
      <c r="G8450" s="320"/>
    </row>
    <row r="8451" spans="3:7">
      <c r="C8451" s="319"/>
      <c r="D8451" s="319"/>
      <c r="G8451" s="320"/>
    </row>
    <row r="8452" spans="3:7">
      <c r="C8452" s="319"/>
      <c r="D8452" s="319"/>
      <c r="G8452" s="320"/>
    </row>
    <row r="8453" spans="3:7">
      <c r="C8453" s="319"/>
      <c r="D8453" s="319"/>
      <c r="G8453" s="320"/>
    </row>
    <row r="8454" spans="3:7">
      <c r="C8454" s="319"/>
      <c r="D8454" s="319"/>
      <c r="G8454" s="320"/>
    </row>
    <row r="8455" spans="3:7">
      <c r="C8455" s="319"/>
      <c r="D8455" s="319"/>
      <c r="G8455" s="320"/>
    </row>
    <row r="8456" spans="3:4">
      <c r="C8456" s="319"/>
      <c r="D8456" s="319"/>
    </row>
    <row r="8457" spans="3:7">
      <c r="C8457" s="319"/>
      <c r="D8457" s="319"/>
      <c r="G8457" s="320"/>
    </row>
    <row r="8458" spans="3:4">
      <c r="C8458" s="319"/>
      <c r="D8458" s="319"/>
    </row>
    <row r="8459" spans="3:4">
      <c r="C8459" s="319"/>
      <c r="D8459" s="319"/>
    </row>
    <row r="8460" spans="3:7">
      <c r="C8460" s="319"/>
      <c r="D8460" s="319"/>
      <c r="G8460" s="320"/>
    </row>
    <row r="8461" spans="3:4">
      <c r="C8461" s="319"/>
      <c r="D8461" s="319"/>
    </row>
    <row r="8462" spans="3:7">
      <c r="C8462" s="319"/>
      <c r="D8462" s="319"/>
      <c r="G8462" s="320"/>
    </row>
    <row r="8463" spans="3:7">
      <c r="C8463" s="319"/>
      <c r="D8463" s="319"/>
      <c r="G8463" s="320"/>
    </row>
    <row r="8464" spans="3:4">
      <c r="C8464" s="319"/>
      <c r="D8464" s="319"/>
    </row>
    <row r="8465" spans="3:7">
      <c r="C8465" s="319"/>
      <c r="D8465" s="319"/>
      <c r="G8465" s="320"/>
    </row>
    <row r="8466" spans="3:7">
      <c r="C8466" s="319"/>
      <c r="D8466" s="319"/>
      <c r="G8466" s="320"/>
    </row>
    <row r="8467" spans="3:7">
      <c r="C8467" s="319"/>
      <c r="D8467" s="319"/>
      <c r="G8467" s="320"/>
    </row>
    <row r="8468" spans="3:4">
      <c r="C8468" s="319"/>
      <c r="D8468" s="319"/>
    </row>
    <row r="8469" spans="3:4">
      <c r="C8469" s="319"/>
      <c r="D8469" s="319"/>
    </row>
    <row r="8470" spans="3:7">
      <c r="C8470" s="319"/>
      <c r="D8470" s="319"/>
      <c r="G8470" s="320"/>
    </row>
    <row r="8471" spans="3:7">
      <c r="C8471" s="319"/>
      <c r="D8471" s="319"/>
      <c r="G8471" s="320"/>
    </row>
    <row r="8472" spans="3:4">
      <c r="C8472" s="319"/>
      <c r="D8472" s="319"/>
    </row>
    <row r="8473" spans="3:4">
      <c r="C8473" s="319"/>
      <c r="D8473" s="319"/>
    </row>
    <row r="8474" spans="3:7">
      <c r="C8474" s="319"/>
      <c r="D8474" s="319"/>
      <c r="G8474" s="320"/>
    </row>
    <row r="8475" spans="3:7">
      <c r="C8475" s="319"/>
      <c r="D8475" s="319"/>
      <c r="G8475" s="320"/>
    </row>
    <row r="8476" spans="3:4">
      <c r="C8476" s="319"/>
      <c r="D8476" s="319"/>
    </row>
    <row r="8477" spans="3:7">
      <c r="C8477" s="319"/>
      <c r="D8477" s="319"/>
      <c r="G8477" s="320"/>
    </row>
    <row r="8478" spans="3:7">
      <c r="C8478" s="319"/>
      <c r="D8478" s="319"/>
      <c r="G8478" s="320"/>
    </row>
    <row r="8479" spans="3:7">
      <c r="C8479" s="319"/>
      <c r="D8479" s="319"/>
      <c r="G8479" s="320"/>
    </row>
    <row r="8480" spans="3:4">
      <c r="C8480" s="319"/>
      <c r="D8480" s="319"/>
    </row>
    <row r="8481" spans="3:7">
      <c r="C8481" s="319"/>
      <c r="D8481" s="319"/>
      <c r="G8481" s="320"/>
    </row>
    <row r="8482" spans="3:7">
      <c r="C8482" s="319"/>
      <c r="D8482" s="319"/>
      <c r="G8482" s="320"/>
    </row>
    <row r="8483" spans="3:4">
      <c r="C8483" s="319"/>
      <c r="D8483" s="319"/>
    </row>
    <row r="8484" spans="3:7">
      <c r="C8484" s="319"/>
      <c r="D8484" s="319"/>
      <c r="G8484" s="320"/>
    </row>
    <row r="8485" spans="3:7">
      <c r="C8485" s="319"/>
      <c r="D8485" s="319"/>
      <c r="G8485" s="320"/>
    </row>
    <row r="8486" spans="3:7">
      <c r="C8486" s="319"/>
      <c r="D8486" s="319"/>
      <c r="G8486" s="320"/>
    </row>
    <row r="8487" spans="3:4">
      <c r="C8487" s="319"/>
      <c r="D8487" s="319"/>
    </row>
    <row r="8488" spans="3:7">
      <c r="C8488" s="319"/>
      <c r="D8488" s="319"/>
      <c r="G8488" s="320"/>
    </row>
    <row r="8489" spans="3:4">
      <c r="C8489" s="319"/>
      <c r="D8489" s="319"/>
    </row>
    <row r="8490" spans="3:7">
      <c r="C8490" s="319"/>
      <c r="D8490" s="319"/>
      <c r="G8490" s="320"/>
    </row>
    <row r="8491" spans="3:7">
      <c r="C8491" s="319"/>
      <c r="D8491" s="319"/>
      <c r="G8491" s="320"/>
    </row>
    <row r="8492" spans="3:7">
      <c r="C8492" s="319"/>
      <c r="D8492" s="319"/>
      <c r="G8492" s="320"/>
    </row>
    <row r="8493" spans="3:7">
      <c r="C8493" s="319"/>
      <c r="D8493" s="319"/>
      <c r="G8493" s="320"/>
    </row>
    <row r="8494" spans="3:7">
      <c r="C8494" s="319"/>
      <c r="D8494" s="319"/>
      <c r="G8494" s="320"/>
    </row>
    <row r="8495" spans="3:4">
      <c r="C8495" s="319"/>
      <c r="D8495" s="319"/>
    </row>
    <row r="8496" spans="3:4">
      <c r="C8496" s="319"/>
      <c r="D8496" s="319"/>
    </row>
    <row r="8497" spans="3:7">
      <c r="C8497" s="319"/>
      <c r="D8497" s="319"/>
      <c r="G8497" s="320"/>
    </row>
    <row r="8498" spans="3:4">
      <c r="C8498" s="319"/>
      <c r="D8498" s="319"/>
    </row>
    <row r="8499" spans="3:4">
      <c r="C8499" s="319"/>
      <c r="D8499" s="319"/>
    </row>
    <row r="8500" spans="3:7">
      <c r="C8500" s="319"/>
      <c r="D8500" s="319"/>
      <c r="G8500" s="320"/>
    </row>
    <row r="8501" spans="3:4">
      <c r="C8501" s="319"/>
      <c r="D8501" s="319"/>
    </row>
    <row r="8502" spans="3:7">
      <c r="C8502" s="319"/>
      <c r="D8502" s="319"/>
      <c r="G8502" s="320"/>
    </row>
    <row r="8503" spans="3:4">
      <c r="C8503" s="319"/>
      <c r="D8503" s="319"/>
    </row>
    <row r="8504" spans="3:4">
      <c r="C8504" s="319"/>
      <c r="D8504" s="319"/>
    </row>
    <row r="8505" spans="3:7">
      <c r="C8505" s="319"/>
      <c r="D8505" s="319"/>
      <c r="G8505" s="320"/>
    </row>
    <row r="8506" spans="3:4">
      <c r="C8506" s="319"/>
      <c r="D8506" s="319"/>
    </row>
    <row r="8507" spans="3:4">
      <c r="C8507" s="319"/>
      <c r="D8507" s="319"/>
    </row>
    <row r="8508" spans="3:4">
      <c r="C8508" s="319"/>
      <c r="D8508" s="319"/>
    </row>
    <row r="8509" spans="3:7">
      <c r="C8509" s="319"/>
      <c r="D8509" s="319"/>
      <c r="G8509" s="320"/>
    </row>
    <row r="8510" spans="3:7">
      <c r="C8510" s="319"/>
      <c r="D8510" s="319"/>
      <c r="G8510" s="320"/>
    </row>
    <row r="8511" spans="3:7">
      <c r="C8511" s="319"/>
      <c r="D8511" s="319"/>
      <c r="G8511" s="320"/>
    </row>
    <row r="8512" spans="3:7">
      <c r="C8512" s="319"/>
      <c r="D8512" s="319"/>
      <c r="G8512" s="320"/>
    </row>
    <row r="8513" spans="3:4">
      <c r="C8513" s="319"/>
      <c r="D8513" s="319"/>
    </row>
    <row r="8514" spans="3:7">
      <c r="C8514" s="319"/>
      <c r="D8514" s="319"/>
      <c r="G8514" s="320"/>
    </row>
    <row r="8515" spans="3:4">
      <c r="C8515" s="319"/>
      <c r="D8515" s="319"/>
    </row>
    <row r="8516" spans="3:7">
      <c r="C8516" s="319"/>
      <c r="D8516" s="319"/>
      <c r="G8516" s="320"/>
    </row>
    <row r="8517" spans="3:7">
      <c r="C8517" s="319"/>
      <c r="D8517" s="319"/>
      <c r="G8517" s="320"/>
    </row>
    <row r="8518" spans="3:4">
      <c r="C8518" s="319"/>
      <c r="D8518" s="319"/>
    </row>
    <row r="8519" spans="3:4">
      <c r="C8519" s="319"/>
      <c r="D8519" s="319"/>
    </row>
    <row r="8520" spans="3:4">
      <c r="C8520" s="319"/>
      <c r="D8520" s="319"/>
    </row>
    <row r="8521" spans="3:7">
      <c r="C8521" s="319"/>
      <c r="D8521" s="319"/>
      <c r="G8521" s="320"/>
    </row>
    <row r="8522" spans="3:7">
      <c r="C8522" s="319"/>
      <c r="D8522" s="319"/>
      <c r="G8522" s="320"/>
    </row>
    <row r="8523" spans="3:4">
      <c r="C8523" s="319"/>
      <c r="D8523" s="319"/>
    </row>
    <row r="8524" spans="3:7">
      <c r="C8524" s="319"/>
      <c r="D8524" s="319"/>
      <c r="G8524" s="320"/>
    </row>
    <row r="8525" spans="3:7">
      <c r="C8525" s="319"/>
      <c r="D8525" s="319"/>
      <c r="G8525" s="320"/>
    </row>
    <row r="8526" spans="3:7">
      <c r="C8526" s="319"/>
      <c r="D8526" s="319"/>
      <c r="G8526" s="320"/>
    </row>
    <row r="8527" spans="3:4">
      <c r="C8527" s="319"/>
      <c r="D8527" s="319"/>
    </row>
    <row r="8528" spans="3:7">
      <c r="C8528" s="319"/>
      <c r="D8528" s="319"/>
      <c r="G8528" s="320"/>
    </row>
    <row r="8529" spans="3:4">
      <c r="C8529" s="319"/>
      <c r="D8529" s="319"/>
    </row>
    <row r="8530" spans="3:4">
      <c r="C8530" s="319"/>
      <c r="D8530" s="319"/>
    </row>
    <row r="8531" spans="3:7">
      <c r="C8531" s="319"/>
      <c r="D8531" s="319"/>
      <c r="G8531" s="320"/>
    </row>
    <row r="8532" spans="3:4">
      <c r="C8532" s="319"/>
      <c r="D8532" s="319"/>
    </row>
    <row r="8533" spans="3:7">
      <c r="C8533" s="319"/>
      <c r="D8533" s="319"/>
      <c r="G8533" s="320"/>
    </row>
    <row r="8534" spans="3:7">
      <c r="C8534" s="319"/>
      <c r="D8534" s="319"/>
      <c r="G8534" s="320"/>
    </row>
    <row r="8535" spans="3:7">
      <c r="C8535" s="319"/>
      <c r="D8535" s="319"/>
      <c r="G8535" s="320"/>
    </row>
    <row r="8536" spans="3:7">
      <c r="C8536" s="319"/>
      <c r="D8536" s="319"/>
      <c r="G8536" s="320"/>
    </row>
    <row r="8537" spans="3:7">
      <c r="C8537" s="319"/>
      <c r="D8537" s="319"/>
      <c r="G8537" s="320"/>
    </row>
    <row r="8538" spans="3:7">
      <c r="C8538" s="319"/>
      <c r="D8538" s="319"/>
      <c r="G8538" s="320"/>
    </row>
    <row r="8539" spans="3:7">
      <c r="C8539" s="319"/>
      <c r="D8539" s="319"/>
      <c r="G8539" s="320"/>
    </row>
    <row r="8540" spans="3:4">
      <c r="C8540" s="319"/>
      <c r="D8540" s="319"/>
    </row>
    <row r="8541" spans="3:4">
      <c r="C8541" s="319"/>
      <c r="D8541" s="319"/>
    </row>
    <row r="8542" spans="3:7">
      <c r="C8542" s="319"/>
      <c r="D8542" s="319"/>
      <c r="G8542" s="320"/>
    </row>
    <row r="8543" spans="3:7">
      <c r="C8543" s="319"/>
      <c r="D8543" s="319"/>
      <c r="G8543" s="320"/>
    </row>
    <row r="8544" spans="3:4">
      <c r="C8544" s="319"/>
      <c r="D8544" s="319"/>
    </row>
    <row r="8545" spans="3:7">
      <c r="C8545" s="319"/>
      <c r="D8545" s="319"/>
      <c r="G8545" s="320"/>
    </row>
    <row r="8546" spans="3:7">
      <c r="C8546" s="319"/>
      <c r="D8546" s="319"/>
      <c r="G8546" s="320"/>
    </row>
    <row r="8547" spans="3:7">
      <c r="C8547" s="319"/>
      <c r="D8547" s="319"/>
      <c r="G8547" s="320"/>
    </row>
    <row r="8548" spans="3:4">
      <c r="C8548" s="319"/>
      <c r="D8548" s="319"/>
    </row>
    <row r="8549" spans="3:4">
      <c r="C8549" s="319"/>
      <c r="D8549" s="319"/>
    </row>
    <row r="8550" spans="3:7">
      <c r="C8550" s="319"/>
      <c r="D8550" s="319"/>
      <c r="G8550" s="320"/>
    </row>
    <row r="8551" spans="3:4">
      <c r="C8551" s="319"/>
      <c r="D8551" s="319"/>
    </row>
    <row r="8552" spans="3:7">
      <c r="C8552" s="319"/>
      <c r="D8552" s="319"/>
      <c r="G8552" s="320"/>
    </row>
    <row r="8553" spans="3:7">
      <c r="C8553" s="319"/>
      <c r="D8553" s="319"/>
      <c r="G8553" s="320"/>
    </row>
    <row r="8554" spans="3:4">
      <c r="C8554" s="319"/>
      <c r="D8554" s="319"/>
    </row>
    <row r="8555" spans="3:7">
      <c r="C8555" s="319"/>
      <c r="D8555" s="319"/>
      <c r="G8555" s="320"/>
    </row>
    <row r="8556" spans="3:7">
      <c r="C8556" s="319"/>
      <c r="D8556" s="319"/>
      <c r="G8556" s="320"/>
    </row>
    <row r="8557" spans="3:7">
      <c r="C8557" s="319"/>
      <c r="D8557" s="319"/>
      <c r="G8557" s="320"/>
    </row>
    <row r="8558" spans="3:4">
      <c r="C8558" s="319"/>
      <c r="D8558" s="319"/>
    </row>
    <row r="8559" spans="3:7">
      <c r="C8559" s="319"/>
      <c r="D8559" s="319"/>
      <c r="G8559" s="320"/>
    </row>
    <row r="8560" spans="3:4">
      <c r="C8560" s="319"/>
      <c r="D8560" s="319"/>
    </row>
    <row r="8561" spans="3:4">
      <c r="C8561" s="319"/>
      <c r="D8561" s="319"/>
    </row>
    <row r="8562" spans="3:4">
      <c r="C8562" s="319"/>
      <c r="D8562" s="319"/>
    </row>
    <row r="8563" spans="3:7">
      <c r="C8563" s="319"/>
      <c r="D8563" s="319"/>
      <c r="G8563" s="320"/>
    </row>
    <row r="8564" spans="3:7">
      <c r="C8564" s="319"/>
      <c r="D8564" s="319"/>
      <c r="G8564" s="320"/>
    </row>
    <row r="8565" spans="3:7">
      <c r="C8565" s="319"/>
      <c r="D8565" s="319"/>
      <c r="G8565" s="320"/>
    </row>
    <row r="8566" spans="3:7">
      <c r="C8566" s="319"/>
      <c r="D8566" s="319"/>
      <c r="G8566" s="320"/>
    </row>
    <row r="8567" spans="3:4">
      <c r="C8567" s="319"/>
      <c r="D8567" s="319"/>
    </row>
    <row r="8568" spans="3:7">
      <c r="C8568" s="319"/>
      <c r="D8568" s="319"/>
      <c r="G8568" s="320"/>
    </row>
    <row r="8569" spans="3:4">
      <c r="C8569" s="319"/>
      <c r="D8569" s="319"/>
    </row>
    <row r="8570" spans="3:4">
      <c r="C8570" s="319"/>
      <c r="D8570" s="319"/>
    </row>
    <row r="8571" spans="3:7">
      <c r="C8571" s="319"/>
      <c r="D8571" s="319"/>
      <c r="G8571" s="320"/>
    </row>
    <row r="8572" spans="3:7">
      <c r="C8572" s="319"/>
      <c r="D8572" s="319"/>
      <c r="G8572" s="320"/>
    </row>
    <row r="8573" spans="3:4">
      <c r="C8573" s="319"/>
      <c r="D8573" s="319"/>
    </row>
    <row r="8574" spans="3:7">
      <c r="C8574" s="319"/>
      <c r="D8574" s="319"/>
      <c r="G8574" s="320"/>
    </row>
    <row r="8575" spans="3:4">
      <c r="C8575" s="319"/>
      <c r="D8575" s="319"/>
    </row>
    <row r="8576" spans="3:7">
      <c r="C8576" s="319"/>
      <c r="D8576" s="319"/>
      <c r="G8576" s="320"/>
    </row>
    <row r="8577" spans="3:4">
      <c r="C8577" s="319"/>
      <c r="D8577" s="319"/>
    </row>
    <row r="8578" spans="3:7">
      <c r="C8578" s="319"/>
      <c r="D8578" s="319"/>
      <c r="G8578" s="320"/>
    </row>
    <row r="8579" spans="3:4">
      <c r="C8579" s="319"/>
      <c r="D8579" s="319"/>
    </row>
    <row r="8580" spans="3:7">
      <c r="C8580" s="319"/>
      <c r="D8580" s="319"/>
      <c r="G8580" s="320"/>
    </row>
    <row r="8581" spans="3:7">
      <c r="C8581" s="319"/>
      <c r="D8581" s="319"/>
      <c r="G8581" s="320"/>
    </row>
    <row r="8582" spans="3:4">
      <c r="C8582" s="319"/>
      <c r="D8582" s="319"/>
    </row>
    <row r="8583" spans="3:4">
      <c r="C8583" s="319"/>
      <c r="D8583" s="319"/>
    </row>
    <row r="8584" spans="3:7">
      <c r="C8584" s="319"/>
      <c r="D8584" s="319"/>
      <c r="G8584" s="320"/>
    </row>
    <row r="8585" spans="3:7">
      <c r="C8585" s="319"/>
      <c r="D8585" s="319"/>
      <c r="G8585" s="320"/>
    </row>
    <row r="8586" spans="3:4">
      <c r="C8586" s="319"/>
      <c r="D8586" s="319"/>
    </row>
    <row r="8587" spans="3:4">
      <c r="C8587" s="319"/>
      <c r="D8587" s="319"/>
    </row>
    <row r="8588" spans="3:4">
      <c r="C8588" s="319"/>
      <c r="D8588" s="319"/>
    </row>
    <row r="8589" spans="3:7">
      <c r="C8589" s="319"/>
      <c r="D8589" s="319"/>
      <c r="G8589" s="320"/>
    </row>
    <row r="8590" spans="3:7">
      <c r="C8590" s="319"/>
      <c r="D8590" s="319"/>
      <c r="G8590" s="320"/>
    </row>
    <row r="8591" spans="3:4">
      <c r="C8591" s="319"/>
      <c r="D8591" s="319"/>
    </row>
    <row r="8592" spans="3:7">
      <c r="C8592" s="319"/>
      <c r="D8592" s="319"/>
      <c r="G8592" s="320"/>
    </row>
    <row r="8593" spans="3:7">
      <c r="C8593" s="319"/>
      <c r="D8593" s="319"/>
      <c r="G8593" s="320"/>
    </row>
    <row r="8594" spans="3:7">
      <c r="C8594" s="319"/>
      <c r="D8594" s="319"/>
      <c r="G8594" s="320"/>
    </row>
    <row r="8595" spans="3:7">
      <c r="C8595" s="319"/>
      <c r="D8595" s="319"/>
      <c r="G8595" s="320"/>
    </row>
    <row r="8596" spans="3:7">
      <c r="C8596" s="319"/>
      <c r="D8596" s="319"/>
      <c r="G8596" s="320"/>
    </row>
    <row r="8597" spans="3:7">
      <c r="C8597" s="319"/>
      <c r="D8597" s="319"/>
      <c r="G8597" s="320"/>
    </row>
    <row r="8598" spans="3:4">
      <c r="C8598" s="319"/>
      <c r="D8598" s="319"/>
    </row>
    <row r="8599" spans="3:7">
      <c r="C8599" s="319"/>
      <c r="D8599" s="319"/>
      <c r="G8599" s="320"/>
    </row>
    <row r="8600" spans="3:4">
      <c r="C8600" s="319"/>
      <c r="D8600" s="319"/>
    </row>
    <row r="8601" spans="3:7">
      <c r="C8601" s="319"/>
      <c r="D8601" s="319"/>
      <c r="G8601" s="320"/>
    </row>
    <row r="8602" spans="3:7">
      <c r="C8602" s="319"/>
      <c r="D8602" s="319"/>
      <c r="G8602" s="320"/>
    </row>
    <row r="8603" spans="3:7">
      <c r="C8603" s="319"/>
      <c r="D8603" s="319"/>
      <c r="G8603" s="320"/>
    </row>
    <row r="8604" spans="3:4">
      <c r="C8604" s="319"/>
      <c r="D8604" s="319"/>
    </row>
    <row r="8605" spans="3:7">
      <c r="C8605" s="319"/>
      <c r="D8605" s="319"/>
      <c r="G8605" s="320"/>
    </row>
    <row r="8606" spans="3:7">
      <c r="C8606" s="319"/>
      <c r="D8606" s="319"/>
      <c r="G8606" s="320"/>
    </row>
    <row r="8607" spans="3:7">
      <c r="C8607" s="319"/>
      <c r="D8607" s="319"/>
      <c r="G8607" s="320"/>
    </row>
    <row r="8608" spans="3:7">
      <c r="C8608" s="319"/>
      <c r="D8608" s="319"/>
      <c r="G8608" s="320"/>
    </row>
    <row r="8609" spans="3:7">
      <c r="C8609" s="319"/>
      <c r="D8609" s="319"/>
      <c r="G8609" s="320"/>
    </row>
    <row r="8610" spans="3:4">
      <c r="C8610" s="319"/>
      <c r="D8610" s="319"/>
    </row>
    <row r="8611" spans="3:7">
      <c r="C8611" s="319"/>
      <c r="D8611" s="319"/>
      <c r="G8611" s="320"/>
    </row>
    <row r="8612" spans="3:4">
      <c r="C8612" s="319"/>
      <c r="D8612" s="319"/>
    </row>
    <row r="8613" spans="3:4">
      <c r="C8613" s="319"/>
      <c r="D8613" s="319"/>
    </row>
    <row r="8614" spans="3:4">
      <c r="C8614" s="319"/>
      <c r="D8614" s="319"/>
    </row>
    <row r="8615" spans="3:4">
      <c r="C8615" s="319"/>
      <c r="D8615" s="319"/>
    </row>
    <row r="8616" spans="3:4">
      <c r="C8616" s="319"/>
      <c r="D8616" s="319"/>
    </row>
    <row r="8617" spans="3:4">
      <c r="C8617" s="319"/>
      <c r="D8617" s="319"/>
    </row>
    <row r="8618" spans="3:4">
      <c r="C8618" s="319"/>
      <c r="D8618" s="319"/>
    </row>
    <row r="8619" spans="3:7">
      <c r="C8619" s="319"/>
      <c r="D8619" s="319"/>
      <c r="G8619" s="320"/>
    </row>
    <row r="8620" spans="3:7">
      <c r="C8620" s="319"/>
      <c r="D8620" s="319"/>
      <c r="G8620" s="320"/>
    </row>
    <row r="8621" spans="3:7">
      <c r="C8621" s="319"/>
      <c r="D8621" s="319"/>
      <c r="G8621" s="320"/>
    </row>
    <row r="8622" spans="3:4">
      <c r="C8622" s="319"/>
      <c r="D8622" s="319"/>
    </row>
    <row r="8623" spans="3:4">
      <c r="C8623" s="319"/>
      <c r="D8623" s="319"/>
    </row>
    <row r="8624" spans="3:7">
      <c r="C8624" s="319"/>
      <c r="D8624" s="319"/>
      <c r="G8624" s="320"/>
    </row>
    <row r="8625" spans="3:7">
      <c r="C8625" s="319"/>
      <c r="D8625" s="319"/>
      <c r="G8625" s="320"/>
    </row>
    <row r="8626" spans="3:4">
      <c r="C8626" s="319"/>
      <c r="D8626" s="319"/>
    </row>
    <row r="8627" spans="3:4">
      <c r="C8627" s="319"/>
      <c r="D8627" s="319"/>
    </row>
    <row r="8628" spans="3:4">
      <c r="C8628" s="319"/>
      <c r="D8628" s="319"/>
    </row>
    <row r="8629" spans="3:7">
      <c r="C8629" s="319"/>
      <c r="D8629" s="319"/>
      <c r="G8629" s="320"/>
    </row>
    <row r="8630" spans="3:4">
      <c r="C8630" s="319"/>
      <c r="D8630" s="319"/>
    </row>
    <row r="8631" spans="3:4">
      <c r="C8631" s="319"/>
      <c r="D8631" s="319"/>
    </row>
    <row r="8632" spans="3:7">
      <c r="C8632" s="319"/>
      <c r="D8632" s="319"/>
      <c r="G8632" s="320"/>
    </row>
    <row r="8633" spans="3:4">
      <c r="C8633" s="319"/>
      <c r="D8633" s="319"/>
    </row>
    <row r="8634" spans="3:7">
      <c r="C8634" s="319"/>
      <c r="D8634" s="319"/>
      <c r="G8634" s="320"/>
    </row>
    <row r="8635" spans="3:4">
      <c r="C8635" s="319"/>
      <c r="D8635" s="319"/>
    </row>
    <row r="8636" spans="3:7">
      <c r="C8636" s="319"/>
      <c r="D8636" s="319"/>
      <c r="G8636" s="320"/>
    </row>
    <row r="8637" spans="3:7">
      <c r="C8637" s="319"/>
      <c r="D8637" s="319"/>
      <c r="G8637" s="320"/>
    </row>
    <row r="8638" spans="3:4">
      <c r="C8638" s="319"/>
      <c r="D8638" s="319"/>
    </row>
    <row r="8639" spans="3:7">
      <c r="C8639" s="319"/>
      <c r="D8639" s="319"/>
      <c r="G8639" s="320"/>
    </row>
    <row r="8640" spans="3:4">
      <c r="C8640" s="319"/>
      <c r="D8640" s="319"/>
    </row>
    <row r="8641" spans="3:4">
      <c r="C8641" s="319"/>
      <c r="D8641" s="319"/>
    </row>
    <row r="8642" spans="3:4">
      <c r="C8642" s="319"/>
      <c r="D8642" s="319"/>
    </row>
    <row r="8643" spans="3:4">
      <c r="C8643" s="319"/>
      <c r="D8643" s="319"/>
    </row>
    <row r="8644" spans="3:7">
      <c r="C8644" s="319"/>
      <c r="D8644" s="319"/>
      <c r="G8644" s="320"/>
    </row>
    <row r="8645" spans="3:7">
      <c r="C8645" s="319"/>
      <c r="D8645" s="319"/>
      <c r="G8645" s="320"/>
    </row>
    <row r="8646" spans="3:4">
      <c r="C8646" s="319"/>
      <c r="D8646" s="319"/>
    </row>
    <row r="8647" spans="3:4">
      <c r="C8647" s="319"/>
      <c r="D8647" s="319"/>
    </row>
    <row r="8648" spans="3:4">
      <c r="C8648" s="319"/>
      <c r="D8648" s="319"/>
    </row>
    <row r="8649" spans="3:7">
      <c r="C8649" s="319"/>
      <c r="D8649" s="319"/>
      <c r="G8649" s="320"/>
    </row>
    <row r="8650" spans="3:7">
      <c r="C8650" s="319"/>
      <c r="D8650" s="319"/>
      <c r="G8650" s="320"/>
    </row>
    <row r="8651" spans="3:4">
      <c r="C8651" s="319"/>
      <c r="D8651" s="319"/>
    </row>
    <row r="8652" spans="3:7">
      <c r="C8652" s="319"/>
      <c r="D8652" s="319"/>
      <c r="G8652" s="320"/>
    </row>
    <row r="8653" spans="3:7">
      <c r="C8653" s="319"/>
      <c r="D8653" s="319"/>
      <c r="G8653" s="320"/>
    </row>
    <row r="8654" spans="3:7">
      <c r="C8654" s="319"/>
      <c r="D8654" s="319"/>
      <c r="G8654" s="320"/>
    </row>
    <row r="8655" spans="3:7">
      <c r="C8655" s="319"/>
      <c r="D8655" s="319"/>
      <c r="G8655" s="320"/>
    </row>
    <row r="8656" spans="3:4">
      <c r="C8656" s="319"/>
      <c r="D8656" s="319"/>
    </row>
    <row r="8657" spans="3:7">
      <c r="C8657" s="319"/>
      <c r="D8657" s="319"/>
      <c r="G8657" s="320"/>
    </row>
    <row r="8658" spans="3:7">
      <c r="C8658" s="319"/>
      <c r="D8658" s="319"/>
      <c r="G8658" s="320"/>
    </row>
    <row r="8659" spans="3:7">
      <c r="C8659" s="319"/>
      <c r="D8659" s="319"/>
      <c r="G8659" s="320"/>
    </row>
    <row r="8660" spans="3:7">
      <c r="C8660" s="319"/>
      <c r="D8660" s="319"/>
      <c r="G8660" s="320"/>
    </row>
    <row r="8661" spans="3:7">
      <c r="C8661" s="319"/>
      <c r="D8661" s="319"/>
      <c r="G8661" s="320"/>
    </row>
    <row r="8662" spans="3:7">
      <c r="C8662" s="319"/>
      <c r="D8662" s="319"/>
      <c r="G8662" s="320"/>
    </row>
    <row r="8663" spans="3:7">
      <c r="C8663" s="319"/>
      <c r="D8663" s="319"/>
      <c r="G8663" s="320"/>
    </row>
    <row r="8664" spans="3:7">
      <c r="C8664" s="319"/>
      <c r="D8664" s="319"/>
      <c r="G8664" s="320"/>
    </row>
    <row r="8665" spans="3:7">
      <c r="C8665" s="319"/>
      <c r="D8665" s="319"/>
      <c r="G8665" s="320"/>
    </row>
    <row r="8666" spans="3:4">
      <c r="C8666" s="319"/>
      <c r="D8666" s="319"/>
    </row>
    <row r="8667" spans="3:7">
      <c r="C8667" s="319"/>
      <c r="D8667" s="319"/>
      <c r="G8667" s="320"/>
    </row>
    <row r="8668" spans="3:4">
      <c r="C8668" s="319"/>
      <c r="D8668" s="319"/>
    </row>
    <row r="8669" spans="3:7">
      <c r="C8669" s="319"/>
      <c r="D8669" s="319"/>
      <c r="G8669" s="320"/>
    </row>
    <row r="8670" spans="3:7">
      <c r="C8670" s="319"/>
      <c r="D8670" s="319"/>
      <c r="G8670" s="320"/>
    </row>
    <row r="8671" spans="3:7">
      <c r="C8671" s="319"/>
      <c r="D8671" s="319"/>
      <c r="G8671" s="320"/>
    </row>
    <row r="8672" spans="3:7">
      <c r="C8672" s="319"/>
      <c r="D8672" s="319"/>
      <c r="G8672" s="320"/>
    </row>
    <row r="8673" spans="3:7">
      <c r="C8673" s="319"/>
      <c r="D8673" s="319"/>
      <c r="G8673" s="320"/>
    </row>
    <row r="8674" spans="3:4">
      <c r="C8674" s="319"/>
      <c r="D8674" s="319"/>
    </row>
    <row r="8675" spans="3:4">
      <c r="C8675" s="319"/>
      <c r="D8675" s="319"/>
    </row>
    <row r="8676" spans="3:4">
      <c r="C8676" s="319"/>
      <c r="D8676" s="319"/>
    </row>
    <row r="8677" spans="3:7">
      <c r="C8677" s="319"/>
      <c r="D8677" s="319"/>
      <c r="G8677" s="320"/>
    </row>
    <row r="8678" spans="3:7">
      <c r="C8678" s="319"/>
      <c r="D8678" s="319"/>
      <c r="G8678" s="320"/>
    </row>
    <row r="8679" spans="3:7">
      <c r="C8679" s="319"/>
      <c r="D8679" s="319"/>
      <c r="G8679" s="320"/>
    </row>
    <row r="8680" spans="3:7">
      <c r="C8680" s="319"/>
      <c r="D8680" s="319"/>
      <c r="G8680" s="320"/>
    </row>
    <row r="8681" spans="3:7">
      <c r="C8681" s="319"/>
      <c r="D8681" s="319"/>
      <c r="G8681" s="320"/>
    </row>
    <row r="8682" spans="3:7">
      <c r="C8682" s="319"/>
      <c r="D8682" s="319"/>
      <c r="G8682" s="320"/>
    </row>
    <row r="8683" spans="3:4">
      <c r="C8683" s="319"/>
      <c r="D8683" s="319"/>
    </row>
    <row r="8684" spans="3:4">
      <c r="C8684" s="319"/>
      <c r="D8684" s="319"/>
    </row>
    <row r="8685" spans="3:4">
      <c r="C8685" s="319"/>
      <c r="D8685" s="319"/>
    </row>
    <row r="8686" spans="3:7">
      <c r="C8686" s="319"/>
      <c r="D8686" s="319"/>
      <c r="G8686" s="320"/>
    </row>
    <row r="8687" spans="3:7">
      <c r="C8687" s="319"/>
      <c r="D8687" s="319"/>
      <c r="G8687" s="320"/>
    </row>
    <row r="8688" spans="3:4">
      <c r="C8688" s="319"/>
      <c r="D8688" s="319"/>
    </row>
    <row r="8689" spans="3:4">
      <c r="C8689" s="319"/>
      <c r="D8689" s="319"/>
    </row>
    <row r="8690" spans="3:7">
      <c r="C8690" s="319"/>
      <c r="D8690" s="319"/>
      <c r="G8690" s="320"/>
    </row>
    <row r="8691" spans="3:7">
      <c r="C8691" s="319"/>
      <c r="D8691" s="319"/>
      <c r="G8691" s="320"/>
    </row>
    <row r="8692" spans="3:7">
      <c r="C8692" s="319"/>
      <c r="D8692" s="319"/>
      <c r="G8692" s="320"/>
    </row>
    <row r="8693" spans="3:7">
      <c r="C8693" s="319"/>
      <c r="D8693" s="319"/>
      <c r="G8693" s="320"/>
    </row>
    <row r="8694" spans="3:4">
      <c r="C8694" s="319"/>
      <c r="D8694" s="319"/>
    </row>
    <row r="8695" spans="3:7">
      <c r="C8695" s="319"/>
      <c r="D8695" s="319"/>
      <c r="G8695" s="320"/>
    </row>
    <row r="8696" spans="3:7">
      <c r="C8696" s="319"/>
      <c r="D8696" s="319"/>
      <c r="G8696" s="320"/>
    </row>
    <row r="8697" spans="3:4">
      <c r="C8697" s="319"/>
      <c r="D8697" s="319"/>
    </row>
    <row r="8698" spans="3:7">
      <c r="C8698" s="319"/>
      <c r="D8698" s="319"/>
      <c r="G8698" s="320"/>
    </row>
    <row r="8699" spans="3:4">
      <c r="C8699" s="319"/>
      <c r="D8699" s="319"/>
    </row>
    <row r="8700" spans="3:4">
      <c r="C8700" s="319"/>
      <c r="D8700" s="319"/>
    </row>
    <row r="8701" spans="3:7">
      <c r="C8701" s="319"/>
      <c r="D8701" s="319"/>
      <c r="G8701" s="320"/>
    </row>
    <row r="8702" spans="3:7">
      <c r="C8702" s="319"/>
      <c r="D8702" s="319"/>
      <c r="G8702" s="320"/>
    </row>
    <row r="8703" spans="3:7">
      <c r="C8703" s="319"/>
      <c r="D8703" s="319"/>
      <c r="G8703" s="320"/>
    </row>
    <row r="8704" spans="3:7">
      <c r="C8704" s="319"/>
      <c r="D8704" s="319"/>
      <c r="G8704" s="320"/>
    </row>
    <row r="8705" spans="3:4">
      <c r="C8705" s="319"/>
      <c r="D8705" s="319"/>
    </row>
    <row r="8706" spans="3:4">
      <c r="C8706" s="319"/>
      <c r="D8706" s="319"/>
    </row>
    <row r="8707" spans="3:4">
      <c r="C8707" s="319"/>
      <c r="D8707" s="319"/>
    </row>
    <row r="8708" spans="3:4">
      <c r="C8708" s="319"/>
      <c r="D8708" s="319"/>
    </row>
    <row r="8709" spans="3:4">
      <c r="C8709" s="319"/>
      <c r="D8709" s="319"/>
    </row>
    <row r="8710" spans="3:7">
      <c r="C8710" s="319"/>
      <c r="D8710" s="319"/>
      <c r="G8710" s="320"/>
    </row>
    <row r="8711" spans="3:4">
      <c r="C8711" s="319"/>
      <c r="D8711" s="319"/>
    </row>
    <row r="8712" spans="3:7">
      <c r="C8712" s="319"/>
      <c r="D8712" s="319"/>
      <c r="G8712" s="320"/>
    </row>
    <row r="8713" spans="3:4">
      <c r="C8713" s="319"/>
      <c r="D8713" s="319"/>
    </row>
    <row r="8714" spans="3:4">
      <c r="C8714" s="319"/>
      <c r="D8714" s="319"/>
    </row>
    <row r="8715" spans="3:7">
      <c r="C8715" s="319"/>
      <c r="D8715" s="319"/>
      <c r="G8715" s="320"/>
    </row>
    <row r="8716" spans="3:7">
      <c r="C8716" s="319"/>
      <c r="D8716" s="319"/>
      <c r="G8716" s="320"/>
    </row>
    <row r="8717" spans="3:7">
      <c r="C8717" s="319"/>
      <c r="D8717" s="319"/>
      <c r="G8717" s="320"/>
    </row>
    <row r="8718" spans="3:4">
      <c r="C8718" s="319"/>
      <c r="D8718" s="319"/>
    </row>
    <row r="8719" spans="3:4">
      <c r="C8719" s="319"/>
      <c r="D8719" s="319"/>
    </row>
    <row r="8720" spans="3:7">
      <c r="C8720" s="319"/>
      <c r="D8720" s="319"/>
      <c r="G8720" s="320"/>
    </row>
    <row r="8721" spans="3:4">
      <c r="C8721" s="319"/>
      <c r="D8721" s="319"/>
    </row>
    <row r="8722" spans="3:4">
      <c r="C8722" s="319"/>
      <c r="D8722" s="319"/>
    </row>
    <row r="8723" spans="3:4">
      <c r="C8723" s="319"/>
      <c r="D8723" s="319"/>
    </row>
    <row r="8724" spans="3:4">
      <c r="C8724" s="319"/>
      <c r="D8724" s="319"/>
    </row>
    <row r="8725" spans="3:7">
      <c r="C8725" s="319"/>
      <c r="D8725" s="319"/>
      <c r="G8725" s="320"/>
    </row>
    <row r="8726" spans="3:7">
      <c r="C8726" s="319"/>
      <c r="D8726" s="319"/>
      <c r="G8726" s="320"/>
    </row>
    <row r="8727" spans="3:7">
      <c r="C8727" s="319"/>
      <c r="D8727" s="319"/>
      <c r="G8727" s="320"/>
    </row>
    <row r="8728" spans="3:4">
      <c r="C8728" s="319"/>
      <c r="D8728" s="319"/>
    </row>
    <row r="8729" spans="3:7">
      <c r="C8729" s="319"/>
      <c r="D8729" s="319"/>
      <c r="G8729" s="320"/>
    </row>
    <row r="8730" spans="3:4">
      <c r="C8730" s="319"/>
      <c r="D8730" s="319"/>
    </row>
    <row r="8731" spans="3:7">
      <c r="C8731" s="319"/>
      <c r="D8731" s="319"/>
      <c r="G8731" s="320"/>
    </row>
    <row r="8732" spans="3:4">
      <c r="C8732" s="319"/>
      <c r="D8732" s="319"/>
    </row>
    <row r="8733" spans="3:4">
      <c r="C8733" s="319"/>
      <c r="D8733" s="319"/>
    </row>
    <row r="8734" spans="3:7">
      <c r="C8734" s="319"/>
      <c r="D8734" s="319"/>
      <c r="G8734" s="320"/>
    </row>
    <row r="8735" spans="3:7">
      <c r="C8735" s="319"/>
      <c r="D8735" s="319"/>
      <c r="G8735" s="320"/>
    </row>
    <row r="8736" spans="3:7">
      <c r="C8736" s="319"/>
      <c r="D8736" s="319"/>
      <c r="G8736" s="320"/>
    </row>
    <row r="8737" spans="3:4">
      <c r="C8737" s="319"/>
      <c r="D8737" s="319"/>
    </row>
    <row r="8738" spans="3:7">
      <c r="C8738" s="319"/>
      <c r="D8738" s="319"/>
      <c r="G8738" s="320"/>
    </row>
    <row r="8739" spans="3:4">
      <c r="C8739" s="319"/>
      <c r="D8739" s="319"/>
    </row>
    <row r="8740" spans="3:7">
      <c r="C8740" s="319"/>
      <c r="D8740" s="319"/>
      <c r="G8740" s="320"/>
    </row>
    <row r="8741" spans="3:4">
      <c r="C8741" s="319"/>
      <c r="D8741" s="319"/>
    </row>
    <row r="8742" spans="3:7">
      <c r="C8742" s="319"/>
      <c r="D8742" s="319"/>
      <c r="G8742" s="320"/>
    </row>
    <row r="8743" spans="3:7">
      <c r="C8743" s="319"/>
      <c r="D8743" s="319"/>
      <c r="G8743" s="320"/>
    </row>
    <row r="8744" spans="3:4">
      <c r="C8744" s="319"/>
      <c r="D8744" s="319"/>
    </row>
    <row r="8745" spans="3:4">
      <c r="C8745" s="319"/>
      <c r="D8745" s="319"/>
    </row>
    <row r="8746" spans="3:4">
      <c r="C8746" s="319"/>
      <c r="D8746" s="319"/>
    </row>
    <row r="8747" spans="3:7">
      <c r="C8747" s="319"/>
      <c r="D8747" s="319"/>
      <c r="G8747" s="320"/>
    </row>
    <row r="8748" spans="3:7">
      <c r="C8748" s="319"/>
      <c r="D8748" s="319"/>
      <c r="G8748" s="320"/>
    </row>
    <row r="8749" spans="3:7">
      <c r="C8749" s="319"/>
      <c r="D8749" s="319"/>
      <c r="G8749" s="320"/>
    </row>
    <row r="8750" spans="3:4">
      <c r="C8750" s="319"/>
      <c r="D8750" s="319"/>
    </row>
    <row r="8751" spans="3:4">
      <c r="C8751" s="319"/>
      <c r="D8751" s="319"/>
    </row>
    <row r="8752" spans="3:4">
      <c r="C8752" s="319"/>
      <c r="D8752" s="319"/>
    </row>
    <row r="8753" spans="3:7">
      <c r="C8753" s="319"/>
      <c r="D8753" s="319"/>
      <c r="G8753" s="320"/>
    </row>
    <row r="8754" spans="3:4">
      <c r="C8754" s="319"/>
      <c r="D8754" s="319"/>
    </row>
    <row r="8755" spans="3:4">
      <c r="C8755" s="319"/>
      <c r="D8755" s="319"/>
    </row>
    <row r="8756" spans="3:7">
      <c r="C8756" s="319"/>
      <c r="D8756" s="319"/>
      <c r="G8756" s="320"/>
    </row>
    <row r="8757" spans="3:7">
      <c r="C8757" s="319"/>
      <c r="D8757" s="319"/>
      <c r="G8757" s="320"/>
    </row>
    <row r="8758" spans="3:7">
      <c r="C8758" s="319"/>
      <c r="D8758" s="319"/>
      <c r="G8758" s="320"/>
    </row>
    <row r="8759" spans="3:7">
      <c r="C8759" s="319"/>
      <c r="D8759" s="319"/>
      <c r="G8759" s="320"/>
    </row>
    <row r="8760" spans="3:7">
      <c r="C8760" s="319"/>
      <c r="D8760" s="319"/>
      <c r="G8760" s="320"/>
    </row>
    <row r="8761" spans="3:4">
      <c r="C8761" s="319"/>
      <c r="D8761" s="319"/>
    </row>
    <row r="8762" spans="3:4">
      <c r="C8762" s="319"/>
      <c r="D8762" s="319"/>
    </row>
    <row r="8763" spans="3:7">
      <c r="C8763" s="319"/>
      <c r="D8763" s="319"/>
      <c r="G8763" s="320"/>
    </row>
    <row r="8764" spans="3:7">
      <c r="C8764" s="319"/>
      <c r="D8764" s="319"/>
      <c r="G8764" s="320"/>
    </row>
    <row r="8765" spans="3:4">
      <c r="C8765" s="319"/>
      <c r="D8765" s="319"/>
    </row>
    <row r="8766" spans="3:4">
      <c r="C8766" s="319"/>
      <c r="D8766" s="319"/>
    </row>
    <row r="8767" spans="3:4">
      <c r="C8767" s="319"/>
      <c r="D8767" s="319"/>
    </row>
    <row r="8768" spans="3:7">
      <c r="C8768" s="319"/>
      <c r="D8768" s="319"/>
      <c r="G8768" s="320"/>
    </row>
    <row r="8769" spans="3:7">
      <c r="C8769" s="319"/>
      <c r="D8769" s="319"/>
      <c r="G8769" s="320"/>
    </row>
    <row r="8770" spans="3:7">
      <c r="C8770" s="319"/>
      <c r="D8770" s="319"/>
      <c r="G8770" s="320"/>
    </row>
    <row r="8771" spans="3:4">
      <c r="C8771" s="319"/>
      <c r="D8771" s="319"/>
    </row>
    <row r="8772" spans="3:7">
      <c r="C8772" s="319"/>
      <c r="D8772" s="319"/>
      <c r="G8772" s="320"/>
    </row>
    <row r="8773" spans="3:7">
      <c r="C8773" s="319"/>
      <c r="D8773" s="319"/>
      <c r="G8773" s="320"/>
    </row>
    <row r="8774" spans="3:4">
      <c r="C8774" s="319"/>
      <c r="D8774" s="319"/>
    </row>
    <row r="8775" spans="3:7">
      <c r="C8775" s="319"/>
      <c r="D8775" s="319"/>
      <c r="G8775" s="320"/>
    </row>
    <row r="8776" spans="3:7">
      <c r="C8776" s="319"/>
      <c r="D8776" s="319"/>
      <c r="G8776" s="320"/>
    </row>
    <row r="8777" spans="3:7">
      <c r="C8777" s="319"/>
      <c r="D8777" s="319"/>
      <c r="G8777" s="320"/>
    </row>
    <row r="8778" spans="3:7">
      <c r="C8778" s="319"/>
      <c r="D8778" s="319"/>
      <c r="G8778" s="320"/>
    </row>
    <row r="8779" spans="3:7">
      <c r="C8779" s="319"/>
      <c r="D8779" s="319"/>
      <c r="G8779" s="320"/>
    </row>
    <row r="8780" spans="3:7">
      <c r="C8780" s="319"/>
      <c r="D8780" s="319"/>
      <c r="G8780" s="320"/>
    </row>
    <row r="8781" spans="3:7">
      <c r="C8781" s="319"/>
      <c r="D8781" s="319"/>
      <c r="G8781" s="320"/>
    </row>
    <row r="8782" spans="3:7">
      <c r="C8782" s="319"/>
      <c r="D8782" s="319"/>
      <c r="G8782" s="320"/>
    </row>
    <row r="8783" spans="3:7">
      <c r="C8783" s="319"/>
      <c r="D8783" s="319"/>
      <c r="G8783" s="320"/>
    </row>
    <row r="8784" spans="3:4">
      <c r="C8784" s="319"/>
      <c r="D8784" s="319"/>
    </row>
    <row r="8785" spans="3:4">
      <c r="C8785" s="319"/>
      <c r="D8785" s="319"/>
    </row>
    <row r="8786" spans="3:7">
      <c r="C8786" s="319"/>
      <c r="D8786" s="319"/>
      <c r="G8786" s="320"/>
    </row>
    <row r="8787" spans="3:7">
      <c r="C8787" s="319"/>
      <c r="D8787" s="319"/>
      <c r="G8787" s="320"/>
    </row>
    <row r="8788" spans="3:4">
      <c r="C8788" s="319"/>
      <c r="D8788" s="319"/>
    </row>
    <row r="8789" spans="3:4">
      <c r="C8789" s="319"/>
      <c r="D8789" s="319"/>
    </row>
    <row r="8790" spans="3:7">
      <c r="C8790" s="319"/>
      <c r="D8790" s="319"/>
      <c r="G8790" s="320"/>
    </row>
    <row r="8791" spans="3:4">
      <c r="C8791" s="319"/>
      <c r="D8791" s="319"/>
    </row>
    <row r="8792" spans="3:7">
      <c r="C8792" s="319"/>
      <c r="D8792" s="319"/>
      <c r="G8792" s="320"/>
    </row>
    <row r="8793" spans="3:4">
      <c r="C8793" s="319"/>
      <c r="D8793" s="319"/>
    </row>
    <row r="8794" spans="3:4">
      <c r="C8794" s="319"/>
      <c r="D8794" s="319"/>
    </row>
    <row r="8795" spans="3:4">
      <c r="C8795" s="319"/>
      <c r="D8795" s="319"/>
    </row>
    <row r="8796" spans="3:4">
      <c r="C8796" s="319"/>
      <c r="D8796" s="319"/>
    </row>
    <row r="8797" spans="3:4">
      <c r="C8797" s="319"/>
      <c r="D8797" s="319"/>
    </row>
    <row r="8798" spans="3:4">
      <c r="C8798" s="319"/>
      <c r="D8798" s="319"/>
    </row>
    <row r="8799" spans="3:7">
      <c r="C8799" s="319"/>
      <c r="D8799" s="319"/>
      <c r="G8799" s="320"/>
    </row>
    <row r="8800" spans="3:4">
      <c r="C8800" s="319"/>
      <c r="D8800" s="319"/>
    </row>
    <row r="8801" spans="3:4">
      <c r="C8801" s="319"/>
      <c r="D8801" s="319"/>
    </row>
    <row r="8802" spans="3:4">
      <c r="C8802" s="319"/>
      <c r="D8802" s="319"/>
    </row>
    <row r="8803" spans="3:4">
      <c r="C8803" s="319"/>
      <c r="D8803" s="319"/>
    </row>
    <row r="8804" spans="3:4">
      <c r="C8804" s="319"/>
      <c r="D8804" s="319"/>
    </row>
    <row r="8805" spans="3:7">
      <c r="C8805" s="319"/>
      <c r="D8805" s="319"/>
      <c r="G8805" s="320"/>
    </row>
    <row r="8806" spans="3:4">
      <c r="C8806" s="319"/>
      <c r="D8806" s="319"/>
    </row>
    <row r="8807" spans="3:7">
      <c r="C8807" s="319"/>
      <c r="D8807" s="319"/>
      <c r="G8807" s="320"/>
    </row>
    <row r="8808" spans="3:7">
      <c r="C8808" s="319"/>
      <c r="D8808" s="319"/>
      <c r="G8808" s="320"/>
    </row>
    <row r="8809" spans="3:4">
      <c r="C8809" s="319"/>
      <c r="D8809" s="319"/>
    </row>
    <row r="8810" spans="3:7">
      <c r="C8810" s="319"/>
      <c r="D8810" s="319"/>
      <c r="G8810" s="320"/>
    </row>
    <row r="8811" spans="3:7">
      <c r="C8811" s="319"/>
      <c r="D8811" s="319"/>
      <c r="G8811" s="320"/>
    </row>
    <row r="8812" spans="3:7">
      <c r="C8812" s="319"/>
      <c r="D8812" s="319"/>
      <c r="G8812" s="320"/>
    </row>
    <row r="8813" spans="3:7">
      <c r="C8813" s="319"/>
      <c r="D8813" s="319"/>
      <c r="G8813" s="320"/>
    </row>
    <row r="8814" spans="3:7">
      <c r="C8814" s="319"/>
      <c r="D8814" s="319"/>
      <c r="G8814" s="320"/>
    </row>
    <row r="8815" spans="3:4">
      <c r="C8815" s="319"/>
      <c r="D8815" s="319"/>
    </row>
    <row r="8816" spans="3:4">
      <c r="C8816" s="319"/>
      <c r="D8816" s="319"/>
    </row>
    <row r="8817" spans="3:4">
      <c r="C8817" s="319"/>
      <c r="D8817" s="319"/>
    </row>
    <row r="8818" spans="3:7">
      <c r="C8818" s="319"/>
      <c r="D8818" s="319"/>
      <c r="G8818" s="320"/>
    </row>
    <row r="8819" spans="3:7">
      <c r="C8819" s="319"/>
      <c r="D8819" s="319"/>
      <c r="G8819" s="320"/>
    </row>
    <row r="8820" spans="3:4">
      <c r="C8820" s="319"/>
      <c r="D8820" s="319"/>
    </row>
    <row r="8821" spans="3:7">
      <c r="C8821" s="319"/>
      <c r="D8821" s="319"/>
      <c r="G8821" s="320"/>
    </row>
    <row r="8822" spans="3:4">
      <c r="C8822" s="319"/>
      <c r="D8822" s="319"/>
    </row>
    <row r="8823" spans="3:7">
      <c r="C8823" s="319"/>
      <c r="D8823" s="319"/>
      <c r="G8823" s="320"/>
    </row>
    <row r="8824" spans="3:4">
      <c r="C8824" s="319"/>
      <c r="D8824" s="319"/>
    </row>
    <row r="8825" spans="3:4">
      <c r="C8825" s="319"/>
      <c r="D8825" s="319"/>
    </row>
    <row r="8826" spans="3:4">
      <c r="C8826" s="319"/>
      <c r="D8826" s="319"/>
    </row>
    <row r="8827" spans="3:7">
      <c r="C8827" s="319"/>
      <c r="D8827" s="319"/>
      <c r="G8827" s="320"/>
    </row>
    <row r="8828" spans="3:4">
      <c r="C8828" s="319"/>
      <c r="D8828" s="319"/>
    </row>
    <row r="8829" spans="3:7">
      <c r="C8829" s="319"/>
      <c r="D8829" s="319"/>
      <c r="G8829" s="320"/>
    </row>
    <row r="8830" spans="3:7">
      <c r="C8830" s="319"/>
      <c r="D8830" s="319"/>
      <c r="G8830" s="320"/>
    </row>
    <row r="8831" spans="3:4">
      <c r="C8831" s="319"/>
      <c r="D8831" s="319"/>
    </row>
    <row r="8832" spans="3:4">
      <c r="C8832" s="319"/>
      <c r="D8832" s="319"/>
    </row>
    <row r="8833" spans="3:7">
      <c r="C8833" s="319"/>
      <c r="D8833" s="319"/>
      <c r="G8833" s="320"/>
    </row>
    <row r="8834" spans="3:4">
      <c r="C8834" s="319"/>
      <c r="D8834" s="319"/>
    </row>
    <row r="8835" spans="3:4">
      <c r="C8835" s="319"/>
      <c r="D8835" s="319"/>
    </row>
    <row r="8836" spans="3:4">
      <c r="C8836" s="319"/>
      <c r="D8836" s="319"/>
    </row>
    <row r="8837" spans="3:7">
      <c r="C8837" s="319"/>
      <c r="D8837" s="319"/>
      <c r="G8837" s="320"/>
    </row>
    <row r="8838" spans="3:4">
      <c r="C8838" s="319"/>
      <c r="D8838" s="319"/>
    </row>
    <row r="8839" spans="3:4">
      <c r="C8839" s="319"/>
      <c r="D8839" s="319"/>
    </row>
    <row r="8840" spans="3:7">
      <c r="C8840" s="319"/>
      <c r="D8840" s="319"/>
      <c r="G8840" s="320"/>
    </row>
    <row r="8841" spans="3:4">
      <c r="C8841" s="319"/>
      <c r="D8841" s="319"/>
    </row>
    <row r="8842" spans="3:4">
      <c r="C8842" s="319"/>
      <c r="D8842" s="319"/>
    </row>
    <row r="8843" spans="3:4">
      <c r="C8843" s="319"/>
      <c r="D8843" s="319"/>
    </row>
    <row r="8844" spans="3:7">
      <c r="C8844" s="319"/>
      <c r="D8844" s="319"/>
      <c r="G8844" s="320"/>
    </row>
    <row r="8845" spans="3:4">
      <c r="C8845" s="319"/>
      <c r="D8845" s="319"/>
    </row>
    <row r="8846" spans="3:7">
      <c r="C8846" s="319"/>
      <c r="D8846" s="319"/>
      <c r="G8846" s="320"/>
    </row>
    <row r="8847" spans="3:4">
      <c r="C8847" s="319"/>
      <c r="D8847" s="319"/>
    </row>
    <row r="8848" spans="3:4">
      <c r="C8848" s="319"/>
      <c r="D8848" s="319"/>
    </row>
    <row r="8849" spans="3:4">
      <c r="C8849" s="319"/>
      <c r="D8849" s="319"/>
    </row>
    <row r="8850" spans="3:4">
      <c r="C8850" s="319"/>
      <c r="D8850" s="319"/>
    </row>
    <row r="8851" spans="3:7">
      <c r="C8851" s="319"/>
      <c r="D8851" s="319"/>
      <c r="G8851" s="320"/>
    </row>
    <row r="8852" spans="3:4">
      <c r="C8852" s="319"/>
      <c r="D8852" s="319"/>
    </row>
    <row r="8853" spans="3:7">
      <c r="C8853" s="319"/>
      <c r="D8853" s="319"/>
      <c r="G8853" s="320"/>
    </row>
    <row r="8854" spans="3:4">
      <c r="C8854" s="319"/>
      <c r="D8854" s="319"/>
    </row>
    <row r="8855" spans="3:7">
      <c r="C8855" s="319"/>
      <c r="D8855" s="319"/>
      <c r="G8855" s="320"/>
    </row>
    <row r="8856" spans="3:4">
      <c r="C8856" s="319"/>
      <c r="D8856" s="319"/>
    </row>
    <row r="8857" spans="3:7">
      <c r="C8857" s="319"/>
      <c r="D8857" s="319"/>
      <c r="G8857" s="320"/>
    </row>
    <row r="8858" spans="3:7">
      <c r="C8858" s="319"/>
      <c r="D8858" s="319"/>
      <c r="G8858" s="320"/>
    </row>
    <row r="8859" spans="3:7">
      <c r="C8859" s="319"/>
      <c r="D8859" s="319"/>
      <c r="G8859" s="320"/>
    </row>
    <row r="8860" spans="3:4">
      <c r="C8860" s="319"/>
      <c r="D8860" s="319"/>
    </row>
    <row r="8861" spans="3:4">
      <c r="C8861" s="319"/>
      <c r="D8861" s="319"/>
    </row>
    <row r="8862" spans="3:7">
      <c r="C8862" s="319"/>
      <c r="D8862" s="319"/>
      <c r="G8862" s="320"/>
    </row>
    <row r="8863" spans="3:7">
      <c r="C8863" s="319"/>
      <c r="D8863" s="319"/>
      <c r="G8863" s="320"/>
    </row>
    <row r="8864" spans="3:7">
      <c r="C8864" s="319"/>
      <c r="D8864" s="319"/>
      <c r="G8864" s="320"/>
    </row>
    <row r="8865" spans="3:4">
      <c r="C8865" s="319"/>
      <c r="D8865" s="319"/>
    </row>
    <row r="8866" spans="3:7">
      <c r="C8866" s="319"/>
      <c r="D8866" s="319"/>
      <c r="G8866" s="320"/>
    </row>
    <row r="8867" spans="3:4">
      <c r="C8867" s="319"/>
      <c r="D8867" s="319"/>
    </row>
    <row r="8868" spans="3:4">
      <c r="C8868" s="319"/>
      <c r="D8868" s="319"/>
    </row>
    <row r="8869" spans="3:7">
      <c r="C8869" s="319"/>
      <c r="D8869" s="319"/>
      <c r="G8869" s="320"/>
    </row>
    <row r="8870" spans="3:7">
      <c r="C8870" s="319"/>
      <c r="D8870" s="319"/>
      <c r="G8870" s="320"/>
    </row>
    <row r="8871" spans="3:4">
      <c r="C8871" s="319"/>
      <c r="D8871" s="319"/>
    </row>
    <row r="8872" spans="3:4">
      <c r="C8872" s="319"/>
      <c r="D8872" s="319"/>
    </row>
    <row r="8873" spans="3:4">
      <c r="C8873" s="319"/>
      <c r="D8873" s="319"/>
    </row>
    <row r="8874" spans="3:7">
      <c r="C8874" s="319"/>
      <c r="D8874" s="319"/>
      <c r="G8874" s="320"/>
    </row>
    <row r="8875" spans="3:7">
      <c r="C8875" s="319"/>
      <c r="D8875" s="319"/>
      <c r="G8875" s="320"/>
    </row>
    <row r="8876" spans="3:7">
      <c r="C8876" s="319"/>
      <c r="D8876" s="319"/>
      <c r="G8876" s="320"/>
    </row>
    <row r="8877" spans="3:7">
      <c r="C8877" s="319"/>
      <c r="D8877" s="319"/>
      <c r="G8877" s="320"/>
    </row>
    <row r="8878" spans="3:4">
      <c r="C8878" s="319"/>
      <c r="D8878" s="319"/>
    </row>
    <row r="8879" spans="3:7">
      <c r="C8879" s="319"/>
      <c r="D8879" s="319"/>
      <c r="G8879" s="320"/>
    </row>
    <row r="8880" spans="3:7">
      <c r="C8880" s="319"/>
      <c r="D8880" s="319"/>
      <c r="G8880" s="320"/>
    </row>
    <row r="8881" spans="3:7">
      <c r="C8881" s="319"/>
      <c r="D8881" s="319"/>
      <c r="G8881" s="320"/>
    </row>
    <row r="8882" spans="3:4">
      <c r="C8882" s="319"/>
      <c r="D8882" s="319"/>
    </row>
    <row r="8883" spans="3:7">
      <c r="C8883" s="319"/>
      <c r="D8883" s="319"/>
      <c r="G8883" s="320"/>
    </row>
    <row r="8884" spans="3:7">
      <c r="C8884" s="319"/>
      <c r="D8884" s="319"/>
      <c r="G8884" s="320"/>
    </row>
    <row r="8885" spans="3:7">
      <c r="C8885" s="319"/>
      <c r="D8885" s="319"/>
      <c r="G8885" s="320"/>
    </row>
    <row r="8886" spans="3:7">
      <c r="C8886" s="319"/>
      <c r="D8886" s="319"/>
      <c r="G8886" s="320"/>
    </row>
    <row r="8887" spans="3:7">
      <c r="C8887" s="319"/>
      <c r="D8887" s="319"/>
      <c r="G8887" s="320"/>
    </row>
    <row r="8888" spans="3:7">
      <c r="C8888" s="319"/>
      <c r="D8888" s="319"/>
      <c r="G8888" s="320"/>
    </row>
    <row r="8889" spans="3:7">
      <c r="C8889" s="319"/>
      <c r="D8889" s="319"/>
      <c r="G8889" s="320"/>
    </row>
    <row r="8890" spans="3:7">
      <c r="C8890" s="319"/>
      <c r="D8890" s="319"/>
      <c r="G8890" s="320"/>
    </row>
    <row r="8891" spans="3:4">
      <c r="C8891" s="319"/>
      <c r="D8891" s="319"/>
    </row>
    <row r="8892" spans="3:4">
      <c r="C8892" s="319"/>
      <c r="D8892" s="319"/>
    </row>
    <row r="8893" spans="3:4">
      <c r="C8893" s="319"/>
      <c r="D8893" s="319"/>
    </row>
    <row r="8894" spans="3:4">
      <c r="C8894" s="319"/>
      <c r="D8894" s="319"/>
    </row>
    <row r="8895" spans="3:4">
      <c r="C8895" s="319"/>
      <c r="D8895" s="319"/>
    </row>
    <row r="8896" spans="3:4">
      <c r="C8896" s="319"/>
      <c r="D8896" s="319"/>
    </row>
    <row r="8897" spans="3:7">
      <c r="C8897" s="319"/>
      <c r="D8897" s="319"/>
      <c r="G8897" s="320"/>
    </row>
    <row r="8898" spans="3:7">
      <c r="C8898" s="319"/>
      <c r="D8898" s="319"/>
      <c r="G8898" s="320"/>
    </row>
    <row r="8899" spans="3:7">
      <c r="C8899" s="319"/>
      <c r="D8899" s="319"/>
      <c r="G8899" s="320"/>
    </row>
    <row r="8900" spans="3:4">
      <c r="C8900" s="319"/>
      <c r="D8900" s="319"/>
    </row>
    <row r="8901" spans="3:4">
      <c r="C8901" s="319"/>
      <c r="D8901" s="319"/>
    </row>
    <row r="8902" spans="3:4">
      <c r="C8902" s="319"/>
      <c r="D8902" s="319"/>
    </row>
    <row r="8903" spans="3:7">
      <c r="C8903" s="319"/>
      <c r="D8903" s="319"/>
      <c r="G8903" s="320"/>
    </row>
    <row r="8904" spans="3:7">
      <c r="C8904" s="319"/>
      <c r="D8904" s="319"/>
      <c r="G8904" s="320"/>
    </row>
    <row r="8905" spans="3:7">
      <c r="C8905" s="319"/>
      <c r="D8905" s="319"/>
      <c r="G8905" s="320"/>
    </row>
    <row r="8906" spans="3:4">
      <c r="C8906" s="319"/>
      <c r="D8906" s="319"/>
    </row>
    <row r="8907" spans="3:4">
      <c r="C8907" s="319"/>
      <c r="D8907" s="319"/>
    </row>
    <row r="8908" spans="3:4">
      <c r="C8908" s="319"/>
      <c r="D8908" s="319"/>
    </row>
    <row r="8909" spans="3:7">
      <c r="C8909" s="319"/>
      <c r="D8909" s="319"/>
      <c r="G8909" s="320"/>
    </row>
    <row r="8910" spans="3:4">
      <c r="C8910" s="319"/>
      <c r="D8910" s="319"/>
    </row>
    <row r="8911" spans="3:4">
      <c r="C8911" s="319"/>
      <c r="D8911" s="319"/>
    </row>
    <row r="8912" spans="3:7">
      <c r="C8912" s="319"/>
      <c r="D8912" s="319"/>
      <c r="G8912" s="320"/>
    </row>
    <row r="8913" spans="3:7">
      <c r="C8913" s="319"/>
      <c r="D8913" s="319"/>
      <c r="G8913" s="320"/>
    </row>
    <row r="8914" spans="3:7">
      <c r="C8914" s="319"/>
      <c r="D8914" s="319"/>
      <c r="G8914" s="320"/>
    </row>
    <row r="8915" spans="3:7">
      <c r="C8915" s="319"/>
      <c r="D8915" s="319"/>
      <c r="G8915" s="320"/>
    </row>
    <row r="8916" spans="3:4">
      <c r="C8916" s="319"/>
      <c r="D8916" s="319"/>
    </row>
    <row r="8917" spans="3:7">
      <c r="C8917" s="319"/>
      <c r="D8917" s="319"/>
      <c r="G8917" s="320"/>
    </row>
    <row r="8918" spans="3:4">
      <c r="C8918" s="319"/>
      <c r="D8918" s="319"/>
    </row>
    <row r="8919" spans="3:7">
      <c r="C8919" s="319"/>
      <c r="D8919" s="319"/>
      <c r="G8919" s="320"/>
    </row>
    <row r="8920" spans="3:4">
      <c r="C8920" s="319"/>
      <c r="D8920" s="319"/>
    </row>
    <row r="8921" spans="3:4">
      <c r="C8921" s="319"/>
      <c r="D8921" s="319"/>
    </row>
    <row r="8922" spans="3:4">
      <c r="C8922" s="319"/>
      <c r="D8922" s="319"/>
    </row>
    <row r="8923" spans="3:7">
      <c r="C8923" s="319"/>
      <c r="D8923" s="319"/>
      <c r="G8923" s="320"/>
    </row>
    <row r="8924" spans="3:7">
      <c r="C8924" s="319"/>
      <c r="D8924" s="319"/>
      <c r="G8924" s="320"/>
    </row>
    <row r="8925" spans="3:4">
      <c r="C8925" s="319"/>
      <c r="D8925" s="319"/>
    </row>
    <row r="8926" spans="3:7">
      <c r="C8926" s="319"/>
      <c r="D8926" s="319"/>
      <c r="G8926" s="320"/>
    </row>
    <row r="8927" spans="3:7">
      <c r="C8927" s="319"/>
      <c r="D8927" s="319"/>
      <c r="G8927" s="320"/>
    </row>
    <row r="8928" spans="3:7">
      <c r="C8928" s="319"/>
      <c r="D8928" s="319"/>
      <c r="G8928" s="320"/>
    </row>
    <row r="8929" spans="3:7">
      <c r="C8929" s="319"/>
      <c r="D8929" s="319"/>
      <c r="G8929" s="320"/>
    </row>
    <row r="8930" spans="3:4">
      <c r="C8930" s="319"/>
      <c r="D8930" s="319"/>
    </row>
    <row r="8931" spans="3:4">
      <c r="C8931" s="319"/>
      <c r="D8931" s="319"/>
    </row>
    <row r="8932" spans="3:4">
      <c r="C8932" s="319"/>
      <c r="D8932" s="319"/>
    </row>
    <row r="8933" spans="3:4">
      <c r="C8933" s="319"/>
      <c r="D8933" s="319"/>
    </row>
    <row r="8934" spans="3:4">
      <c r="C8934" s="319"/>
      <c r="D8934" s="319"/>
    </row>
    <row r="8935" spans="3:4">
      <c r="C8935" s="319"/>
      <c r="D8935" s="319"/>
    </row>
    <row r="8936" spans="3:4">
      <c r="C8936" s="319"/>
      <c r="D8936" s="319"/>
    </row>
    <row r="8937" spans="3:4">
      <c r="C8937" s="319"/>
      <c r="D8937" s="319"/>
    </row>
    <row r="8938" spans="3:7">
      <c r="C8938" s="319"/>
      <c r="D8938" s="319"/>
      <c r="G8938" s="320"/>
    </row>
    <row r="8939" spans="3:4">
      <c r="C8939" s="319"/>
      <c r="D8939" s="319"/>
    </row>
    <row r="8940" spans="3:4">
      <c r="C8940" s="319"/>
      <c r="D8940" s="319"/>
    </row>
    <row r="8941" spans="3:4">
      <c r="C8941" s="319"/>
      <c r="D8941" s="319"/>
    </row>
    <row r="8942" spans="3:4">
      <c r="C8942" s="319"/>
      <c r="D8942" s="319"/>
    </row>
    <row r="8943" spans="3:7">
      <c r="C8943" s="319"/>
      <c r="D8943" s="319"/>
      <c r="G8943" s="320"/>
    </row>
    <row r="8944" spans="3:4">
      <c r="C8944" s="319"/>
      <c r="D8944" s="319"/>
    </row>
    <row r="8945" spans="3:7">
      <c r="C8945" s="319"/>
      <c r="D8945" s="319"/>
      <c r="G8945" s="320"/>
    </row>
    <row r="8946" spans="3:4">
      <c r="C8946" s="319"/>
      <c r="D8946" s="319"/>
    </row>
    <row r="8947" spans="3:4">
      <c r="C8947" s="319"/>
      <c r="D8947" s="319"/>
    </row>
    <row r="8948" spans="3:4">
      <c r="C8948" s="319"/>
      <c r="D8948" s="319"/>
    </row>
    <row r="8949" spans="3:7">
      <c r="C8949" s="319"/>
      <c r="D8949" s="319"/>
      <c r="G8949" s="320"/>
    </row>
    <row r="8950" spans="3:4">
      <c r="C8950" s="319"/>
      <c r="D8950" s="319"/>
    </row>
    <row r="8951" spans="3:7">
      <c r="C8951" s="319"/>
      <c r="D8951" s="319"/>
      <c r="G8951" s="320"/>
    </row>
    <row r="8952" spans="3:7">
      <c r="C8952" s="319"/>
      <c r="D8952" s="319"/>
      <c r="G8952" s="320"/>
    </row>
    <row r="8953" spans="3:4">
      <c r="C8953" s="319"/>
      <c r="D8953" s="319"/>
    </row>
    <row r="8954" spans="3:7">
      <c r="C8954" s="319"/>
      <c r="D8954" s="319"/>
      <c r="G8954" s="320"/>
    </row>
    <row r="8955" spans="3:4">
      <c r="C8955" s="319"/>
      <c r="D8955" s="319"/>
    </row>
    <row r="8956" spans="3:4">
      <c r="C8956" s="319"/>
      <c r="D8956" s="319"/>
    </row>
    <row r="8957" spans="3:4">
      <c r="C8957" s="319"/>
      <c r="D8957" s="319"/>
    </row>
    <row r="8958" spans="3:7">
      <c r="C8958" s="319"/>
      <c r="D8958" s="319"/>
      <c r="G8958" s="320"/>
    </row>
    <row r="8959" spans="3:7">
      <c r="C8959" s="319"/>
      <c r="D8959" s="319"/>
      <c r="G8959" s="320"/>
    </row>
    <row r="8960" spans="3:4">
      <c r="C8960" s="319"/>
      <c r="D8960" s="319"/>
    </row>
    <row r="8961" spans="3:4">
      <c r="C8961" s="319"/>
      <c r="D8961" s="319"/>
    </row>
    <row r="8962" spans="3:4">
      <c r="C8962" s="319"/>
      <c r="D8962" s="319"/>
    </row>
    <row r="8963" spans="3:4">
      <c r="C8963" s="319"/>
      <c r="D8963" s="319"/>
    </row>
    <row r="8964" spans="3:4">
      <c r="C8964" s="319"/>
      <c r="D8964" s="319"/>
    </row>
    <row r="8965" spans="3:4">
      <c r="C8965" s="319"/>
      <c r="D8965" s="319"/>
    </row>
    <row r="8966" spans="3:4">
      <c r="C8966" s="319"/>
      <c r="D8966" s="319"/>
    </row>
    <row r="8967" spans="3:4">
      <c r="C8967" s="319"/>
      <c r="D8967" s="319"/>
    </row>
    <row r="8968" spans="3:4">
      <c r="C8968" s="319"/>
      <c r="D8968" s="319"/>
    </row>
    <row r="8969" spans="3:4">
      <c r="C8969" s="319"/>
      <c r="D8969" s="319"/>
    </row>
    <row r="8970" spans="3:4">
      <c r="C8970" s="319"/>
      <c r="D8970" s="319"/>
    </row>
    <row r="8971" spans="3:4">
      <c r="C8971" s="319"/>
      <c r="D8971" s="319"/>
    </row>
    <row r="8972" spans="3:7">
      <c r="C8972" s="319"/>
      <c r="D8972" s="319"/>
      <c r="G8972" s="320"/>
    </row>
    <row r="8973" spans="3:7">
      <c r="C8973" s="319"/>
      <c r="D8973" s="319"/>
      <c r="G8973" s="320"/>
    </row>
    <row r="8974" spans="3:4">
      <c r="C8974" s="319"/>
      <c r="D8974" s="319"/>
    </row>
    <row r="8975" spans="3:7">
      <c r="C8975" s="319"/>
      <c r="D8975" s="319"/>
      <c r="G8975" s="320"/>
    </row>
    <row r="8976" spans="3:7">
      <c r="C8976" s="319"/>
      <c r="D8976" s="319"/>
      <c r="G8976" s="320"/>
    </row>
    <row r="8977" spans="3:4">
      <c r="C8977" s="319"/>
      <c r="D8977" s="319"/>
    </row>
    <row r="8978" spans="3:7">
      <c r="C8978" s="319"/>
      <c r="D8978" s="319"/>
      <c r="G8978" s="320"/>
    </row>
    <row r="8979" spans="3:7">
      <c r="C8979" s="319"/>
      <c r="D8979" s="319"/>
      <c r="G8979" s="320"/>
    </row>
    <row r="8980" spans="3:7">
      <c r="C8980" s="319"/>
      <c r="D8980" s="319"/>
      <c r="G8980" s="320"/>
    </row>
    <row r="8981" spans="3:4">
      <c r="C8981" s="319"/>
      <c r="D8981" s="319"/>
    </row>
    <row r="8982" spans="3:4">
      <c r="C8982" s="319"/>
      <c r="D8982" s="319"/>
    </row>
    <row r="8983" spans="3:4">
      <c r="C8983" s="319"/>
      <c r="D8983" s="319"/>
    </row>
    <row r="8984" spans="3:7">
      <c r="C8984" s="319"/>
      <c r="D8984" s="319"/>
      <c r="G8984" s="320"/>
    </row>
    <row r="8985" spans="3:7">
      <c r="C8985" s="319"/>
      <c r="D8985" s="319"/>
      <c r="G8985" s="320"/>
    </row>
    <row r="8986" spans="3:4">
      <c r="C8986" s="319"/>
      <c r="D8986" s="319"/>
    </row>
    <row r="8987" spans="3:4">
      <c r="C8987" s="319"/>
      <c r="D8987" s="319"/>
    </row>
    <row r="8988" spans="3:7">
      <c r="C8988" s="319"/>
      <c r="D8988" s="319"/>
      <c r="G8988" s="320"/>
    </row>
    <row r="8989" spans="3:7">
      <c r="C8989" s="319"/>
      <c r="D8989" s="319"/>
      <c r="G8989" s="320"/>
    </row>
    <row r="8990" spans="3:4">
      <c r="C8990" s="319"/>
      <c r="D8990" s="319"/>
    </row>
    <row r="8991" spans="3:4">
      <c r="C8991" s="319"/>
      <c r="D8991" s="319"/>
    </row>
    <row r="8992" spans="3:4">
      <c r="C8992" s="319"/>
      <c r="D8992" s="319"/>
    </row>
    <row r="8993" spans="3:4">
      <c r="C8993" s="319"/>
      <c r="D8993" s="319"/>
    </row>
    <row r="8994" spans="3:7">
      <c r="C8994" s="319"/>
      <c r="D8994" s="319"/>
      <c r="G8994" s="320"/>
    </row>
    <row r="8995" spans="3:7">
      <c r="C8995" s="319"/>
      <c r="D8995" s="319"/>
      <c r="G8995" s="320"/>
    </row>
    <row r="8996" spans="3:4">
      <c r="C8996" s="319"/>
      <c r="D8996" s="319"/>
    </row>
    <row r="8997" spans="3:7">
      <c r="C8997" s="319"/>
      <c r="D8997" s="319"/>
      <c r="G8997" s="320"/>
    </row>
    <row r="8998" spans="3:4">
      <c r="C8998" s="319"/>
      <c r="D8998" s="319"/>
    </row>
    <row r="8999" spans="3:7">
      <c r="C8999" s="319"/>
      <c r="D8999" s="319"/>
      <c r="G8999" s="320"/>
    </row>
    <row r="9000" spans="3:7">
      <c r="C9000" s="319"/>
      <c r="D9000" s="319"/>
      <c r="G9000" s="320"/>
    </row>
    <row r="9001" spans="3:4">
      <c r="C9001" s="319"/>
      <c r="D9001" s="319"/>
    </row>
    <row r="9002" spans="3:7">
      <c r="C9002" s="319"/>
      <c r="D9002" s="319"/>
      <c r="G9002" s="320"/>
    </row>
    <row r="9003" spans="3:4">
      <c r="C9003" s="319"/>
      <c r="D9003" s="319"/>
    </row>
    <row r="9004" spans="3:4">
      <c r="C9004" s="319"/>
      <c r="D9004" s="319"/>
    </row>
    <row r="9005" spans="3:4">
      <c r="C9005" s="319"/>
      <c r="D9005" s="319"/>
    </row>
    <row r="9006" spans="3:4">
      <c r="C9006" s="319"/>
      <c r="D9006" s="319"/>
    </row>
    <row r="9007" spans="3:7">
      <c r="C9007" s="319"/>
      <c r="D9007" s="319"/>
      <c r="G9007" s="320"/>
    </row>
    <row r="9008" spans="3:4">
      <c r="C9008" s="319"/>
      <c r="D9008" s="319"/>
    </row>
    <row r="9009" spans="3:4">
      <c r="C9009" s="319"/>
      <c r="D9009" s="319"/>
    </row>
    <row r="9010" spans="3:7">
      <c r="C9010" s="319"/>
      <c r="D9010" s="319"/>
      <c r="G9010" s="320"/>
    </row>
    <row r="9011" spans="3:4">
      <c r="C9011" s="319"/>
      <c r="D9011" s="319"/>
    </row>
    <row r="9012" spans="3:4">
      <c r="C9012" s="319"/>
      <c r="D9012" s="319"/>
    </row>
    <row r="9013" spans="3:4">
      <c r="C9013" s="319"/>
      <c r="D9013" s="319"/>
    </row>
    <row r="9014" spans="3:7">
      <c r="C9014" s="319"/>
      <c r="D9014" s="319"/>
      <c r="G9014" s="320"/>
    </row>
    <row r="9015" spans="3:7">
      <c r="C9015" s="319"/>
      <c r="D9015" s="319"/>
      <c r="G9015" s="320"/>
    </row>
    <row r="9016" spans="3:4">
      <c r="C9016" s="319"/>
      <c r="D9016" s="319"/>
    </row>
    <row r="9017" spans="3:4">
      <c r="C9017" s="319"/>
      <c r="D9017" s="319"/>
    </row>
    <row r="9018" spans="3:7">
      <c r="C9018" s="319"/>
      <c r="D9018" s="319"/>
      <c r="G9018" s="320"/>
    </row>
    <row r="9019" spans="3:4">
      <c r="C9019" s="319"/>
      <c r="D9019" s="319"/>
    </row>
    <row r="9020" spans="3:7">
      <c r="C9020" s="319"/>
      <c r="D9020" s="319"/>
      <c r="G9020" s="320"/>
    </row>
    <row r="9021" spans="3:7">
      <c r="C9021" s="319"/>
      <c r="D9021" s="319"/>
      <c r="G9021" s="320"/>
    </row>
    <row r="9022" spans="3:7">
      <c r="C9022" s="319"/>
      <c r="D9022" s="319"/>
      <c r="G9022" s="320"/>
    </row>
    <row r="9023" spans="3:4">
      <c r="C9023" s="319"/>
      <c r="D9023" s="319"/>
    </row>
    <row r="9024" spans="3:4">
      <c r="C9024" s="319"/>
      <c r="D9024" s="319"/>
    </row>
    <row r="9025" spans="3:4">
      <c r="C9025" s="319"/>
      <c r="D9025" s="319"/>
    </row>
    <row r="9026" spans="3:7">
      <c r="C9026" s="319"/>
      <c r="D9026" s="319"/>
      <c r="G9026" s="320"/>
    </row>
    <row r="9027" spans="3:4">
      <c r="C9027" s="319"/>
      <c r="D9027" s="319"/>
    </row>
    <row r="9028" spans="3:7">
      <c r="C9028" s="319"/>
      <c r="D9028" s="319"/>
      <c r="G9028" s="320"/>
    </row>
    <row r="9029" spans="3:4">
      <c r="C9029" s="319"/>
      <c r="D9029" s="319"/>
    </row>
    <row r="9030" spans="3:4">
      <c r="C9030" s="319"/>
      <c r="D9030" s="319"/>
    </row>
    <row r="9031" spans="3:4">
      <c r="C9031" s="319"/>
      <c r="D9031" s="319"/>
    </row>
    <row r="9032" spans="3:4">
      <c r="C9032" s="319"/>
      <c r="D9032" s="319"/>
    </row>
    <row r="9033" spans="3:4">
      <c r="C9033" s="319"/>
      <c r="D9033" s="319"/>
    </row>
    <row r="9034" spans="3:7">
      <c r="C9034" s="319"/>
      <c r="D9034" s="319"/>
      <c r="G9034" s="320"/>
    </row>
    <row r="9035" spans="3:4">
      <c r="C9035" s="319"/>
      <c r="D9035" s="319"/>
    </row>
    <row r="9036" spans="3:7">
      <c r="C9036" s="319"/>
      <c r="D9036" s="319"/>
      <c r="G9036" s="320"/>
    </row>
    <row r="9037" spans="3:4">
      <c r="C9037" s="319"/>
      <c r="D9037" s="319"/>
    </row>
    <row r="9038" spans="3:7">
      <c r="C9038" s="319"/>
      <c r="D9038" s="319"/>
      <c r="G9038" s="320"/>
    </row>
    <row r="9039" spans="3:7">
      <c r="C9039" s="319"/>
      <c r="D9039" s="319"/>
      <c r="G9039" s="320"/>
    </row>
    <row r="9040" spans="3:4">
      <c r="C9040" s="319"/>
      <c r="D9040" s="319"/>
    </row>
    <row r="9041" spans="3:4">
      <c r="C9041" s="319"/>
      <c r="D9041" s="319"/>
    </row>
    <row r="9042" spans="3:7">
      <c r="C9042" s="319"/>
      <c r="D9042" s="319"/>
      <c r="G9042" s="320"/>
    </row>
    <row r="9043" spans="3:7">
      <c r="C9043" s="319"/>
      <c r="D9043" s="319"/>
      <c r="G9043" s="320"/>
    </row>
    <row r="9044" spans="3:4">
      <c r="C9044" s="319"/>
      <c r="D9044" s="319"/>
    </row>
    <row r="9045" spans="3:7">
      <c r="C9045" s="319"/>
      <c r="D9045" s="319"/>
      <c r="G9045" s="320"/>
    </row>
    <row r="9046" spans="3:7">
      <c r="C9046" s="319"/>
      <c r="D9046" s="319"/>
      <c r="G9046" s="320"/>
    </row>
    <row r="9047" spans="3:7">
      <c r="C9047" s="319"/>
      <c r="D9047" s="319"/>
      <c r="G9047" s="320"/>
    </row>
    <row r="9048" spans="3:7">
      <c r="C9048" s="319"/>
      <c r="D9048" s="319"/>
      <c r="G9048" s="320"/>
    </row>
    <row r="9049" spans="3:4">
      <c r="C9049" s="319"/>
      <c r="D9049" s="319"/>
    </row>
    <row r="9050" spans="3:7">
      <c r="C9050" s="319"/>
      <c r="D9050" s="319"/>
      <c r="G9050" s="320"/>
    </row>
    <row r="9051" spans="3:4">
      <c r="C9051" s="319"/>
      <c r="D9051" s="319"/>
    </row>
    <row r="9052" spans="3:4">
      <c r="C9052" s="319"/>
      <c r="D9052" s="319"/>
    </row>
    <row r="9053" spans="3:7">
      <c r="C9053" s="319"/>
      <c r="D9053" s="319"/>
      <c r="G9053" s="320"/>
    </row>
    <row r="9054" spans="3:7">
      <c r="C9054" s="319"/>
      <c r="D9054" s="319"/>
      <c r="G9054" s="320"/>
    </row>
    <row r="9055" spans="3:7">
      <c r="C9055" s="319"/>
      <c r="D9055" s="319"/>
      <c r="G9055" s="320"/>
    </row>
    <row r="9056" spans="3:7">
      <c r="C9056" s="319"/>
      <c r="D9056" s="319"/>
      <c r="G9056" s="320"/>
    </row>
    <row r="9057" spans="3:4">
      <c r="C9057" s="319"/>
      <c r="D9057" s="319"/>
    </row>
    <row r="9058" spans="3:4">
      <c r="C9058" s="319"/>
      <c r="D9058" s="319"/>
    </row>
    <row r="9059" spans="3:4">
      <c r="C9059" s="319"/>
      <c r="D9059" s="319"/>
    </row>
    <row r="9060" spans="3:4">
      <c r="C9060" s="319"/>
      <c r="D9060" s="319"/>
    </row>
    <row r="9061" spans="3:4">
      <c r="C9061" s="319"/>
      <c r="D9061" s="319"/>
    </row>
    <row r="9062" spans="3:7">
      <c r="C9062" s="319"/>
      <c r="D9062" s="319"/>
      <c r="G9062" s="320"/>
    </row>
    <row r="9063" spans="3:7">
      <c r="C9063" s="319"/>
      <c r="D9063" s="319"/>
      <c r="G9063" s="320"/>
    </row>
    <row r="9064" spans="3:4">
      <c r="C9064" s="319"/>
      <c r="D9064" s="319"/>
    </row>
    <row r="9065" spans="3:4">
      <c r="C9065" s="319"/>
      <c r="D9065" s="319"/>
    </row>
    <row r="9066" spans="3:4">
      <c r="C9066" s="319"/>
      <c r="D9066" s="319"/>
    </row>
    <row r="9067" spans="3:4">
      <c r="C9067" s="319"/>
      <c r="D9067" s="319"/>
    </row>
    <row r="9068" spans="3:4">
      <c r="C9068" s="319"/>
      <c r="D9068" s="319"/>
    </row>
    <row r="9069" spans="3:4">
      <c r="C9069" s="319"/>
      <c r="D9069" s="319"/>
    </row>
    <row r="9070" spans="3:7">
      <c r="C9070" s="319"/>
      <c r="D9070" s="319"/>
      <c r="G9070" s="320"/>
    </row>
    <row r="9071" spans="3:7">
      <c r="C9071" s="319"/>
      <c r="D9071" s="319"/>
      <c r="G9071" s="320"/>
    </row>
    <row r="9072" spans="3:4">
      <c r="C9072" s="319"/>
      <c r="D9072" s="319"/>
    </row>
    <row r="9073" spans="3:7">
      <c r="C9073" s="319"/>
      <c r="D9073" s="319"/>
      <c r="G9073" s="320"/>
    </row>
    <row r="9074" spans="3:7">
      <c r="C9074" s="319"/>
      <c r="D9074" s="319"/>
      <c r="G9074" s="320"/>
    </row>
    <row r="9075" spans="3:7">
      <c r="C9075" s="319"/>
      <c r="D9075" s="319"/>
      <c r="G9075" s="320"/>
    </row>
    <row r="9076" spans="3:4">
      <c r="C9076" s="319"/>
      <c r="D9076" s="319"/>
    </row>
    <row r="9077" spans="3:4">
      <c r="C9077" s="319"/>
      <c r="D9077" s="319"/>
    </row>
    <row r="9078" spans="3:4">
      <c r="C9078" s="319"/>
      <c r="D9078" s="319"/>
    </row>
    <row r="9079" spans="3:4">
      <c r="C9079" s="319"/>
      <c r="D9079" s="319"/>
    </row>
    <row r="9080" spans="3:7">
      <c r="C9080" s="319"/>
      <c r="D9080" s="319"/>
      <c r="G9080" s="320"/>
    </row>
    <row r="9081" spans="3:4">
      <c r="C9081" s="319"/>
      <c r="D9081" s="319"/>
    </row>
    <row r="9082" spans="3:4">
      <c r="C9082" s="319"/>
      <c r="D9082" s="319"/>
    </row>
    <row r="9083" spans="3:4">
      <c r="C9083" s="319"/>
      <c r="D9083" s="319"/>
    </row>
    <row r="9084" spans="3:4">
      <c r="C9084" s="319"/>
      <c r="D9084" s="319"/>
    </row>
    <row r="9085" spans="3:7">
      <c r="C9085" s="319"/>
      <c r="D9085" s="319"/>
      <c r="G9085" s="320"/>
    </row>
    <row r="9086" spans="3:7">
      <c r="C9086" s="319"/>
      <c r="D9086" s="319"/>
      <c r="G9086" s="320"/>
    </row>
    <row r="9087" spans="3:7">
      <c r="C9087" s="319"/>
      <c r="D9087" s="319"/>
      <c r="G9087" s="320"/>
    </row>
    <row r="9088" spans="3:7">
      <c r="C9088" s="319"/>
      <c r="D9088" s="319"/>
      <c r="G9088" s="320"/>
    </row>
    <row r="9089" spans="3:7">
      <c r="C9089" s="319"/>
      <c r="D9089" s="319"/>
      <c r="G9089" s="320"/>
    </row>
    <row r="9090" spans="3:7">
      <c r="C9090" s="319"/>
      <c r="D9090" s="319"/>
      <c r="G9090" s="320"/>
    </row>
    <row r="9091" spans="3:7">
      <c r="C9091" s="319"/>
      <c r="D9091" s="319"/>
      <c r="G9091" s="320"/>
    </row>
    <row r="9092" spans="3:7">
      <c r="C9092" s="319"/>
      <c r="D9092" s="319"/>
      <c r="G9092" s="320"/>
    </row>
    <row r="9093" spans="3:7">
      <c r="C9093" s="319"/>
      <c r="D9093" s="319"/>
      <c r="G9093" s="320"/>
    </row>
    <row r="9094" spans="3:7">
      <c r="C9094" s="319"/>
      <c r="D9094" s="319"/>
      <c r="G9094" s="320"/>
    </row>
    <row r="9095" spans="3:7">
      <c r="C9095" s="319"/>
      <c r="D9095" s="319"/>
      <c r="G9095" s="320"/>
    </row>
    <row r="9096" spans="3:7">
      <c r="C9096" s="319"/>
      <c r="D9096" s="319"/>
      <c r="G9096" s="320"/>
    </row>
    <row r="9097" spans="3:4">
      <c r="C9097" s="319"/>
      <c r="D9097" s="319"/>
    </row>
    <row r="9098" spans="3:4">
      <c r="C9098" s="319"/>
      <c r="D9098" s="319"/>
    </row>
    <row r="9099" spans="3:4">
      <c r="C9099" s="319"/>
      <c r="D9099" s="319"/>
    </row>
    <row r="9100" spans="3:7">
      <c r="C9100" s="319"/>
      <c r="D9100" s="319"/>
      <c r="G9100" s="320"/>
    </row>
    <row r="9101" spans="3:4">
      <c r="C9101" s="319"/>
      <c r="D9101" s="319"/>
    </row>
    <row r="9102" spans="3:4">
      <c r="C9102" s="319"/>
      <c r="D9102" s="319"/>
    </row>
    <row r="9103" spans="3:7">
      <c r="C9103" s="319"/>
      <c r="D9103" s="319"/>
      <c r="G9103" s="320"/>
    </row>
    <row r="9104" spans="3:4">
      <c r="C9104" s="319"/>
      <c r="D9104" s="319"/>
    </row>
    <row r="9105" spans="3:4">
      <c r="C9105" s="319"/>
      <c r="D9105" s="319"/>
    </row>
    <row r="9106" spans="3:7">
      <c r="C9106" s="319"/>
      <c r="D9106" s="319"/>
      <c r="G9106" s="320"/>
    </row>
    <row r="9107" spans="3:7">
      <c r="C9107" s="319"/>
      <c r="D9107" s="319"/>
      <c r="G9107" s="320"/>
    </row>
    <row r="9108" spans="3:4">
      <c r="C9108" s="319"/>
      <c r="D9108" s="319"/>
    </row>
    <row r="9109" spans="3:7">
      <c r="C9109" s="319"/>
      <c r="D9109" s="319"/>
      <c r="G9109" s="320"/>
    </row>
    <row r="9110" spans="3:7">
      <c r="C9110" s="319"/>
      <c r="D9110" s="319"/>
      <c r="G9110" s="320"/>
    </row>
    <row r="9111" spans="3:7">
      <c r="C9111" s="319"/>
      <c r="D9111" s="319"/>
      <c r="G9111" s="320"/>
    </row>
    <row r="9112" spans="3:7">
      <c r="C9112" s="319"/>
      <c r="D9112" s="319"/>
      <c r="G9112" s="320"/>
    </row>
    <row r="9113" spans="3:4">
      <c r="C9113" s="319"/>
      <c r="D9113" s="319"/>
    </row>
    <row r="9114" spans="3:7">
      <c r="C9114" s="319"/>
      <c r="D9114" s="319"/>
      <c r="G9114" s="320"/>
    </row>
    <row r="9115" spans="3:7">
      <c r="C9115" s="319"/>
      <c r="D9115" s="319"/>
      <c r="G9115" s="320"/>
    </row>
    <row r="9116" spans="3:4">
      <c r="C9116" s="319"/>
      <c r="D9116" s="319"/>
    </row>
    <row r="9117" spans="3:7">
      <c r="C9117" s="319"/>
      <c r="D9117" s="319"/>
      <c r="G9117" s="320"/>
    </row>
    <row r="9118" spans="3:7">
      <c r="C9118" s="319"/>
      <c r="D9118" s="319"/>
      <c r="G9118" s="320"/>
    </row>
    <row r="9119" spans="3:4">
      <c r="C9119" s="319"/>
      <c r="D9119" s="319"/>
    </row>
    <row r="9120" spans="3:7">
      <c r="C9120" s="319"/>
      <c r="D9120" s="319"/>
      <c r="G9120" s="320"/>
    </row>
    <row r="9121" spans="3:4">
      <c r="C9121" s="319"/>
      <c r="D9121" s="319"/>
    </row>
    <row r="9122" spans="3:4">
      <c r="C9122" s="319"/>
      <c r="D9122" s="319"/>
    </row>
    <row r="9123" spans="3:4">
      <c r="C9123" s="319"/>
      <c r="D9123" s="319"/>
    </row>
    <row r="9124" spans="3:7">
      <c r="C9124" s="319"/>
      <c r="D9124" s="319"/>
      <c r="G9124" s="320"/>
    </row>
    <row r="9125" spans="3:4">
      <c r="C9125" s="319"/>
      <c r="D9125" s="319"/>
    </row>
    <row r="9126" spans="3:7">
      <c r="C9126" s="319"/>
      <c r="D9126" s="319"/>
      <c r="G9126" s="320"/>
    </row>
    <row r="9127" spans="3:7">
      <c r="C9127" s="319"/>
      <c r="D9127" s="319"/>
      <c r="G9127" s="320"/>
    </row>
    <row r="9128" spans="3:7">
      <c r="C9128" s="319"/>
      <c r="D9128" s="319"/>
      <c r="G9128" s="320"/>
    </row>
    <row r="9129" spans="3:4">
      <c r="C9129" s="319"/>
      <c r="D9129" s="319"/>
    </row>
    <row r="9130" spans="3:4">
      <c r="C9130" s="319"/>
      <c r="D9130" s="319"/>
    </row>
    <row r="9131" spans="3:4">
      <c r="C9131" s="319"/>
      <c r="D9131" s="319"/>
    </row>
    <row r="9132" spans="3:7">
      <c r="C9132" s="319"/>
      <c r="D9132" s="319"/>
      <c r="G9132" s="320"/>
    </row>
    <row r="9133" spans="3:7">
      <c r="C9133" s="319"/>
      <c r="D9133" s="319"/>
      <c r="G9133" s="320"/>
    </row>
    <row r="9134" spans="3:7">
      <c r="C9134" s="319"/>
      <c r="D9134" s="319"/>
      <c r="G9134" s="320"/>
    </row>
    <row r="9135" spans="3:7">
      <c r="C9135" s="319"/>
      <c r="D9135" s="319"/>
      <c r="G9135" s="320"/>
    </row>
    <row r="9136" spans="3:4">
      <c r="C9136" s="319"/>
      <c r="D9136" s="319"/>
    </row>
    <row r="9137" spans="3:7">
      <c r="C9137" s="319"/>
      <c r="D9137" s="319"/>
      <c r="G9137" s="320"/>
    </row>
    <row r="9138" spans="3:4">
      <c r="C9138" s="319"/>
      <c r="D9138" s="319"/>
    </row>
    <row r="9139" spans="3:7">
      <c r="C9139" s="319"/>
      <c r="D9139" s="319"/>
      <c r="G9139" s="320"/>
    </row>
    <row r="9140" spans="3:4">
      <c r="C9140" s="319"/>
      <c r="D9140" s="319"/>
    </row>
    <row r="9141" spans="3:7">
      <c r="C9141" s="319"/>
      <c r="D9141" s="319"/>
      <c r="G9141" s="320"/>
    </row>
    <row r="9142" spans="3:7">
      <c r="C9142" s="319"/>
      <c r="D9142" s="319"/>
      <c r="G9142" s="320"/>
    </row>
    <row r="9143" spans="3:7">
      <c r="C9143" s="319"/>
      <c r="D9143" s="319"/>
      <c r="G9143" s="320"/>
    </row>
    <row r="9144" spans="3:7">
      <c r="C9144" s="319"/>
      <c r="D9144" s="319"/>
      <c r="G9144" s="320"/>
    </row>
    <row r="9145" spans="3:7">
      <c r="C9145" s="319"/>
      <c r="D9145" s="319"/>
      <c r="G9145" s="320"/>
    </row>
    <row r="9146" spans="3:7">
      <c r="C9146" s="319"/>
      <c r="D9146" s="319"/>
      <c r="G9146" s="320"/>
    </row>
    <row r="9147" spans="3:7">
      <c r="C9147" s="319"/>
      <c r="D9147" s="319"/>
      <c r="G9147" s="320"/>
    </row>
    <row r="9148" spans="3:4">
      <c r="C9148" s="319"/>
      <c r="D9148" s="319"/>
    </row>
    <row r="9149" spans="3:4">
      <c r="C9149" s="319"/>
      <c r="D9149" s="319"/>
    </row>
    <row r="9150" spans="3:7">
      <c r="C9150" s="319"/>
      <c r="D9150" s="319"/>
      <c r="G9150" s="320"/>
    </row>
    <row r="9151" spans="3:4">
      <c r="C9151" s="319"/>
      <c r="D9151" s="319"/>
    </row>
    <row r="9152" spans="3:4">
      <c r="C9152" s="319"/>
      <c r="D9152" s="319"/>
    </row>
    <row r="9153" spans="3:4">
      <c r="C9153" s="319"/>
      <c r="D9153" s="319"/>
    </row>
    <row r="9154" spans="3:4">
      <c r="C9154" s="319"/>
      <c r="D9154" s="319"/>
    </row>
    <row r="9155" spans="3:4">
      <c r="C9155" s="319"/>
      <c r="D9155" s="319"/>
    </row>
    <row r="9156" spans="3:7">
      <c r="C9156" s="319"/>
      <c r="D9156" s="319"/>
      <c r="G9156" s="320"/>
    </row>
    <row r="9157" spans="3:7">
      <c r="C9157" s="319"/>
      <c r="D9157" s="319"/>
      <c r="G9157" s="320"/>
    </row>
    <row r="9158" spans="3:7">
      <c r="C9158" s="319"/>
      <c r="D9158" s="319"/>
      <c r="G9158" s="320"/>
    </row>
    <row r="9159" spans="3:7">
      <c r="C9159" s="319"/>
      <c r="D9159" s="319"/>
      <c r="G9159" s="320"/>
    </row>
    <row r="9160" spans="3:7">
      <c r="C9160" s="319"/>
      <c r="D9160" s="319"/>
      <c r="G9160" s="320"/>
    </row>
    <row r="9161" spans="3:4">
      <c r="C9161" s="319"/>
      <c r="D9161" s="319"/>
    </row>
    <row r="9162" spans="3:4">
      <c r="C9162" s="319"/>
      <c r="D9162" s="319"/>
    </row>
    <row r="9163" spans="3:7">
      <c r="C9163" s="319"/>
      <c r="D9163" s="319"/>
      <c r="G9163" s="320"/>
    </row>
    <row r="9164" spans="3:7">
      <c r="C9164" s="319"/>
      <c r="D9164" s="319"/>
      <c r="G9164" s="320"/>
    </row>
    <row r="9165" spans="3:7">
      <c r="C9165" s="319"/>
      <c r="D9165" s="319"/>
      <c r="G9165" s="320"/>
    </row>
    <row r="9166" spans="3:7">
      <c r="C9166" s="319"/>
      <c r="D9166" s="319"/>
      <c r="G9166" s="320"/>
    </row>
    <row r="9167" spans="3:7">
      <c r="C9167" s="319"/>
      <c r="D9167" s="319"/>
      <c r="G9167" s="320"/>
    </row>
    <row r="9168" spans="3:7">
      <c r="C9168" s="319"/>
      <c r="D9168" s="319"/>
      <c r="G9168" s="320"/>
    </row>
    <row r="9169" spans="3:7">
      <c r="C9169" s="319"/>
      <c r="D9169" s="319"/>
      <c r="G9169" s="320"/>
    </row>
    <row r="9170" spans="3:7">
      <c r="C9170" s="319"/>
      <c r="D9170" s="319"/>
      <c r="G9170" s="320"/>
    </row>
    <row r="9171" spans="3:4">
      <c r="C9171" s="319"/>
      <c r="D9171" s="319"/>
    </row>
    <row r="9172" spans="3:4">
      <c r="C9172" s="319"/>
      <c r="D9172" s="319"/>
    </row>
    <row r="9173" spans="3:4">
      <c r="C9173" s="319"/>
      <c r="D9173" s="319"/>
    </row>
    <row r="9174" spans="3:7">
      <c r="C9174" s="319"/>
      <c r="D9174" s="319"/>
      <c r="G9174" s="320"/>
    </row>
    <row r="9175" spans="3:4">
      <c r="C9175" s="319"/>
      <c r="D9175" s="319"/>
    </row>
    <row r="9176" spans="3:7">
      <c r="C9176" s="319"/>
      <c r="D9176" s="319"/>
      <c r="G9176" s="320"/>
    </row>
    <row r="9177" spans="3:7">
      <c r="C9177" s="319"/>
      <c r="D9177" s="319"/>
      <c r="G9177" s="320"/>
    </row>
    <row r="9178" spans="3:4">
      <c r="C9178" s="319"/>
      <c r="D9178" s="319"/>
    </row>
    <row r="9179" spans="3:4">
      <c r="C9179" s="319"/>
      <c r="D9179" s="319"/>
    </row>
    <row r="9180" spans="3:7">
      <c r="C9180" s="319"/>
      <c r="D9180" s="319"/>
      <c r="G9180" s="320"/>
    </row>
    <row r="9181" spans="3:7">
      <c r="C9181" s="319"/>
      <c r="D9181" s="319"/>
      <c r="G9181" s="320"/>
    </row>
    <row r="9182" spans="3:4">
      <c r="C9182" s="319"/>
      <c r="D9182" s="319"/>
    </row>
    <row r="9183" spans="3:7">
      <c r="C9183" s="319"/>
      <c r="D9183" s="319"/>
      <c r="G9183" s="320"/>
    </row>
    <row r="9184" spans="3:4">
      <c r="C9184" s="319"/>
      <c r="D9184" s="319"/>
    </row>
    <row r="9185" spans="3:7">
      <c r="C9185" s="319"/>
      <c r="D9185" s="319"/>
      <c r="G9185" s="320"/>
    </row>
    <row r="9186" spans="3:7">
      <c r="C9186" s="319"/>
      <c r="D9186" s="319"/>
      <c r="G9186" s="320"/>
    </row>
    <row r="9187" spans="3:7">
      <c r="C9187" s="319"/>
      <c r="D9187" s="319"/>
      <c r="G9187" s="320"/>
    </row>
    <row r="9188" spans="3:7">
      <c r="C9188" s="319"/>
      <c r="D9188" s="319"/>
      <c r="G9188" s="320"/>
    </row>
    <row r="9189" spans="3:7">
      <c r="C9189" s="319"/>
      <c r="D9189" s="319"/>
      <c r="G9189" s="320"/>
    </row>
    <row r="9190" spans="3:7">
      <c r="C9190" s="319"/>
      <c r="D9190" s="319"/>
      <c r="G9190" s="320"/>
    </row>
    <row r="9191" spans="3:7">
      <c r="C9191" s="319"/>
      <c r="D9191" s="319"/>
      <c r="G9191" s="320"/>
    </row>
    <row r="9192" spans="3:7">
      <c r="C9192" s="319"/>
      <c r="D9192" s="319"/>
      <c r="G9192" s="320"/>
    </row>
    <row r="9193" spans="3:7">
      <c r="C9193" s="319"/>
      <c r="D9193" s="319"/>
      <c r="G9193" s="320"/>
    </row>
    <row r="9194" spans="3:7">
      <c r="C9194" s="319"/>
      <c r="D9194" s="319"/>
      <c r="G9194" s="320"/>
    </row>
    <row r="9195" spans="3:4">
      <c r="C9195" s="319"/>
      <c r="D9195" s="319"/>
    </row>
    <row r="9196" spans="3:7">
      <c r="C9196" s="319"/>
      <c r="D9196" s="319"/>
      <c r="G9196" s="320"/>
    </row>
    <row r="9197" spans="3:7">
      <c r="C9197" s="319"/>
      <c r="D9197" s="319"/>
      <c r="G9197" s="320"/>
    </row>
    <row r="9198" spans="3:7">
      <c r="C9198" s="319"/>
      <c r="D9198" s="319"/>
      <c r="G9198" s="320"/>
    </row>
    <row r="9199" spans="3:4">
      <c r="C9199" s="319"/>
      <c r="D9199" s="319"/>
    </row>
    <row r="9200" spans="3:7">
      <c r="C9200" s="319"/>
      <c r="D9200" s="319"/>
      <c r="G9200" s="320"/>
    </row>
    <row r="9201" spans="3:7">
      <c r="C9201" s="319"/>
      <c r="D9201" s="319"/>
      <c r="G9201" s="320"/>
    </row>
    <row r="9202" spans="3:4">
      <c r="C9202" s="319"/>
      <c r="D9202" s="319"/>
    </row>
    <row r="9203" spans="3:7">
      <c r="C9203" s="319"/>
      <c r="D9203" s="319"/>
      <c r="G9203" s="320"/>
    </row>
    <row r="9204" spans="3:7">
      <c r="C9204" s="319"/>
      <c r="D9204" s="319"/>
      <c r="G9204" s="320"/>
    </row>
    <row r="9205" spans="3:4">
      <c r="C9205" s="319"/>
      <c r="D9205" s="319"/>
    </row>
    <row r="9206" spans="3:7">
      <c r="C9206" s="319"/>
      <c r="D9206" s="319"/>
      <c r="G9206" s="320"/>
    </row>
    <row r="9207" spans="3:7">
      <c r="C9207" s="319"/>
      <c r="D9207" s="319"/>
      <c r="G9207" s="320"/>
    </row>
    <row r="9208" spans="3:7">
      <c r="C9208" s="319"/>
      <c r="D9208" s="319"/>
      <c r="G9208" s="320"/>
    </row>
    <row r="9209" spans="3:7">
      <c r="C9209" s="319"/>
      <c r="D9209" s="319"/>
      <c r="G9209" s="320"/>
    </row>
    <row r="9210" spans="3:7">
      <c r="C9210" s="319"/>
      <c r="D9210" s="319"/>
      <c r="G9210" s="320"/>
    </row>
    <row r="9211" spans="3:7">
      <c r="C9211" s="319"/>
      <c r="D9211" s="319"/>
      <c r="G9211" s="320"/>
    </row>
    <row r="9212" spans="3:4">
      <c r="C9212" s="319"/>
      <c r="D9212" s="319"/>
    </row>
    <row r="9213" spans="3:7">
      <c r="C9213" s="319"/>
      <c r="D9213" s="319"/>
      <c r="G9213" s="320"/>
    </row>
    <row r="9214" spans="3:7">
      <c r="C9214" s="319"/>
      <c r="D9214" s="319"/>
      <c r="G9214" s="320"/>
    </row>
    <row r="9215" spans="3:7">
      <c r="C9215" s="319"/>
      <c r="D9215" s="319"/>
      <c r="G9215" s="320"/>
    </row>
    <row r="9216" spans="3:4">
      <c r="C9216" s="319"/>
      <c r="D9216" s="319"/>
    </row>
    <row r="9217" spans="3:4">
      <c r="C9217" s="319"/>
      <c r="D9217" s="319"/>
    </row>
    <row r="9218" spans="3:7">
      <c r="C9218" s="319"/>
      <c r="D9218" s="319"/>
      <c r="G9218" s="320"/>
    </row>
    <row r="9219" spans="3:7">
      <c r="C9219" s="319"/>
      <c r="D9219" s="319"/>
      <c r="G9219" s="320"/>
    </row>
    <row r="9220" spans="3:7">
      <c r="C9220" s="319"/>
      <c r="D9220" s="319"/>
      <c r="G9220" s="320"/>
    </row>
    <row r="9221" spans="3:7">
      <c r="C9221" s="319"/>
      <c r="D9221" s="319"/>
      <c r="G9221" s="320"/>
    </row>
    <row r="9222" spans="3:7">
      <c r="C9222" s="319"/>
      <c r="D9222" s="319"/>
      <c r="G9222" s="320"/>
    </row>
    <row r="9223" spans="3:7">
      <c r="C9223" s="319"/>
      <c r="D9223" s="319"/>
      <c r="G9223" s="320"/>
    </row>
    <row r="9224" spans="3:7">
      <c r="C9224" s="319"/>
      <c r="D9224" s="319"/>
      <c r="G9224" s="320"/>
    </row>
    <row r="9225" spans="3:4">
      <c r="C9225" s="319"/>
      <c r="D9225" s="319"/>
    </row>
    <row r="9226" spans="3:7">
      <c r="C9226" s="319"/>
      <c r="D9226" s="319"/>
      <c r="G9226" s="320"/>
    </row>
    <row r="9227" spans="3:4">
      <c r="C9227" s="319"/>
      <c r="D9227" s="319"/>
    </row>
    <row r="9228" spans="3:7">
      <c r="C9228" s="319"/>
      <c r="D9228" s="319"/>
      <c r="G9228" s="320"/>
    </row>
    <row r="9229" spans="3:4">
      <c r="C9229" s="319"/>
      <c r="D9229" s="319"/>
    </row>
    <row r="9230" spans="3:7">
      <c r="C9230" s="319"/>
      <c r="D9230" s="319"/>
      <c r="G9230" s="320"/>
    </row>
    <row r="9231" spans="3:7">
      <c r="C9231" s="319"/>
      <c r="D9231" s="319"/>
      <c r="G9231" s="320"/>
    </row>
    <row r="9232" spans="3:4">
      <c r="C9232" s="319"/>
      <c r="D9232" s="319"/>
    </row>
    <row r="9233" spans="3:7">
      <c r="C9233" s="319"/>
      <c r="D9233" s="319"/>
      <c r="G9233" s="320"/>
    </row>
    <row r="9234" spans="3:7">
      <c r="C9234" s="319"/>
      <c r="D9234" s="319"/>
      <c r="G9234" s="320"/>
    </row>
    <row r="9235" spans="3:7">
      <c r="C9235" s="319"/>
      <c r="D9235" s="319"/>
      <c r="G9235" s="320"/>
    </row>
    <row r="9236" spans="3:7">
      <c r="C9236" s="319"/>
      <c r="D9236" s="319"/>
      <c r="G9236" s="320"/>
    </row>
    <row r="9237" spans="3:7">
      <c r="C9237" s="319"/>
      <c r="D9237" s="319"/>
      <c r="G9237" s="320"/>
    </row>
    <row r="9238" spans="3:7">
      <c r="C9238" s="319"/>
      <c r="D9238" s="319"/>
      <c r="G9238" s="320"/>
    </row>
    <row r="9239" spans="3:7">
      <c r="C9239" s="319"/>
      <c r="D9239" s="319"/>
      <c r="G9239" s="320"/>
    </row>
    <row r="9240" spans="3:7">
      <c r="C9240" s="319"/>
      <c r="D9240" s="319"/>
      <c r="G9240" s="320"/>
    </row>
    <row r="9241" spans="3:7">
      <c r="C9241" s="319"/>
      <c r="D9241" s="319"/>
      <c r="G9241" s="320"/>
    </row>
    <row r="9242" spans="3:4">
      <c r="C9242" s="319"/>
      <c r="D9242" s="319"/>
    </row>
    <row r="9243" spans="3:7">
      <c r="C9243" s="319"/>
      <c r="D9243" s="319"/>
      <c r="G9243" s="320"/>
    </row>
    <row r="9244" spans="3:7">
      <c r="C9244" s="319"/>
      <c r="D9244" s="319"/>
      <c r="G9244" s="320"/>
    </row>
    <row r="9245" spans="3:7">
      <c r="C9245" s="319"/>
      <c r="D9245" s="319"/>
      <c r="G9245" s="320"/>
    </row>
    <row r="9246" spans="3:4">
      <c r="C9246" s="319"/>
      <c r="D9246" s="319"/>
    </row>
    <row r="9247" spans="3:4">
      <c r="C9247" s="319"/>
      <c r="D9247" s="319"/>
    </row>
    <row r="9248" spans="3:7">
      <c r="C9248" s="319"/>
      <c r="D9248" s="319"/>
      <c r="G9248" s="320"/>
    </row>
    <row r="9249" spans="3:7">
      <c r="C9249" s="319"/>
      <c r="D9249" s="319"/>
      <c r="G9249" s="320"/>
    </row>
    <row r="9250" spans="3:7">
      <c r="C9250" s="319"/>
      <c r="D9250" s="319"/>
      <c r="G9250" s="320"/>
    </row>
    <row r="9251" spans="3:4">
      <c r="C9251" s="319"/>
      <c r="D9251" s="319"/>
    </row>
    <row r="9252" spans="3:7">
      <c r="C9252" s="319"/>
      <c r="D9252" s="319"/>
      <c r="G9252" s="320"/>
    </row>
    <row r="9253" spans="3:4">
      <c r="C9253" s="319"/>
      <c r="D9253" s="319"/>
    </row>
    <row r="9254" spans="3:7">
      <c r="C9254" s="319"/>
      <c r="D9254" s="319"/>
      <c r="G9254" s="320"/>
    </row>
    <row r="9255" spans="3:7">
      <c r="C9255" s="319"/>
      <c r="D9255" s="319"/>
      <c r="G9255" s="320"/>
    </row>
    <row r="9256" spans="3:7">
      <c r="C9256" s="319"/>
      <c r="D9256" s="319"/>
      <c r="G9256" s="320"/>
    </row>
    <row r="9257" spans="3:7">
      <c r="C9257" s="319"/>
      <c r="D9257" s="319"/>
      <c r="G9257" s="320"/>
    </row>
    <row r="9258" spans="3:7">
      <c r="C9258" s="319"/>
      <c r="D9258" s="319"/>
      <c r="G9258" s="320"/>
    </row>
    <row r="9259" spans="3:7">
      <c r="C9259" s="319"/>
      <c r="D9259" s="319"/>
      <c r="G9259" s="320"/>
    </row>
    <row r="9260" spans="3:4">
      <c r="C9260" s="319"/>
      <c r="D9260" s="319"/>
    </row>
    <row r="9261" spans="3:7">
      <c r="C9261" s="319"/>
      <c r="D9261" s="319"/>
      <c r="G9261" s="320"/>
    </row>
    <row r="9262" spans="3:7">
      <c r="C9262" s="319"/>
      <c r="D9262" s="319"/>
      <c r="G9262" s="320"/>
    </row>
    <row r="9263" spans="3:7">
      <c r="C9263" s="319"/>
      <c r="D9263" s="319"/>
      <c r="G9263" s="320"/>
    </row>
    <row r="9264" spans="3:7">
      <c r="C9264" s="319"/>
      <c r="D9264" s="319"/>
      <c r="G9264" s="320"/>
    </row>
    <row r="9265" spans="3:7">
      <c r="C9265" s="319"/>
      <c r="D9265" s="319"/>
      <c r="G9265" s="320"/>
    </row>
    <row r="9266" spans="3:4">
      <c r="C9266" s="319"/>
      <c r="D9266" s="319"/>
    </row>
    <row r="9267" spans="3:7">
      <c r="C9267" s="319"/>
      <c r="D9267" s="319"/>
      <c r="G9267" s="320"/>
    </row>
    <row r="9268" spans="3:7">
      <c r="C9268" s="319"/>
      <c r="D9268" s="319"/>
      <c r="G9268" s="320"/>
    </row>
    <row r="9269" spans="3:4">
      <c r="C9269" s="319"/>
      <c r="D9269" s="319"/>
    </row>
    <row r="9270" spans="3:7">
      <c r="C9270" s="319"/>
      <c r="D9270" s="319"/>
      <c r="G9270" s="320"/>
    </row>
    <row r="9271" spans="3:7">
      <c r="C9271" s="319"/>
      <c r="D9271" s="319"/>
      <c r="G9271" s="320"/>
    </row>
    <row r="9272" spans="3:4">
      <c r="C9272" s="319"/>
      <c r="D9272" s="319"/>
    </row>
    <row r="9273" spans="3:7">
      <c r="C9273" s="319"/>
      <c r="D9273" s="319"/>
      <c r="G9273" s="320"/>
    </row>
    <row r="9274" spans="3:4">
      <c r="C9274" s="319"/>
      <c r="D9274" s="319"/>
    </row>
    <row r="9275" spans="3:4">
      <c r="C9275" s="319"/>
      <c r="D9275" s="319"/>
    </row>
    <row r="9276" spans="3:7">
      <c r="C9276" s="319"/>
      <c r="D9276" s="319"/>
      <c r="G9276" s="320"/>
    </row>
    <row r="9277" spans="3:4">
      <c r="C9277" s="319"/>
      <c r="D9277" s="319"/>
    </row>
    <row r="9278" spans="3:7">
      <c r="C9278" s="319"/>
      <c r="D9278" s="319"/>
      <c r="G9278" s="320"/>
    </row>
    <row r="9279" spans="3:4">
      <c r="C9279" s="319"/>
      <c r="D9279" s="319"/>
    </row>
    <row r="9280" spans="3:4">
      <c r="C9280" s="319"/>
      <c r="D9280" s="319"/>
    </row>
    <row r="9281" spans="3:7">
      <c r="C9281" s="319"/>
      <c r="D9281" s="319"/>
      <c r="G9281" s="320"/>
    </row>
    <row r="9282" spans="3:7">
      <c r="C9282" s="319"/>
      <c r="D9282" s="319"/>
      <c r="G9282" s="320"/>
    </row>
    <row r="9283" spans="3:7">
      <c r="C9283" s="319"/>
      <c r="D9283" s="319"/>
      <c r="G9283" s="320"/>
    </row>
    <row r="9284" spans="3:4">
      <c r="C9284" s="319"/>
      <c r="D9284" s="319"/>
    </row>
    <row r="9285" spans="3:7">
      <c r="C9285" s="319"/>
      <c r="D9285" s="319"/>
      <c r="G9285" s="320"/>
    </row>
    <row r="9286" spans="3:7">
      <c r="C9286" s="319"/>
      <c r="D9286" s="319"/>
      <c r="G9286" s="320"/>
    </row>
    <row r="9287" spans="3:7">
      <c r="C9287" s="319"/>
      <c r="D9287" s="319"/>
      <c r="G9287" s="320"/>
    </row>
    <row r="9288" spans="3:7">
      <c r="C9288" s="319"/>
      <c r="D9288" s="319"/>
      <c r="G9288" s="320"/>
    </row>
    <row r="9289" spans="3:7">
      <c r="C9289" s="319"/>
      <c r="D9289" s="319"/>
      <c r="G9289" s="320"/>
    </row>
    <row r="9290" spans="3:4">
      <c r="C9290" s="319"/>
      <c r="D9290" s="319"/>
    </row>
    <row r="9291" spans="3:7">
      <c r="C9291" s="319"/>
      <c r="D9291" s="319"/>
      <c r="G9291" s="320"/>
    </row>
    <row r="9292" spans="3:4">
      <c r="C9292" s="319"/>
      <c r="D9292" s="319"/>
    </row>
    <row r="9293" spans="3:4">
      <c r="C9293" s="319"/>
      <c r="D9293" s="319"/>
    </row>
    <row r="9294" spans="3:7">
      <c r="C9294" s="319"/>
      <c r="D9294" s="319"/>
      <c r="G9294" s="320"/>
    </row>
    <row r="9295" spans="3:7">
      <c r="C9295" s="319"/>
      <c r="D9295" s="319"/>
      <c r="G9295" s="320"/>
    </row>
    <row r="9296" spans="3:7">
      <c r="C9296" s="319"/>
      <c r="D9296" s="319"/>
      <c r="G9296" s="320"/>
    </row>
    <row r="9297" spans="3:4">
      <c r="C9297" s="319"/>
      <c r="D9297" s="319"/>
    </row>
    <row r="9298" spans="3:7">
      <c r="C9298" s="319"/>
      <c r="D9298" s="319"/>
      <c r="G9298" s="320"/>
    </row>
    <row r="9299" spans="3:4">
      <c r="C9299" s="319"/>
      <c r="D9299" s="319"/>
    </row>
    <row r="9300" spans="3:4">
      <c r="C9300" s="319"/>
      <c r="D9300" s="319"/>
    </row>
    <row r="9301" spans="3:4">
      <c r="C9301" s="319"/>
      <c r="D9301" s="319"/>
    </row>
    <row r="9302" spans="3:7">
      <c r="C9302" s="319"/>
      <c r="D9302" s="319"/>
      <c r="G9302" s="320"/>
    </row>
    <row r="9303" spans="3:7">
      <c r="C9303" s="319"/>
      <c r="D9303" s="319"/>
      <c r="G9303" s="320"/>
    </row>
    <row r="9304" spans="3:4">
      <c r="C9304" s="319"/>
      <c r="D9304" s="319"/>
    </row>
    <row r="9305" spans="3:7">
      <c r="C9305" s="319"/>
      <c r="D9305" s="319"/>
      <c r="G9305" s="320"/>
    </row>
    <row r="9306" spans="3:4">
      <c r="C9306" s="319"/>
      <c r="D9306" s="319"/>
    </row>
    <row r="9307" spans="3:7">
      <c r="C9307" s="319"/>
      <c r="D9307" s="319"/>
      <c r="G9307" s="320"/>
    </row>
    <row r="9308" spans="3:4">
      <c r="C9308" s="319"/>
      <c r="D9308" s="319"/>
    </row>
    <row r="9309" spans="3:7">
      <c r="C9309" s="319"/>
      <c r="D9309" s="319"/>
      <c r="G9309" s="320"/>
    </row>
    <row r="9310" spans="3:7">
      <c r="C9310" s="319"/>
      <c r="D9310" s="319"/>
      <c r="G9310" s="320"/>
    </row>
    <row r="9311" spans="3:4">
      <c r="C9311" s="319"/>
      <c r="D9311" s="319"/>
    </row>
    <row r="9312" spans="3:4">
      <c r="C9312" s="319"/>
      <c r="D9312" s="319"/>
    </row>
    <row r="9313" spans="3:7">
      <c r="C9313" s="319"/>
      <c r="D9313" s="319"/>
      <c r="G9313" s="320"/>
    </row>
    <row r="9314" spans="3:4">
      <c r="C9314" s="319"/>
      <c r="D9314" s="319"/>
    </row>
    <row r="9315" spans="3:4">
      <c r="C9315" s="319"/>
      <c r="D9315" s="319"/>
    </row>
    <row r="9316" spans="3:4">
      <c r="C9316" s="319"/>
      <c r="D9316" s="319"/>
    </row>
    <row r="9317" spans="3:4">
      <c r="C9317" s="319"/>
      <c r="D9317" s="319"/>
    </row>
    <row r="9318" spans="3:4">
      <c r="C9318" s="319"/>
      <c r="D9318" s="319"/>
    </row>
    <row r="9319" spans="3:4">
      <c r="C9319" s="319"/>
      <c r="D9319" s="319"/>
    </row>
    <row r="9320" spans="3:7">
      <c r="C9320" s="319"/>
      <c r="D9320" s="319"/>
      <c r="G9320" s="320"/>
    </row>
    <row r="9321" spans="3:4">
      <c r="C9321" s="319"/>
      <c r="D9321" s="319"/>
    </row>
    <row r="9322" spans="3:7">
      <c r="C9322" s="319"/>
      <c r="D9322" s="319"/>
      <c r="G9322" s="320"/>
    </row>
    <row r="9323" spans="3:4">
      <c r="C9323" s="319"/>
      <c r="D9323" s="319"/>
    </row>
    <row r="9324" spans="3:7">
      <c r="C9324" s="319"/>
      <c r="D9324" s="319"/>
      <c r="G9324" s="320"/>
    </row>
    <row r="9325" spans="3:7">
      <c r="C9325" s="319"/>
      <c r="D9325" s="319"/>
      <c r="G9325" s="320"/>
    </row>
    <row r="9326" spans="3:4">
      <c r="C9326" s="319"/>
      <c r="D9326" s="319"/>
    </row>
    <row r="9327" spans="3:4">
      <c r="C9327" s="319"/>
      <c r="D9327" s="319"/>
    </row>
    <row r="9328" spans="3:7">
      <c r="C9328" s="319"/>
      <c r="D9328" s="319"/>
      <c r="G9328" s="320"/>
    </row>
    <row r="9329" spans="3:4">
      <c r="C9329" s="319"/>
      <c r="D9329" s="319"/>
    </row>
    <row r="9330" spans="3:7">
      <c r="C9330" s="319"/>
      <c r="D9330" s="319"/>
      <c r="G9330" s="320"/>
    </row>
    <row r="9331" spans="3:4">
      <c r="C9331" s="319"/>
      <c r="D9331" s="319"/>
    </row>
    <row r="9332" spans="3:4">
      <c r="C9332" s="319"/>
      <c r="D9332" s="319"/>
    </row>
    <row r="9333" spans="3:7">
      <c r="C9333" s="319"/>
      <c r="D9333" s="319"/>
      <c r="G9333" s="320"/>
    </row>
    <row r="9334" spans="3:7">
      <c r="C9334" s="319"/>
      <c r="D9334" s="319"/>
      <c r="G9334" s="320"/>
    </row>
    <row r="9335" spans="3:4">
      <c r="C9335" s="319"/>
      <c r="D9335" s="319"/>
    </row>
    <row r="9336" spans="3:7">
      <c r="C9336" s="319"/>
      <c r="D9336" s="319"/>
      <c r="G9336" s="320"/>
    </row>
    <row r="9337" spans="3:4">
      <c r="C9337" s="319"/>
      <c r="D9337" s="319"/>
    </row>
    <row r="9338" spans="3:4">
      <c r="C9338" s="319"/>
      <c r="D9338" s="319"/>
    </row>
    <row r="9339" spans="3:4">
      <c r="C9339" s="319"/>
      <c r="D9339" s="319"/>
    </row>
    <row r="9340" spans="3:7">
      <c r="C9340" s="319"/>
      <c r="D9340" s="319"/>
      <c r="G9340" s="320"/>
    </row>
    <row r="9341" spans="3:4">
      <c r="C9341" s="319"/>
      <c r="D9341" s="319"/>
    </row>
    <row r="9342" spans="3:7">
      <c r="C9342" s="319"/>
      <c r="D9342" s="319"/>
      <c r="G9342" s="320"/>
    </row>
    <row r="9343" spans="3:4">
      <c r="C9343" s="319"/>
      <c r="D9343" s="319"/>
    </row>
    <row r="9344" spans="3:4">
      <c r="C9344" s="319"/>
      <c r="D9344" s="319"/>
    </row>
    <row r="9345" spans="3:4">
      <c r="C9345" s="319"/>
      <c r="D9345" s="319"/>
    </row>
    <row r="9346" spans="3:7">
      <c r="C9346" s="319"/>
      <c r="D9346" s="319"/>
      <c r="G9346" s="320"/>
    </row>
    <row r="9347" spans="3:7">
      <c r="C9347" s="319"/>
      <c r="D9347" s="319"/>
      <c r="G9347" s="320"/>
    </row>
    <row r="9348" spans="3:4">
      <c r="C9348" s="319"/>
      <c r="D9348" s="319"/>
    </row>
    <row r="9349" spans="3:4">
      <c r="C9349" s="319"/>
      <c r="D9349" s="319"/>
    </row>
    <row r="9350" spans="3:7">
      <c r="C9350" s="319"/>
      <c r="D9350" s="319"/>
      <c r="G9350" s="320"/>
    </row>
    <row r="9351" spans="3:7">
      <c r="C9351" s="319"/>
      <c r="D9351" s="319"/>
      <c r="G9351" s="320"/>
    </row>
    <row r="9352" spans="3:7">
      <c r="C9352" s="319"/>
      <c r="D9352" s="319"/>
      <c r="G9352" s="320"/>
    </row>
    <row r="9353" spans="3:7">
      <c r="C9353" s="319"/>
      <c r="D9353" s="319"/>
      <c r="G9353" s="320"/>
    </row>
    <row r="9354" spans="3:4">
      <c r="C9354" s="319"/>
      <c r="D9354" s="319"/>
    </row>
    <row r="9355" spans="3:7">
      <c r="C9355" s="319"/>
      <c r="D9355" s="319"/>
      <c r="G9355" s="320"/>
    </row>
    <row r="9356" spans="3:7">
      <c r="C9356" s="319"/>
      <c r="D9356" s="319"/>
      <c r="G9356" s="320"/>
    </row>
    <row r="9357" spans="3:7">
      <c r="C9357" s="319"/>
      <c r="D9357" s="319"/>
      <c r="G9357" s="320"/>
    </row>
    <row r="9358" spans="3:4">
      <c r="C9358" s="319"/>
      <c r="D9358" s="319"/>
    </row>
    <row r="9359" spans="3:7">
      <c r="C9359" s="319"/>
      <c r="D9359" s="319"/>
      <c r="G9359" s="320"/>
    </row>
    <row r="9360" spans="3:7">
      <c r="C9360" s="319"/>
      <c r="D9360" s="319"/>
      <c r="G9360" s="320"/>
    </row>
    <row r="9361" spans="3:4">
      <c r="C9361" s="319"/>
      <c r="D9361" s="319"/>
    </row>
    <row r="9362" spans="3:7">
      <c r="C9362" s="319"/>
      <c r="D9362" s="319"/>
      <c r="G9362" s="320"/>
    </row>
    <row r="9363" spans="3:4">
      <c r="C9363" s="319"/>
      <c r="D9363" s="319"/>
    </row>
    <row r="9364" spans="3:7">
      <c r="C9364" s="319"/>
      <c r="D9364" s="319"/>
      <c r="G9364" s="320"/>
    </row>
    <row r="9365" spans="3:7">
      <c r="C9365" s="319"/>
      <c r="D9365" s="319"/>
      <c r="G9365" s="320"/>
    </row>
    <row r="9366" spans="3:7">
      <c r="C9366" s="319"/>
      <c r="D9366" s="319"/>
      <c r="G9366" s="320"/>
    </row>
    <row r="9367" spans="3:4">
      <c r="C9367" s="319"/>
      <c r="D9367" s="319"/>
    </row>
    <row r="9368" spans="3:7">
      <c r="C9368" s="319"/>
      <c r="D9368" s="319"/>
      <c r="G9368" s="320"/>
    </row>
    <row r="9369" spans="3:4">
      <c r="C9369" s="319"/>
      <c r="D9369" s="319"/>
    </row>
    <row r="9370" spans="3:7">
      <c r="C9370" s="319"/>
      <c r="D9370" s="319"/>
      <c r="G9370" s="320"/>
    </row>
    <row r="9371" spans="3:7">
      <c r="C9371" s="319"/>
      <c r="D9371" s="319"/>
      <c r="G9371" s="320"/>
    </row>
    <row r="9372" spans="3:4">
      <c r="C9372" s="319"/>
      <c r="D9372" s="319"/>
    </row>
    <row r="9373" spans="3:7">
      <c r="C9373" s="319"/>
      <c r="D9373" s="319"/>
      <c r="G9373" s="320"/>
    </row>
    <row r="9374" spans="3:4">
      <c r="C9374" s="319"/>
      <c r="D9374" s="319"/>
    </row>
    <row r="9375" spans="3:7">
      <c r="C9375" s="319"/>
      <c r="D9375" s="319"/>
      <c r="G9375" s="320"/>
    </row>
    <row r="9376" spans="3:4">
      <c r="C9376" s="319"/>
      <c r="D9376" s="319"/>
    </row>
    <row r="9377" spans="3:4">
      <c r="C9377" s="319"/>
      <c r="D9377" s="319"/>
    </row>
    <row r="9378" spans="3:4">
      <c r="C9378" s="319"/>
      <c r="D9378" s="319"/>
    </row>
    <row r="9379" spans="3:4">
      <c r="C9379" s="319"/>
      <c r="D9379" s="319"/>
    </row>
    <row r="9380" spans="3:4">
      <c r="C9380" s="319"/>
      <c r="D9380" s="319"/>
    </row>
    <row r="9381" spans="3:7">
      <c r="C9381" s="319"/>
      <c r="D9381" s="319"/>
      <c r="G9381" s="320"/>
    </row>
    <row r="9382" spans="3:7">
      <c r="C9382" s="319"/>
      <c r="D9382" s="319"/>
      <c r="G9382" s="320"/>
    </row>
    <row r="9383" spans="3:7">
      <c r="C9383" s="319"/>
      <c r="D9383" s="319"/>
      <c r="G9383" s="320"/>
    </row>
    <row r="9384" spans="3:7">
      <c r="C9384" s="319"/>
      <c r="D9384" s="319"/>
      <c r="G9384" s="320"/>
    </row>
    <row r="9385" spans="3:4">
      <c r="C9385" s="319"/>
      <c r="D9385" s="319"/>
    </row>
    <row r="9386" spans="3:4">
      <c r="C9386" s="319"/>
      <c r="D9386" s="319"/>
    </row>
    <row r="9387" spans="3:4">
      <c r="C9387" s="319"/>
      <c r="D9387" s="319"/>
    </row>
    <row r="9388" spans="3:7">
      <c r="C9388" s="319"/>
      <c r="D9388" s="319"/>
      <c r="G9388" s="320"/>
    </row>
    <row r="9389" spans="3:4">
      <c r="C9389" s="319"/>
      <c r="D9389" s="319"/>
    </row>
    <row r="9390" spans="3:7">
      <c r="C9390" s="319"/>
      <c r="D9390" s="319"/>
      <c r="G9390" s="320"/>
    </row>
    <row r="9391" spans="3:7">
      <c r="C9391" s="319"/>
      <c r="D9391" s="319"/>
      <c r="G9391" s="320"/>
    </row>
    <row r="9392" spans="3:7">
      <c r="C9392" s="319"/>
      <c r="D9392" s="319"/>
      <c r="G9392" s="320"/>
    </row>
    <row r="9393" spans="3:4">
      <c r="C9393" s="319"/>
      <c r="D9393" s="319"/>
    </row>
    <row r="9394" spans="3:4">
      <c r="C9394" s="319"/>
      <c r="D9394" s="319"/>
    </row>
    <row r="9395" spans="3:7">
      <c r="C9395" s="319"/>
      <c r="D9395" s="319"/>
      <c r="G9395" s="320"/>
    </row>
    <row r="9396" spans="3:7">
      <c r="C9396" s="319"/>
      <c r="D9396" s="319"/>
      <c r="G9396" s="320"/>
    </row>
    <row r="9397" spans="3:4">
      <c r="C9397" s="319"/>
      <c r="D9397" s="319"/>
    </row>
    <row r="9398" spans="3:7">
      <c r="C9398" s="319"/>
      <c r="D9398" s="319"/>
      <c r="G9398" s="320"/>
    </row>
    <row r="9399" spans="3:4">
      <c r="C9399" s="319"/>
      <c r="D9399" s="319"/>
    </row>
    <row r="9400" spans="3:4">
      <c r="C9400" s="319"/>
      <c r="D9400" s="319"/>
    </row>
    <row r="9401" spans="3:4">
      <c r="C9401" s="319"/>
      <c r="D9401" s="319"/>
    </row>
    <row r="9402" spans="3:4">
      <c r="C9402" s="319"/>
      <c r="D9402" s="319"/>
    </row>
    <row r="9403" spans="3:4">
      <c r="C9403" s="319"/>
      <c r="D9403" s="319"/>
    </row>
    <row r="9404" spans="3:4">
      <c r="C9404" s="319"/>
      <c r="D9404" s="319"/>
    </row>
    <row r="9405" spans="3:4">
      <c r="C9405" s="319"/>
      <c r="D9405" s="319"/>
    </row>
    <row r="9406" spans="3:7">
      <c r="C9406" s="319"/>
      <c r="D9406" s="319"/>
      <c r="G9406" s="320"/>
    </row>
    <row r="9407" spans="3:4">
      <c r="C9407" s="319"/>
      <c r="D9407" s="319"/>
    </row>
    <row r="9408" spans="3:7">
      <c r="C9408" s="319"/>
      <c r="D9408" s="319"/>
      <c r="G9408" s="320"/>
    </row>
    <row r="9409" spans="3:4">
      <c r="C9409" s="319"/>
      <c r="D9409" s="319"/>
    </row>
    <row r="9410" spans="3:7">
      <c r="C9410" s="319"/>
      <c r="D9410" s="319"/>
      <c r="G9410" s="320"/>
    </row>
    <row r="9411" spans="3:7">
      <c r="C9411" s="319"/>
      <c r="D9411" s="319"/>
      <c r="G9411" s="320"/>
    </row>
    <row r="9412" spans="3:7">
      <c r="C9412" s="319"/>
      <c r="D9412" s="319"/>
      <c r="G9412" s="320"/>
    </row>
    <row r="9413" spans="3:7">
      <c r="C9413" s="319"/>
      <c r="D9413" s="319"/>
      <c r="G9413" s="320"/>
    </row>
    <row r="9414" spans="3:7">
      <c r="C9414" s="319"/>
      <c r="D9414" s="319"/>
      <c r="G9414" s="320"/>
    </row>
    <row r="9415" spans="3:4">
      <c r="C9415" s="319"/>
      <c r="D9415" s="319"/>
    </row>
    <row r="9416" spans="3:7">
      <c r="C9416" s="319"/>
      <c r="D9416" s="319"/>
      <c r="G9416" s="320"/>
    </row>
    <row r="9417" spans="3:7">
      <c r="C9417" s="319"/>
      <c r="D9417" s="319"/>
      <c r="G9417" s="320"/>
    </row>
    <row r="9418" spans="3:4">
      <c r="C9418" s="319"/>
      <c r="D9418" s="319"/>
    </row>
    <row r="9419" spans="3:4">
      <c r="C9419" s="319"/>
      <c r="D9419" s="319"/>
    </row>
    <row r="9420" spans="3:4">
      <c r="C9420" s="319"/>
      <c r="D9420" s="319"/>
    </row>
    <row r="9421" spans="3:4">
      <c r="C9421" s="319"/>
      <c r="D9421" s="319"/>
    </row>
    <row r="9422" spans="3:7">
      <c r="C9422" s="319"/>
      <c r="D9422" s="319"/>
      <c r="G9422" s="320"/>
    </row>
    <row r="9423" spans="3:7">
      <c r="C9423" s="319"/>
      <c r="D9423" s="319"/>
      <c r="G9423" s="320"/>
    </row>
    <row r="9424" spans="3:7">
      <c r="C9424" s="319"/>
      <c r="D9424" s="319"/>
      <c r="G9424" s="320"/>
    </row>
    <row r="9425" spans="3:7">
      <c r="C9425" s="319"/>
      <c r="D9425" s="319"/>
      <c r="G9425" s="320"/>
    </row>
    <row r="9426" spans="3:4">
      <c r="C9426" s="319"/>
      <c r="D9426" s="319"/>
    </row>
    <row r="9427" spans="3:4">
      <c r="C9427" s="319"/>
      <c r="D9427" s="319"/>
    </row>
    <row r="9428" spans="3:4">
      <c r="C9428" s="319"/>
      <c r="D9428" s="319"/>
    </row>
    <row r="9429" spans="3:4">
      <c r="C9429" s="319"/>
      <c r="D9429" s="319"/>
    </row>
    <row r="9430" spans="3:4">
      <c r="C9430" s="319"/>
      <c r="D9430" s="319"/>
    </row>
    <row r="9431" spans="3:4">
      <c r="C9431" s="319"/>
      <c r="D9431" s="319"/>
    </row>
    <row r="9432" spans="3:4">
      <c r="C9432" s="319"/>
      <c r="D9432" s="319"/>
    </row>
    <row r="9433" spans="3:7">
      <c r="C9433" s="319"/>
      <c r="D9433" s="319"/>
      <c r="G9433" s="320"/>
    </row>
    <row r="9434" spans="3:7">
      <c r="C9434" s="319"/>
      <c r="D9434" s="319"/>
      <c r="G9434" s="320"/>
    </row>
    <row r="9435" spans="3:4">
      <c r="C9435" s="319"/>
      <c r="D9435" s="319"/>
    </row>
    <row r="9436" spans="3:4">
      <c r="C9436" s="319"/>
      <c r="D9436" s="319"/>
    </row>
    <row r="9437" spans="3:4">
      <c r="C9437" s="319"/>
      <c r="D9437" s="319"/>
    </row>
    <row r="9438" spans="3:7">
      <c r="C9438" s="319"/>
      <c r="D9438" s="319"/>
      <c r="G9438" s="320"/>
    </row>
    <row r="9439" spans="3:4">
      <c r="C9439" s="319"/>
      <c r="D9439" s="319"/>
    </row>
    <row r="9440" spans="3:4">
      <c r="C9440" s="319"/>
      <c r="D9440" s="319"/>
    </row>
    <row r="9441" spans="3:7">
      <c r="C9441" s="319"/>
      <c r="D9441" s="319"/>
      <c r="G9441" s="320"/>
    </row>
    <row r="9442" spans="3:7">
      <c r="C9442" s="319"/>
      <c r="D9442" s="319"/>
      <c r="G9442" s="320"/>
    </row>
    <row r="9443" spans="3:7">
      <c r="C9443" s="319"/>
      <c r="D9443" s="319"/>
      <c r="G9443" s="320"/>
    </row>
    <row r="9444" spans="3:4">
      <c r="C9444" s="319"/>
      <c r="D9444" s="319"/>
    </row>
    <row r="9445" spans="3:4">
      <c r="C9445" s="319"/>
      <c r="D9445" s="319"/>
    </row>
    <row r="9446" spans="3:4">
      <c r="C9446" s="319"/>
      <c r="D9446" s="319"/>
    </row>
    <row r="9447" spans="3:7">
      <c r="C9447" s="319"/>
      <c r="D9447" s="319"/>
      <c r="G9447" s="320"/>
    </row>
    <row r="9448" spans="3:4">
      <c r="C9448" s="319"/>
      <c r="D9448" s="319"/>
    </row>
    <row r="9449" spans="3:4">
      <c r="C9449" s="319"/>
      <c r="D9449" s="319"/>
    </row>
    <row r="9450" spans="3:7">
      <c r="C9450" s="319"/>
      <c r="D9450" s="319"/>
      <c r="G9450" s="320"/>
    </row>
    <row r="9451" spans="3:7">
      <c r="C9451" s="319"/>
      <c r="D9451" s="319"/>
      <c r="G9451" s="320"/>
    </row>
    <row r="9452" spans="3:4">
      <c r="C9452" s="319"/>
      <c r="D9452" s="319"/>
    </row>
    <row r="9453" spans="3:4">
      <c r="C9453" s="319"/>
      <c r="D9453" s="319"/>
    </row>
    <row r="9454" spans="3:7">
      <c r="C9454" s="319"/>
      <c r="D9454" s="319"/>
      <c r="G9454" s="320"/>
    </row>
    <row r="9455" spans="3:7">
      <c r="C9455" s="319"/>
      <c r="D9455" s="319"/>
      <c r="G9455" s="320"/>
    </row>
    <row r="9456" spans="3:4">
      <c r="C9456" s="319"/>
      <c r="D9456" s="319"/>
    </row>
    <row r="9457" spans="3:4">
      <c r="C9457" s="319"/>
      <c r="D9457" s="319"/>
    </row>
    <row r="9458" spans="3:7">
      <c r="C9458" s="319"/>
      <c r="D9458" s="319"/>
      <c r="G9458" s="320"/>
    </row>
    <row r="9459" spans="3:4">
      <c r="C9459" s="319"/>
      <c r="D9459" s="319"/>
    </row>
    <row r="9460" spans="3:7">
      <c r="C9460" s="319"/>
      <c r="D9460" s="319"/>
      <c r="G9460" s="320"/>
    </row>
    <row r="9461" spans="3:7">
      <c r="C9461" s="319"/>
      <c r="D9461" s="319"/>
      <c r="G9461" s="320"/>
    </row>
    <row r="9462" spans="3:7">
      <c r="C9462" s="319"/>
      <c r="D9462" s="319"/>
      <c r="G9462" s="320"/>
    </row>
    <row r="9463" spans="3:7">
      <c r="C9463" s="319"/>
      <c r="D9463" s="319"/>
      <c r="G9463" s="320"/>
    </row>
    <row r="9464" spans="3:4">
      <c r="C9464" s="319"/>
      <c r="D9464" s="319"/>
    </row>
    <row r="9465" spans="3:4">
      <c r="C9465" s="319"/>
      <c r="D9465" s="319"/>
    </row>
    <row r="9466" spans="3:4">
      <c r="C9466" s="319"/>
      <c r="D9466" s="319"/>
    </row>
    <row r="9467" spans="3:7">
      <c r="C9467" s="319"/>
      <c r="D9467" s="319"/>
      <c r="G9467" s="320"/>
    </row>
    <row r="9468" spans="3:4">
      <c r="C9468" s="319"/>
      <c r="D9468" s="319"/>
    </row>
    <row r="9469" spans="3:7">
      <c r="C9469" s="319"/>
      <c r="D9469" s="319"/>
      <c r="G9469" s="320"/>
    </row>
    <row r="9470" spans="3:7">
      <c r="C9470" s="319"/>
      <c r="D9470" s="319"/>
      <c r="G9470" s="320"/>
    </row>
    <row r="9471" spans="3:4">
      <c r="C9471" s="319"/>
      <c r="D9471" s="319"/>
    </row>
    <row r="9472" spans="3:4">
      <c r="C9472" s="319"/>
      <c r="D9472" s="319"/>
    </row>
    <row r="9473" spans="3:7">
      <c r="C9473" s="319"/>
      <c r="D9473" s="319"/>
      <c r="G9473" s="320"/>
    </row>
    <row r="9474" spans="3:7">
      <c r="C9474" s="319"/>
      <c r="D9474" s="319"/>
      <c r="G9474" s="320"/>
    </row>
    <row r="9475" spans="3:7">
      <c r="C9475" s="319"/>
      <c r="D9475" s="319"/>
      <c r="G9475" s="320"/>
    </row>
    <row r="9476" spans="3:7">
      <c r="C9476" s="319"/>
      <c r="D9476" s="319"/>
      <c r="G9476" s="320"/>
    </row>
    <row r="9477" spans="3:7">
      <c r="C9477" s="319"/>
      <c r="D9477" s="319"/>
      <c r="G9477" s="320"/>
    </row>
    <row r="9478" spans="3:7">
      <c r="C9478" s="319"/>
      <c r="D9478" s="319"/>
      <c r="G9478" s="320"/>
    </row>
    <row r="9479" spans="3:7">
      <c r="C9479" s="319"/>
      <c r="D9479" s="319"/>
      <c r="G9479" s="320"/>
    </row>
    <row r="9480" spans="3:7">
      <c r="C9480" s="319"/>
      <c r="D9480" s="319"/>
      <c r="G9480" s="320"/>
    </row>
    <row r="9481" spans="3:7">
      <c r="C9481" s="319"/>
      <c r="D9481" s="319"/>
      <c r="G9481" s="320"/>
    </row>
    <row r="9482" spans="3:4">
      <c r="C9482" s="319"/>
      <c r="D9482" s="319"/>
    </row>
    <row r="9483" spans="3:7">
      <c r="C9483" s="319"/>
      <c r="D9483" s="319"/>
      <c r="G9483" s="320"/>
    </row>
    <row r="9484" spans="3:4">
      <c r="C9484" s="319"/>
      <c r="D9484" s="319"/>
    </row>
    <row r="9485" spans="3:4">
      <c r="C9485" s="319"/>
      <c r="D9485" s="319"/>
    </row>
    <row r="9486" spans="3:4">
      <c r="C9486" s="319"/>
      <c r="D9486" s="319"/>
    </row>
    <row r="9487" spans="3:7">
      <c r="C9487" s="319"/>
      <c r="D9487" s="319"/>
      <c r="G9487" s="320"/>
    </row>
    <row r="9488" spans="3:4">
      <c r="C9488" s="319"/>
      <c r="D9488" s="319"/>
    </row>
    <row r="9489" spans="3:7">
      <c r="C9489" s="319"/>
      <c r="D9489" s="319"/>
      <c r="G9489" s="320"/>
    </row>
    <row r="9490" spans="3:7">
      <c r="C9490" s="319"/>
      <c r="D9490" s="319"/>
      <c r="G9490" s="320"/>
    </row>
    <row r="9491" spans="3:7">
      <c r="C9491" s="319"/>
      <c r="D9491" s="319"/>
      <c r="G9491" s="320"/>
    </row>
    <row r="9492" spans="3:7">
      <c r="C9492" s="319"/>
      <c r="D9492" s="319"/>
      <c r="G9492" s="320"/>
    </row>
    <row r="9493" spans="3:4">
      <c r="C9493" s="319"/>
      <c r="D9493" s="319"/>
    </row>
    <row r="9494" spans="3:7">
      <c r="C9494" s="319"/>
      <c r="D9494" s="319"/>
      <c r="G9494" s="320"/>
    </row>
    <row r="9495" spans="3:4">
      <c r="C9495" s="319"/>
      <c r="D9495" s="319"/>
    </row>
    <row r="9496" spans="3:4">
      <c r="C9496" s="319"/>
      <c r="D9496" s="319"/>
    </row>
    <row r="9497" spans="3:4">
      <c r="C9497" s="319"/>
      <c r="D9497" s="319"/>
    </row>
    <row r="9498" spans="3:7">
      <c r="C9498" s="319"/>
      <c r="D9498" s="319"/>
      <c r="G9498" s="320"/>
    </row>
    <row r="9499" spans="3:4">
      <c r="C9499" s="319"/>
      <c r="D9499" s="319"/>
    </row>
    <row r="9500" spans="3:4">
      <c r="C9500" s="319"/>
      <c r="D9500" s="319"/>
    </row>
    <row r="9501" spans="3:4">
      <c r="C9501" s="319"/>
      <c r="D9501" s="319"/>
    </row>
    <row r="9502" spans="3:4">
      <c r="C9502" s="319"/>
      <c r="D9502" s="319"/>
    </row>
    <row r="9503" spans="3:4">
      <c r="C9503" s="319"/>
      <c r="D9503" s="319"/>
    </row>
    <row r="9504" spans="3:4">
      <c r="C9504" s="319"/>
      <c r="D9504" s="319"/>
    </row>
    <row r="9505" spans="3:7">
      <c r="C9505" s="319"/>
      <c r="D9505" s="319"/>
      <c r="G9505" s="320"/>
    </row>
    <row r="9506" spans="3:7">
      <c r="C9506" s="319"/>
      <c r="D9506" s="319"/>
      <c r="G9506" s="320"/>
    </row>
    <row r="9507" spans="3:4">
      <c r="C9507" s="319"/>
      <c r="D9507" s="319"/>
    </row>
    <row r="9508" spans="3:7">
      <c r="C9508" s="319"/>
      <c r="D9508" s="319"/>
      <c r="G9508" s="320"/>
    </row>
    <row r="9509" spans="3:7">
      <c r="C9509" s="319"/>
      <c r="D9509" s="319"/>
      <c r="G9509" s="320"/>
    </row>
    <row r="9510" spans="3:7">
      <c r="C9510" s="319"/>
      <c r="D9510" s="319"/>
      <c r="G9510" s="320"/>
    </row>
    <row r="9511" spans="3:4">
      <c r="C9511" s="319"/>
      <c r="D9511" s="319"/>
    </row>
    <row r="9512" spans="3:7">
      <c r="C9512" s="319"/>
      <c r="D9512" s="319"/>
      <c r="G9512" s="320"/>
    </row>
    <row r="9513" spans="3:4">
      <c r="C9513" s="319"/>
      <c r="D9513" s="319"/>
    </row>
    <row r="9514" spans="3:4">
      <c r="C9514" s="319"/>
      <c r="D9514" s="319"/>
    </row>
    <row r="9515" spans="3:4">
      <c r="C9515" s="319"/>
      <c r="D9515" s="319"/>
    </row>
    <row r="9516" spans="3:7">
      <c r="C9516" s="319"/>
      <c r="D9516" s="319"/>
      <c r="G9516" s="320"/>
    </row>
    <row r="9517" spans="3:4">
      <c r="C9517" s="319"/>
      <c r="D9517" s="319"/>
    </row>
    <row r="9518" spans="3:4">
      <c r="C9518" s="319"/>
      <c r="D9518" s="319"/>
    </row>
    <row r="9519" spans="3:4">
      <c r="C9519" s="319"/>
      <c r="D9519" s="319"/>
    </row>
    <row r="9520" spans="3:7">
      <c r="C9520" s="319"/>
      <c r="D9520" s="319"/>
      <c r="G9520" s="320"/>
    </row>
    <row r="9521" spans="3:7">
      <c r="C9521" s="319"/>
      <c r="D9521" s="319"/>
      <c r="G9521" s="320"/>
    </row>
    <row r="9522" spans="3:4">
      <c r="C9522" s="319"/>
      <c r="D9522" s="319"/>
    </row>
    <row r="9523" spans="3:7">
      <c r="C9523" s="319"/>
      <c r="D9523" s="319"/>
      <c r="G9523" s="320"/>
    </row>
    <row r="9524" spans="3:4">
      <c r="C9524" s="319"/>
      <c r="D9524" s="319"/>
    </row>
    <row r="9525" spans="3:4">
      <c r="C9525" s="319"/>
      <c r="D9525" s="319"/>
    </row>
    <row r="9526" spans="3:4">
      <c r="C9526" s="319"/>
      <c r="D9526" s="319"/>
    </row>
    <row r="9527" spans="3:7">
      <c r="C9527" s="319"/>
      <c r="D9527" s="319"/>
      <c r="G9527" s="320"/>
    </row>
    <row r="9528" spans="3:7">
      <c r="C9528" s="319"/>
      <c r="D9528" s="319"/>
      <c r="G9528" s="320"/>
    </row>
    <row r="9529" spans="3:4">
      <c r="C9529" s="319"/>
      <c r="D9529" s="319"/>
    </row>
    <row r="9530" spans="3:7">
      <c r="C9530" s="319"/>
      <c r="D9530" s="319"/>
      <c r="G9530" s="320"/>
    </row>
    <row r="9531" spans="3:7">
      <c r="C9531" s="319"/>
      <c r="D9531" s="319"/>
      <c r="G9531" s="320"/>
    </row>
    <row r="9532" spans="3:7">
      <c r="C9532" s="319"/>
      <c r="D9532" s="319"/>
      <c r="G9532" s="320"/>
    </row>
    <row r="9533" spans="3:7">
      <c r="C9533" s="319"/>
      <c r="D9533" s="319"/>
      <c r="G9533" s="320"/>
    </row>
    <row r="9534" spans="3:4">
      <c r="C9534" s="319"/>
      <c r="D9534" s="319"/>
    </row>
    <row r="9535" spans="3:7">
      <c r="C9535" s="319"/>
      <c r="D9535" s="319"/>
      <c r="G9535" s="320"/>
    </row>
    <row r="9536" spans="3:4">
      <c r="C9536" s="319"/>
      <c r="D9536" s="319"/>
    </row>
    <row r="9537" spans="3:4">
      <c r="C9537" s="319"/>
      <c r="D9537" s="319"/>
    </row>
    <row r="9538" spans="3:4">
      <c r="C9538" s="319"/>
      <c r="D9538" s="319"/>
    </row>
    <row r="9539" spans="3:4">
      <c r="C9539" s="319"/>
      <c r="D9539" s="319"/>
    </row>
    <row r="9540" spans="3:7">
      <c r="C9540" s="319"/>
      <c r="D9540" s="319"/>
      <c r="G9540" s="320"/>
    </row>
    <row r="9541" spans="3:7">
      <c r="C9541" s="319"/>
      <c r="D9541" s="319"/>
      <c r="G9541" s="320"/>
    </row>
    <row r="9542" spans="3:4">
      <c r="C9542" s="319"/>
      <c r="D9542" s="319"/>
    </row>
    <row r="9543" spans="3:4">
      <c r="C9543" s="319"/>
      <c r="D9543" s="319"/>
    </row>
    <row r="9544" spans="3:7">
      <c r="C9544" s="319"/>
      <c r="D9544" s="319"/>
      <c r="G9544" s="320"/>
    </row>
    <row r="9545" spans="3:7">
      <c r="C9545" s="319"/>
      <c r="D9545" s="319"/>
      <c r="G9545" s="320"/>
    </row>
    <row r="9546" spans="3:7">
      <c r="C9546" s="319"/>
      <c r="D9546" s="319"/>
      <c r="G9546" s="320"/>
    </row>
    <row r="9547" spans="3:7">
      <c r="C9547" s="319"/>
      <c r="D9547" s="319"/>
      <c r="G9547" s="320"/>
    </row>
    <row r="9548" spans="3:7">
      <c r="C9548" s="319"/>
      <c r="D9548" s="319"/>
      <c r="G9548" s="320"/>
    </row>
    <row r="9549" spans="3:4">
      <c r="C9549" s="319"/>
      <c r="D9549" s="319"/>
    </row>
    <row r="9550" spans="3:7">
      <c r="C9550" s="319"/>
      <c r="D9550" s="319"/>
      <c r="G9550" s="320"/>
    </row>
    <row r="9551" spans="3:7">
      <c r="C9551" s="319"/>
      <c r="D9551" s="319"/>
      <c r="G9551" s="320"/>
    </row>
    <row r="9552" spans="3:4">
      <c r="C9552" s="319"/>
      <c r="D9552" s="319"/>
    </row>
    <row r="9553" spans="3:4">
      <c r="C9553" s="319"/>
      <c r="D9553" s="319"/>
    </row>
    <row r="9554" spans="3:7">
      <c r="C9554" s="319"/>
      <c r="D9554" s="319"/>
      <c r="G9554" s="320"/>
    </row>
    <row r="9555" spans="3:7">
      <c r="C9555" s="319"/>
      <c r="D9555" s="319"/>
      <c r="G9555" s="320"/>
    </row>
    <row r="9556" spans="3:4">
      <c r="C9556" s="319"/>
      <c r="D9556" s="319"/>
    </row>
    <row r="9557" spans="3:4">
      <c r="C9557" s="319"/>
      <c r="D9557" s="319"/>
    </row>
    <row r="9558" spans="3:7">
      <c r="C9558" s="319"/>
      <c r="D9558" s="319"/>
      <c r="G9558" s="320"/>
    </row>
    <row r="9559" spans="3:4">
      <c r="C9559" s="319"/>
      <c r="D9559" s="319"/>
    </row>
    <row r="9560" spans="3:7">
      <c r="C9560" s="319"/>
      <c r="D9560" s="319"/>
      <c r="G9560" s="320"/>
    </row>
    <row r="9561" spans="3:4">
      <c r="C9561" s="319"/>
      <c r="D9561" s="319"/>
    </row>
    <row r="9562" spans="3:7">
      <c r="C9562" s="319"/>
      <c r="D9562" s="319"/>
      <c r="G9562" s="320"/>
    </row>
    <row r="9563" spans="3:7">
      <c r="C9563" s="319"/>
      <c r="D9563" s="319"/>
      <c r="G9563" s="320"/>
    </row>
    <row r="9564" spans="3:7">
      <c r="C9564" s="319"/>
      <c r="D9564" s="319"/>
      <c r="G9564" s="320"/>
    </row>
    <row r="9565" spans="3:4">
      <c r="C9565" s="319"/>
      <c r="D9565" s="319"/>
    </row>
    <row r="9566" spans="3:4">
      <c r="C9566" s="319"/>
      <c r="D9566" s="319"/>
    </row>
    <row r="9567" spans="3:7">
      <c r="C9567" s="319"/>
      <c r="D9567" s="319"/>
      <c r="G9567" s="320"/>
    </row>
    <row r="9568" spans="3:7">
      <c r="C9568" s="319"/>
      <c r="D9568" s="319"/>
      <c r="G9568" s="320"/>
    </row>
    <row r="9569" spans="3:4">
      <c r="C9569" s="319"/>
      <c r="D9569" s="319"/>
    </row>
    <row r="9570" spans="3:4">
      <c r="C9570" s="319"/>
      <c r="D9570" s="319"/>
    </row>
    <row r="9571" spans="3:4">
      <c r="C9571" s="319"/>
      <c r="D9571" s="319"/>
    </row>
    <row r="9572" spans="3:4">
      <c r="C9572" s="319"/>
      <c r="D9572" s="319"/>
    </row>
    <row r="9573" spans="3:4">
      <c r="C9573" s="319"/>
      <c r="D9573" s="319"/>
    </row>
    <row r="9574" spans="3:4">
      <c r="C9574" s="319"/>
      <c r="D9574" s="319"/>
    </row>
    <row r="9575" spans="3:4">
      <c r="C9575" s="319"/>
      <c r="D9575" s="319"/>
    </row>
    <row r="9576" spans="3:4">
      <c r="C9576" s="319"/>
      <c r="D9576" s="319"/>
    </row>
    <row r="9577" spans="3:4">
      <c r="C9577" s="319"/>
      <c r="D9577" s="319"/>
    </row>
    <row r="9578" spans="3:4">
      <c r="C9578" s="319"/>
      <c r="D9578" s="319"/>
    </row>
    <row r="9579" spans="3:4">
      <c r="C9579" s="319"/>
      <c r="D9579" s="319"/>
    </row>
    <row r="9580" spans="3:4">
      <c r="C9580" s="319"/>
      <c r="D9580" s="319"/>
    </row>
    <row r="9581" spans="3:7">
      <c r="C9581" s="319"/>
      <c r="D9581" s="319"/>
      <c r="G9581" s="320"/>
    </row>
    <row r="9582" spans="3:4">
      <c r="C9582" s="319"/>
      <c r="D9582" s="319"/>
    </row>
    <row r="9583" spans="3:7">
      <c r="C9583" s="319"/>
      <c r="D9583" s="319"/>
      <c r="G9583" s="320"/>
    </row>
    <row r="9584" spans="3:7">
      <c r="C9584" s="319"/>
      <c r="D9584" s="319"/>
      <c r="G9584" s="320"/>
    </row>
    <row r="9585" spans="3:7">
      <c r="C9585" s="319"/>
      <c r="D9585" s="319"/>
      <c r="G9585" s="320"/>
    </row>
    <row r="9586" spans="3:7">
      <c r="C9586" s="319"/>
      <c r="D9586" s="319"/>
      <c r="G9586" s="320"/>
    </row>
    <row r="9587" spans="3:4">
      <c r="C9587" s="319"/>
      <c r="D9587" s="319"/>
    </row>
    <row r="9588" spans="3:7">
      <c r="C9588" s="319"/>
      <c r="D9588" s="319"/>
      <c r="G9588" s="320"/>
    </row>
    <row r="9589" spans="3:7">
      <c r="C9589" s="319"/>
      <c r="D9589" s="319"/>
      <c r="G9589" s="320"/>
    </row>
    <row r="9590" spans="3:7">
      <c r="C9590" s="319"/>
      <c r="D9590" s="319"/>
      <c r="G9590" s="320"/>
    </row>
    <row r="9591" spans="3:7">
      <c r="C9591" s="319"/>
      <c r="D9591" s="319"/>
      <c r="G9591" s="320"/>
    </row>
    <row r="9592" spans="3:4">
      <c r="C9592" s="319"/>
      <c r="D9592" s="319"/>
    </row>
    <row r="9593" spans="3:4">
      <c r="C9593" s="319"/>
      <c r="D9593" s="319"/>
    </row>
    <row r="9594" spans="3:4">
      <c r="C9594" s="319"/>
      <c r="D9594" s="319"/>
    </row>
    <row r="9595" spans="3:7">
      <c r="C9595" s="319"/>
      <c r="D9595" s="319"/>
      <c r="G9595" s="320"/>
    </row>
    <row r="9596" spans="3:7">
      <c r="C9596" s="319"/>
      <c r="D9596" s="319"/>
      <c r="G9596" s="320"/>
    </row>
    <row r="9597" spans="3:7">
      <c r="C9597" s="319"/>
      <c r="D9597" s="319"/>
      <c r="G9597" s="320"/>
    </row>
    <row r="9598" spans="3:7">
      <c r="C9598" s="319"/>
      <c r="D9598" s="319"/>
      <c r="G9598" s="320"/>
    </row>
    <row r="9599" spans="3:4">
      <c r="C9599" s="319"/>
      <c r="D9599" s="319"/>
    </row>
    <row r="9600" spans="3:4">
      <c r="C9600" s="319"/>
      <c r="D9600" s="319"/>
    </row>
    <row r="9601" spans="3:4">
      <c r="C9601" s="319"/>
      <c r="D9601" s="319"/>
    </row>
    <row r="9602" spans="3:4">
      <c r="C9602" s="319"/>
      <c r="D9602" s="319"/>
    </row>
    <row r="9603" spans="3:7">
      <c r="C9603" s="319"/>
      <c r="D9603" s="319"/>
      <c r="G9603" s="320"/>
    </row>
    <row r="9604" spans="3:7">
      <c r="C9604" s="319"/>
      <c r="D9604" s="319"/>
      <c r="G9604" s="320"/>
    </row>
    <row r="9605" spans="3:4">
      <c r="C9605" s="319"/>
      <c r="D9605" s="319"/>
    </row>
    <row r="9606" spans="3:4">
      <c r="C9606" s="319"/>
      <c r="D9606" s="319"/>
    </row>
    <row r="9607" spans="3:4">
      <c r="C9607" s="319"/>
      <c r="D9607" s="319"/>
    </row>
    <row r="9608" spans="3:4">
      <c r="C9608" s="319"/>
      <c r="D9608" s="319"/>
    </row>
    <row r="9609" spans="3:4">
      <c r="C9609" s="319"/>
      <c r="D9609" s="319"/>
    </row>
    <row r="9610" spans="3:4">
      <c r="C9610" s="319"/>
      <c r="D9610" s="319"/>
    </row>
    <row r="9611" spans="3:7">
      <c r="C9611" s="319"/>
      <c r="D9611" s="319"/>
      <c r="G9611" s="320"/>
    </row>
    <row r="9612" spans="3:7">
      <c r="C9612" s="319"/>
      <c r="D9612" s="319"/>
      <c r="G9612" s="320"/>
    </row>
    <row r="9613" spans="3:4">
      <c r="C9613" s="319"/>
      <c r="D9613" s="319"/>
    </row>
    <row r="9614" spans="3:7">
      <c r="C9614" s="319"/>
      <c r="D9614" s="319"/>
      <c r="G9614" s="320"/>
    </row>
    <row r="9615" spans="3:4">
      <c r="C9615" s="319"/>
      <c r="D9615" s="319"/>
    </row>
    <row r="9616" spans="3:4">
      <c r="C9616" s="319"/>
      <c r="D9616" s="319"/>
    </row>
    <row r="9617" spans="3:7">
      <c r="C9617" s="319"/>
      <c r="D9617" s="319"/>
      <c r="G9617" s="320"/>
    </row>
    <row r="9618" spans="3:7">
      <c r="C9618" s="319"/>
      <c r="D9618" s="319"/>
      <c r="G9618" s="320"/>
    </row>
    <row r="9619" spans="3:7">
      <c r="C9619" s="319"/>
      <c r="D9619" s="319"/>
      <c r="G9619" s="320"/>
    </row>
    <row r="9620" spans="3:4">
      <c r="C9620" s="319"/>
      <c r="D9620" s="319"/>
    </row>
    <row r="9621" spans="3:4">
      <c r="C9621" s="319"/>
      <c r="D9621" s="319"/>
    </row>
    <row r="9622" spans="3:7">
      <c r="C9622" s="319"/>
      <c r="D9622" s="319"/>
      <c r="G9622" s="320"/>
    </row>
    <row r="9623" spans="3:4">
      <c r="C9623" s="319"/>
      <c r="D9623" s="319"/>
    </row>
    <row r="9624" spans="3:4">
      <c r="C9624" s="319"/>
      <c r="D9624" s="319"/>
    </row>
    <row r="9625" spans="3:4">
      <c r="C9625" s="319"/>
      <c r="D9625" s="319"/>
    </row>
    <row r="9626" spans="3:7">
      <c r="C9626" s="319"/>
      <c r="D9626" s="319"/>
      <c r="G9626" s="320"/>
    </row>
    <row r="9627" spans="3:7">
      <c r="C9627" s="319"/>
      <c r="D9627" s="319"/>
      <c r="G9627" s="320"/>
    </row>
    <row r="9628" spans="3:7">
      <c r="C9628" s="319"/>
      <c r="D9628" s="319"/>
      <c r="G9628" s="320"/>
    </row>
    <row r="9629" spans="3:7">
      <c r="C9629" s="319"/>
      <c r="D9629" s="319"/>
      <c r="G9629" s="320"/>
    </row>
    <row r="9630" spans="3:4">
      <c r="C9630" s="319"/>
      <c r="D9630" s="319"/>
    </row>
    <row r="9631" spans="3:7">
      <c r="C9631" s="319"/>
      <c r="D9631" s="319"/>
      <c r="G9631" s="320"/>
    </row>
    <row r="9632" spans="3:7">
      <c r="C9632" s="319"/>
      <c r="D9632" s="319"/>
      <c r="G9632" s="320"/>
    </row>
    <row r="9633" spans="3:7">
      <c r="C9633" s="319"/>
      <c r="D9633" s="319"/>
      <c r="G9633" s="320"/>
    </row>
    <row r="9634" spans="3:7">
      <c r="C9634" s="319"/>
      <c r="D9634" s="319"/>
      <c r="G9634" s="320"/>
    </row>
    <row r="9635" spans="3:7">
      <c r="C9635" s="319"/>
      <c r="D9635" s="319"/>
      <c r="G9635" s="320"/>
    </row>
    <row r="9636" spans="3:4">
      <c r="C9636" s="319"/>
      <c r="D9636" s="319"/>
    </row>
    <row r="9637" spans="3:4">
      <c r="C9637" s="319"/>
      <c r="D9637" s="319"/>
    </row>
    <row r="9638" spans="3:7">
      <c r="C9638" s="319"/>
      <c r="D9638" s="319"/>
      <c r="G9638" s="320"/>
    </row>
    <row r="9639" spans="3:7">
      <c r="C9639" s="319"/>
      <c r="D9639" s="319"/>
      <c r="G9639" s="320"/>
    </row>
    <row r="9640" spans="3:4">
      <c r="C9640" s="319"/>
      <c r="D9640" s="319"/>
    </row>
    <row r="9641" spans="3:7">
      <c r="C9641" s="319"/>
      <c r="D9641" s="319"/>
      <c r="G9641" s="320"/>
    </row>
    <row r="9642" spans="3:7">
      <c r="C9642" s="319"/>
      <c r="D9642" s="319"/>
      <c r="G9642" s="320"/>
    </row>
    <row r="9643" spans="3:7">
      <c r="C9643" s="319"/>
      <c r="D9643" s="319"/>
      <c r="G9643" s="320"/>
    </row>
    <row r="9644" spans="3:4">
      <c r="C9644" s="319"/>
      <c r="D9644" s="319"/>
    </row>
    <row r="9645" spans="3:7">
      <c r="C9645" s="319"/>
      <c r="D9645" s="319"/>
      <c r="G9645" s="320"/>
    </row>
    <row r="9646" spans="3:4">
      <c r="C9646" s="319"/>
      <c r="D9646" s="319"/>
    </row>
    <row r="9647" spans="3:4">
      <c r="C9647" s="319"/>
      <c r="D9647" s="319"/>
    </row>
    <row r="9648" spans="3:7">
      <c r="C9648" s="319"/>
      <c r="D9648" s="319"/>
      <c r="G9648" s="320"/>
    </row>
    <row r="9649" spans="3:7">
      <c r="C9649" s="319"/>
      <c r="D9649" s="319"/>
      <c r="G9649" s="320"/>
    </row>
    <row r="9650" spans="3:7">
      <c r="C9650" s="319"/>
      <c r="D9650" s="319"/>
      <c r="G9650" s="320"/>
    </row>
    <row r="9651" spans="3:7">
      <c r="C9651" s="319"/>
      <c r="D9651" s="319"/>
      <c r="G9651" s="320"/>
    </row>
    <row r="9652" spans="3:4">
      <c r="C9652" s="319"/>
      <c r="D9652" s="319"/>
    </row>
    <row r="9653" spans="3:7">
      <c r="C9653" s="319"/>
      <c r="D9653" s="319"/>
      <c r="G9653" s="320"/>
    </row>
    <row r="9654" spans="3:4">
      <c r="C9654" s="319"/>
      <c r="D9654" s="319"/>
    </row>
    <row r="9655" spans="3:7">
      <c r="C9655" s="319"/>
      <c r="D9655" s="319"/>
      <c r="G9655" s="320"/>
    </row>
    <row r="9656" spans="3:7">
      <c r="C9656" s="319"/>
      <c r="D9656" s="319"/>
      <c r="G9656" s="320"/>
    </row>
    <row r="9657" spans="3:7">
      <c r="C9657" s="319"/>
      <c r="D9657" s="319"/>
      <c r="G9657" s="320"/>
    </row>
    <row r="9658" spans="3:7">
      <c r="C9658" s="319"/>
      <c r="D9658" s="319"/>
      <c r="G9658" s="320"/>
    </row>
    <row r="9659" spans="3:4">
      <c r="C9659" s="319"/>
      <c r="D9659" s="319"/>
    </row>
    <row r="9660" spans="3:7">
      <c r="C9660" s="319"/>
      <c r="D9660" s="319"/>
      <c r="G9660" s="320"/>
    </row>
    <row r="9661" spans="3:4">
      <c r="C9661" s="319"/>
      <c r="D9661" s="319"/>
    </row>
    <row r="9662" spans="3:4">
      <c r="C9662" s="319"/>
      <c r="D9662" s="319"/>
    </row>
    <row r="9663" spans="3:7">
      <c r="C9663" s="319"/>
      <c r="D9663" s="319"/>
      <c r="G9663" s="320"/>
    </row>
    <row r="9664" spans="3:7">
      <c r="C9664" s="319"/>
      <c r="D9664" s="319"/>
      <c r="G9664" s="320"/>
    </row>
    <row r="9665" spans="3:7">
      <c r="C9665" s="319"/>
      <c r="D9665" s="319"/>
      <c r="G9665" s="320"/>
    </row>
    <row r="9666" spans="3:7">
      <c r="C9666" s="319"/>
      <c r="D9666" s="319"/>
      <c r="G9666" s="320"/>
    </row>
    <row r="9667" spans="3:4">
      <c r="C9667" s="319"/>
      <c r="D9667" s="319"/>
    </row>
    <row r="9668" spans="3:4">
      <c r="C9668" s="319"/>
      <c r="D9668" s="319"/>
    </row>
    <row r="9669" spans="3:7">
      <c r="C9669" s="319"/>
      <c r="D9669" s="319"/>
      <c r="G9669" s="320"/>
    </row>
    <row r="9670" spans="3:7">
      <c r="C9670" s="319"/>
      <c r="D9670" s="319"/>
      <c r="G9670" s="320"/>
    </row>
    <row r="9671" spans="3:4">
      <c r="C9671" s="319"/>
      <c r="D9671" s="319"/>
    </row>
    <row r="9672" spans="3:4">
      <c r="C9672" s="319"/>
      <c r="D9672" s="319"/>
    </row>
    <row r="9673" spans="3:7">
      <c r="C9673" s="319"/>
      <c r="D9673" s="319"/>
      <c r="G9673" s="320"/>
    </row>
    <row r="9674" spans="3:4">
      <c r="C9674" s="319"/>
      <c r="D9674" s="319"/>
    </row>
    <row r="9675" spans="3:4">
      <c r="C9675" s="319"/>
      <c r="D9675" s="319"/>
    </row>
    <row r="9676" spans="3:7">
      <c r="C9676" s="319"/>
      <c r="D9676" s="319"/>
      <c r="G9676" s="320"/>
    </row>
    <row r="9677" spans="3:4">
      <c r="C9677" s="319"/>
      <c r="D9677" s="319"/>
    </row>
    <row r="9678" spans="3:7">
      <c r="C9678" s="319"/>
      <c r="D9678" s="319"/>
      <c r="G9678" s="320"/>
    </row>
    <row r="9679" spans="3:7">
      <c r="C9679" s="319"/>
      <c r="D9679" s="319"/>
      <c r="G9679" s="320"/>
    </row>
    <row r="9680" spans="3:7">
      <c r="C9680" s="319"/>
      <c r="D9680" s="319"/>
      <c r="G9680" s="320"/>
    </row>
    <row r="9681" spans="3:7">
      <c r="C9681" s="319"/>
      <c r="D9681" s="319"/>
      <c r="G9681" s="320"/>
    </row>
    <row r="9682" spans="3:4">
      <c r="C9682" s="319"/>
      <c r="D9682" s="319"/>
    </row>
    <row r="9683" spans="3:7">
      <c r="C9683" s="319"/>
      <c r="D9683" s="319"/>
      <c r="G9683" s="320"/>
    </row>
    <row r="9684" spans="3:4">
      <c r="C9684" s="319"/>
      <c r="D9684" s="319"/>
    </row>
    <row r="9685" spans="3:4">
      <c r="C9685" s="319"/>
      <c r="D9685" s="319"/>
    </row>
    <row r="9686" spans="3:4">
      <c r="C9686" s="319"/>
      <c r="D9686" s="319"/>
    </row>
    <row r="9687" spans="3:4">
      <c r="C9687" s="319"/>
      <c r="D9687" s="319"/>
    </row>
    <row r="9688" spans="3:7">
      <c r="C9688" s="319"/>
      <c r="D9688" s="319"/>
      <c r="G9688" s="320"/>
    </row>
    <row r="9689" spans="3:4">
      <c r="C9689" s="319"/>
      <c r="D9689" s="319"/>
    </row>
    <row r="9690" spans="3:7">
      <c r="C9690" s="319"/>
      <c r="D9690" s="319"/>
      <c r="G9690" s="320"/>
    </row>
    <row r="9691" spans="3:7">
      <c r="C9691" s="319"/>
      <c r="D9691" s="319"/>
      <c r="G9691" s="320"/>
    </row>
    <row r="9692" spans="3:4">
      <c r="C9692" s="319"/>
      <c r="D9692" s="319"/>
    </row>
    <row r="9693" spans="3:7">
      <c r="C9693" s="319"/>
      <c r="D9693" s="319"/>
      <c r="G9693" s="320"/>
    </row>
    <row r="9694" spans="3:7">
      <c r="C9694" s="319"/>
      <c r="D9694" s="319"/>
      <c r="G9694" s="320"/>
    </row>
    <row r="9695" spans="3:7">
      <c r="C9695" s="319"/>
      <c r="D9695" s="319"/>
      <c r="G9695" s="320"/>
    </row>
    <row r="9696" spans="3:4">
      <c r="C9696" s="319"/>
      <c r="D9696" s="319"/>
    </row>
    <row r="9697" spans="3:4">
      <c r="C9697" s="319"/>
      <c r="D9697" s="319"/>
    </row>
    <row r="9698" spans="3:7">
      <c r="C9698" s="319"/>
      <c r="D9698" s="319"/>
      <c r="G9698" s="320"/>
    </row>
    <row r="9699" spans="3:4">
      <c r="C9699" s="319"/>
      <c r="D9699" s="319"/>
    </row>
    <row r="9700" spans="3:4">
      <c r="C9700" s="319"/>
      <c r="D9700" s="319"/>
    </row>
    <row r="9701" spans="3:7">
      <c r="C9701" s="319"/>
      <c r="D9701" s="319"/>
      <c r="G9701" s="320"/>
    </row>
    <row r="9702" spans="3:4">
      <c r="C9702" s="319"/>
      <c r="D9702" s="319"/>
    </row>
    <row r="9703" spans="3:4">
      <c r="C9703" s="319"/>
      <c r="D9703" s="319"/>
    </row>
    <row r="9704" spans="3:4">
      <c r="C9704" s="319"/>
      <c r="D9704" s="319"/>
    </row>
    <row r="9705" spans="3:4">
      <c r="C9705" s="319"/>
      <c r="D9705" s="319"/>
    </row>
    <row r="9706" spans="3:7">
      <c r="C9706" s="319"/>
      <c r="D9706" s="319"/>
      <c r="G9706" s="320"/>
    </row>
    <row r="9707" spans="3:4">
      <c r="C9707" s="319"/>
      <c r="D9707" s="319"/>
    </row>
    <row r="9708" spans="3:7">
      <c r="C9708" s="319"/>
      <c r="D9708" s="319"/>
      <c r="G9708" s="320"/>
    </row>
    <row r="9709" spans="3:7">
      <c r="C9709" s="319"/>
      <c r="D9709" s="319"/>
      <c r="G9709" s="320"/>
    </row>
    <row r="9710" spans="3:7">
      <c r="C9710" s="319"/>
      <c r="D9710" s="319"/>
      <c r="G9710" s="320"/>
    </row>
    <row r="9711" spans="3:4">
      <c r="C9711" s="319"/>
      <c r="D9711" s="319"/>
    </row>
    <row r="9712" spans="3:4">
      <c r="C9712" s="319"/>
      <c r="D9712" s="319"/>
    </row>
    <row r="9713" spans="3:4">
      <c r="C9713" s="319"/>
      <c r="D9713" s="319"/>
    </row>
    <row r="9714" spans="3:7">
      <c r="C9714" s="319"/>
      <c r="D9714" s="319"/>
      <c r="G9714" s="320"/>
    </row>
    <row r="9715" spans="3:4">
      <c r="C9715" s="319"/>
      <c r="D9715" s="319"/>
    </row>
    <row r="9716" spans="3:4">
      <c r="C9716" s="319"/>
      <c r="D9716" s="319"/>
    </row>
    <row r="9717" spans="3:7">
      <c r="C9717" s="319"/>
      <c r="D9717" s="319"/>
      <c r="G9717" s="320"/>
    </row>
    <row r="9718" spans="3:7">
      <c r="C9718" s="319"/>
      <c r="D9718" s="319"/>
      <c r="G9718" s="320"/>
    </row>
    <row r="9719" spans="3:4">
      <c r="C9719" s="319"/>
      <c r="D9719" s="319"/>
    </row>
    <row r="9720" spans="3:7">
      <c r="C9720" s="319"/>
      <c r="D9720" s="319"/>
      <c r="G9720" s="320"/>
    </row>
    <row r="9721" spans="3:7">
      <c r="C9721" s="319"/>
      <c r="D9721" s="319"/>
      <c r="G9721" s="320"/>
    </row>
    <row r="9722" spans="3:4">
      <c r="C9722" s="319"/>
      <c r="D9722" s="319"/>
    </row>
    <row r="9723" spans="3:7">
      <c r="C9723" s="319"/>
      <c r="D9723" s="319"/>
      <c r="G9723" s="320"/>
    </row>
    <row r="9724" spans="3:7">
      <c r="C9724" s="319"/>
      <c r="D9724" s="319"/>
      <c r="G9724" s="320"/>
    </row>
    <row r="9725" spans="3:7">
      <c r="C9725" s="319"/>
      <c r="D9725" s="319"/>
      <c r="G9725" s="320"/>
    </row>
    <row r="9726" spans="3:7">
      <c r="C9726" s="319"/>
      <c r="D9726" s="319"/>
      <c r="G9726" s="320"/>
    </row>
    <row r="9727" spans="3:7">
      <c r="C9727" s="319"/>
      <c r="D9727" s="319"/>
      <c r="G9727" s="320"/>
    </row>
    <row r="9728" spans="3:7">
      <c r="C9728" s="319"/>
      <c r="D9728" s="319"/>
      <c r="G9728" s="320"/>
    </row>
    <row r="9729" spans="3:4">
      <c r="C9729" s="319"/>
      <c r="D9729" s="319"/>
    </row>
    <row r="9730" spans="3:4">
      <c r="C9730" s="319"/>
      <c r="D9730" s="319"/>
    </row>
    <row r="9731" spans="3:7">
      <c r="C9731" s="319"/>
      <c r="D9731" s="319"/>
      <c r="G9731" s="320"/>
    </row>
    <row r="9732" spans="3:4">
      <c r="C9732" s="319"/>
      <c r="D9732" s="319"/>
    </row>
    <row r="9733" spans="3:4">
      <c r="C9733" s="319"/>
      <c r="D9733" s="319"/>
    </row>
    <row r="9734" spans="3:4">
      <c r="C9734" s="319"/>
      <c r="D9734" s="319"/>
    </row>
    <row r="9735" spans="3:7">
      <c r="C9735" s="319"/>
      <c r="D9735" s="319"/>
      <c r="G9735" s="320"/>
    </row>
    <row r="9736" spans="3:7">
      <c r="C9736" s="319"/>
      <c r="D9736" s="319"/>
      <c r="G9736" s="320"/>
    </row>
    <row r="9737" spans="3:7">
      <c r="C9737" s="319"/>
      <c r="D9737" s="319"/>
      <c r="G9737" s="320"/>
    </row>
    <row r="9738" spans="3:7">
      <c r="C9738" s="319"/>
      <c r="D9738" s="319"/>
      <c r="G9738" s="320"/>
    </row>
    <row r="9739" spans="3:4">
      <c r="C9739" s="319"/>
      <c r="D9739" s="319"/>
    </row>
    <row r="9740" spans="3:4">
      <c r="C9740" s="319"/>
      <c r="D9740" s="319"/>
    </row>
    <row r="9741" spans="3:4">
      <c r="C9741" s="319"/>
      <c r="D9741" s="319"/>
    </row>
    <row r="9742" spans="3:7">
      <c r="C9742" s="319"/>
      <c r="D9742" s="319"/>
      <c r="G9742" s="320"/>
    </row>
    <row r="9743" spans="3:7">
      <c r="C9743" s="319"/>
      <c r="D9743" s="319"/>
      <c r="G9743" s="320"/>
    </row>
    <row r="9744" spans="3:4">
      <c r="C9744" s="319"/>
      <c r="D9744" s="319"/>
    </row>
    <row r="9745" spans="3:7">
      <c r="C9745" s="319"/>
      <c r="D9745" s="319"/>
      <c r="G9745" s="320"/>
    </row>
    <row r="9746" spans="3:7">
      <c r="C9746" s="319"/>
      <c r="D9746" s="319"/>
      <c r="G9746" s="320"/>
    </row>
    <row r="9747" spans="3:7">
      <c r="C9747" s="319"/>
      <c r="D9747" s="319"/>
      <c r="G9747" s="320"/>
    </row>
    <row r="9748" spans="3:7">
      <c r="C9748" s="319"/>
      <c r="D9748" s="319"/>
      <c r="G9748" s="320"/>
    </row>
    <row r="9749" spans="3:7">
      <c r="C9749" s="319"/>
      <c r="D9749" s="319"/>
      <c r="G9749" s="320"/>
    </row>
    <row r="9750" spans="3:7">
      <c r="C9750" s="319"/>
      <c r="D9750" s="319"/>
      <c r="G9750" s="320"/>
    </row>
    <row r="9751" spans="3:7">
      <c r="C9751" s="319"/>
      <c r="D9751" s="319"/>
      <c r="G9751" s="320"/>
    </row>
    <row r="9752" spans="3:7">
      <c r="C9752" s="319"/>
      <c r="D9752" s="319"/>
      <c r="G9752" s="320"/>
    </row>
    <row r="9753" spans="3:7">
      <c r="C9753" s="319"/>
      <c r="D9753" s="319"/>
      <c r="G9753" s="320"/>
    </row>
    <row r="9754" spans="3:7">
      <c r="C9754" s="319"/>
      <c r="D9754" s="319"/>
      <c r="G9754" s="320"/>
    </row>
    <row r="9755" spans="3:4">
      <c r="C9755" s="319"/>
      <c r="D9755" s="319"/>
    </row>
    <row r="9756" spans="3:4">
      <c r="C9756" s="319"/>
      <c r="D9756" s="319"/>
    </row>
    <row r="9757" spans="3:7">
      <c r="C9757" s="319"/>
      <c r="D9757" s="319"/>
      <c r="G9757" s="320"/>
    </row>
    <row r="9758" spans="3:7">
      <c r="C9758" s="319"/>
      <c r="D9758" s="319"/>
      <c r="G9758" s="320"/>
    </row>
    <row r="9759" spans="3:7">
      <c r="C9759" s="319"/>
      <c r="D9759" s="319"/>
      <c r="G9759" s="320"/>
    </row>
    <row r="9760" spans="3:4">
      <c r="C9760" s="319"/>
      <c r="D9760" s="319"/>
    </row>
    <row r="9761" spans="3:4">
      <c r="C9761" s="319"/>
      <c r="D9761" s="319"/>
    </row>
    <row r="9762" spans="3:7">
      <c r="C9762" s="319"/>
      <c r="D9762" s="319"/>
      <c r="G9762" s="320"/>
    </row>
    <row r="9763" spans="3:7">
      <c r="C9763" s="319"/>
      <c r="D9763" s="319"/>
      <c r="G9763" s="320"/>
    </row>
    <row r="9764" spans="3:7">
      <c r="C9764" s="319"/>
      <c r="D9764" s="319"/>
      <c r="G9764" s="320"/>
    </row>
    <row r="9765" spans="3:4">
      <c r="C9765" s="319"/>
      <c r="D9765" s="319"/>
    </row>
    <row r="9766" spans="3:7">
      <c r="C9766" s="319"/>
      <c r="D9766" s="319"/>
      <c r="G9766" s="320"/>
    </row>
    <row r="9767" spans="3:7">
      <c r="C9767" s="319"/>
      <c r="D9767" s="319"/>
      <c r="G9767" s="320"/>
    </row>
    <row r="9768" spans="3:7">
      <c r="C9768" s="319"/>
      <c r="D9768" s="319"/>
      <c r="G9768" s="320"/>
    </row>
    <row r="9769" spans="3:7">
      <c r="C9769" s="319"/>
      <c r="D9769" s="319"/>
      <c r="G9769" s="320"/>
    </row>
    <row r="9770" spans="3:7">
      <c r="C9770" s="319"/>
      <c r="D9770" s="319"/>
      <c r="G9770" s="320"/>
    </row>
    <row r="9771" spans="3:7">
      <c r="C9771" s="319"/>
      <c r="D9771" s="319"/>
      <c r="G9771" s="320"/>
    </row>
    <row r="9772" spans="3:4">
      <c r="C9772" s="319"/>
      <c r="D9772" s="319"/>
    </row>
    <row r="9773" spans="3:7">
      <c r="C9773" s="319"/>
      <c r="D9773" s="319"/>
      <c r="G9773" s="320"/>
    </row>
    <row r="9774" spans="3:4">
      <c r="C9774" s="319"/>
      <c r="D9774" s="319"/>
    </row>
    <row r="9775" spans="3:7">
      <c r="C9775" s="319"/>
      <c r="D9775" s="319"/>
      <c r="G9775" s="320"/>
    </row>
    <row r="9776" spans="3:7">
      <c r="C9776" s="319"/>
      <c r="D9776" s="319"/>
      <c r="G9776" s="320"/>
    </row>
    <row r="9777" spans="3:7">
      <c r="C9777" s="319"/>
      <c r="D9777" s="319"/>
      <c r="G9777" s="320"/>
    </row>
    <row r="9778" spans="3:4">
      <c r="C9778" s="319"/>
      <c r="D9778" s="319"/>
    </row>
    <row r="9779" spans="3:4">
      <c r="C9779" s="319"/>
      <c r="D9779" s="319"/>
    </row>
    <row r="9780" spans="3:7">
      <c r="C9780" s="319"/>
      <c r="D9780" s="319"/>
      <c r="G9780" s="320"/>
    </row>
    <row r="9781" spans="3:7">
      <c r="C9781" s="319"/>
      <c r="D9781" s="319"/>
      <c r="G9781" s="320"/>
    </row>
    <row r="9782" spans="3:4">
      <c r="C9782" s="319"/>
      <c r="D9782" s="319"/>
    </row>
    <row r="9783" spans="3:7">
      <c r="C9783" s="319"/>
      <c r="D9783" s="319"/>
      <c r="G9783" s="320"/>
    </row>
    <row r="9784" spans="3:4">
      <c r="C9784" s="319"/>
      <c r="D9784" s="319"/>
    </row>
    <row r="9785" spans="3:7">
      <c r="C9785" s="319"/>
      <c r="D9785" s="319"/>
      <c r="G9785" s="320"/>
    </row>
    <row r="9786" spans="3:7">
      <c r="C9786" s="319"/>
      <c r="D9786" s="319"/>
      <c r="G9786" s="320"/>
    </row>
    <row r="9787" spans="3:4">
      <c r="C9787" s="319"/>
      <c r="D9787" s="319"/>
    </row>
    <row r="9788" spans="3:4">
      <c r="C9788" s="319"/>
      <c r="D9788" s="319"/>
    </row>
    <row r="9789" spans="3:7">
      <c r="C9789" s="319"/>
      <c r="D9789" s="319"/>
      <c r="G9789" s="320"/>
    </row>
    <row r="9790" spans="3:7">
      <c r="C9790" s="319"/>
      <c r="D9790" s="319"/>
      <c r="G9790" s="320"/>
    </row>
    <row r="9791" spans="3:7">
      <c r="C9791" s="319"/>
      <c r="D9791" s="319"/>
      <c r="G9791" s="320"/>
    </row>
    <row r="9792" spans="3:7">
      <c r="C9792" s="319"/>
      <c r="D9792" s="319"/>
      <c r="G9792" s="320"/>
    </row>
    <row r="9793" spans="3:7">
      <c r="C9793" s="319"/>
      <c r="D9793" s="319"/>
      <c r="G9793" s="320"/>
    </row>
    <row r="9794" spans="3:7">
      <c r="C9794" s="319"/>
      <c r="D9794" s="319"/>
      <c r="G9794" s="320"/>
    </row>
    <row r="9795" spans="3:4">
      <c r="C9795" s="319"/>
      <c r="D9795" s="319"/>
    </row>
    <row r="9796" spans="3:4">
      <c r="C9796" s="319"/>
      <c r="D9796" s="319"/>
    </row>
    <row r="9797" spans="3:4">
      <c r="C9797" s="319"/>
      <c r="D9797" s="319"/>
    </row>
    <row r="9798" spans="3:4">
      <c r="C9798" s="319"/>
      <c r="D9798" s="319"/>
    </row>
    <row r="9799" spans="3:7">
      <c r="C9799" s="319"/>
      <c r="D9799" s="319"/>
      <c r="G9799" s="320"/>
    </row>
    <row r="9800" spans="3:4">
      <c r="C9800" s="319"/>
      <c r="D9800" s="319"/>
    </row>
    <row r="9801" spans="3:7">
      <c r="C9801" s="319"/>
      <c r="D9801" s="319"/>
      <c r="G9801" s="320"/>
    </row>
    <row r="9802" spans="3:7">
      <c r="C9802" s="319"/>
      <c r="D9802" s="319"/>
      <c r="G9802" s="320"/>
    </row>
    <row r="9803" spans="3:7">
      <c r="C9803" s="319"/>
      <c r="D9803" s="319"/>
      <c r="G9803" s="320"/>
    </row>
    <row r="9804" spans="3:7">
      <c r="C9804" s="319"/>
      <c r="D9804" s="319"/>
      <c r="G9804" s="320"/>
    </row>
    <row r="9805" spans="3:7">
      <c r="C9805" s="319"/>
      <c r="D9805" s="319"/>
      <c r="G9805" s="320"/>
    </row>
    <row r="9806" spans="3:4">
      <c r="C9806" s="319"/>
      <c r="D9806" s="319"/>
    </row>
    <row r="9807" spans="3:4">
      <c r="C9807" s="319"/>
      <c r="D9807" s="319"/>
    </row>
    <row r="9808" spans="3:7">
      <c r="C9808" s="319"/>
      <c r="D9808" s="319"/>
      <c r="G9808" s="320"/>
    </row>
    <row r="9809" spans="3:4">
      <c r="C9809" s="319"/>
      <c r="D9809" s="319"/>
    </row>
    <row r="9810" spans="3:4">
      <c r="C9810" s="319"/>
      <c r="D9810" s="319"/>
    </row>
    <row r="9811" spans="3:4">
      <c r="C9811" s="319"/>
      <c r="D9811" s="319"/>
    </row>
    <row r="9812" spans="3:4">
      <c r="C9812" s="319"/>
      <c r="D9812" s="319"/>
    </row>
    <row r="9813" spans="3:7">
      <c r="C9813" s="319"/>
      <c r="D9813" s="319"/>
      <c r="G9813" s="320"/>
    </row>
    <row r="9814" spans="3:7">
      <c r="C9814" s="319"/>
      <c r="D9814" s="319"/>
      <c r="G9814" s="320"/>
    </row>
    <row r="9815" spans="3:4">
      <c r="C9815" s="319"/>
      <c r="D9815" s="319"/>
    </row>
    <row r="9816" spans="3:7">
      <c r="C9816" s="319"/>
      <c r="D9816" s="319"/>
      <c r="G9816" s="320"/>
    </row>
    <row r="9817" spans="3:7">
      <c r="C9817" s="319"/>
      <c r="D9817" s="319"/>
      <c r="G9817" s="320"/>
    </row>
    <row r="9818" spans="3:4">
      <c r="C9818" s="319"/>
      <c r="D9818" s="319"/>
    </row>
    <row r="9819" spans="3:4">
      <c r="C9819" s="319"/>
      <c r="D9819" s="319"/>
    </row>
    <row r="9820" spans="3:7">
      <c r="C9820" s="319"/>
      <c r="D9820" s="319"/>
      <c r="G9820" s="320"/>
    </row>
    <row r="9821" spans="3:4">
      <c r="C9821" s="319"/>
      <c r="D9821" s="319"/>
    </row>
    <row r="9822" spans="3:7">
      <c r="C9822" s="319"/>
      <c r="D9822" s="319"/>
      <c r="G9822" s="320"/>
    </row>
    <row r="9823" spans="3:7">
      <c r="C9823" s="319"/>
      <c r="D9823" s="319"/>
      <c r="G9823" s="320"/>
    </row>
    <row r="9824" spans="3:7">
      <c r="C9824" s="319"/>
      <c r="D9824" s="319"/>
      <c r="G9824" s="320"/>
    </row>
    <row r="9825" spans="3:7">
      <c r="C9825" s="319"/>
      <c r="D9825" s="319"/>
      <c r="G9825" s="320"/>
    </row>
    <row r="9826" spans="3:4">
      <c r="C9826" s="319"/>
      <c r="D9826" s="319"/>
    </row>
    <row r="9827" spans="3:7">
      <c r="C9827" s="319"/>
      <c r="D9827" s="319"/>
      <c r="G9827" s="320"/>
    </row>
    <row r="9828" spans="3:4">
      <c r="C9828" s="319"/>
      <c r="D9828" s="319"/>
    </row>
    <row r="9829" spans="3:7">
      <c r="C9829" s="319"/>
      <c r="D9829" s="319"/>
      <c r="G9829" s="320"/>
    </row>
    <row r="9830" spans="3:7">
      <c r="C9830" s="319"/>
      <c r="D9830" s="319"/>
      <c r="G9830" s="320"/>
    </row>
    <row r="9831" spans="3:4">
      <c r="C9831" s="319"/>
      <c r="D9831" s="319"/>
    </row>
    <row r="9832" spans="3:7">
      <c r="C9832" s="319"/>
      <c r="D9832" s="319"/>
      <c r="G9832" s="320"/>
    </row>
    <row r="9833" spans="3:7">
      <c r="C9833" s="319"/>
      <c r="D9833" s="319"/>
      <c r="G9833" s="320"/>
    </row>
    <row r="9834" spans="3:4">
      <c r="C9834" s="319"/>
      <c r="D9834" s="319"/>
    </row>
    <row r="9835" spans="3:7">
      <c r="C9835" s="319"/>
      <c r="D9835" s="319"/>
      <c r="G9835" s="320"/>
    </row>
    <row r="9836" spans="3:4">
      <c r="C9836" s="319"/>
      <c r="D9836" s="319"/>
    </row>
    <row r="9837" spans="3:4">
      <c r="C9837" s="319"/>
      <c r="D9837" s="319"/>
    </row>
    <row r="9838" spans="3:4">
      <c r="C9838" s="319"/>
      <c r="D9838" s="319"/>
    </row>
    <row r="9839" spans="3:4">
      <c r="C9839" s="319"/>
      <c r="D9839" s="319"/>
    </row>
    <row r="9840" spans="3:7">
      <c r="C9840" s="319"/>
      <c r="D9840" s="319"/>
      <c r="G9840" s="320"/>
    </row>
    <row r="9841" spans="3:7">
      <c r="C9841" s="319"/>
      <c r="D9841" s="319"/>
      <c r="G9841" s="320"/>
    </row>
    <row r="9842" spans="3:7">
      <c r="C9842" s="319"/>
      <c r="D9842" s="319"/>
      <c r="G9842" s="320"/>
    </row>
    <row r="9843" spans="3:7">
      <c r="C9843" s="319"/>
      <c r="D9843" s="319"/>
      <c r="G9843" s="320"/>
    </row>
    <row r="9844" spans="3:7">
      <c r="C9844" s="319"/>
      <c r="D9844" s="319"/>
      <c r="G9844" s="320"/>
    </row>
    <row r="9845" spans="3:7">
      <c r="C9845" s="319"/>
      <c r="D9845" s="319"/>
      <c r="G9845" s="320"/>
    </row>
    <row r="9846" spans="3:4">
      <c r="C9846" s="319"/>
      <c r="D9846" s="319"/>
    </row>
    <row r="9847" spans="3:7">
      <c r="C9847" s="319"/>
      <c r="D9847" s="319"/>
      <c r="G9847" s="320"/>
    </row>
    <row r="9848" spans="3:7">
      <c r="C9848" s="319"/>
      <c r="D9848" s="319"/>
      <c r="G9848" s="320"/>
    </row>
    <row r="9849" spans="3:4">
      <c r="C9849" s="319"/>
      <c r="D9849" s="319"/>
    </row>
    <row r="9850" spans="3:7">
      <c r="C9850" s="319"/>
      <c r="D9850" s="319"/>
      <c r="G9850" s="320"/>
    </row>
    <row r="9851" spans="3:7">
      <c r="C9851" s="319"/>
      <c r="D9851" s="319"/>
      <c r="G9851" s="320"/>
    </row>
    <row r="9852" spans="3:4">
      <c r="C9852" s="319"/>
      <c r="D9852" s="319"/>
    </row>
    <row r="9853" spans="3:7">
      <c r="C9853" s="319"/>
      <c r="D9853" s="319"/>
      <c r="G9853" s="320"/>
    </row>
    <row r="9854" spans="3:7">
      <c r="C9854" s="319"/>
      <c r="D9854" s="319"/>
      <c r="G9854" s="320"/>
    </row>
    <row r="9855" spans="3:7">
      <c r="C9855" s="319"/>
      <c r="D9855" s="319"/>
      <c r="G9855" s="320"/>
    </row>
    <row r="9856" spans="3:4">
      <c r="C9856" s="319"/>
      <c r="D9856" s="319"/>
    </row>
    <row r="9857" spans="3:4">
      <c r="C9857" s="319"/>
      <c r="D9857" s="319"/>
    </row>
    <row r="9858" spans="3:4">
      <c r="C9858" s="319"/>
      <c r="D9858" s="319"/>
    </row>
    <row r="9859" spans="3:4">
      <c r="C9859" s="319"/>
      <c r="D9859" s="319"/>
    </row>
    <row r="9860" spans="3:7">
      <c r="C9860" s="319"/>
      <c r="D9860" s="319"/>
      <c r="G9860" s="320"/>
    </row>
    <row r="9861" spans="3:7">
      <c r="C9861" s="319"/>
      <c r="D9861" s="319"/>
      <c r="G9861" s="320"/>
    </row>
    <row r="9862" spans="3:4">
      <c r="C9862" s="319"/>
      <c r="D9862" s="319"/>
    </row>
    <row r="9863" spans="3:4">
      <c r="C9863" s="319"/>
      <c r="D9863" s="319"/>
    </row>
    <row r="9864" spans="3:4">
      <c r="C9864" s="319"/>
      <c r="D9864" s="319"/>
    </row>
    <row r="9865" spans="3:4">
      <c r="C9865" s="319"/>
      <c r="D9865" s="319"/>
    </row>
    <row r="9866" spans="3:4">
      <c r="C9866" s="319"/>
      <c r="D9866" s="319"/>
    </row>
    <row r="9867" spans="3:7">
      <c r="C9867" s="319"/>
      <c r="D9867" s="319"/>
      <c r="G9867" s="320"/>
    </row>
    <row r="9868" spans="3:4">
      <c r="C9868" s="319"/>
      <c r="D9868" s="319"/>
    </row>
    <row r="9869" spans="3:7">
      <c r="C9869" s="319"/>
      <c r="D9869" s="319"/>
      <c r="G9869" s="320"/>
    </row>
    <row r="9870" spans="3:4">
      <c r="C9870" s="319"/>
      <c r="D9870" s="319"/>
    </row>
    <row r="9871" spans="3:7">
      <c r="C9871" s="319"/>
      <c r="D9871" s="319"/>
      <c r="G9871" s="320"/>
    </row>
    <row r="9872" spans="3:7">
      <c r="C9872" s="319"/>
      <c r="D9872" s="319"/>
      <c r="G9872" s="320"/>
    </row>
    <row r="9873" spans="3:4">
      <c r="C9873" s="319"/>
      <c r="D9873" s="319"/>
    </row>
    <row r="9874" spans="3:7">
      <c r="C9874" s="319"/>
      <c r="D9874" s="319"/>
      <c r="G9874" s="320"/>
    </row>
    <row r="9875" spans="3:4">
      <c r="C9875" s="319"/>
      <c r="D9875" s="319"/>
    </row>
    <row r="9876" spans="3:7">
      <c r="C9876" s="319"/>
      <c r="D9876" s="319"/>
      <c r="G9876" s="320"/>
    </row>
    <row r="9877" spans="3:7">
      <c r="C9877" s="319"/>
      <c r="D9877" s="319"/>
      <c r="G9877" s="320"/>
    </row>
    <row r="9878" spans="3:7">
      <c r="C9878" s="319"/>
      <c r="D9878" s="319"/>
      <c r="G9878" s="320"/>
    </row>
    <row r="9879" spans="3:7">
      <c r="C9879" s="319"/>
      <c r="D9879" s="319"/>
      <c r="G9879" s="320"/>
    </row>
    <row r="9880" spans="3:4">
      <c r="C9880" s="319"/>
      <c r="D9880" s="319"/>
    </row>
    <row r="9881" spans="3:4">
      <c r="C9881" s="319"/>
      <c r="D9881" s="319"/>
    </row>
    <row r="9882" spans="3:4">
      <c r="C9882" s="319"/>
      <c r="D9882" s="319"/>
    </row>
    <row r="9883" spans="3:4">
      <c r="C9883" s="319"/>
      <c r="D9883" s="319"/>
    </row>
    <row r="9884" spans="3:7">
      <c r="C9884" s="319"/>
      <c r="D9884" s="319"/>
      <c r="G9884" s="320"/>
    </row>
    <row r="9885" spans="3:4">
      <c r="C9885" s="319"/>
      <c r="D9885" s="319"/>
    </row>
    <row r="9886" spans="3:4">
      <c r="C9886" s="319"/>
      <c r="D9886" s="319"/>
    </row>
    <row r="9887" spans="3:7">
      <c r="C9887" s="319"/>
      <c r="D9887" s="319"/>
      <c r="G9887" s="320"/>
    </row>
    <row r="9888" spans="3:7">
      <c r="C9888" s="319"/>
      <c r="D9888" s="319"/>
      <c r="G9888" s="320"/>
    </row>
    <row r="9889" spans="3:4">
      <c r="C9889" s="319"/>
      <c r="D9889" s="319"/>
    </row>
    <row r="9890" spans="3:7">
      <c r="C9890" s="319"/>
      <c r="D9890" s="319"/>
      <c r="G9890" s="320"/>
    </row>
    <row r="9891" spans="3:7">
      <c r="C9891" s="319"/>
      <c r="D9891" s="319"/>
      <c r="G9891" s="320"/>
    </row>
    <row r="9892" spans="3:7">
      <c r="C9892" s="319"/>
      <c r="D9892" s="319"/>
      <c r="G9892" s="320"/>
    </row>
    <row r="9893" spans="3:7">
      <c r="C9893" s="319"/>
      <c r="D9893" s="319"/>
      <c r="G9893" s="320"/>
    </row>
    <row r="9894" spans="3:7">
      <c r="C9894" s="319"/>
      <c r="D9894" s="319"/>
      <c r="G9894" s="320"/>
    </row>
    <row r="9895" spans="3:7">
      <c r="C9895" s="319"/>
      <c r="D9895" s="319"/>
      <c r="G9895" s="320"/>
    </row>
    <row r="9896" spans="3:7">
      <c r="C9896" s="319"/>
      <c r="D9896" s="319"/>
      <c r="G9896" s="320"/>
    </row>
    <row r="9897" spans="3:4">
      <c r="C9897" s="319"/>
      <c r="D9897" s="319"/>
    </row>
    <row r="9898" spans="3:7">
      <c r="C9898" s="319"/>
      <c r="D9898" s="319"/>
      <c r="G9898" s="320"/>
    </row>
    <row r="9899" spans="3:7">
      <c r="C9899" s="319"/>
      <c r="D9899" s="319"/>
      <c r="G9899" s="320"/>
    </row>
    <row r="9900" spans="3:7">
      <c r="C9900" s="319"/>
      <c r="D9900" s="319"/>
      <c r="G9900" s="320"/>
    </row>
    <row r="9901" spans="3:4">
      <c r="C9901" s="319"/>
      <c r="D9901" s="319"/>
    </row>
    <row r="9902" spans="3:7">
      <c r="C9902" s="319"/>
      <c r="D9902" s="319"/>
      <c r="G9902" s="320"/>
    </row>
    <row r="9903" spans="3:7">
      <c r="C9903" s="319"/>
      <c r="D9903" s="319"/>
      <c r="G9903" s="320"/>
    </row>
    <row r="9904" spans="3:7">
      <c r="C9904" s="319"/>
      <c r="D9904" s="319"/>
      <c r="G9904" s="320"/>
    </row>
    <row r="9905" spans="3:4">
      <c r="C9905" s="319"/>
      <c r="D9905" s="319"/>
    </row>
    <row r="9906" spans="3:7">
      <c r="C9906" s="319"/>
      <c r="D9906" s="319"/>
      <c r="G9906" s="320"/>
    </row>
    <row r="9907" spans="3:7">
      <c r="C9907" s="319"/>
      <c r="D9907" s="319"/>
      <c r="G9907" s="320"/>
    </row>
    <row r="9908" spans="3:7">
      <c r="C9908" s="319"/>
      <c r="D9908" s="319"/>
      <c r="G9908" s="320"/>
    </row>
    <row r="9909" spans="3:7">
      <c r="C9909" s="319"/>
      <c r="D9909" s="319"/>
      <c r="G9909" s="320"/>
    </row>
    <row r="9910" spans="3:4">
      <c r="C9910" s="319"/>
      <c r="D9910" s="319"/>
    </row>
    <row r="9911" spans="3:7">
      <c r="C9911" s="319"/>
      <c r="D9911" s="319"/>
      <c r="G9911" s="320"/>
    </row>
    <row r="9912" spans="3:7">
      <c r="C9912" s="319"/>
      <c r="D9912" s="319"/>
      <c r="G9912" s="320"/>
    </row>
    <row r="9913" spans="3:7">
      <c r="C9913" s="319"/>
      <c r="D9913" s="319"/>
      <c r="G9913" s="320"/>
    </row>
    <row r="9914" spans="3:7">
      <c r="C9914" s="319"/>
      <c r="D9914" s="319"/>
      <c r="G9914" s="320"/>
    </row>
    <row r="9915" spans="3:7">
      <c r="C9915" s="319"/>
      <c r="D9915" s="319"/>
      <c r="G9915" s="320"/>
    </row>
    <row r="9916" spans="3:7">
      <c r="C9916" s="319"/>
      <c r="D9916" s="319"/>
      <c r="G9916" s="320"/>
    </row>
    <row r="9917" spans="3:4">
      <c r="C9917" s="319"/>
      <c r="D9917" s="319"/>
    </row>
    <row r="9918" spans="3:7">
      <c r="C9918" s="319"/>
      <c r="D9918" s="319"/>
      <c r="G9918" s="320"/>
    </row>
    <row r="9919" spans="3:4">
      <c r="C9919" s="319"/>
      <c r="D9919" s="319"/>
    </row>
    <row r="9920" spans="3:4">
      <c r="C9920" s="319"/>
      <c r="D9920" s="319"/>
    </row>
    <row r="9921" spans="3:7">
      <c r="C9921" s="319"/>
      <c r="D9921" s="319"/>
      <c r="G9921" s="320"/>
    </row>
    <row r="9922" spans="3:4">
      <c r="C9922" s="319"/>
      <c r="D9922" s="319"/>
    </row>
    <row r="9923" spans="3:4">
      <c r="C9923" s="319"/>
      <c r="D9923" s="319"/>
    </row>
    <row r="9924" spans="3:7">
      <c r="C9924" s="319"/>
      <c r="D9924" s="319"/>
      <c r="G9924" s="320"/>
    </row>
    <row r="9925" spans="3:4">
      <c r="C9925" s="319"/>
      <c r="D9925" s="319"/>
    </row>
    <row r="9926" spans="3:4">
      <c r="C9926" s="319"/>
      <c r="D9926" s="319"/>
    </row>
    <row r="9927" spans="3:7">
      <c r="C9927" s="319"/>
      <c r="D9927" s="319"/>
      <c r="G9927" s="320"/>
    </row>
    <row r="9928" spans="3:7">
      <c r="C9928" s="319"/>
      <c r="D9928" s="319"/>
      <c r="G9928" s="320"/>
    </row>
    <row r="9929" spans="3:7">
      <c r="C9929" s="319"/>
      <c r="D9929" s="319"/>
      <c r="G9929" s="320"/>
    </row>
    <row r="9930" spans="3:7">
      <c r="C9930" s="319"/>
      <c r="D9930" s="319"/>
      <c r="G9930" s="320"/>
    </row>
    <row r="9931" spans="3:4">
      <c r="C9931" s="319"/>
      <c r="D9931" s="319"/>
    </row>
    <row r="9932" spans="3:4">
      <c r="C9932" s="319"/>
      <c r="D9932" s="319"/>
    </row>
    <row r="9933" spans="3:4">
      <c r="C9933" s="319"/>
      <c r="D9933" s="319"/>
    </row>
    <row r="9934" spans="3:4">
      <c r="C9934" s="319"/>
      <c r="D9934" s="319"/>
    </row>
    <row r="9935" spans="3:7">
      <c r="C9935" s="319"/>
      <c r="D9935" s="319"/>
      <c r="G9935" s="320"/>
    </row>
    <row r="9936" spans="3:4">
      <c r="C9936" s="319"/>
      <c r="D9936" s="319"/>
    </row>
    <row r="9937" spans="3:7">
      <c r="C9937" s="319"/>
      <c r="D9937" s="319"/>
      <c r="G9937" s="320"/>
    </row>
    <row r="9938" spans="3:4">
      <c r="C9938" s="319"/>
      <c r="D9938" s="319"/>
    </row>
    <row r="9939" spans="3:7">
      <c r="C9939" s="319"/>
      <c r="D9939" s="319"/>
      <c r="G9939" s="320"/>
    </row>
    <row r="9940" spans="3:7">
      <c r="C9940" s="319"/>
      <c r="D9940" s="319"/>
      <c r="G9940" s="320"/>
    </row>
    <row r="9941" spans="3:7">
      <c r="C9941" s="319"/>
      <c r="D9941" s="319"/>
      <c r="G9941" s="320"/>
    </row>
    <row r="9942" spans="3:7">
      <c r="C9942" s="319"/>
      <c r="D9942" s="319"/>
      <c r="G9942" s="320"/>
    </row>
    <row r="9943" spans="3:4">
      <c r="C9943" s="319"/>
      <c r="D9943" s="319"/>
    </row>
    <row r="9944" spans="3:7">
      <c r="C9944" s="319"/>
      <c r="D9944" s="319"/>
      <c r="G9944" s="320"/>
    </row>
    <row r="9945" spans="3:7">
      <c r="C9945" s="319"/>
      <c r="D9945" s="319"/>
      <c r="G9945" s="320"/>
    </row>
    <row r="9946" spans="3:4">
      <c r="C9946" s="319"/>
      <c r="D9946" s="319"/>
    </row>
    <row r="9947" spans="3:7">
      <c r="C9947" s="319"/>
      <c r="D9947" s="319"/>
      <c r="G9947" s="320"/>
    </row>
    <row r="9948" spans="3:7">
      <c r="C9948" s="319"/>
      <c r="D9948" s="319"/>
      <c r="G9948" s="320"/>
    </row>
    <row r="9949" spans="3:7">
      <c r="C9949" s="319"/>
      <c r="D9949" s="319"/>
      <c r="G9949" s="320"/>
    </row>
    <row r="9950" spans="3:7">
      <c r="C9950" s="319"/>
      <c r="D9950" s="319"/>
      <c r="G9950" s="320"/>
    </row>
    <row r="9951" spans="3:7">
      <c r="C9951" s="319"/>
      <c r="D9951" s="319"/>
      <c r="G9951" s="320"/>
    </row>
    <row r="9952" spans="3:7">
      <c r="C9952" s="319"/>
      <c r="D9952" s="319"/>
      <c r="G9952" s="320"/>
    </row>
    <row r="9953" spans="3:4">
      <c r="C9953" s="319"/>
      <c r="D9953" s="319"/>
    </row>
    <row r="9954" spans="3:4">
      <c r="C9954" s="319"/>
      <c r="D9954" s="319"/>
    </row>
    <row r="9955" spans="3:4">
      <c r="C9955" s="319"/>
      <c r="D9955" s="319"/>
    </row>
    <row r="9956" spans="3:4">
      <c r="C9956" s="319"/>
      <c r="D9956" s="319"/>
    </row>
    <row r="9957" spans="3:7">
      <c r="C9957" s="319"/>
      <c r="D9957" s="319"/>
      <c r="G9957" s="320"/>
    </row>
    <row r="9958" spans="3:4">
      <c r="C9958" s="319"/>
      <c r="D9958" s="319"/>
    </row>
    <row r="9959" spans="3:7">
      <c r="C9959" s="319"/>
      <c r="D9959" s="319"/>
      <c r="G9959" s="320"/>
    </row>
    <row r="9960" spans="3:4">
      <c r="C9960" s="319"/>
      <c r="D9960" s="319"/>
    </row>
    <row r="9961" spans="3:4">
      <c r="C9961" s="319"/>
      <c r="D9961" s="319"/>
    </row>
    <row r="9962" spans="3:7">
      <c r="C9962" s="319"/>
      <c r="D9962" s="319"/>
      <c r="G9962" s="320"/>
    </row>
    <row r="9963" spans="3:7">
      <c r="C9963" s="319"/>
      <c r="D9963" s="319"/>
      <c r="G9963" s="320"/>
    </row>
    <row r="9964" spans="3:4">
      <c r="C9964" s="319"/>
      <c r="D9964" s="319"/>
    </row>
    <row r="9965" spans="3:7">
      <c r="C9965" s="319"/>
      <c r="D9965" s="319"/>
      <c r="G9965" s="320"/>
    </row>
    <row r="9966" spans="3:7">
      <c r="C9966" s="319"/>
      <c r="D9966" s="319"/>
      <c r="G9966" s="320"/>
    </row>
    <row r="9967" spans="3:7">
      <c r="C9967" s="319"/>
      <c r="D9967" s="319"/>
      <c r="G9967" s="320"/>
    </row>
    <row r="9968" spans="3:7">
      <c r="C9968" s="319"/>
      <c r="D9968" s="319"/>
      <c r="G9968" s="320"/>
    </row>
    <row r="9969" spans="3:7">
      <c r="C9969" s="319"/>
      <c r="D9969" s="319"/>
      <c r="G9969" s="320"/>
    </row>
    <row r="9970" spans="3:7">
      <c r="C9970" s="319"/>
      <c r="D9970" s="319"/>
      <c r="G9970" s="320"/>
    </row>
    <row r="9971" spans="3:7">
      <c r="C9971" s="319"/>
      <c r="D9971" s="319"/>
      <c r="G9971" s="320"/>
    </row>
    <row r="9972" spans="3:4">
      <c r="C9972" s="319"/>
      <c r="D9972" s="319"/>
    </row>
    <row r="9973" spans="3:7">
      <c r="C9973" s="319"/>
      <c r="D9973" s="319"/>
      <c r="G9973" s="320"/>
    </row>
    <row r="9974" spans="3:7">
      <c r="C9974" s="319"/>
      <c r="D9974" s="319"/>
      <c r="G9974" s="320"/>
    </row>
    <row r="9975" spans="3:7">
      <c r="C9975" s="319"/>
      <c r="D9975" s="319"/>
      <c r="G9975" s="320"/>
    </row>
    <row r="9976" spans="3:4">
      <c r="C9976" s="319"/>
      <c r="D9976" s="319"/>
    </row>
    <row r="9977" spans="3:7">
      <c r="C9977" s="319"/>
      <c r="D9977" s="319"/>
      <c r="G9977" s="320"/>
    </row>
    <row r="9978" spans="3:7">
      <c r="C9978" s="319"/>
      <c r="D9978" s="319"/>
      <c r="G9978" s="320"/>
    </row>
    <row r="9979" spans="3:7">
      <c r="C9979" s="319"/>
      <c r="D9979" s="319"/>
      <c r="G9979" s="320"/>
    </row>
    <row r="9980" spans="3:4">
      <c r="C9980" s="319"/>
      <c r="D9980" s="319"/>
    </row>
    <row r="9981" spans="3:4">
      <c r="C9981" s="319"/>
      <c r="D9981" s="319"/>
    </row>
    <row r="9982" spans="3:4">
      <c r="C9982" s="319"/>
      <c r="D9982" s="319"/>
    </row>
    <row r="9983" spans="3:4">
      <c r="C9983" s="319"/>
      <c r="D9983" s="319"/>
    </row>
    <row r="9984" spans="3:4">
      <c r="C9984" s="319"/>
      <c r="D9984" s="319"/>
    </row>
    <row r="9985" spans="3:7">
      <c r="C9985" s="319"/>
      <c r="D9985" s="319"/>
      <c r="G9985" s="320"/>
    </row>
    <row r="9986" spans="3:4">
      <c r="C9986" s="319"/>
      <c r="D9986" s="319"/>
    </row>
    <row r="9987" spans="3:7">
      <c r="C9987" s="319"/>
      <c r="D9987" s="319"/>
      <c r="G9987" s="320"/>
    </row>
    <row r="9988" spans="3:7">
      <c r="C9988" s="319"/>
      <c r="D9988" s="319"/>
      <c r="G9988" s="320"/>
    </row>
    <row r="9989" spans="3:7">
      <c r="C9989" s="319"/>
      <c r="D9989" s="319"/>
      <c r="G9989" s="320"/>
    </row>
    <row r="9990" spans="3:7">
      <c r="C9990" s="319"/>
      <c r="D9990" s="319"/>
      <c r="G9990" s="320"/>
    </row>
    <row r="9991" spans="3:4">
      <c r="C9991" s="319"/>
      <c r="D9991" s="319"/>
    </row>
    <row r="9992" spans="3:4">
      <c r="C9992" s="319"/>
      <c r="D9992" s="319"/>
    </row>
    <row r="9993" spans="3:7">
      <c r="C9993" s="319"/>
      <c r="D9993" s="319"/>
      <c r="G9993" s="320"/>
    </row>
    <row r="9994" spans="3:4">
      <c r="C9994" s="319"/>
      <c r="D9994" s="319"/>
    </row>
    <row r="9995" spans="3:7">
      <c r="C9995" s="319"/>
      <c r="D9995" s="319"/>
      <c r="G9995" s="320"/>
    </row>
    <row r="9996" spans="3:7">
      <c r="C9996" s="319"/>
      <c r="D9996" s="319"/>
      <c r="G9996" s="320"/>
    </row>
    <row r="9997" spans="3:7">
      <c r="C9997" s="319"/>
      <c r="D9997" s="319"/>
      <c r="G9997" s="320"/>
    </row>
    <row r="9998" spans="3:7">
      <c r="C9998" s="319"/>
      <c r="D9998" s="319"/>
      <c r="G9998" s="320"/>
    </row>
    <row r="9999" spans="3:7">
      <c r="C9999" s="319"/>
      <c r="D9999" s="319"/>
      <c r="G9999" s="320"/>
    </row>
    <row r="10000" spans="3:4">
      <c r="C10000" s="319"/>
      <c r="D10000" s="319"/>
    </row>
    <row r="10001" spans="3:4">
      <c r="C10001" s="319"/>
      <c r="D10001" s="319"/>
    </row>
    <row r="10002" spans="3:7">
      <c r="C10002" s="319"/>
      <c r="D10002" s="319"/>
      <c r="G10002" s="320"/>
    </row>
    <row r="10003" spans="3:4">
      <c r="C10003" s="319"/>
      <c r="D10003" s="319"/>
    </row>
    <row r="10004" spans="3:4">
      <c r="C10004" s="319"/>
      <c r="D10004" s="319"/>
    </row>
    <row r="10005" spans="3:7">
      <c r="C10005" s="319"/>
      <c r="D10005" s="319"/>
      <c r="G10005" s="320"/>
    </row>
    <row r="10006" spans="3:4">
      <c r="C10006" s="319"/>
      <c r="D10006" s="319"/>
    </row>
    <row r="10007" spans="3:7">
      <c r="C10007" s="319"/>
      <c r="D10007" s="319"/>
      <c r="G10007" s="320"/>
    </row>
    <row r="10008" spans="3:7">
      <c r="C10008" s="319"/>
      <c r="D10008" s="319"/>
      <c r="G10008" s="320"/>
    </row>
    <row r="10009" spans="3:4">
      <c r="C10009" s="319"/>
      <c r="D10009" s="319"/>
    </row>
    <row r="10010" spans="3:4">
      <c r="C10010" s="319"/>
      <c r="D10010" s="319"/>
    </row>
    <row r="10011" spans="3:7">
      <c r="C10011" s="319"/>
      <c r="D10011" s="319"/>
      <c r="G10011" s="320"/>
    </row>
    <row r="10012" spans="3:7">
      <c r="C10012" s="319"/>
      <c r="D10012" s="319"/>
      <c r="G10012" s="320"/>
    </row>
    <row r="10013" spans="3:7">
      <c r="C10013" s="319"/>
      <c r="D10013" s="319"/>
      <c r="G10013" s="320"/>
    </row>
    <row r="10014" spans="3:4">
      <c r="C10014" s="319"/>
      <c r="D10014" s="319"/>
    </row>
    <row r="10015" spans="3:7">
      <c r="C10015" s="319"/>
      <c r="D10015" s="319"/>
      <c r="G10015" s="320"/>
    </row>
    <row r="10016" spans="3:4">
      <c r="C10016" s="319"/>
      <c r="D10016" s="319"/>
    </row>
    <row r="10017" spans="3:7">
      <c r="C10017" s="319"/>
      <c r="D10017" s="319"/>
      <c r="G10017" s="320"/>
    </row>
    <row r="10018" spans="3:7">
      <c r="C10018" s="319"/>
      <c r="D10018" s="319"/>
      <c r="G10018" s="320"/>
    </row>
    <row r="10019" spans="3:7">
      <c r="C10019" s="319"/>
      <c r="D10019" s="319"/>
      <c r="G10019" s="320"/>
    </row>
    <row r="10020" spans="3:7">
      <c r="C10020" s="319"/>
      <c r="D10020" s="319"/>
      <c r="G10020" s="320"/>
    </row>
    <row r="10021" spans="3:4">
      <c r="C10021" s="319"/>
      <c r="D10021" s="319"/>
    </row>
    <row r="10022" spans="3:7">
      <c r="C10022" s="319"/>
      <c r="D10022" s="319"/>
      <c r="G10022" s="320"/>
    </row>
    <row r="10023" spans="3:7">
      <c r="C10023" s="319"/>
      <c r="D10023" s="319"/>
      <c r="G10023" s="320"/>
    </row>
    <row r="10024" spans="3:7">
      <c r="C10024" s="319"/>
      <c r="D10024" s="319"/>
      <c r="G10024" s="320"/>
    </row>
    <row r="10025" spans="3:4">
      <c r="C10025" s="319"/>
      <c r="D10025" s="319"/>
    </row>
    <row r="10026" spans="3:7">
      <c r="C10026" s="319"/>
      <c r="D10026" s="319"/>
      <c r="G10026" s="320"/>
    </row>
    <row r="10027" spans="3:7">
      <c r="C10027" s="319"/>
      <c r="D10027" s="319"/>
      <c r="G10027" s="320"/>
    </row>
    <row r="10028" spans="3:7">
      <c r="C10028" s="319"/>
      <c r="D10028" s="319"/>
      <c r="G10028" s="320"/>
    </row>
    <row r="10029" spans="3:4">
      <c r="C10029" s="319"/>
      <c r="D10029" s="319"/>
    </row>
    <row r="10030" spans="3:7">
      <c r="C10030" s="319"/>
      <c r="D10030" s="319"/>
      <c r="G10030" s="320"/>
    </row>
    <row r="10031" spans="3:7">
      <c r="C10031" s="319"/>
      <c r="D10031" s="319"/>
      <c r="G10031" s="320"/>
    </row>
    <row r="10032" spans="3:4">
      <c r="C10032" s="319"/>
      <c r="D10032" s="319"/>
    </row>
    <row r="10033" spans="3:7">
      <c r="C10033" s="319"/>
      <c r="D10033" s="319"/>
      <c r="G10033" s="320"/>
    </row>
    <row r="10034" spans="3:4">
      <c r="C10034" s="319"/>
      <c r="D10034" s="319"/>
    </row>
    <row r="10035" spans="3:4">
      <c r="C10035" s="319"/>
      <c r="D10035" s="319"/>
    </row>
    <row r="10036" spans="3:4">
      <c r="C10036" s="319"/>
      <c r="D10036" s="319"/>
    </row>
    <row r="10037" spans="3:7">
      <c r="C10037" s="319"/>
      <c r="D10037" s="319"/>
      <c r="G10037" s="320"/>
    </row>
    <row r="10038" spans="3:4">
      <c r="C10038" s="319"/>
      <c r="D10038" s="319"/>
    </row>
    <row r="10039" spans="3:4">
      <c r="C10039" s="319"/>
      <c r="D10039" s="319"/>
    </row>
    <row r="10040" spans="3:7">
      <c r="C10040" s="319"/>
      <c r="D10040" s="319"/>
      <c r="G10040" s="320"/>
    </row>
    <row r="10041" spans="3:7">
      <c r="C10041" s="319"/>
      <c r="D10041" s="319"/>
      <c r="G10041" s="320"/>
    </row>
    <row r="10042" spans="3:4">
      <c r="C10042" s="319"/>
      <c r="D10042" s="319"/>
    </row>
    <row r="10043" spans="3:4">
      <c r="C10043" s="319"/>
      <c r="D10043" s="319"/>
    </row>
    <row r="10044" spans="3:7">
      <c r="C10044" s="319"/>
      <c r="D10044" s="319"/>
      <c r="G10044" s="320"/>
    </row>
    <row r="10045" spans="3:7">
      <c r="C10045" s="319"/>
      <c r="D10045" s="319"/>
      <c r="G10045" s="320"/>
    </row>
    <row r="10046" spans="3:7">
      <c r="C10046" s="319"/>
      <c r="D10046" s="319"/>
      <c r="G10046" s="320"/>
    </row>
    <row r="10047" spans="3:7">
      <c r="C10047" s="319"/>
      <c r="D10047" s="319"/>
      <c r="G10047" s="320"/>
    </row>
    <row r="10048" spans="3:4">
      <c r="C10048" s="319"/>
      <c r="D10048" s="319"/>
    </row>
    <row r="10049" spans="3:7">
      <c r="C10049" s="319"/>
      <c r="D10049" s="319"/>
      <c r="G10049" s="320"/>
    </row>
    <row r="10050" spans="3:4">
      <c r="C10050" s="319"/>
      <c r="D10050" s="319"/>
    </row>
    <row r="10051" spans="3:7">
      <c r="C10051" s="319"/>
      <c r="D10051" s="319"/>
      <c r="G10051" s="320"/>
    </row>
    <row r="10052" spans="3:7">
      <c r="C10052" s="319"/>
      <c r="D10052" s="319"/>
      <c r="G10052" s="320"/>
    </row>
    <row r="10053" spans="3:7">
      <c r="C10053" s="319"/>
      <c r="D10053" s="319"/>
      <c r="G10053" s="320"/>
    </row>
    <row r="10054" spans="3:4">
      <c r="C10054" s="319"/>
      <c r="D10054" s="319"/>
    </row>
    <row r="10055" spans="3:7">
      <c r="C10055" s="319"/>
      <c r="D10055" s="319"/>
      <c r="G10055" s="320"/>
    </row>
    <row r="10056" spans="3:4">
      <c r="C10056" s="319"/>
      <c r="D10056" s="319"/>
    </row>
    <row r="10057" spans="3:7">
      <c r="C10057" s="319"/>
      <c r="D10057" s="319"/>
      <c r="G10057" s="320"/>
    </row>
    <row r="10058" spans="3:4">
      <c r="C10058" s="319"/>
      <c r="D10058" s="319"/>
    </row>
    <row r="10059" spans="3:4">
      <c r="C10059" s="319"/>
      <c r="D10059" s="319"/>
    </row>
    <row r="10060" spans="3:7">
      <c r="C10060" s="319"/>
      <c r="D10060" s="319"/>
      <c r="G10060" s="320"/>
    </row>
    <row r="10061" spans="3:4">
      <c r="C10061" s="319"/>
      <c r="D10061" s="319"/>
    </row>
    <row r="10062" spans="3:4">
      <c r="C10062" s="319"/>
      <c r="D10062" s="319"/>
    </row>
    <row r="10063" spans="3:7">
      <c r="C10063" s="319"/>
      <c r="D10063" s="319"/>
      <c r="G10063" s="320"/>
    </row>
    <row r="10064" spans="3:4">
      <c r="C10064" s="319"/>
      <c r="D10064" s="319"/>
    </row>
    <row r="10065" spans="3:4">
      <c r="C10065" s="319"/>
      <c r="D10065" s="319"/>
    </row>
    <row r="10066" spans="3:4">
      <c r="C10066" s="319"/>
      <c r="D10066" s="319"/>
    </row>
    <row r="10067" spans="3:4">
      <c r="C10067" s="319"/>
      <c r="D10067" s="319"/>
    </row>
    <row r="10068" spans="3:4">
      <c r="C10068" s="319"/>
      <c r="D10068" s="319"/>
    </row>
    <row r="10069" spans="3:4">
      <c r="C10069" s="319"/>
      <c r="D10069" s="319"/>
    </row>
    <row r="10070" spans="3:4">
      <c r="C10070" s="319"/>
      <c r="D10070" s="319"/>
    </row>
    <row r="10071" spans="3:7">
      <c r="C10071" s="319"/>
      <c r="D10071" s="319"/>
      <c r="G10071" s="320"/>
    </row>
    <row r="10072" spans="3:4">
      <c r="C10072" s="319"/>
      <c r="D10072" s="319"/>
    </row>
    <row r="10073" spans="3:7">
      <c r="C10073" s="319"/>
      <c r="D10073" s="319"/>
      <c r="G10073" s="320"/>
    </row>
    <row r="10074" spans="3:7">
      <c r="C10074" s="319"/>
      <c r="D10074" s="319"/>
      <c r="G10074" s="320"/>
    </row>
    <row r="10075" spans="3:7">
      <c r="C10075" s="319"/>
      <c r="D10075" s="319"/>
      <c r="G10075" s="320"/>
    </row>
    <row r="10076" spans="3:7">
      <c r="C10076" s="319"/>
      <c r="D10076" s="319"/>
      <c r="G10076" s="320"/>
    </row>
    <row r="10077" spans="3:7">
      <c r="C10077" s="319"/>
      <c r="D10077" s="319"/>
      <c r="G10077" s="320"/>
    </row>
    <row r="10078" spans="3:7">
      <c r="C10078" s="319"/>
      <c r="D10078" s="319"/>
      <c r="G10078" s="320"/>
    </row>
    <row r="10079" spans="3:7">
      <c r="C10079" s="319"/>
      <c r="D10079" s="319"/>
      <c r="G10079" s="320"/>
    </row>
    <row r="10080" spans="3:7">
      <c r="C10080" s="319"/>
      <c r="D10080" s="319"/>
      <c r="G10080" s="320"/>
    </row>
    <row r="10081" spans="3:4">
      <c r="C10081" s="319"/>
      <c r="D10081" s="319"/>
    </row>
    <row r="10082" spans="3:7">
      <c r="C10082" s="319"/>
      <c r="D10082" s="319"/>
      <c r="G10082" s="320"/>
    </row>
    <row r="10083" spans="3:7">
      <c r="C10083" s="319"/>
      <c r="D10083" s="319"/>
      <c r="G10083" s="320"/>
    </row>
    <row r="10084" spans="3:4">
      <c r="C10084" s="319"/>
      <c r="D10084" s="319"/>
    </row>
    <row r="10085" spans="3:7">
      <c r="C10085" s="319"/>
      <c r="D10085" s="319"/>
      <c r="G10085" s="320"/>
    </row>
    <row r="10086" spans="3:7">
      <c r="C10086" s="319"/>
      <c r="D10086" s="319"/>
      <c r="G10086" s="320"/>
    </row>
    <row r="10087" spans="3:7">
      <c r="C10087" s="319"/>
      <c r="D10087" s="319"/>
      <c r="G10087" s="320"/>
    </row>
    <row r="10088" spans="3:4">
      <c r="C10088" s="319"/>
      <c r="D10088" s="319"/>
    </row>
    <row r="10089" spans="3:4">
      <c r="C10089" s="319"/>
      <c r="D10089" s="319"/>
    </row>
    <row r="10090" spans="3:4">
      <c r="C10090" s="319"/>
      <c r="D10090" s="319"/>
    </row>
    <row r="10091" spans="3:7">
      <c r="C10091" s="319"/>
      <c r="D10091" s="319"/>
      <c r="G10091" s="320"/>
    </row>
    <row r="10092" spans="3:7">
      <c r="C10092" s="319"/>
      <c r="D10092" s="319"/>
      <c r="G10092" s="320"/>
    </row>
    <row r="10093" spans="3:7">
      <c r="C10093" s="319"/>
      <c r="D10093" s="319"/>
      <c r="G10093" s="320"/>
    </row>
    <row r="10094" spans="3:4">
      <c r="C10094" s="319"/>
      <c r="D10094" s="319"/>
    </row>
    <row r="10095" spans="3:7">
      <c r="C10095" s="319"/>
      <c r="D10095" s="319"/>
      <c r="G10095" s="320"/>
    </row>
    <row r="10096" spans="3:4">
      <c r="C10096" s="319"/>
      <c r="D10096" s="319"/>
    </row>
    <row r="10097" spans="3:7">
      <c r="C10097" s="319"/>
      <c r="D10097" s="319"/>
      <c r="G10097" s="320"/>
    </row>
    <row r="10098" spans="3:4">
      <c r="C10098" s="319"/>
      <c r="D10098" s="319"/>
    </row>
    <row r="10099" spans="3:7">
      <c r="C10099" s="319"/>
      <c r="D10099" s="319"/>
      <c r="G10099" s="320"/>
    </row>
    <row r="10100" spans="3:7">
      <c r="C10100" s="319"/>
      <c r="D10100" s="319"/>
      <c r="G10100" s="320"/>
    </row>
    <row r="10101" spans="3:7">
      <c r="C10101" s="319"/>
      <c r="D10101" s="319"/>
      <c r="G10101" s="320"/>
    </row>
    <row r="10102" spans="3:7">
      <c r="C10102" s="319"/>
      <c r="D10102" s="319"/>
      <c r="G10102" s="320"/>
    </row>
    <row r="10103" spans="3:4">
      <c r="C10103" s="319"/>
      <c r="D10103" s="319"/>
    </row>
    <row r="10104" spans="3:4">
      <c r="C10104" s="319"/>
      <c r="D10104" s="319"/>
    </row>
    <row r="10105" spans="3:4">
      <c r="C10105" s="319"/>
      <c r="D10105" s="319"/>
    </row>
    <row r="10106" spans="3:4">
      <c r="C10106" s="319"/>
      <c r="D10106" s="319"/>
    </row>
    <row r="10107" spans="3:7">
      <c r="C10107" s="319"/>
      <c r="D10107" s="319"/>
      <c r="G10107" s="320"/>
    </row>
    <row r="10108" spans="3:4">
      <c r="C10108" s="319"/>
      <c r="D10108" s="319"/>
    </row>
    <row r="10109" spans="3:7">
      <c r="C10109" s="319"/>
      <c r="D10109" s="319"/>
      <c r="G10109" s="320"/>
    </row>
    <row r="10110" spans="3:4">
      <c r="C10110" s="319"/>
      <c r="D10110" s="319"/>
    </row>
    <row r="10111" spans="3:7">
      <c r="C10111" s="319"/>
      <c r="D10111" s="319"/>
      <c r="G10111" s="320"/>
    </row>
    <row r="10112" spans="3:7">
      <c r="C10112" s="319"/>
      <c r="D10112" s="319"/>
      <c r="G10112" s="320"/>
    </row>
    <row r="10113" spans="3:7">
      <c r="C10113" s="319"/>
      <c r="D10113" s="319"/>
      <c r="G10113" s="320"/>
    </row>
    <row r="10114" spans="3:7">
      <c r="C10114" s="319"/>
      <c r="D10114" s="319"/>
      <c r="G10114" s="320"/>
    </row>
    <row r="10115" spans="3:7">
      <c r="C10115" s="319"/>
      <c r="D10115" s="319"/>
      <c r="G10115" s="320"/>
    </row>
    <row r="10116" spans="3:4">
      <c r="C10116" s="319"/>
      <c r="D10116" s="319"/>
    </row>
    <row r="10117" spans="3:4">
      <c r="C10117" s="319"/>
      <c r="D10117" s="319"/>
    </row>
    <row r="10118" spans="3:7">
      <c r="C10118" s="319"/>
      <c r="D10118" s="319"/>
      <c r="G10118" s="320"/>
    </row>
    <row r="10119" spans="3:4">
      <c r="C10119" s="319"/>
      <c r="D10119" s="319"/>
    </row>
    <row r="10120" spans="3:7">
      <c r="C10120" s="319"/>
      <c r="D10120" s="319"/>
      <c r="G10120" s="320"/>
    </row>
    <row r="10121" spans="3:4">
      <c r="C10121" s="319"/>
      <c r="D10121" s="319"/>
    </row>
    <row r="10122" spans="3:7">
      <c r="C10122" s="319"/>
      <c r="D10122" s="319"/>
      <c r="G10122" s="320"/>
    </row>
    <row r="10123" spans="3:4">
      <c r="C10123" s="319"/>
      <c r="D10123" s="319"/>
    </row>
    <row r="10124" spans="3:7">
      <c r="C10124" s="319"/>
      <c r="D10124" s="319"/>
      <c r="G10124" s="320"/>
    </row>
    <row r="10125" spans="3:4">
      <c r="C10125" s="319"/>
      <c r="D10125" s="319"/>
    </row>
    <row r="10126" spans="3:7">
      <c r="C10126" s="319"/>
      <c r="D10126" s="319"/>
      <c r="G10126" s="320"/>
    </row>
    <row r="10127" spans="3:4">
      <c r="C10127" s="319"/>
      <c r="D10127" s="319"/>
    </row>
    <row r="10128" spans="3:4">
      <c r="C10128" s="319"/>
      <c r="D10128" s="319"/>
    </row>
    <row r="10129" spans="3:7">
      <c r="C10129" s="319"/>
      <c r="D10129" s="319"/>
      <c r="G10129" s="320"/>
    </row>
    <row r="10130" spans="3:4">
      <c r="C10130" s="319"/>
      <c r="D10130" s="319"/>
    </row>
    <row r="10131" spans="3:4">
      <c r="C10131" s="319"/>
      <c r="D10131" s="319"/>
    </row>
    <row r="10132" spans="3:7">
      <c r="C10132" s="319"/>
      <c r="D10132" s="319"/>
      <c r="G10132" s="320"/>
    </row>
    <row r="10133" spans="3:4">
      <c r="C10133" s="319"/>
      <c r="D10133" s="319"/>
    </row>
    <row r="10134" spans="3:7">
      <c r="C10134" s="319"/>
      <c r="D10134" s="319"/>
      <c r="G10134" s="320"/>
    </row>
    <row r="10135" spans="3:4">
      <c r="C10135" s="319"/>
      <c r="D10135" s="319"/>
    </row>
    <row r="10136" spans="3:4">
      <c r="C10136" s="319"/>
      <c r="D10136" s="319"/>
    </row>
    <row r="10137" spans="3:4">
      <c r="C10137" s="319"/>
      <c r="D10137" s="319"/>
    </row>
    <row r="10138" spans="3:7">
      <c r="C10138" s="319"/>
      <c r="D10138" s="319"/>
      <c r="G10138" s="320"/>
    </row>
    <row r="10139" spans="3:7">
      <c r="C10139" s="319"/>
      <c r="D10139" s="319"/>
      <c r="G10139" s="320"/>
    </row>
    <row r="10140" spans="3:4">
      <c r="C10140" s="319"/>
      <c r="D10140" s="319"/>
    </row>
    <row r="10141" spans="3:7">
      <c r="C10141" s="319"/>
      <c r="D10141" s="319"/>
      <c r="G10141" s="320"/>
    </row>
    <row r="10142" spans="3:4">
      <c r="C10142" s="319"/>
      <c r="D10142" s="319"/>
    </row>
    <row r="10143" spans="3:7">
      <c r="C10143" s="319"/>
      <c r="D10143" s="319"/>
      <c r="G10143" s="320"/>
    </row>
    <row r="10144" spans="3:4">
      <c r="C10144" s="319"/>
      <c r="D10144" s="319"/>
    </row>
    <row r="10145" spans="3:7">
      <c r="C10145" s="319"/>
      <c r="D10145" s="319"/>
      <c r="G10145" s="320"/>
    </row>
    <row r="10146" spans="3:7">
      <c r="C10146" s="319"/>
      <c r="D10146" s="319"/>
      <c r="G10146" s="320"/>
    </row>
    <row r="10147" spans="3:4">
      <c r="C10147" s="319"/>
      <c r="D10147" s="319"/>
    </row>
    <row r="10148" spans="3:4">
      <c r="C10148" s="319"/>
      <c r="D10148" s="319"/>
    </row>
    <row r="10149" spans="3:7">
      <c r="C10149" s="319"/>
      <c r="D10149" s="319"/>
      <c r="G10149" s="320"/>
    </row>
    <row r="10150" spans="3:4">
      <c r="C10150" s="319"/>
      <c r="D10150" s="319"/>
    </row>
    <row r="10151" spans="3:7">
      <c r="C10151" s="319"/>
      <c r="D10151" s="319"/>
      <c r="G10151" s="320"/>
    </row>
    <row r="10152" spans="3:4">
      <c r="C10152" s="319"/>
      <c r="D10152" s="319"/>
    </row>
    <row r="10153" spans="3:4">
      <c r="C10153" s="319"/>
      <c r="D10153" s="319"/>
    </row>
    <row r="10154" spans="3:7">
      <c r="C10154" s="319"/>
      <c r="D10154" s="319"/>
      <c r="G10154" s="320"/>
    </row>
    <row r="10155" spans="3:4">
      <c r="C10155" s="319"/>
      <c r="D10155" s="319"/>
    </row>
    <row r="10156" spans="3:7">
      <c r="C10156" s="319"/>
      <c r="D10156" s="319"/>
      <c r="G10156" s="320"/>
    </row>
    <row r="10157" spans="3:7">
      <c r="C10157" s="319"/>
      <c r="D10157" s="319"/>
      <c r="G10157" s="320"/>
    </row>
    <row r="10158" spans="3:7">
      <c r="C10158" s="319"/>
      <c r="D10158" s="319"/>
      <c r="G10158" s="320"/>
    </row>
    <row r="10159" spans="3:7">
      <c r="C10159" s="319"/>
      <c r="D10159" s="319"/>
      <c r="G10159" s="320"/>
    </row>
    <row r="10160" spans="3:7">
      <c r="C10160" s="319"/>
      <c r="D10160" s="319"/>
      <c r="G10160" s="320"/>
    </row>
    <row r="10161" spans="3:7">
      <c r="C10161" s="319"/>
      <c r="D10161" s="319"/>
      <c r="G10161" s="320"/>
    </row>
    <row r="10162" spans="3:7">
      <c r="C10162" s="319"/>
      <c r="D10162" s="319"/>
      <c r="G10162" s="320"/>
    </row>
    <row r="10163" spans="3:4">
      <c r="C10163" s="319"/>
      <c r="D10163" s="319"/>
    </row>
    <row r="10164" spans="3:7">
      <c r="C10164" s="319"/>
      <c r="D10164" s="319"/>
      <c r="G10164" s="320"/>
    </row>
    <row r="10165" spans="3:4">
      <c r="C10165" s="319"/>
      <c r="D10165" s="319"/>
    </row>
    <row r="10166" spans="3:7">
      <c r="C10166" s="319"/>
      <c r="D10166" s="319"/>
      <c r="G10166" s="320"/>
    </row>
    <row r="10167" spans="3:4">
      <c r="C10167" s="319"/>
      <c r="D10167" s="319"/>
    </row>
    <row r="10168" spans="3:7">
      <c r="C10168" s="319"/>
      <c r="D10168" s="319"/>
      <c r="G10168" s="320"/>
    </row>
    <row r="10169" spans="3:4">
      <c r="C10169" s="319"/>
      <c r="D10169" s="319"/>
    </row>
    <row r="10170" spans="3:7">
      <c r="C10170" s="319"/>
      <c r="D10170" s="319"/>
      <c r="G10170" s="320"/>
    </row>
    <row r="10171" spans="3:4">
      <c r="C10171" s="319"/>
      <c r="D10171" s="319"/>
    </row>
    <row r="10172" spans="3:7">
      <c r="C10172" s="319"/>
      <c r="D10172" s="319"/>
      <c r="G10172" s="320"/>
    </row>
    <row r="10173" spans="3:4">
      <c r="C10173" s="319"/>
      <c r="D10173" s="319"/>
    </row>
    <row r="10174" spans="3:7">
      <c r="C10174" s="319"/>
      <c r="D10174" s="319"/>
      <c r="G10174" s="320"/>
    </row>
    <row r="10175" spans="3:7">
      <c r="C10175" s="319"/>
      <c r="D10175" s="319"/>
      <c r="G10175" s="320"/>
    </row>
    <row r="10176" spans="3:7">
      <c r="C10176" s="319"/>
      <c r="D10176" s="319"/>
      <c r="G10176" s="320"/>
    </row>
    <row r="10177" spans="3:4">
      <c r="C10177" s="319"/>
      <c r="D10177" s="319"/>
    </row>
    <row r="10178" spans="3:7">
      <c r="C10178" s="319"/>
      <c r="D10178" s="319"/>
      <c r="G10178" s="320"/>
    </row>
    <row r="10179" spans="3:4">
      <c r="C10179" s="319"/>
      <c r="D10179" s="319"/>
    </row>
    <row r="10180" spans="3:7">
      <c r="C10180" s="319"/>
      <c r="D10180" s="319"/>
      <c r="G10180" s="320"/>
    </row>
    <row r="10181" spans="3:7">
      <c r="C10181" s="319"/>
      <c r="D10181" s="319"/>
      <c r="G10181" s="320"/>
    </row>
    <row r="10182" spans="3:7">
      <c r="C10182" s="319"/>
      <c r="D10182" s="319"/>
      <c r="G10182" s="320"/>
    </row>
    <row r="10183" spans="3:4">
      <c r="C10183" s="319"/>
      <c r="D10183" s="319"/>
    </row>
    <row r="10184" spans="3:7">
      <c r="C10184" s="319"/>
      <c r="D10184" s="319"/>
      <c r="G10184" s="320"/>
    </row>
    <row r="10185" spans="3:4">
      <c r="C10185" s="319"/>
      <c r="D10185" s="319"/>
    </row>
    <row r="10186" spans="3:4">
      <c r="C10186" s="319"/>
      <c r="D10186" s="319"/>
    </row>
    <row r="10187" spans="3:4">
      <c r="C10187" s="319"/>
      <c r="D10187" s="319"/>
    </row>
    <row r="10188" spans="3:4">
      <c r="C10188" s="319"/>
      <c r="D10188" s="319"/>
    </row>
    <row r="10189" spans="3:7">
      <c r="C10189" s="319"/>
      <c r="D10189" s="319"/>
      <c r="G10189" s="320"/>
    </row>
    <row r="10190" spans="3:7">
      <c r="C10190" s="319"/>
      <c r="D10190" s="319"/>
      <c r="G10190" s="320"/>
    </row>
    <row r="10191" spans="3:7">
      <c r="C10191" s="319"/>
      <c r="D10191" s="319"/>
      <c r="G10191" s="320"/>
    </row>
    <row r="10192" spans="3:4">
      <c r="C10192" s="319"/>
      <c r="D10192" s="319"/>
    </row>
    <row r="10193" spans="3:4">
      <c r="C10193" s="319"/>
      <c r="D10193" s="319"/>
    </row>
    <row r="10194" spans="3:7">
      <c r="C10194" s="319"/>
      <c r="D10194" s="319"/>
      <c r="G10194" s="320"/>
    </row>
    <row r="10195" spans="3:7">
      <c r="C10195" s="319"/>
      <c r="D10195" s="319"/>
      <c r="G10195" s="320"/>
    </row>
    <row r="10196" spans="3:7">
      <c r="C10196" s="319"/>
      <c r="D10196" s="319"/>
      <c r="G10196" s="320"/>
    </row>
    <row r="10197" spans="3:4">
      <c r="C10197" s="319"/>
      <c r="D10197" s="319"/>
    </row>
    <row r="10198" spans="3:4">
      <c r="C10198" s="319"/>
      <c r="D10198" s="319"/>
    </row>
    <row r="10199" spans="3:7">
      <c r="C10199" s="319"/>
      <c r="D10199" s="319"/>
      <c r="G10199" s="320"/>
    </row>
    <row r="10200" spans="3:7">
      <c r="C10200" s="319"/>
      <c r="D10200" s="319"/>
      <c r="G10200" s="320"/>
    </row>
    <row r="10201" spans="3:7">
      <c r="C10201" s="319"/>
      <c r="D10201" s="319"/>
      <c r="G10201" s="320"/>
    </row>
    <row r="10202" spans="3:7">
      <c r="C10202" s="319"/>
      <c r="D10202" s="319"/>
      <c r="G10202" s="320"/>
    </row>
    <row r="10203" spans="3:4">
      <c r="C10203" s="319"/>
      <c r="D10203" s="319"/>
    </row>
    <row r="10204" spans="3:4">
      <c r="C10204" s="319"/>
      <c r="D10204" s="319"/>
    </row>
    <row r="10205" spans="3:4">
      <c r="C10205" s="319"/>
      <c r="D10205" s="319"/>
    </row>
    <row r="10206" spans="3:7">
      <c r="C10206" s="319"/>
      <c r="D10206" s="319"/>
      <c r="G10206" s="320"/>
    </row>
    <row r="10207" spans="3:4">
      <c r="C10207" s="319"/>
      <c r="D10207" s="319"/>
    </row>
    <row r="10208" spans="3:7">
      <c r="C10208" s="319"/>
      <c r="D10208" s="319"/>
      <c r="G10208" s="320"/>
    </row>
    <row r="10209" spans="3:4">
      <c r="C10209" s="319"/>
      <c r="D10209" s="319"/>
    </row>
    <row r="10210" spans="3:4">
      <c r="C10210" s="319"/>
      <c r="D10210" s="319"/>
    </row>
    <row r="10211" spans="3:7">
      <c r="C10211" s="319"/>
      <c r="D10211" s="319"/>
      <c r="G10211" s="320"/>
    </row>
    <row r="10212" spans="3:4">
      <c r="C10212" s="319"/>
      <c r="D10212" s="319"/>
    </row>
    <row r="10213" spans="3:7">
      <c r="C10213" s="319"/>
      <c r="D10213" s="319"/>
      <c r="G10213" s="320"/>
    </row>
    <row r="10214" spans="3:7">
      <c r="C10214" s="319"/>
      <c r="D10214" s="319"/>
      <c r="G10214" s="320"/>
    </row>
    <row r="10215" spans="3:7">
      <c r="C10215" s="319"/>
      <c r="D10215" s="319"/>
      <c r="G10215" s="320"/>
    </row>
    <row r="10216" spans="3:4">
      <c r="C10216" s="319"/>
      <c r="D10216" s="319"/>
    </row>
    <row r="10217" spans="3:7">
      <c r="C10217" s="319"/>
      <c r="D10217" s="319"/>
      <c r="G10217" s="320"/>
    </row>
    <row r="10218" spans="3:7">
      <c r="C10218" s="319"/>
      <c r="D10218" s="319"/>
      <c r="G10218" s="320"/>
    </row>
    <row r="10219" spans="3:4">
      <c r="C10219" s="319"/>
      <c r="D10219" s="319"/>
    </row>
    <row r="10220" spans="3:4">
      <c r="C10220" s="319"/>
      <c r="D10220" s="319"/>
    </row>
    <row r="10221" spans="3:4">
      <c r="C10221" s="319"/>
      <c r="D10221" s="319"/>
    </row>
    <row r="10222" spans="3:4">
      <c r="C10222" s="319"/>
      <c r="D10222" s="319"/>
    </row>
    <row r="10223" spans="3:7">
      <c r="C10223" s="319"/>
      <c r="D10223" s="319"/>
      <c r="G10223" s="320"/>
    </row>
    <row r="10224" spans="3:7">
      <c r="C10224" s="319"/>
      <c r="D10224" s="319"/>
      <c r="G10224" s="320"/>
    </row>
    <row r="10225" spans="3:4">
      <c r="C10225" s="319"/>
      <c r="D10225" s="319"/>
    </row>
    <row r="10226" spans="3:4">
      <c r="C10226" s="319"/>
      <c r="D10226" s="319"/>
    </row>
    <row r="10227" spans="3:4">
      <c r="C10227" s="319"/>
      <c r="D10227" s="319"/>
    </row>
    <row r="10228" spans="3:7">
      <c r="C10228" s="319"/>
      <c r="D10228" s="319"/>
      <c r="G10228" s="320"/>
    </row>
    <row r="10229" spans="3:4">
      <c r="C10229" s="319"/>
      <c r="D10229" s="319"/>
    </row>
    <row r="10230" spans="3:7">
      <c r="C10230" s="319"/>
      <c r="D10230" s="319"/>
      <c r="G10230" s="320"/>
    </row>
    <row r="10231" spans="3:7">
      <c r="C10231" s="319"/>
      <c r="D10231" s="319"/>
      <c r="G10231" s="320"/>
    </row>
    <row r="10232" spans="3:4">
      <c r="C10232" s="319"/>
      <c r="D10232" s="319"/>
    </row>
    <row r="10233" spans="3:7">
      <c r="C10233" s="319"/>
      <c r="D10233" s="319"/>
      <c r="G10233" s="320"/>
    </row>
    <row r="10234" spans="3:4">
      <c r="C10234" s="319"/>
      <c r="D10234" s="319"/>
    </row>
    <row r="10235" spans="3:7">
      <c r="C10235" s="319"/>
      <c r="D10235" s="319"/>
      <c r="G10235" s="320"/>
    </row>
    <row r="10236" spans="3:7">
      <c r="C10236" s="319"/>
      <c r="D10236" s="319"/>
      <c r="G10236" s="320"/>
    </row>
    <row r="10237" spans="3:4">
      <c r="C10237" s="319"/>
      <c r="D10237" s="319"/>
    </row>
    <row r="10238" spans="3:4">
      <c r="C10238" s="319"/>
      <c r="D10238" s="319"/>
    </row>
    <row r="10239" spans="3:4">
      <c r="C10239" s="319"/>
      <c r="D10239" s="319"/>
    </row>
    <row r="10240" spans="3:4">
      <c r="C10240" s="319"/>
      <c r="D10240" s="319"/>
    </row>
    <row r="10241" spans="3:4">
      <c r="C10241" s="319"/>
      <c r="D10241" s="319"/>
    </row>
    <row r="10242" spans="3:4">
      <c r="C10242" s="319"/>
      <c r="D10242" s="319"/>
    </row>
    <row r="10243" spans="3:7">
      <c r="C10243" s="319"/>
      <c r="D10243" s="319"/>
      <c r="G10243" s="320"/>
    </row>
    <row r="10244" spans="3:7">
      <c r="C10244" s="319"/>
      <c r="D10244" s="319"/>
      <c r="G10244" s="320"/>
    </row>
    <row r="10245" spans="3:7">
      <c r="C10245" s="319"/>
      <c r="D10245" s="319"/>
      <c r="G10245" s="320"/>
    </row>
    <row r="10246" spans="3:7">
      <c r="C10246" s="319"/>
      <c r="D10246" s="319"/>
      <c r="G10246" s="320"/>
    </row>
    <row r="10247" spans="3:4">
      <c r="C10247" s="319"/>
      <c r="D10247" s="319"/>
    </row>
    <row r="10248" spans="3:4">
      <c r="C10248" s="319"/>
      <c r="D10248" s="319"/>
    </row>
    <row r="10249" spans="3:4">
      <c r="C10249" s="319"/>
      <c r="D10249" s="319"/>
    </row>
    <row r="10250" spans="3:7">
      <c r="C10250" s="319"/>
      <c r="D10250" s="319"/>
      <c r="G10250" s="320"/>
    </row>
    <row r="10251" spans="3:7">
      <c r="C10251" s="319"/>
      <c r="D10251" s="319"/>
      <c r="G10251" s="320"/>
    </row>
    <row r="10252" spans="3:7">
      <c r="C10252" s="319"/>
      <c r="D10252" s="319"/>
      <c r="G10252" s="320"/>
    </row>
    <row r="10253" spans="3:4">
      <c r="C10253" s="319"/>
      <c r="D10253" s="319"/>
    </row>
    <row r="10254" spans="3:7">
      <c r="C10254" s="319"/>
      <c r="D10254" s="319"/>
      <c r="G10254" s="320"/>
    </row>
    <row r="10255" spans="3:4">
      <c r="C10255" s="319"/>
      <c r="D10255" s="319"/>
    </row>
    <row r="10256" spans="3:4">
      <c r="C10256" s="319"/>
      <c r="D10256" s="319"/>
    </row>
    <row r="10257" spans="3:7">
      <c r="C10257" s="319"/>
      <c r="D10257" s="319"/>
      <c r="G10257" s="320"/>
    </row>
    <row r="10258" spans="3:4">
      <c r="C10258" s="319"/>
      <c r="D10258" s="319"/>
    </row>
    <row r="10259" spans="3:4">
      <c r="C10259" s="319"/>
      <c r="D10259" s="319"/>
    </row>
    <row r="10260" spans="3:7">
      <c r="C10260" s="319"/>
      <c r="D10260" s="319"/>
      <c r="G10260" s="320"/>
    </row>
    <row r="10261" spans="3:7">
      <c r="C10261" s="319"/>
      <c r="D10261" s="319"/>
      <c r="G10261" s="320"/>
    </row>
    <row r="10262" spans="3:4">
      <c r="C10262" s="319"/>
      <c r="D10262" s="319"/>
    </row>
    <row r="10263" spans="3:4">
      <c r="C10263" s="319"/>
      <c r="D10263" s="319"/>
    </row>
    <row r="10264" spans="3:7">
      <c r="C10264" s="319"/>
      <c r="D10264" s="319"/>
      <c r="G10264" s="320"/>
    </row>
    <row r="10265" spans="3:4">
      <c r="C10265" s="319"/>
      <c r="D10265" s="319"/>
    </row>
    <row r="10266" spans="3:7">
      <c r="C10266" s="319"/>
      <c r="D10266" s="319"/>
      <c r="G10266" s="320"/>
    </row>
    <row r="10267" spans="3:7">
      <c r="C10267" s="319"/>
      <c r="D10267" s="319"/>
      <c r="G10267" s="320"/>
    </row>
    <row r="10268" spans="3:7">
      <c r="C10268" s="319"/>
      <c r="D10268" s="319"/>
      <c r="G10268" s="320"/>
    </row>
    <row r="10269" spans="3:7">
      <c r="C10269" s="319"/>
      <c r="D10269" s="319"/>
      <c r="G10269" s="320"/>
    </row>
    <row r="10270" spans="3:7">
      <c r="C10270" s="319"/>
      <c r="D10270" s="319"/>
      <c r="G10270" s="320"/>
    </row>
    <row r="10271" spans="3:7">
      <c r="C10271" s="319"/>
      <c r="D10271" s="319"/>
      <c r="G10271" s="320"/>
    </row>
    <row r="10272" spans="3:4">
      <c r="C10272" s="319"/>
      <c r="D10272" s="319"/>
    </row>
    <row r="10273" spans="3:7">
      <c r="C10273" s="319"/>
      <c r="D10273" s="319"/>
      <c r="G10273" s="320"/>
    </row>
    <row r="10274" spans="3:4">
      <c r="C10274" s="319"/>
      <c r="D10274" s="319"/>
    </row>
    <row r="10275" spans="3:4">
      <c r="C10275" s="319"/>
      <c r="D10275" s="319"/>
    </row>
    <row r="10276" spans="3:7">
      <c r="C10276" s="319"/>
      <c r="D10276" s="319"/>
      <c r="G10276" s="320"/>
    </row>
    <row r="10277" spans="3:7">
      <c r="C10277" s="319"/>
      <c r="D10277" s="319"/>
      <c r="G10277" s="320"/>
    </row>
    <row r="10278" spans="3:4">
      <c r="C10278" s="319"/>
      <c r="D10278" s="319"/>
    </row>
    <row r="10279" spans="3:4">
      <c r="C10279" s="319"/>
      <c r="D10279" s="319"/>
    </row>
    <row r="10280" spans="3:4">
      <c r="C10280" s="319"/>
      <c r="D10280" s="319"/>
    </row>
    <row r="10281" spans="3:7">
      <c r="C10281" s="319"/>
      <c r="D10281" s="319"/>
      <c r="G10281" s="320"/>
    </row>
    <row r="10282" spans="3:7">
      <c r="C10282" s="319"/>
      <c r="D10282" s="319"/>
      <c r="G10282" s="320"/>
    </row>
    <row r="10283" spans="3:7">
      <c r="C10283" s="319"/>
      <c r="D10283" s="319"/>
      <c r="G10283" s="320"/>
    </row>
    <row r="10284" spans="3:4">
      <c r="C10284" s="319"/>
      <c r="D10284" s="319"/>
    </row>
    <row r="10285" spans="3:4">
      <c r="C10285" s="319"/>
      <c r="D10285" s="319"/>
    </row>
    <row r="10286" spans="3:7">
      <c r="C10286" s="319"/>
      <c r="D10286" s="319"/>
      <c r="G10286" s="320"/>
    </row>
    <row r="10287" spans="3:4">
      <c r="C10287" s="319"/>
      <c r="D10287" s="319"/>
    </row>
    <row r="10288" spans="3:7">
      <c r="C10288" s="319"/>
      <c r="D10288" s="319"/>
      <c r="G10288" s="320"/>
    </row>
    <row r="10289" spans="3:7">
      <c r="C10289" s="319"/>
      <c r="D10289" s="319"/>
      <c r="G10289" s="320"/>
    </row>
    <row r="10290" spans="3:4">
      <c r="C10290" s="319"/>
      <c r="D10290" s="319"/>
    </row>
    <row r="10291" spans="3:7">
      <c r="C10291" s="319"/>
      <c r="D10291" s="319"/>
      <c r="G10291" s="320"/>
    </row>
    <row r="10292" spans="3:4">
      <c r="C10292" s="319"/>
      <c r="D10292" s="319"/>
    </row>
    <row r="10293" spans="3:7">
      <c r="C10293" s="319"/>
      <c r="D10293" s="319"/>
      <c r="G10293" s="320"/>
    </row>
    <row r="10294" spans="3:7">
      <c r="C10294" s="319"/>
      <c r="D10294" s="319"/>
      <c r="G10294" s="320"/>
    </row>
    <row r="10295" spans="3:7">
      <c r="C10295" s="319"/>
      <c r="D10295" s="319"/>
      <c r="G10295" s="320"/>
    </row>
    <row r="10296" spans="3:7">
      <c r="C10296" s="319"/>
      <c r="D10296" s="319"/>
      <c r="G10296" s="320"/>
    </row>
    <row r="10297" spans="3:7">
      <c r="C10297" s="319"/>
      <c r="D10297" s="319"/>
      <c r="G10297" s="320"/>
    </row>
    <row r="10298" spans="3:7">
      <c r="C10298" s="319"/>
      <c r="D10298" s="319"/>
      <c r="G10298" s="320"/>
    </row>
    <row r="10299" spans="3:4">
      <c r="C10299" s="319"/>
      <c r="D10299" s="319"/>
    </row>
    <row r="10300" spans="3:7">
      <c r="C10300" s="319"/>
      <c r="D10300" s="319"/>
      <c r="G10300" s="320"/>
    </row>
    <row r="10301" spans="3:4">
      <c r="C10301" s="319"/>
      <c r="D10301" s="319"/>
    </row>
    <row r="10302" spans="3:7">
      <c r="C10302" s="319"/>
      <c r="D10302" s="319"/>
      <c r="G10302" s="320"/>
    </row>
    <row r="10303" spans="3:7">
      <c r="C10303" s="319"/>
      <c r="D10303" s="319"/>
      <c r="G10303" s="320"/>
    </row>
    <row r="10304" spans="3:4">
      <c r="C10304" s="319"/>
      <c r="D10304" s="319"/>
    </row>
    <row r="10305" spans="3:4">
      <c r="C10305" s="319"/>
      <c r="D10305" s="319"/>
    </row>
    <row r="10306" spans="3:4">
      <c r="C10306" s="319"/>
      <c r="D10306" s="319"/>
    </row>
    <row r="10307" spans="3:4">
      <c r="C10307" s="319"/>
      <c r="D10307" s="319"/>
    </row>
    <row r="10308" spans="3:7">
      <c r="C10308" s="319"/>
      <c r="D10308" s="319"/>
      <c r="G10308" s="320"/>
    </row>
    <row r="10309" spans="3:7">
      <c r="C10309" s="319"/>
      <c r="D10309" s="319"/>
      <c r="G10309" s="320"/>
    </row>
    <row r="10310" spans="3:4">
      <c r="C10310" s="319"/>
      <c r="D10310" s="319"/>
    </row>
    <row r="10311" spans="3:4">
      <c r="C10311" s="319"/>
      <c r="D10311" s="319"/>
    </row>
    <row r="10312" spans="3:4">
      <c r="C10312" s="319"/>
      <c r="D10312" s="319"/>
    </row>
    <row r="10313" spans="3:7">
      <c r="C10313" s="319"/>
      <c r="D10313" s="319"/>
      <c r="G10313" s="320"/>
    </row>
    <row r="10314" spans="3:4">
      <c r="C10314" s="319"/>
      <c r="D10314" s="319"/>
    </row>
    <row r="10315" spans="3:7">
      <c r="C10315" s="319"/>
      <c r="D10315" s="319"/>
      <c r="G10315" s="320"/>
    </row>
    <row r="10316" spans="3:4">
      <c r="C10316" s="319"/>
      <c r="D10316" s="319"/>
    </row>
    <row r="10317" spans="3:4">
      <c r="C10317" s="319"/>
      <c r="D10317" s="319"/>
    </row>
    <row r="10318" spans="3:7">
      <c r="C10318" s="319"/>
      <c r="D10318" s="319"/>
      <c r="G10318" s="320"/>
    </row>
    <row r="10319" spans="3:4">
      <c r="C10319" s="319"/>
      <c r="D10319" s="319"/>
    </row>
    <row r="10320" spans="3:4">
      <c r="C10320" s="319"/>
      <c r="D10320" s="319"/>
    </row>
    <row r="10321" spans="3:4">
      <c r="C10321" s="319"/>
      <c r="D10321" s="319"/>
    </row>
    <row r="10322" spans="3:7">
      <c r="C10322" s="319"/>
      <c r="D10322" s="319"/>
      <c r="G10322" s="320"/>
    </row>
    <row r="10323" spans="3:4">
      <c r="C10323" s="319"/>
      <c r="D10323" s="319"/>
    </row>
    <row r="10324" spans="3:7">
      <c r="C10324" s="319"/>
      <c r="D10324" s="319"/>
      <c r="G10324" s="320"/>
    </row>
    <row r="10325" spans="3:7">
      <c r="C10325" s="319"/>
      <c r="D10325" s="319"/>
      <c r="G10325" s="320"/>
    </row>
    <row r="10326" spans="3:7">
      <c r="C10326" s="319"/>
      <c r="D10326" s="319"/>
      <c r="G10326" s="320"/>
    </row>
    <row r="10327" spans="3:4">
      <c r="C10327" s="319"/>
      <c r="D10327" s="319"/>
    </row>
    <row r="10328" spans="3:7">
      <c r="C10328" s="319"/>
      <c r="D10328" s="319"/>
      <c r="G10328" s="320"/>
    </row>
    <row r="10329" spans="3:4">
      <c r="C10329" s="319"/>
      <c r="D10329" s="319"/>
    </row>
    <row r="10330" spans="3:7">
      <c r="C10330" s="319"/>
      <c r="D10330" s="319"/>
      <c r="G10330" s="320"/>
    </row>
    <row r="10331" spans="3:7">
      <c r="C10331" s="319"/>
      <c r="D10331" s="319"/>
      <c r="G10331" s="320"/>
    </row>
    <row r="10332" spans="3:4">
      <c r="C10332" s="319"/>
      <c r="D10332" s="319"/>
    </row>
    <row r="10333" spans="3:7">
      <c r="C10333" s="319"/>
      <c r="D10333" s="319"/>
      <c r="G10333" s="320"/>
    </row>
    <row r="10334" spans="3:7">
      <c r="C10334" s="319"/>
      <c r="D10334" s="319"/>
      <c r="G10334" s="320"/>
    </row>
    <row r="10335" spans="3:4">
      <c r="C10335" s="319"/>
      <c r="D10335" s="319"/>
    </row>
    <row r="10336" spans="3:4">
      <c r="C10336" s="319"/>
      <c r="D10336" s="319"/>
    </row>
    <row r="10337" spans="3:4">
      <c r="C10337" s="319"/>
      <c r="D10337" s="319"/>
    </row>
    <row r="10338" spans="3:4">
      <c r="C10338" s="319"/>
      <c r="D10338" s="319"/>
    </row>
    <row r="10339" spans="3:4">
      <c r="C10339" s="319"/>
      <c r="D10339" s="319"/>
    </row>
    <row r="10340" spans="3:7">
      <c r="C10340" s="319"/>
      <c r="D10340" s="319"/>
      <c r="G10340" s="320"/>
    </row>
    <row r="10341" spans="3:7">
      <c r="C10341" s="319"/>
      <c r="D10341" s="319"/>
      <c r="G10341" s="320"/>
    </row>
    <row r="10342" spans="3:7">
      <c r="C10342" s="319"/>
      <c r="D10342" s="319"/>
      <c r="G10342" s="320"/>
    </row>
    <row r="10343" spans="3:7">
      <c r="C10343" s="319"/>
      <c r="D10343" s="319"/>
      <c r="G10343" s="320"/>
    </row>
    <row r="10344" spans="3:7">
      <c r="C10344" s="319"/>
      <c r="D10344" s="319"/>
      <c r="G10344" s="320"/>
    </row>
    <row r="10345" spans="3:7">
      <c r="C10345" s="319"/>
      <c r="D10345" s="319"/>
      <c r="G10345" s="320"/>
    </row>
    <row r="10346" spans="3:7">
      <c r="C10346" s="319"/>
      <c r="D10346" s="319"/>
      <c r="G10346" s="320"/>
    </row>
    <row r="10347" spans="3:7">
      <c r="C10347" s="319"/>
      <c r="D10347" s="319"/>
      <c r="G10347" s="320"/>
    </row>
    <row r="10348" spans="3:4">
      <c r="C10348" s="319"/>
      <c r="D10348" s="319"/>
    </row>
    <row r="10349" spans="3:7">
      <c r="C10349" s="319"/>
      <c r="D10349" s="319"/>
      <c r="G10349" s="320"/>
    </row>
    <row r="10350" spans="3:4">
      <c r="C10350" s="319"/>
      <c r="D10350" s="319"/>
    </row>
    <row r="10351" spans="3:7">
      <c r="C10351" s="319"/>
      <c r="D10351" s="319"/>
      <c r="G10351" s="320"/>
    </row>
    <row r="10352" spans="3:7">
      <c r="C10352" s="319"/>
      <c r="D10352" s="319"/>
      <c r="G10352" s="320"/>
    </row>
    <row r="10353" spans="3:7">
      <c r="C10353" s="319"/>
      <c r="D10353" s="319"/>
      <c r="G10353" s="320"/>
    </row>
    <row r="10354" spans="3:4">
      <c r="C10354" s="319"/>
      <c r="D10354" s="319"/>
    </row>
    <row r="10355" spans="3:7">
      <c r="C10355" s="319"/>
      <c r="D10355" s="319"/>
      <c r="G10355" s="320"/>
    </row>
    <row r="10356" spans="3:4">
      <c r="C10356" s="319"/>
      <c r="D10356" s="319"/>
    </row>
    <row r="10357" spans="3:7">
      <c r="C10357" s="319"/>
      <c r="D10357" s="319"/>
      <c r="G10357" s="320"/>
    </row>
    <row r="10358" spans="3:4">
      <c r="C10358" s="319"/>
      <c r="D10358" s="319"/>
    </row>
    <row r="10359" spans="3:7">
      <c r="C10359" s="319"/>
      <c r="D10359" s="319"/>
      <c r="G10359" s="320"/>
    </row>
    <row r="10360" spans="3:7">
      <c r="C10360" s="319"/>
      <c r="D10360" s="319"/>
      <c r="G10360" s="320"/>
    </row>
    <row r="10361" spans="3:4">
      <c r="C10361" s="319"/>
      <c r="D10361" s="319"/>
    </row>
    <row r="10362" spans="3:7">
      <c r="C10362" s="319"/>
      <c r="D10362" s="319"/>
      <c r="G10362" s="320"/>
    </row>
    <row r="10363" spans="3:7">
      <c r="C10363" s="319"/>
      <c r="D10363" s="319"/>
      <c r="G10363" s="320"/>
    </row>
    <row r="10364" spans="3:4">
      <c r="C10364" s="319"/>
      <c r="D10364" s="319"/>
    </row>
    <row r="10365" spans="3:7">
      <c r="C10365" s="319"/>
      <c r="D10365" s="319"/>
      <c r="G10365" s="320"/>
    </row>
    <row r="10366" spans="3:4">
      <c r="C10366" s="319"/>
      <c r="D10366" s="319"/>
    </row>
    <row r="10367" spans="3:4">
      <c r="C10367" s="319"/>
      <c r="D10367" s="319"/>
    </row>
    <row r="10368" spans="3:7">
      <c r="C10368" s="319"/>
      <c r="D10368" s="319"/>
      <c r="G10368" s="320"/>
    </row>
    <row r="10369" spans="3:7">
      <c r="C10369" s="319"/>
      <c r="D10369" s="319"/>
      <c r="G10369" s="320"/>
    </row>
    <row r="10370" spans="3:4">
      <c r="C10370" s="319"/>
      <c r="D10370" s="319"/>
    </row>
    <row r="10371" spans="3:4">
      <c r="C10371" s="319"/>
      <c r="D10371" s="319"/>
    </row>
    <row r="10372" spans="3:4">
      <c r="C10372" s="319"/>
      <c r="D10372" s="319"/>
    </row>
    <row r="10373" spans="3:4">
      <c r="C10373" s="319"/>
      <c r="D10373" s="319"/>
    </row>
    <row r="10374" spans="3:7">
      <c r="C10374" s="319"/>
      <c r="D10374" s="319"/>
      <c r="G10374" s="320"/>
    </row>
    <row r="10375" spans="3:4">
      <c r="C10375" s="319"/>
      <c r="D10375" s="319"/>
    </row>
    <row r="10376" spans="3:4">
      <c r="C10376" s="319"/>
      <c r="D10376" s="319"/>
    </row>
    <row r="10377" spans="3:7">
      <c r="C10377" s="319"/>
      <c r="D10377" s="319"/>
      <c r="G10377" s="320"/>
    </row>
    <row r="10378" spans="3:7">
      <c r="C10378" s="319"/>
      <c r="D10378" s="319"/>
      <c r="G10378" s="320"/>
    </row>
    <row r="10379" spans="3:4">
      <c r="C10379" s="319"/>
      <c r="D10379" s="319"/>
    </row>
    <row r="10380" spans="3:7">
      <c r="C10380" s="319"/>
      <c r="D10380" s="319"/>
      <c r="G10380" s="320"/>
    </row>
    <row r="10381" spans="3:4">
      <c r="C10381" s="319"/>
      <c r="D10381" s="319"/>
    </row>
    <row r="10382" spans="3:4">
      <c r="C10382" s="319"/>
      <c r="D10382" s="319"/>
    </row>
    <row r="10383" spans="3:4">
      <c r="C10383" s="319"/>
      <c r="D10383" s="319"/>
    </row>
    <row r="10384" spans="3:7">
      <c r="C10384" s="319"/>
      <c r="D10384" s="319"/>
      <c r="G10384" s="320"/>
    </row>
    <row r="10385" spans="3:7">
      <c r="C10385" s="319"/>
      <c r="D10385" s="319"/>
      <c r="G10385" s="320"/>
    </row>
    <row r="10386" spans="3:4">
      <c r="C10386" s="319"/>
      <c r="D10386" s="319"/>
    </row>
    <row r="10387" spans="3:7">
      <c r="C10387" s="319"/>
      <c r="D10387" s="319"/>
      <c r="G10387" s="320"/>
    </row>
    <row r="10388" spans="3:7">
      <c r="C10388" s="319"/>
      <c r="D10388" s="319"/>
      <c r="G10388" s="320"/>
    </row>
    <row r="10389" spans="3:4">
      <c r="C10389" s="319"/>
      <c r="D10389" s="319"/>
    </row>
    <row r="10390" spans="3:4">
      <c r="C10390" s="319"/>
      <c r="D10390" s="319"/>
    </row>
    <row r="10391" spans="3:7">
      <c r="C10391" s="319"/>
      <c r="D10391" s="319"/>
      <c r="G10391" s="320"/>
    </row>
    <row r="10392" spans="3:4">
      <c r="C10392" s="319"/>
      <c r="D10392" s="319"/>
    </row>
    <row r="10393" spans="3:4">
      <c r="C10393" s="319"/>
      <c r="D10393" s="319"/>
    </row>
    <row r="10394" spans="3:7">
      <c r="C10394" s="319"/>
      <c r="D10394" s="319"/>
      <c r="G10394" s="320"/>
    </row>
    <row r="10395" spans="3:4">
      <c r="C10395" s="319"/>
      <c r="D10395" s="319"/>
    </row>
    <row r="10396" spans="3:7">
      <c r="C10396" s="319"/>
      <c r="D10396" s="319"/>
      <c r="G10396" s="320"/>
    </row>
    <row r="10397" spans="3:4">
      <c r="C10397" s="319"/>
      <c r="D10397" s="319"/>
    </row>
    <row r="10398" spans="3:7">
      <c r="C10398" s="319"/>
      <c r="D10398" s="319"/>
      <c r="G10398" s="320"/>
    </row>
    <row r="10399" spans="3:4">
      <c r="C10399" s="319"/>
      <c r="D10399" s="319"/>
    </row>
    <row r="10400" spans="3:4">
      <c r="C10400" s="319"/>
      <c r="D10400" s="319"/>
    </row>
    <row r="10401" spans="3:4">
      <c r="C10401" s="319"/>
      <c r="D10401" s="319"/>
    </row>
    <row r="10402" spans="3:4">
      <c r="C10402" s="319"/>
      <c r="D10402" s="319"/>
    </row>
    <row r="10403" spans="3:7">
      <c r="C10403" s="319"/>
      <c r="D10403" s="319"/>
      <c r="G10403" s="320"/>
    </row>
    <row r="10404" spans="3:4">
      <c r="C10404" s="319"/>
      <c r="D10404" s="319"/>
    </row>
    <row r="10405" spans="3:4">
      <c r="C10405" s="319"/>
      <c r="D10405" s="319"/>
    </row>
    <row r="10406" spans="3:4">
      <c r="C10406" s="319"/>
      <c r="D10406" s="319"/>
    </row>
    <row r="10407" spans="3:4">
      <c r="C10407" s="319"/>
      <c r="D10407" s="319"/>
    </row>
    <row r="10408" spans="3:7">
      <c r="C10408" s="319"/>
      <c r="D10408" s="319"/>
      <c r="G10408" s="320"/>
    </row>
    <row r="10409" spans="3:4">
      <c r="C10409" s="319"/>
      <c r="D10409" s="319"/>
    </row>
    <row r="10410" spans="3:4">
      <c r="C10410" s="319"/>
      <c r="D10410" s="319"/>
    </row>
    <row r="10411" spans="3:4">
      <c r="C10411" s="319"/>
      <c r="D10411" s="319"/>
    </row>
    <row r="10412" spans="3:7">
      <c r="C10412" s="319"/>
      <c r="D10412" s="319"/>
      <c r="G10412" s="320"/>
    </row>
    <row r="10413" spans="3:4">
      <c r="C10413" s="319"/>
      <c r="D10413" s="319"/>
    </row>
    <row r="10414" spans="3:7">
      <c r="C10414" s="319"/>
      <c r="D10414" s="319"/>
      <c r="G10414" s="320"/>
    </row>
    <row r="10415" spans="3:7">
      <c r="C10415" s="319"/>
      <c r="D10415" s="319"/>
      <c r="G10415" s="320"/>
    </row>
    <row r="10416" spans="3:4">
      <c r="C10416" s="319"/>
      <c r="D10416" s="319"/>
    </row>
    <row r="10417" spans="3:4">
      <c r="C10417" s="319"/>
      <c r="D10417" s="319"/>
    </row>
    <row r="10418" spans="3:7">
      <c r="C10418" s="319"/>
      <c r="D10418" s="319"/>
      <c r="G10418" s="320"/>
    </row>
    <row r="10419" spans="3:4">
      <c r="C10419" s="319"/>
      <c r="D10419" s="319"/>
    </row>
    <row r="10420" spans="3:7">
      <c r="C10420" s="319"/>
      <c r="D10420" s="319"/>
      <c r="G10420" s="320"/>
    </row>
    <row r="10421" spans="3:7">
      <c r="C10421" s="319"/>
      <c r="D10421" s="319"/>
      <c r="G10421" s="320"/>
    </row>
    <row r="10422" spans="3:4">
      <c r="C10422" s="319"/>
      <c r="D10422" s="319"/>
    </row>
    <row r="10423" spans="3:7">
      <c r="C10423" s="319"/>
      <c r="D10423" s="319"/>
      <c r="G10423" s="320"/>
    </row>
    <row r="10424" spans="3:4">
      <c r="C10424" s="319"/>
      <c r="D10424" s="319"/>
    </row>
    <row r="10425" spans="3:4">
      <c r="C10425" s="319"/>
      <c r="D10425" s="319"/>
    </row>
    <row r="10426" spans="3:4">
      <c r="C10426" s="319"/>
      <c r="D10426" s="319"/>
    </row>
    <row r="10427" spans="3:4">
      <c r="C10427" s="319"/>
      <c r="D10427" s="319"/>
    </row>
    <row r="10428" spans="3:4">
      <c r="C10428" s="319"/>
      <c r="D10428" s="319"/>
    </row>
    <row r="10429" spans="3:7">
      <c r="C10429" s="319"/>
      <c r="D10429" s="319"/>
      <c r="G10429" s="320"/>
    </row>
    <row r="10430" spans="3:7">
      <c r="C10430" s="319"/>
      <c r="D10430" s="319"/>
      <c r="G10430" s="320"/>
    </row>
    <row r="10431" spans="3:4">
      <c r="C10431" s="319"/>
      <c r="D10431" s="319"/>
    </row>
    <row r="10432" spans="3:4">
      <c r="C10432" s="319"/>
      <c r="D10432" s="319"/>
    </row>
    <row r="10433" spans="3:4">
      <c r="C10433" s="319"/>
      <c r="D10433" s="319"/>
    </row>
    <row r="10434" spans="3:7">
      <c r="C10434" s="319"/>
      <c r="D10434" s="319"/>
      <c r="G10434" s="320"/>
    </row>
    <row r="10435" spans="3:4">
      <c r="C10435" s="319"/>
      <c r="D10435" s="319"/>
    </row>
    <row r="10436" spans="3:4">
      <c r="C10436" s="319"/>
      <c r="D10436" s="319"/>
    </row>
    <row r="10437" spans="3:7">
      <c r="C10437" s="319"/>
      <c r="D10437" s="319"/>
      <c r="G10437" s="320"/>
    </row>
    <row r="10438" spans="3:7">
      <c r="C10438" s="319"/>
      <c r="D10438" s="319"/>
      <c r="G10438" s="320"/>
    </row>
    <row r="10439" spans="3:7">
      <c r="C10439" s="319"/>
      <c r="D10439" s="319"/>
      <c r="G10439" s="320"/>
    </row>
    <row r="10440" spans="3:4">
      <c r="C10440" s="319"/>
      <c r="D10440" s="319"/>
    </row>
    <row r="10441" spans="3:7">
      <c r="C10441" s="319"/>
      <c r="D10441" s="319"/>
      <c r="G10441" s="320"/>
    </row>
    <row r="10442" spans="3:7">
      <c r="C10442" s="319"/>
      <c r="D10442" s="319"/>
      <c r="G10442" s="320"/>
    </row>
    <row r="10443" spans="3:4">
      <c r="C10443" s="319"/>
      <c r="D10443" s="319"/>
    </row>
    <row r="10444" spans="3:7">
      <c r="C10444" s="319"/>
      <c r="D10444" s="319"/>
      <c r="G10444" s="320"/>
    </row>
    <row r="10445" spans="3:4">
      <c r="C10445" s="319"/>
      <c r="D10445" s="319"/>
    </row>
    <row r="10446" spans="3:4">
      <c r="C10446" s="319"/>
      <c r="D10446" s="319"/>
    </row>
    <row r="10447" spans="3:4">
      <c r="C10447" s="319"/>
      <c r="D10447" s="319"/>
    </row>
    <row r="10448" spans="3:4">
      <c r="C10448" s="319"/>
      <c r="D10448" s="319"/>
    </row>
    <row r="10449" spans="3:7">
      <c r="C10449" s="319"/>
      <c r="D10449" s="319"/>
      <c r="G10449" s="320"/>
    </row>
    <row r="10450" spans="3:7">
      <c r="C10450" s="319"/>
      <c r="D10450" s="319"/>
      <c r="G10450" s="320"/>
    </row>
    <row r="10451" spans="3:7">
      <c r="C10451" s="319"/>
      <c r="D10451" s="319"/>
      <c r="G10451" s="320"/>
    </row>
    <row r="10452" spans="3:4">
      <c r="C10452" s="319"/>
      <c r="D10452" s="319"/>
    </row>
    <row r="10453" spans="3:4">
      <c r="C10453" s="319"/>
      <c r="D10453" s="319"/>
    </row>
    <row r="10454" spans="3:4">
      <c r="C10454" s="319"/>
      <c r="D10454" s="319"/>
    </row>
    <row r="10455" spans="3:4">
      <c r="C10455" s="319"/>
      <c r="D10455" s="319"/>
    </row>
    <row r="10456" spans="3:7">
      <c r="C10456" s="319"/>
      <c r="D10456" s="319"/>
      <c r="G10456" s="320"/>
    </row>
    <row r="10457" spans="3:7">
      <c r="C10457" s="319"/>
      <c r="D10457" s="319"/>
      <c r="G10457" s="320"/>
    </row>
    <row r="10458" spans="3:4">
      <c r="C10458" s="319"/>
      <c r="D10458" s="319"/>
    </row>
    <row r="10459" spans="3:4">
      <c r="C10459" s="319"/>
      <c r="D10459" s="319"/>
    </row>
    <row r="10460" spans="3:4">
      <c r="C10460" s="319"/>
      <c r="D10460" s="319"/>
    </row>
    <row r="10461" spans="3:4">
      <c r="C10461" s="319"/>
      <c r="D10461" s="319"/>
    </row>
    <row r="10462" spans="3:7">
      <c r="C10462" s="319"/>
      <c r="D10462" s="319"/>
      <c r="G10462" s="320"/>
    </row>
    <row r="10463" spans="3:4">
      <c r="C10463" s="319"/>
      <c r="D10463" s="319"/>
    </row>
    <row r="10464" spans="3:4">
      <c r="C10464" s="319"/>
      <c r="D10464" s="319"/>
    </row>
    <row r="10465" spans="3:7">
      <c r="C10465" s="319"/>
      <c r="D10465" s="319"/>
      <c r="G10465" s="320"/>
    </row>
    <row r="10466" spans="3:4">
      <c r="C10466" s="319"/>
      <c r="D10466" s="319"/>
    </row>
    <row r="10467" spans="3:7">
      <c r="C10467" s="319"/>
      <c r="D10467" s="319"/>
      <c r="G10467" s="320"/>
    </row>
    <row r="10468" spans="3:7">
      <c r="C10468" s="319"/>
      <c r="D10468" s="319"/>
      <c r="G10468" s="320"/>
    </row>
    <row r="10469" spans="3:7">
      <c r="C10469" s="319"/>
      <c r="D10469" s="319"/>
      <c r="G10469" s="320"/>
    </row>
    <row r="10470" spans="3:7">
      <c r="C10470" s="319"/>
      <c r="D10470" s="319"/>
      <c r="G10470" s="320"/>
    </row>
    <row r="10471" spans="3:7">
      <c r="C10471" s="319"/>
      <c r="D10471" s="319"/>
      <c r="G10471" s="320"/>
    </row>
    <row r="10472" spans="3:7">
      <c r="C10472" s="319"/>
      <c r="D10472" s="319"/>
      <c r="G10472" s="320"/>
    </row>
    <row r="10473" spans="3:7">
      <c r="C10473" s="319"/>
      <c r="D10473" s="319"/>
      <c r="G10473" s="320"/>
    </row>
    <row r="10474" spans="3:7">
      <c r="C10474" s="319"/>
      <c r="D10474" s="319"/>
      <c r="G10474" s="320"/>
    </row>
    <row r="10475" spans="3:4">
      <c r="C10475" s="319"/>
      <c r="D10475" s="319"/>
    </row>
    <row r="10476" spans="3:7">
      <c r="C10476" s="319"/>
      <c r="D10476" s="319"/>
      <c r="G10476" s="320"/>
    </row>
    <row r="10477" spans="3:7">
      <c r="C10477" s="319"/>
      <c r="D10477" s="319"/>
      <c r="G10477" s="320"/>
    </row>
    <row r="10478" spans="3:7">
      <c r="C10478" s="319"/>
      <c r="D10478" s="319"/>
      <c r="G10478" s="320"/>
    </row>
    <row r="10479" spans="3:7">
      <c r="C10479" s="319"/>
      <c r="D10479" s="319"/>
      <c r="G10479" s="320"/>
    </row>
    <row r="10480" spans="3:7">
      <c r="C10480" s="319"/>
      <c r="D10480" s="319"/>
      <c r="G10480" s="320"/>
    </row>
    <row r="10481" spans="3:7">
      <c r="C10481" s="319"/>
      <c r="D10481" s="319"/>
      <c r="G10481" s="320"/>
    </row>
    <row r="10482" spans="3:7">
      <c r="C10482" s="319"/>
      <c r="D10482" s="319"/>
      <c r="G10482" s="320"/>
    </row>
    <row r="10483" spans="3:4">
      <c r="C10483" s="319"/>
      <c r="D10483" s="319"/>
    </row>
    <row r="10484" spans="3:4">
      <c r="C10484" s="319"/>
      <c r="D10484" s="319"/>
    </row>
    <row r="10485" spans="3:4">
      <c r="C10485" s="319"/>
      <c r="D10485" s="319"/>
    </row>
    <row r="10486" spans="3:7">
      <c r="C10486" s="319"/>
      <c r="D10486" s="319"/>
      <c r="G10486" s="320"/>
    </row>
    <row r="10487" spans="3:7">
      <c r="C10487" s="319"/>
      <c r="D10487" s="319"/>
      <c r="G10487" s="320"/>
    </row>
    <row r="10488" spans="3:4">
      <c r="C10488" s="319"/>
      <c r="D10488" s="319"/>
    </row>
    <row r="10489" spans="3:4">
      <c r="C10489" s="319"/>
      <c r="D10489" s="319"/>
    </row>
    <row r="10490" spans="3:4">
      <c r="C10490" s="319"/>
      <c r="D10490" s="319"/>
    </row>
    <row r="10491" spans="3:7">
      <c r="C10491" s="319"/>
      <c r="D10491" s="319"/>
      <c r="G10491" s="320"/>
    </row>
    <row r="10492" spans="3:4">
      <c r="C10492" s="319"/>
      <c r="D10492" s="319"/>
    </row>
    <row r="10493" spans="3:7">
      <c r="C10493" s="319"/>
      <c r="D10493" s="319"/>
      <c r="G10493" s="320"/>
    </row>
    <row r="10494" spans="3:7">
      <c r="C10494" s="319"/>
      <c r="D10494" s="319"/>
      <c r="G10494" s="320"/>
    </row>
    <row r="10495" spans="3:4">
      <c r="C10495" s="319"/>
      <c r="D10495" s="319"/>
    </row>
    <row r="10496" spans="3:4">
      <c r="C10496" s="319"/>
      <c r="D10496" s="319"/>
    </row>
    <row r="10497" spans="3:4">
      <c r="C10497" s="319"/>
      <c r="D10497" s="319"/>
    </row>
    <row r="10498" spans="3:7">
      <c r="C10498" s="319"/>
      <c r="D10498" s="319"/>
      <c r="G10498" s="320"/>
    </row>
    <row r="10499" spans="3:4">
      <c r="C10499" s="319"/>
      <c r="D10499" s="319"/>
    </row>
    <row r="10500" spans="3:7">
      <c r="C10500" s="319"/>
      <c r="D10500" s="319"/>
      <c r="G10500" s="320"/>
    </row>
    <row r="10501" spans="3:4">
      <c r="C10501" s="319"/>
      <c r="D10501" s="319"/>
    </row>
    <row r="10502" spans="3:7">
      <c r="C10502" s="319"/>
      <c r="D10502" s="319"/>
      <c r="G10502" s="320"/>
    </row>
    <row r="10503" spans="3:4">
      <c r="C10503" s="319"/>
      <c r="D10503" s="319"/>
    </row>
    <row r="10504" spans="3:4">
      <c r="C10504" s="319"/>
      <c r="D10504" s="319"/>
    </row>
    <row r="10505" spans="3:4">
      <c r="C10505" s="319"/>
      <c r="D10505" s="319"/>
    </row>
    <row r="10506" spans="3:7">
      <c r="C10506" s="319"/>
      <c r="D10506" s="319"/>
      <c r="G10506" s="320"/>
    </row>
    <row r="10507" spans="3:7">
      <c r="C10507" s="319"/>
      <c r="D10507" s="319"/>
      <c r="G10507" s="320"/>
    </row>
    <row r="10508" spans="3:7">
      <c r="C10508" s="319"/>
      <c r="D10508" s="319"/>
      <c r="G10508" s="320"/>
    </row>
    <row r="10509" spans="3:7">
      <c r="C10509" s="319"/>
      <c r="D10509" s="319"/>
      <c r="G10509" s="320"/>
    </row>
    <row r="10510" spans="3:7">
      <c r="C10510" s="319"/>
      <c r="D10510" s="319"/>
      <c r="G10510" s="320"/>
    </row>
    <row r="10511" spans="3:4">
      <c r="C10511" s="319"/>
      <c r="D10511" s="319"/>
    </row>
    <row r="10512" spans="3:7">
      <c r="C10512" s="319"/>
      <c r="D10512" s="319"/>
      <c r="G10512" s="320"/>
    </row>
    <row r="10513" spans="3:4">
      <c r="C10513" s="319"/>
      <c r="D10513" s="319"/>
    </row>
    <row r="10514" spans="3:4">
      <c r="C10514" s="319"/>
      <c r="D10514" s="319"/>
    </row>
    <row r="10515" spans="3:7">
      <c r="C10515" s="319"/>
      <c r="D10515" s="319"/>
      <c r="G10515" s="320"/>
    </row>
    <row r="10516" spans="3:7">
      <c r="C10516" s="319"/>
      <c r="D10516" s="319"/>
      <c r="G10516" s="320"/>
    </row>
    <row r="10517" spans="3:4">
      <c r="C10517" s="319"/>
      <c r="D10517" s="319"/>
    </row>
    <row r="10518" spans="3:7">
      <c r="C10518" s="319"/>
      <c r="D10518" s="319"/>
      <c r="G10518" s="320"/>
    </row>
    <row r="10519" spans="3:7">
      <c r="C10519" s="319"/>
      <c r="D10519" s="319"/>
      <c r="G10519" s="320"/>
    </row>
    <row r="10520" spans="3:7">
      <c r="C10520" s="319"/>
      <c r="D10520" s="319"/>
      <c r="G10520" s="320"/>
    </row>
    <row r="10521" spans="3:7">
      <c r="C10521" s="319"/>
      <c r="D10521" s="319"/>
      <c r="G10521" s="320"/>
    </row>
    <row r="10522" spans="3:7">
      <c r="C10522" s="319"/>
      <c r="D10522" s="319"/>
      <c r="G10522" s="320"/>
    </row>
    <row r="10523" spans="3:4">
      <c r="C10523" s="319"/>
      <c r="D10523" s="319"/>
    </row>
    <row r="10524" spans="3:4">
      <c r="C10524" s="319"/>
      <c r="D10524" s="319"/>
    </row>
    <row r="10525" spans="3:4">
      <c r="C10525" s="319"/>
      <c r="D10525" s="319"/>
    </row>
    <row r="10526" spans="3:7">
      <c r="C10526" s="319"/>
      <c r="D10526" s="319"/>
      <c r="G10526" s="320"/>
    </row>
    <row r="10527" spans="3:7">
      <c r="C10527" s="319"/>
      <c r="D10527" s="319"/>
      <c r="G10527" s="320"/>
    </row>
    <row r="10528" spans="3:7">
      <c r="C10528" s="319"/>
      <c r="D10528" s="319"/>
      <c r="G10528" s="320"/>
    </row>
    <row r="10529" spans="3:7">
      <c r="C10529" s="319"/>
      <c r="D10529" s="319"/>
      <c r="G10529" s="320"/>
    </row>
    <row r="10530" spans="3:4">
      <c r="C10530" s="319"/>
      <c r="D10530" s="319"/>
    </row>
    <row r="10531" spans="3:7">
      <c r="C10531" s="319"/>
      <c r="D10531" s="319"/>
      <c r="G10531" s="320"/>
    </row>
    <row r="10532" spans="3:4">
      <c r="C10532" s="319"/>
      <c r="D10532" s="319"/>
    </row>
    <row r="10533" spans="3:7">
      <c r="C10533" s="319"/>
      <c r="D10533" s="319"/>
      <c r="G10533" s="320"/>
    </row>
    <row r="10534" spans="3:4">
      <c r="C10534" s="319"/>
      <c r="D10534" s="319"/>
    </row>
    <row r="10535" spans="3:7">
      <c r="C10535" s="319"/>
      <c r="D10535" s="319"/>
      <c r="G10535" s="320"/>
    </row>
    <row r="10536" spans="3:4">
      <c r="C10536" s="319"/>
      <c r="D10536" s="319"/>
    </row>
    <row r="10537" spans="3:7">
      <c r="C10537" s="319"/>
      <c r="D10537" s="319"/>
      <c r="G10537" s="320"/>
    </row>
    <row r="10538" spans="3:7">
      <c r="C10538" s="319"/>
      <c r="D10538" s="319"/>
      <c r="G10538" s="320"/>
    </row>
    <row r="10539" spans="3:4">
      <c r="C10539" s="319"/>
      <c r="D10539" s="319"/>
    </row>
    <row r="10540" spans="3:4">
      <c r="C10540" s="319"/>
      <c r="D10540" s="319"/>
    </row>
    <row r="10541" spans="3:7">
      <c r="C10541" s="319"/>
      <c r="D10541" s="319"/>
      <c r="G10541" s="320"/>
    </row>
    <row r="10542" spans="3:4">
      <c r="C10542" s="319"/>
      <c r="D10542" s="319"/>
    </row>
    <row r="10543" spans="3:7">
      <c r="C10543" s="319"/>
      <c r="D10543" s="319"/>
      <c r="G10543" s="320"/>
    </row>
    <row r="10544" spans="3:7">
      <c r="C10544" s="319"/>
      <c r="D10544" s="319"/>
      <c r="G10544" s="320"/>
    </row>
    <row r="10545" spans="3:7">
      <c r="C10545" s="319"/>
      <c r="D10545" s="319"/>
      <c r="G10545" s="320"/>
    </row>
    <row r="10546" spans="3:4">
      <c r="C10546" s="319"/>
      <c r="D10546" s="319"/>
    </row>
    <row r="10547" spans="3:4">
      <c r="C10547" s="319"/>
      <c r="D10547" s="319"/>
    </row>
    <row r="10548" spans="3:4">
      <c r="C10548" s="319"/>
      <c r="D10548" s="319"/>
    </row>
    <row r="10549" spans="3:4">
      <c r="C10549" s="319"/>
      <c r="D10549" s="319"/>
    </row>
    <row r="10550" spans="3:7">
      <c r="C10550" s="319"/>
      <c r="D10550" s="319"/>
      <c r="G10550" s="320"/>
    </row>
    <row r="10551" spans="3:7">
      <c r="C10551" s="319"/>
      <c r="D10551" s="319"/>
      <c r="G10551" s="320"/>
    </row>
    <row r="10552" spans="3:7">
      <c r="C10552" s="319"/>
      <c r="D10552" s="319"/>
      <c r="G10552" s="320"/>
    </row>
    <row r="10553" spans="3:4">
      <c r="C10553" s="319"/>
      <c r="D10553" s="319"/>
    </row>
    <row r="10554" spans="3:7">
      <c r="C10554" s="319"/>
      <c r="D10554" s="319"/>
      <c r="G10554" s="320"/>
    </row>
    <row r="10555" spans="3:4">
      <c r="C10555" s="319"/>
      <c r="D10555" s="319"/>
    </row>
    <row r="10556" spans="3:4">
      <c r="C10556" s="319"/>
      <c r="D10556" s="319"/>
    </row>
    <row r="10557" spans="3:7">
      <c r="C10557" s="319"/>
      <c r="D10557" s="319"/>
      <c r="G10557" s="320"/>
    </row>
    <row r="10558" spans="3:7">
      <c r="C10558" s="319"/>
      <c r="D10558" s="319"/>
      <c r="G10558" s="320"/>
    </row>
    <row r="10559" spans="3:4">
      <c r="C10559" s="319"/>
      <c r="D10559" s="319"/>
    </row>
    <row r="10560" spans="3:7">
      <c r="C10560" s="319"/>
      <c r="D10560" s="319"/>
      <c r="G10560" s="320"/>
    </row>
    <row r="10561" spans="3:7">
      <c r="C10561" s="319"/>
      <c r="D10561" s="319"/>
      <c r="G10561" s="320"/>
    </row>
    <row r="10562" spans="3:4">
      <c r="C10562" s="319"/>
      <c r="D10562" s="319"/>
    </row>
    <row r="10563" spans="3:4">
      <c r="C10563" s="319"/>
      <c r="D10563" s="319"/>
    </row>
    <row r="10564" spans="3:4">
      <c r="C10564" s="319"/>
      <c r="D10564" s="319"/>
    </row>
    <row r="10565" spans="3:4">
      <c r="C10565" s="319"/>
      <c r="D10565" s="319"/>
    </row>
    <row r="10566" spans="3:7">
      <c r="C10566" s="319"/>
      <c r="D10566" s="319"/>
      <c r="G10566" s="320"/>
    </row>
    <row r="10567" spans="3:4">
      <c r="C10567" s="319"/>
      <c r="D10567" s="319"/>
    </row>
    <row r="10568" spans="3:7">
      <c r="C10568" s="319"/>
      <c r="D10568" s="319"/>
      <c r="G10568" s="320"/>
    </row>
    <row r="10569" spans="3:4">
      <c r="C10569" s="319"/>
      <c r="D10569" s="319"/>
    </row>
    <row r="10570" spans="3:4">
      <c r="C10570" s="319"/>
      <c r="D10570" s="319"/>
    </row>
    <row r="10571" spans="3:7">
      <c r="C10571" s="319"/>
      <c r="D10571" s="319"/>
      <c r="G10571" s="320"/>
    </row>
    <row r="10572" spans="3:4">
      <c r="C10572" s="319"/>
      <c r="D10572" s="319"/>
    </row>
    <row r="10573" spans="3:4">
      <c r="C10573" s="319"/>
      <c r="D10573" s="319"/>
    </row>
    <row r="10574" spans="3:7">
      <c r="C10574" s="319"/>
      <c r="D10574" s="319"/>
      <c r="G10574" s="320"/>
    </row>
    <row r="10575" spans="3:4">
      <c r="C10575" s="319"/>
      <c r="D10575" s="319"/>
    </row>
    <row r="10576" spans="3:7">
      <c r="C10576" s="319"/>
      <c r="D10576" s="319"/>
      <c r="G10576" s="320"/>
    </row>
    <row r="10577" spans="3:4">
      <c r="C10577" s="319"/>
      <c r="D10577" s="319"/>
    </row>
    <row r="10578" spans="3:4">
      <c r="C10578" s="319"/>
      <c r="D10578" s="319"/>
    </row>
    <row r="10579" spans="3:7">
      <c r="C10579" s="319"/>
      <c r="D10579" s="319"/>
      <c r="G10579" s="320"/>
    </row>
    <row r="10580" spans="3:7">
      <c r="C10580" s="319"/>
      <c r="D10580" s="319"/>
      <c r="G10580" s="320"/>
    </row>
    <row r="10581" spans="3:4">
      <c r="C10581" s="319"/>
      <c r="D10581" s="319"/>
    </row>
    <row r="10582" spans="3:4">
      <c r="C10582" s="319"/>
      <c r="D10582" s="319"/>
    </row>
    <row r="10583" spans="3:4">
      <c r="C10583" s="319"/>
      <c r="D10583" s="319"/>
    </row>
    <row r="10584" spans="3:4">
      <c r="C10584" s="319"/>
      <c r="D10584" s="319"/>
    </row>
    <row r="10585" spans="3:7">
      <c r="C10585" s="319"/>
      <c r="D10585" s="319"/>
      <c r="G10585" s="320"/>
    </row>
    <row r="10586" spans="3:7">
      <c r="C10586" s="319"/>
      <c r="D10586" s="319"/>
      <c r="G10586" s="320"/>
    </row>
    <row r="10587" spans="3:4">
      <c r="C10587" s="319"/>
      <c r="D10587" s="319"/>
    </row>
    <row r="10588" spans="3:7">
      <c r="C10588" s="319"/>
      <c r="D10588" s="319"/>
      <c r="G10588" s="320"/>
    </row>
    <row r="10589" spans="3:7">
      <c r="C10589" s="319"/>
      <c r="D10589" s="319"/>
      <c r="G10589" s="320"/>
    </row>
    <row r="10590" spans="3:4">
      <c r="C10590" s="319"/>
      <c r="D10590" s="319"/>
    </row>
    <row r="10591" spans="3:4">
      <c r="C10591" s="319"/>
      <c r="D10591" s="319"/>
    </row>
    <row r="10592" spans="3:4">
      <c r="C10592" s="319"/>
      <c r="D10592" s="319"/>
    </row>
    <row r="10593" spans="3:7">
      <c r="C10593" s="319"/>
      <c r="D10593" s="319"/>
      <c r="G10593" s="320"/>
    </row>
    <row r="10594" spans="3:4">
      <c r="C10594" s="319"/>
      <c r="D10594" s="319"/>
    </row>
    <row r="10595" spans="3:4">
      <c r="C10595" s="319"/>
      <c r="D10595" s="319"/>
    </row>
    <row r="10596" spans="3:4">
      <c r="C10596" s="319"/>
      <c r="D10596" s="319"/>
    </row>
    <row r="10597" spans="3:4">
      <c r="C10597" s="319"/>
      <c r="D10597" s="319"/>
    </row>
    <row r="10598" spans="3:7">
      <c r="C10598" s="319"/>
      <c r="D10598" s="319"/>
      <c r="G10598" s="320"/>
    </row>
    <row r="10599" spans="3:7">
      <c r="C10599" s="319"/>
      <c r="D10599" s="319"/>
      <c r="G10599" s="320"/>
    </row>
    <row r="10600" spans="3:4">
      <c r="C10600" s="319"/>
      <c r="D10600" s="319"/>
    </row>
    <row r="10601" spans="3:4">
      <c r="C10601" s="319"/>
      <c r="D10601" s="319"/>
    </row>
    <row r="10602" spans="3:7">
      <c r="C10602" s="319"/>
      <c r="D10602" s="319"/>
      <c r="G10602" s="320"/>
    </row>
    <row r="10603" spans="3:7">
      <c r="C10603" s="319"/>
      <c r="D10603" s="319"/>
      <c r="G10603" s="320"/>
    </row>
    <row r="10604" spans="3:7">
      <c r="C10604" s="319"/>
      <c r="D10604" s="319"/>
      <c r="G10604" s="320"/>
    </row>
    <row r="10605" spans="3:4">
      <c r="C10605" s="319"/>
      <c r="D10605" s="319"/>
    </row>
    <row r="10606" spans="3:7">
      <c r="C10606" s="319"/>
      <c r="D10606" s="319"/>
      <c r="G10606" s="320"/>
    </row>
    <row r="10607" spans="3:4">
      <c r="C10607" s="319"/>
      <c r="D10607" s="319"/>
    </row>
    <row r="10608" spans="3:4">
      <c r="C10608" s="319"/>
      <c r="D10608" s="319"/>
    </row>
    <row r="10609" spans="3:7">
      <c r="C10609" s="319"/>
      <c r="D10609" s="319"/>
      <c r="G10609" s="320"/>
    </row>
    <row r="10610" spans="3:4">
      <c r="C10610" s="319"/>
      <c r="D10610" s="319"/>
    </row>
    <row r="10611" spans="3:4">
      <c r="C10611" s="319"/>
      <c r="D10611" s="319"/>
    </row>
    <row r="10612" spans="3:4">
      <c r="C10612" s="319"/>
      <c r="D10612" s="319"/>
    </row>
    <row r="10613" spans="3:7">
      <c r="C10613" s="319"/>
      <c r="D10613" s="319"/>
      <c r="G10613" s="320"/>
    </row>
    <row r="10614" spans="3:4">
      <c r="C10614" s="319"/>
      <c r="D10614" s="319"/>
    </row>
    <row r="10615" spans="3:7">
      <c r="C10615" s="319"/>
      <c r="D10615" s="319"/>
      <c r="G10615" s="320"/>
    </row>
    <row r="10616" spans="3:4">
      <c r="C10616" s="319"/>
      <c r="D10616" s="319"/>
    </row>
    <row r="10617" spans="3:4">
      <c r="C10617" s="319"/>
      <c r="D10617" s="319"/>
    </row>
    <row r="10618" spans="3:7">
      <c r="C10618" s="319"/>
      <c r="D10618" s="319"/>
      <c r="G10618" s="320"/>
    </row>
    <row r="10619" spans="3:4">
      <c r="C10619" s="319"/>
      <c r="D10619" s="319"/>
    </row>
    <row r="10620" spans="3:7">
      <c r="C10620" s="319"/>
      <c r="D10620" s="319"/>
      <c r="G10620" s="320"/>
    </row>
    <row r="10621" spans="3:7">
      <c r="C10621" s="319"/>
      <c r="D10621" s="319"/>
      <c r="G10621" s="320"/>
    </row>
    <row r="10622" spans="3:7">
      <c r="C10622" s="319"/>
      <c r="D10622" s="319"/>
      <c r="G10622" s="320"/>
    </row>
    <row r="10623" spans="3:7">
      <c r="C10623" s="319"/>
      <c r="D10623" s="319"/>
      <c r="G10623" s="320"/>
    </row>
    <row r="10624" spans="3:7">
      <c r="C10624" s="319"/>
      <c r="D10624" s="319"/>
      <c r="G10624" s="320"/>
    </row>
    <row r="10625" spans="3:7">
      <c r="C10625" s="319"/>
      <c r="D10625" s="319"/>
      <c r="G10625" s="320"/>
    </row>
    <row r="10626" spans="3:7">
      <c r="C10626" s="319"/>
      <c r="D10626" s="319"/>
      <c r="G10626" s="320"/>
    </row>
    <row r="10627" spans="3:7">
      <c r="C10627" s="319"/>
      <c r="D10627" s="319"/>
      <c r="G10627" s="320"/>
    </row>
    <row r="10628" spans="3:7">
      <c r="C10628" s="319"/>
      <c r="D10628" s="319"/>
      <c r="G10628" s="320"/>
    </row>
    <row r="10629" spans="3:7">
      <c r="C10629" s="319"/>
      <c r="D10629" s="319"/>
      <c r="G10629" s="320"/>
    </row>
    <row r="10630" spans="3:7">
      <c r="C10630" s="319"/>
      <c r="D10630" s="319"/>
      <c r="G10630" s="320"/>
    </row>
    <row r="10631" spans="3:4">
      <c r="C10631" s="319"/>
      <c r="D10631" s="319"/>
    </row>
    <row r="10632" spans="3:4">
      <c r="C10632" s="319"/>
      <c r="D10632" s="319"/>
    </row>
    <row r="10633" spans="3:7">
      <c r="C10633" s="319"/>
      <c r="D10633" s="319"/>
      <c r="G10633" s="320"/>
    </row>
    <row r="10634" spans="3:7">
      <c r="C10634" s="319"/>
      <c r="D10634" s="319"/>
      <c r="G10634" s="320"/>
    </row>
    <row r="10635" spans="3:4">
      <c r="C10635" s="319"/>
      <c r="D10635" s="319"/>
    </row>
    <row r="10636" spans="3:4">
      <c r="C10636" s="319"/>
      <c r="D10636" s="319"/>
    </row>
    <row r="10637" spans="3:4">
      <c r="C10637" s="319"/>
      <c r="D10637" s="319"/>
    </row>
    <row r="10638" spans="3:4">
      <c r="C10638" s="319"/>
      <c r="D10638" s="319"/>
    </row>
    <row r="10639" spans="3:7">
      <c r="C10639" s="319"/>
      <c r="D10639" s="319"/>
      <c r="G10639" s="320"/>
    </row>
    <row r="10640" spans="3:7">
      <c r="C10640" s="319"/>
      <c r="D10640" s="319"/>
      <c r="G10640" s="320"/>
    </row>
    <row r="10641" spans="3:4">
      <c r="C10641" s="319"/>
      <c r="D10641" s="319"/>
    </row>
    <row r="10642" spans="3:7">
      <c r="C10642" s="319"/>
      <c r="D10642" s="319"/>
      <c r="G10642" s="320"/>
    </row>
    <row r="10643" spans="3:7">
      <c r="C10643" s="319"/>
      <c r="D10643" s="319"/>
      <c r="G10643" s="320"/>
    </row>
    <row r="10644" spans="3:4">
      <c r="C10644" s="319"/>
      <c r="D10644" s="319"/>
    </row>
    <row r="10645" spans="3:4">
      <c r="C10645" s="319"/>
      <c r="D10645" s="319"/>
    </row>
    <row r="10646" spans="3:7">
      <c r="C10646" s="319"/>
      <c r="D10646" s="319"/>
      <c r="G10646" s="320"/>
    </row>
    <row r="10647" spans="3:4">
      <c r="C10647" s="319"/>
      <c r="D10647" s="319"/>
    </row>
    <row r="10648" spans="3:7">
      <c r="C10648" s="319"/>
      <c r="D10648" s="319"/>
      <c r="G10648" s="320"/>
    </row>
    <row r="10649" spans="3:4">
      <c r="C10649" s="319"/>
      <c r="D10649" s="319"/>
    </row>
    <row r="10650" spans="3:7">
      <c r="C10650" s="319"/>
      <c r="D10650" s="319"/>
      <c r="G10650" s="320"/>
    </row>
    <row r="10651" spans="3:4">
      <c r="C10651" s="319"/>
      <c r="D10651" s="319"/>
    </row>
    <row r="10652" spans="3:7">
      <c r="C10652" s="319"/>
      <c r="D10652" s="319"/>
      <c r="G10652" s="320"/>
    </row>
    <row r="10653" spans="3:4">
      <c r="C10653" s="319"/>
      <c r="D10653" s="319"/>
    </row>
    <row r="10654" spans="3:7">
      <c r="C10654" s="319"/>
      <c r="D10654" s="319"/>
      <c r="G10654" s="320"/>
    </row>
    <row r="10655" spans="3:7">
      <c r="C10655" s="319"/>
      <c r="D10655" s="319"/>
      <c r="G10655" s="320"/>
    </row>
    <row r="10656" spans="3:7">
      <c r="C10656" s="319"/>
      <c r="D10656" s="319"/>
      <c r="G10656" s="320"/>
    </row>
    <row r="10657" spans="3:4">
      <c r="C10657" s="319"/>
      <c r="D10657" s="319"/>
    </row>
    <row r="10658" spans="3:4">
      <c r="C10658" s="319"/>
      <c r="D10658" s="319"/>
    </row>
    <row r="10659" spans="3:7">
      <c r="C10659" s="319"/>
      <c r="D10659" s="319"/>
      <c r="G10659" s="320"/>
    </row>
    <row r="10660" spans="3:7">
      <c r="C10660" s="319"/>
      <c r="D10660" s="319"/>
      <c r="G10660" s="320"/>
    </row>
    <row r="10661" spans="3:4">
      <c r="C10661" s="319"/>
      <c r="D10661" s="319"/>
    </row>
    <row r="10662" spans="3:7">
      <c r="C10662" s="319"/>
      <c r="D10662" s="319"/>
      <c r="G10662" s="320"/>
    </row>
    <row r="10663" spans="3:7">
      <c r="C10663" s="319"/>
      <c r="D10663" s="319"/>
      <c r="G10663" s="320"/>
    </row>
    <row r="10664" spans="3:7">
      <c r="C10664" s="319"/>
      <c r="D10664" s="319"/>
      <c r="G10664" s="320"/>
    </row>
    <row r="10665" spans="3:7">
      <c r="C10665" s="319"/>
      <c r="D10665" s="319"/>
      <c r="G10665" s="320"/>
    </row>
    <row r="10666" spans="3:4">
      <c r="C10666" s="319"/>
      <c r="D10666" s="319"/>
    </row>
    <row r="10667" spans="3:7">
      <c r="C10667" s="319"/>
      <c r="D10667" s="319"/>
      <c r="G10667" s="320"/>
    </row>
    <row r="10668" spans="3:7">
      <c r="C10668" s="319"/>
      <c r="D10668" s="319"/>
      <c r="G10668" s="320"/>
    </row>
    <row r="10669" spans="3:4">
      <c r="C10669" s="319"/>
      <c r="D10669" s="319"/>
    </row>
    <row r="10670" spans="3:4">
      <c r="C10670" s="319"/>
      <c r="D10670" s="319"/>
    </row>
    <row r="10671" spans="3:7">
      <c r="C10671" s="319"/>
      <c r="D10671" s="319"/>
      <c r="G10671" s="320"/>
    </row>
    <row r="10672" spans="3:7">
      <c r="C10672" s="319"/>
      <c r="D10672" s="319"/>
      <c r="G10672" s="320"/>
    </row>
    <row r="10673" spans="3:4">
      <c r="C10673" s="319"/>
      <c r="D10673" s="319"/>
    </row>
    <row r="10674" spans="3:4">
      <c r="C10674" s="319"/>
      <c r="D10674" s="319"/>
    </row>
    <row r="10675" spans="3:7">
      <c r="C10675" s="319"/>
      <c r="D10675" s="319"/>
      <c r="G10675" s="320"/>
    </row>
    <row r="10676" spans="3:7">
      <c r="C10676" s="319"/>
      <c r="D10676" s="319"/>
      <c r="G10676" s="320"/>
    </row>
    <row r="10677" spans="3:4">
      <c r="C10677" s="319"/>
      <c r="D10677" s="319"/>
    </row>
    <row r="10678" spans="3:7">
      <c r="C10678" s="319"/>
      <c r="D10678" s="319"/>
      <c r="G10678" s="320"/>
    </row>
    <row r="10679" spans="3:4">
      <c r="C10679" s="319"/>
      <c r="D10679" s="319"/>
    </row>
    <row r="10680" spans="3:4">
      <c r="C10680" s="319"/>
      <c r="D10680" s="319"/>
    </row>
    <row r="10681" spans="3:7">
      <c r="C10681" s="319"/>
      <c r="D10681" s="319"/>
      <c r="G10681" s="320"/>
    </row>
    <row r="10682" spans="3:7">
      <c r="C10682" s="319"/>
      <c r="D10682" s="319"/>
      <c r="G10682" s="320"/>
    </row>
    <row r="10683" spans="3:7">
      <c r="C10683" s="319"/>
      <c r="D10683" s="319"/>
      <c r="G10683" s="320"/>
    </row>
    <row r="10684" spans="3:7">
      <c r="C10684" s="319"/>
      <c r="D10684" s="319"/>
      <c r="G10684" s="320"/>
    </row>
    <row r="10685" spans="3:4">
      <c r="C10685" s="319"/>
      <c r="D10685" s="319"/>
    </row>
    <row r="10686" spans="3:4">
      <c r="C10686" s="319"/>
      <c r="D10686" s="319"/>
    </row>
    <row r="10687" spans="3:7">
      <c r="C10687" s="319"/>
      <c r="D10687" s="319"/>
      <c r="G10687" s="320"/>
    </row>
    <row r="10688" spans="3:7">
      <c r="C10688" s="319"/>
      <c r="D10688" s="319"/>
      <c r="G10688" s="320"/>
    </row>
    <row r="10689" spans="3:4">
      <c r="C10689" s="319"/>
      <c r="D10689" s="319"/>
    </row>
    <row r="10690" spans="3:7">
      <c r="C10690" s="319"/>
      <c r="D10690" s="319"/>
      <c r="G10690" s="320"/>
    </row>
    <row r="10691" spans="3:7">
      <c r="C10691" s="319"/>
      <c r="D10691" s="319"/>
      <c r="G10691" s="320"/>
    </row>
    <row r="10692" spans="3:4">
      <c r="C10692" s="319"/>
      <c r="D10692" s="319"/>
    </row>
    <row r="10693" spans="3:4">
      <c r="C10693" s="319"/>
      <c r="D10693" s="319"/>
    </row>
    <row r="10694" spans="3:4">
      <c r="C10694" s="319"/>
      <c r="D10694" s="319"/>
    </row>
    <row r="10695" spans="3:7">
      <c r="C10695" s="319"/>
      <c r="D10695" s="319"/>
      <c r="G10695" s="320"/>
    </row>
    <row r="10696" spans="3:7">
      <c r="C10696" s="319"/>
      <c r="D10696" s="319"/>
      <c r="G10696" s="320"/>
    </row>
    <row r="10697" spans="3:4">
      <c r="C10697" s="319"/>
      <c r="D10697" s="319"/>
    </row>
    <row r="10698" spans="3:7">
      <c r="C10698" s="319"/>
      <c r="D10698" s="319"/>
      <c r="G10698" s="320"/>
    </row>
    <row r="10699" spans="3:7">
      <c r="C10699" s="319"/>
      <c r="D10699" s="319"/>
      <c r="G10699" s="320"/>
    </row>
    <row r="10700" spans="3:4">
      <c r="C10700" s="319"/>
      <c r="D10700" s="319"/>
    </row>
    <row r="10701" spans="3:4">
      <c r="C10701" s="319"/>
      <c r="D10701" s="319"/>
    </row>
    <row r="10702" spans="3:7">
      <c r="C10702" s="319"/>
      <c r="D10702" s="319"/>
      <c r="G10702" s="320"/>
    </row>
    <row r="10703" spans="3:4">
      <c r="C10703" s="319"/>
      <c r="D10703" s="319"/>
    </row>
    <row r="10704" spans="3:4">
      <c r="C10704" s="319"/>
      <c r="D10704" s="319"/>
    </row>
    <row r="10705" spans="3:4">
      <c r="C10705" s="319"/>
      <c r="D10705" s="319"/>
    </row>
    <row r="10706" spans="3:4">
      <c r="C10706" s="319"/>
      <c r="D10706" s="319"/>
    </row>
    <row r="10707" spans="3:7">
      <c r="C10707" s="319"/>
      <c r="D10707" s="319"/>
      <c r="G10707" s="320"/>
    </row>
    <row r="10708" spans="3:7">
      <c r="C10708" s="319"/>
      <c r="D10708" s="319"/>
      <c r="G10708" s="320"/>
    </row>
    <row r="10709" spans="3:7">
      <c r="C10709" s="319"/>
      <c r="D10709" s="319"/>
      <c r="G10709" s="320"/>
    </row>
    <row r="10710" spans="3:4">
      <c r="C10710" s="319"/>
      <c r="D10710" s="319"/>
    </row>
    <row r="10711" spans="3:7">
      <c r="C10711" s="319"/>
      <c r="D10711" s="319"/>
      <c r="G10711" s="320"/>
    </row>
    <row r="10712" spans="3:4">
      <c r="C10712" s="319"/>
      <c r="D10712" s="319"/>
    </row>
    <row r="10713" spans="3:7">
      <c r="C10713" s="319"/>
      <c r="D10713" s="319"/>
      <c r="G10713" s="320"/>
    </row>
    <row r="10714" spans="3:7">
      <c r="C10714" s="319"/>
      <c r="D10714" s="319"/>
      <c r="G10714" s="320"/>
    </row>
    <row r="10715" spans="3:4">
      <c r="C10715" s="319"/>
      <c r="D10715" s="319"/>
    </row>
    <row r="10716" spans="3:4">
      <c r="C10716" s="319"/>
      <c r="D10716" s="319"/>
    </row>
    <row r="10717" spans="3:7">
      <c r="C10717" s="319"/>
      <c r="D10717" s="319"/>
      <c r="G10717" s="320"/>
    </row>
    <row r="10718" spans="3:4">
      <c r="C10718" s="319"/>
      <c r="D10718" s="319"/>
    </row>
    <row r="10719" spans="3:7">
      <c r="C10719" s="319"/>
      <c r="D10719" s="319"/>
      <c r="G10719" s="320"/>
    </row>
    <row r="10720" spans="3:7">
      <c r="C10720" s="319"/>
      <c r="D10720" s="319"/>
      <c r="G10720" s="320"/>
    </row>
    <row r="10721" spans="3:7">
      <c r="C10721" s="319"/>
      <c r="D10721" s="319"/>
      <c r="G10721" s="320"/>
    </row>
    <row r="10722" spans="3:7">
      <c r="C10722" s="319"/>
      <c r="D10722" s="319"/>
      <c r="G10722" s="320"/>
    </row>
    <row r="10723" spans="3:7">
      <c r="C10723" s="319"/>
      <c r="D10723" s="319"/>
      <c r="G10723" s="320"/>
    </row>
    <row r="10724" spans="3:7">
      <c r="C10724" s="319"/>
      <c r="D10724" s="319"/>
      <c r="G10724" s="320"/>
    </row>
    <row r="10725" spans="3:7">
      <c r="C10725" s="319"/>
      <c r="D10725" s="319"/>
      <c r="G10725" s="320"/>
    </row>
    <row r="10726" spans="3:4">
      <c r="C10726" s="319"/>
      <c r="D10726" s="319"/>
    </row>
    <row r="10727" spans="3:7">
      <c r="C10727" s="319"/>
      <c r="D10727" s="319"/>
      <c r="G10727" s="320"/>
    </row>
    <row r="10728" spans="3:4">
      <c r="C10728" s="319"/>
      <c r="D10728" s="319"/>
    </row>
    <row r="10729" spans="3:4">
      <c r="C10729" s="319"/>
      <c r="D10729" s="319"/>
    </row>
    <row r="10730" spans="3:4">
      <c r="C10730" s="319"/>
      <c r="D10730" s="319"/>
    </row>
    <row r="10731" spans="3:7">
      <c r="C10731" s="319"/>
      <c r="D10731" s="319"/>
      <c r="G10731" s="320"/>
    </row>
    <row r="10732" spans="3:7">
      <c r="C10732" s="319"/>
      <c r="D10732" s="319"/>
      <c r="G10732" s="320"/>
    </row>
    <row r="10733" spans="3:7">
      <c r="C10733" s="319"/>
      <c r="D10733" s="319"/>
      <c r="G10733" s="320"/>
    </row>
    <row r="10734" spans="3:7">
      <c r="C10734" s="319"/>
      <c r="D10734" s="319"/>
      <c r="G10734" s="320"/>
    </row>
    <row r="10735" spans="3:7">
      <c r="C10735" s="319"/>
      <c r="D10735" s="319"/>
      <c r="G10735" s="320"/>
    </row>
    <row r="10736" spans="3:4">
      <c r="C10736" s="319"/>
      <c r="D10736" s="319"/>
    </row>
    <row r="10737" spans="3:7">
      <c r="C10737" s="319"/>
      <c r="D10737" s="319"/>
      <c r="G10737" s="320"/>
    </row>
    <row r="10738" spans="3:4">
      <c r="C10738" s="319"/>
      <c r="D10738" s="319"/>
    </row>
    <row r="10739" spans="3:4">
      <c r="C10739" s="319"/>
      <c r="D10739" s="319"/>
    </row>
    <row r="10740" spans="3:4">
      <c r="C10740" s="319"/>
      <c r="D10740" s="319"/>
    </row>
    <row r="10741" spans="3:4">
      <c r="C10741" s="319"/>
      <c r="D10741" s="319"/>
    </row>
    <row r="10742" spans="3:4">
      <c r="C10742" s="319"/>
      <c r="D10742" s="319"/>
    </row>
    <row r="10743" spans="3:7">
      <c r="C10743" s="319"/>
      <c r="D10743" s="319"/>
      <c r="G10743" s="320"/>
    </row>
    <row r="10744" spans="3:7">
      <c r="C10744" s="319"/>
      <c r="D10744" s="319"/>
      <c r="G10744" s="320"/>
    </row>
    <row r="10745" spans="3:7">
      <c r="C10745" s="319"/>
      <c r="D10745" s="319"/>
      <c r="G10745" s="320"/>
    </row>
    <row r="10746" spans="3:4">
      <c r="C10746" s="319"/>
      <c r="D10746" s="319"/>
    </row>
    <row r="10747" spans="3:4">
      <c r="C10747" s="319"/>
      <c r="D10747" s="319"/>
    </row>
    <row r="10748" spans="3:4">
      <c r="C10748" s="319"/>
      <c r="D10748" s="319"/>
    </row>
    <row r="10749" spans="3:4">
      <c r="C10749" s="319"/>
      <c r="D10749" s="319"/>
    </row>
    <row r="10750" spans="3:7">
      <c r="C10750" s="319"/>
      <c r="D10750" s="319"/>
      <c r="G10750" s="320"/>
    </row>
    <row r="10751" spans="3:7">
      <c r="C10751" s="319"/>
      <c r="D10751" s="319"/>
      <c r="G10751" s="320"/>
    </row>
    <row r="10752" spans="3:7">
      <c r="C10752" s="319"/>
      <c r="D10752" s="319"/>
      <c r="G10752" s="320"/>
    </row>
    <row r="10753" spans="3:4">
      <c r="C10753" s="319"/>
      <c r="D10753" s="319"/>
    </row>
    <row r="10754" spans="3:7">
      <c r="C10754" s="319"/>
      <c r="D10754" s="319"/>
      <c r="G10754" s="320"/>
    </row>
    <row r="10755" spans="3:4">
      <c r="C10755" s="319"/>
      <c r="D10755" s="319"/>
    </row>
    <row r="10756" spans="3:7">
      <c r="C10756" s="319"/>
      <c r="D10756" s="319"/>
      <c r="G10756" s="320"/>
    </row>
    <row r="10757" spans="3:7">
      <c r="C10757" s="319"/>
      <c r="D10757" s="319"/>
      <c r="G10757" s="320"/>
    </row>
    <row r="10758" spans="3:4">
      <c r="C10758" s="319"/>
      <c r="D10758" s="319"/>
    </row>
    <row r="10759" spans="3:4">
      <c r="C10759" s="319"/>
      <c r="D10759" s="319"/>
    </row>
    <row r="10760" spans="3:7">
      <c r="C10760" s="319"/>
      <c r="D10760" s="319"/>
      <c r="G10760" s="320"/>
    </row>
    <row r="10761" spans="3:7">
      <c r="C10761" s="319"/>
      <c r="D10761" s="319"/>
      <c r="G10761" s="320"/>
    </row>
    <row r="10762" spans="3:4">
      <c r="C10762" s="319"/>
      <c r="D10762" s="319"/>
    </row>
    <row r="10763" spans="3:7">
      <c r="C10763" s="319"/>
      <c r="D10763" s="319"/>
      <c r="G10763" s="320"/>
    </row>
    <row r="10764" spans="3:4">
      <c r="C10764" s="319"/>
      <c r="D10764" s="319"/>
    </row>
    <row r="10765" spans="3:7">
      <c r="C10765" s="319"/>
      <c r="D10765" s="319"/>
      <c r="G10765" s="320"/>
    </row>
    <row r="10766" spans="3:7">
      <c r="C10766" s="319"/>
      <c r="D10766" s="319"/>
      <c r="G10766" s="320"/>
    </row>
    <row r="10767" spans="3:7">
      <c r="C10767" s="319"/>
      <c r="D10767" s="319"/>
      <c r="G10767" s="320"/>
    </row>
    <row r="10768" spans="3:7">
      <c r="C10768" s="319"/>
      <c r="D10768" s="319"/>
      <c r="G10768" s="320"/>
    </row>
    <row r="10769" spans="3:7">
      <c r="C10769" s="319"/>
      <c r="D10769" s="319"/>
      <c r="G10769" s="320"/>
    </row>
    <row r="10770" spans="3:7">
      <c r="C10770" s="319"/>
      <c r="D10770" s="319"/>
      <c r="G10770" s="320"/>
    </row>
    <row r="10771" spans="3:7">
      <c r="C10771" s="319"/>
      <c r="D10771" s="319"/>
      <c r="G10771" s="320"/>
    </row>
    <row r="10772" spans="3:4">
      <c r="C10772" s="319"/>
      <c r="D10772" s="319"/>
    </row>
    <row r="10773" spans="3:7">
      <c r="C10773" s="319"/>
      <c r="D10773" s="319"/>
      <c r="G10773" s="320"/>
    </row>
    <row r="10774" spans="3:4">
      <c r="C10774" s="319"/>
      <c r="D10774" s="319"/>
    </row>
    <row r="10775" spans="3:7">
      <c r="C10775" s="319"/>
      <c r="D10775" s="319"/>
      <c r="G10775" s="320"/>
    </row>
    <row r="10776" spans="3:7">
      <c r="C10776" s="319"/>
      <c r="D10776" s="319"/>
      <c r="G10776" s="320"/>
    </row>
    <row r="10777" spans="3:4">
      <c r="C10777" s="319"/>
      <c r="D10777" s="319"/>
    </row>
    <row r="10778" spans="3:4">
      <c r="C10778" s="319"/>
      <c r="D10778" s="319"/>
    </row>
    <row r="10779" spans="3:4">
      <c r="C10779" s="319"/>
      <c r="D10779" s="319"/>
    </row>
    <row r="10780" spans="3:4">
      <c r="C10780" s="319"/>
      <c r="D10780" s="319"/>
    </row>
    <row r="10781" spans="3:4">
      <c r="C10781" s="319"/>
      <c r="D10781" s="319"/>
    </row>
    <row r="10782" spans="3:4">
      <c r="C10782" s="319"/>
      <c r="D10782" s="319"/>
    </row>
    <row r="10783" spans="3:7">
      <c r="C10783" s="319"/>
      <c r="D10783" s="319"/>
      <c r="G10783" s="320"/>
    </row>
    <row r="10784" spans="3:7">
      <c r="C10784" s="319"/>
      <c r="D10784" s="319"/>
      <c r="G10784" s="320"/>
    </row>
    <row r="10785" spans="3:7">
      <c r="C10785" s="319"/>
      <c r="D10785" s="319"/>
      <c r="G10785" s="320"/>
    </row>
    <row r="10786" spans="3:7">
      <c r="C10786" s="319"/>
      <c r="D10786" s="319"/>
      <c r="G10786" s="320"/>
    </row>
    <row r="10787" spans="3:4">
      <c r="C10787" s="319"/>
      <c r="D10787" s="319"/>
    </row>
    <row r="10788" spans="3:7">
      <c r="C10788" s="319"/>
      <c r="D10788" s="319"/>
      <c r="G10788" s="320"/>
    </row>
    <row r="10789" spans="3:4">
      <c r="C10789" s="319"/>
      <c r="D10789" s="319"/>
    </row>
    <row r="10790" spans="3:4">
      <c r="C10790" s="319"/>
      <c r="D10790" s="319"/>
    </row>
    <row r="10791" spans="3:7">
      <c r="C10791" s="319"/>
      <c r="D10791" s="319"/>
      <c r="G10791" s="320"/>
    </row>
    <row r="10792" spans="3:4">
      <c r="C10792" s="319"/>
      <c r="D10792" s="319"/>
    </row>
    <row r="10793" spans="3:4">
      <c r="C10793" s="319"/>
      <c r="D10793" s="319"/>
    </row>
    <row r="10794" spans="3:7">
      <c r="C10794" s="319"/>
      <c r="D10794" s="319"/>
      <c r="G10794" s="320"/>
    </row>
    <row r="10795" spans="3:7">
      <c r="C10795" s="319"/>
      <c r="D10795" s="319"/>
      <c r="G10795" s="320"/>
    </row>
    <row r="10796" spans="3:7">
      <c r="C10796" s="319"/>
      <c r="D10796" s="319"/>
      <c r="G10796" s="320"/>
    </row>
    <row r="10797" spans="3:7">
      <c r="C10797" s="319"/>
      <c r="D10797" s="319"/>
      <c r="G10797" s="320"/>
    </row>
    <row r="10798" spans="3:4">
      <c r="C10798" s="319"/>
      <c r="D10798" s="319"/>
    </row>
    <row r="10799" spans="3:7">
      <c r="C10799" s="319"/>
      <c r="D10799" s="319"/>
      <c r="G10799" s="320"/>
    </row>
    <row r="10800" spans="3:4">
      <c r="C10800" s="319"/>
      <c r="D10800" s="319"/>
    </row>
    <row r="10801" spans="3:7">
      <c r="C10801" s="319"/>
      <c r="D10801" s="319"/>
      <c r="G10801" s="320"/>
    </row>
    <row r="10802" spans="3:4">
      <c r="C10802" s="319"/>
      <c r="D10802" s="319"/>
    </row>
    <row r="10803" spans="3:7">
      <c r="C10803" s="319"/>
      <c r="D10803" s="319"/>
      <c r="G10803" s="320"/>
    </row>
    <row r="10804" spans="3:4">
      <c r="C10804" s="319"/>
      <c r="D10804" s="319"/>
    </row>
    <row r="10805" spans="3:7">
      <c r="C10805" s="319"/>
      <c r="D10805" s="319"/>
      <c r="G10805" s="320"/>
    </row>
    <row r="10806" spans="3:7">
      <c r="C10806" s="319"/>
      <c r="D10806" s="319"/>
      <c r="G10806" s="320"/>
    </row>
    <row r="10807" spans="3:7">
      <c r="C10807" s="319"/>
      <c r="D10807" s="319"/>
      <c r="G10807" s="320"/>
    </row>
    <row r="10808" spans="3:7">
      <c r="C10808" s="319"/>
      <c r="D10808" s="319"/>
      <c r="G10808" s="320"/>
    </row>
    <row r="10809" spans="3:7">
      <c r="C10809" s="319"/>
      <c r="D10809" s="319"/>
      <c r="G10809" s="320"/>
    </row>
    <row r="10810" spans="3:4">
      <c r="C10810" s="319"/>
      <c r="D10810" s="319"/>
    </row>
    <row r="10811" spans="3:4">
      <c r="C10811" s="319"/>
      <c r="D10811" s="319"/>
    </row>
    <row r="10812" spans="3:4">
      <c r="C10812" s="319"/>
      <c r="D10812" s="319"/>
    </row>
    <row r="10813" spans="3:4">
      <c r="C10813" s="319"/>
      <c r="D10813" s="319"/>
    </row>
    <row r="10814" spans="3:7">
      <c r="C10814" s="319"/>
      <c r="D10814" s="319"/>
      <c r="G10814" s="320"/>
    </row>
    <row r="10815" spans="3:4">
      <c r="C10815" s="319"/>
      <c r="D10815" s="319"/>
    </row>
    <row r="10816" spans="3:4">
      <c r="C10816" s="319"/>
      <c r="D10816" s="319"/>
    </row>
    <row r="10817" spans="3:4">
      <c r="C10817" s="319"/>
      <c r="D10817" s="319"/>
    </row>
    <row r="10818" spans="3:7">
      <c r="C10818" s="319"/>
      <c r="D10818" s="319"/>
      <c r="G10818" s="320"/>
    </row>
    <row r="10819" spans="3:4">
      <c r="C10819" s="319"/>
      <c r="D10819" s="319"/>
    </row>
    <row r="10820" spans="3:4">
      <c r="C10820" s="319"/>
      <c r="D10820" s="319"/>
    </row>
    <row r="10821" spans="3:4">
      <c r="C10821" s="319"/>
      <c r="D10821" s="319"/>
    </row>
    <row r="10822" spans="3:7">
      <c r="C10822" s="319"/>
      <c r="D10822" s="319"/>
      <c r="G10822" s="320"/>
    </row>
    <row r="10823" spans="3:7">
      <c r="C10823" s="319"/>
      <c r="D10823" s="319"/>
      <c r="G10823" s="320"/>
    </row>
    <row r="10824" spans="3:7">
      <c r="C10824" s="319"/>
      <c r="D10824" s="319"/>
      <c r="G10824" s="320"/>
    </row>
    <row r="10825" spans="3:7">
      <c r="C10825" s="319"/>
      <c r="D10825" s="319"/>
      <c r="G10825" s="320"/>
    </row>
    <row r="10826" spans="3:4">
      <c r="C10826" s="319"/>
      <c r="D10826" s="319"/>
    </row>
    <row r="10827" spans="3:7">
      <c r="C10827" s="319"/>
      <c r="D10827" s="319"/>
      <c r="G10827" s="320"/>
    </row>
    <row r="10828" spans="3:7">
      <c r="C10828" s="319"/>
      <c r="D10828" s="319"/>
      <c r="G10828" s="320"/>
    </row>
    <row r="10829" spans="3:4">
      <c r="C10829" s="319"/>
      <c r="D10829" s="319"/>
    </row>
    <row r="10830" spans="3:7">
      <c r="C10830" s="319"/>
      <c r="D10830" s="319"/>
      <c r="G10830" s="320"/>
    </row>
    <row r="10831" spans="3:4">
      <c r="C10831" s="319"/>
      <c r="D10831" s="319"/>
    </row>
    <row r="10832" spans="3:4">
      <c r="C10832" s="319"/>
      <c r="D10832" s="319"/>
    </row>
    <row r="10833" spans="3:4">
      <c r="C10833" s="319"/>
      <c r="D10833" s="319"/>
    </row>
    <row r="10834" spans="3:4">
      <c r="C10834" s="319"/>
      <c r="D10834" s="319"/>
    </row>
    <row r="10835" spans="3:7">
      <c r="C10835" s="319"/>
      <c r="D10835" s="319"/>
      <c r="G10835" s="320"/>
    </row>
    <row r="10836" spans="3:7">
      <c r="C10836" s="319"/>
      <c r="D10836" s="319"/>
      <c r="G10836" s="320"/>
    </row>
    <row r="10837" spans="3:7">
      <c r="C10837" s="319"/>
      <c r="D10837" s="319"/>
      <c r="G10837" s="320"/>
    </row>
    <row r="10838" spans="3:4">
      <c r="C10838" s="319"/>
      <c r="D10838" s="319"/>
    </row>
    <row r="10839" spans="3:7">
      <c r="C10839" s="319"/>
      <c r="D10839" s="319"/>
      <c r="G10839" s="320"/>
    </row>
    <row r="10840" spans="3:7">
      <c r="C10840" s="319"/>
      <c r="D10840" s="319"/>
      <c r="G10840" s="320"/>
    </row>
    <row r="10841" spans="3:4">
      <c r="C10841" s="319"/>
      <c r="D10841" s="319"/>
    </row>
    <row r="10842" spans="3:7">
      <c r="C10842" s="319"/>
      <c r="D10842" s="319"/>
      <c r="G10842" s="320"/>
    </row>
    <row r="10843" spans="3:7">
      <c r="C10843" s="319"/>
      <c r="D10843" s="319"/>
      <c r="G10843" s="320"/>
    </row>
    <row r="10844" spans="3:4">
      <c r="C10844" s="319"/>
      <c r="D10844" s="319"/>
    </row>
    <row r="10845" spans="3:4">
      <c r="C10845" s="319"/>
      <c r="D10845" s="319"/>
    </row>
    <row r="10846" spans="3:4">
      <c r="C10846" s="319"/>
      <c r="D10846" s="319"/>
    </row>
    <row r="10847" spans="3:4">
      <c r="C10847" s="319"/>
      <c r="D10847" s="319"/>
    </row>
    <row r="10848" spans="3:4">
      <c r="C10848" s="319"/>
      <c r="D10848" s="319"/>
    </row>
    <row r="10849" spans="3:4">
      <c r="C10849" s="319"/>
      <c r="D10849" s="319"/>
    </row>
    <row r="10850" spans="3:7">
      <c r="C10850" s="319"/>
      <c r="D10850" s="319"/>
      <c r="G10850" s="320"/>
    </row>
    <row r="10851" spans="3:4">
      <c r="C10851" s="319"/>
      <c r="D10851" s="319"/>
    </row>
    <row r="10852" spans="3:7">
      <c r="C10852" s="319"/>
      <c r="D10852" s="319"/>
      <c r="G10852" s="320"/>
    </row>
    <row r="10853" spans="3:4">
      <c r="C10853" s="319"/>
      <c r="D10853" s="319"/>
    </row>
    <row r="10854" spans="3:4">
      <c r="C10854" s="319"/>
      <c r="D10854" s="319"/>
    </row>
    <row r="10855" spans="3:7">
      <c r="C10855" s="319"/>
      <c r="D10855" s="319"/>
      <c r="G10855" s="320"/>
    </row>
    <row r="10856" spans="3:4">
      <c r="C10856" s="319"/>
      <c r="D10856" s="319"/>
    </row>
    <row r="10857" spans="3:4">
      <c r="C10857" s="319"/>
      <c r="D10857" s="319"/>
    </row>
    <row r="10858" spans="3:7">
      <c r="C10858" s="319"/>
      <c r="D10858" s="319"/>
      <c r="G10858" s="320"/>
    </row>
    <row r="10859" spans="3:7">
      <c r="C10859" s="319"/>
      <c r="D10859" s="319"/>
      <c r="G10859" s="320"/>
    </row>
    <row r="10860" spans="3:4">
      <c r="C10860" s="319"/>
      <c r="D10860" s="319"/>
    </row>
    <row r="10861" spans="3:4">
      <c r="C10861" s="319"/>
      <c r="D10861" s="319"/>
    </row>
    <row r="10862" spans="3:7">
      <c r="C10862" s="319"/>
      <c r="D10862" s="319"/>
      <c r="G10862" s="320"/>
    </row>
    <row r="10863" spans="3:7">
      <c r="C10863" s="319"/>
      <c r="D10863" s="319"/>
      <c r="G10863" s="320"/>
    </row>
    <row r="10864" spans="3:7">
      <c r="C10864" s="319"/>
      <c r="D10864" s="319"/>
      <c r="G10864" s="320"/>
    </row>
    <row r="10865" spans="3:4">
      <c r="C10865" s="319"/>
      <c r="D10865" s="319"/>
    </row>
    <row r="10866" spans="3:4">
      <c r="C10866" s="319"/>
      <c r="D10866" s="319"/>
    </row>
    <row r="10867" spans="3:7">
      <c r="C10867" s="319"/>
      <c r="D10867" s="319"/>
      <c r="G10867" s="320"/>
    </row>
    <row r="10868" spans="3:4">
      <c r="C10868" s="319"/>
      <c r="D10868" s="319"/>
    </row>
    <row r="10869" spans="3:4">
      <c r="C10869" s="319"/>
      <c r="D10869" s="319"/>
    </row>
    <row r="10870" spans="3:4">
      <c r="C10870" s="319"/>
      <c r="D10870" s="319"/>
    </row>
    <row r="10871" spans="3:7">
      <c r="C10871" s="319"/>
      <c r="D10871" s="319"/>
      <c r="G10871" s="320"/>
    </row>
    <row r="10872" spans="3:4">
      <c r="C10872" s="319"/>
      <c r="D10872" s="319"/>
    </row>
    <row r="10873" spans="3:7">
      <c r="C10873" s="319"/>
      <c r="D10873" s="319"/>
      <c r="G10873" s="320"/>
    </row>
    <row r="10874" spans="3:7">
      <c r="C10874" s="319"/>
      <c r="D10874" s="319"/>
      <c r="G10874" s="320"/>
    </row>
    <row r="10875" spans="3:4">
      <c r="C10875" s="319"/>
      <c r="D10875" s="319"/>
    </row>
    <row r="10876" spans="3:7">
      <c r="C10876" s="319"/>
      <c r="D10876" s="319"/>
      <c r="G10876" s="320"/>
    </row>
    <row r="10877" spans="3:7">
      <c r="C10877" s="319"/>
      <c r="D10877" s="319"/>
      <c r="G10877" s="320"/>
    </row>
    <row r="10878" spans="3:4">
      <c r="C10878" s="319"/>
      <c r="D10878" s="319"/>
    </row>
    <row r="10879" spans="3:4">
      <c r="C10879" s="319"/>
      <c r="D10879" s="319"/>
    </row>
    <row r="10880" spans="3:7">
      <c r="C10880" s="319"/>
      <c r="D10880" s="319"/>
      <c r="G10880" s="320"/>
    </row>
    <row r="10881" spans="3:7">
      <c r="C10881" s="319"/>
      <c r="D10881" s="319"/>
      <c r="G10881" s="320"/>
    </row>
    <row r="10882" spans="3:4">
      <c r="C10882" s="319"/>
      <c r="D10882" s="319"/>
    </row>
    <row r="10883" spans="3:4">
      <c r="C10883" s="319"/>
      <c r="D10883" s="319"/>
    </row>
    <row r="10884" spans="3:4">
      <c r="C10884" s="319"/>
      <c r="D10884" s="319"/>
    </row>
    <row r="10885" spans="3:7">
      <c r="C10885" s="319"/>
      <c r="D10885" s="319"/>
      <c r="G10885" s="320"/>
    </row>
    <row r="10886" spans="3:4">
      <c r="C10886" s="319"/>
      <c r="D10886" s="319"/>
    </row>
    <row r="10887" spans="3:4">
      <c r="C10887" s="319"/>
      <c r="D10887" s="319"/>
    </row>
    <row r="10888" spans="3:4">
      <c r="C10888" s="319"/>
      <c r="D10888" s="319"/>
    </row>
    <row r="10889" spans="3:4">
      <c r="C10889" s="319"/>
      <c r="D10889" s="319"/>
    </row>
    <row r="10890" spans="3:7">
      <c r="C10890" s="319"/>
      <c r="D10890" s="319"/>
      <c r="G10890" s="320"/>
    </row>
    <row r="10891" spans="3:4">
      <c r="C10891" s="319"/>
      <c r="D10891" s="319"/>
    </row>
    <row r="10892" spans="3:4">
      <c r="C10892" s="319"/>
      <c r="D10892" s="319"/>
    </row>
    <row r="10893" spans="3:4">
      <c r="C10893" s="319"/>
      <c r="D10893" s="319"/>
    </row>
    <row r="10894" spans="3:4">
      <c r="C10894" s="319"/>
      <c r="D10894" s="319"/>
    </row>
    <row r="10895" spans="3:4">
      <c r="C10895" s="319"/>
      <c r="D10895" s="319"/>
    </row>
    <row r="10896" spans="3:7">
      <c r="C10896" s="319"/>
      <c r="D10896" s="319"/>
      <c r="G10896" s="320"/>
    </row>
    <row r="10897" spans="3:4">
      <c r="C10897" s="319"/>
      <c r="D10897" s="319"/>
    </row>
    <row r="10898" spans="3:4">
      <c r="C10898" s="319"/>
      <c r="D10898" s="319"/>
    </row>
    <row r="10899" spans="3:4">
      <c r="C10899" s="319"/>
      <c r="D10899" s="319"/>
    </row>
    <row r="10900" spans="3:7">
      <c r="C10900" s="319"/>
      <c r="D10900" s="319"/>
      <c r="G10900" s="320"/>
    </row>
    <row r="10901" spans="3:7">
      <c r="C10901" s="319"/>
      <c r="D10901" s="319"/>
      <c r="G10901" s="320"/>
    </row>
    <row r="10902" spans="3:7">
      <c r="C10902" s="319"/>
      <c r="D10902" s="319"/>
      <c r="G10902" s="320"/>
    </row>
    <row r="10903" spans="3:4">
      <c r="C10903" s="319"/>
      <c r="D10903" s="319"/>
    </row>
    <row r="10904" spans="3:4">
      <c r="C10904" s="319"/>
      <c r="D10904" s="319"/>
    </row>
    <row r="10905" spans="3:4">
      <c r="C10905" s="319"/>
      <c r="D10905" s="319"/>
    </row>
    <row r="10906" spans="3:7">
      <c r="C10906" s="319"/>
      <c r="D10906" s="319"/>
      <c r="G10906" s="320"/>
    </row>
    <row r="10907" spans="3:7">
      <c r="C10907" s="319"/>
      <c r="D10907" s="319"/>
      <c r="G10907" s="320"/>
    </row>
    <row r="10908" spans="3:4">
      <c r="C10908" s="319"/>
      <c r="D10908" s="319"/>
    </row>
    <row r="10909" spans="3:7">
      <c r="C10909" s="319"/>
      <c r="D10909" s="319"/>
      <c r="G10909" s="320"/>
    </row>
    <row r="10910" spans="3:7">
      <c r="C10910" s="319"/>
      <c r="D10910" s="319"/>
      <c r="G10910" s="320"/>
    </row>
    <row r="10911" spans="3:7">
      <c r="C10911" s="319"/>
      <c r="D10911" s="319"/>
      <c r="G10911" s="320"/>
    </row>
    <row r="10912" spans="3:7">
      <c r="C10912" s="319"/>
      <c r="D10912" s="319"/>
      <c r="G10912" s="320"/>
    </row>
    <row r="10913" spans="3:4">
      <c r="C10913" s="319"/>
      <c r="D10913" s="319"/>
    </row>
    <row r="10914" spans="3:4">
      <c r="C10914" s="319"/>
      <c r="D10914" s="319"/>
    </row>
    <row r="10915" spans="3:4">
      <c r="C10915" s="319"/>
      <c r="D10915" s="319"/>
    </row>
    <row r="10916" spans="3:4">
      <c r="C10916" s="319"/>
      <c r="D10916" s="319"/>
    </row>
    <row r="10917" spans="3:4">
      <c r="C10917" s="319"/>
      <c r="D10917" s="319"/>
    </row>
    <row r="10918" spans="3:7">
      <c r="C10918" s="319"/>
      <c r="D10918" s="319"/>
      <c r="G10918" s="320"/>
    </row>
    <row r="10919" spans="3:4">
      <c r="C10919" s="319"/>
      <c r="D10919" s="319"/>
    </row>
    <row r="10920" spans="3:4">
      <c r="C10920" s="319"/>
      <c r="D10920" s="319"/>
    </row>
    <row r="10921" spans="3:4">
      <c r="C10921" s="319"/>
      <c r="D10921" s="319"/>
    </row>
    <row r="10922" spans="3:4">
      <c r="C10922" s="319"/>
      <c r="D10922" s="319"/>
    </row>
    <row r="10923" spans="3:7">
      <c r="C10923" s="319"/>
      <c r="D10923" s="319"/>
      <c r="G10923" s="320"/>
    </row>
    <row r="10924" spans="3:7">
      <c r="C10924" s="319"/>
      <c r="D10924" s="319"/>
      <c r="G10924" s="320"/>
    </row>
    <row r="10925" spans="3:4">
      <c r="C10925" s="319"/>
      <c r="D10925" s="319"/>
    </row>
    <row r="10926" spans="3:4">
      <c r="C10926" s="319"/>
      <c r="D10926" s="319"/>
    </row>
    <row r="10927" spans="3:4">
      <c r="C10927" s="319"/>
      <c r="D10927" s="319"/>
    </row>
    <row r="10928" spans="3:4">
      <c r="C10928" s="319"/>
      <c r="D10928" s="319"/>
    </row>
    <row r="10929" spans="3:4">
      <c r="C10929" s="319"/>
      <c r="D10929" s="319"/>
    </row>
    <row r="10930" spans="3:7">
      <c r="C10930" s="319"/>
      <c r="D10930" s="319"/>
      <c r="G10930" s="320"/>
    </row>
    <row r="10931" spans="3:7">
      <c r="C10931" s="319"/>
      <c r="D10931" s="319"/>
      <c r="G10931" s="320"/>
    </row>
    <row r="10932" spans="3:7">
      <c r="C10932" s="319"/>
      <c r="D10932" s="319"/>
      <c r="G10932" s="320"/>
    </row>
    <row r="10933" spans="3:7">
      <c r="C10933" s="319"/>
      <c r="D10933" s="319"/>
      <c r="G10933" s="320"/>
    </row>
    <row r="10934" spans="3:4">
      <c r="C10934" s="319"/>
      <c r="D10934" s="319"/>
    </row>
    <row r="10935" spans="3:4">
      <c r="C10935" s="319"/>
      <c r="D10935" s="319"/>
    </row>
    <row r="10936" spans="3:4">
      <c r="C10936" s="319"/>
      <c r="D10936" s="319"/>
    </row>
    <row r="10937" spans="3:4">
      <c r="C10937" s="319"/>
      <c r="D10937" s="319"/>
    </row>
    <row r="10938" spans="3:7">
      <c r="C10938" s="319"/>
      <c r="D10938" s="319"/>
      <c r="G10938" s="320"/>
    </row>
    <row r="10939" spans="3:7">
      <c r="C10939" s="319"/>
      <c r="D10939" s="319"/>
      <c r="G10939" s="320"/>
    </row>
    <row r="10940" spans="3:4">
      <c r="C10940" s="319"/>
      <c r="D10940" s="319"/>
    </row>
    <row r="10941" spans="3:7">
      <c r="C10941" s="319"/>
      <c r="D10941" s="319"/>
      <c r="G10941" s="320"/>
    </row>
    <row r="10942" spans="3:7">
      <c r="C10942" s="319"/>
      <c r="D10942" s="319"/>
      <c r="G10942" s="320"/>
    </row>
    <row r="10943" spans="3:7">
      <c r="C10943" s="319"/>
      <c r="D10943" s="319"/>
      <c r="G10943" s="320"/>
    </row>
    <row r="10944" spans="3:4">
      <c r="C10944" s="319"/>
      <c r="D10944" s="319"/>
    </row>
    <row r="10945" spans="3:7">
      <c r="C10945" s="319"/>
      <c r="D10945" s="319"/>
      <c r="G10945" s="320"/>
    </row>
    <row r="10946" spans="3:7">
      <c r="C10946" s="319"/>
      <c r="D10946" s="319"/>
      <c r="G10946" s="320"/>
    </row>
    <row r="10947" spans="3:7">
      <c r="C10947" s="319"/>
      <c r="D10947" s="319"/>
      <c r="G10947" s="320"/>
    </row>
    <row r="10948" spans="3:4">
      <c r="C10948" s="319"/>
      <c r="D10948" s="319"/>
    </row>
    <row r="10949" spans="3:7">
      <c r="C10949" s="319"/>
      <c r="D10949" s="319"/>
      <c r="G10949" s="320"/>
    </row>
    <row r="10950" spans="3:7">
      <c r="C10950" s="319"/>
      <c r="D10950" s="319"/>
      <c r="G10950" s="320"/>
    </row>
    <row r="10951" spans="3:7">
      <c r="C10951" s="319"/>
      <c r="D10951" s="319"/>
      <c r="G10951" s="320"/>
    </row>
    <row r="10952" spans="3:7">
      <c r="C10952" s="319"/>
      <c r="D10952" s="319"/>
      <c r="G10952" s="320"/>
    </row>
    <row r="10953" spans="3:4">
      <c r="C10953" s="319"/>
      <c r="D10953" s="319"/>
    </row>
    <row r="10954" spans="3:7">
      <c r="C10954" s="319"/>
      <c r="D10954" s="319"/>
      <c r="G10954" s="320"/>
    </row>
    <row r="10955" spans="3:7">
      <c r="C10955" s="319"/>
      <c r="D10955" s="319"/>
      <c r="G10955" s="320"/>
    </row>
    <row r="10956" spans="3:4">
      <c r="C10956" s="319"/>
      <c r="D10956" s="319"/>
    </row>
    <row r="10957" spans="3:4">
      <c r="C10957" s="319"/>
      <c r="D10957" s="319"/>
    </row>
    <row r="10958" spans="3:7">
      <c r="C10958" s="319"/>
      <c r="D10958" s="319"/>
      <c r="G10958" s="320"/>
    </row>
    <row r="10959" spans="3:4">
      <c r="C10959" s="319"/>
      <c r="D10959" s="319"/>
    </row>
    <row r="10960" spans="3:4">
      <c r="C10960" s="319"/>
      <c r="D10960" s="319"/>
    </row>
    <row r="10961" spans="3:4">
      <c r="C10961" s="319"/>
      <c r="D10961" s="319"/>
    </row>
    <row r="10962" spans="3:4">
      <c r="C10962" s="319"/>
      <c r="D10962" s="319"/>
    </row>
    <row r="10963" spans="3:7">
      <c r="C10963" s="319"/>
      <c r="D10963" s="319"/>
      <c r="G10963" s="320"/>
    </row>
    <row r="10964" spans="3:7">
      <c r="C10964" s="319"/>
      <c r="D10964" s="319"/>
      <c r="G10964" s="320"/>
    </row>
    <row r="10965" spans="3:4">
      <c r="C10965" s="319"/>
      <c r="D10965" s="319"/>
    </row>
    <row r="10966" spans="3:4">
      <c r="C10966" s="319"/>
      <c r="D10966" s="319"/>
    </row>
    <row r="10967" spans="3:7">
      <c r="C10967" s="319"/>
      <c r="D10967" s="319"/>
      <c r="G10967" s="320"/>
    </row>
    <row r="10968" spans="3:4">
      <c r="C10968" s="319"/>
      <c r="D10968" s="319"/>
    </row>
    <row r="10969" spans="3:4">
      <c r="C10969" s="319"/>
      <c r="D10969" s="319"/>
    </row>
    <row r="10970" spans="3:7">
      <c r="C10970" s="319"/>
      <c r="D10970" s="319"/>
      <c r="G10970" s="320"/>
    </row>
    <row r="10971" spans="3:4">
      <c r="C10971" s="319"/>
      <c r="D10971" s="319"/>
    </row>
    <row r="10972" spans="3:7">
      <c r="C10972" s="319"/>
      <c r="D10972" s="319"/>
      <c r="G10972" s="320"/>
    </row>
    <row r="10973" spans="3:7">
      <c r="C10973" s="319"/>
      <c r="D10973" s="319"/>
      <c r="G10973" s="320"/>
    </row>
    <row r="10974" spans="3:7">
      <c r="C10974" s="319"/>
      <c r="D10974" s="319"/>
      <c r="G10974" s="320"/>
    </row>
    <row r="10975" spans="3:4">
      <c r="C10975" s="319"/>
      <c r="D10975" s="319"/>
    </row>
    <row r="10976" spans="3:7">
      <c r="C10976" s="319"/>
      <c r="D10976" s="319"/>
      <c r="G10976" s="320"/>
    </row>
    <row r="10977" spans="3:7">
      <c r="C10977" s="319"/>
      <c r="D10977" s="319"/>
      <c r="G10977" s="320"/>
    </row>
    <row r="10978" spans="3:4">
      <c r="C10978" s="319"/>
      <c r="D10978" s="319"/>
    </row>
    <row r="10979" spans="3:7">
      <c r="C10979" s="319"/>
      <c r="D10979" s="319"/>
      <c r="G10979" s="320"/>
    </row>
    <row r="10980" spans="3:7">
      <c r="C10980" s="319"/>
      <c r="D10980" s="319"/>
      <c r="G10980" s="320"/>
    </row>
    <row r="10981" spans="3:7">
      <c r="C10981" s="319"/>
      <c r="D10981" s="319"/>
      <c r="G10981" s="320"/>
    </row>
    <row r="10982" spans="3:4">
      <c r="C10982" s="319"/>
      <c r="D10982" s="319"/>
    </row>
    <row r="10983" spans="3:4">
      <c r="C10983" s="319"/>
      <c r="D10983" s="319"/>
    </row>
    <row r="10984" spans="3:4">
      <c r="C10984" s="319"/>
      <c r="D10984" s="319"/>
    </row>
    <row r="10985" spans="3:7">
      <c r="C10985" s="319"/>
      <c r="D10985" s="319"/>
      <c r="G10985" s="320"/>
    </row>
    <row r="10986" spans="3:4">
      <c r="C10986" s="319"/>
      <c r="D10986" s="319"/>
    </row>
    <row r="10987" spans="3:4">
      <c r="C10987" s="319"/>
      <c r="D10987" s="319"/>
    </row>
    <row r="10988" spans="3:4">
      <c r="C10988" s="319"/>
      <c r="D10988" s="319"/>
    </row>
    <row r="10989" spans="3:4">
      <c r="C10989" s="319"/>
      <c r="D10989" s="319"/>
    </row>
    <row r="10990" spans="3:4">
      <c r="C10990" s="319"/>
      <c r="D10990" s="319"/>
    </row>
    <row r="10991" spans="3:4">
      <c r="C10991" s="319"/>
      <c r="D10991" s="319"/>
    </row>
    <row r="10992" spans="3:7">
      <c r="C10992" s="319"/>
      <c r="D10992" s="319"/>
      <c r="G10992" s="320"/>
    </row>
    <row r="10993" spans="3:4">
      <c r="C10993" s="319"/>
      <c r="D10993" s="319"/>
    </row>
    <row r="10994" spans="3:4">
      <c r="C10994" s="319"/>
      <c r="D10994" s="319"/>
    </row>
    <row r="10995" spans="3:7">
      <c r="C10995" s="319"/>
      <c r="D10995" s="319"/>
      <c r="G10995" s="320"/>
    </row>
    <row r="10996" spans="3:4">
      <c r="C10996" s="319"/>
      <c r="D10996" s="319"/>
    </row>
    <row r="10997" spans="3:7">
      <c r="C10997" s="319"/>
      <c r="D10997" s="319"/>
      <c r="G10997" s="320"/>
    </row>
    <row r="10998" spans="3:4">
      <c r="C10998" s="319"/>
      <c r="D10998" s="319"/>
    </row>
    <row r="10999" spans="3:4">
      <c r="C10999" s="319"/>
      <c r="D10999" s="319"/>
    </row>
    <row r="11000" spans="3:4">
      <c r="C11000" s="319"/>
      <c r="D11000" s="319"/>
    </row>
    <row r="11001" spans="3:7">
      <c r="C11001" s="319"/>
      <c r="D11001" s="319"/>
      <c r="G11001" s="320"/>
    </row>
    <row r="11002" spans="3:7">
      <c r="C11002" s="319"/>
      <c r="D11002" s="319"/>
      <c r="G11002" s="320"/>
    </row>
    <row r="11003" spans="3:4">
      <c r="C11003" s="319"/>
      <c r="D11003" s="319"/>
    </row>
    <row r="11004" spans="3:4">
      <c r="C11004" s="319"/>
      <c r="D11004" s="319"/>
    </row>
    <row r="11005" spans="3:7">
      <c r="C11005" s="319"/>
      <c r="D11005" s="319"/>
      <c r="G11005" s="320"/>
    </row>
    <row r="11006" spans="3:7">
      <c r="C11006" s="319"/>
      <c r="D11006" s="319"/>
      <c r="G11006" s="320"/>
    </row>
    <row r="11007" spans="3:7">
      <c r="C11007" s="319"/>
      <c r="D11007" s="319"/>
      <c r="G11007" s="320"/>
    </row>
    <row r="11008" spans="3:4">
      <c r="C11008" s="319"/>
      <c r="D11008" s="319"/>
    </row>
    <row r="11009" spans="3:7">
      <c r="C11009" s="319"/>
      <c r="D11009" s="319"/>
      <c r="G11009" s="320"/>
    </row>
    <row r="11010" spans="3:7">
      <c r="C11010" s="319"/>
      <c r="D11010" s="319"/>
      <c r="G11010" s="320"/>
    </row>
    <row r="11011" spans="3:7">
      <c r="C11011" s="319"/>
      <c r="D11011" s="319"/>
      <c r="G11011" s="320"/>
    </row>
    <row r="11012" spans="3:7">
      <c r="C11012" s="319"/>
      <c r="D11012" s="319"/>
      <c r="G11012" s="320"/>
    </row>
    <row r="11013" spans="3:4">
      <c r="C11013" s="319"/>
      <c r="D11013" s="319"/>
    </row>
    <row r="11014" spans="3:7">
      <c r="C11014" s="319"/>
      <c r="D11014" s="319"/>
      <c r="G11014" s="320"/>
    </row>
    <row r="11015" spans="3:7">
      <c r="C11015" s="319"/>
      <c r="D11015" s="319"/>
      <c r="G11015" s="320"/>
    </row>
    <row r="11016" spans="3:7">
      <c r="C11016" s="319"/>
      <c r="D11016" s="319"/>
      <c r="G11016" s="320"/>
    </row>
    <row r="11017" spans="3:4">
      <c r="C11017" s="319"/>
      <c r="D11017" s="319"/>
    </row>
    <row r="11018" spans="3:7">
      <c r="C11018" s="319"/>
      <c r="D11018" s="319"/>
      <c r="G11018" s="320"/>
    </row>
    <row r="11019" spans="3:4">
      <c r="C11019" s="319"/>
      <c r="D11019" s="319"/>
    </row>
    <row r="11020" spans="3:7">
      <c r="C11020" s="319"/>
      <c r="D11020" s="319"/>
      <c r="G11020" s="320"/>
    </row>
    <row r="11021" spans="3:7">
      <c r="C11021" s="319"/>
      <c r="D11021" s="319"/>
      <c r="G11021" s="320"/>
    </row>
    <row r="11022" spans="3:4">
      <c r="C11022" s="319"/>
      <c r="D11022" s="319"/>
    </row>
    <row r="11023" spans="3:4">
      <c r="C11023" s="319"/>
      <c r="D11023" s="319"/>
    </row>
    <row r="11024" spans="3:7">
      <c r="C11024" s="319"/>
      <c r="D11024" s="319"/>
      <c r="G11024" s="320"/>
    </row>
    <row r="11025" spans="3:4">
      <c r="C11025" s="319"/>
      <c r="D11025" s="319"/>
    </row>
    <row r="11026" spans="3:4">
      <c r="C11026" s="319"/>
      <c r="D11026" s="319"/>
    </row>
    <row r="11027" spans="3:7">
      <c r="C11027" s="319"/>
      <c r="D11027" s="319"/>
      <c r="G11027" s="320"/>
    </row>
    <row r="11028" spans="3:4">
      <c r="C11028" s="319"/>
      <c r="D11028" s="319"/>
    </row>
    <row r="11029" spans="3:4">
      <c r="C11029" s="319"/>
      <c r="D11029" s="319"/>
    </row>
    <row r="11030" spans="3:7">
      <c r="C11030" s="319"/>
      <c r="D11030" s="319"/>
      <c r="G11030" s="320"/>
    </row>
    <row r="11031" spans="3:7">
      <c r="C11031" s="319"/>
      <c r="D11031" s="319"/>
      <c r="G11031" s="320"/>
    </row>
    <row r="11032" spans="3:4">
      <c r="C11032" s="319"/>
      <c r="D11032" s="319"/>
    </row>
    <row r="11033" spans="3:4">
      <c r="C11033" s="319"/>
      <c r="D11033" s="319"/>
    </row>
    <row r="11034" spans="3:4">
      <c r="C11034" s="319"/>
      <c r="D11034" s="319"/>
    </row>
    <row r="11035" spans="3:7">
      <c r="C11035" s="319"/>
      <c r="D11035" s="319"/>
      <c r="G11035" s="320"/>
    </row>
    <row r="11036" spans="3:4">
      <c r="C11036" s="319"/>
      <c r="D11036" s="319"/>
    </row>
    <row r="11037" spans="3:4">
      <c r="C11037" s="319"/>
      <c r="D11037" s="319"/>
    </row>
    <row r="11038" spans="3:4">
      <c r="C11038" s="319"/>
      <c r="D11038" s="319"/>
    </row>
    <row r="11039" spans="3:7">
      <c r="C11039" s="319"/>
      <c r="D11039" s="319"/>
      <c r="G11039" s="320"/>
    </row>
    <row r="11040" spans="3:4">
      <c r="C11040" s="319"/>
      <c r="D11040" s="319"/>
    </row>
    <row r="11041" spans="3:4">
      <c r="C11041" s="319"/>
      <c r="D11041" s="319"/>
    </row>
    <row r="11042" spans="3:7">
      <c r="C11042" s="319"/>
      <c r="D11042" s="319"/>
      <c r="G11042" s="320"/>
    </row>
    <row r="11043" spans="3:4">
      <c r="C11043" s="319"/>
      <c r="D11043" s="319"/>
    </row>
    <row r="11044" spans="3:4">
      <c r="C11044" s="319"/>
      <c r="D11044" s="319"/>
    </row>
    <row r="11045" spans="3:4">
      <c r="C11045" s="319"/>
      <c r="D11045" s="319"/>
    </row>
    <row r="11046" spans="3:4">
      <c r="C11046" s="319"/>
      <c r="D11046" s="319"/>
    </row>
    <row r="11047" spans="3:4">
      <c r="C11047" s="319"/>
      <c r="D11047" s="319"/>
    </row>
    <row r="11048" spans="3:4">
      <c r="C11048" s="319"/>
      <c r="D11048" s="319"/>
    </row>
    <row r="11049" spans="3:4">
      <c r="C11049" s="319"/>
      <c r="D11049" s="319"/>
    </row>
    <row r="11050" spans="3:4">
      <c r="C11050" s="319"/>
      <c r="D11050" s="319"/>
    </row>
    <row r="11051" spans="3:7">
      <c r="C11051" s="319"/>
      <c r="D11051" s="319"/>
      <c r="G11051" s="320"/>
    </row>
    <row r="11052" spans="3:4">
      <c r="C11052" s="319"/>
      <c r="D11052" s="319"/>
    </row>
    <row r="11053" spans="3:7">
      <c r="C11053" s="319"/>
      <c r="D11053" s="319"/>
      <c r="G11053" s="320"/>
    </row>
    <row r="11054" spans="3:4">
      <c r="C11054" s="319"/>
      <c r="D11054" s="319"/>
    </row>
    <row r="11055" spans="3:7">
      <c r="C11055" s="319"/>
      <c r="D11055" s="319"/>
      <c r="G11055" s="320"/>
    </row>
    <row r="11056" spans="3:7">
      <c r="C11056" s="319"/>
      <c r="D11056" s="319"/>
      <c r="G11056" s="320"/>
    </row>
    <row r="11057" spans="3:4">
      <c r="C11057" s="319"/>
      <c r="D11057" s="319"/>
    </row>
    <row r="11058" spans="3:7">
      <c r="C11058" s="319"/>
      <c r="D11058" s="319"/>
      <c r="G11058" s="320"/>
    </row>
    <row r="11059" spans="3:7">
      <c r="C11059" s="319"/>
      <c r="D11059" s="319"/>
      <c r="G11059" s="320"/>
    </row>
    <row r="11060" spans="3:7">
      <c r="C11060" s="319"/>
      <c r="D11060" s="319"/>
      <c r="G11060" s="320"/>
    </row>
    <row r="11061" spans="3:7">
      <c r="C11061" s="319"/>
      <c r="D11061" s="319"/>
      <c r="G11061" s="320"/>
    </row>
    <row r="11062" spans="3:7">
      <c r="C11062" s="319"/>
      <c r="D11062" s="319"/>
      <c r="G11062" s="320"/>
    </row>
    <row r="11063" spans="3:4">
      <c r="C11063" s="319"/>
      <c r="D11063" s="319"/>
    </row>
    <row r="11064" spans="3:4">
      <c r="C11064" s="319"/>
      <c r="D11064" s="319"/>
    </row>
    <row r="11065" spans="3:4">
      <c r="C11065" s="319"/>
      <c r="D11065" s="319"/>
    </row>
    <row r="11066" spans="3:4">
      <c r="C11066" s="319"/>
      <c r="D11066" s="319"/>
    </row>
    <row r="11067" spans="3:4">
      <c r="C11067" s="319"/>
      <c r="D11067" s="319"/>
    </row>
    <row r="11068" spans="3:4">
      <c r="C11068" s="319"/>
      <c r="D11068" s="319"/>
    </row>
    <row r="11069" spans="3:4">
      <c r="C11069" s="319"/>
      <c r="D11069" s="319"/>
    </row>
    <row r="11070" spans="3:4">
      <c r="C11070" s="319"/>
      <c r="D11070" s="319"/>
    </row>
    <row r="11071" spans="3:4">
      <c r="C11071" s="319"/>
      <c r="D11071" s="319"/>
    </row>
    <row r="11072" spans="3:4">
      <c r="C11072" s="319"/>
      <c r="D11072" s="319"/>
    </row>
    <row r="11073" spans="3:4">
      <c r="C11073" s="319"/>
      <c r="D11073" s="319"/>
    </row>
    <row r="11074" spans="3:7">
      <c r="C11074" s="319"/>
      <c r="D11074" s="319"/>
      <c r="G11074" s="320"/>
    </row>
    <row r="11075" spans="3:4">
      <c r="C11075" s="319"/>
      <c r="D11075" s="319"/>
    </row>
    <row r="11076" spans="3:4">
      <c r="C11076" s="319"/>
      <c r="D11076" s="319"/>
    </row>
    <row r="11077" spans="3:4">
      <c r="C11077" s="319"/>
      <c r="D11077" s="319"/>
    </row>
    <row r="11078" spans="3:4">
      <c r="C11078" s="319"/>
      <c r="D11078" s="319"/>
    </row>
    <row r="11079" spans="3:4">
      <c r="C11079" s="319"/>
      <c r="D11079" s="319"/>
    </row>
    <row r="11080" spans="3:7">
      <c r="C11080" s="319"/>
      <c r="D11080" s="319"/>
      <c r="G11080" s="320"/>
    </row>
    <row r="11081" spans="3:4">
      <c r="C11081" s="319"/>
      <c r="D11081" s="319"/>
    </row>
    <row r="11082" spans="3:4">
      <c r="C11082" s="319"/>
      <c r="D11082" s="319"/>
    </row>
    <row r="11083" spans="3:4">
      <c r="C11083" s="319"/>
      <c r="D11083" s="319"/>
    </row>
    <row r="11084" spans="3:4">
      <c r="C11084" s="319"/>
      <c r="D11084" s="319"/>
    </row>
    <row r="11085" spans="3:4">
      <c r="C11085" s="319"/>
      <c r="D11085" s="319"/>
    </row>
    <row r="11086" spans="3:4">
      <c r="C11086" s="319"/>
      <c r="D11086" s="319"/>
    </row>
    <row r="11087" spans="3:4">
      <c r="C11087" s="319"/>
      <c r="D11087" s="319"/>
    </row>
    <row r="11088" spans="3:4">
      <c r="C11088" s="319"/>
      <c r="D11088" s="319"/>
    </row>
    <row r="11089" spans="3:4">
      <c r="C11089" s="319"/>
      <c r="D11089" s="319"/>
    </row>
    <row r="11090" spans="3:7">
      <c r="C11090" s="319"/>
      <c r="D11090" s="319"/>
      <c r="G11090" s="320"/>
    </row>
    <row r="11091" spans="3:4">
      <c r="C11091" s="319"/>
      <c r="D11091" s="319"/>
    </row>
    <row r="11092" spans="3:4">
      <c r="C11092" s="319"/>
      <c r="D11092" s="319"/>
    </row>
    <row r="11093" spans="3:4">
      <c r="C11093" s="319"/>
      <c r="D11093" s="319"/>
    </row>
    <row r="11094" spans="3:7">
      <c r="C11094" s="319"/>
      <c r="D11094" s="319"/>
      <c r="G11094" s="320"/>
    </row>
    <row r="11095" spans="3:4">
      <c r="C11095" s="319"/>
      <c r="D11095" s="319"/>
    </row>
    <row r="11096" spans="3:4">
      <c r="C11096" s="319"/>
      <c r="D11096" s="319"/>
    </row>
    <row r="11097" spans="3:4">
      <c r="C11097" s="319"/>
      <c r="D11097" s="319"/>
    </row>
    <row r="11098" spans="3:7">
      <c r="C11098" s="319"/>
      <c r="D11098" s="319"/>
      <c r="G11098" s="320"/>
    </row>
    <row r="11099" spans="3:4">
      <c r="C11099" s="319"/>
      <c r="D11099" s="319"/>
    </row>
    <row r="11100" spans="3:7">
      <c r="C11100" s="319"/>
      <c r="D11100" s="319"/>
      <c r="G11100" s="320"/>
    </row>
    <row r="11101" spans="3:4">
      <c r="C11101" s="319"/>
      <c r="D11101" s="319"/>
    </row>
    <row r="11102" spans="3:4">
      <c r="C11102" s="319"/>
      <c r="D11102" s="319"/>
    </row>
    <row r="11103" spans="3:7">
      <c r="C11103" s="319"/>
      <c r="D11103" s="319"/>
      <c r="G11103" s="320"/>
    </row>
    <row r="11104" spans="3:7">
      <c r="C11104" s="319"/>
      <c r="D11104" s="319"/>
      <c r="G11104" s="320"/>
    </row>
    <row r="11105" spans="3:4">
      <c r="C11105" s="319"/>
      <c r="D11105" s="319"/>
    </row>
    <row r="11106" spans="3:7">
      <c r="C11106" s="319"/>
      <c r="D11106" s="319"/>
      <c r="G11106" s="320"/>
    </row>
    <row r="11107" spans="3:7">
      <c r="C11107" s="319"/>
      <c r="D11107" s="319"/>
      <c r="G11107" s="320"/>
    </row>
    <row r="11108" spans="3:7">
      <c r="C11108" s="319"/>
      <c r="D11108" s="319"/>
      <c r="G11108" s="320"/>
    </row>
    <row r="11109" spans="3:4">
      <c r="C11109" s="319"/>
      <c r="D11109" s="319"/>
    </row>
    <row r="11110" spans="3:7">
      <c r="C11110" s="319"/>
      <c r="D11110" s="319"/>
      <c r="G11110" s="320"/>
    </row>
    <row r="11111" spans="3:7">
      <c r="C11111" s="319"/>
      <c r="D11111" s="319"/>
      <c r="G11111" s="320"/>
    </row>
    <row r="11112" spans="3:4">
      <c r="C11112" s="319"/>
      <c r="D11112" s="319"/>
    </row>
    <row r="11113" spans="3:4">
      <c r="C11113" s="319"/>
      <c r="D11113" s="319"/>
    </row>
    <row r="11114" spans="3:7">
      <c r="C11114" s="319"/>
      <c r="D11114" s="319"/>
      <c r="G11114" s="320"/>
    </row>
    <row r="11115" spans="3:4">
      <c r="C11115" s="319"/>
      <c r="D11115" s="319"/>
    </row>
    <row r="11116" spans="3:4">
      <c r="C11116" s="319"/>
      <c r="D11116" s="319"/>
    </row>
    <row r="11117" spans="3:4">
      <c r="C11117" s="319"/>
      <c r="D11117" s="319"/>
    </row>
    <row r="11118" spans="3:4">
      <c r="C11118" s="319"/>
      <c r="D11118" s="319"/>
    </row>
    <row r="11119" spans="3:4">
      <c r="C11119" s="319"/>
      <c r="D11119" s="319"/>
    </row>
    <row r="11120" spans="3:4">
      <c r="C11120" s="319"/>
      <c r="D11120" s="319"/>
    </row>
    <row r="11121" spans="3:7">
      <c r="C11121" s="319"/>
      <c r="D11121" s="319"/>
      <c r="G11121" s="320"/>
    </row>
    <row r="11122" spans="3:7">
      <c r="C11122" s="319"/>
      <c r="D11122" s="319"/>
      <c r="G11122" s="320"/>
    </row>
    <row r="11123" spans="3:4">
      <c r="C11123" s="319"/>
      <c r="D11123" s="319"/>
    </row>
    <row r="11124" spans="3:4">
      <c r="C11124" s="319"/>
      <c r="D11124" s="319"/>
    </row>
    <row r="11125" spans="3:4">
      <c r="C11125" s="319"/>
      <c r="D11125" s="319"/>
    </row>
    <row r="11126" spans="3:7">
      <c r="C11126" s="319"/>
      <c r="D11126" s="319"/>
      <c r="G11126" s="320"/>
    </row>
    <row r="11127" spans="3:4">
      <c r="C11127" s="319"/>
      <c r="D11127" s="319"/>
    </row>
    <row r="11128" spans="3:4">
      <c r="C11128" s="319"/>
      <c r="D11128" s="319"/>
    </row>
    <row r="11129" spans="3:7">
      <c r="C11129" s="319"/>
      <c r="D11129" s="319"/>
      <c r="G11129" s="320"/>
    </row>
    <row r="11130" spans="3:7">
      <c r="C11130" s="319"/>
      <c r="D11130" s="319"/>
      <c r="G11130" s="320"/>
    </row>
    <row r="11131" spans="3:4">
      <c r="C11131" s="319"/>
      <c r="D11131" s="319"/>
    </row>
    <row r="11132" spans="3:7">
      <c r="C11132" s="319"/>
      <c r="D11132" s="319"/>
      <c r="G11132" s="320"/>
    </row>
    <row r="11133" spans="3:7">
      <c r="C11133" s="319"/>
      <c r="D11133" s="319"/>
      <c r="G11133" s="320"/>
    </row>
    <row r="11134" spans="3:4">
      <c r="C11134" s="319"/>
      <c r="D11134" s="319"/>
    </row>
    <row r="11135" spans="3:4">
      <c r="C11135" s="319"/>
      <c r="D11135" s="319"/>
    </row>
    <row r="11136" spans="3:4">
      <c r="C11136" s="319"/>
      <c r="D11136" s="319"/>
    </row>
    <row r="11137" spans="3:7">
      <c r="C11137" s="319"/>
      <c r="D11137" s="319"/>
      <c r="G11137" s="320"/>
    </row>
    <row r="11138" spans="3:4">
      <c r="C11138" s="319"/>
      <c r="D11138" s="319"/>
    </row>
    <row r="11139" spans="3:4">
      <c r="C11139" s="319"/>
      <c r="D11139" s="319"/>
    </row>
    <row r="11140" spans="3:7">
      <c r="C11140" s="319"/>
      <c r="D11140" s="319"/>
      <c r="G11140" s="320"/>
    </row>
    <row r="11141" spans="3:4">
      <c r="C11141" s="319"/>
      <c r="D11141" s="319"/>
    </row>
    <row r="11142" spans="3:4">
      <c r="C11142" s="319"/>
      <c r="D11142" s="319"/>
    </row>
    <row r="11143" spans="3:4">
      <c r="C11143" s="319"/>
      <c r="D11143" s="319"/>
    </row>
    <row r="11144" spans="3:4">
      <c r="C11144" s="319"/>
      <c r="D11144" s="319"/>
    </row>
    <row r="11145" spans="3:7">
      <c r="C11145" s="319"/>
      <c r="D11145" s="319"/>
      <c r="G11145" s="320"/>
    </row>
    <row r="11146" spans="3:4">
      <c r="C11146" s="319"/>
      <c r="D11146" s="319"/>
    </row>
    <row r="11147" spans="3:4">
      <c r="C11147" s="319"/>
      <c r="D11147" s="319"/>
    </row>
    <row r="11148" spans="3:4">
      <c r="C11148" s="319"/>
      <c r="D11148" s="319"/>
    </row>
    <row r="11149" spans="3:4">
      <c r="C11149" s="319"/>
      <c r="D11149" s="319"/>
    </row>
    <row r="11150" spans="3:4">
      <c r="C11150" s="319"/>
      <c r="D11150" s="319"/>
    </row>
    <row r="11151" spans="3:7">
      <c r="C11151" s="319"/>
      <c r="D11151" s="319"/>
      <c r="G11151" s="320"/>
    </row>
    <row r="11152" spans="3:7">
      <c r="C11152" s="319"/>
      <c r="D11152" s="319"/>
      <c r="G11152" s="320"/>
    </row>
    <row r="11153" spans="3:7">
      <c r="C11153" s="319"/>
      <c r="D11153" s="319"/>
      <c r="G11153" s="320"/>
    </row>
    <row r="11154" spans="3:7">
      <c r="C11154" s="319"/>
      <c r="D11154" s="319"/>
      <c r="G11154" s="320"/>
    </row>
    <row r="11155" spans="3:7">
      <c r="C11155" s="319"/>
      <c r="D11155" s="319"/>
      <c r="G11155" s="320"/>
    </row>
    <row r="11156" spans="3:4">
      <c r="C11156" s="319"/>
      <c r="D11156" s="319"/>
    </row>
    <row r="11157" spans="3:7">
      <c r="C11157" s="319"/>
      <c r="D11157" s="319"/>
      <c r="G11157" s="320"/>
    </row>
    <row r="11158" spans="3:7">
      <c r="C11158" s="319"/>
      <c r="D11158" s="319"/>
      <c r="G11158" s="320"/>
    </row>
    <row r="11159" spans="3:4">
      <c r="C11159" s="319"/>
      <c r="D11159" s="319"/>
    </row>
    <row r="11160" spans="3:7">
      <c r="C11160" s="319"/>
      <c r="D11160" s="319"/>
      <c r="G11160" s="320"/>
    </row>
    <row r="11161" spans="3:4">
      <c r="C11161" s="319"/>
      <c r="D11161" s="319"/>
    </row>
    <row r="11162" spans="3:4">
      <c r="C11162" s="319"/>
      <c r="D11162" s="319"/>
    </row>
    <row r="11163" spans="3:4">
      <c r="C11163" s="319"/>
      <c r="D11163" s="319"/>
    </row>
    <row r="11164" spans="3:7">
      <c r="C11164" s="319"/>
      <c r="D11164" s="319"/>
      <c r="G11164" s="320"/>
    </row>
    <row r="11165" spans="3:7">
      <c r="C11165" s="319"/>
      <c r="D11165" s="319"/>
      <c r="G11165" s="320"/>
    </row>
    <row r="11166" spans="3:4">
      <c r="C11166" s="319"/>
      <c r="D11166" s="319"/>
    </row>
    <row r="11167" spans="3:7">
      <c r="C11167" s="319"/>
      <c r="D11167" s="319"/>
      <c r="G11167" s="320"/>
    </row>
    <row r="11168" spans="3:7">
      <c r="C11168" s="319"/>
      <c r="D11168" s="319"/>
      <c r="G11168" s="320"/>
    </row>
    <row r="11169" spans="3:4">
      <c r="C11169" s="319"/>
      <c r="D11169" s="319"/>
    </row>
    <row r="11170" spans="3:4">
      <c r="C11170" s="319"/>
      <c r="D11170" s="319"/>
    </row>
    <row r="11171" spans="3:7">
      <c r="C11171" s="319"/>
      <c r="D11171" s="319"/>
      <c r="G11171" s="320"/>
    </row>
    <row r="11172" spans="3:7">
      <c r="C11172" s="319"/>
      <c r="D11172" s="319"/>
      <c r="G11172" s="320"/>
    </row>
    <row r="11173" spans="3:7">
      <c r="C11173" s="319"/>
      <c r="D11173" s="319"/>
      <c r="G11173" s="320"/>
    </row>
    <row r="11174" spans="3:4">
      <c r="C11174" s="319"/>
      <c r="D11174" s="319"/>
    </row>
    <row r="11175" spans="3:4">
      <c r="C11175" s="319"/>
      <c r="D11175" s="319"/>
    </row>
    <row r="11176" spans="3:7">
      <c r="C11176" s="319"/>
      <c r="D11176" s="319"/>
      <c r="G11176" s="320"/>
    </row>
    <row r="11177" spans="3:7">
      <c r="C11177" s="319"/>
      <c r="D11177" s="319"/>
      <c r="G11177" s="320"/>
    </row>
    <row r="11178" spans="3:4">
      <c r="C11178" s="319"/>
      <c r="D11178" s="319"/>
    </row>
    <row r="11179" spans="3:4">
      <c r="C11179" s="319"/>
      <c r="D11179" s="319"/>
    </row>
    <row r="11180" spans="3:4">
      <c r="C11180" s="319"/>
      <c r="D11180" s="319"/>
    </row>
    <row r="11181" spans="3:4">
      <c r="C11181" s="319"/>
      <c r="D11181" s="319"/>
    </row>
    <row r="11182" spans="3:7">
      <c r="C11182" s="319"/>
      <c r="D11182" s="319"/>
      <c r="G11182" s="320"/>
    </row>
    <row r="11183" spans="3:7">
      <c r="C11183" s="319"/>
      <c r="D11183" s="319"/>
      <c r="G11183" s="320"/>
    </row>
    <row r="11184" spans="3:7">
      <c r="C11184" s="319"/>
      <c r="D11184" s="319"/>
      <c r="G11184" s="320"/>
    </row>
    <row r="11185" spans="3:7">
      <c r="C11185" s="319"/>
      <c r="D11185" s="319"/>
      <c r="G11185" s="320"/>
    </row>
    <row r="11186" spans="3:7">
      <c r="C11186" s="319"/>
      <c r="D11186" s="319"/>
      <c r="G11186" s="320"/>
    </row>
    <row r="11187" spans="3:7">
      <c r="C11187" s="319"/>
      <c r="D11187" s="319"/>
      <c r="G11187" s="320"/>
    </row>
    <row r="11188" spans="3:4">
      <c r="C11188" s="319"/>
      <c r="D11188" s="319"/>
    </row>
    <row r="11189" spans="3:7">
      <c r="C11189" s="319"/>
      <c r="D11189" s="319"/>
      <c r="G11189" s="320"/>
    </row>
    <row r="11190" spans="3:7">
      <c r="C11190" s="319"/>
      <c r="D11190" s="319"/>
      <c r="G11190" s="320"/>
    </row>
    <row r="11191" spans="3:7">
      <c r="C11191" s="319"/>
      <c r="D11191" s="319"/>
      <c r="G11191" s="320"/>
    </row>
    <row r="11192" spans="3:7">
      <c r="C11192" s="319"/>
      <c r="D11192" s="319"/>
      <c r="G11192" s="320"/>
    </row>
    <row r="11193" spans="3:4">
      <c r="C11193" s="319"/>
      <c r="D11193" s="319"/>
    </row>
    <row r="11194" spans="3:4">
      <c r="C11194" s="319"/>
      <c r="D11194" s="319"/>
    </row>
    <row r="11195" spans="3:7">
      <c r="C11195" s="319"/>
      <c r="D11195" s="319"/>
      <c r="G11195" s="320"/>
    </row>
    <row r="11196" spans="3:7">
      <c r="C11196" s="319"/>
      <c r="D11196" s="319"/>
      <c r="G11196" s="320"/>
    </row>
    <row r="11197" spans="3:4">
      <c r="C11197" s="319"/>
      <c r="D11197" s="319"/>
    </row>
    <row r="11198" spans="3:4">
      <c r="C11198" s="319"/>
      <c r="D11198" s="319"/>
    </row>
    <row r="11199" spans="3:4">
      <c r="C11199" s="319"/>
      <c r="D11199" s="319"/>
    </row>
    <row r="11200" spans="3:7">
      <c r="C11200" s="319"/>
      <c r="D11200" s="319"/>
      <c r="G11200" s="320"/>
    </row>
    <row r="11201" spans="3:4">
      <c r="C11201" s="319"/>
      <c r="D11201" s="319"/>
    </row>
    <row r="11202" spans="3:7">
      <c r="C11202" s="319"/>
      <c r="D11202" s="319"/>
      <c r="G11202" s="320"/>
    </row>
    <row r="11203" spans="3:7">
      <c r="C11203" s="319"/>
      <c r="D11203" s="319"/>
      <c r="G11203" s="320"/>
    </row>
    <row r="11204" spans="3:4">
      <c r="C11204" s="319"/>
      <c r="D11204" s="319"/>
    </row>
    <row r="11205" spans="3:7">
      <c r="C11205" s="319"/>
      <c r="D11205" s="319"/>
      <c r="G11205" s="320"/>
    </row>
    <row r="11206" spans="3:4">
      <c r="C11206" s="319"/>
      <c r="D11206" s="319"/>
    </row>
    <row r="11207" spans="3:4">
      <c r="C11207" s="319"/>
      <c r="D11207" s="319"/>
    </row>
    <row r="11208" spans="3:7">
      <c r="C11208" s="319"/>
      <c r="D11208" s="319"/>
      <c r="G11208" s="320"/>
    </row>
    <row r="11209" spans="3:7">
      <c r="C11209" s="319"/>
      <c r="D11209" s="319"/>
      <c r="G11209" s="320"/>
    </row>
    <row r="11210" spans="3:4">
      <c r="C11210" s="319"/>
      <c r="D11210" s="319"/>
    </row>
    <row r="11211" spans="3:4">
      <c r="C11211" s="319"/>
      <c r="D11211" s="319"/>
    </row>
    <row r="11212" spans="3:7">
      <c r="C11212" s="319"/>
      <c r="D11212" s="319"/>
      <c r="G11212" s="320"/>
    </row>
    <row r="11213" spans="3:7">
      <c r="C11213" s="319"/>
      <c r="D11213" s="319"/>
      <c r="G11213" s="320"/>
    </row>
    <row r="11214" spans="3:4">
      <c r="C11214" s="319"/>
      <c r="D11214" s="319"/>
    </row>
    <row r="11215" spans="3:7">
      <c r="C11215" s="319"/>
      <c r="D11215" s="319"/>
      <c r="G11215" s="320"/>
    </row>
    <row r="11216" spans="3:7">
      <c r="C11216" s="319"/>
      <c r="D11216" s="319"/>
      <c r="G11216" s="320"/>
    </row>
    <row r="11217" spans="3:7">
      <c r="C11217" s="319"/>
      <c r="D11217" s="319"/>
      <c r="G11217" s="320"/>
    </row>
    <row r="11218" spans="3:7">
      <c r="C11218" s="319"/>
      <c r="D11218" s="319"/>
      <c r="G11218" s="320"/>
    </row>
    <row r="11219" spans="3:4">
      <c r="C11219" s="319"/>
      <c r="D11219" s="319"/>
    </row>
    <row r="11220" spans="3:7">
      <c r="C11220" s="319"/>
      <c r="D11220" s="319"/>
      <c r="G11220" s="320"/>
    </row>
    <row r="11221" spans="3:7">
      <c r="C11221" s="319"/>
      <c r="D11221" s="319"/>
      <c r="G11221" s="320"/>
    </row>
    <row r="11222" spans="3:7">
      <c r="C11222" s="319"/>
      <c r="D11222" s="319"/>
      <c r="G11222" s="320"/>
    </row>
    <row r="11223" spans="3:7">
      <c r="C11223" s="319"/>
      <c r="D11223" s="319"/>
      <c r="G11223" s="320"/>
    </row>
    <row r="11224" spans="3:7">
      <c r="C11224" s="319"/>
      <c r="D11224" s="319"/>
      <c r="G11224" s="320"/>
    </row>
    <row r="11225" spans="3:4">
      <c r="C11225" s="319"/>
      <c r="D11225" s="319"/>
    </row>
    <row r="11226" spans="3:4">
      <c r="C11226" s="319"/>
      <c r="D11226" s="319"/>
    </row>
    <row r="11227" spans="3:4">
      <c r="C11227" s="319"/>
      <c r="D11227" s="319"/>
    </row>
    <row r="11228" spans="3:4">
      <c r="C11228" s="319"/>
      <c r="D11228" s="319"/>
    </row>
    <row r="11229" spans="3:7">
      <c r="C11229" s="319"/>
      <c r="D11229" s="319"/>
      <c r="G11229" s="320"/>
    </row>
    <row r="11230" spans="3:7">
      <c r="C11230" s="319"/>
      <c r="D11230" s="319"/>
      <c r="G11230" s="320"/>
    </row>
    <row r="11231" spans="3:7">
      <c r="C11231" s="319"/>
      <c r="D11231" s="319"/>
      <c r="G11231" s="320"/>
    </row>
    <row r="11232" spans="3:4">
      <c r="C11232" s="319"/>
      <c r="D11232" s="319"/>
    </row>
    <row r="11233" spans="3:7">
      <c r="C11233" s="319"/>
      <c r="D11233" s="319"/>
      <c r="G11233" s="320"/>
    </row>
    <row r="11234" spans="3:4">
      <c r="C11234" s="319"/>
      <c r="D11234" s="319"/>
    </row>
    <row r="11235" spans="3:7">
      <c r="C11235" s="319"/>
      <c r="D11235" s="319"/>
      <c r="G11235" s="320"/>
    </row>
    <row r="11236" spans="3:7">
      <c r="C11236" s="319"/>
      <c r="D11236" s="319"/>
      <c r="G11236" s="320"/>
    </row>
    <row r="11237" spans="3:4">
      <c r="C11237" s="319"/>
      <c r="D11237" s="319"/>
    </row>
    <row r="11238" spans="3:4">
      <c r="C11238" s="319"/>
      <c r="D11238" s="319"/>
    </row>
    <row r="11239" spans="3:4">
      <c r="C11239" s="319"/>
      <c r="D11239" s="319"/>
    </row>
    <row r="11240" spans="3:7">
      <c r="C11240" s="319"/>
      <c r="D11240" s="319"/>
      <c r="G11240" s="320"/>
    </row>
    <row r="11241" spans="3:7">
      <c r="C11241" s="319"/>
      <c r="D11241" s="319"/>
      <c r="G11241" s="320"/>
    </row>
    <row r="11242" spans="3:7">
      <c r="C11242" s="319"/>
      <c r="D11242" s="319"/>
      <c r="G11242" s="320"/>
    </row>
    <row r="11243" spans="3:7">
      <c r="C11243" s="319"/>
      <c r="D11243" s="319"/>
      <c r="G11243" s="320"/>
    </row>
    <row r="11244" spans="3:7">
      <c r="C11244" s="319"/>
      <c r="D11244" s="319"/>
      <c r="G11244" s="320"/>
    </row>
    <row r="11245" spans="3:7">
      <c r="C11245" s="319"/>
      <c r="D11245" s="319"/>
      <c r="G11245" s="320"/>
    </row>
    <row r="11246" spans="3:7">
      <c r="C11246" s="319"/>
      <c r="D11246" s="319"/>
      <c r="G11246" s="320"/>
    </row>
    <row r="11247" spans="3:7">
      <c r="C11247" s="319"/>
      <c r="D11247" s="319"/>
      <c r="G11247" s="320"/>
    </row>
    <row r="11248" spans="3:7">
      <c r="C11248" s="319"/>
      <c r="D11248" s="319"/>
      <c r="G11248" s="320"/>
    </row>
    <row r="11249" spans="3:4">
      <c r="C11249" s="319"/>
      <c r="D11249" s="319"/>
    </row>
    <row r="11250" spans="3:4">
      <c r="C11250" s="319"/>
      <c r="D11250" s="319"/>
    </row>
    <row r="11251" spans="3:7">
      <c r="C11251" s="319"/>
      <c r="D11251" s="319"/>
      <c r="G11251" s="320"/>
    </row>
    <row r="11252" spans="3:4">
      <c r="C11252" s="319"/>
      <c r="D11252" s="319"/>
    </row>
    <row r="11253" spans="3:7">
      <c r="C11253" s="319"/>
      <c r="D11253" s="319"/>
      <c r="G11253" s="320"/>
    </row>
    <row r="11254" spans="3:7">
      <c r="C11254" s="319"/>
      <c r="D11254" s="319"/>
      <c r="G11254" s="320"/>
    </row>
    <row r="11255" spans="3:4">
      <c r="C11255" s="319"/>
      <c r="D11255" s="319"/>
    </row>
    <row r="11256" spans="3:4">
      <c r="C11256" s="319"/>
      <c r="D11256" s="319"/>
    </row>
    <row r="11257" spans="3:4">
      <c r="C11257" s="319"/>
      <c r="D11257" s="319"/>
    </row>
    <row r="11258" spans="3:7">
      <c r="C11258" s="319"/>
      <c r="D11258" s="319"/>
      <c r="G11258" s="320"/>
    </row>
    <row r="11259" spans="3:4">
      <c r="C11259" s="319"/>
      <c r="D11259" s="319"/>
    </row>
    <row r="11260" spans="3:4">
      <c r="C11260" s="319"/>
      <c r="D11260" s="319"/>
    </row>
    <row r="11261" spans="3:7">
      <c r="C11261" s="319"/>
      <c r="D11261" s="319"/>
      <c r="G11261" s="320"/>
    </row>
    <row r="11262" spans="3:7">
      <c r="C11262" s="319"/>
      <c r="D11262" s="319"/>
      <c r="G11262" s="320"/>
    </row>
    <row r="11263" spans="3:4">
      <c r="C11263" s="319"/>
      <c r="D11263" s="319"/>
    </row>
    <row r="11264" spans="3:4">
      <c r="C11264" s="319"/>
      <c r="D11264" s="319"/>
    </row>
    <row r="11265" spans="3:4">
      <c r="C11265" s="319"/>
      <c r="D11265" s="319"/>
    </row>
    <row r="11266" spans="3:7">
      <c r="C11266" s="319"/>
      <c r="D11266" s="319"/>
      <c r="G11266" s="320"/>
    </row>
    <row r="11267" spans="3:4">
      <c r="C11267" s="319"/>
      <c r="D11267" s="319"/>
    </row>
    <row r="11268" spans="3:4">
      <c r="C11268" s="319"/>
      <c r="D11268" s="319"/>
    </row>
    <row r="11269" spans="3:7">
      <c r="C11269" s="319"/>
      <c r="D11269" s="319"/>
      <c r="G11269" s="320"/>
    </row>
    <row r="11270" spans="3:4">
      <c r="C11270" s="319"/>
      <c r="D11270" s="319"/>
    </row>
    <row r="11271" spans="3:4">
      <c r="C11271" s="319"/>
      <c r="D11271" s="319"/>
    </row>
    <row r="11272" spans="3:7">
      <c r="C11272" s="319"/>
      <c r="D11272" s="319"/>
      <c r="G11272" s="320"/>
    </row>
    <row r="11273" spans="3:7">
      <c r="C11273" s="319"/>
      <c r="D11273" s="319"/>
      <c r="G11273" s="320"/>
    </row>
    <row r="11274" spans="3:4">
      <c r="C11274" s="319"/>
      <c r="D11274" s="319"/>
    </row>
    <row r="11275" spans="3:4">
      <c r="C11275" s="319"/>
      <c r="D11275" s="319"/>
    </row>
    <row r="11276" spans="3:4">
      <c r="C11276" s="319"/>
      <c r="D11276" s="319"/>
    </row>
    <row r="11277" spans="3:7">
      <c r="C11277" s="319"/>
      <c r="D11277" s="319"/>
      <c r="G11277" s="320"/>
    </row>
    <row r="11278" spans="3:7">
      <c r="C11278" s="319"/>
      <c r="D11278" s="319"/>
      <c r="G11278" s="320"/>
    </row>
    <row r="11279" spans="3:7">
      <c r="C11279" s="319"/>
      <c r="D11279" s="319"/>
      <c r="G11279" s="320"/>
    </row>
    <row r="11280" spans="3:7">
      <c r="C11280" s="319"/>
      <c r="D11280" s="319"/>
      <c r="G11280" s="320"/>
    </row>
    <row r="11281" spans="3:7">
      <c r="C11281" s="319"/>
      <c r="D11281" s="319"/>
      <c r="G11281" s="320"/>
    </row>
    <row r="11282" spans="3:7">
      <c r="C11282" s="319"/>
      <c r="D11282" s="319"/>
      <c r="G11282" s="320"/>
    </row>
    <row r="11283" spans="3:4">
      <c r="C11283" s="319"/>
      <c r="D11283" s="319"/>
    </row>
    <row r="11284" spans="3:4">
      <c r="C11284" s="319"/>
      <c r="D11284" s="319"/>
    </row>
    <row r="11285" spans="3:7">
      <c r="C11285" s="319"/>
      <c r="D11285" s="319"/>
      <c r="G11285" s="320"/>
    </row>
    <row r="11286" spans="3:7">
      <c r="C11286" s="319"/>
      <c r="D11286" s="319"/>
      <c r="G11286" s="320"/>
    </row>
    <row r="11287" spans="3:4">
      <c r="C11287" s="319"/>
      <c r="D11287" s="319"/>
    </row>
    <row r="11288" spans="3:4">
      <c r="C11288" s="319"/>
      <c r="D11288" s="319"/>
    </row>
    <row r="11289" spans="3:7">
      <c r="C11289" s="319"/>
      <c r="D11289" s="319"/>
      <c r="G11289" s="320"/>
    </row>
    <row r="11290" spans="3:7">
      <c r="C11290" s="319"/>
      <c r="D11290" s="319"/>
      <c r="G11290" s="320"/>
    </row>
    <row r="11291" spans="3:7">
      <c r="C11291" s="319"/>
      <c r="D11291" s="319"/>
      <c r="G11291" s="320"/>
    </row>
    <row r="11292" spans="3:4">
      <c r="C11292" s="319"/>
      <c r="D11292" s="319"/>
    </row>
    <row r="11293" spans="3:7">
      <c r="C11293" s="319"/>
      <c r="D11293" s="319"/>
      <c r="G11293" s="320"/>
    </row>
    <row r="11294" spans="3:4">
      <c r="C11294" s="319"/>
      <c r="D11294" s="319"/>
    </row>
    <row r="11295" spans="3:4">
      <c r="C11295" s="319"/>
      <c r="D11295" s="319"/>
    </row>
    <row r="11296" spans="3:7">
      <c r="C11296" s="319"/>
      <c r="D11296" s="319"/>
      <c r="G11296" s="320"/>
    </row>
    <row r="11297" spans="3:4">
      <c r="C11297" s="319"/>
      <c r="D11297" s="319"/>
    </row>
    <row r="11298" spans="3:4">
      <c r="C11298" s="319"/>
      <c r="D11298" s="319"/>
    </row>
    <row r="11299" spans="3:4">
      <c r="C11299" s="319"/>
      <c r="D11299" s="319"/>
    </row>
    <row r="11300" spans="3:4">
      <c r="C11300" s="319"/>
      <c r="D11300" s="319"/>
    </row>
    <row r="11301" spans="3:4">
      <c r="C11301" s="319"/>
      <c r="D11301" s="319"/>
    </row>
    <row r="11302" spans="3:4">
      <c r="C11302" s="319"/>
      <c r="D11302" s="319"/>
    </row>
    <row r="11303" spans="3:7">
      <c r="C11303" s="319"/>
      <c r="D11303" s="319"/>
      <c r="G11303" s="320"/>
    </row>
    <row r="11304" spans="3:4">
      <c r="C11304" s="319"/>
      <c r="D11304" s="319"/>
    </row>
    <row r="11305" spans="3:7">
      <c r="C11305" s="319"/>
      <c r="D11305" s="319"/>
      <c r="G11305" s="320"/>
    </row>
    <row r="11306" spans="3:4">
      <c r="C11306" s="319"/>
      <c r="D11306" s="319"/>
    </row>
    <row r="11307" spans="3:7">
      <c r="C11307" s="319"/>
      <c r="D11307" s="319"/>
      <c r="G11307" s="320"/>
    </row>
    <row r="11308" spans="3:7">
      <c r="C11308" s="319"/>
      <c r="D11308" s="319"/>
      <c r="G11308" s="320"/>
    </row>
    <row r="11309" spans="3:4">
      <c r="C11309" s="319"/>
      <c r="D11309" s="319"/>
    </row>
    <row r="11310" spans="3:7">
      <c r="C11310" s="319"/>
      <c r="D11310" s="319"/>
      <c r="G11310" s="320"/>
    </row>
    <row r="11311" spans="3:4">
      <c r="C11311" s="319"/>
      <c r="D11311" s="319"/>
    </row>
    <row r="11312" spans="3:4">
      <c r="C11312" s="319"/>
      <c r="D11312" s="319"/>
    </row>
    <row r="11313" spans="3:4">
      <c r="C11313" s="319"/>
      <c r="D11313" s="319"/>
    </row>
    <row r="11314" spans="3:4">
      <c r="C11314" s="319"/>
      <c r="D11314" s="319"/>
    </row>
    <row r="11315" spans="3:4">
      <c r="C11315" s="319"/>
      <c r="D11315" s="319"/>
    </row>
    <row r="11316" spans="3:4">
      <c r="C11316" s="319"/>
      <c r="D11316" s="319"/>
    </row>
    <row r="11317" spans="3:4">
      <c r="C11317" s="319"/>
      <c r="D11317" s="319"/>
    </row>
    <row r="11318" spans="3:7">
      <c r="C11318" s="319"/>
      <c r="D11318" s="319"/>
      <c r="G11318" s="320"/>
    </row>
    <row r="11319" spans="3:4">
      <c r="C11319" s="319"/>
      <c r="D11319" s="319"/>
    </row>
    <row r="11320" spans="3:7">
      <c r="C11320" s="319"/>
      <c r="D11320" s="319"/>
      <c r="G11320" s="320"/>
    </row>
    <row r="11321" spans="3:4">
      <c r="C11321" s="319"/>
      <c r="D11321" s="319"/>
    </row>
    <row r="11322" spans="3:7">
      <c r="C11322" s="319"/>
      <c r="D11322" s="319"/>
      <c r="G11322" s="320"/>
    </row>
    <row r="11323" spans="3:4">
      <c r="C11323" s="319"/>
      <c r="D11323" s="319"/>
    </row>
    <row r="11324" spans="3:7">
      <c r="C11324" s="319"/>
      <c r="D11324" s="319"/>
      <c r="G11324" s="320"/>
    </row>
    <row r="11325" spans="3:4">
      <c r="C11325" s="319"/>
      <c r="D11325" s="319"/>
    </row>
    <row r="11326" spans="3:7">
      <c r="C11326" s="319"/>
      <c r="D11326" s="319"/>
      <c r="G11326" s="320"/>
    </row>
    <row r="11327" spans="3:7">
      <c r="C11327" s="319"/>
      <c r="D11327" s="319"/>
      <c r="G11327" s="320"/>
    </row>
    <row r="11328" spans="3:4">
      <c r="C11328" s="319"/>
      <c r="D11328" s="319"/>
    </row>
    <row r="11329" spans="3:7">
      <c r="C11329" s="319"/>
      <c r="D11329" s="319"/>
      <c r="G11329" s="320"/>
    </row>
    <row r="11330" spans="3:7">
      <c r="C11330" s="319"/>
      <c r="D11330" s="319"/>
      <c r="G11330" s="320"/>
    </row>
    <row r="11331" spans="3:7">
      <c r="C11331" s="319"/>
      <c r="D11331" s="319"/>
      <c r="G11331" s="320"/>
    </row>
    <row r="11332" spans="3:7">
      <c r="C11332" s="319"/>
      <c r="D11332" s="319"/>
      <c r="G11332" s="320"/>
    </row>
    <row r="11333" spans="3:7">
      <c r="C11333" s="319"/>
      <c r="D11333" s="319"/>
      <c r="G11333" s="320"/>
    </row>
    <row r="11334" spans="3:7">
      <c r="C11334" s="319"/>
      <c r="D11334" s="319"/>
      <c r="G11334" s="320"/>
    </row>
    <row r="11335" spans="3:4">
      <c r="C11335" s="319"/>
      <c r="D11335" s="319"/>
    </row>
    <row r="11336" spans="3:7">
      <c r="C11336" s="319"/>
      <c r="D11336" s="319"/>
      <c r="G11336" s="320"/>
    </row>
    <row r="11337" spans="3:4">
      <c r="C11337" s="319"/>
      <c r="D11337" s="319"/>
    </row>
    <row r="11338" spans="3:4">
      <c r="C11338" s="319"/>
      <c r="D11338" s="319"/>
    </row>
    <row r="11339" spans="3:7">
      <c r="C11339" s="319"/>
      <c r="D11339" s="319"/>
      <c r="G11339" s="320"/>
    </row>
    <row r="11340" spans="3:4">
      <c r="C11340" s="319"/>
      <c r="D11340" s="319"/>
    </row>
    <row r="11341" spans="3:4">
      <c r="C11341" s="319"/>
      <c r="D11341" s="319"/>
    </row>
    <row r="11342" spans="3:4">
      <c r="C11342" s="319"/>
      <c r="D11342" s="319"/>
    </row>
    <row r="11343" spans="3:7">
      <c r="C11343" s="319"/>
      <c r="D11343" s="319"/>
      <c r="G11343" s="320"/>
    </row>
    <row r="11344" spans="3:7">
      <c r="C11344" s="319"/>
      <c r="D11344" s="319"/>
      <c r="G11344" s="320"/>
    </row>
    <row r="11345" spans="3:4">
      <c r="C11345" s="319"/>
      <c r="D11345" s="319"/>
    </row>
    <row r="11346" spans="3:4">
      <c r="C11346" s="319"/>
      <c r="D11346" s="319"/>
    </row>
    <row r="11347" spans="3:7">
      <c r="C11347" s="319"/>
      <c r="D11347" s="319"/>
      <c r="G11347" s="320"/>
    </row>
    <row r="11348" spans="3:4">
      <c r="C11348" s="319"/>
      <c r="D11348" s="319"/>
    </row>
    <row r="11349" spans="3:7">
      <c r="C11349" s="319"/>
      <c r="D11349" s="319"/>
      <c r="G11349" s="320"/>
    </row>
    <row r="11350" spans="3:7">
      <c r="C11350" s="319"/>
      <c r="D11350" s="319"/>
      <c r="G11350" s="320"/>
    </row>
    <row r="11351" spans="3:4">
      <c r="C11351" s="319"/>
      <c r="D11351" s="319"/>
    </row>
    <row r="11352" spans="3:7">
      <c r="C11352" s="319"/>
      <c r="D11352" s="319"/>
      <c r="G11352" s="320"/>
    </row>
    <row r="11353" spans="3:7">
      <c r="C11353" s="319"/>
      <c r="D11353" s="319"/>
      <c r="G11353" s="320"/>
    </row>
    <row r="11354" spans="3:4">
      <c r="C11354" s="319"/>
      <c r="D11354" s="319"/>
    </row>
    <row r="11355" spans="3:4">
      <c r="C11355" s="319"/>
      <c r="D11355" s="319"/>
    </row>
    <row r="11356" spans="3:7">
      <c r="C11356" s="319"/>
      <c r="D11356" s="319"/>
      <c r="G11356" s="320"/>
    </row>
    <row r="11357" spans="3:4">
      <c r="C11357" s="319"/>
      <c r="D11357" s="319"/>
    </row>
    <row r="11358" spans="3:7">
      <c r="C11358" s="319"/>
      <c r="D11358" s="319"/>
      <c r="G11358" s="320"/>
    </row>
    <row r="11359" spans="3:7">
      <c r="C11359" s="319"/>
      <c r="D11359" s="319"/>
      <c r="G11359" s="320"/>
    </row>
    <row r="11360" spans="3:7">
      <c r="C11360" s="319"/>
      <c r="D11360" s="319"/>
      <c r="G11360" s="320"/>
    </row>
    <row r="11361" spans="3:4">
      <c r="C11361" s="319"/>
      <c r="D11361" s="319"/>
    </row>
    <row r="11362" spans="3:7">
      <c r="C11362" s="319"/>
      <c r="D11362" s="319"/>
      <c r="G11362" s="320"/>
    </row>
    <row r="11363" spans="3:7">
      <c r="C11363" s="319"/>
      <c r="D11363" s="319"/>
      <c r="G11363" s="320"/>
    </row>
    <row r="11364" spans="3:7">
      <c r="C11364" s="319"/>
      <c r="D11364" s="319"/>
      <c r="G11364" s="320"/>
    </row>
    <row r="11365" spans="3:7">
      <c r="C11365" s="319"/>
      <c r="D11365" s="319"/>
      <c r="G11365" s="320"/>
    </row>
    <row r="11366" spans="3:4">
      <c r="C11366" s="319"/>
      <c r="D11366" s="319"/>
    </row>
    <row r="11367" spans="3:4">
      <c r="C11367" s="319"/>
      <c r="D11367" s="319"/>
    </row>
    <row r="11368" spans="3:7">
      <c r="C11368" s="319"/>
      <c r="D11368" s="319"/>
      <c r="G11368" s="320"/>
    </row>
    <row r="11369" spans="3:7">
      <c r="C11369" s="319"/>
      <c r="D11369" s="319"/>
      <c r="G11369" s="320"/>
    </row>
    <row r="11370" spans="3:7">
      <c r="C11370" s="319"/>
      <c r="D11370" s="319"/>
      <c r="G11370" s="320"/>
    </row>
    <row r="11371" spans="3:7">
      <c r="C11371" s="319"/>
      <c r="D11371" s="319"/>
      <c r="G11371" s="320"/>
    </row>
    <row r="11372" spans="3:7">
      <c r="C11372" s="319"/>
      <c r="D11372" s="319"/>
      <c r="G11372" s="320"/>
    </row>
    <row r="11373" spans="3:7">
      <c r="C11373" s="319"/>
      <c r="D11373" s="319"/>
      <c r="G11373" s="320"/>
    </row>
    <row r="11374" spans="3:7">
      <c r="C11374" s="319"/>
      <c r="D11374" s="319"/>
      <c r="G11374" s="320"/>
    </row>
    <row r="11375" spans="3:7">
      <c r="C11375" s="319"/>
      <c r="D11375" s="319"/>
      <c r="G11375" s="320"/>
    </row>
    <row r="11376" spans="3:7">
      <c r="C11376" s="319"/>
      <c r="D11376" s="319"/>
      <c r="G11376" s="320"/>
    </row>
    <row r="11377" spans="3:4">
      <c r="C11377" s="319"/>
      <c r="D11377" s="319"/>
    </row>
    <row r="11378" spans="3:4">
      <c r="C11378" s="319"/>
      <c r="D11378" s="319"/>
    </row>
    <row r="11379" spans="3:7">
      <c r="C11379" s="319"/>
      <c r="D11379" s="319"/>
      <c r="G11379" s="320"/>
    </row>
    <row r="11380" spans="3:4">
      <c r="C11380" s="319"/>
      <c r="D11380" s="319"/>
    </row>
    <row r="11381" spans="3:4">
      <c r="C11381" s="319"/>
      <c r="D11381" s="319"/>
    </row>
    <row r="11382" spans="3:7">
      <c r="C11382" s="319"/>
      <c r="D11382" s="319"/>
      <c r="G11382" s="320"/>
    </row>
    <row r="11383" spans="3:7">
      <c r="C11383" s="319"/>
      <c r="D11383" s="319"/>
      <c r="G11383" s="320"/>
    </row>
    <row r="11384" spans="3:4">
      <c r="C11384" s="319"/>
      <c r="D11384" s="319"/>
    </row>
    <row r="11385" spans="3:4">
      <c r="C11385" s="319"/>
      <c r="D11385" s="319"/>
    </row>
    <row r="11386" spans="3:4">
      <c r="C11386" s="319"/>
      <c r="D11386" s="319"/>
    </row>
    <row r="11387" spans="3:4">
      <c r="C11387" s="319"/>
      <c r="D11387" s="319"/>
    </row>
    <row r="11388" spans="3:4">
      <c r="C11388" s="319"/>
      <c r="D11388" s="319"/>
    </row>
    <row r="11389" spans="3:4">
      <c r="C11389" s="319"/>
      <c r="D11389" s="319"/>
    </row>
    <row r="11390" spans="3:4">
      <c r="C11390" s="319"/>
      <c r="D11390" s="319"/>
    </row>
    <row r="11391" spans="3:4">
      <c r="C11391" s="319"/>
      <c r="D11391" s="319"/>
    </row>
    <row r="11392" spans="3:7">
      <c r="C11392" s="319"/>
      <c r="D11392" s="319"/>
      <c r="G11392" s="320"/>
    </row>
    <row r="11393" spans="3:4">
      <c r="C11393" s="319"/>
      <c r="D11393" s="319"/>
    </row>
    <row r="11394" spans="3:7">
      <c r="C11394" s="319"/>
      <c r="D11394" s="319"/>
      <c r="G11394" s="320"/>
    </row>
    <row r="11395" spans="3:4">
      <c r="C11395" s="319"/>
      <c r="D11395" s="319"/>
    </row>
    <row r="11396" spans="3:7">
      <c r="C11396" s="319"/>
      <c r="D11396" s="319"/>
      <c r="G11396" s="320"/>
    </row>
    <row r="11397" spans="3:7">
      <c r="C11397" s="319"/>
      <c r="D11397" s="319"/>
      <c r="G11397" s="320"/>
    </row>
    <row r="11398" spans="3:7">
      <c r="C11398" s="319"/>
      <c r="D11398" s="319"/>
      <c r="G11398" s="320"/>
    </row>
    <row r="11399" spans="3:4">
      <c r="C11399" s="319"/>
      <c r="D11399" s="319"/>
    </row>
    <row r="11400" spans="3:4">
      <c r="C11400" s="319"/>
      <c r="D11400" s="319"/>
    </row>
    <row r="11401" spans="3:7">
      <c r="C11401" s="319"/>
      <c r="D11401" s="319"/>
      <c r="G11401" s="320"/>
    </row>
    <row r="11402" spans="3:7">
      <c r="C11402" s="319"/>
      <c r="D11402" s="319"/>
      <c r="G11402" s="320"/>
    </row>
    <row r="11403" spans="3:7">
      <c r="C11403" s="319"/>
      <c r="D11403" s="319"/>
      <c r="G11403" s="320"/>
    </row>
    <row r="11404" spans="3:7">
      <c r="C11404" s="319"/>
      <c r="D11404" s="319"/>
      <c r="G11404" s="320"/>
    </row>
    <row r="11405" spans="3:7">
      <c r="C11405" s="319"/>
      <c r="D11405" s="319"/>
      <c r="G11405" s="320"/>
    </row>
    <row r="11406" spans="3:4">
      <c r="C11406" s="319"/>
      <c r="D11406" s="319"/>
    </row>
    <row r="11407" spans="3:4">
      <c r="C11407" s="319"/>
      <c r="D11407" s="319"/>
    </row>
    <row r="11408" spans="3:7">
      <c r="C11408" s="319"/>
      <c r="D11408" s="319"/>
      <c r="G11408" s="320"/>
    </row>
    <row r="11409" spans="3:7">
      <c r="C11409" s="319"/>
      <c r="D11409" s="319"/>
      <c r="G11409" s="320"/>
    </row>
    <row r="11410" spans="3:7">
      <c r="C11410" s="319"/>
      <c r="D11410" s="319"/>
      <c r="G11410" s="320"/>
    </row>
    <row r="11411" spans="3:7">
      <c r="C11411" s="319"/>
      <c r="D11411" s="319"/>
      <c r="G11411" s="320"/>
    </row>
    <row r="11412" spans="3:4">
      <c r="C11412" s="319"/>
      <c r="D11412" s="319"/>
    </row>
    <row r="11413" spans="3:7">
      <c r="C11413" s="319"/>
      <c r="D11413" s="319"/>
      <c r="G11413" s="320"/>
    </row>
    <row r="11414" spans="3:7">
      <c r="C11414" s="319"/>
      <c r="D11414" s="319"/>
      <c r="G11414" s="320"/>
    </row>
    <row r="11415" spans="3:7">
      <c r="C11415" s="319"/>
      <c r="D11415" s="319"/>
      <c r="G11415" s="320"/>
    </row>
    <row r="11416" spans="3:4">
      <c r="C11416" s="319"/>
      <c r="D11416" s="319"/>
    </row>
    <row r="11417" spans="3:4">
      <c r="C11417" s="319"/>
      <c r="D11417" s="319"/>
    </row>
    <row r="11418" spans="3:7">
      <c r="C11418" s="319"/>
      <c r="D11418" s="319"/>
      <c r="G11418" s="320"/>
    </row>
    <row r="11419" spans="3:7">
      <c r="C11419" s="319"/>
      <c r="D11419" s="319"/>
      <c r="G11419" s="320"/>
    </row>
    <row r="11420" spans="3:7">
      <c r="C11420" s="319"/>
      <c r="D11420" s="319"/>
      <c r="G11420" s="320"/>
    </row>
    <row r="11421" spans="3:7">
      <c r="C11421" s="319"/>
      <c r="D11421" s="319"/>
      <c r="G11421" s="320"/>
    </row>
    <row r="11422" spans="3:7">
      <c r="C11422" s="319"/>
      <c r="D11422" s="319"/>
      <c r="G11422" s="320"/>
    </row>
    <row r="11423" spans="3:7">
      <c r="C11423" s="319"/>
      <c r="D11423" s="319"/>
      <c r="G11423" s="320"/>
    </row>
    <row r="11424" spans="3:4">
      <c r="C11424" s="319"/>
      <c r="D11424" s="319"/>
    </row>
    <row r="11425" spans="3:4">
      <c r="C11425" s="319"/>
      <c r="D11425" s="319"/>
    </row>
    <row r="11426" spans="3:4">
      <c r="C11426" s="319"/>
      <c r="D11426" s="319"/>
    </row>
    <row r="11427" spans="3:4">
      <c r="C11427" s="319"/>
      <c r="D11427" s="319"/>
    </row>
    <row r="11428" spans="3:4">
      <c r="C11428" s="319"/>
      <c r="D11428" s="319"/>
    </row>
    <row r="11429" spans="3:4">
      <c r="C11429" s="319"/>
      <c r="D11429" s="319"/>
    </row>
    <row r="11430" spans="3:4">
      <c r="C11430" s="319"/>
      <c r="D11430" s="319"/>
    </row>
    <row r="11431" spans="3:4">
      <c r="C11431" s="319"/>
      <c r="D11431" s="319"/>
    </row>
    <row r="11432" spans="3:7">
      <c r="C11432" s="319"/>
      <c r="D11432" s="319"/>
      <c r="G11432" s="320"/>
    </row>
    <row r="11433" spans="3:4">
      <c r="C11433" s="319"/>
      <c r="D11433" s="319"/>
    </row>
    <row r="11434" spans="3:4">
      <c r="C11434" s="319"/>
      <c r="D11434" s="319"/>
    </row>
    <row r="11435" spans="3:4">
      <c r="C11435" s="319"/>
      <c r="D11435" s="319"/>
    </row>
    <row r="11436" spans="3:7">
      <c r="C11436" s="319"/>
      <c r="D11436" s="319"/>
      <c r="G11436" s="320"/>
    </row>
    <row r="11437" spans="3:7">
      <c r="C11437" s="319"/>
      <c r="D11437" s="319"/>
      <c r="G11437" s="320"/>
    </row>
    <row r="11438" spans="3:7">
      <c r="C11438" s="319"/>
      <c r="D11438" s="319"/>
      <c r="G11438" s="320"/>
    </row>
    <row r="11439" spans="3:4">
      <c r="C11439" s="319"/>
      <c r="D11439" s="319"/>
    </row>
    <row r="11440" spans="3:7">
      <c r="C11440" s="319"/>
      <c r="D11440" s="319"/>
      <c r="G11440" s="320"/>
    </row>
    <row r="11441" spans="3:7">
      <c r="C11441" s="319"/>
      <c r="D11441" s="319"/>
      <c r="G11441" s="320"/>
    </row>
    <row r="11442" spans="3:7">
      <c r="C11442" s="319"/>
      <c r="D11442" s="319"/>
      <c r="G11442" s="320"/>
    </row>
    <row r="11443" spans="3:4">
      <c r="C11443" s="319"/>
      <c r="D11443" s="319"/>
    </row>
    <row r="11444" spans="3:7">
      <c r="C11444" s="319"/>
      <c r="D11444" s="319"/>
      <c r="G11444" s="320"/>
    </row>
    <row r="11445" spans="3:4">
      <c r="C11445" s="319"/>
      <c r="D11445" s="319"/>
    </row>
    <row r="11446" spans="3:4">
      <c r="C11446" s="319"/>
      <c r="D11446" s="319"/>
    </row>
    <row r="11447" spans="3:7">
      <c r="C11447" s="319"/>
      <c r="D11447" s="319"/>
      <c r="G11447" s="320"/>
    </row>
    <row r="11448" spans="3:4">
      <c r="C11448" s="319"/>
      <c r="D11448" s="319"/>
    </row>
    <row r="11449" spans="3:4">
      <c r="C11449" s="319"/>
      <c r="D11449" s="319"/>
    </row>
    <row r="11450" spans="3:4">
      <c r="C11450" s="319"/>
      <c r="D11450" s="319"/>
    </row>
    <row r="11451" spans="3:7">
      <c r="C11451" s="319"/>
      <c r="D11451" s="319"/>
      <c r="G11451" s="320"/>
    </row>
    <row r="11452" spans="3:4">
      <c r="C11452" s="319"/>
      <c r="D11452" s="319"/>
    </row>
    <row r="11453" spans="3:4">
      <c r="C11453" s="319"/>
      <c r="D11453" s="319"/>
    </row>
    <row r="11454" spans="3:7">
      <c r="C11454" s="319"/>
      <c r="D11454" s="319"/>
      <c r="G11454" s="320"/>
    </row>
    <row r="11455" spans="3:4">
      <c r="C11455" s="319"/>
      <c r="D11455" s="319"/>
    </row>
    <row r="11456" spans="3:4">
      <c r="C11456" s="319"/>
      <c r="D11456" s="319"/>
    </row>
    <row r="11457" spans="3:4">
      <c r="C11457" s="319"/>
      <c r="D11457" s="319"/>
    </row>
    <row r="11458" spans="3:4">
      <c r="C11458" s="319"/>
      <c r="D11458" s="319"/>
    </row>
    <row r="11459" spans="3:7">
      <c r="C11459" s="319"/>
      <c r="D11459" s="319"/>
      <c r="G11459" s="320"/>
    </row>
    <row r="11460" spans="3:7">
      <c r="C11460" s="319"/>
      <c r="D11460" s="319"/>
      <c r="G11460" s="320"/>
    </row>
    <row r="11461" spans="3:7">
      <c r="C11461" s="319"/>
      <c r="D11461" s="319"/>
      <c r="G11461" s="320"/>
    </row>
    <row r="11462" spans="3:4">
      <c r="C11462" s="319"/>
      <c r="D11462" s="319"/>
    </row>
    <row r="11463" spans="3:4">
      <c r="C11463" s="319"/>
      <c r="D11463" s="319"/>
    </row>
    <row r="11464" spans="3:7">
      <c r="C11464" s="319"/>
      <c r="D11464" s="319"/>
      <c r="G11464" s="320"/>
    </row>
    <row r="11465" spans="3:7">
      <c r="C11465" s="319"/>
      <c r="D11465" s="319"/>
      <c r="G11465" s="320"/>
    </row>
    <row r="11466" spans="3:4">
      <c r="C11466" s="319"/>
      <c r="D11466" s="319"/>
    </row>
    <row r="11467" spans="3:7">
      <c r="C11467" s="319"/>
      <c r="D11467" s="319"/>
      <c r="G11467" s="320"/>
    </row>
    <row r="11468" spans="3:7">
      <c r="C11468" s="319"/>
      <c r="D11468" s="319"/>
      <c r="G11468" s="320"/>
    </row>
    <row r="11469" spans="3:7">
      <c r="C11469" s="319"/>
      <c r="D11469" s="319"/>
      <c r="G11469" s="320"/>
    </row>
    <row r="11470" spans="3:7">
      <c r="C11470" s="319"/>
      <c r="D11470" s="319"/>
      <c r="G11470" s="320"/>
    </row>
    <row r="11471" spans="3:7">
      <c r="C11471" s="319"/>
      <c r="D11471" s="319"/>
      <c r="G11471" s="320"/>
    </row>
    <row r="11472" spans="3:7">
      <c r="C11472" s="319"/>
      <c r="D11472" s="319"/>
      <c r="G11472" s="320"/>
    </row>
    <row r="11473" spans="3:7">
      <c r="C11473" s="319"/>
      <c r="D11473" s="319"/>
      <c r="G11473" s="320"/>
    </row>
    <row r="11474" spans="3:7">
      <c r="C11474" s="319"/>
      <c r="D11474" s="319"/>
      <c r="G11474" s="320"/>
    </row>
    <row r="11475" spans="3:4">
      <c r="C11475" s="319"/>
      <c r="D11475" s="319"/>
    </row>
    <row r="11476" spans="3:7">
      <c r="C11476" s="319"/>
      <c r="D11476" s="319"/>
      <c r="G11476" s="320"/>
    </row>
    <row r="11477" spans="3:7">
      <c r="C11477" s="319"/>
      <c r="D11477" s="319"/>
      <c r="G11477" s="320"/>
    </row>
    <row r="11478" spans="3:7">
      <c r="C11478" s="319"/>
      <c r="D11478" s="319"/>
      <c r="G11478" s="320"/>
    </row>
    <row r="11479" spans="3:7">
      <c r="C11479" s="319"/>
      <c r="D11479" s="319"/>
      <c r="G11479" s="320"/>
    </row>
    <row r="11480" spans="3:7">
      <c r="C11480" s="319"/>
      <c r="D11480" s="319"/>
      <c r="G11480" s="320"/>
    </row>
    <row r="11481" spans="3:4">
      <c r="C11481" s="319"/>
      <c r="D11481" s="319"/>
    </row>
    <row r="11482" spans="3:4">
      <c r="C11482" s="319"/>
      <c r="D11482" s="319"/>
    </row>
    <row r="11483" spans="3:7">
      <c r="C11483" s="319"/>
      <c r="D11483" s="319"/>
      <c r="G11483" s="320"/>
    </row>
    <row r="11484" spans="3:7">
      <c r="C11484" s="319"/>
      <c r="D11484" s="319"/>
      <c r="G11484" s="320"/>
    </row>
    <row r="11485" spans="3:4">
      <c r="C11485" s="319"/>
      <c r="D11485" s="319"/>
    </row>
    <row r="11486" spans="3:4">
      <c r="C11486" s="319"/>
      <c r="D11486" s="319"/>
    </row>
    <row r="11487" spans="3:4">
      <c r="C11487" s="319"/>
      <c r="D11487" s="319"/>
    </row>
    <row r="11488" spans="3:4">
      <c r="C11488" s="319"/>
      <c r="D11488" s="319"/>
    </row>
    <row r="11489" spans="3:4">
      <c r="C11489" s="319"/>
      <c r="D11489" s="319"/>
    </row>
    <row r="11490" spans="3:7">
      <c r="C11490" s="319"/>
      <c r="D11490" s="319"/>
      <c r="G11490" s="320"/>
    </row>
    <row r="11491" spans="3:4">
      <c r="C11491" s="319"/>
      <c r="D11491" s="319"/>
    </row>
    <row r="11492" spans="3:4">
      <c r="C11492" s="319"/>
      <c r="D11492" s="319"/>
    </row>
    <row r="11493" spans="3:7">
      <c r="C11493" s="319"/>
      <c r="D11493" s="319"/>
      <c r="G11493" s="320"/>
    </row>
    <row r="11494" spans="3:7">
      <c r="C11494" s="319"/>
      <c r="D11494" s="319"/>
      <c r="G11494" s="320"/>
    </row>
    <row r="11495" spans="3:4">
      <c r="C11495" s="319"/>
      <c r="D11495" s="319"/>
    </row>
    <row r="11496" spans="3:4">
      <c r="C11496" s="319"/>
      <c r="D11496" s="319"/>
    </row>
    <row r="11497" spans="3:4">
      <c r="C11497" s="319"/>
      <c r="D11497" s="319"/>
    </row>
    <row r="11498" spans="3:7">
      <c r="C11498" s="319"/>
      <c r="D11498" s="319"/>
      <c r="G11498" s="320"/>
    </row>
    <row r="11499" spans="3:4">
      <c r="C11499" s="319"/>
      <c r="D11499" s="319"/>
    </row>
    <row r="11500" spans="3:4">
      <c r="C11500" s="319"/>
      <c r="D11500" s="319"/>
    </row>
    <row r="11501" spans="3:7">
      <c r="C11501" s="319"/>
      <c r="D11501" s="319"/>
      <c r="G11501" s="320"/>
    </row>
    <row r="11502" spans="3:4">
      <c r="C11502" s="319"/>
      <c r="D11502" s="319"/>
    </row>
    <row r="11503" spans="3:7">
      <c r="C11503" s="319"/>
      <c r="D11503" s="319"/>
      <c r="G11503" s="320"/>
    </row>
    <row r="11504" spans="3:4">
      <c r="C11504" s="319"/>
      <c r="D11504" s="319"/>
    </row>
    <row r="11505" spans="3:4">
      <c r="C11505" s="319"/>
      <c r="D11505" s="319"/>
    </row>
    <row r="11506" spans="3:4">
      <c r="C11506" s="319"/>
      <c r="D11506" s="319"/>
    </row>
    <row r="11507" spans="3:4">
      <c r="C11507" s="319"/>
      <c r="D11507" s="319"/>
    </row>
    <row r="11508" spans="3:7">
      <c r="C11508" s="319"/>
      <c r="D11508" s="319"/>
      <c r="G11508" s="320"/>
    </row>
    <row r="11509" spans="3:7">
      <c r="C11509" s="319"/>
      <c r="D11509" s="319"/>
      <c r="G11509" s="320"/>
    </row>
    <row r="11510" spans="3:4">
      <c r="C11510" s="319"/>
      <c r="D11510" s="319"/>
    </row>
    <row r="11511" spans="3:4">
      <c r="C11511" s="319"/>
      <c r="D11511" s="319"/>
    </row>
    <row r="11512" spans="3:4">
      <c r="C11512" s="319"/>
      <c r="D11512" s="319"/>
    </row>
    <row r="11513" spans="3:4">
      <c r="C11513" s="319"/>
      <c r="D11513" s="319"/>
    </row>
    <row r="11514" spans="3:4">
      <c r="C11514" s="319"/>
      <c r="D11514" s="319"/>
    </row>
    <row r="11515" spans="3:4">
      <c r="C11515" s="319"/>
      <c r="D11515" s="319"/>
    </row>
    <row r="11516" spans="3:4">
      <c r="C11516" s="319"/>
      <c r="D11516" s="319"/>
    </row>
    <row r="11517" spans="3:7">
      <c r="C11517" s="319"/>
      <c r="D11517" s="319"/>
      <c r="G11517" s="320"/>
    </row>
    <row r="11518" spans="3:7">
      <c r="C11518" s="319"/>
      <c r="D11518" s="319"/>
      <c r="G11518" s="320"/>
    </row>
    <row r="11519" spans="3:7">
      <c r="C11519" s="319"/>
      <c r="D11519" s="319"/>
      <c r="G11519" s="320"/>
    </row>
    <row r="11520" spans="3:7">
      <c r="C11520" s="319"/>
      <c r="D11520" s="319"/>
      <c r="G11520" s="320"/>
    </row>
    <row r="11521" spans="3:7">
      <c r="C11521" s="319"/>
      <c r="D11521" s="319"/>
      <c r="G11521" s="320"/>
    </row>
    <row r="11522" spans="3:7">
      <c r="C11522" s="319"/>
      <c r="D11522" s="319"/>
      <c r="G11522" s="320"/>
    </row>
    <row r="11523" spans="3:4">
      <c r="C11523" s="319"/>
      <c r="D11523" s="319"/>
    </row>
    <row r="11524" spans="3:7">
      <c r="C11524" s="319"/>
      <c r="D11524" s="319"/>
      <c r="G11524" s="320"/>
    </row>
    <row r="11525" spans="3:4">
      <c r="C11525" s="319"/>
      <c r="D11525" s="319"/>
    </row>
    <row r="11526" spans="3:4">
      <c r="C11526" s="319"/>
      <c r="D11526" s="319"/>
    </row>
    <row r="11527" spans="3:7">
      <c r="C11527" s="319"/>
      <c r="D11527" s="319"/>
      <c r="G11527" s="320"/>
    </row>
    <row r="11528" spans="3:7">
      <c r="C11528" s="319"/>
      <c r="D11528" s="319"/>
      <c r="G11528" s="320"/>
    </row>
    <row r="11529" spans="3:4">
      <c r="C11529" s="319"/>
      <c r="D11529" s="319"/>
    </row>
    <row r="11530" spans="3:7">
      <c r="C11530" s="319"/>
      <c r="D11530" s="319"/>
      <c r="G11530" s="320"/>
    </row>
    <row r="11531" spans="3:7">
      <c r="C11531" s="319"/>
      <c r="D11531" s="319"/>
      <c r="G11531" s="320"/>
    </row>
    <row r="11532" spans="3:4">
      <c r="C11532" s="319"/>
      <c r="D11532" s="319"/>
    </row>
    <row r="11533" spans="3:4">
      <c r="C11533" s="319"/>
      <c r="D11533" s="319"/>
    </row>
    <row r="11534" spans="3:7">
      <c r="C11534" s="319"/>
      <c r="D11534" s="319"/>
      <c r="G11534" s="320"/>
    </row>
    <row r="11535" spans="3:4">
      <c r="C11535" s="319"/>
      <c r="D11535" s="319"/>
    </row>
    <row r="11536" spans="3:4">
      <c r="C11536" s="319"/>
      <c r="D11536" s="319"/>
    </row>
    <row r="11537" spans="3:4">
      <c r="C11537" s="319"/>
      <c r="D11537" s="319"/>
    </row>
    <row r="11538" spans="3:7">
      <c r="C11538" s="319"/>
      <c r="D11538" s="319"/>
      <c r="G11538" s="320"/>
    </row>
    <row r="11539" spans="3:4">
      <c r="C11539" s="319"/>
      <c r="D11539" s="319"/>
    </row>
    <row r="11540" spans="3:7">
      <c r="C11540" s="319"/>
      <c r="D11540" s="319"/>
      <c r="G11540" s="320"/>
    </row>
    <row r="11541" spans="3:4">
      <c r="C11541" s="319"/>
      <c r="D11541" s="319"/>
    </row>
    <row r="11542" spans="3:4">
      <c r="C11542" s="319"/>
      <c r="D11542" s="319"/>
    </row>
    <row r="11543" spans="3:7">
      <c r="C11543" s="319"/>
      <c r="D11543" s="319"/>
      <c r="G11543" s="320"/>
    </row>
    <row r="11544" spans="3:4">
      <c r="C11544" s="319"/>
      <c r="D11544" s="319"/>
    </row>
    <row r="11545" spans="3:4">
      <c r="C11545" s="319"/>
      <c r="D11545" s="319"/>
    </row>
    <row r="11546" spans="3:4">
      <c r="C11546" s="319"/>
      <c r="D11546" s="319"/>
    </row>
    <row r="11547" spans="3:4">
      <c r="C11547" s="319"/>
      <c r="D11547" s="319"/>
    </row>
    <row r="11548" spans="3:4">
      <c r="C11548" s="319"/>
      <c r="D11548" s="319"/>
    </row>
    <row r="11549" spans="3:7">
      <c r="C11549" s="319"/>
      <c r="D11549" s="319"/>
      <c r="G11549" s="320"/>
    </row>
    <row r="11550" spans="3:4">
      <c r="C11550" s="319"/>
      <c r="D11550" s="319"/>
    </row>
    <row r="11551" spans="3:4">
      <c r="C11551" s="319"/>
      <c r="D11551" s="319"/>
    </row>
    <row r="11552" spans="3:4">
      <c r="C11552" s="319"/>
      <c r="D11552" s="319"/>
    </row>
    <row r="11553" spans="3:4">
      <c r="C11553" s="319"/>
      <c r="D11553" s="319"/>
    </row>
    <row r="11554" spans="3:7">
      <c r="C11554" s="319"/>
      <c r="D11554" s="319"/>
      <c r="G11554" s="320"/>
    </row>
    <row r="11555" spans="3:4">
      <c r="C11555" s="319"/>
      <c r="D11555" s="319"/>
    </row>
    <row r="11556" spans="3:4">
      <c r="C11556" s="319"/>
      <c r="D11556" s="319"/>
    </row>
    <row r="11557" spans="3:4">
      <c r="C11557" s="319"/>
      <c r="D11557" s="319"/>
    </row>
    <row r="11558" spans="3:7">
      <c r="C11558" s="319"/>
      <c r="D11558" s="319"/>
      <c r="G11558" s="320"/>
    </row>
    <row r="11559" spans="3:4">
      <c r="C11559" s="319"/>
      <c r="D11559" s="319"/>
    </row>
    <row r="11560" spans="3:4">
      <c r="C11560" s="319"/>
      <c r="D11560" s="319"/>
    </row>
    <row r="11561" spans="3:4">
      <c r="C11561" s="319"/>
      <c r="D11561" s="319"/>
    </row>
    <row r="11562" spans="3:4">
      <c r="C11562" s="319"/>
      <c r="D11562" s="319"/>
    </row>
    <row r="11563" spans="3:4">
      <c r="C11563" s="319"/>
      <c r="D11563" s="319"/>
    </row>
    <row r="11564" spans="3:7">
      <c r="C11564" s="319"/>
      <c r="D11564" s="319"/>
      <c r="G11564" s="320"/>
    </row>
    <row r="11565" spans="3:4">
      <c r="C11565" s="319"/>
      <c r="D11565" s="319"/>
    </row>
    <row r="11566" spans="3:4">
      <c r="C11566" s="319"/>
      <c r="D11566" s="319"/>
    </row>
    <row r="11567" spans="3:7">
      <c r="C11567" s="319"/>
      <c r="D11567" s="319"/>
      <c r="G11567" s="320"/>
    </row>
    <row r="11568" spans="3:4">
      <c r="C11568" s="319"/>
      <c r="D11568" s="319"/>
    </row>
    <row r="11569" spans="3:4">
      <c r="C11569" s="319"/>
      <c r="D11569" s="319"/>
    </row>
    <row r="11570" spans="3:7">
      <c r="C11570" s="319"/>
      <c r="D11570" s="319"/>
      <c r="G11570" s="320"/>
    </row>
    <row r="11571" spans="3:4">
      <c r="C11571" s="319"/>
      <c r="D11571" s="319"/>
    </row>
    <row r="11572" spans="3:7">
      <c r="C11572" s="319"/>
      <c r="D11572" s="319"/>
      <c r="G11572" s="320"/>
    </row>
    <row r="11573" spans="3:7">
      <c r="C11573" s="319"/>
      <c r="D11573" s="319"/>
      <c r="G11573" s="320"/>
    </row>
    <row r="11574" spans="3:7">
      <c r="C11574" s="319"/>
      <c r="D11574" s="319"/>
      <c r="G11574" s="320"/>
    </row>
    <row r="11575" spans="3:7">
      <c r="C11575" s="319"/>
      <c r="D11575" s="319"/>
      <c r="G11575" s="320"/>
    </row>
    <row r="11576" spans="3:4">
      <c r="C11576" s="319"/>
      <c r="D11576" s="319"/>
    </row>
    <row r="11577" spans="3:4">
      <c r="C11577" s="319"/>
      <c r="D11577" s="319"/>
    </row>
    <row r="11578" spans="3:7">
      <c r="C11578" s="319"/>
      <c r="D11578" s="319"/>
      <c r="G11578" s="320"/>
    </row>
    <row r="11579" spans="3:7">
      <c r="C11579" s="319"/>
      <c r="D11579" s="319"/>
      <c r="G11579" s="320"/>
    </row>
    <row r="11580" spans="3:7">
      <c r="C11580" s="319"/>
      <c r="D11580" s="319"/>
      <c r="G11580" s="320"/>
    </row>
    <row r="11581" spans="3:4">
      <c r="C11581" s="319"/>
      <c r="D11581" s="319"/>
    </row>
    <row r="11582" spans="3:7">
      <c r="C11582" s="319"/>
      <c r="D11582" s="319"/>
      <c r="G11582" s="320"/>
    </row>
    <row r="11583" spans="3:4">
      <c r="C11583" s="319"/>
      <c r="D11583" s="319"/>
    </row>
    <row r="11584" spans="3:4">
      <c r="C11584" s="319"/>
      <c r="D11584" s="319"/>
    </row>
    <row r="11585" spans="3:7">
      <c r="C11585" s="319"/>
      <c r="D11585" s="319"/>
      <c r="G11585" s="320"/>
    </row>
    <row r="11586" spans="3:7">
      <c r="C11586" s="319"/>
      <c r="D11586" s="319"/>
      <c r="G11586" s="320"/>
    </row>
    <row r="11587" spans="3:4">
      <c r="C11587" s="319"/>
      <c r="D11587" s="319"/>
    </row>
    <row r="11588" spans="3:7">
      <c r="C11588" s="319"/>
      <c r="D11588" s="319"/>
      <c r="G11588" s="320"/>
    </row>
    <row r="11589" spans="3:4">
      <c r="C11589" s="319"/>
      <c r="D11589" s="319"/>
    </row>
    <row r="11590" spans="3:4">
      <c r="C11590" s="319"/>
      <c r="D11590" s="319"/>
    </row>
    <row r="11591" spans="3:4">
      <c r="C11591" s="319"/>
      <c r="D11591" s="319"/>
    </row>
    <row r="11592" spans="3:7">
      <c r="C11592" s="319"/>
      <c r="D11592" s="319"/>
      <c r="G11592" s="320"/>
    </row>
    <row r="11593" spans="3:4">
      <c r="C11593" s="319"/>
      <c r="D11593" s="319"/>
    </row>
    <row r="11594" spans="3:4">
      <c r="C11594" s="319"/>
      <c r="D11594" s="319"/>
    </row>
    <row r="11595" spans="3:4">
      <c r="C11595" s="319"/>
      <c r="D11595" s="319"/>
    </row>
    <row r="11596" spans="3:4">
      <c r="C11596" s="319"/>
      <c r="D11596" s="319"/>
    </row>
    <row r="11597" spans="3:7">
      <c r="C11597" s="319"/>
      <c r="D11597" s="319"/>
      <c r="G11597" s="320"/>
    </row>
    <row r="11598" spans="3:4">
      <c r="C11598" s="319"/>
      <c r="D11598" s="319"/>
    </row>
    <row r="11599" spans="3:4">
      <c r="C11599" s="319"/>
      <c r="D11599" s="319"/>
    </row>
    <row r="11600" spans="3:4">
      <c r="C11600" s="319"/>
      <c r="D11600" s="319"/>
    </row>
    <row r="11601" spans="3:4">
      <c r="C11601" s="319"/>
      <c r="D11601" s="319"/>
    </row>
    <row r="11602" spans="3:4">
      <c r="C11602" s="319"/>
      <c r="D11602" s="319"/>
    </row>
    <row r="11603" spans="3:4">
      <c r="C11603" s="319"/>
      <c r="D11603" s="319"/>
    </row>
    <row r="11604" spans="3:4">
      <c r="C11604" s="319"/>
      <c r="D11604" s="319"/>
    </row>
    <row r="11605" spans="3:4">
      <c r="C11605" s="319"/>
      <c r="D11605" s="319"/>
    </row>
    <row r="11606" spans="3:4">
      <c r="C11606" s="319"/>
      <c r="D11606" s="319"/>
    </row>
    <row r="11607" spans="3:7">
      <c r="C11607" s="319"/>
      <c r="D11607" s="319"/>
      <c r="G11607" s="320"/>
    </row>
    <row r="11608" spans="3:7">
      <c r="C11608" s="319"/>
      <c r="D11608" s="319"/>
      <c r="G11608" s="320"/>
    </row>
    <row r="11609" spans="3:4">
      <c r="C11609" s="319"/>
      <c r="D11609" s="319"/>
    </row>
    <row r="11610" spans="3:4">
      <c r="C11610" s="319"/>
      <c r="D11610" s="319"/>
    </row>
    <row r="11611" spans="3:4">
      <c r="C11611" s="319"/>
      <c r="D11611" s="319"/>
    </row>
    <row r="11612" spans="3:4">
      <c r="C11612" s="319"/>
      <c r="D11612" s="319"/>
    </row>
    <row r="11613" spans="3:4">
      <c r="C11613" s="319"/>
      <c r="D11613" s="319"/>
    </row>
    <row r="11614" spans="3:4">
      <c r="C11614" s="319"/>
      <c r="D11614" s="319"/>
    </row>
    <row r="11615" spans="3:7">
      <c r="C11615" s="319"/>
      <c r="D11615" s="319"/>
      <c r="G11615" s="320"/>
    </row>
    <row r="11616" spans="3:4">
      <c r="C11616" s="319"/>
      <c r="D11616" s="319"/>
    </row>
    <row r="11617" spans="3:4">
      <c r="C11617" s="319"/>
      <c r="D11617" s="319"/>
    </row>
    <row r="11618" spans="3:4">
      <c r="C11618" s="319"/>
      <c r="D11618" s="319"/>
    </row>
    <row r="11619" spans="3:7">
      <c r="C11619" s="319"/>
      <c r="D11619" s="319"/>
      <c r="G11619" s="320"/>
    </row>
    <row r="11620" spans="3:7">
      <c r="C11620" s="319"/>
      <c r="D11620" s="319"/>
      <c r="G11620" s="320"/>
    </row>
    <row r="11621" spans="3:4">
      <c r="C11621" s="319"/>
      <c r="D11621" s="319"/>
    </row>
    <row r="11622" spans="3:4">
      <c r="C11622" s="319"/>
      <c r="D11622" s="319"/>
    </row>
    <row r="11623" spans="3:7">
      <c r="C11623" s="319"/>
      <c r="D11623" s="319"/>
      <c r="G11623" s="320"/>
    </row>
    <row r="11624" spans="3:4">
      <c r="C11624" s="319"/>
      <c r="D11624" s="319"/>
    </row>
    <row r="11625" spans="3:4">
      <c r="C11625" s="319"/>
      <c r="D11625" s="319"/>
    </row>
    <row r="11626" spans="3:4">
      <c r="C11626" s="319"/>
      <c r="D11626" s="319"/>
    </row>
    <row r="11627" spans="3:7">
      <c r="C11627" s="319"/>
      <c r="D11627" s="319"/>
      <c r="G11627" s="320"/>
    </row>
    <row r="11628" spans="3:4">
      <c r="C11628" s="319"/>
      <c r="D11628" s="319"/>
    </row>
    <row r="11629" spans="3:7">
      <c r="C11629" s="319"/>
      <c r="D11629" s="319"/>
      <c r="G11629" s="320"/>
    </row>
    <row r="11630" spans="3:7">
      <c r="C11630" s="319"/>
      <c r="D11630" s="319"/>
      <c r="G11630" s="320"/>
    </row>
    <row r="11631" spans="3:7">
      <c r="C11631" s="319"/>
      <c r="D11631" s="319"/>
      <c r="G11631" s="320"/>
    </row>
    <row r="11632" spans="3:7">
      <c r="C11632" s="319"/>
      <c r="D11632" s="319"/>
      <c r="G11632" s="320"/>
    </row>
    <row r="11633" spans="3:7">
      <c r="C11633" s="319"/>
      <c r="D11633" s="319"/>
      <c r="G11633" s="320"/>
    </row>
    <row r="11634" spans="3:4">
      <c r="C11634" s="319"/>
      <c r="D11634" s="319"/>
    </row>
    <row r="11635" spans="3:4">
      <c r="C11635" s="319"/>
      <c r="D11635" s="319"/>
    </row>
    <row r="11636" spans="3:7">
      <c r="C11636" s="319"/>
      <c r="D11636" s="319"/>
      <c r="G11636" s="320"/>
    </row>
    <row r="11637" spans="3:7">
      <c r="C11637" s="319"/>
      <c r="D11637" s="319"/>
      <c r="G11637" s="320"/>
    </row>
    <row r="11638" spans="3:4">
      <c r="C11638" s="319"/>
      <c r="D11638" s="319"/>
    </row>
    <row r="11639" spans="3:4">
      <c r="C11639" s="319"/>
      <c r="D11639" s="319"/>
    </row>
    <row r="11640" spans="3:4">
      <c r="C11640" s="319"/>
      <c r="D11640" s="319"/>
    </row>
    <row r="11641" spans="3:7">
      <c r="C11641" s="319"/>
      <c r="D11641" s="319"/>
      <c r="G11641" s="320"/>
    </row>
    <row r="11642" spans="3:4">
      <c r="C11642" s="319"/>
      <c r="D11642" s="319"/>
    </row>
    <row r="11643" spans="3:4">
      <c r="C11643" s="319"/>
      <c r="D11643" s="319"/>
    </row>
    <row r="11644" spans="3:4">
      <c r="C11644" s="319"/>
      <c r="D11644" s="319"/>
    </row>
    <row r="11645" spans="3:4">
      <c r="C11645" s="319"/>
      <c r="D11645" s="319"/>
    </row>
    <row r="11646" spans="3:7">
      <c r="C11646" s="319"/>
      <c r="D11646" s="319"/>
      <c r="G11646" s="320"/>
    </row>
    <row r="11647" spans="3:7">
      <c r="C11647" s="319"/>
      <c r="D11647" s="319"/>
      <c r="G11647" s="320"/>
    </row>
    <row r="11648" spans="3:4">
      <c r="C11648" s="319"/>
      <c r="D11648" s="319"/>
    </row>
    <row r="11649" spans="3:4">
      <c r="C11649" s="319"/>
      <c r="D11649" s="319"/>
    </row>
    <row r="11650" spans="3:4">
      <c r="C11650" s="319"/>
      <c r="D11650" s="319"/>
    </row>
    <row r="11651" spans="3:4">
      <c r="C11651" s="319"/>
      <c r="D11651" s="319"/>
    </row>
    <row r="11652" spans="3:4">
      <c r="C11652" s="319"/>
      <c r="D11652" s="319"/>
    </row>
    <row r="11653" spans="3:4">
      <c r="C11653" s="319"/>
      <c r="D11653" s="319"/>
    </row>
    <row r="11654" spans="3:4">
      <c r="C11654" s="319"/>
      <c r="D11654" s="319"/>
    </row>
    <row r="11655" spans="3:4">
      <c r="C11655" s="319"/>
      <c r="D11655" s="319"/>
    </row>
    <row r="11656" spans="3:4">
      <c r="C11656" s="319"/>
      <c r="D11656" s="319"/>
    </row>
    <row r="11657" spans="3:4">
      <c r="C11657" s="319"/>
      <c r="D11657" s="319"/>
    </row>
    <row r="11658" spans="3:4">
      <c r="C11658" s="319"/>
      <c r="D11658" s="319"/>
    </row>
    <row r="11659" spans="3:4">
      <c r="C11659" s="319"/>
      <c r="D11659" s="319"/>
    </row>
    <row r="11660" spans="3:4">
      <c r="C11660" s="319"/>
      <c r="D11660" s="319"/>
    </row>
    <row r="11661" spans="3:4">
      <c r="C11661" s="319"/>
      <c r="D11661" s="319"/>
    </row>
    <row r="11662" spans="3:4">
      <c r="C11662" s="319"/>
      <c r="D11662" s="319"/>
    </row>
    <row r="11663" spans="3:4">
      <c r="C11663" s="319"/>
      <c r="D11663" s="319"/>
    </row>
    <row r="11664" spans="3:7">
      <c r="C11664" s="319"/>
      <c r="D11664" s="319"/>
      <c r="G11664" s="320"/>
    </row>
    <row r="11665" spans="3:4">
      <c r="C11665" s="319"/>
      <c r="D11665" s="319"/>
    </row>
    <row r="11666" spans="3:4">
      <c r="C11666" s="319"/>
      <c r="D11666" s="319"/>
    </row>
    <row r="11667" spans="3:4">
      <c r="C11667" s="319"/>
      <c r="D11667" s="319"/>
    </row>
    <row r="11668" spans="3:4">
      <c r="C11668" s="319"/>
      <c r="D11668" s="319"/>
    </row>
    <row r="11669" spans="3:4">
      <c r="C11669" s="319"/>
      <c r="D11669" s="319"/>
    </row>
    <row r="11670" spans="3:7">
      <c r="C11670" s="319"/>
      <c r="D11670" s="319"/>
      <c r="G11670" s="320"/>
    </row>
    <row r="11671" spans="3:7">
      <c r="C11671" s="319"/>
      <c r="D11671" s="319"/>
      <c r="G11671" s="320"/>
    </row>
    <row r="11672" spans="3:7">
      <c r="C11672" s="319"/>
      <c r="D11672" s="319"/>
      <c r="G11672" s="320"/>
    </row>
    <row r="11673" spans="3:7">
      <c r="C11673" s="319"/>
      <c r="D11673" s="319"/>
      <c r="G11673" s="320"/>
    </row>
    <row r="11674" spans="3:4">
      <c r="C11674" s="319"/>
      <c r="D11674" s="319"/>
    </row>
    <row r="11675" spans="3:7">
      <c r="C11675" s="319"/>
      <c r="D11675" s="319"/>
      <c r="G11675" s="320"/>
    </row>
    <row r="11676" spans="3:4">
      <c r="C11676" s="319"/>
      <c r="D11676" s="319"/>
    </row>
    <row r="11677" spans="3:4">
      <c r="C11677" s="319"/>
      <c r="D11677" s="319"/>
    </row>
    <row r="11678" spans="3:7">
      <c r="C11678" s="319"/>
      <c r="D11678" s="319"/>
      <c r="G11678" s="320"/>
    </row>
    <row r="11679" spans="3:7">
      <c r="C11679" s="319"/>
      <c r="D11679" s="319"/>
      <c r="G11679" s="320"/>
    </row>
    <row r="11680" spans="3:7">
      <c r="C11680" s="319"/>
      <c r="D11680" s="319"/>
      <c r="G11680" s="320"/>
    </row>
    <row r="11681" spans="3:4">
      <c r="C11681" s="319"/>
      <c r="D11681" s="319"/>
    </row>
    <row r="11682" spans="3:4">
      <c r="C11682" s="319"/>
      <c r="D11682" s="319"/>
    </row>
    <row r="11683" spans="3:4">
      <c r="C11683" s="319"/>
      <c r="D11683" s="319"/>
    </row>
    <row r="11684" spans="3:4">
      <c r="C11684" s="319"/>
      <c r="D11684" s="319"/>
    </row>
    <row r="11685" spans="3:4">
      <c r="C11685" s="319"/>
      <c r="D11685" s="319"/>
    </row>
    <row r="11686" spans="3:4">
      <c r="C11686" s="319"/>
      <c r="D11686" s="319"/>
    </row>
    <row r="11687" spans="3:4">
      <c r="C11687" s="319"/>
      <c r="D11687" s="319"/>
    </row>
    <row r="11688" spans="3:4">
      <c r="C11688" s="319"/>
      <c r="D11688" s="319"/>
    </row>
    <row r="11689" spans="3:4">
      <c r="C11689" s="319"/>
      <c r="D11689" s="319"/>
    </row>
    <row r="11690" spans="3:4">
      <c r="C11690" s="319"/>
      <c r="D11690" s="319"/>
    </row>
    <row r="11691" spans="3:4">
      <c r="C11691" s="319"/>
      <c r="D11691" s="319"/>
    </row>
    <row r="11692" spans="3:4">
      <c r="C11692" s="319"/>
      <c r="D11692" s="319"/>
    </row>
    <row r="11693" spans="3:4">
      <c r="C11693" s="319"/>
      <c r="D11693" s="319"/>
    </row>
    <row r="11694" spans="3:4">
      <c r="C11694" s="319"/>
      <c r="D11694" s="319"/>
    </row>
    <row r="11695" spans="3:4">
      <c r="C11695" s="319"/>
      <c r="D11695" s="319"/>
    </row>
    <row r="11696" spans="3:4">
      <c r="C11696" s="319"/>
      <c r="D11696" s="319"/>
    </row>
    <row r="11697" spans="3:4">
      <c r="C11697" s="319"/>
      <c r="D11697" s="319"/>
    </row>
    <row r="11698" spans="3:4">
      <c r="C11698" s="319"/>
      <c r="D11698" s="319"/>
    </row>
    <row r="11699" spans="3:7">
      <c r="C11699" s="319"/>
      <c r="D11699" s="319"/>
      <c r="G11699" s="320"/>
    </row>
    <row r="11700" spans="3:7">
      <c r="C11700" s="319"/>
      <c r="D11700" s="319"/>
      <c r="G11700" s="320"/>
    </row>
    <row r="11701" spans="3:4">
      <c r="C11701" s="319"/>
      <c r="D11701" s="319"/>
    </row>
    <row r="11702" spans="3:4">
      <c r="C11702" s="319"/>
      <c r="D11702" s="319"/>
    </row>
    <row r="11703" spans="3:4">
      <c r="C11703" s="319"/>
      <c r="D11703" s="319"/>
    </row>
    <row r="11704" spans="3:7">
      <c r="C11704" s="319"/>
      <c r="D11704" s="319"/>
      <c r="G11704" s="320"/>
    </row>
    <row r="11705" spans="3:4">
      <c r="C11705" s="319"/>
      <c r="D11705" s="319"/>
    </row>
    <row r="11706" spans="3:7">
      <c r="C11706" s="319"/>
      <c r="D11706" s="319"/>
      <c r="G11706" s="320"/>
    </row>
    <row r="11707" spans="3:4">
      <c r="C11707" s="319"/>
      <c r="D11707" s="319"/>
    </row>
    <row r="11708" spans="3:7">
      <c r="C11708" s="319"/>
      <c r="D11708" s="319"/>
      <c r="G11708" s="320"/>
    </row>
    <row r="11709" spans="3:4">
      <c r="C11709" s="319"/>
      <c r="D11709" s="319"/>
    </row>
    <row r="11710" spans="3:7">
      <c r="C11710" s="319"/>
      <c r="D11710" s="319"/>
      <c r="G11710" s="320"/>
    </row>
    <row r="11711" spans="3:4">
      <c r="C11711" s="319"/>
      <c r="D11711" s="319"/>
    </row>
    <row r="11712" spans="3:4">
      <c r="C11712" s="319"/>
      <c r="D11712" s="319"/>
    </row>
    <row r="11713" spans="3:4">
      <c r="C11713" s="319"/>
      <c r="D11713" s="319"/>
    </row>
    <row r="11714" spans="3:7">
      <c r="C11714" s="319"/>
      <c r="D11714" s="319"/>
      <c r="G11714" s="320"/>
    </row>
    <row r="11715" spans="3:7">
      <c r="C11715" s="319"/>
      <c r="D11715" s="319"/>
      <c r="G11715" s="320"/>
    </row>
    <row r="11716" spans="3:7">
      <c r="C11716" s="319"/>
      <c r="D11716" s="319"/>
      <c r="G11716" s="320"/>
    </row>
    <row r="11717" spans="3:4">
      <c r="C11717" s="319"/>
      <c r="D11717" s="319"/>
    </row>
    <row r="11718" spans="3:4">
      <c r="C11718" s="319"/>
      <c r="D11718" s="319"/>
    </row>
    <row r="11719" spans="3:7">
      <c r="C11719" s="319"/>
      <c r="D11719" s="319"/>
      <c r="G11719" s="320"/>
    </row>
    <row r="11720" spans="3:4">
      <c r="C11720" s="319"/>
      <c r="D11720" s="319"/>
    </row>
    <row r="11721" spans="3:4">
      <c r="C11721" s="319"/>
      <c r="D11721" s="319"/>
    </row>
    <row r="11722" spans="3:7">
      <c r="C11722" s="319"/>
      <c r="D11722" s="319"/>
      <c r="G11722" s="320"/>
    </row>
    <row r="11723" spans="3:7">
      <c r="C11723" s="319"/>
      <c r="D11723" s="319"/>
      <c r="G11723" s="320"/>
    </row>
    <row r="11724" spans="3:4">
      <c r="C11724" s="319"/>
      <c r="D11724" s="319"/>
    </row>
    <row r="11725" spans="3:7">
      <c r="C11725" s="319"/>
      <c r="D11725" s="319"/>
      <c r="G11725" s="320"/>
    </row>
    <row r="11726" spans="3:7">
      <c r="C11726" s="319"/>
      <c r="D11726" s="319"/>
      <c r="G11726" s="320"/>
    </row>
    <row r="11727" spans="3:7">
      <c r="C11727" s="319"/>
      <c r="D11727" s="319"/>
      <c r="G11727" s="320"/>
    </row>
    <row r="11728" spans="3:4">
      <c r="C11728" s="319"/>
      <c r="D11728" s="319"/>
    </row>
    <row r="11729" spans="3:4">
      <c r="C11729" s="319"/>
      <c r="D11729" s="319"/>
    </row>
    <row r="11730" spans="3:7">
      <c r="C11730" s="319"/>
      <c r="D11730" s="319"/>
      <c r="G11730" s="320"/>
    </row>
    <row r="11731" spans="3:7">
      <c r="C11731" s="319"/>
      <c r="D11731" s="319"/>
      <c r="G11731" s="320"/>
    </row>
    <row r="11732" spans="3:4">
      <c r="C11732" s="319"/>
      <c r="D11732" s="319"/>
    </row>
    <row r="11733" spans="3:7">
      <c r="C11733" s="319"/>
      <c r="D11733" s="319"/>
      <c r="G11733" s="320"/>
    </row>
    <row r="11734" spans="3:7">
      <c r="C11734" s="319"/>
      <c r="D11734" s="319"/>
      <c r="G11734" s="320"/>
    </row>
    <row r="11735" spans="3:4">
      <c r="C11735" s="319"/>
      <c r="D11735" s="319"/>
    </row>
    <row r="11736" spans="3:4">
      <c r="C11736" s="319"/>
      <c r="D11736" s="319"/>
    </row>
    <row r="11737" spans="3:4">
      <c r="C11737" s="319"/>
      <c r="D11737" s="319"/>
    </row>
    <row r="11738" spans="3:4">
      <c r="C11738" s="319"/>
      <c r="D11738" s="319"/>
    </row>
    <row r="11739" spans="3:4">
      <c r="C11739" s="319"/>
      <c r="D11739" s="319"/>
    </row>
    <row r="11740" spans="3:4">
      <c r="C11740" s="319"/>
      <c r="D11740" s="319"/>
    </row>
    <row r="11741" spans="3:7">
      <c r="C11741" s="319"/>
      <c r="D11741" s="319"/>
      <c r="G11741" s="320"/>
    </row>
    <row r="11742" spans="3:4">
      <c r="C11742" s="319"/>
      <c r="D11742" s="319"/>
    </row>
    <row r="11743" spans="3:4">
      <c r="C11743" s="319"/>
      <c r="D11743" s="319"/>
    </row>
    <row r="11744" spans="3:4">
      <c r="C11744" s="319"/>
      <c r="D11744" s="319"/>
    </row>
    <row r="11745" spans="3:4">
      <c r="C11745" s="319"/>
      <c r="D11745" s="319"/>
    </row>
    <row r="11746" spans="3:4">
      <c r="C11746" s="319"/>
      <c r="D11746" s="319"/>
    </row>
    <row r="11747" spans="3:7">
      <c r="C11747" s="319"/>
      <c r="D11747" s="319"/>
      <c r="G11747" s="320"/>
    </row>
    <row r="11748" spans="3:4">
      <c r="C11748" s="319"/>
      <c r="D11748" s="319"/>
    </row>
    <row r="11749" spans="3:7">
      <c r="C11749" s="319"/>
      <c r="D11749" s="319"/>
      <c r="G11749" s="320"/>
    </row>
    <row r="11750" spans="3:4">
      <c r="C11750" s="319"/>
      <c r="D11750" s="319"/>
    </row>
    <row r="11751" spans="3:7">
      <c r="C11751" s="319"/>
      <c r="D11751" s="319"/>
      <c r="G11751" s="320"/>
    </row>
    <row r="11752" spans="3:4">
      <c r="C11752" s="319"/>
      <c r="D11752" s="319"/>
    </row>
    <row r="11753" spans="3:4">
      <c r="C11753" s="319"/>
      <c r="D11753" s="319"/>
    </row>
    <row r="11754" spans="3:4">
      <c r="C11754" s="319"/>
      <c r="D11754" s="319"/>
    </row>
    <row r="11755" spans="3:7">
      <c r="C11755" s="319"/>
      <c r="D11755" s="319"/>
      <c r="G11755" s="320"/>
    </row>
    <row r="11756" spans="3:4">
      <c r="C11756" s="319"/>
      <c r="D11756" s="319"/>
    </row>
    <row r="11757" spans="3:7">
      <c r="C11757" s="319"/>
      <c r="D11757" s="319"/>
      <c r="G11757" s="320"/>
    </row>
    <row r="11758" spans="3:7">
      <c r="C11758" s="319"/>
      <c r="D11758" s="319"/>
      <c r="G11758" s="320"/>
    </row>
    <row r="11759" spans="3:4">
      <c r="C11759" s="319"/>
      <c r="D11759" s="319"/>
    </row>
    <row r="11760" spans="3:4">
      <c r="C11760" s="319"/>
      <c r="D11760" s="319"/>
    </row>
    <row r="11761" spans="3:7">
      <c r="C11761" s="319"/>
      <c r="D11761" s="319"/>
      <c r="G11761" s="320"/>
    </row>
    <row r="11762" spans="3:4">
      <c r="C11762" s="319"/>
      <c r="D11762" s="319"/>
    </row>
    <row r="11763" spans="3:7">
      <c r="C11763" s="319"/>
      <c r="D11763" s="319"/>
      <c r="G11763" s="320"/>
    </row>
    <row r="11764" spans="3:4">
      <c r="C11764" s="319"/>
      <c r="D11764" s="319"/>
    </row>
    <row r="11765" spans="3:7">
      <c r="C11765" s="319"/>
      <c r="D11765" s="319"/>
      <c r="G11765" s="320"/>
    </row>
    <row r="11766" spans="3:7">
      <c r="C11766" s="319"/>
      <c r="D11766" s="319"/>
      <c r="G11766" s="320"/>
    </row>
    <row r="11767" spans="3:7">
      <c r="C11767" s="319"/>
      <c r="D11767" s="319"/>
      <c r="G11767" s="320"/>
    </row>
    <row r="11768" spans="3:7">
      <c r="C11768" s="319"/>
      <c r="D11768" s="319"/>
      <c r="G11768" s="320"/>
    </row>
    <row r="11769" spans="3:4">
      <c r="C11769" s="319"/>
      <c r="D11769" s="319"/>
    </row>
    <row r="11770" spans="3:4">
      <c r="C11770" s="319"/>
      <c r="D11770" s="319"/>
    </row>
    <row r="11771" spans="3:4">
      <c r="C11771" s="319"/>
      <c r="D11771" s="319"/>
    </row>
    <row r="11772" spans="3:4">
      <c r="C11772" s="319"/>
      <c r="D11772" s="319"/>
    </row>
    <row r="11773" spans="3:4">
      <c r="C11773" s="319"/>
      <c r="D11773" s="319"/>
    </row>
    <row r="11774" spans="3:4">
      <c r="C11774" s="319"/>
      <c r="D11774" s="319"/>
    </row>
    <row r="11775" spans="3:4">
      <c r="C11775" s="319"/>
      <c r="D11775" s="319"/>
    </row>
    <row r="11776" spans="3:4">
      <c r="C11776" s="319"/>
      <c r="D11776" s="319"/>
    </row>
    <row r="11777" spans="3:4">
      <c r="C11777" s="319"/>
      <c r="D11777" s="319"/>
    </row>
    <row r="11778" spans="3:4">
      <c r="C11778" s="319"/>
      <c r="D11778" s="319"/>
    </row>
    <row r="11779" spans="3:4">
      <c r="C11779" s="319"/>
      <c r="D11779" s="319"/>
    </row>
    <row r="11780" spans="3:4">
      <c r="C11780" s="319"/>
      <c r="D11780" s="319"/>
    </row>
    <row r="11781" spans="3:7">
      <c r="C11781" s="319"/>
      <c r="D11781" s="319"/>
      <c r="G11781" s="320"/>
    </row>
    <row r="11782" spans="3:4">
      <c r="C11782" s="319"/>
      <c r="D11782" s="319"/>
    </row>
    <row r="11783" spans="3:4">
      <c r="C11783" s="319"/>
      <c r="D11783" s="319"/>
    </row>
    <row r="11784" spans="3:4">
      <c r="C11784" s="319"/>
      <c r="D11784" s="319"/>
    </row>
    <row r="11785" spans="3:4">
      <c r="C11785" s="319"/>
      <c r="D11785" s="319"/>
    </row>
    <row r="11786" spans="3:4">
      <c r="C11786" s="319"/>
      <c r="D11786" s="319"/>
    </row>
    <row r="11787" spans="3:4">
      <c r="C11787" s="319"/>
      <c r="D11787" s="319"/>
    </row>
    <row r="11788" spans="3:4">
      <c r="C11788" s="319"/>
      <c r="D11788" s="319"/>
    </row>
    <row r="11789" spans="3:4">
      <c r="C11789" s="319"/>
      <c r="D11789" s="319"/>
    </row>
    <row r="11790" spans="3:4">
      <c r="C11790" s="319"/>
      <c r="D11790" s="319"/>
    </row>
    <row r="11791" spans="3:4">
      <c r="C11791" s="319"/>
      <c r="D11791" s="319"/>
    </row>
    <row r="11792" spans="3:4">
      <c r="C11792" s="319"/>
      <c r="D11792" s="319"/>
    </row>
    <row r="11793" spans="3:4">
      <c r="C11793" s="319"/>
      <c r="D11793" s="319"/>
    </row>
    <row r="11794" spans="3:4">
      <c r="C11794" s="319"/>
      <c r="D11794" s="319"/>
    </row>
    <row r="11795" spans="3:4">
      <c r="C11795" s="319"/>
      <c r="D11795" s="319"/>
    </row>
    <row r="11796" spans="3:4">
      <c r="C11796" s="319"/>
      <c r="D11796" s="319"/>
    </row>
    <row r="11797" spans="3:4">
      <c r="C11797" s="319"/>
      <c r="D11797" s="319"/>
    </row>
    <row r="11798" spans="3:4">
      <c r="C11798" s="319"/>
      <c r="D11798" s="319"/>
    </row>
    <row r="11799" spans="3:7">
      <c r="C11799" s="319"/>
      <c r="D11799" s="319"/>
      <c r="G11799" s="320"/>
    </row>
    <row r="11800" spans="3:4">
      <c r="C11800" s="319"/>
      <c r="D11800" s="319"/>
    </row>
    <row r="11801" spans="3:4">
      <c r="C11801" s="319"/>
      <c r="D11801" s="319"/>
    </row>
    <row r="11802" spans="3:4">
      <c r="C11802" s="319"/>
      <c r="D11802" s="319"/>
    </row>
    <row r="11803" spans="3:7">
      <c r="C11803" s="319"/>
      <c r="D11803" s="319"/>
      <c r="G11803" s="320"/>
    </row>
    <row r="11804" spans="3:4">
      <c r="C11804" s="319"/>
      <c r="D11804" s="319"/>
    </row>
    <row r="11805" spans="3:4">
      <c r="C11805" s="319"/>
      <c r="D11805" s="319"/>
    </row>
    <row r="11806" spans="3:4">
      <c r="C11806" s="319"/>
      <c r="D11806" s="319"/>
    </row>
    <row r="11807" spans="3:7">
      <c r="C11807" s="319"/>
      <c r="D11807" s="319"/>
      <c r="G11807" s="320"/>
    </row>
    <row r="11808" spans="3:7">
      <c r="C11808" s="319"/>
      <c r="D11808" s="319"/>
      <c r="G11808" s="320"/>
    </row>
    <row r="11809" spans="3:4">
      <c r="C11809" s="319"/>
      <c r="D11809" s="319"/>
    </row>
    <row r="11810" spans="3:4">
      <c r="C11810" s="319"/>
      <c r="D11810" s="319"/>
    </row>
    <row r="11811" spans="3:7">
      <c r="C11811" s="319"/>
      <c r="D11811" s="319"/>
      <c r="G11811" s="320"/>
    </row>
    <row r="11812" spans="3:7">
      <c r="C11812" s="319"/>
      <c r="D11812" s="319"/>
      <c r="G11812" s="320"/>
    </row>
    <row r="11813" spans="3:4">
      <c r="C11813" s="319"/>
      <c r="D11813" s="319"/>
    </row>
    <row r="11814" spans="3:4">
      <c r="C11814" s="319"/>
      <c r="D11814" s="319"/>
    </row>
    <row r="11815" spans="3:4">
      <c r="C11815" s="319"/>
      <c r="D11815" s="319"/>
    </row>
    <row r="11816" spans="3:4">
      <c r="C11816" s="319"/>
      <c r="D11816" s="319"/>
    </row>
    <row r="11817" spans="3:7">
      <c r="C11817" s="319"/>
      <c r="D11817" s="319"/>
      <c r="G11817" s="320"/>
    </row>
    <row r="11818" spans="3:7">
      <c r="C11818" s="319"/>
      <c r="D11818" s="319"/>
      <c r="G11818" s="320"/>
    </row>
    <row r="11819" spans="3:7">
      <c r="C11819" s="319"/>
      <c r="D11819" s="319"/>
      <c r="G11819" s="320"/>
    </row>
    <row r="11820" spans="3:4">
      <c r="C11820" s="319"/>
      <c r="D11820" s="319"/>
    </row>
    <row r="11821" spans="3:7">
      <c r="C11821" s="319"/>
      <c r="D11821" s="319"/>
      <c r="G11821" s="320"/>
    </row>
    <row r="11822" spans="3:7">
      <c r="C11822" s="319"/>
      <c r="D11822" s="319"/>
      <c r="G11822" s="320"/>
    </row>
    <row r="11823" spans="3:4">
      <c r="C11823" s="319"/>
      <c r="D11823" s="319"/>
    </row>
    <row r="11824" spans="3:7">
      <c r="C11824" s="319"/>
      <c r="D11824" s="319"/>
      <c r="G11824" s="320"/>
    </row>
    <row r="11825" spans="3:7">
      <c r="C11825" s="319"/>
      <c r="D11825" s="319"/>
      <c r="G11825" s="320"/>
    </row>
    <row r="11826" spans="3:7">
      <c r="C11826" s="319"/>
      <c r="D11826" s="319"/>
      <c r="G11826" s="320"/>
    </row>
    <row r="11827" spans="3:7">
      <c r="C11827" s="319"/>
      <c r="D11827" s="319"/>
      <c r="G11827" s="320"/>
    </row>
    <row r="11828" spans="3:7">
      <c r="C11828" s="319"/>
      <c r="D11828" s="319"/>
      <c r="G11828" s="320"/>
    </row>
    <row r="11829" spans="3:7">
      <c r="C11829" s="319"/>
      <c r="D11829" s="319"/>
      <c r="G11829" s="320"/>
    </row>
    <row r="11830" spans="3:7">
      <c r="C11830" s="319"/>
      <c r="D11830" s="319"/>
      <c r="G11830" s="320"/>
    </row>
    <row r="11831" spans="3:7">
      <c r="C11831" s="319"/>
      <c r="D11831" s="319"/>
      <c r="G11831" s="320"/>
    </row>
    <row r="11832" spans="3:4">
      <c r="C11832" s="319"/>
      <c r="D11832" s="319"/>
    </row>
    <row r="11833" spans="3:4">
      <c r="C11833" s="319"/>
      <c r="D11833" s="319"/>
    </row>
    <row r="11834" spans="3:4">
      <c r="C11834" s="319"/>
      <c r="D11834" s="319"/>
    </row>
    <row r="11835" spans="3:4">
      <c r="C11835" s="319"/>
      <c r="D11835" s="319"/>
    </row>
    <row r="11836" spans="3:7">
      <c r="C11836" s="319"/>
      <c r="D11836" s="319"/>
      <c r="G11836" s="320"/>
    </row>
    <row r="11837" spans="3:7">
      <c r="C11837" s="319"/>
      <c r="D11837" s="319"/>
      <c r="G11837" s="320"/>
    </row>
    <row r="11838" spans="3:7">
      <c r="C11838" s="319"/>
      <c r="D11838" s="319"/>
      <c r="G11838" s="320"/>
    </row>
    <row r="11839" spans="3:4">
      <c r="C11839" s="319"/>
      <c r="D11839" s="319"/>
    </row>
    <row r="11840" spans="3:4">
      <c r="C11840" s="319"/>
      <c r="D11840" s="319"/>
    </row>
    <row r="11841" spans="3:4">
      <c r="C11841" s="319"/>
      <c r="D11841" s="319"/>
    </row>
    <row r="11842" spans="3:7">
      <c r="C11842" s="319"/>
      <c r="D11842" s="319"/>
      <c r="G11842" s="320"/>
    </row>
    <row r="11843" spans="3:4">
      <c r="C11843" s="319"/>
      <c r="D11843" s="319"/>
    </row>
    <row r="11844" spans="3:7">
      <c r="C11844" s="319"/>
      <c r="D11844" s="319"/>
      <c r="G11844" s="320"/>
    </row>
    <row r="11845" spans="3:7">
      <c r="C11845" s="319"/>
      <c r="D11845" s="319"/>
      <c r="G11845" s="320"/>
    </row>
    <row r="11846" spans="3:7">
      <c r="C11846" s="319"/>
      <c r="D11846" s="319"/>
      <c r="G11846" s="320"/>
    </row>
    <row r="11847" spans="3:4">
      <c r="C11847" s="319"/>
      <c r="D11847" s="319"/>
    </row>
    <row r="11848" spans="3:7">
      <c r="C11848" s="319"/>
      <c r="D11848" s="319"/>
      <c r="G11848" s="320"/>
    </row>
    <row r="11849" spans="3:7">
      <c r="C11849" s="319"/>
      <c r="D11849" s="319"/>
      <c r="G11849" s="320"/>
    </row>
    <row r="11850" spans="3:7">
      <c r="C11850" s="319"/>
      <c r="D11850" s="319"/>
      <c r="G11850" s="320"/>
    </row>
    <row r="11851" spans="3:7">
      <c r="C11851" s="319"/>
      <c r="D11851" s="319"/>
      <c r="G11851" s="320"/>
    </row>
    <row r="11852" spans="3:7">
      <c r="C11852" s="319"/>
      <c r="D11852" s="319"/>
      <c r="G11852" s="320"/>
    </row>
    <row r="11853" spans="3:4">
      <c r="C11853" s="319"/>
      <c r="D11853" s="319"/>
    </row>
    <row r="11854" spans="3:7">
      <c r="C11854" s="319"/>
      <c r="D11854" s="319"/>
      <c r="G11854" s="320"/>
    </row>
    <row r="11855" spans="3:4">
      <c r="C11855" s="319"/>
      <c r="D11855" s="319"/>
    </row>
    <row r="11856" spans="3:4">
      <c r="C11856" s="319"/>
      <c r="D11856" s="319"/>
    </row>
    <row r="11857" spans="3:7">
      <c r="C11857" s="319"/>
      <c r="D11857" s="319"/>
      <c r="G11857" s="320"/>
    </row>
    <row r="11858" spans="3:4">
      <c r="C11858" s="319"/>
      <c r="D11858" s="319"/>
    </row>
    <row r="11859" spans="3:4">
      <c r="C11859" s="319"/>
      <c r="D11859" s="319"/>
    </row>
    <row r="11860" spans="3:4">
      <c r="C11860" s="319"/>
      <c r="D11860" s="319"/>
    </row>
    <row r="11861" spans="3:7">
      <c r="C11861" s="319"/>
      <c r="D11861" s="319"/>
      <c r="G11861" s="320"/>
    </row>
    <row r="11862" spans="3:7">
      <c r="C11862" s="319"/>
      <c r="D11862" s="319"/>
      <c r="G11862" s="320"/>
    </row>
    <row r="11863" spans="3:4">
      <c r="C11863" s="319"/>
      <c r="D11863" s="319"/>
    </row>
    <row r="11864" spans="3:7">
      <c r="C11864" s="319"/>
      <c r="D11864" s="319"/>
      <c r="G11864" s="320"/>
    </row>
    <row r="11865" spans="3:4">
      <c r="C11865" s="319"/>
      <c r="D11865" s="319"/>
    </row>
    <row r="11866" spans="3:7">
      <c r="C11866" s="319"/>
      <c r="D11866" s="319"/>
      <c r="G11866" s="320"/>
    </row>
    <row r="11867" spans="3:7">
      <c r="C11867" s="319"/>
      <c r="D11867" s="319"/>
      <c r="G11867" s="320"/>
    </row>
    <row r="11868" spans="3:4">
      <c r="C11868" s="319"/>
      <c r="D11868" s="319"/>
    </row>
    <row r="11869" spans="3:4">
      <c r="C11869" s="319"/>
      <c r="D11869" s="319"/>
    </row>
    <row r="11870" spans="3:7">
      <c r="C11870" s="319"/>
      <c r="D11870" s="319"/>
      <c r="G11870" s="320"/>
    </row>
    <row r="11871" spans="3:4">
      <c r="C11871" s="319"/>
      <c r="D11871" s="319"/>
    </row>
    <row r="11872" spans="3:7">
      <c r="C11872" s="319"/>
      <c r="D11872" s="319"/>
      <c r="G11872" s="320"/>
    </row>
    <row r="11873" spans="3:4">
      <c r="C11873" s="319"/>
      <c r="D11873" s="319"/>
    </row>
    <row r="11874" spans="3:7">
      <c r="C11874" s="319"/>
      <c r="D11874" s="319"/>
      <c r="G11874" s="320"/>
    </row>
    <row r="11875" spans="3:4">
      <c r="C11875" s="319"/>
      <c r="D11875" s="319"/>
    </row>
    <row r="11876" spans="3:7">
      <c r="C11876" s="319"/>
      <c r="D11876" s="319"/>
      <c r="G11876" s="320"/>
    </row>
    <row r="11877" spans="3:4">
      <c r="C11877" s="319"/>
      <c r="D11877" s="319"/>
    </row>
    <row r="11878" spans="3:7">
      <c r="C11878" s="319"/>
      <c r="D11878" s="319"/>
      <c r="G11878" s="320"/>
    </row>
    <row r="11879" spans="3:7">
      <c r="C11879" s="319"/>
      <c r="D11879" s="319"/>
      <c r="G11879" s="320"/>
    </row>
    <row r="11880" spans="3:7">
      <c r="C11880" s="319"/>
      <c r="D11880" s="319"/>
      <c r="G11880" s="320"/>
    </row>
    <row r="11881" spans="3:7">
      <c r="C11881" s="319"/>
      <c r="D11881" s="319"/>
      <c r="G11881" s="320"/>
    </row>
    <row r="11882" spans="3:4">
      <c r="C11882" s="319"/>
      <c r="D11882" s="319"/>
    </row>
    <row r="11883" spans="3:4">
      <c r="C11883" s="319"/>
      <c r="D11883" s="319"/>
    </row>
    <row r="11884" spans="3:7">
      <c r="C11884" s="319"/>
      <c r="D11884" s="319"/>
      <c r="G11884" s="320"/>
    </row>
    <row r="11885" spans="3:7">
      <c r="C11885" s="319"/>
      <c r="D11885" s="319"/>
      <c r="G11885" s="320"/>
    </row>
    <row r="11886" spans="3:7">
      <c r="C11886" s="319"/>
      <c r="D11886" s="319"/>
      <c r="G11886" s="320"/>
    </row>
    <row r="11887" spans="3:4">
      <c r="C11887" s="319"/>
      <c r="D11887" s="319"/>
    </row>
    <row r="11888" spans="3:4">
      <c r="C11888" s="319"/>
      <c r="D11888" s="319"/>
    </row>
    <row r="11889" spans="3:4">
      <c r="C11889" s="319"/>
      <c r="D11889" s="319"/>
    </row>
    <row r="11890" spans="3:7">
      <c r="C11890" s="319"/>
      <c r="D11890" s="319"/>
      <c r="G11890" s="320"/>
    </row>
    <row r="11891" spans="3:7">
      <c r="C11891" s="319"/>
      <c r="D11891" s="319"/>
      <c r="G11891" s="320"/>
    </row>
    <row r="11892" spans="3:4">
      <c r="C11892" s="319"/>
      <c r="D11892" s="319"/>
    </row>
    <row r="11893" spans="3:4">
      <c r="C11893" s="319"/>
      <c r="D11893" s="319"/>
    </row>
    <row r="11894" spans="3:7">
      <c r="C11894" s="319"/>
      <c r="D11894" s="319"/>
      <c r="G11894" s="320"/>
    </row>
    <row r="11895" spans="3:7">
      <c r="C11895" s="319"/>
      <c r="D11895" s="319"/>
      <c r="G11895" s="320"/>
    </row>
    <row r="11896" spans="3:4">
      <c r="C11896" s="319"/>
      <c r="D11896" s="319"/>
    </row>
    <row r="11897" spans="3:7">
      <c r="C11897" s="319"/>
      <c r="D11897" s="319"/>
      <c r="G11897" s="320"/>
    </row>
    <row r="11898" spans="3:4">
      <c r="C11898" s="319"/>
      <c r="D11898" s="319"/>
    </row>
    <row r="11899" spans="3:4">
      <c r="C11899" s="319"/>
      <c r="D11899" s="319"/>
    </row>
    <row r="11900" spans="3:4">
      <c r="C11900" s="319"/>
      <c r="D11900" s="319"/>
    </row>
    <row r="11901" spans="3:7">
      <c r="C11901" s="319"/>
      <c r="D11901" s="319"/>
      <c r="G11901" s="320"/>
    </row>
    <row r="11902" spans="3:7">
      <c r="C11902" s="319"/>
      <c r="D11902" s="319"/>
      <c r="G11902" s="320"/>
    </row>
    <row r="11903" spans="3:4">
      <c r="C11903" s="319"/>
      <c r="D11903" s="319"/>
    </row>
    <row r="11904" spans="3:4">
      <c r="C11904" s="319"/>
      <c r="D11904" s="319"/>
    </row>
    <row r="11905" spans="3:4">
      <c r="C11905" s="319"/>
      <c r="D11905" s="319"/>
    </row>
    <row r="11906" spans="3:4">
      <c r="C11906" s="319"/>
      <c r="D11906" s="319"/>
    </row>
    <row r="11907" spans="3:4">
      <c r="C11907" s="319"/>
      <c r="D11907" s="319"/>
    </row>
    <row r="11908" spans="3:7">
      <c r="C11908" s="319"/>
      <c r="D11908" s="319"/>
      <c r="G11908" s="320"/>
    </row>
    <row r="11909" spans="3:4">
      <c r="C11909" s="319"/>
      <c r="D11909" s="319"/>
    </row>
    <row r="11910" spans="3:4">
      <c r="C11910" s="319"/>
      <c r="D11910" s="319"/>
    </row>
    <row r="11911" spans="3:4">
      <c r="C11911" s="319"/>
      <c r="D11911" s="319"/>
    </row>
    <row r="11912" spans="3:7">
      <c r="C11912" s="319"/>
      <c r="D11912" s="319"/>
      <c r="G11912" s="320"/>
    </row>
    <row r="11913" spans="3:4">
      <c r="C11913" s="319"/>
      <c r="D11913" s="319"/>
    </row>
    <row r="11914" spans="3:7">
      <c r="C11914" s="319"/>
      <c r="D11914" s="319"/>
      <c r="G11914" s="320"/>
    </row>
    <row r="11915" spans="3:4">
      <c r="C11915" s="319"/>
      <c r="D11915" s="319"/>
    </row>
    <row r="11916" spans="3:4">
      <c r="C11916" s="319"/>
      <c r="D11916" s="319"/>
    </row>
    <row r="11917" spans="3:7">
      <c r="C11917" s="319"/>
      <c r="D11917" s="319"/>
      <c r="G11917" s="320"/>
    </row>
    <row r="11918" spans="3:4">
      <c r="C11918" s="319"/>
      <c r="D11918" s="319"/>
    </row>
    <row r="11919" spans="3:4">
      <c r="C11919" s="319"/>
      <c r="D11919" s="319"/>
    </row>
    <row r="11920" spans="3:4">
      <c r="C11920" s="319"/>
      <c r="D11920" s="319"/>
    </row>
    <row r="11921" spans="3:7">
      <c r="C11921" s="319"/>
      <c r="D11921" s="319"/>
      <c r="G11921" s="320"/>
    </row>
    <row r="11922" spans="3:7">
      <c r="C11922" s="319"/>
      <c r="D11922" s="319"/>
      <c r="G11922" s="320"/>
    </row>
    <row r="11923" spans="3:7">
      <c r="C11923" s="319"/>
      <c r="D11923" s="319"/>
      <c r="G11923" s="320"/>
    </row>
    <row r="11924" spans="3:4">
      <c r="C11924" s="319"/>
      <c r="D11924" s="319"/>
    </row>
    <row r="11925" spans="3:4">
      <c r="C11925" s="319"/>
      <c r="D11925" s="319"/>
    </row>
    <row r="11926" spans="3:7">
      <c r="C11926" s="319"/>
      <c r="D11926" s="319"/>
      <c r="G11926" s="320"/>
    </row>
    <row r="11927" spans="3:7">
      <c r="C11927" s="319"/>
      <c r="D11927" s="319"/>
      <c r="G11927" s="320"/>
    </row>
    <row r="11928" spans="3:7">
      <c r="C11928" s="319"/>
      <c r="D11928" s="319"/>
      <c r="G11928" s="320"/>
    </row>
    <row r="11929" spans="3:7">
      <c r="C11929" s="319"/>
      <c r="D11929" s="319"/>
      <c r="G11929" s="320"/>
    </row>
    <row r="11930" spans="3:7">
      <c r="C11930" s="319"/>
      <c r="D11930" s="319"/>
      <c r="G11930" s="320"/>
    </row>
    <row r="11931" spans="3:4">
      <c r="C11931" s="319"/>
      <c r="D11931" s="319"/>
    </row>
    <row r="11932" spans="3:7">
      <c r="C11932" s="319"/>
      <c r="D11932" s="319"/>
      <c r="G11932" s="320"/>
    </row>
    <row r="11933" spans="3:7">
      <c r="C11933" s="319"/>
      <c r="D11933" s="319"/>
      <c r="G11933" s="320"/>
    </row>
    <row r="11934" spans="3:7">
      <c r="C11934" s="319"/>
      <c r="D11934" s="319"/>
      <c r="G11934" s="320"/>
    </row>
    <row r="11935" spans="3:4">
      <c r="C11935" s="319"/>
      <c r="D11935" s="319"/>
    </row>
    <row r="11936" spans="3:7">
      <c r="C11936" s="319"/>
      <c r="D11936" s="319"/>
      <c r="G11936" s="320"/>
    </row>
    <row r="11937" spans="3:7">
      <c r="C11937" s="319"/>
      <c r="D11937" s="319"/>
      <c r="G11937" s="320"/>
    </row>
    <row r="11938" spans="3:7">
      <c r="C11938" s="319"/>
      <c r="D11938" s="319"/>
      <c r="G11938" s="320"/>
    </row>
    <row r="11939" spans="3:7">
      <c r="C11939" s="319"/>
      <c r="D11939" s="319"/>
      <c r="G11939" s="320"/>
    </row>
    <row r="11940" spans="3:7">
      <c r="C11940" s="319"/>
      <c r="D11940" s="319"/>
      <c r="G11940" s="320"/>
    </row>
    <row r="11941" spans="3:7">
      <c r="C11941" s="319"/>
      <c r="D11941" s="319"/>
      <c r="G11941" s="320"/>
    </row>
    <row r="11942" spans="3:4">
      <c r="C11942" s="319"/>
      <c r="D11942" s="319"/>
    </row>
    <row r="11943" spans="3:4">
      <c r="C11943" s="319"/>
      <c r="D11943" s="319"/>
    </row>
    <row r="11944" spans="3:4">
      <c r="C11944" s="319"/>
      <c r="D11944" s="319"/>
    </row>
    <row r="11945" spans="3:4">
      <c r="C11945" s="319"/>
      <c r="D11945" s="319"/>
    </row>
    <row r="11946" spans="3:4">
      <c r="C11946" s="319"/>
      <c r="D11946" s="319"/>
    </row>
    <row r="11947" spans="3:4">
      <c r="C11947" s="319"/>
      <c r="D11947" s="319"/>
    </row>
    <row r="11948" spans="3:4">
      <c r="C11948" s="319"/>
      <c r="D11948" s="319"/>
    </row>
    <row r="11949" spans="3:4">
      <c r="C11949" s="319"/>
      <c r="D11949" s="319"/>
    </row>
    <row r="11950" spans="3:7">
      <c r="C11950" s="319"/>
      <c r="D11950" s="319"/>
      <c r="G11950" s="320"/>
    </row>
    <row r="11951" spans="3:4">
      <c r="C11951" s="319"/>
      <c r="D11951" s="319"/>
    </row>
    <row r="11952" spans="3:4">
      <c r="C11952" s="319"/>
      <c r="D11952" s="319"/>
    </row>
    <row r="11953" spans="3:4">
      <c r="C11953" s="319"/>
      <c r="D11953" s="319"/>
    </row>
    <row r="11954" spans="3:4">
      <c r="C11954" s="319"/>
      <c r="D11954" s="319"/>
    </row>
    <row r="11955" spans="3:4">
      <c r="C11955" s="319"/>
      <c r="D11955" s="319"/>
    </row>
    <row r="11956" spans="3:7">
      <c r="C11956" s="319"/>
      <c r="D11956" s="319"/>
      <c r="G11956" s="320"/>
    </row>
    <row r="11957" spans="3:7">
      <c r="C11957" s="319"/>
      <c r="D11957" s="319"/>
      <c r="G11957" s="320"/>
    </row>
    <row r="11958" spans="3:4">
      <c r="C11958" s="319"/>
      <c r="D11958" s="319"/>
    </row>
    <row r="11959" spans="3:7">
      <c r="C11959" s="319"/>
      <c r="D11959" s="319"/>
      <c r="G11959" s="320"/>
    </row>
    <row r="11960" spans="3:7">
      <c r="C11960" s="319"/>
      <c r="D11960" s="319"/>
      <c r="G11960" s="320"/>
    </row>
    <row r="11961" spans="3:4">
      <c r="C11961" s="319"/>
      <c r="D11961" s="319"/>
    </row>
    <row r="11962" spans="3:4">
      <c r="C11962" s="319"/>
      <c r="D11962" s="319"/>
    </row>
    <row r="11963" spans="3:4">
      <c r="C11963" s="319"/>
      <c r="D11963" s="319"/>
    </row>
    <row r="11964" spans="3:4">
      <c r="C11964" s="319"/>
      <c r="D11964" s="319"/>
    </row>
    <row r="11965" spans="3:4">
      <c r="C11965" s="319"/>
      <c r="D11965" s="319"/>
    </row>
    <row r="11966" spans="3:4">
      <c r="C11966" s="319"/>
      <c r="D11966" s="319"/>
    </row>
    <row r="11967" spans="3:4">
      <c r="C11967" s="319"/>
      <c r="D11967" s="319"/>
    </row>
    <row r="11968" spans="3:4">
      <c r="C11968" s="319"/>
      <c r="D11968" s="319"/>
    </row>
    <row r="11969" spans="3:4">
      <c r="C11969" s="319"/>
      <c r="D11969" s="319"/>
    </row>
    <row r="11970" spans="3:4">
      <c r="C11970" s="319"/>
      <c r="D11970" s="319"/>
    </row>
    <row r="11971" spans="3:4">
      <c r="C11971" s="319"/>
      <c r="D11971" s="319"/>
    </row>
    <row r="11972" spans="3:4">
      <c r="C11972" s="319"/>
      <c r="D11972" s="319"/>
    </row>
    <row r="11973" spans="3:4">
      <c r="C11973" s="319"/>
      <c r="D11973" s="319"/>
    </row>
    <row r="11974" spans="3:7">
      <c r="C11974" s="319"/>
      <c r="D11974" s="319"/>
      <c r="G11974" s="320"/>
    </row>
    <row r="11975" spans="3:4">
      <c r="C11975" s="319"/>
      <c r="D11975" s="319"/>
    </row>
    <row r="11976" spans="3:4">
      <c r="C11976" s="319"/>
      <c r="D11976" s="319"/>
    </row>
    <row r="11977" spans="3:4">
      <c r="C11977" s="319"/>
      <c r="D11977" s="319"/>
    </row>
    <row r="11978" spans="3:4">
      <c r="C11978" s="319"/>
      <c r="D11978" s="319"/>
    </row>
    <row r="11979" spans="3:7">
      <c r="C11979" s="319"/>
      <c r="D11979" s="319"/>
      <c r="G11979" s="320"/>
    </row>
    <row r="11980" spans="3:4">
      <c r="C11980" s="319"/>
      <c r="D11980" s="319"/>
    </row>
    <row r="11981" spans="3:4">
      <c r="C11981" s="319"/>
      <c r="D11981" s="319"/>
    </row>
    <row r="11982" spans="3:4">
      <c r="C11982" s="319"/>
      <c r="D11982" s="319"/>
    </row>
    <row r="11983" spans="3:7">
      <c r="C11983" s="319"/>
      <c r="D11983" s="319"/>
      <c r="G11983" s="320"/>
    </row>
    <row r="11984" spans="3:4">
      <c r="C11984" s="319"/>
      <c r="D11984" s="319"/>
    </row>
    <row r="11985" spans="3:7">
      <c r="C11985" s="319"/>
      <c r="D11985" s="319"/>
      <c r="G11985" s="320"/>
    </row>
    <row r="11986" spans="3:7">
      <c r="C11986" s="319"/>
      <c r="D11986" s="319"/>
      <c r="G11986" s="320"/>
    </row>
    <row r="11987" spans="3:4">
      <c r="C11987" s="319"/>
      <c r="D11987" s="319"/>
    </row>
    <row r="11988" spans="3:4">
      <c r="C11988" s="319"/>
      <c r="D11988" s="319"/>
    </row>
    <row r="11989" spans="3:4">
      <c r="C11989" s="319"/>
      <c r="D11989" s="319"/>
    </row>
    <row r="11990" spans="3:4">
      <c r="C11990" s="319"/>
      <c r="D11990" s="319"/>
    </row>
    <row r="11991" spans="3:7">
      <c r="C11991" s="319"/>
      <c r="D11991" s="319"/>
      <c r="G11991" s="320"/>
    </row>
    <row r="11992" spans="3:4">
      <c r="C11992" s="319"/>
      <c r="D11992" s="319"/>
    </row>
    <row r="11993" spans="3:4">
      <c r="C11993" s="319"/>
      <c r="D11993" s="319"/>
    </row>
    <row r="11994" spans="3:4">
      <c r="C11994" s="319"/>
      <c r="D11994" s="319"/>
    </row>
    <row r="11995" spans="3:4">
      <c r="C11995" s="319"/>
      <c r="D11995" s="319"/>
    </row>
    <row r="11996" spans="3:4">
      <c r="C11996" s="319"/>
      <c r="D11996" s="319"/>
    </row>
    <row r="11997" spans="3:4">
      <c r="C11997" s="319"/>
      <c r="D11997" s="319"/>
    </row>
    <row r="11998" spans="3:4">
      <c r="C11998" s="319"/>
      <c r="D11998" s="319"/>
    </row>
    <row r="11999" spans="3:4">
      <c r="C11999" s="319"/>
      <c r="D11999" s="319"/>
    </row>
    <row r="12000" spans="3:4">
      <c r="C12000" s="319"/>
      <c r="D12000" s="319"/>
    </row>
    <row r="12001" spans="3:4">
      <c r="C12001" s="319"/>
      <c r="D12001" s="319"/>
    </row>
    <row r="12002" spans="3:4">
      <c r="C12002" s="319"/>
      <c r="D12002" s="319"/>
    </row>
    <row r="12003" spans="3:7">
      <c r="C12003" s="319"/>
      <c r="D12003" s="319"/>
      <c r="G12003" s="320"/>
    </row>
    <row r="12004" spans="3:4">
      <c r="C12004" s="319"/>
      <c r="D12004" s="319"/>
    </row>
    <row r="12005" spans="3:4">
      <c r="C12005" s="319"/>
      <c r="D12005" s="319"/>
    </row>
    <row r="12006" spans="3:7">
      <c r="C12006" s="319"/>
      <c r="D12006" s="319"/>
      <c r="G12006" s="320"/>
    </row>
    <row r="12007" spans="3:4">
      <c r="C12007" s="319"/>
      <c r="D12007" s="319"/>
    </row>
    <row r="12008" spans="3:7">
      <c r="C12008" s="319"/>
      <c r="D12008" s="319"/>
      <c r="G12008" s="320"/>
    </row>
    <row r="12009" spans="3:7">
      <c r="C12009" s="319"/>
      <c r="D12009" s="319"/>
      <c r="G12009" s="320"/>
    </row>
    <row r="12010" spans="3:4">
      <c r="C12010" s="319"/>
      <c r="D12010" s="319"/>
    </row>
    <row r="12011" spans="3:7">
      <c r="C12011" s="319"/>
      <c r="D12011" s="319"/>
      <c r="G12011" s="320"/>
    </row>
    <row r="12012" spans="3:4">
      <c r="C12012" s="319"/>
      <c r="D12012" s="319"/>
    </row>
    <row r="12013" spans="3:4">
      <c r="C12013" s="319"/>
      <c r="D12013" s="319"/>
    </row>
    <row r="12014" spans="3:7">
      <c r="C12014" s="319"/>
      <c r="D12014" s="319"/>
      <c r="G12014" s="320"/>
    </row>
    <row r="12015" spans="3:7">
      <c r="C12015" s="319"/>
      <c r="D12015" s="319"/>
      <c r="G12015" s="320"/>
    </row>
    <row r="12016" spans="3:7">
      <c r="C12016" s="319"/>
      <c r="D12016" s="319"/>
      <c r="G12016" s="320"/>
    </row>
    <row r="12017" spans="3:7">
      <c r="C12017" s="319"/>
      <c r="D12017" s="319"/>
      <c r="G12017" s="320"/>
    </row>
    <row r="12018" spans="3:4">
      <c r="C12018" s="319"/>
      <c r="D12018" s="319"/>
    </row>
    <row r="12019" spans="3:4">
      <c r="C12019" s="319"/>
      <c r="D12019" s="319"/>
    </row>
    <row r="12020" spans="3:4">
      <c r="C12020" s="319"/>
      <c r="D12020" s="319"/>
    </row>
    <row r="12021" spans="3:4">
      <c r="C12021" s="319"/>
      <c r="D12021" s="319"/>
    </row>
    <row r="12022" spans="3:7">
      <c r="C12022" s="319"/>
      <c r="D12022" s="319"/>
      <c r="G12022" s="320"/>
    </row>
    <row r="12023" spans="3:4">
      <c r="C12023" s="319"/>
      <c r="D12023" s="319"/>
    </row>
    <row r="12024" spans="3:4">
      <c r="C12024" s="319"/>
      <c r="D12024" s="319"/>
    </row>
    <row r="12025" spans="3:4">
      <c r="C12025" s="319"/>
      <c r="D12025" s="319"/>
    </row>
    <row r="12026" spans="3:7">
      <c r="C12026" s="319"/>
      <c r="D12026" s="319"/>
      <c r="G12026" s="320"/>
    </row>
    <row r="12027" spans="3:7">
      <c r="C12027" s="319"/>
      <c r="D12027" s="319"/>
      <c r="G12027" s="320"/>
    </row>
    <row r="12028" spans="3:4">
      <c r="C12028" s="319"/>
      <c r="D12028" s="319"/>
    </row>
    <row r="12029" spans="3:4">
      <c r="C12029" s="319"/>
      <c r="D12029" s="319"/>
    </row>
    <row r="12030" spans="3:4">
      <c r="C12030" s="319"/>
      <c r="D12030" s="319"/>
    </row>
    <row r="12031" spans="3:4">
      <c r="C12031" s="319"/>
      <c r="D12031" s="319"/>
    </row>
    <row r="12032" spans="3:4">
      <c r="C12032" s="319"/>
      <c r="D12032" s="319"/>
    </row>
    <row r="12033" spans="3:4">
      <c r="C12033" s="319"/>
      <c r="D12033" s="319"/>
    </row>
    <row r="12034" spans="3:4">
      <c r="C12034" s="319"/>
      <c r="D12034" s="319"/>
    </row>
    <row r="12035" spans="3:4">
      <c r="C12035" s="319"/>
      <c r="D12035" s="319"/>
    </row>
    <row r="12036" spans="3:4">
      <c r="C12036" s="319"/>
      <c r="D12036" s="319"/>
    </row>
    <row r="12037" spans="3:4">
      <c r="C12037" s="319"/>
      <c r="D12037" s="319"/>
    </row>
    <row r="12038" spans="3:4">
      <c r="C12038" s="319"/>
      <c r="D12038" s="319"/>
    </row>
    <row r="12039" spans="3:4">
      <c r="C12039" s="319"/>
      <c r="D12039" s="319"/>
    </row>
    <row r="12040" spans="3:4">
      <c r="C12040" s="319"/>
      <c r="D12040" s="319"/>
    </row>
    <row r="12041" spans="3:4">
      <c r="C12041" s="319"/>
      <c r="D12041" s="319"/>
    </row>
    <row r="12042" spans="3:7">
      <c r="C12042" s="319"/>
      <c r="D12042" s="319"/>
      <c r="G12042" s="320"/>
    </row>
    <row r="12043" spans="3:4">
      <c r="C12043" s="319"/>
      <c r="D12043" s="319"/>
    </row>
    <row r="12044" spans="3:4">
      <c r="C12044" s="319"/>
      <c r="D12044" s="319"/>
    </row>
    <row r="12045" spans="3:4">
      <c r="C12045" s="319"/>
      <c r="D12045" s="319"/>
    </row>
    <row r="12046" spans="3:4">
      <c r="C12046" s="319"/>
      <c r="D12046" s="319"/>
    </row>
    <row r="12047" spans="3:4">
      <c r="C12047" s="319"/>
      <c r="D12047" s="319"/>
    </row>
    <row r="12048" spans="3:4">
      <c r="C12048" s="319"/>
      <c r="D12048" s="319"/>
    </row>
    <row r="12049" spans="3:7">
      <c r="C12049" s="319"/>
      <c r="D12049" s="319"/>
      <c r="G12049" s="320"/>
    </row>
    <row r="12050" spans="3:4">
      <c r="C12050" s="319"/>
      <c r="D12050" s="319"/>
    </row>
    <row r="12051" spans="3:4">
      <c r="C12051" s="319"/>
      <c r="D12051" s="319"/>
    </row>
    <row r="12052" spans="3:4">
      <c r="C12052" s="319"/>
      <c r="D12052" s="319"/>
    </row>
    <row r="12053" spans="3:4">
      <c r="C12053" s="319"/>
      <c r="D12053" s="319"/>
    </row>
    <row r="12054" spans="3:4">
      <c r="C12054" s="319"/>
      <c r="D12054" s="319"/>
    </row>
    <row r="12055" spans="3:4">
      <c r="C12055" s="319"/>
      <c r="D12055" s="319"/>
    </row>
    <row r="12056" spans="3:4">
      <c r="C12056" s="319"/>
      <c r="D12056" s="319"/>
    </row>
    <row r="12057" spans="3:4">
      <c r="C12057" s="319"/>
      <c r="D12057" s="319"/>
    </row>
    <row r="12058" spans="3:4">
      <c r="C12058" s="319"/>
      <c r="D12058" s="319"/>
    </row>
    <row r="12059" spans="3:4">
      <c r="C12059" s="319"/>
      <c r="D12059" s="319"/>
    </row>
    <row r="12060" spans="3:4">
      <c r="C12060" s="319"/>
      <c r="D12060" s="319"/>
    </row>
    <row r="12061" spans="3:4">
      <c r="C12061" s="319"/>
      <c r="D12061" s="319"/>
    </row>
    <row r="12062" spans="3:4">
      <c r="C12062" s="319"/>
      <c r="D12062" s="319"/>
    </row>
    <row r="12063" spans="3:7">
      <c r="C12063" s="319"/>
      <c r="D12063" s="319"/>
      <c r="G12063" s="320"/>
    </row>
    <row r="12064" spans="3:7">
      <c r="C12064" s="319"/>
      <c r="D12064" s="319"/>
      <c r="G12064" s="320"/>
    </row>
    <row r="12065" spans="3:7">
      <c r="C12065" s="319"/>
      <c r="D12065" s="319"/>
      <c r="G12065" s="320"/>
    </row>
    <row r="12066" spans="3:4">
      <c r="C12066" s="319"/>
      <c r="D12066" s="319"/>
    </row>
    <row r="12067" spans="3:4">
      <c r="C12067" s="319"/>
      <c r="D12067" s="319"/>
    </row>
    <row r="12068" spans="3:7">
      <c r="C12068" s="319"/>
      <c r="D12068" s="319"/>
      <c r="G12068" s="320"/>
    </row>
    <row r="12069" spans="3:4">
      <c r="C12069" s="319"/>
      <c r="D12069" s="319"/>
    </row>
    <row r="12070" spans="3:4">
      <c r="C12070" s="319"/>
      <c r="D12070" s="319"/>
    </row>
    <row r="12071" spans="3:4">
      <c r="C12071" s="319"/>
      <c r="D12071" s="319"/>
    </row>
    <row r="12072" spans="3:4">
      <c r="C12072" s="319"/>
      <c r="D12072" s="319"/>
    </row>
    <row r="12073" spans="3:7">
      <c r="C12073" s="319"/>
      <c r="D12073" s="319"/>
      <c r="G12073" s="320"/>
    </row>
    <row r="12074" spans="3:4">
      <c r="C12074" s="319"/>
      <c r="D12074" s="319"/>
    </row>
    <row r="12075" spans="3:4">
      <c r="C12075" s="319"/>
      <c r="D12075" s="319"/>
    </row>
    <row r="12076" spans="3:4">
      <c r="C12076" s="319"/>
      <c r="D12076" s="319"/>
    </row>
    <row r="12077" spans="3:4">
      <c r="C12077" s="319"/>
      <c r="D12077" s="319"/>
    </row>
    <row r="12078" spans="3:4">
      <c r="C12078" s="319"/>
      <c r="D12078" s="319"/>
    </row>
    <row r="12079" spans="3:4">
      <c r="C12079" s="319"/>
      <c r="D12079" s="319"/>
    </row>
    <row r="12080" spans="3:4">
      <c r="C12080" s="319"/>
      <c r="D12080" s="319"/>
    </row>
    <row r="12081" spans="3:4">
      <c r="C12081" s="319"/>
      <c r="D12081" s="319"/>
    </row>
    <row r="12082" spans="3:4">
      <c r="C12082" s="319"/>
      <c r="D12082" s="319"/>
    </row>
    <row r="12083" spans="3:4">
      <c r="C12083" s="319"/>
      <c r="D12083" s="319"/>
    </row>
    <row r="12084" spans="3:4">
      <c r="C12084" s="319"/>
      <c r="D12084" s="319"/>
    </row>
    <row r="12085" spans="3:4">
      <c r="C12085" s="319"/>
      <c r="D12085" s="319"/>
    </row>
    <row r="12086" spans="3:7">
      <c r="C12086" s="319"/>
      <c r="D12086" s="319"/>
      <c r="G12086" s="320"/>
    </row>
    <row r="12087" spans="3:7">
      <c r="C12087" s="319"/>
      <c r="D12087" s="319"/>
      <c r="G12087" s="320"/>
    </row>
    <row r="12088" spans="3:4">
      <c r="C12088" s="319"/>
      <c r="D12088" s="319"/>
    </row>
    <row r="12089" spans="3:4">
      <c r="C12089" s="319"/>
      <c r="D12089" s="319"/>
    </row>
    <row r="12090" spans="3:4">
      <c r="C12090" s="319"/>
      <c r="D12090" s="319"/>
    </row>
    <row r="12091" spans="3:4">
      <c r="C12091" s="319"/>
      <c r="D12091" s="319"/>
    </row>
    <row r="12092" spans="3:4">
      <c r="C12092" s="319"/>
      <c r="D12092" s="319"/>
    </row>
    <row r="12093" spans="3:4">
      <c r="C12093" s="319"/>
      <c r="D12093" s="319"/>
    </row>
    <row r="12094" spans="3:7">
      <c r="C12094" s="319"/>
      <c r="D12094" s="319"/>
      <c r="G12094" s="320"/>
    </row>
    <row r="12095" spans="3:4">
      <c r="C12095" s="319"/>
      <c r="D12095" s="319"/>
    </row>
    <row r="12096" spans="3:4">
      <c r="C12096" s="319"/>
      <c r="D12096" s="319"/>
    </row>
    <row r="12097" spans="3:7">
      <c r="C12097" s="319"/>
      <c r="D12097" s="319"/>
      <c r="G12097" s="320"/>
    </row>
    <row r="12098" spans="3:4">
      <c r="C12098" s="319"/>
      <c r="D12098" s="319"/>
    </row>
    <row r="12099" spans="3:7">
      <c r="C12099" s="319"/>
      <c r="D12099" s="319"/>
      <c r="G12099" s="320"/>
    </row>
    <row r="12100" spans="3:4">
      <c r="C12100" s="319"/>
      <c r="D12100" s="319"/>
    </row>
    <row r="12101" spans="3:4">
      <c r="C12101" s="319"/>
      <c r="D12101" s="319"/>
    </row>
    <row r="12102" spans="3:4">
      <c r="C12102" s="319"/>
      <c r="D12102" s="319"/>
    </row>
    <row r="12103" spans="3:7">
      <c r="C12103" s="319"/>
      <c r="D12103" s="319"/>
      <c r="G12103" s="320"/>
    </row>
    <row r="12104" spans="3:7">
      <c r="C12104" s="319"/>
      <c r="D12104" s="319"/>
      <c r="G12104" s="320"/>
    </row>
    <row r="12105" spans="3:7">
      <c r="C12105" s="319"/>
      <c r="D12105" s="319"/>
      <c r="G12105" s="320"/>
    </row>
    <row r="12106" spans="3:4">
      <c r="C12106" s="319"/>
      <c r="D12106" s="319"/>
    </row>
    <row r="12107" spans="3:4">
      <c r="C12107" s="319"/>
      <c r="D12107" s="319"/>
    </row>
    <row r="12108" spans="3:4">
      <c r="C12108" s="319"/>
      <c r="D12108" s="319"/>
    </row>
    <row r="12109" spans="3:4">
      <c r="C12109" s="319"/>
      <c r="D12109" s="319"/>
    </row>
    <row r="12110" spans="3:7">
      <c r="C12110" s="319"/>
      <c r="D12110" s="319"/>
      <c r="G12110" s="320"/>
    </row>
    <row r="12111" spans="3:7">
      <c r="C12111" s="319"/>
      <c r="D12111" s="319"/>
      <c r="G12111" s="320"/>
    </row>
    <row r="12112" spans="3:4">
      <c r="C12112" s="319"/>
      <c r="D12112" s="319"/>
    </row>
    <row r="12113" spans="3:4">
      <c r="C12113" s="319"/>
      <c r="D12113" s="319"/>
    </row>
    <row r="12114" spans="3:7">
      <c r="C12114" s="319"/>
      <c r="D12114" s="319"/>
      <c r="G12114" s="320"/>
    </row>
    <row r="12115" spans="3:4">
      <c r="C12115" s="319"/>
      <c r="D12115" s="319"/>
    </row>
    <row r="12116" spans="3:7">
      <c r="C12116" s="319"/>
      <c r="D12116" s="319"/>
      <c r="G12116" s="320"/>
    </row>
    <row r="12117" spans="3:7">
      <c r="C12117" s="319"/>
      <c r="D12117" s="319"/>
      <c r="G12117" s="320"/>
    </row>
    <row r="12118" spans="3:7">
      <c r="C12118" s="319"/>
      <c r="D12118" s="319"/>
      <c r="G12118" s="320"/>
    </row>
    <row r="12119" spans="3:7">
      <c r="C12119" s="319"/>
      <c r="D12119" s="319"/>
      <c r="G12119" s="320"/>
    </row>
    <row r="12120" spans="3:7">
      <c r="C12120" s="319"/>
      <c r="D12120" s="319"/>
      <c r="G12120" s="320"/>
    </row>
    <row r="12121" spans="3:7">
      <c r="C12121" s="319"/>
      <c r="D12121" s="319"/>
      <c r="G12121" s="320"/>
    </row>
    <row r="12122" spans="3:4">
      <c r="C12122" s="319"/>
      <c r="D12122" s="319"/>
    </row>
    <row r="12123" spans="3:4">
      <c r="C12123" s="319"/>
      <c r="D12123" s="319"/>
    </row>
    <row r="12124" spans="3:4">
      <c r="C12124" s="319"/>
      <c r="D12124" s="319"/>
    </row>
    <row r="12125" spans="3:7">
      <c r="C12125" s="319"/>
      <c r="D12125" s="319"/>
      <c r="G12125" s="320"/>
    </row>
    <row r="12126" spans="3:7">
      <c r="C12126" s="319"/>
      <c r="D12126" s="319"/>
      <c r="G12126" s="320"/>
    </row>
    <row r="12127" spans="3:4">
      <c r="C12127" s="319"/>
      <c r="D12127" s="319"/>
    </row>
    <row r="12128" spans="3:4">
      <c r="C12128" s="319"/>
      <c r="D12128" s="319"/>
    </row>
    <row r="12129" spans="3:7">
      <c r="C12129" s="319"/>
      <c r="D12129" s="319"/>
      <c r="G12129" s="320"/>
    </row>
    <row r="12130" spans="3:4">
      <c r="C12130" s="319"/>
      <c r="D12130" s="319"/>
    </row>
    <row r="12131" spans="3:7">
      <c r="C12131" s="319"/>
      <c r="D12131" s="319"/>
      <c r="G12131" s="320"/>
    </row>
    <row r="12132" spans="3:7">
      <c r="C12132" s="319"/>
      <c r="D12132" s="319"/>
      <c r="G12132" s="320"/>
    </row>
    <row r="12133" spans="3:4">
      <c r="C12133" s="319"/>
      <c r="D12133" s="319"/>
    </row>
    <row r="12134" spans="3:4">
      <c r="C12134" s="319"/>
      <c r="D12134" s="319"/>
    </row>
    <row r="12135" spans="3:4">
      <c r="C12135" s="319"/>
      <c r="D12135" s="319"/>
    </row>
    <row r="12136" spans="3:7">
      <c r="C12136" s="319"/>
      <c r="D12136" s="319"/>
      <c r="G12136" s="320"/>
    </row>
    <row r="12137" spans="3:7">
      <c r="C12137" s="319"/>
      <c r="D12137" s="319"/>
      <c r="G12137" s="320"/>
    </row>
    <row r="12138" spans="3:4">
      <c r="C12138" s="319"/>
      <c r="D12138" s="319"/>
    </row>
    <row r="12139" spans="3:7">
      <c r="C12139" s="319"/>
      <c r="D12139" s="319"/>
      <c r="G12139" s="320"/>
    </row>
    <row r="12140" spans="3:7">
      <c r="C12140" s="319"/>
      <c r="D12140" s="319"/>
      <c r="G12140" s="320"/>
    </row>
    <row r="12141" spans="3:7">
      <c r="C12141" s="319"/>
      <c r="D12141" s="319"/>
      <c r="G12141" s="320"/>
    </row>
    <row r="12142" spans="3:4">
      <c r="C12142" s="319"/>
      <c r="D12142" s="319"/>
    </row>
    <row r="12143" spans="3:4">
      <c r="C12143" s="319"/>
      <c r="D12143" s="319"/>
    </row>
    <row r="12144" spans="3:7">
      <c r="C12144" s="319"/>
      <c r="D12144" s="319"/>
      <c r="G12144" s="320"/>
    </row>
    <row r="12145" spans="3:7">
      <c r="C12145" s="319"/>
      <c r="D12145" s="319"/>
      <c r="G12145" s="320"/>
    </row>
    <row r="12146" spans="3:4">
      <c r="C12146" s="319"/>
      <c r="D12146" s="319"/>
    </row>
    <row r="12147" spans="3:7">
      <c r="C12147" s="319"/>
      <c r="D12147" s="319"/>
      <c r="G12147" s="320"/>
    </row>
    <row r="12148" spans="3:7">
      <c r="C12148" s="319"/>
      <c r="D12148" s="319"/>
      <c r="G12148" s="320"/>
    </row>
    <row r="12149" spans="3:7">
      <c r="C12149" s="319"/>
      <c r="D12149" s="319"/>
      <c r="G12149" s="320"/>
    </row>
    <row r="12150" spans="3:4">
      <c r="C12150" s="319"/>
      <c r="D12150" s="319"/>
    </row>
    <row r="12151" spans="3:4">
      <c r="C12151" s="319"/>
      <c r="D12151" s="319"/>
    </row>
    <row r="12152" spans="3:4">
      <c r="C12152" s="319"/>
      <c r="D12152" s="319"/>
    </row>
  </sheetData>
  <pageMargins left="0.75" right="0.75" top="1" bottom="1" header="0.5" footer="0.5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8180"/>
  <sheetViews>
    <sheetView topLeftCell="A8103" workbookViewId="0">
      <selection activeCell="D8158" sqref="D8158"/>
    </sheetView>
  </sheetViews>
  <sheetFormatPr defaultColWidth="9" defaultRowHeight="13.5"/>
  <cols>
    <col min="3" max="3" width="10.375" customWidth="1"/>
    <col min="4" max="4" width="9.71666666666667"/>
    <col min="6" max="7" width="9.71666666666667"/>
    <col min="9" max="9" width="9.71666666666667"/>
    <col min="10" max="10" width="9.375"/>
    <col min="11" max="11" width="10.375"/>
    <col min="12" max="12" width="9.375"/>
    <col min="16" max="16" width="12.625"/>
  </cols>
  <sheetData>
    <row r="1" ht="14.25" spans="1:15">
      <c r="A1" s="237">
        <v>45017</v>
      </c>
      <c r="B1" s="237"/>
      <c r="C1" s="237"/>
      <c r="D1" s="237"/>
      <c r="E1" s="237"/>
      <c r="F1" s="237"/>
      <c r="G1" s="237"/>
      <c r="H1" s="237"/>
      <c r="I1" s="237"/>
      <c r="J1" s="237"/>
      <c r="K1" s="237"/>
      <c r="L1" s="237"/>
      <c r="M1" s="237"/>
      <c r="N1" s="237"/>
      <c r="O1" s="237"/>
    </row>
    <row r="2" spans="1:15">
      <c r="A2" s="56" t="s">
        <v>1</v>
      </c>
      <c r="B2" s="238"/>
      <c r="C2" s="8" t="s">
        <v>42</v>
      </c>
      <c r="D2" s="239" t="s">
        <v>43</v>
      </c>
      <c r="E2" s="239" t="s">
        <v>44</v>
      </c>
      <c r="F2" s="239" t="s">
        <v>45</v>
      </c>
      <c r="G2" s="239" t="s">
        <v>46</v>
      </c>
      <c r="H2" s="239" t="s">
        <v>47</v>
      </c>
      <c r="I2" s="239" t="s">
        <v>48</v>
      </c>
      <c r="J2" s="239" t="s">
        <v>49</v>
      </c>
      <c r="K2" s="239" t="s">
        <v>50</v>
      </c>
      <c r="L2" s="239" t="s">
        <v>51</v>
      </c>
      <c r="M2" s="239" t="s">
        <v>52</v>
      </c>
      <c r="N2" s="239" t="s">
        <v>53</v>
      </c>
      <c r="O2" s="251" t="s">
        <v>54</v>
      </c>
    </row>
    <row r="3" spans="1:15">
      <c r="A3" s="240" t="s">
        <v>22</v>
      </c>
      <c r="B3" s="47" t="s">
        <v>55</v>
      </c>
      <c r="C3" s="12">
        <v>0.341875043769428</v>
      </c>
      <c r="D3" s="241">
        <v>0.27361963190184</v>
      </c>
      <c r="E3" s="241">
        <v>0.224299065420561</v>
      </c>
      <c r="F3" s="241">
        <v>0.231231231231231</v>
      </c>
      <c r="G3" s="241">
        <v>0.288828337874659</v>
      </c>
      <c r="H3" s="241">
        <v>0.372596153846154</v>
      </c>
      <c r="I3" s="241">
        <v>0.393203883495146</v>
      </c>
      <c r="J3" s="241">
        <v>0.345864661654135</v>
      </c>
      <c r="K3" s="241">
        <v>0.38412017167382</v>
      </c>
      <c r="L3" s="241">
        <v>0.414572864321608</v>
      </c>
      <c r="M3" s="241">
        <v>0.427860696517413</v>
      </c>
      <c r="N3" s="241">
        <v>0.36144578313253</v>
      </c>
      <c r="O3" s="252">
        <v>0.384858044164038</v>
      </c>
    </row>
    <row r="4" spans="1:15">
      <c r="A4" s="242" t="s">
        <v>22</v>
      </c>
      <c r="B4" s="43" t="s">
        <v>57</v>
      </c>
      <c r="C4" s="15">
        <v>5758</v>
      </c>
      <c r="D4" s="243">
        <v>815</v>
      </c>
      <c r="E4" s="243">
        <v>535</v>
      </c>
      <c r="F4" s="243">
        <v>333</v>
      </c>
      <c r="G4" s="243">
        <v>367</v>
      </c>
      <c r="H4" s="243">
        <v>416</v>
      </c>
      <c r="I4" s="243">
        <v>412</v>
      </c>
      <c r="J4" s="243">
        <v>399</v>
      </c>
      <c r="K4" s="243">
        <v>466</v>
      </c>
      <c r="L4" s="243">
        <v>398</v>
      </c>
      <c r="M4" s="243">
        <v>402</v>
      </c>
      <c r="N4" s="243">
        <v>581</v>
      </c>
      <c r="O4" s="253">
        <v>634</v>
      </c>
    </row>
    <row r="5" spans="1:15">
      <c r="A5" s="240" t="s">
        <v>22</v>
      </c>
      <c r="B5" s="47" t="s">
        <v>59</v>
      </c>
      <c r="C5" s="15">
        <v>1951</v>
      </c>
      <c r="D5" s="243">
        <v>223</v>
      </c>
      <c r="E5" s="243">
        <v>120</v>
      </c>
      <c r="F5" s="243">
        <v>77</v>
      </c>
      <c r="G5" s="243">
        <v>106</v>
      </c>
      <c r="H5" s="243">
        <v>155</v>
      </c>
      <c r="I5" s="243">
        <v>162</v>
      </c>
      <c r="J5" s="243">
        <v>138</v>
      </c>
      <c r="K5" s="243">
        <v>179</v>
      </c>
      <c r="L5" s="243">
        <v>165</v>
      </c>
      <c r="M5" s="243">
        <v>172</v>
      </c>
      <c r="N5" s="243">
        <v>210</v>
      </c>
      <c r="O5" s="253">
        <v>244</v>
      </c>
    </row>
    <row r="6" spans="1:15">
      <c r="A6" s="242" t="s">
        <v>22</v>
      </c>
      <c r="B6" s="43" t="s">
        <v>4</v>
      </c>
      <c r="C6" s="15">
        <v>163</v>
      </c>
      <c r="D6" s="244">
        <v>21</v>
      </c>
      <c r="E6" s="244">
        <v>11</v>
      </c>
      <c r="F6" s="244">
        <v>10</v>
      </c>
      <c r="G6" s="244">
        <v>4</v>
      </c>
      <c r="H6" s="244">
        <v>6</v>
      </c>
      <c r="I6" s="244">
        <v>15</v>
      </c>
      <c r="J6" s="244">
        <v>12</v>
      </c>
      <c r="K6" s="244">
        <v>17</v>
      </c>
      <c r="L6" s="244">
        <v>10</v>
      </c>
      <c r="M6" s="244">
        <v>15</v>
      </c>
      <c r="N6" s="244">
        <v>23</v>
      </c>
      <c r="O6" s="254">
        <v>19</v>
      </c>
    </row>
    <row r="7" spans="1:15">
      <c r="A7" s="240" t="s">
        <v>22</v>
      </c>
      <c r="B7" s="47" t="s">
        <v>5</v>
      </c>
      <c r="C7" s="12">
        <v>0.0834901610737913</v>
      </c>
      <c r="D7" s="241">
        <v>0.0941704035874439</v>
      </c>
      <c r="E7" s="241">
        <v>0.0916666666666667</v>
      </c>
      <c r="F7" s="241">
        <v>0.12987012987013</v>
      </c>
      <c r="G7" s="241">
        <v>0.0377358490566038</v>
      </c>
      <c r="H7" s="241">
        <v>0.0387096774193548</v>
      </c>
      <c r="I7" s="241">
        <v>0.0925925925925926</v>
      </c>
      <c r="J7" s="241">
        <v>0.0869565217391304</v>
      </c>
      <c r="K7" s="241">
        <v>0.0949720670391061</v>
      </c>
      <c r="L7" s="241">
        <v>0.0606060606060606</v>
      </c>
      <c r="M7" s="241">
        <v>0.0872093023255814</v>
      </c>
      <c r="N7" s="241">
        <v>0.10952380952381</v>
      </c>
      <c r="O7" s="252">
        <v>0.0778688524590164</v>
      </c>
    </row>
    <row r="8" spans="1:16">
      <c r="A8" s="242" t="s">
        <v>22</v>
      </c>
      <c r="B8" s="43" t="s">
        <v>6</v>
      </c>
      <c r="C8" s="15">
        <v>68</v>
      </c>
      <c r="D8" s="244">
        <v>10</v>
      </c>
      <c r="E8" s="244">
        <v>0</v>
      </c>
      <c r="F8" s="244">
        <v>4</v>
      </c>
      <c r="G8" s="244">
        <v>3</v>
      </c>
      <c r="H8" s="244">
        <v>4</v>
      </c>
      <c r="I8" s="244">
        <v>4</v>
      </c>
      <c r="J8" s="244">
        <v>7</v>
      </c>
      <c r="K8" s="244">
        <v>8</v>
      </c>
      <c r="L8" s="244">
        <v>7</v>
      </c>
      <c r="M8" s="244">
        <v>5</v>
      </c>
      <c r="N8" s="244">
        <v>9</v>
      </c>
      <c r="O8" s="254">
        <v>7</v>
      </c>
      <c r="P8" s="12">
        <f>C6/C5</f>
        <v>0.0835468990261404</v>
      </c>
    </row>
    <row r="9" ht="14.25" spans="1:15">
      <c r="A9" s="245" t="s">
        <v>22</v>
      </c>
      <c r="B9" s="52" t="s">
        <v>64</v>
      </c>
      <c r="C9" s="19">
        <v>0.417177914110429</v>
      </c>
      <c r="D9" s="246">
        <v>0.476190476190476</v>
      </c>
      <c r="E9" s="246">
        <v>0</v>
      </c>
      <c r="F9" s="246">
        <v>0.4</v>
      </c>
      <c r="G9" s="246">
        <v>0.75</v>
      </c>
      <c r="H9" s="246">
        <v>0.666666666666667</v>
      </c>
      <c r="I9" s="246">
        <v>0.266666666666667</v>
      </c>
      <c r="J9" s="246">
        <v>0.583333333333333</v>
      </c>
      <c r="K9" s="246">
        <v>0.470588235294118</v>
      </c>
      <c r="L9" s="246">
        <v>0.7</v>
      </c>
      <c r="M9" s="246">
        <v>0.333333333333333</v>
      </c>
      <c r="N9" s="246">
        <v>0.391304347826087</v>
      </c>
      <c r="O9" s="255">
        <v>0.368421052631579</v>
      </c>
    </row>
    <row r="10" spans="1:15">
      <c r="A10" s="247" t="s">
        <v>66</v>
      </c>
      <c r="B10" s="248" t="s">
        <v>55</v>
      </c>
      <c r="C10" s="12">
        <v>0.135368498586272</v>
      </c>
      <c r="D10" s="249">
        <v>0.0992</v>
      </c>
      <c r="E10" s="249">
        <v>0.0814249363867685</v>
      </c>
      <c r="F10" s="249">
        <v>0.0466926070038911</v>
      </c>
      <c r="G10" s="249">
        <v>0.0795454545454545</v>
      </c>
      <c r="H10" s="249">
        <v>0.105454545454545</v>
      </c>
      <c r="I10" s="249">
        <v>0.11522633744856</v>
      </c>
      <c r="J10" s="249">
        <v>0.168627450980392</v>
      </c>
      <c r="K10" s="249">
        <v>0.227642276422764</v>
      </c>
      <c r="L10" s="249">
        <v>0.201520912547529</v>
      </c>
      <c r="M10" s="249">
        <v>0.158974358974359</v>
      </c>
      <c r="N10" s="249">
        <v>0.169172932330827</v>
      </c>
      <c r="O10" s="256">
        <v>0.170940170940171</v>
      </c>
    </row>
    <row r="11" spans="1:15">
      <c r="A11" s="242" t="s">
        <v>66</v>
      </c>
      <c r="B11" s="43" t="s">
        <v>57</v>
      </c>
      <c r="C11" s="15">
        <v>3633</v>
      </c>
      <c r="D11" s="243">
        <v>625</v>
      </c>
      <c r="E11" s="243">
        <v>393</v>
      </c>
      <c r="F11" s="243">
        <v>257</v>
      </c>
      <c r="G11" s="243">
        <v>264</v>
      </c>
      <c r="H11" s="243">
        <v>275</v>
      </c>
      <c r="I11" s="243">
        <v>243</v>
      </c>
      <c r="J11" s="243">
        <v>255</v>
      </c>
      <c r="K11" s="243">
        <v>246</v>
      </c>
      <c r="L11" s="243">
        <v>263</v>
      </c>
      <c r="M11" s="243">
        <v>195</v>
      </c>
      <c r="N11" s="243">
        <v>266</v>
      </c>
      <c r="O11" s="253">
        <v>351</v>
      </c>
    </row>
    <row r="12" spans="1:15">
      <c r="A12" s="240" t="s">
        <v>66</v>
      </c>
      <c r="B12" s="47" t="s">
        <v>59</v>
      </c>
      <c r="C12" s="15">
        <v>472</v>
      </c>
      <c r="D12" s="243">
        <v>62</v>
      </c>
      <c r="E12" s="243">
        <v>32</v>
      </c>
      <c r="F12" s="243">
        <v>12</v>
      </c>
      <c r="G12" s="243">
        <v>21</v>
      </c>
      <c r="H12" s="243">
        <v>29</v>
      </c>
      <c r="I12" s="243">
        <v>28</v>
      </c>
      <c r="J12" s="243">
        <v>43</v>
      </c>
      <c r="K12" s="243">
        <v>56</v>
      </c>
      <c r="L12" s="243">
        <v>53</v>
      </c>
      <c r="M12" s="243">
        <v>31</v>
      </c>
      <c r="N12" s="243">
        <v>45</v>
      </c>
      <c r="O12" s="253">
        <v>60</v>
      </c>
    </row>
    <row r="13" spans="1:15">
      <c r="A13" s="242" t="s">
        <v>66</v>
      </c>
      <c r="B13" s="43" t="s">
        <v>4</v>
      </c>
      <c r="C13" s="15">
        <v>50</v>
      </c>
      <c r="D13" s="244">
        <v>8</v>
      </c>
      <c r="E13" s="244">
        <v>6</v>
      </c>
      <c r="F13" s="244">
        <v>2</v>
      </c>
      <c r="G13" s="244">
        <v>3</v>
      </c>
      <c r="H13" s="244">
        <v>0</v>
      </c>
      <c r="I13" s="244">
        <v>3</v>
      </c>
      <c r="J13" s="244">
        <v>6</v>
      </c>
      <c r="K13" s="244">
        <v>5</v>
      </c>
      <c r="L13" s="244">
        <v>5</v>
      </c>
      <c r="M13" s="244">
        <v>3</v>
      </c>
      <c r="N13" s="244">
        <v>6</v>
      </c>
      <c r="O13" s="254">
        <v>3</v>
      </c>
    </row>
    <row r="14" spans="1:15">
      <c r="A14" s="240" t="s">
        <v>66</v>
      </c>
      <c r="B14" s="47" t="s">
        <v>5</v>
      </c>
      <c r="C14" s="12">
        <v>0.111372222688421</v>
      </c>
      <c r="D14" s="241">
        <v>0.129032258064516</v>
      </c>
      <c r="E14" s="241">
        <v>0.1875</v>
      </c>
      <c r="F14" s="241">
        <v>0.166666666666667</v>
      </c>
      <c r="G14" s="241">
        <v>0.142857142857143</v>
      </c>
      <c r="H14" s="241">
        <v>0</v>
      </c>
      <c r="I14" s="241">
        <v>0.107142857142857</v>
      </c>
      <c r="J14" s="241">
        <v>0.13953488372093</v>
      </c>
      <c r="K14" s="241">
        <v>0.0892857142857143</v>
      </c>
      <c r="L14" s="241">
        <v>0.0943396226415094</v>
      </c>
      <c r="M14" s="241">
        <v>0.0967741935483871</v>
      </c>
      <c r="N14" s="241">
        <v>0.133333333333333</v>
      </c>
      <c r="O14" s="252">
        <v>0.05</v>
      </c>
    </row>
    <row r="15" spans="1:15">
      <c r="A15" s="242" t="s">
        <v>66</v>
      </c>
      <c r="B15" s="43" t="s">
        <v>6</v>
      </c>
      <c r="C15" s="15">
        <v>25</v>
      </c>
      <c r="D15" s="244">
        <v>1</v>
      </c>
      <c r="E15" s="244">
        <v>4</v>
      </c>
      <c r="F15" s="244">
        <v>0</v>
      </c>
      <c r="G15" s="244">
        <v>0</v>
      </c>
      <c r="H15" s="244">
        <v>2</v>
      </c>
      <c r="I15" s="244">
        <v>0</v>
      </c>
      <c r="J15" s="244">
        <v>3</v>
      </c>
      <c r="K15" s="244">
        <v>4</v>
      </c>
      <c r="L15" s="244">
        <v>1</v>
      </c>
      <c r="M15" s="244">
        <v>3</v>
      </c>
      <c r="N15" s="244">
        <v>4</v>
      </c>
      <c r="O15" s="254">
        <v>3</v>
      </c>
    </row>
    <row r="16" ht="14.25" spans="1:15">
      <c r="A16" s="245" t="s">
        <v>66</v>
      </c>
      <c r="B16" s="52" t="s">
        <v>64</v>
      </c>
      <c r="C16" s="19">
        <v>0.5</v>
      </c>
      <c r="D16" s="246">
        <v>0.125</v>
      </c>
      <c r="E16" s="246">
        <v>0.666666666666667</v>
      </c>
      <c r="F16" s="246">
        <v>0</v>
      </c>
      <c r="G16" s="246">
        <v>0</v>
      </c>
      <c r="H16" s="246">
        <v>0</v>
      </c>
      <c r="I16" s="246">
        <v>0</v>
      </c>
      <c r="J16" s="246">
        <v>0.5</v>
      </c>
      <c r="K16" s="246">
        <v>0.8</v>
      </c>
      <c r="L16" s="246">
        <v>0.2</v>
      </c>
      <c r="M16" s="246">
        <v>1</v>
      </c>
      <c r="N16" s="246">
        <v>0.666666666666667</v>
      </c>
      <c r="O16" s="255">
        <v>1</v>
      </c>
    </row>
    <row r="17" spans="1:15">
      <c r="A17" s="240" t="s">
        <v>67</v>
      </c>
      <c r="B17" s="47" t="s">
        <v>55</v>
      </c>
      <c r="C17" s="12">
        <v>0.644474083821549</v>
      </c>
      <c r="D17" s="241">
        <v>0.714285714285714</v>
      </c>
      <c r="E17" s="241">
        <v>0.73972602739726</v>
      </c>
      <c r="F17" s="241">
        <v>0.575757575757576</v>
      </c>
      <c r="G17" s="241">
        <v>0.654545454545455</v>
      </c>
      <c r="H17" s="241">
        <v>0.636363636363636</v>
      </c>
      <c r="I17" s="241">
        <v>0.725</v>
      </c>
      <c r="J17" s="241">
        <v>0.784810126582278</v>
      </c>
      <c r="K17" s="241">
        <v>0.649122807017544</v>
      </c>
      <c r="L17" s="241">
        <v>0.637362637362637</v>
      </c>
      <c r="M17" s="241">
        <v>0.573033707865168</v>
      </c>
      <c r="N17" s="241">
        <v>0.482142857142857</v>
      </c>
      <c r="O17" s="252">
        <v>0.561538461538462</v>
      </c>
    </row>
    <row r="18" spans="1:15">
      <c r="A18" s="242" t="s">
        <v>67</v>
      </c>
      <c r="B18" s="43" t="s">
        <v>57</v>
      </c>
      <c r="C18" s="15">
        <v>1088</v>
      </c>
      <c r="D18" s="243">
        <v>133</v>
      </c>
      <c r="E18" s="243">
        <v>73</v>
      </c>
      <c r="F18" s="243">
        <v>33</v>
      </c>
      <c r="G18" s="243">
        <v>55</v>
      </c>
      <c r="H18" s="243">
        <v>99</v>
      </c>
      <c r="I18" s="243">
        <v>80</v>
      </c>
      <c r="J18" s="243">
        <v>79</v>
      </c>
      <c r="K18" s="243">
        <v>114</v>
      </c>
      <c r="L18" s="243">
        <v>91</v>
      </c>
      <c r="M18" s="243">
        <v>89</v>
      </c>
      <c r="N18" s="243">
        <v>112</v>
      </c>
      <c r="O18" s="253">
        <v>130</v>
      </c>
    </row>
    <row r="19" spans="1:15">
      <c r="A19" s="240" t="s">
        <v>67</v>
      </c>
      <c r="B19" s="47" t="s">
        <v>59</v>
      </c>
      <c r="C19" s="15">
        <v>697</v>
      </c>
      <c r="D19" s="243">
        <v>95</v>
      </c>
      <c r="E19" s="243">
        <v>54</v>
      </c>
      <c r="F19" s="243">
        <v>19</v>
      </c>
      <c r="G19" s="243">
        <v>36</v>
      </c>
      <c r="H19" s="243">
        <v>63</v>
      </c>
      <c r="I19" s="243">
        <v>58</v>
      </c>
      <c r="J19" s="243">
        <v>62</v>
      </c>
      <c r="K19" s="243">
        <v>74</v>
      </c>
      <c r="L19" s="243">
        <v>58</v>
      </c>
      <c r="M19" s="243">
        <v>51</v>
      </c>
      <c r="N19" s="243">
        <v>54</v>
      </c>
      <c r="O19" s="253">
        <v>73</v>
      </c>
    </row>
    <row r="20" spans="1:15">
      <c r="A20" s="242" t="s">
        <v>67</v>
      </c>
      <c r="B20" s="43" t="s">
        <v>4</v>
      </c>
      <c r="C20" s="15">
        <v>46</v>
      </c>
      <c r="D20" s="244">
        <v>6</v>
      </c>
      <c r="E20" s="244">
        <v>7</v>
      </c>
      <c r="F20" s="244">
        <v>1</v>
      </c>
      <c r="G20" s="244">
        <v>2</v>
      </c>
      <c r="H20" s="244">
        <v>3</v>
      </c>
      <c r="I20" s="244">
        <v>7</v>
      </c>
      <c r="J20" s="244">
        <v>2</v>
      </c>
      <c r="K20" s="244">
        <v>3</v>
      </c>
      <c r="L20" s="244">
        <v>3</v>
      </c>
      <c r="M20" s="244">
        <v>3</v>
      </c>
      <c r="N20" s="244">
        <v>2</v>
      </c>
      <c r="O20" s="254">
        <v>7</v>
      </c>
    </row>
    <row r="21" spans="1:15">
      <c r="A21" s="240" t="s">
        <v>67</v>
      </c>
      <c r="B21" s="47" t="s">
        <v>5</v>
      </c>
      <c r="C21" s="12">
        <v>0.0654630901713556</v>
      </c>
      <c r="D21" s="241">
        <v>0.0631578947368421</v>
      </c>
      <c r="E21" s="241">
        <v>0.12962962962963</v>
      </c>
      <c r="F21" s="241">
        <v>0.0526315789473684</v>
      </c>
      <c r="G21" s="241">
        <v>0.0555555555555556</v>
      </c>
      <c r="H21" s="241">
        <v>0.0476190476190476</v>
      </c>
      <c r="I21" s="241">
        <v>0.120689655172414</v>
      </c>
      <c r="J21" s="241">
        <v>0.032258064516129</v>
      </c>
      <c r="K21" s="241">
        <v>0.0405405405405405</v>
      </c>
      <c r="L21" s="241">
        <v>0.0517241379310345</v>
      </c>
      <c r="M21" s="241">
        <v>0.0588235294117647</v>
      </c>
      <c r="N21" s="241">
        <v>0.037037037037037</v>
      </c>
      <c r="O21" s="252">
        <v>0.0958904109589041</v>
      </c>
    </row>
    <row r="22" spans="1:15">
      <c r="A22" s="242" t="s">
        <v>67</v>
      </c>
      <c r="B22" s="43" t="s">
        <v>6</v>
      </c>
      <c r="C22" s="15">
        <v>13</v>
      </c>
      <c r="D22" s="244">
        <v>1</v>
      </c>
      <c r="E22" s="244">
        <v>2</v>
      </c>
      <c r="F22" s="244">
        <v>0</v>
      </c>
      <c r="G22" s="244">
        <v>0</v>
      </c>
      <c r="H22" s="244">
        <v>1</v>
      </c>
      <c r="I22" s="244">
        <v>0</v>
      </c>
      <c r="J22" s="244">
        <v>2</v>
      </c>
      <c r="K22" s="244">
        <v>1</v>
      </c>
      <c r="L22" s="244">
        <v>3</v>
      </c>
      <c r="M22" s="244">
        <v>0</v>
      </c>
      <c r="N22" s="244">
        <v>1</v>
      </c>
      <c r="O22" s="254">
        <v>2</v>
      </c>
    </row>
    <row r="23" ht="14.25" spans="1:15">
      <c r="A23" s="245" t="s">
        <v>67</v>
      </c>
      <c r="B23" s="52" t="s">
        <v>64</v>
      </c>
      <c r="C23" s="19">
        <v>0.282608695652174</v>
      </c>
      <c r="D23" s="246">
        <v>0.166666666666667</v>
      </c>
      <c r="E23" s="246">
        <v>0.285714285714286</v>
      </c>
      <c r="F23" s="246">
        <v>0</v>
      </c>
      <c r="G23" s="246">
        <v>0</v>
      </c>
      <c r="H23" s="246">
        <v>0.333333333333333</v>
      </c>
      <c r="I23" s="246">
        <v>0</v>
      </c>
      <c r="J23" s="246">
        <v>1</v>
      </c>
      <c r="K23" s="246">
        <v>0.333333333333333</v>
      </c>
      <c r="L23" s="246">
        <v>1</v>
      </c>
      <c r="M23" s="246">
        <v>0</v>
      </c>
      <c r="N23" s="246">
        <v>0.5</v>
      </c>
      <c r="O23" s="255">
        <v>0.285714285714286</v>
      </c>
    </row>
    <row r="24" spans="1:15">
      <c r="A24" s="240" t="s">
        <v>68</v>
      </c>
      <c r="B24" s="47" t="s">
        <v>55</v>
      </c>
      <c r="C24" s="12">
        <v>0.172332488044528</v>
      </c>
      <c r="D24" s="241">
        <v>0.291021671826625</v>
      </c>
      <c r="E24" s="241">
        <v>0.198863636363636</v>
      </c>
      <c r="F24" s="241">
        <v>0.25</v>
      </c>
      <c r="G24" s="241">
        <v>0.153172866520788</v>
      </c>
      <c r="H24" s="241">
        <v>0.179883945841393</v>
      </c>
      <c r="I24" s="241">
        <v>0.158762886597938</v>
      </c>
      <c r="J24" s="241">
        <v>0.161676646706587</v>
      </c>
      <c r="K24" s="241">
        <v>0.138996138996139</v>
      </c>
      <c r="L24" s="241">
        <v>0.11651728553137</v>
      </c>
      <c r="M24" s="241">
        <v>0.125412541254125</v>
      </c>
      <c r="N24" s="241">
        <v>0.153256704980843</v>
      </c>
      <c r="O24" s="252">
        <v>0.140425531914894</v>
      </c>
    </row>
    <row r="25" spans="1:15">
      <c r="A25" s="242" t="s">
        <v>68</v>
      </c>
      <c r="B25" s="43" t="s">
        <v>57</v>
      </c>
      <c r="C25" s="15">
        <v>7261</v>
      </c>
      <c r="D25" s="243">
        <v>323</v>
      </c>
      <c r="E25" s="243">
        <v>176</v>
      </c>
      <c r="F25" s="243">
        <v>184</v>
      </c>
      <c r="G25" s="243">
        <v>457</v>
      </c>
      <c r="H25" s="243">
        <v>517</v>
      </c>
      <c r="I25" s="243">
        <v>485</v>
      </c>
      <c r="J25" s="243">
        <v>668</v>
      </c>
      <c r="K25" s="243">
        <v>777</v>
      </c>
      <c r="L25" s="243">
        <v>781</v>
      </c>
      <c r="M25" s="243">
        <v>909</v>
      </c>
      <c r="N25" s="243">
        <v>1044</v>
      </c>
      <c r="O25" s="253">
        <v>940</v>
      </c>
    </row>
    <row r="26" spans="1:15">
      <c r="A26" s="240" t="s">
        <v>68</v>
      </c>
      <c r="B26" s="47" t="s">
        <v>59</v>
      </c>
      <c r="C26" s="15">
        <v>1128</v>
      </c>
      <c r="D26" s="243">
        <v>94</v>
      </c>
      <c r="E26" s="243">
        <v>35</v>
      </c>
      <c r="F26" s="243">
        <v>46</v>
      </c>
      <c r="G26" s="243">
        <v>70</v>
      </c>
      <c r="H26" s="243">
        <v>93</v>
      </c>
      <c r="I26" s="243">
        <v>77</v>
      </c>
      <c r="J26" s="243">
        <v>108</v>
      </c>
      <c r="K26" s="243">
        <v>108</v>
      </c>
      <c r="L26" s="243">
        <v>91</v>
      </c>
      <c r="M26" s="243">
        <v>114</v>
      </c>
      <c r="N26" s="243">
        <v>160</v>
      </c>
      <c r="O26" s="253">
        <v>132</v>
      </c>
    </row>
    <row r="27" spans="1:15">
      <c r="A27" s="242" t="s">
        <v>68</v>
      </c>
      <c r="B27" s="43" t="s">
        <v>4</v>
      </c>
      <c r="C27" s="15">
        <v>37</v>
      </c>
      <c r="D27" s="244">
        <v>6</v>
      </c>
      <c r="E27" s="244">
        <v>1</v>
      </c>
      <c r="F27" s="244">
        <v>2</v>
      </c>
      <c r="G27" s="244">
        <v>2</v>
      </c>
      <c r="H27" s="244">
        <v>4</v>
      </c>
      <c r="I27" s="244">
        <v>4</v>
      </c>
      <c r="J27" s="244">
        <v>2</v>
      </c>
      <c r="K27" s="244">
        <v>3</v>
      </c>
      <c r="L27" s="244">
        <v>3</v>
      </c>
      <c r="M27" s="244">
        <v>5</v>
      </c>
      <c r="N27" s="244">
        <v>2</v>
      </c>
      <c r="O27" s="254">
        <v>3</v>
      </c>
    </row>
    <row r="28" spans="1:15">
      <c r="A28" s="240" t="s">
        <v>68</v>
      </c>
      <c r="B28" s="47" t="s">
        <v>5</v>
      </c>
      <c r="C28" s="12">
        <v>0.0348133300830082</v>
      </c>
      <c r="D28" s="241">
        <v>0.0638297872340425</v>
      </c>
      <c r="E28" s="241">
        <v>0.0285714285714286</v>
      </c>
      <c r="F28" s="241">
        <v>0.0434782608695652</v>
      </c>
      <c r="G28" s="241">
        <v>0.0285714285714286</v>
      </c>
      <c r="H28" s="241">
        <v>0.043010752688172</v>
      </c>
      <c r="I28" s="241">
        <v>0.051948051948052</v>
      </c>
      <c r="J28" s="241">
        <v>0.0185185185185185</v>
      </c>
      <c r="K28" s="241">
        <v>0.0277777777777778</v>
      </c>
      <c r="L28" s="241">
        <v>0.032967032967033</v>
      </c>
      <c r="M28" s="241">
        <v>0.043859649122807</v>
      </c>
      <c r="N28" s="241">
        <v>0.0125</v>
      </c>
      <c r="O28" s="252">
        <v>0.0227272727272727</v>
      </c>
    </row>
    <row r="29" spans="1:15">
      <c r="A29" s="242" t="s">
        <v>68</v>
      </c>
      <c r="B29" s="43" t="s">
        <v>6</v>
      </c>
      <c r="C29" s="15">
        <v>20</v>
      </c>
      <c r="D29" s="244">
        <v>1</v>
      </c>
      <c r="E29" s="244">
        <v>0</v>
      </c>
      <c r="F29" s="244">
        <v>0</v>
      </c>
      <c r="G29" s="244">
        <v>1</v>
      </c>
      <c r="H29" s="244">
        <v>3</v>
      </c>
      <c r="I29" s="244">
        <v>2</v>
      </c>
      <c r="J29" s="244">
        <v>4</v>
      </c>
      <c r="K29" s="244">
        <v>3</v>
      </c>
      <c r="L29" s="244">
        <v>0</v>
      </c>
      <c r="M29" s="244">
        <v>2</v>
      </c>
      <c r="N29" s="244">
        <v>1</v>
      </c>
      <c r="O29" s="254">
        <v>3</v>
      </c>
    </row>
    <row r="30" ht="14.25" spans="1:15">
      <c r="A30" s="245" t="s">
        <v>68</v>
      </c>
      <c r="B30" s="52" t="s">
        <v>64</v>
      </c>
      <c r="C30" s="19">
        <v>0.540540540540541</v>
      </c>
      <c r="D30" s="246">
        <v>0.166666666666667</v>
      </c>
      <c r="E30" s="246">
        <v>0</v>
      </c>
      <c r="F30" s="246">
        <v>0</v>
      </c>
      <c r="G30" s="246">
        <v>0.5</v>
      </c>
      <c r="H30" s="246">
        <v>0.75</v>
      </c>
      <c r="I30" s="246">
        <v>0.5</v>
      </c>
      <c r="J30" s="246">
        <v>2</v>
      </c>
      <c r="K30" s="246">
        <v>1</v>
      </c>
      <c r="L30" s="246">
        <v>0</v>
      </c>
      <c r="M30" s="246">
        <v>0.4</v>
      </c>
      <c r="N30" s="246">
        <v>0.5</v>
      </c>
      <c r="O30" s="255">
        <v>1</v>
      </c>
    </row>
    <row r="31" spans="1:15">
      <c r="A31" s="240" t="s">
        <v>69</v>
      </c>
      <c r="B31" s="47" t="s">
        <v>55</v>
      </c>
      <c r="C31" s="12">
        <v>0.821652782771398</v>
      </c>
      <c r="D31" s="241">
        <v>0.892857142857143</v>
      </c>
      <c r="E31" s="241">
        <v>0.746478873239437</v>
      </c>
      <c r="F31" s="241">
        <v>0.675675675675676</v>
      </c>
      <c r="G31" s="241">
        <v>0.666666666666667</v>
      </c>
      <c r="H31" s="241">
        <v>0.979381443298969</v>
      </c>
      <c r="I31" s="241">
        <v>0.813333333333333</v>
      </c>
      <c r="J31" s="241">
        <v>0.860655737704918</v>
      </c>
      <c r="K31" s="241">
        <v>0.873015873015873</v>
      </c>
      <c r="L31" s="241">
        <v>0.831932773109244</v>
      </c>
      <c r="M31" s="241">
        <v>0.912087912087912</v>
      </c>
      <c r="N31" s="241">
        <v>0.80327868852459</v>
      </c>
      <c r="O31" s="252">
        <v>0.804469273743017</v>
      </c>
    </row>
    <row r="32" spans="1:15">
      <c r="A32" s="242" t="s">
        <v>69</v>
      </c>
      <c r="B32" s="43" t="s">
        <v>57</v>
      </c>
      <c r="C32" s="15">
        <v>1230</v>
      </c>
      <c r="D32" s="243">
        <v>140</v>
      </c>
      <c r="E32" s="243">
        <v>71</v>
      </c>
      <c r="F32" s="243">
        <v>37</v>
      </c>
      <c r="G32" s="243">
        <v>51</v>
      </c>
      <c r="H32" s="243">
        <v>97</v>
      </c>
      <c r="I32" s="243">
        <v>75</v>
      </c>
      <c r="J32" s="243">
        <v>122</v>
      </c>
      <c r="K32" s="243">
        <v>126</v>
      </c>
      <c r="L32" s="243">
        <v>119</v>
      </c>
      <c r="M32" s="243">
        <v>91</v>
      </c>
      <c r="N32" s="243">
        <v>122</v>
      </c>
      <c r="O32" s="253">
        <v>179</v>
      </c>
    </row>
    <row r="33" spans="1:15">
      <c r="A33" s="240" t="s">
        <v>69</v>
      </c>
      <c r="B33" s="47" t="s">
        <v>59</v>
      </c>
      <c r="C33" s="15">
        <v>1032</v>
      </c>
      <c r="D33" s="243">
        <v>125</v>
      </c>
      <c r="E33" s="243">
        <v>53</v>
      </c>
      <c r="F33" s="243">
        <v>25</v>
      </c>
      <c r="G33" s="243">
        <v>34</v>
      </c>
      <c r="H33" s="243">
        <v>95</v>
      </c>
      <c r="I33" s="243">
        <v>61</v>
      </c>
      <c r="J33" s="243">
        <v>105</v>
      </c>
      <c r="K33" s="243">
        <v>110</v>
      </c>
      <c r="L33" s="243">
        <v>99</v>
      </c>
      <c r="M33" s="243">
        <v>83</v>
      </c>
      <c r="N33" s="243">
        <v>98</v>
      </c>
      <c r="O33" s="253">
        <v>144</v>
      </c>
    </row>
    <row r="34" spans="1:15">
      <c r="A34" s="242" t="s">
        <v>69</v>
      </c>
      <c r="B34" s="43" t="s">
        <v>4</v>
      </c>
      <c r="C34" s="15">
        <v>31</v>
      </c>
      <c r="D34" s="244">
        <v>1</v>
      </c>
      <c r="E34" s="244">
        <v>1</v>
      </c>
      <c r="F34" s="244">
        <v>0</v>
      </c>
      <c r="G34" s="244">
        <v>0</v>
      </c>
      <c r="H34" s="244">
        <v>4</v>
      </c>
      <c r="I34" s="244">
        <v>2</v>
      </c>
      <c r="J34" s="244">
        <v>5</v>
      </c>
      <c r="K34" s="244">
        <v>4</v>
      </c>
      <c r="L34" s="244">
        <v>4</v>
      </c>
      <c r="M34" s="244">
        <v>4</v>
      </c>
      <c r="N34" s="244">
        <v>5</v>
      </c>
      <c r="O34" s="254">
        <v>1</v>
      </c>
    </row>
    <row r="35" spans="1:15">
      <c r="A35" s="240" t="s">
        <v>69</v>
      </c>
      <c r="B35" s="47" t="s">
        <v>5</v>
      </c>
      <c r="C35" s="12">
        <v>0.0276920350842391</v>
      </c>
      <c r="D35" s="241">
        <v>0.008</v>
      </c>
      <c r="E35" s="241">
        <v>0.0188679245283019</v>
      </c>
      <c r="F35" s="241">
        <v>0</v>
      </c>
      <c r="G35" s="241">
        <v>0</v>
      </c>
      <c r="H35" s="241">
        <v>0.0421052631578947</v>
      </c>
      <c r="I35" s="241">
        <v>0.0327868852459016</v>
      </c>
      <c r="J35" s="241">
        <v>0.0476190476190476</v>
      </c>
      <c r="K35" s="241">
        <v>0.0363636363636364</v>
      </c>
      <c r="L35" s="241">
        <v>0.0404040404040404</v>
      </c>
      <c r="M35" s="241">
        <v>0.0481927710843374</v>
      </c>
      <c r="N35" s="241">
        <v>0.0510204081632653</v>
      </c>
      <c r="O35" s="252">
        <v>0.00694444444444444</v>
      </c>
    </row>
    <row r="36" spans="1:15">
      <c r="A36" s="242" t="s">
        <v>69</v>
      </c>
      <c r="B36" s="43" t="s">
        <v>6</v>
      </c>
      <c r="C36" s="15">
        <v>12</v>
      </c>
      <c r="D36" s="244">
        <v>1</v>
      </c>
      <c r="E36" s="244">
        <v>1</v>
      </c>
      <c r="F36" s="244">
        <v>0</v>
      </c>
      <c r="G36" s="244">
        <v>0</v>
      </c>
      <c r="H36" s="244">
        <v>1</v>
      </c>
      <c r="I36" s="244">
        <v>0</v>
      </c>
      <c r="J36" s="244">
        <v>0</v>
      </c>
      <c r="K36" s="244">
        <v>3</v>
      </c>
      <c r="L36" s="244">
        <v>0</v>
      </c>
      <c r="M36" s="244">
        <v>2</v>
      </c>
      <c r="N36" s="244">
        <v>4</v>
      </c>
      <c r="O36" s="254">
        <v>0</v>
      </c>
    </row>
    <row r="37" ht="14.25" spans="1:15">
      <c r="A37" s="245" t="s">
        <v>69</v>
      </c>
      <c r="B37" s="52" t="s">
        <v>64</v>
      </c>
      <c r="C37" s="19">
        <v>0.387096774193548</v>
      </c>
      <c r="D37" s="246">
        <v>1</v>
      </c>
      <c r="E37" s="246">
        <v>1</v>
      </c>
      <c r="F37" s="246">
        <v>0</v>
      </c>
      <c r="G37" s="246">
        <v>0</v>
      </c>
      <c r="H37" s="246">
        <v>0.25</v>
      </c>
      <c r="I37" s="246">
        <v>0</v>
      </c>
      <c r="J37" s="246">
        <v>0</v>
      </c>
      <c r="K37" s="246">
        <v>0.75</v>
      </c>
      <c r="L37" s="246">
        <v>0</v>
      </c>
      <c r="M37" s="246">
        <v>0.5</v>
      </c>
      <c r="N37" s="246">
        <v>0.8</v>
      </c>
      <c r="O37" s="255">
        <v>0</v>
      </c>
    </row>
    <row r="38" spans="1:15">
      <c r="A38" s="240" t="s">
        <v>70</v>
      </c>
      <c r="B38" s="47" t="s">
        <v>55</v>
      </c>
      <c r="C38" s="12">
        <v>0.883352131637643</v>
      </c>
      <c r="D38" s="241">
        <v>0.931034482758621</v>
      </c>
      <c r="E38" s="241">
        <v>0.888888888888889</v>
      </c>
      <c r="F38" s="241">
        <v>0.714285714285714</v>
      </c>
      <c r="G38" s="241">
        <v>1</v>
      </c>
      <c r="H38" s="241">
        <v>0.90625</v>
      </c>
      <c r="I38" s="241">
        <v>0.785714285714286</v>
      </c>
      <c r="J38" s="241">
        <v>0.886792452830189</v>
      </c>
      <c r="K38" s="241">
        <v>0.910714285714286</v>
      </c>
      <c r="L38" s="241">
        <v>0.916666666666667</v>
      </c>
      <c r="M38" s="241">
        <v>0.827586206896552</v>
      </c>
      <c r="N38" s="241">
        <v>1.05263157894737</v>
      </c>
      <c r="O38" s="252">
        <v>0.779661016949153</v>
      </c>
    </row>
    <row r="39" spans="1:15">
      <c r="A39" s="242" t="s">
        <v>70</v>
      </c>
      <c r="B39" s="43" t="s">
        <v>57</v>
      </c>
      <c r="C39" s="15">
        <v>505</v>
      </c>
      <c r="D39" s="243">
        <v>29</v>
      </c>
      <c r="E39" s="243">
        <v>18</v>
      </c>
      <c r="F39" s="243">
        <v>14</v>
      </c>
      <c r="G39" s="243">
        <v>25</v>
      </c>
      <c r="H39" s="243">
        <v>32</v>
      </c>
      <c r="I39" s="243">
        <v>56</v>
      </c>
      <c r="J39" s="243">
        <v>53</v>
      </c>
      <c r="K39" s="243">
        <v>56</v>
      </c>
      <c r="L39" s="243">
        <v>48</v>
      </c>
      <c r="M39" s="243">
        <v>58</v>
      </c>
      <c r="N39" s="243">
        <v>57</v>
      </c>
      <c r="O39" s="253">
        <v>59</v>
      </c>
    </row>
    <row r="40" spans="1:15">
      <c r="A40" s="240" t="s">
        <v>70</v>
      </c>
      <c r="B40" s="47" t="s">
        <v>59</v>
      </c>
      <c r="C40" s="15">
        <v>447</v>
      </c>
      <c r="D40" s="243">
        <v>27</v>
      </c>
      <c r="E40" s="243">
        <v>16</v>
      </c>
      <c r="F40" s="243">
        <v>10</v>
      </c>
      <c r="G40" s="243">
        <v>25</v>
      </c>
      <c r="H40" s="243">
        <v>29</v>
      </c>
      <c r="I40" s="243">
        <v>44</v>
      </c>
      <c r="J40" s="243">
        <v>47</v>
      </c>
      <c r="K40" s="243">
        <v>51</v>
      </c>
      <c r="L40" s="243">
        <v>44</v>
      </c>
      <c r="M40" s="243">
        <v>48</v>
      </c>
      <c r="N40" s="243">
        <v>60</v>
      </c>
      <c r="O40" s="253">
        <v>46</v>
      </c>
    </row>
    <row r="41" spans="1:15">
      <c r="A41" s="242" t="s">
        <v>70</v>
      </c>
      <c r="B41" s="43" t="s">
        <v>4</v>
      </c>
      <c r="C41" s="15">
        <v>2</v>
      </c>
      <c r="D41" s="244">
        <v>0</v>
      </c>
      <c r="E41" s="244">
        <v>0</v>
      </c>
      <c r="F41" s="244">
        <v>0</v>
      </c>
      <c r="G41" s="244">
        <v>0</v>
      </c>
      <c r="H41" s="244">
        <v>0</v>
      </c>
      <c r="I41" s="244">
        <v>1</v>
      </c>
      <c r="J41" s="244">
        <v>0</v>
      </c>
      <c r="K41" s="244">
        <v>1</v>
      </c>
      <c r="L41" s="244">
        <v>0</v>
      </c>
      <c r="M41" s="244">
        <v>0</v>
      </c>
      <c r="N41" s="244">
        <v>0</v>
      </c>
      <c r="O41" s="254">
        <v>0</v>
      </c>
    </row>
    <row r="42" spans="1:15">
      <c r="A42" s="240" t="s">
        <v>70</v>
      </c>
      <c r="B42" s="47" t="s">
        <v>5</v>
      </c>
      <c r="C42" s="12">
        <v>0.00352792632204397</v>
      </c>
      <c r="D42" s="241">
        <v>0</v>
      </c>
      <c r="E42" s="241">
        <v>0</v>
      </c>
      <c r="F42" s="241">
        <v>0</v>
      </c>
      <c r="G42" s="241">
        <v>0</v>
      </c>
      <c r="H42" s="241">
        <v>0</v>
      </c>
      <c r="I42" s="241">
        <v>0.0227272727272727</v>
      </c>
      <c r="J42" s="241">
        <v>0</v>
      </c>
      <c r="K42" s="241">
        <v>0.0196078431372549</v>
      </c>
      <c r="L42" s="241">
        <v>0</v>
      </c>
      <c r="M42" s="241">
        <v>0</v>
      </c>
      <c r="N42" s="241">
        <v>0</v>
      </c>
      <c r="O42" s="252">
        <v>0</v>
      </c>
    </row>
    <row r="43" spans="1:15">
      <c r="A43" s="242" t="s">
        <v>70</v>
      </c>
      <c r="B43" s="43" t="s">
        <v>6</v>
      </c>
      <c r="C43" s="15">
        <v>2</v>
      </c>
      <c r="D43" s="244">
        <v>0</v>
      </c>
      <c r="E43" s="244">
        <v>0</v>
      </c>
      <c r="F43" s="244">
        <v>0</v>
      </c>
      <c r="G43" s="244">
        <v>0</v>
      </c>
      <c r="H43" s="244">
        <v>0</v>
      </c>
      <c r="I43" s="244">
        <v>0</v>
      </c>
      <c r="J43" s="244">
        <v>0</v>
      </c>
      <c r="K43" s="244">
        <v>1</v>
      </c>
      <c r="L43" s="244">
        <v>1</v>
      </c>
      <c r="M43" s="244">
        <v>0</v>
      </c>
      <c r="N43" s="244">
        <v>0</v>
      </c>
      <c r="O43" s="254">
        <v>0</v>
      </c>
    </row>
    <row r="44" ht="14.25" spans="1:15">
      <c r="A44" s="245" t="s">
        <v>70</v>
      </c>
      <c r="B44" s="52" t="s">
        <v>64</v>
      </c>
      <c r="C44" s="19">
        <v>1</v>
      </c>
      <c r="D44" s="246">
        <v>0</v>
      </c>
      <c r="E44" s="246">
        <v>0</v>
      </c>
      <c r="F44" s="246">
        <v>0</v>
      </c>
      <c r="G44" s="246">
        <v>0</v>
      </c>
      <c r="H44" s="246">
        <v>0</v>
      </c>
      <c r="I44" s="246">
        <v>0</v>
      </c>
      <c r="J44" s="246">
        <v>0</v>
      </c>
      <c r="K44" s="246">
        <v>1</v>
      </c>
      <c r="L44" s="246">
        <v>0</v>
      </c>
      <c r="M44" s="246">
        <v>0</v>
      </c>
      <c r="N44" s="246">
        <v>0</v>
      </c>
      <c r="O44" s="255">
        <v>0</v>
      </c>
    </row>
    <row r="45" spans="1:15">
      <c r="A45" s="240" t="s">
        <v>26</v>
      </c>
      <c r="B45" s="47" t="s">
        <v>55</v>
      </c>
      <c r="C45" s="12">
        <v>6.31831039351146</v>
      </c>
      <c r="D45" s="241">
        <v>6.66666666666667</v>
      </c>
      <c r="E45" s="241">
        <v>4.8974358974359</v>
      </c>
      <c r="F45" s="241">
        <v>5.35483870967742</v>
      </c>
      <c r="G45" s="241">
        <v>6.03846153846154</v>
      </c>
      <c r="H45" s="241">
        <v>5.16326530612245</v>
      </c>
      <c r="I45" s="241">
        <v>10.04</v>
      </c>
      <c r="J45" s="241">
        <v>5.48076923076923</v>
      </c>
      <c r="K45" s="241">
        <v>5.84905660377358</v>
      </c>
      <c r="L45" s="241">
        <v>6.06</v>
      </c>
      <c r="M45" s="241">
        <v>6.88888888888889</v>
      </c>
      <c r="N45" s="241">
        <v>6.61111111111111</v>
      </c>
      <c r="O45" s="252">
        <v>6.76923076923077</v>
      </c>
    </row>
    <row r="46" spans="1:15">
      <c r="A46" s="242" t="s">
        <v>26</v>
      </c>
      <c r="B46" s="43" t="s">
        <v>57</v>
      </c>
      <c r="C46" s="15">
        <v>537</v>
      </c>
      <c r="D46" s="243">
        <v>48</v>
      </c>
      <c r="E46" s="243">
        <v>39</v>
      </c>
      <c r="F46" s="243">
        <v>31</v>
      </c>
      <c r="G46" s="243">
        <v>26</v>
      </c>
      <c r="H46" s="243">
        <v>49</v>
      </c>
      <c r="I46" s="243">
        <v>25</v>
      </c>
      <c r="J46" s="243">
        <v>52</v>
      </c>
      <c r="K46" s="243">
        <v>53</v>
      </c>
      <c r="L46" s="243">
        <v>50</v>
      </c>
      <c r="M46" s="243">
        <v>45</v>
      </c>
      <c r="N46" s="243">
        <v>54</v>
      </c>
      <c r="O46" s="253">
        <v>65</v>
      </c>
    </row>
    <row r="47" spans="1:15">
      <c r="A47" s="240" t="s">
        <v>26</v>
      </c>
      <c r="B47" s="47" t="s">
        <v>59</v>
      </c>
      <c r="C47" s="15">
        <v>3343</v>
      </c>
      <c r="D47" s="243">
        <v>320</v>
      </c>
      <c r="E47" s="243">
        <v>191</v>
      </c>
      <c r="F47" s="243">
        <v>166</v>
      </c>
      <c r="G47" s="243">
        <v>157</v>
      </c>
      <c r="H47" s="243">
        <v>253</v>
      </c>
      <c r="I47" s="243">
        <v>251</v>
      </c>
      <c r="J47" s="243">
        <v>285</v>
      </c>
      <c r="K47" s="243">
        <v>310</v>
      </c>
      <c r="L47" s="243">
        <v>303</v>
      </c>
      <c r="M47" s="243">
        <v>310</v>
      </c>
      <c r="N47" s="243">
        <v>357</v>
      </c>
      <c r="O47" s="253">
        <v>440</v>
      </c>
    </row>
    <row r="48" spans="1:15">
      <c r="A48" s="242" t="s">
        <v>26</v>
      </c>
      <c r="B48" s="43" t="s">
        <v>4</v>
      </c>
      <c r="C48" s="15">
        <v>111</v>
      </c>
      <c r="D48" s="244">
        <v>9</v>
      </c>
      <c r="E48" s="244">
        <v>11</v>
      </c>
      <c r="F48" s="244">
        <v>6</v>
      </c>
      <c r="G48" s="244">
        <v>3</v>
      </c>
      <c r="H48" s="244">
        <v>4</v>
      </c>
      <c r="I48" s="244">
        <v>16</v>
      </c>
      <c r="J48" s="244">
        <v>13</v>
      </c>
      <c r="K48" s="244">
        <v>13</v>
      </c>
      <c r="L48" s="244">
        <v>6</v>
      </c>
      <c r="M48" s="244">
        <v>8</v>
      </c>
      <c r="N48" s="244">
        <v>6</v>
      </c>
      <c r="O48" s="254">
        <v>16</v>
      </c>
    </row>
    <row r="49" spans="1:15">
      <c r="A49" s="240" t="s">
        <v>26</v>
      </c>
      <c r="B49" s="47" t="s">
        <v>5</v>
      </c>
      <c r="C49" s="12">
        <v>0.0339044240022635</v>
      </c>
      <c r="D49" s="241">
        <v>0.028125</v>
      </c>
      <c r="E49" s="241">
        <v>0.0575916230366492</v>
      </c>
      <c r="F49" s="241">
        <v>0.036144578313253</v>
      </c>
      <c r="G49" s="241">
        <v>0.0191082802547771</v>
      </c>
      <c r="H49" s="241">
        <v>0.0158102766798419</v>
      </c>
      <c r="I49" s="241">
        <v>0.0637450199203187</v>
      </c>
      <c r="J49" s="241">
        <v>0.0456140350877193</v>
      </c>
      <c r="K49" s="241">
        <v>0.0419354838709677</v>
      </c>
      <c r="L49" s="241">
        <v>0.0198019801980198</v>
      </c>
      <c r="M49" s="241">
        <v>0.0258064516129032</v>
      </c>
      <c r="N49" s="241">
        <v>0.0168067226890756</v>
      </c>
      <c r="O49" s="252">
        <v>0.0363636363636364</v>
      </c>
    </row>
    <row r="50" spans="1:15">
      <c r="A50" s="242" t="s">
        <v>26</v>
      </c>
      <c r="B50" s="43" t="s">
        <v>6</v>
      </c>
      <c r="C50" s="15">
        <v>26</v>
      </c>
      <c r="D50" s="244">
        <v>2</v>
      </c>
      <c r="E50" s="244">
        <v>0</v>
      </c>
      <c r="F50" s="244">
        <v>0</v>
      </c>
      <c r="G50" s="244">
        <v>2</v>
      </c>
      <c r="H50" s="244">
        <v>1</v>
      </c>
      <c r="I50" s="244">
        <v>2</v>
      </c>
      <c r="J50" s="244">
        <v>3</v>
      </c>
      <c r="K50" s="244">
        <v>3</v>
      </c>
      <c r="L50" s="244">
        <v>4</v>
      </c>
      <c r="M50" s="244">
        <v>5</v>
      </c>
      <c r="N50" s="244">
        <v>2</v>
      </c>
      <c r="O50" s="254">
        <v>2</v>
      </c>
    </row>
    <row r="51" ht="14.25" spans="1:15">
      <c r="A51" s="245" t="s">
        <v>26</v>
      </c>
      <c r="B51" s="52" t="s">
        <v>64</v>
      </c>
      <c r="C51" s="19">
        <v>0.234234234234234</v>
      </c>
      <c r="D51" s="250">
        <v>2</v>
      </c>
      <c r="E51" s="250">
        <v>0</v>
      </c>
      <c r="F51" s="250">
        <v>0</v>
      </c>
      <c r="G51" s="250">
        <v>2</v>
      </c>
      <c r="H51" s="250">
        <v>1</v>
      </c>
      <c r="I51" s="250">
        <v>2</v>
      </c>
      <c r="J51" s="250">
        <v>3</v>
      </c>
      <c r="K51" s="250">
        <v>3</v>
      </c>
      <c r="L51" s="250">
        <v>4</v>
      </c>
      <c r="M51" s="250">
        <v>5</v>
      </c>
      <c r="N51" s="250">
        <v>2</v>
      </c>
      <c r="O51" s="257">
        <v>2</v>
      </c>
    </row>
    <row r="52" ht="14.25" spans="1:15">
      <c r="A52" s="237">
        <v>45018</v>
      </c>
      <c r="B52" s="237"/>
      <c r="C52" s="237"/>
      <c r="D52" s="237"/>
      <c r="E52" s="237"/>
      <c r="F52" s="237"/>
      <c r="G52" s="237"/>
      <c r="H52" s="237"/>
      <c r="I52" s="237"/>
      <c r="J52" s="237"/>
      <c r="K52" s="237"/>
      <c r="L52" s="237"/>
      <c r="M52" s="237"/>
      <c r="N52" s="237"/>
      <c r="O52" s="237"/>
    </row>
    <row r="53" spans="1:15">
      <c r="A53" s="56" t="s">
        <v>1</v>
      </c>
      <c r="B53" s="238"/>
      <c r="C53" s="8" t="s">
        <v>42</v>
      </c>
      <c r="D53" s="239" t="s">
        <v>43</v>
      </c>
      <c r="E53" s="239" t="s">
        <v>44</v>
      </c>
      <c r="F53" s="239" t="s">
        <v>45</v>
      </c>
      <c r="G53" s="239" t="s">
        <v>46</v>
      </c>
      <c r="H53" s="239" t="s">
        <v>47</v>
      </c>
      <c r="I53" s="239" t="s">
        <v>48</v>
      </c>
      <c r="J53" s="239" t="s">
        <v>49</v>
      </c>
      <c r="K53" s="239" t="s">
        <v>50</v>
      </c>
      <c r="L53" s="239" t="s">
        <v>51</v>
      </c>
      <c r="M53" s="239" t="s">
        <v>52</v>
      </c>
      <c r="N53" s="239" t="s">
        <v>53</v>
      </c>
      <c r="O53" s="251" t="s">
        <v>54</v>
      </c>
    </row>
    <row r="54" spans="1:15">
      <c r="A54" s="240" t="s">
        <v>22</v>
      </c>
      <c r="B54" s="47" t="s">
        <v>55</v>
      </c>
      <c r="C54" s="12">
        <v>0.350671363904076</v>
      </c>
      <c r="D54" s="241">
        <v>0.290465631929047</v>
      </c>
      <c r="E54" s="241">
        <v>0.211214953271028</v>
      </c>
      <c r="F54" s="241">
        <v>0.223495702005731</v>
      </c>
      <c r="G54" s="241">
        <v>0.247159090909091</v>
      </c>
      <c r="H54" s="241">
        <v>0.333333333333333</v>
      </c>
      <c r="I54" s="241">
        <v>0.403598971722365</v>
      </c>
      <c r="J54" s="241">
        <v>0.443349753694581</v>
      </c>
      <c r="K54" s="241">
        <v>0.405963302752294</v>
      </c>
      <c r="L54" s="241">
        <v>0.446700507614213</v>
      </c>
      <c r="M54" s="241">
        <v>0.390588235294118</v>
      </c>
      <c r="N54" s="241">
        <v>0.429411764705882</v>
      </c>
      <c r="O54" s="252">
        <v>0.382775119617225</v>
      </c>
    </row>
    <row r="55" spans="1:15">
      <c r="A55" s="242" t="s">
        <v>22</v>
      </c>
      <c r="B55" s="43" t="s">
        <v>57</v>
      </c>
      <c r="C55" s="15">
        <v>5679</v>
      </c>
      <c r="D55" s="243">
        <v>902</v>
      </c>
      <c r="E55" s="243">
        <v>535</v>
      </c>
      <c r="F55" s="243">
        <v>349</v>
      </c>
      <c r="G55" s="243">
        <v>352</v>
      </c>
      <c r="H55" s="243">
        <v>354</v>
      </c>
      <c r="I55" s="243">
        <v>389</v>
      </c>
      <c r="J55" s="243">
        <v>406</v>
      </c>
      <c r="K55" s="243">
        <v>436</v>
      </c>
      <c r="L55" s="243">
        <v>394</v>
      </c>
      <c r="M55" s="243">
        <v>425</v>
      </c>
      <c r="N55" s="243">
        <v>510</v>
      </c>
      <c r="O55" s="253">
        <v>627</v>
      </c>
    </row>
    <row r="56" spans="1:15">
      <c r="A56" s="240" t="s">
        <v>22</v>
      </c>
      <c r="B56" s="47" t="s">
        <v>59</v>
      </c>
      <c r="C56" s="15">
        <v>1973</v>
      </c>
      <c r="D56" s="243">
        <v>262</v>
      </c>
      <c r="E56" s="243">
        <v>113</v>
      </c>
      <c r="F56" s="243">
        <v>78</v>
      </c>
      <c r="G56" s="243">
        <v>87</v>
      </c>
      <c r="H56" s="243">
        <v>118</v>
      </c>
      <c r="I56" s="243">
        <v>157</v>
      </c>
      <c r="J56" s="243">
        <v>180</v>
      </c>
      <c r="K56" s="243">
        <v>177</v>
      </c>
      <c r="L56" s="243">
        <v>176</v>
      </c>
      <c r="M56" s="243">
        <v>166</v>
      </c>
      <c r="N56" s="243">
        <v>219</v>
      </c>
      <c r="O56" s="253">
        <v>240</v>
      </c>
    </row>
    <row r="57" spans="1:15">
      <c r="A57" s="242" t="s">
        <v>22</v>
      </c>
      <c r="B57" s="43" t="s">
        <v>4</v>
      </c>
      <c r="C57" s="15">
        <v>156</v>
      </c>
      <c r="D57" s="244">
        <v>20</v>
      </c>
      <c r="E57" s="244">
        <v>11</v>
      </c>
      <c r="F57" s="244">
        <v>7</v>
      </c>
      <c r="G57" s="244">
        <v>8</v>
      </c>
      <c r="H57" s="244">
        <v>7</v>
      </c>
      <c r="I57" s="244">
        <v>14</v>
      </c>
      <c r="J57" s="244">
        <v>11</v>
      </c>
      <c r="K57" s="244">
        <v>18</v>
      </c>
      <c r="L57" s="244">
        <v>12</v>
      </c>
      <c r="M57" s="244">
        <v>11</v>
      </c>
      <c r="N57" s="244">
        <v>14</v>
      </c>
      <c r="O57" s="254">
        <v>23</v>
      </c>
    </row>
    <row r="58" spans="1:15">
      <c r="A58" s="240" t="s">
        <v>22</v>
      </c>
      <c r="B58" s="47" t="s">
        <v>5</v>
      </c>
      <c r="C58" s="12">
        <v>0.0800738175432821</v>
      </c>
      <c r="D58" s="241">
        <v>0.0763358778625954</v>
      </c>
      <c r="E58" s="241">
        <v>0.0973451327433628</v>
      </c>
      <c r="F58" s="241">
        <v>0.0897435897435897</v>
      </c>
      <c r="G58" s="241">
        <v>0.0919540229885057</v>
      </c>
      <c r="H58" s="241">
        <v>0.0593220338983051</v>
      </c>
      <c r="I58" s="241">
        <v>0.089171974522293</v>
      </c>
      <c r="J58" s="241">
        <v>0.0611111111111111</v>
      </c>
      <c r="K58" s="241">
        <v>0.101694915254237</v>
      </c>
      <c r="L58" s="241">
        <v>0.0681818181818182</v>
      </c>
      <c r="M58" s="241">
        <v>0.0662650602409639</v>
      </c>
      <c r="N58" s="241">
        <v>0.0639269406392694</v>
      </c>
      <c r="O58" s="252">
        <v>0.0958333333333333</v>
      </c>
    </row>
    <row r="59" spans="1:15">
      <c r="A59" s="242" t="s">
        <v>22</v>
      </c>
      <c r="B59" s="43" t="s">
        <v>6</v>
      </c>
      <c r="C59" s="15">
        <v>54</v>
      </c>
      <c r="D59" s="244">
        <v>9</v>
      </c>
      <c r="E59" s="244">
        <v>3</v>
      </c>
      <c r="F59" s="244">
        <v>3</v>
      </c>
      <c r="G59" s="244">
        <v>0</v>
      </c>
      <c r="H59" s="244">
        <v>6</v>
      </c>
      <c r="I59" s="244">
        <v>3</v>
      </c>
      <c r="J59" s="244">
        <v>3</v>
      </c>
      <c r="K59" s="244">
        <v>6</v>
      </c>
      <c r="L59" s="244">
        <v>3</v>
      </c>
      <c r="M59" s="244">
        <v>6</v>
      </c>
      <c r="N59" s="244">
        <v>8</v>
      </c>
      <c r="O59" s="254">
        <v>4</v>
      </c>
    </row>
    <row r="60" ht="14.25" spans="1:15">
      <c r="A60" s="245" t="s">
        <v>22</v>
      </c>
      <c r="B60" s="52" t="s">
        <v>64</v>
      </c>
      <c r="C60" s="19">
        <v>0.346153846153846</v>
      </c>
      <c r="D60" s="246">
        <v>0.45</v>
      </c>
      <c r="E60" s="246">
        <v>0.272727272727273</v>
      </c>
      <c r="F60" s="246">
        <v>0.428571428571429</v>
      </c>
      <c r="G60" s="246">
        <v>0</v>
      </c>
      <c r="H60" s="246">
        <v>0.857142857142857</v>
      </c>
      <c r="I60" s="246">
        <v>0.214285714285714</v>
      </c>
      <c r="J60" s="246">
        <v>0.272727272727273</v>
      </c>
      <c r="K60" s="246">
        <v>0.333333333333333</v>
      </c>
      <c r="L60" s="246">
        <v>0.25</v>
      </c>
      <c r="M60" s="246">
        <v>0.545454545454545</v>
      </c>
      <c r="N60" s="246">
        <v>0.571428571428571</v>
      </c>
      <c r="O60" s="255">
        <v>0.173913043478261</v>
      </c>
    </row>
    <row r="61" spans="1:15">
      <c r="A61" s="247" t="s">
        <v>66</v>
      </c>
      <c r="B61" s="248" t="s">
        <v>55</v>
      </c>
      <c r="C61" s="12">
        <v>0.127085769309159</v>
      </c>
      <c r="D61" s="249">
        <v>0.115789473684211</v>
      </c>
      <c r="E61" s="249">
        <v>0.0772532188841202</v>
      </c>
      <c r="F61" s="249">
        <v>0.0570469798657718</v>
      </c>
      <c r="G61" s="249">
        <v>0.0863787375415282</v>
      </c>
      <c r="H61" s="249">
        <v>0.1417004048583</v>
      </c>
      <c r="I61" s="249">
        <v>0.126530612244898</v>
      </c>
      <c r="J61" s="249">
        <v>0.137931034482759</v>
      </c>
      <c r="K61" s="249">
        <v>0.168582375478927</v>
      </c>
      <c r="L61" s="249">
        <v>0.195454545454545</v>
      </c>
      <c r="M61" s="249">
        <v>0.178947368421053</v>
      </c>
      <c r="N61" s="249">
        <v>0.122605363984674</v>
      </c>
      <c r="O61" s="256">
        <v>0.116809116809117</v>
      </c>
    </row>
    <row r="62" spans="1:15">
      <c r="A62" s="242" t="s">
        <v>66</v>
      </c>
      <c r="B62" s="43" t="s">
        <v>57</v>
      </c>
      <c r="C62" s="15">
        <v>3642</v>
      </c>
      <c r="D62" s="243">
        <v>570</v>
      </c>
      <c r="E62" s="243">
        <v>466</v>
      </c>
      <c r="F62" s="243">
        <v>298</v>
      </c>
      <c r="G62" s="243">
        <v>301</v>
      </c>
      <c r="H62" s="243">
        <v>247</v>
      </c>
      <c r="I62" s="243">
        <v>245</v>
      </c>
      <c r="J62" s="243">
        <v>232</v>
      </c>
      <c r="K62" s="243">
        <v>261</v>
      </c>
      <c r="L62" s="243">
        <v>220</v>
      </c>
      <c r="M62" s="243">
        <v>190</v>
      </c>
      <c r="N62" s="243">
        <v>261</v>
      </c>
      <c r="O62" s="253">
        <v>351</v>
      </c>
    </row>
    <row r="63" spans="1:15">
      <c r="A63" s="240" t="s">
        <v>66</v>
      </c>
      <c r="B63" s="47" t="s">
        <v>59</v>
      </c>
      <c r="C63" s="15">
        <v>437</v>
      </c>
      <c r="D63" s="243">
        <v>66</v>
      </c>
      <c r="E63" s="243">
        <v>36</v>
      </c>
      <c r="F63" s="243">
        <v>17</v>
      </c>
      <c r="G63" s="243">
        <v>26</v>
      </c>
      <c r="H63" s="243">
        <v>35</v>
      </c>
      <c r="I63" s="243">
        <v>31</v>
      </c>
      <c r="J63" s="243">
        <v>32</v>
      </c>
      <c r="K63" s="243">
        <v>44</v>
      </c>
      <c r="L63" s="243">
        <v>43</v>
      </c>
      <c r="M63" s="243">
        <v>34</v>
      </c>
      <c r="N63" s="243">
        <v>32</v>
      </c>
      <c r="O63" s="253">
        <v>41</v>
      </c>
    </row>
    <row r="64" spans="1:15">
      <c r="A64" s="242" t="s">
        <v>66</v>
      </c>
      <c r="B64" s="43" t="s">
        <v>4</v>
      </c>
      <c r="C64" s="15">
        <v>45</v>
      </c>
      <c r="D64" s="244">
        <v>4</v>
      </c>
      <c r="E64" s="244">
        <v>7</v>
      </c>
      <c r="F64" s="244">
        <v>1</v>
      </c>
      <c r="G64" s="244">
        <v>3</v>
      </c>
      <c r="H64" s="244">
        <v>4</v>
      </c>
      <c r="I64" s="244">
        <v>1</v>
      </c>
      <c r="J64" s="244">
        <v>9</v>
      </c>
      <c r="K64" s="244">
        <v>3</v>
      </c>
      <c r="L64" s="244">
        <v>4</v>
      </c>
      <c r="M64" s="244">
        <v>2</v>
      </c>
      <c r="N64" s="244">
        <v>4</v>
      </c>
      <c r="O64" s="254">
        <v>3</v>
      </c>
    </row>
    <row r="65" spans="1:15">
      <c r="A65" s="240" t="s">
        <v>66</v>
      </c>
      <c r="B65" s="47" t="s">
        <v>5</v>
      </c>
      <c r="C65" s="12">
        <v>0.106270980313632</v>
      </c>
      <c r="D65" s="241">
        <v>0.0606060606060606</v>
      </c>
      <c r="E65" s="241">
        <v>0.194444444444444</v>
      </c>
      <c r="F65" s="241">
        <v>0.0588235294117647</v>
      </c>
      <c r="G65" s="241">
        <v>0.115384615384615</v>
      </c>
      <c r="H65" s="241">
        <v>0.114285714285714</v>
      </c>
      <c r="I65" s="241">
        <v>0.032258064516129</v>
      </c>
      <c r="J65" s="241">
        <v>0.28125</v>
      </c>
      <c r="K65" s="241">
        <v>0.0681818181818182</v>
      </c>
      <c r="L65" s="241">
        <v>0.0930232558139535</v>
      </c>
      <c r="M65" s="241">
        <v>0.0588235294117647</v>
      </c>
      <c r="N65" s="241">
        <v>0.125</v>
      </c>
      <c r="O65" s="252">
        <v>0.0731707317073171</v>
      </c>
    </row>
    <row r="66" spans="1:15">
      <c r="A66" s="242" t="s">
        <v>66</v>
      </c>
      <c r="B66" s="43" t="s">
        <v>6</v>
      </c>
      <c r="C66" s="15">
        <v>11</v>
      </c>
      <c r="D66" s="244">
        <v>1</v>
      </c>
      <c r="E66" s="244">
        <v>0</v>
      </c>
      <c r="F66" s="244">
        <v>0</v>
      </c>
      <c r="G66" s="244">
        <v>0</v>
      </c>
      <c r="H66" s="244">
        <v>0</v>
      </c>
      <c r="I66" s="244">
        <v>2</v>
      </c>
      <c r="J66" s="244">
        <v>2</v>
      </c>
      <c r="K66" s="244">
        <v>0</v>
      </c>
      <c r="L66" s="244">
        <v>1</v>
      </c>
      <c r="M66" s="244">
        <v>1</v>
      </c>
      <c r="N66" s="244">
        <v>1</v>
      </c>
      <c r="O66" s="254">
        <v>3</v>
      </c>
    </row>
    <row r="67" ht="14.25" spans="1:15">
      <c r="A67" s="245" t="s">
        <v>66</v>
      </c>
      <c r="B67" s="52" t="s">
        <v>64</v>
      </c>
      <c r="C67" s="19">
        <v>0.244444444444444</v>
      </c>
      <c r="D67" s="246">
        <v>0.25</v>
      </c>
      <c r="E67" s="246">
        <v>0</v>
      </c>
      <c r="F67" s="246">
        <v>0</v>
      </c>
      <c r="G67" s="246">
        <v>0</v>
      </c>
      <c r="H67" s="246">
        <v>0</v>
      </c>
      <c r="I67" s="246">
        <v>2</v>
      </c>
      <c r="J67" s="246">
        <v>0.222222222222222</v>
      </c>
      <c r="K67" s="246">
        <v>0</v>
      </c>
      <c r="L67" s="246">
        <v>0.25</v>
      </c>
      <c r="M67" s="246">
        <v>0.5</v>
      </c>
      <c r="N67" s="246">
        <v>0.25</v>
      </c>
      <c r="O67" s="255">
        <v>1</v>
      </c>
    </row>
    <row r="68" spans="1:15">
      <c r="A68" s="240" t="s">
        <v>67</v>
      </c>
      <c r="B68" s="47" t="s">
        <v>55</v>
      </c>
      <c r="C68" s="12">
        <v>0.757607547565012</v>
      </c>
      <c r="D68" s="241">
        <v>0.733333333333333</v>
      </c>
      <c r="E68" s="241">
        <v>0.745454545454545</v>
      </c>
      <c r="F68" s="241">
        <v>0.692307692307692</v>
      </c>
      <c r="G68" s="241">
        <v>0.888888888888889</v>
      </c>
      <c r="H68" s="241">
        <v>1.1304347826087</v>
      </c>
      <c r="I68" s="241">
        <v>0.647058823529412</v>
      </c>
      <c r="J68" s="241">
        <v>0.84</v>
      </c>
      <c r="K68" s="241">
        <v>0.62962962962963</v>
      </c>
      <c r="L68" s="241">
        <v>0.8</v>
      </c>
      <c r="M68" s="241">
        <v>0.682539682539683</v>
      </c>
      <c r="N68" s="241">
        <v>0.71830985915493</v>
      </c>
      <c r="O68" s="252">
        <v>0.583333333333333</v>
      </c>
    </row>
    <row r="69" spans="1:15">
      <c r="A69" s="242" t="s">
        <v>67</v>
      </c>
      <c r="B69" s="43" t="s">
        <v>57</v>
      </c>
      <c r="C69" s="15">
        <v>730</v>
      </c>
      <c r="D69" s="243">
        <v>105</v>
      </c>
      <c r="E69" s="243">
        <v>55</v>
      </c>
      <c r="F69" s="243">
        <v>26</v>
      </c>
      <c r="G69" s="243">
        <v>36</v>
      </c>
      <c r="H69" s="243">
        <v>46</v>
      </c>
      <c r="I69" s="243">
        <v>51</v>
      </c>
      <c r="J69" s="243">
        <v>50</v>
      </c>
      <c r="K69" s="243">
        <v>81</v>
      </c>
      <c r="L69" s="243">
        <v>50</v>
      </c>
      <c r="M69" s="243">
        <v>63</v>
      </c>
      <c r="N69" s="243">
        <v>71</v>
      </c>
      <c r="O69" s="253">
        <v>96</v>
      </c>
    </row>
    <row r="70" spans="1:15">
      <c r="A70" s="240" t="s">
        <v>67</v>
      </c>
      <c r="B70" s="47" t="s">
        <v>59</v>
      </c>
      <c r="C70" s="15">
        <v>536</v>
      </c>
      <c r="D70" s="243">
        <v>77</v>
      </c>
      <c r="E70" s="243">
        <v>41</v>
      </c>
      <c r="F70" s="243">
        <v>18</v>
      </c>
      <c r="G70" s="243">
        <v>32</v>
      </c>
      <c r="H70" s="243">
        <v>52</v>
      </c>
      <c r="I70" s="243">
        <v>33</v>
      </c>
      <c r="J70" s="243">
        <v>42</v>
      </c>
      <c r="K70" s="243">
        <v>51</v>
      </c>
      <c r="L70" s="243">
        <v>40</v>
      </c>
      <c r="M70" s="243">
        <v>43</v>
      </c>
      <c r="N70" s="243">
        <v>51</v>
      </c>
      <c r="O70" s="253">
        <v>56</v>
      </c>
    </row>
    <row r="71" spans="1:15">
      <c r="A71" s="242" t="s">
        <v>67</v>
      </c>
      <c r="B71" s="43" t="s">
        <v>4</v>
      </c>
      <c r="C71" s="15">
        <v>22</v>
      </c>
      <c r="D71" s="244">
        <v>1</v>
      </c>
      <c r="E71" s="244">
        <v>1</v>
      </c>
      <c r="F71" s="244">
        <v>2</v>
      </c>
      <c r="G71" s="244">
        <v>3</v>
      </c>
      <c r="H71" s="244">
        <v>1</v>
      </c>
      <c r="I71" s="244">
        <v>1</v>
      </c>
      <c r="J71" s="244">
        <v>1</v>
      </c>
      <c r="K71" s="244">
        <v>1</v>
      </c>
      <c r="L71" s="244">
        <v>4</v>
      </c>
      <c r="M71" s="244">
        <v>2</v>
      </c>
      <c r="N71" s="244">
        <v>4</v>
      </c>
      <c r="O71" s="254">
        <v>1</v>
      </c>
    </row>
    <row r="72" spans="1:15">
      <c r="A72" s="240" t="s">
        <v>67</v>
      </c>
      <c r="B72" s="47" t="s">
        <v>5</v>
      </c>
      <c r="C72" s="12">
        <v>0.0481658064828567</v>
      </c>
      <c r="D72" s="241">
        <v>0.012987012987013</v>
      </c>
      <c r="E72" s="241">
        <v>0.024390243902439</v>
      </c>
      <c r="F72" s="241">
        <v>0.111111111111111</v>
      </c>
      <c r="G72" s="241">
        <v>0.09375</v>
      </c>
      <c r="H72" s="241">
        <v>0.0192307692307692</v>
      </c>
      <c r="I72" s="241">
        <v>0.0303030303030303</v>
      </c>
      <c r="J72" s="241">
        <v>0.0238095238095238</v>
      </c>
      <c r="K72" s="241">
        <v>0.0196078431372549</v>
      </c>
      <c r="L72" s="241">
        <v>0.1</v>
      </c>
      <c r="M72" s="241">
        <v>0.0465116279069767</v>
      </c>
      <c r="N72" s="241">
        <v>0.0784313725490196</v>
      </c>
      <c r="O72" s="252">
        <v>0.0178571428571429</v>
      </c>
    </row>
    <row r="73" spans="1:15">
      <c r="A73" s="242" t="s">
        <v>67</v>
      </c>
      <c r="B73" s="43" t="s">
        <v>6</v>
      </c>
      <c r="C73" s="15">
        <v>16</v>
      </c>
      <c r="D73" s="244">
        <v>3</v>
      </c>
      <c r="E73" s="244">
        <v>2</v>
      </c>
      <c r="F73" s="244">
        <v>0</v>
      </c>
      <c r="G73" s="244">
        <v>0</v>
      </c>
      <c r="H73" s="244">
        <v>1</v>
      </c>
      <c r="I73" s="244">
        <v>0</v>
      </c>
      <c r="J73" s="244">
        <v>0</v>
      </c>
      <c r="K73" s="244">
        <v>1</v>
      </c>
      <c r="L73" s="244">
        <v>3</v>
      </c>
      <c r="M73" s="244">
        <v>2</v>
      </c>
      <c r="N73" s="244">
        <v>1</v>
      </c>
      <c r="O73" s="254">
        <v>3</v>
      </c>
    </row>
    <row r="74" ht="14.25" spans="1:15">
      <c r="A74" s="245" t="s">
        <v>67</v>
      </c>
      <c r="B74" s="52" t="s">
        <v>64</v>
      </c>
      <c r="C74" s="19">
        <v>0.727272727272727</v>
      </c>
      <c r="D74" s="246">
        <v>3</v>
      </c>
      <c r="E74" s="246">
        <v>2</v>
      </c>
      <c r="F74" s="246">
        <v>0</v>
      </c>
      <c r="G74" s="246">
        <v>0</v>
      </c>
      <c r="H74" s="246">
        <v>1</v>
      </c>
      <c r="I74" s="246">
        <v>0</v>
      </c>
      <c r="J74" s="246">
        <v>0</v>
      </c>
      <c r="K74" s="246">
        <v>1</v>
      </c>
      <c r="L74" s="246">
        <v>0.75</v>
      </c>
      <c r="M74" s="246">
        <v>1</v>
      </c>
      <c r="N74" s="246">
        <v>0.25</v>
      </c>
      <c r="O74" s="255">
        <v>3</v>
      </c>
    </row>
    <row r="75" spans="1:15">
      <c r="A75" s="240" t="s">
        <v>68</v>
      </c>
      <c r="B75" s="47" t="s">
        <v>55</v>
      </c>
      <c r="C75" s="12">
        <v>0.149341789765279</v>
      </c>
      <c r="D75" s="241">
        <v>0.276892430278884</v>
      </c>
      <c r="E75" s="241">
        <v>0.191176470588235</v>
      </c>
      <c r="F75" s="241">
        <v>0.213389121338912</v>
      </c>
      <c r="G75" s="241">
        <v>0.129411764705882</v>
      </c>
      <c r="H75" s="241">
        <v>0.161716171617162</v>
      </c>
      <c r="I75" s="241">
        <v>0.137878787878788</v>
      </c>
      <c r="J75" s="241">
        <v>0.131168831168831</v>
      </c>
      <c r="K75" s="241">
        <v>0.171830985915493</v>
      </c>
      <c r="L75" s="241">
        <v>0.145114942528736</v>
      </c>
      <c r="M75" s="241">
        <v>0.0785714285714286</v>
      </c>
      <c r="N75" s="241">
        <v>0.0780274656679151</v>
      </c>
      <c r="O75" s="252">
        <v>0.0769230769230769</v>
      </c>
    </row>
    <row r="76" spans="1:15">
      <c r="A76" s="242" t="s">
        <v>68</v>
      </c>
      <c r="B76" s="43" t="s">
        <v>57</v>
      </c>
      <c r="C76" s="15">
        <v>9358</v>
      </c>
      <c r="D76" s="243">
        <v>502</v>
      </c>
      <c r="E76" s="243">
        <v>272</v>
      </c>
      <c r="F76" s="243">
        <v>239</v>
      </c>
      <c r="G76" s="243">
        <v>510</v>
      </c>
      <c r="H76" s="243">
        <v>606</v>
      </c>
      <c r="I76" s="243">
        <v>660</v>
      </c>
      <c r="J76" s="243">
        <v>770</v>
      </c>
      <c r="K76" s="243">
        <v>710</v>
      </c>
      <c r="L76" s="243">
        <v>696</v>
      </c>
      <c r="M76" s="243">
        <v>1400</v>
      </c>
      <c r="N76" s="243">
        <v>1602</v>
      </c>
      <c r="O76" s="253">
        <v>1391</v>
      </c>
    </row>
    <row r="77" spans="1:15">
      <c r="A77" s="240" t="s">
        <v>68</v>
      </c>
      <c r="B77" s="47" t="s">
        <v>59</v>
      </c>
      <c r="C77" s="15">
        <v>1163</v>
      </c>
      <c r="D77" s="243">
        <v>139</v>
      </c>
      <c r="E77" s="243">
        <v>52</v>
      </c>
      <c r="F77" s="243">
        <v>51</v>
      </c>
      <c r="G77" s="243">
        <v>66</v>
      </c>
      <c r="H77" s="243">
        <v>98</v>
      </c>
      <c r="I77" s="243">
        <v>91</v>
      </c>
      <c r="J77" s="243">
        <v>101</v>
      </c>
      <c r="K77" s="243">
        <v>122</v>
      </c>
      <c r="L77" s="243">
        <v>101</v>
      </c>
      <c r="M77" s="243">
        <v>110</v>
      </c>
      <c r="N77" s="243">
        <v>125</v>
      </c>
      <c r="O77" s="253">
        <v>107</v>
      </c>
    </row>
    <row r="78" spans="1:15">
      <c r="A78" s="242" t="s">
        <v>68</v>
      </c>
      <c r="B78" s="43" t="s">
        <v>4</v>
      </c>
      <c r="C78" s="15">
        <v>49</v>
      </c>
      <c r="D78" s="244">
        <v>8</v>
      </c>
      <c r="E78" s="244">
        <v>4</v>
      </c>
      <c r="F78" s="244">
        <v>1</v>
      </c>
      <c r="G78" s="244">
        <v>1</v>
      </c>
      <c r="H78" s="244">
        <v>2</v>
      </c>
      <c r="I78" s="244">
        <v>1</v>
      </c>
      <c r="J78" s="244">
        <v>4</v>
      </c>
      <c r="K78" s="244">
        <v>9</v>
      </c>
      <c r="L78" s="244">
        <v>5</v>
      </c>
      <c r="M78" s="244">
        <v>1</v>
      </c>
      <c r="N78" s="244">
        <v>5</v>
      </c>
      <c r="O78" s="254">
        <v>8</v>
      </c>
    </row>
    <row r="79" spans="1:15">
      <c r="A79" s="240" t="s">
        <v>68</v>
      </c>
      <c r="B79" s="47" t="s">
        <v>5</v>
      </c>
      <c r="C79" s="12">
        <v>0.04061418610218</v>
      </c>
      <c r="D79" s="241">
        <v>0.0575539568345324</v>
      </c>
      <c r="E79" s="241">
        <v>0.0769230769230769</v>
      </c>
      <c r="F79" s="241">
        <v>0.0196078431372549</v>
      </c>
      <c r="G79" s="241">
        <v>0.0151515151515152</v>
      </c>
      <c r="H79" s="241">
        <v>0.0204081632653061</v>
      </c>
      <c r="I79" s="241">
        <v>0.010989010989011</v>
      </c>
      <c r="J79" s="241">
        <v>0.0396039603960396</v>
      </c>
      <c r="K79" s="241">
        <v>0.0737704918032787</v>
      </c>
      <c r="L79" s="241">
        <v>0.0495049504950495</v>
      </c>
      <c r="M79" s="241">
        <v>0.00909090909090909</v>
      </c>
      <c r="N79" s="241">
        <v>0.04</v>
      </c>
      <c r="O79" s="252">
        <v>0.0747663551401869</v>
      </c>
    </row>
    <row r="80" spans="1:15">
      <c r="A80" s="242" t="s">
        <v>68</v>
      </c>
      <c r="B80" s="43" t="s">
        <v>6</v>
      </c>
      <c r="C80" s="15">
        <v>21</v>
      </c>
      <c r="D80" s="244">
        <v>3</v>
      </c>
      <c r="E80" s="244">
        <v>2</v>
      </c>
      <c r="F80" s="244">
        <v>0</v>
      </c>
      <c r="G80" s="244">
        <v>0</v>
      </c>
      <c r="H80" s="244">
        <v>3</v>
      </c>
      <c r="I80" s="244">
        <v>0</v>
      </c>
      <c r="J80" s="244">
        <v>0</v>
      </c>
      <c r="K80" s="244">
        <v>3</v>
      </c>
      <c r="L80" s="244">
        <v>2</v>
      </c>
      <c r="M80" s="244">
        <v>2</v>
      </c>
      <c r="N80" s="244">
        <v>4</v>
      </c>
      <c r="O80" s="254">
        <v>2</v>
      </c>
    </row>
    <row r="81" ht="14.25" spans="1:15">
      <c r="A81" s="245" t="s">
        <v>68</v>
      </c>
      <c r="B81" s="52" t="s">
        <v>64</v>
      </c>
      <c r="C81" s="19">
        <v>0.428571428571429</v>
      </c>
      <c r="D81" s="246">
        <v>0.375</v>
      </c>
      <c r="E81" s="246">
        <v>0.5</v>
      </c>
      <c r="F81" s="246">
        <v>0</v>
      </c>
      <c r="G81" s="246">
        <v>0</v>
      </c>
      <c r="H81" s="246">
        <v>1.5</v>
      </c>
      <c r="I81" s="246">
        <v>0</v>
      </c>
      <c r="J81" s="246">
        <v>0</v>
      </c>
      <c r="K81" s="246">
        <v>0.333333333333333</v>
      </c>
      <c r="L81" s="246">
        <v>0.4</v>
      </c>
      <c r="M81" s="246">
        <v>2</v>
      </c>
      <c r="N81" s="246">
        <v>0.8</v>
      </c>
      <c r="O81" s="255">
        <v>0.25</v>
      </c>
    </row>
    <row r="82" spans="1:15">
      <c r="A82" s="240" t="s">
        <v>69</v>
      </c>
      <c r="B82" s="47" t="s">
        <v>55</v>
      </c>
      <c r="C82" s="12">
        <v>0.845004425966616</v>
      </c>
      <c r="D82" s="241">
        <v>0.915492957746479</v>
      </c>
      <c r="E82" s="241">
        <v>0.725</v>
      </c>
      <c r="F82" s="241">
        <v>0.784615384615385</v>
      </c>
      <c r="G82" s="241">
        <v>0.920454545454545</v>
      </c>
      <c r="H82" s="241">
        <v>0.864197530864197</v>
      </c>
      <c r="I82" s="241">
        <v>0.908163265306122</v>
      </c>
      <c r="J82" s="241">
        <v>0.859504132231405</v>
      </c>
      <c r="K82" s="241">
        <v>0.76878612716763</v>
      </c>
      <c r="L82" s="241">
        <v>0.868852459016393</v>
      </c>
      <c r="M82" s="241">
        <v>0.868421052631579</v>
      </c>
      <c r="N82" s="241">
        <v>0.818181818181818</v>
      </c>
      <c r="O82" s="252">
        <v>0.838383838383838</v>
      </c>
    </row>
    <row r="83" spans="1:15">
      <c r="A83" s="242" t="s">
        <v>69</v>
      </c>
      <c r="B83" s="43" t="s">
        <v>57</v>
      </c>
      <c r="C83" s="15">
        <v>1255</v>
      </c>
      <c r="D83" s="243">
        <v>142</v>
      </c>
      <c r="E83" s="243">
        <v>80</v>
      </c>
      <c r="F83" s="243">
        <v>65</v>
      </c>
      <c r="G83" s="243">
        <v>88</v>
      </c>
      <c r="H83" s="243">
        <v>81</v>
      </c>
      <c r="I83" s="243">
        <v>98</v>
      </c>
      <c r="J83" s="243">
        <v>121</v>
      </c>
      <c r="K83" s="243">
        <v>173</v>
      </c>
      <c r="L83" s="243">
        <v>122</v>
      </c>
      <c r="M83" s="243">
        <v>76</v>
      </c>
      <c r="N83" s="243">
        <v>110</v>
      </c>
      <c r="O83" s="253">
        <v>99</v>
      </c>
    </row>
    <row r="84" spans="1:15">
      <c r="A84" s="240" t="s">
        <v>69</v>
      </c>
      <c r="B84" s="47" t="s">
        <v>59</v>
      </c>
      <c r="C84" s="15">
        <v>1061</v>
      </c>
      <c r="D84" s="243">
        <v>130</v>
      </c>
      <c r="E84" s="243">
        <v>58</v>
      </c>
      <c r="F84" s="243">
        <v>51</v>
      </c>
      <c r="G84" s="243">
        <v>81</v>
      </c>
      <c r="H84" s="243">
        <v>70</v>
      </c>
      <c r="I84" s="243">
        <v>89</v>
      </c>
      <c r="J84" s="243">
        <v>104</v>
      </c>
      <c r="K84" s="243">
        <v>133</v>
      </c>
      <c r="L84" s="243">
        <v>106</v>
      </c>
      <c r="M84" s="243">
        <v>66</v>
      </c>
      <c r="N84" s="243">
        <v>90</v>
      </c>
      <c r="O84" s="253">
        <v>83</v>
      </c>
    </row>
    <row r="85" spans="1:15">
      <c r="A85" s="242" t="s">
        <v>69</v>
      </c>
      <c r="B85" s="43" t="s">
        <v>4</v>
      </c>
      <c r="C85" s="15">
        <v>23</v>
      </c>
      <c r="D85" s="244">
        <v>1</v>
      </c>
      <c r="E85" s="244">
        <v>1</v>
      </c>
      <c r="F85" s="244">
        <v>0</v>
      </c>
      <c r="G85" s="244">
        <v>0</v>
      </c>
      <c r="H85" s="244">
        <v>1</v>
      </c>
      <c r="I85" s="244">
        <v>1</v>
      </c>
      <c r="J85" s="244">
        <v>4</v>
      </c>
      <c r="K85" s="244">
        <v>3</v>
      </c>
      <c r="L85" s="244">
        <v>3</v>
      </c>
      <c r="M85" s="244">
        <v>5</v>
      </c>
      <c r="N85" s="244">
        <v>3</v>
      </c>
      <c r="O85" s="254">
        <v>1</v>
      </c>
    </row>
    <row r="86" spans="1:15">
      <c r="A86" s="240" t="s">
        <v>69</v>
      </c>
      <c r="B86" s="47" t="s">
        <v>5</v>
      </c>
      <c r="C86" s="12">
        <v>0.0217428562031646</v>
      </c>
      <c r="D86" s="241">
        <v>0.00769230769230769</v>
      </c>
      <c r="E86" s="241">
        <v>0.0172413793103448</v>
      </c>
      <c r="F86" s="241">
        <v>0</v>
      </c>
      <c r="G86" s="241">
        <v>0</v>
      </c>
      <c r="H86" s="241">
        <v>0.0142857142857143</v>
      </c>
      <c r="I86" s="241">
        <v>0.0112359550561798</v>
      </c>
      <c r="J86" s="241">
        <v>0.0384615384615385</v>
      </c>
      <c r="K86" s="241">
        <v>0.0225563909774436</v>
      </c>
      <c r="L86" s="241">
        <v>0.0283018867924528</v>
      </c>
      <c r="M86" s="241">
        <v>0.0757575757575758</v>
      </c>
      <c r="N86" s="241">
        <v>0.0333333333333333</v>
      </c>
      <c r="O86" s="252">
        <v>0.0120481927710843</v>
      </c>
    </row>
    <row r="87" spans="1:15">
      <c r="A87" s="242" t="s">
        <v>69</v>
      </c>
      <c r="B87" s="43" t="s">
        <v>6</v>
      </c>
      <c r="C87" s="15">
        <v>9</v>
      </c>
      <c r="D87" s="244">
        <v>0</v>
      </c>
      <c r="E87" s="244">
        <v>0</v>
      </c>
      <c r="F87" s="244">
        <v>0</v>
      </c>
      <c r="G87" s="244">
        <v>0</v>
      </c>
      <c r="H87" s="244">
        <v>0</v>
      </c>
      <c r="I87" s="244">
        <v>0</v>
      </c>
      <c r="J87" s="244">
        <v>0</v>
      </c>
      <c r="K87" s="244">
        <v>3</v>
      </c>
      <c r="L87" s="244">
        <v>1</v>
      </c>
      <c r="M87" s="244">
        <v>1</v>
      </c>
      <c r="N87" s="244">
        <v>4</v>
      </c>
      <c r="O87" s="254">
        <v>0</v>
      </c>
    </row>
    <row r="88" ht="14.25" spans="1:15">
      <c r="A88" s="245" t="s">
        <v>69</v>
      </c>
      <c r="B88" s="52" t="s">
        <v>64</v>
      </c>
      <c r="C88" s="19">
        <v>0.391304347826087</v>
      </c>
      <c r="D88" s="246">
        <v>0</v>
      </c>
      <c r="E88" s="246">
        <v>0</v>
      </c>
      <c r="F88" s="246">
        <v>0</v>
      </c>
      <c r="G88" s="246">
        <v>0</v>
      </c>
      <c r="H88" s="246">
        <v>0</v>
      </c>
      <c r="I88" s="246">
        <v>0</v>
      </c>
      <c r="J88" s="246">
        <v>0</v>
      </c>
      <c r="K88" s="246">
        <v>1</v>
      </c>
      <c r="L88" s="246">
        <v>0.333333333333333</v>
      </c>
      <c r="M88" s="246">
        <v>0.2</v>
      </c>
      <c r="N88" s="246">
        <v>1.33333333333333</v>
      </c>
      <c r="O88" s="255">
        <v>0</v>
      </c>
    </row>
    <row r="89" spans="1:15">
      <c r="A89" s="240" t="s">
        <v>70</v>
      </c>
      <c r="B89" s="47" t="s">
        <v>55</v>
      </c>
      <c r="C89" s="12">
        <v>0.958376125343456</v>
      </c>
      <c r="D89" s="241">
        <v>0.790697674418605</v>
      </c>
      <c r="E89" s="241">
        <v>1.27272727272727</v>
      </c>
      <c r="F89" s="241">
        <v>0.777777777777778</v>
      </c>
      <c r="G89" s="241">
        <v>0.92</v>
      </c>
      <c r="H89" s="241">
        <v>1.10810810810811</v>
      </c>
      <c r="I89" s="241">
        <v>1.33333333333333</v>
      </c>
      <c r="J89" s="241">
        <v>0.976744186046512</v>
      </c>
      <c r="K89" s="241">
        <v>0.96551724137931</v>
      </c>
      <c r="L89" s="241">
        <v>0.928571428571429</v>
      </c>
      <c r="M89" s="241">
        <v>0.847826086956522</v>
      </c>
      <c r="N89" s="241">
        <v>0.855072463768116</v>
      </c>
      <c r="O89" s="252">
        <v>0.724137931034483</v>
      </c>
    </row>
    <row r="90" spans="1:15">
      <c r="A90" s="242" t="s">
        <v>70</v>
      </c>
      <c r="B90" s="43" t="s">
        <v>57</v>
      </c>
      <c r="C90" s="15">
        <v>500</v>
      </c>
      <c r="D90" s="243">
        <v>43</v>
      </c>
      <c r="E90" s="243">
        <v>11</v>
      </c>
      <c r="F90" s="243">
        <v>9</v>
      </c>
      <c r="G90" s="243">
        <v>25</v>
      </c>
      <c r="H90" s="243">
        <v>37</v>
      </c>
      <c r="I90" s="243">
        <v>45</v>
      </c>
      <c r="J90" s="243">
        <v>43</v>
      </c>
      <c r="K90" s="243">
        <v>58</v>
      </c>
      <c r="L90" s="243">
        <v>56</v>
      </c>
      <c r="M90" s="243">
        <v>46</v>
      </c>
      <c r="N90" s="243">
        <v>69</v>
      </c>
      <c r="O90" s="253">
        <v>58</v>
      </c>
    </row>
    <row r="91" spans="1:15">
      <c r="A91" s="240" t="s">
        <v>70</v>
      </c>
      <c r="B91" s="47" t="s">
        <v>59</v>
      </c>
      <c r="C91" s="15">
        <v>469</v>
      </c>
      <c r="D91" s="243">
        <v>34</v>
      </c>
      <c r="E91" s="243">
        <v>14</v>
      </c>
      <c r="F91" s="243">
        <v>7</v>
      </c>
      <c r="G91" s="243">
        <v>23</v>
      </c>
      <c r="H91" s="243">
        <v>41</v>
      </c>
      <c r="I91" s="243">
        <v>60</v>
      </c>
      <c r="J91" s="243">
        <v>42</v>
      </c>
      <c r="K91" s="243">
        <v>56</v>
      </c>
      <c r="L91" s="243">
        <v>52</v>
      </c>
      <c r="M91" s="243">
        <v>39</v>
      </c>
      <c r="N91" s="243">
        <v>59</v>
      </c>
      <c r="O91" s="253">
        <v>42</v>
      </c>
    </row>
    <row r="92" spans="1:15">
      <c r="A92" s="242" t="s">
        <v>70</v>
      </c>
      <c r="B92" s="43" t="s">
        <v>4</v>
      </c>
      <c r="C92" s="15">
        <v>7</v>
      </c>
      <c r="D92" s="244">
        <v>1</v>
      </c>
      <c r="E92" s="244">
        <v>0</v>
      </c>
      <c r="F92" s="244">
        <v>0</v>
      </c>
      <c r="G92" s="244">
        <v>0</v>
      </c>
      <c r="H92" s="244">
        <v>1</v>
      </c>
      <c r="I92" s="244">
        <v>1</v>
      </c>
      <c r="J92" s="244">
        <v>0</v>
      </c>
      <c r="K92" s="244">
        <v>0</v>
      </c>
      <c r="L92" s="244">
        <v>1</v>
      </c>
      <c r="M92" s="244">
        <v>1</v>
      </c>
      <c r="N92" s="244">
        <v>2</v>
      </c>
      <c r="O92" s="254">
        <v>0</v>
      </c>
    </row>
    <row r="93" spans="1:15">
      <c r="A93" s="240" t="s">
        <v>70</v>
      </c>
      <c r="B93" s="47" t="s">
        <v>5</v>
      </c>
      <c r="C93" s="12">
        <v>0.0124365646026274</v>
      </c>
      <c r="D93" s="241">
        <v>0.0294117647058824</v>
      </c>
      <c r="E93" s="241">
        <v>0</v>
      </c>
      <c r="F93" s="241">
        <v>0</v>
      </c>
      <c r="G93" s="241">
        <v>0</v>
      </c>
      <c r="H93" s="241">
        <v>0.024390243902439</v>
      </c>
      <c r="I93" s="241">
        <v>0.0166666666666667</v>
      </c>
      <c r="J93" s="241">
        <v>0</v>
      </c>
      <c r="K93" s="241">
        <v>0</v>
      </c>
      <c r="L93" s="241">
        <v>0.0192307692307692</v>
      </c>
      <c r="M93" s="241">
        <v>0.0256410256410256</v>
      </c>
      <c r="N93" s="241">
        <v>0.0338983050847458</v>
      </c>
      <c r="O93" s="252">
        <v>0</v>
      </c>
    </row>
    <row r="94" spans="1:15">
      <c r="A94" s="242" t="s">
        <v>70</v>
      </c>
      <c r="B94" s="43" t="s">
        <v>6</v>
      </c>
      <c r="C94" s="15">
        <v>3</v>
      </c>
      <c r="D94" s="244">
        <v>0</v>
      </c>
      <c r="E94" s="244">
        <v>0</v>
      </c>
      <c r="F94" s="244">
        <v>0</v>
      </c>
      <c r="G94" s="244">
        <v>0</v>
      </c>
      <c r="H94" s="244">
        <v>0</v>
      </c>
      <c r="I94" s="244">
        <v>0</v>
      </c>
      <c r="J94" s="244">
        <v>0</v>
      </c>
      <c r="K94" s="244">
        <v>0</v>
      </c>
      <c r="L94" s="244">
        <v>1</v>
      </c>
      <c r="M94" s="244">
        <v>1</v>
      </c>
      <c r="N94" s="244">
        <v>1</v>
      </c>
      <c r="O94" s="254">
        <v>0</v>
      </c>
    </row>
    <row r="95" ht="14.25" spans="1:15">
      <c r="A95" s="245" t="s">
        <v>70</v>
      </c>
      <c r="B95" s="52" t="s">
        <v>64</v>
      </c>
      <c r="C95" s="19">
        <v>0.428571428571429</v>
      </c>
      <c r="D95" s="246">
        <v>0</v>
      </c>
      <c r="E95" s="246">
        <v>0</v>
      </c>
      <c r="F95" s="246">
        <v>0</v>
      </c>
      <c r="G95" s="246">
        <v>0</v>
      </c>
      <c r="H95" s="246">
        <v>0</v>
      </c>
      <c r="I95" s="246">
        <v>0</v>
      </c>
      <c r="J95" s="246">
        <v>0</v>
      </c>
      <c r="K95" s="246">
        <v>0</v>
      </c>
      <c r="L95" s="246">
        <v>1</v>
      </c>
      <c r="M95" s="246">
        <v>1</v>
      </c>
      <c r="N95" s="246">
        <v>0.5</v>
      </c>
      <c r="O95" s="255">
        <v>0</v>
      </c>
    </row>
    <row r="96" spans="1:15">
      <c r="A96" s="240" t="s">
        <v>26</v>
      </c>
      <c r="B96" s="47" t="s">
        <v>55</v>
      </c>
      <c r="C96" s="12">
        <v>6.88254537537936</v>
      </c>
      <c r="D96" s="241">
        <v>8.48837209302326</v>
      </c>
      <c r="E96" s="241">
        <v>5.48571428571429</v>
      </c>
      <c r="F96" s="241">
        <v>6.36363636363636</v>
      </c>
      <c r="G96" s="241">
        <v>7.11764705882353</v>
      </c>
      <c r="H96" s="241">
        <v>12.2222222222222</v>
      </c>
      <c r="I96" s="241">
        <v>7.63333333333333</v>
      </c>
      <c r="J96" s="241">
        <v>8.3125</v>
      </c>
      <c r="K96" s="241">
        <v>6.45238095238095</v>
      </c>
      <c r="L96" s="241">
        <v>6.04166666666667</v>
      </c>
      <c r="M96" s="241">
        <v>5.7</v>
      </c>
      <c r="N96" s="241">
        <v>6.69565217391304</v>
      </c>
      <c r="O96" s="252">
        <v>2.07741935483871</v>
      </c>
    </row>
    <row r="97" spans="1:15">
      <c r="A97" s="242" t="s">
        <v>26</v>
      </c>
      <c r="B97" s="43" t="s">
        <v>57</v>
      </c>
      <c r="C97" s="15">
        <v>528</v>
      </c>
      <c r="D97" s="243">
        <v>43</v>
      </c>
      <c r="E97" s="243">
        <v>35</v>
      </c>
      <c r="F97" s="243">
        <v>22</v>
      </c>
      <c r="G97" s="243">
        <v>17</v>
      </c>
      <c r="H97" s="243">
        <v>18</v>
      </c>
      <c r="I97" s="243">
        <v>30</v>
      </c>
      <c r="J97" s="243">
        <v>32</v>
      </c>
      <c r="K97" s="243">
        <v>42</v>
      </c>
      <c r="L97" s="243">
        <v>48</v>
      </c>
      <c r="M97" s="243">
        <v>40</v>
      </c>
      <c r="N97" s="243">
        <v>46</v>
      </c>
      <c r="O97" s="253">
        <v>155</v>
      </c>
    </row>
    <row r="98" spans="1:15">
      <c r="A98" s="240" t="s">
        <v>26</v>
      </c>
      <c r="B98" s="47" t="s">
        <v>59</v>
      </c>
      <c r="C98" s="15">
        <v>2952</v>
      </c>
      <c r="D98" s="243">
        <v>365</v>
      </c>
      <c r="E98" s="243">
        <v>192</v>
      </c>
      <c r="F98" s="243">
        <v>140</v>
      </c>
      <c r="G98" s="243">
        <v>121</v>
      </c>
      <c r="H98" s="243">
        <v>220</v>
      </c>
      <c r="I98" s="243">
        <v>229</v>
      </c>
      <c r="J98" s="243">
        <v>266</v>
      </c>
      <c r="K98" s="243">
        <v>271</v>
      </c>
      <c r="L98" s="243">
        <v>290</v>
      </c>
      <c r="M98" s="243">
        <v>228</v>
      </c>
      <c r="N98" s="243">
        <v>308</v>
      </c>
      <c r="O98" s="253">
        <v>322</v>
      </c>
    </row>
    <row r="99" spans="1:15">
      <c r="A99" s="242" t="s">
        <v>26</v>
      </c>
      <c r="B99" s="43" t="s">
        <v>4</v>
      </c>
      <c r="C99" s="15">
        <v>90</v>
      </c>
      <c r="D99" s="244">
        <v>12</v>
      </c>
      <c r="E99" s="244">
        <v>8</v>
      </c>
      <c r="F99" s="244">
        <v>1</v>
      </c>
      <c r="G99" s="244">
        <v>3</v>
      </c>
      <c r="H99" s="244">
        <v>3</v>
      </c>
      <c r="I99" s="244">
        <v>6</v>
      </c>
      <c r="J99" s="244">
        <v>13</v>
      </c>
      <c r="K99" s="244">
        <v>7</v>
      </c>
      <c r="L99" s="244">
        <v>10</v>
      </c>
      <c r="M99" s="244">
        <v>6</v>
      </c>
      <c r="N99" s="244">
        <v>9</v>
      </c>
      <c r="O99" s="254">
        <v>12</v>
      </c>
    </row>
    <row r="100" spans="1:15">
      <c r="A100" s="240" t="s">
        <v>26</v>
      </c>
      <c r="B100" s="47" t="s">
        <v>5</v>
      </c>
      <c r="C100" s="12">
        <v>0.0290254756984215</v>
      </c>
      <c r="D100" s="241">
        <v>0.0328767123287671</v>
      </c>
      <c r="E100" s="241">
        <v>0.0416666666666667</v>
      </c>
      <c r="F100" s="241">
        <v>0.00714285714285714</v>
      </c>
      <c r="G100" s="241">
        <v>0.0247933884297521</v>
      </c>
      <c r="H100" s="241">
        <v>0.0136363636363636</v>
      </c>
      <c r="I100" s="241">
        <v>0.0262008733624454</v>
      </c>
      <c r="J100" s="241">
        <v>0.0488721804511278</v>
      </c>
      <c r="K100" s="241">
        <v>0.025830258302583</v>
      </c>
      <c r="L100" s="241">
        <v>0.0344827586206897</v>
      </c>
      <c r="M100" s="241">
        <v>0.0263157894736842</v>
      </c>
      <c r="N100" s="241">
        <v>0.0292207792207792</v>
      </c>
      <c r="O100" s="252">
        <v>0.0372670807453416</v>
      </c>
    </row>
    <row r="101" spans="1:15">
      <c r="A101" s="242" t="s">
        <v>26</v>
      </c>
      <c r="B101" s="43" t="s">
        <v>6</v>
      </c>
      <c r="C101" s="15">
        <v>21</v>
      </c>
      <c r="D101" s="244">
        <v>5</v>
      </c>
      <c r="E101" s="244">
        <v>2</v>
      </c>
      <c r="F101" s="244">
        <v>0</v>
      </c>
      <c r="G101" s="244">
        <v>2</v>
      </c>
      <c r="H101" s="244">
        <v>0</v>
      </c>
      <c r="I101" s="244">
        <v>2</v>
      </c>
      <c r="J101" s="244">
        <v>1</v>
      </c>
      <c r="K101" s="244">
        <v>4</v>
      </c>
      <c r="L101" s="244">
        <v>2</v>
      </c>
      <c r="M101" s="244">
        <v>0</v>
      </c>
      <c r="N101" s="244">
        <v>1</v>
      </c>
      <c r="O101" s="254">
        <v>2</v>
      </c>
    </row>
    <row r="102" ht="14.25" spans="1:15">
      <c r="A102" s="245" t="s">
        <v>26</v>
      </c>
      <c r="B102" s="52" t="s">
        <v>64</v>
      </c>
      <c r="C102" s="19">
        <v>0.233333333333333</v>
      </c>
      <c r="D102" s="250">
        <v>5</v>
      </c>
      <c r="E102" s="250">
        <v>2</v>
      </c>
      <c r="F102" s="250">
        <v>0</v>
      </c>
      <c r="G102" s="250">
        <v>2</v>
      </c>
      <c r="H102" s="250">
        <v>0</v>
      </c>
      <c r="I102" s="250">
        <v>2</v>
      </c>
      <c r="J102" s="250">
        <v>1</v>
      </c>
      <c r="K102" s="250">
        <v>4</v>
      </c>
      <c r="L102" s="250">
        <v>2</v>
      </c>
      <c r="M102" s="250">
        <v>0</v>
      </c>
      <c r="N102" s="250">
        <v>1</v>
      </c>
      <c r="O102" s="257">
        <v>2</v>
      </c>
    </row>
    <row r="103" ht="14.25" spans="1:15">
      <c r="A103" s="237">
        <v>45019</v>
      </c>
      <c r="B103" s="237"/>
      <c r="C103" s="237"/>
      <c r="D103" s="237"/>
      <c r="E103" s="237"/>
      <c r="F103" s="237"/>
      <c r="G103" s="237"/>
      <c r="H103" s="237"/>
      <c r="I103" s="237"/>
      <c r="J103" s="237"/>
      <c r="K103" s="237"/>
      <c r="L103" s="237"/>
      <c r="M103" s="237"/>
      <c r="N103" s="237"/>
      <c r="O103" s="237"/>
    </row>
    <row r="104" spans="1:15">
      <c r="A104" s="56" t="s">
        <v>1</v>
      </c>
      <c r="B104" s="238"/>
      <c r="C104" s="8" t="s">
        <v>42</v>
      </c>
      <c r="D104" s="239" t="s">
        <v>43</v>
      </c>
      <c r="E104" s="239" t="s">
        <v>44</v>
      </c>
      <c r="F104" s="239" t="s">
        <v>45</v>
      </c>
      <c r="G104" s="239" t="s">
        <v>46</v>
      </c>
      <c r="H104" s="239" t="s">
        <v>47</v>
      </c>
      <c r="I104" s="239" t="s">
        <v>48</v>
      </c>
      <c r="J104" s="239" t="s">
        <v>49</v>
      </c>
      <c r="K104" s="239" t="s">
        <v>50</v>
      </c>
      <c r="L104" s="239" t="s">
        <v>51</v>
      </c>
      <c r="M104" s="239" t="s">
        <v>52</v>
      </c>
      <c r="N104" s="239" t="s">
        <v>53</v>
      </c>
      <c r="O104" s="251" t="s">
        <v>54</v>
      </c>
    </row>
    <row r="105" spans="1:15">
      <c r="A105" s="240" t="s">
        <v>22</v>
      </c>
      <c r="B105" s="47" t="s">
        <v>55</v>
      </c>
      <c r="C105" s="12">
        <v>0.36310750192195</v>
      </c>
      <c r="D105" s="241">
        <v>0.318725099601594</v>
      </c>
      <c r="E105" s="241">
        <v>0.220802919708029</v>
      </c>
      <c r="F105" s="241">
        <v>0.214285714285714</v>
      </c>
      <c r="G105" s="241">
        <v>0.303405572755418</v>
      </c>
      <c r="H105" s="241">
        <v>0.360824742268041</v>
      </c>
      <c r="I105" s="241">
        <v>0.451612903225806</v>
      </c>
      <c r="J105" s="241">
        <v>0.333333333333333</v>
      </c>
      <c r="K105" s="241">
        <v>0.359090909090909</v>
      </c>
      <c r="L105" s="241">
        <v>0.430730478589421</v>
      </c>
      <c r="M105" s="241">
        <v>0.477572559366755</v>
      </c>
      <c r="N105" s="241">
        <v>0.429213483146067</v>
      </c>
      <c r="O105" s="252">
        <v>0.457692307692308</v>
      </c>
    </row>
    <row r="106" spans="1:15">
      <c r="A106" s="242" t="s">
        <v>22</v>
      </c>
      <c r="B106" s="43" t="s">
        <v>57</v>
      </c>
      <c r="C106" s="15">
        <v>5275</v>
      </c>
      <c r="D106" s="243">
        <v>753</v>
      </c>
      <c r="E106" s="243">
        <v>548</v>
      </c>
      <c r="F106" s="243">
        <v>336</v>
      </c>
      <c r="G106" s="243">
        <v>323</v>
      </c>
      <c r="H106" s="243">
        <v>388</v>
      </c>
      <c r="I106" s="243">
        <v>341</v>
      </c>
      <c r="J106" s="243">
        <v>405</v>
      </c>
      <c r="K106" s="243">
        <v>440</v>
      </c>
      <c r="L106" s="243">
        <v>397</v>
      </c>
      <c r="M106" s="243">
        <v>379</v>
      </c>
      <c r="N106" s="243">
        <v>445</v>
      </c>
      <c r="O106" s="253">
        <v>520</v>
      </c>
    </row>
    <row r="107" spans="1:15">
      <c r="A107" s="240" t="s">
        <v>22</v>
      </c>
      <c r="B107" s="47" t="s">
        <v>59</v>
      </c>
      <c r="C107" s="15">
        <v>1899</v>
      </c>
      <c r="D107" s="243">
        <v>240</v>
      </c>
      <c r="E107" s="243">
        <v>121</v>
      </c>
      <c r="F107" s="243">
        <v>72</v>
      </c>
      <c r="G107" s="243">
        <v>98</v>
      </c>
      <c r="H107" s="243">
        <v>140</v>
      </c>
      <c r="I107" s="243">
        <v>154</v>
      </c>
      <c r="J107" s="243">
        <v>135</v>
      </c>
      <c r="K107" s="243">
        <v>158</v>
      </c>
      <c r="L107" s="243">
        <v>171</v>
      </c>
      <c r="M107" s="243">
        <v>181</v>
      </c>
      <c r="N107" s="243">
        <v>191</v>
      </c>
      <c r="O107" s="253">
        <v>238</v>
      </c>
    </row>
    <row r="108" spans="1:15">
      <c r="A108" s="242" t="s">
        <v>22</v>
      </c>
      <c r="B108" s="43" t="s">
        <v>4</v>
      </c>
      <c r="C108" s="15">
        <v>131</v>
      </c>
      <c r="D108" s="244">
        <v>18</v>
      </c>
      <c r="E108" s="244">
        <v>8</v>
      </c>
      <c r="F108" s="244">
        <v>8</v>
      </c>
      <c r="G108" s="244">
        <v>9</v>
      </c>
      <c r="H108" s="244">
        <v>9</v>
      </c>
      <c r="I108" s="244">
        <v>11</v>
      </c>
      <c r="J108" s="244">
        <v>11</v>
      </c>
      <c r="K108" s="244">
        <v>9</v>
      </c>
      <c r="L108" s="244">
        <v>11</v>
      </c>
      <c r="M108" s="244">
        <v>6</v>
      </c>
      <c r="N108" s="244">
        <v>15</v>
      </c>
      <c r="O108" s="254">
        <v>16</v>
      </c>
    </row>
    <row r="109" spans="1:15">
      <c r="A109" s="240" t="s">
        <v>22</v>
      </c>
      <c r="B109" s="47" t="s">
        <v>5</v>
      </c>
      <c r="C109" s="12">
        <v>0.0717882433014417</v>
      </c>
      <c r="D109" s="241">
        <v>0.075</v>
      </c>
      <c r="E109" s="241">
        <v>0.0661157024793388</v>
      </c>
      <c r="F109" s="241">
        <v>0.111111111111111</v>
      </c>
      <c r="G109" s="241">
        <v>0.0918367346938776</v>
      </c>
      <c r="H109" s="241">
        <v>0.0642857142857143</v>
      </c>
      <c r="I109" s="241">
        <v>0.0714285714285714</v>
      </c>
      <c r="J109" s="241">
        <v>0.0814814814814815</v>
      </c>
      <c r="K109" s="241">
        <v>0.0569620253164557</v>
      </c>
      <c r="L109" s="241">
        <v>0.064327485380117</v>
      </c>
      <c r="M109" s="241">
        <v>0.0331491712707182</v>
      </c>
      <c r="N109" s="241">
        <v>0.0785340314136126</v>
      </c>
      <c r="O109" s="252">
        <v>0.0672268907563025</v>
      </c>
    </row>
    <row r="110" spans="1:15">
      <c r="A110" s="242" t="s">
        <v>22</v>
      </c>
      <c r="B110" s="43" t="s">
        <v>6</v>
      </c>
      <c r="C110" s="15">
        <v>39</v>
      </c>
      <c r="D110" s="244">
        <v>8</v>
      </c>
      <c r="E110" s="244">
        <v>2</v>
      </c>
      <c r="F110" s="244">
        <v>3</v>
      </c>
      <c r="G110" s="244">
        <v>2</v>
      </c>
      <c r="H110" s="244">
        <v>1</v>
      </c>
      <c r="I110" s="244">
        <v>4</v>
      </c>
      <c r="J110" s="244">
        <v>3</v>
      </c>
      <c r="K110" s="244">
        <v>3</v>
      </c>
      <c r="L110" s="244">
        <v>1</v>
      </c>
      <c r="M110" s="244">
        <v>5</v>
      </c>
      <c r="N110" s="244">
        <v>4</v>
      </c>
      <c r="O110" s="254">
        <v>3</v>
      </c>
    </row>
    <row r="111" ht="14.25" spans="1:15">
      <c r="A111" s="245" t="s">
        <v>22</v>
      </c>
      <c r="B111" s="52" t="s">
        <v>64</v>
      </c>
      <c r="C111" s="19">
        <v>0.297709923664122</v>
      </c>
      <c r="D111" s="246">
        <v>0.444444444444444</v>
      </c>
      <c r="E111" s="246">
        <v>0.25</v>
      </c>
      <c r="F111" s="246">
        <v>0.375</v>
      </c>
      <c r="G111" s="246">
        <v>0.222222222222222</v>
      </c>
      <c r="H111" s="246">
        <v>0.111111111111111</v>
      </c>
      <c r="I111" s="246">
        <v>0.363636363636364</v>
      </c>
      <c r="J111" s="246">
        <v>0.272727272727273</v>
      </c>
      <c r="K111" s="246">
        <v>0.333333333333333</v>
      </c>
      <c r="L111" s="246">
        <v>0.0909090909090909</v>
      </c>
      <c r="M111" s="246">
        <v>0.833333333333333</v>
      </c>
      <c r="N111" s="246">
        <v>0.266666666666667</v>
      </c>
      <c r="O111" s="255">
        <v>0.1875</v>
      </c>
    </row>
    <row r="112" spans="1:15">
      <c r="A112" s="247" t="s">
        <v>66</v>
      </c>
      <c r="B112" s="248" t="s">
        <v>55</v>
      </c>
      <c r="C112" s="12">
        <v>0.124767341524942</v>
      </c>
      <c r="D112" s="249">
        <v>0.106609808102345</v>
      </c>
      <c r="E112" s="249">
        <v>0.0629370629370629</v>
      </c>
      <c r="F112" s="249">
        <v>0.0481099656357388</v>
      </c>
      <c r="G112" s="249">
        <v>0.0956937799043062</v>
      </c>
      <c r="H112" s="249">
        <v>0.149797570850202</v>
      </c>
      <c r="I112" s="249">
        <v>0.108695652173913</v>
      </c>
      <c r="J112" s="249">
        <v>0.214611872146119</v>
      </c>
      <c r="K112" s="249">
        <v>0.146953405017921</v>
      </c>
      <c r="L112" s="249">
        <v>0.165938864628821</v>
      </c>
      <c r="M112" s="249">
        <v>0.157608695652174</v>
      </c>
      <c r="N112" s="249">
        <v>0.115942028985507</v>
      </c>
      <c r="O112" s="256">
        <v>0.124309392265193</v>
      </c>
    </row>
    <row r="113" spans="1:15">
      <c r="A113" s="242" t="s">
        <v>66</v>
      </c>
      <c r="B113" s="43" t="s">
        <v>57</v>
      </c>
      <c r="C113" s="15">
        <v>3424</v>
      </c>
      <c r="D113" s="243">
        <v>469</v>
      </c>
      <c r="E113" s="243">
        <v>429</v>
      </c>
      <c r="F113" s="243">
        <v>291</v>
      </c>
      <c r="G113" s="243">
        <v>209</v>
      </c>
      <c r="H113" s="243">
        <v>247</v>
      </c>
      <c r="I113" s="243">
        <v>230</v>
      </c>
      <c r="J113" s="243">
        <v>219</v>
      </c>
      <c r="K113" s="243">
        <v>279</v>
      </c>
      <c r="L113" s="243">
        <v>229</v>
      </c>
      <c r="M113" s="243">
        <v>184</v>
      </c>
      <c r="N113" s="243">
        <v>276</v>
      </c>
      <c r="O113" s="253">
        <v>362</v>
      </c>
    </row>
    <row r="114" spans="1:15">
      <c r="A114" s="240" t="s">
        <v>66</v>
      </c>
      <c r="B114" s="47" t="s">
        <v>59</v>
      </c>
      <c r="C114" s="15">
        <v>405</v>
      </c>
      <c r="D114" s="243">
        <v>50</v>
      </c>
      <c r="E114" s="243">
        <v>27</v>
      </c>
      <c r="F114" s="243">
        <v>14</v>
      </c>
      <c r="G114" s="243">
        <v>20</v>
      </c>
      <c r="H114" s="243">
        <v>37</v>
      </c>
      <c r="I114" s="243">
        <v>25</v>
      </c>
      <c r="J114" s="243">
        <v>47</v>
      </c>
      <c r="K114" s="243">
        <v>41</v>
      </c>
      <c r="L114" s="243">
        <v>38</v>
      </c>
      <c r="M114" s="243">
        <v>29</v>
      </c>
      <c r="N114" s="243">
        <v>32</v>
      </c>
      <c r="O114" s="253">
        <v>45</v>
      </c>
    </row>
    <row r="115" spans="1:15">
      <c r="A115" s="242" t="s">
        <v>66</v>
      </c>
      <c r="B115" s="43" t="s">
        <v>4</v>
      </c>
      <c r="C115" s="15">
        <v>51</v>
      </c>
      <c r="D115" s="244">
        <v>10</v>
      </c>
      <c r="E115" s="244">
        <v>3</v>
      </c>
      <c r="F115" s="244">
        <v>2</v>
      </c>
      <c r="G115" s="244">
        <v>1</v>
      </c>
      <c r="H115" s="244">
        <v>6</v>
      </c>
      <c r="I115" s="244">
        <v>2</v>
      </c>
      <c r="J115" s="244">
        <v>4</v>
      </c>
      <c r="K115" s="244">
        <v>6</v>
      </c>
      <c r="L115" s="244">
        <v>7</v>
      </c>
      <c r="M115" s="244">
        <v>5</v>
      </c>
      <c r="N115" s="244">
        <v>3</v>
      </c>
      <c r="O115" s="254">
        <v>2</v>
      </c>
    </row>
    <row r="116" spans="1:15">
      <c r="A116" s="240" t="s">
        <v>66</v>
      </c>
      <c r="B116" s="47" t="s">
        <v>5</v>
      </c>
      <c r="C116" s="12">
        <v>0.122699752198955</v>
      </c>
      <c r="D116" s="241">
        <v>0.2</v>
      </c>
      <c r="E116" s="241">
        <v>0.111111111111111</v>
      </c>
      <c r="F116" s="241">
        <v>0.142857142857143</v>
      </c>
      <c r="G116" s="241">
        <v>0.05</v>
      </c>
      <c r="H116" s="241">
        <v>0.162162162162162</v>
      </c>
      <c r="I116" s="241">
        <v>0.08</v>
      </c>
      <c r="J116" s="241">
        <v>0.0851063829787234</v>
      </c>
      <c r="K116" s="241">
        <v>0.146341463414634</v>
      </c>
      <c r="L116" s="241">
        <v>0.184210526315789</v>
      </c>
      <c r="M116" s="241">
        <v>0.172413793103448</v>
      </c>
      <c r="N116" s="241">
        <v>0.09375</v>
      </c>
      <c r="O116" s="252">
        <v>0.0444444444444444</v>
      </c>
    </row>
    <row r="117" spans="1:15">
      <c r="A117" s="242" t="s">
        <v>66</v>
      </c>
      <c r="B117" s="43" t="s">
        <v>6</v>
      </c>
      <c r="C117" s="15">
        <v>23</v>
      </c>
      <c r="D117" s="244">
        <v>3</v>
      </c>
      <c r="E117" s="244">
        <v>2</v>
      </c>
      <c r="F117" s="244">
        <v>0</v>
      </c>
      <c r="G117" s="244">
        <v>0</v>
      </c>
      <c r="H117" s="244">
        <v>2</v>
      </c>
      <c r="I117" s="244">
        <v>1</v>
      </c>
      <c r="J117" s="244">
        <v>5</v>
      </c>
      <c r="K117" s="244">
        <v>2</v>
      </c>
      <c r="L117" s="244">
        <v>3</v>
      </c>
      <c r="M117" s="244">
        <v>4</v>
      </c>
      <c r="N117" s="244">
        <v>1</v>
      </c>
      <c r="O117" s="254">
        <v>0</v>
      </c>
    </row>
    <row r="118" ht="14.25" spans="1:15">
      <c r="A118" s="245" t="s">
        <v>66</v>
      </c>
      <c r="B118" s="52" t="s">
        <v>64</v>
      </c>
      <c r="C118" s="19">
        <v>0.450980392156863</v>
      </c>
      <c r="D118" s="246">
        <v>0.3</v>
      </c>
      <c r="E118" s="246">
        <v>0.666666666666667</v>
      </c>
      <c r="F118" s="246">
        <v>0</v>
      </c>
      <c r="G118" s="246">
        <v>0</v>
      </c>
      <c r="H118" s="246">
        <v>0.333333333333333</v>
      </c>
      <c r="I118" s="246">
        <v>0.5</v>
      </c>
      <c r="J118" s="246">
        <v>1.25</v>
      </c>
      <c r="K118" s="246">
        <v>0.333333333333333</v>
      </c>
      <c r="L118" s="246">
        <v>0.428571428571429</v>
      </c>
      <c r="M118" s="246">
        <v>0.8</v>
      </c>
      <c r="N118" s="246">
        <v>0.333333333333333</v>
      </c>
      <c r="O118" s="255">
        <v>0</v>
      </c>
    </row>
    <row r="119" spans="1:15">
      <c r="A119" s="240" t="s">
        <v>67</v>
      </c>
      <c r="B119" s="47" t="s">
        <v>55</v>
      </c>
      <c r="C119" s="12">
        <v>0.695103306211211</v>
      </c>
      <c r="D119" s="241">
        <v>0.8875</v>
      </c>
      <c r="E119" s="241">
        <v>0.658536585365854</v>
      </c>
      <c r="F119" s="241">
        <v>0.944444444444444</v>
      </c>
      <c r="G119" s="241">
        <v>0.8125</v>
      </c>
      <c r="H119" s="241">
        <v>1.02439024390244</v>
      </c>
      <c r="I119" s="241">
        <v>0.6</v>
      </c>
      <c r="J119" s="241">
        <v>0.836734693877551</v>
      </c>
      <c r="K119" s="241">
        <v>0.592592592592593</v>
      </c>
      <c r="L119" s="241">
        <v>0.492307692307692</v>
      </c>
      <c r="M119" s="241">
        <v>0.492753623188406</v>
      </c>
      <c r="N119" s="241">
        <v>0.493150684931507</v>
      </c>
      <c r="O119" s="252">
        <v>0.506329113924051</v>
      </c>
    </row>
    <row r="120" spans="1:15">
      <c r="A120" s="242" t="s">
        <v>67</v>
      </c>
      <c r="B120" s="43" t="s">
        <v>57</v>
      </c>
      <c r="C120" s="15">
        <v>656</v>
      </c>
      <c r="D120" s="243">
        <v>80</v>
      </c>
      <c r="E120" s="243">
        <v>41</v>
      </c>
      <c r="F120" s="243">
        <v>18</v>
      </c>
      <c r="G120" s="243">
        <v>32</v>
      </c>
      <c r="H120" s="243">
        <v>41</v>
      </c>
      <c r="I120" s="243">
        <v>55</v>
      </c>
      <c r="J120" s="243">
        <v>49</v>
      </c>
      <c r="K120" s="243">
        <v>54</v>
      </c>
      <c r="L120" s="243">
        <v>65</v>
      </c>
      <c r="M120" s="243">
        <v>69</v>
      </c>
      <c r="N120" s="243">
        <v>73</v>
      </c>
      <c r="O120" s="253">
        <v>79</v>
      </c>
    </row>
    <row r="121" spans="1:15">
      <c r="A121" s="240" t="s">
        <v>67</v>
      </c>
      <c r="B121" s="47" t="s">
        <v>59</v>
      </c>
      <c r="C121" s="15">
        <v>431</v>
      </c>
      <c r="D121" s="243">
        <v>71</v>
      </c>
      <c r="E121" s="243">
        <v>27</v>
      </c>
      <c r="F121" s="243">
        <v>17</v>
      </c>
      <c r="G121" s="243">
        <v>26</v>
      </c>
      <c r="H121" s="243">
        <v>42</v>
      </c>
      <c r="I121" s="243">
        <v>33</v>
      </c>
      <c r="J121" s="243">
        <v>41</v>
      </c>
      <c r="K121" s="243">
        <v>32</v>
      </c>
      <c r="L121" s="243">
        <v>32</v>
      </c>
      <c r="M121" s="243">
        <v>34</v>
      </c>
      <c r="N121" s="243">
        <v>36</v>
      </c>
      <c r="O121" s="253">
        <v>40</v>
      </c>
    </row>
    <row r="122" spans="1:15">
      <c r="A122" s="242" t="s">
        <v>67</v>
      </c>
      <c r="B122" s="43" t="s">
        <v>4</v>
      </c>
      <c r="C122" s="15">
        <v>22</v>
      </c>
      <c r="D122" s="244">
        <v>0</v>
      </c>
      <c r="E122" s="244">
        <v>3</v>
      </c>
      <c r="F122" s="244">
        <v>0</v>
      </c>
      <c r="G122" s="244">
        <v>1</v>
      </c>
      <c r="H122" s="244">
        <v>1</v>
      </c>
      <c r="I122" s="244">
        <v>3</v>
      </c>
      <c r="J122" s="244">
        <v>2</v>
      </c>
      <c r="K122" s="244">
        <v>4</v>
      </c>
      <c r="L122" s="244">
        <v>2</v>
      </c>
      <c r="M122" s="244">
        <v>1</v>
      </c>
      <c r="N122" s="244">
        <v>3</v>
      </c>
      <c r="O122" s="254">
        <v>2</v>
      </c>
    </row>
    <row r="123" spans="1:15">
      <c r="A123" s="240" t="s">
        <v>67</v>
      </c>
      <c r="B123" s="47" t="s">
        <v>5</v>
      </c>
      <c r="C123" s="12">
        <v>0.0552764041779465</v>
      </c>
      <c r="D123" s="241">
        <v>0</v>
      </c>
      <c r="E123" s="241">
        <v>0.111111111111111</v>
      </c>
      <c r="F123" s="241">
        <v>0</v>
      </c>
      <c r="G123" s="241">
        <v>0.0384615384615385</v>
      </c>
      <c r="H123" s="241">
        <v>0.0238095238095238</v>
      </c>
      <c r="I123" s="241">
        <v>0.0909090909090909</v>
      </c>
      <c r="J123" s="241">
        <v>0.0487804878048781</v>
      </c>
      <c r="K123" s="241">
        <v>0.125</v>
      </c>
      <c r="L123" s="241">
        <v>0.0625</v>
      </c>
      <c r="M123" s="241">
        <v>0.0294117647058824</v>
      </c>
      <c r="N123" s="241">
        <v>0.0833333333333333</v>
      </c>
      <c r="O123" s="252">
        <v>0.05</v>
      </c>
    </row>
    <row r="124" spans="1:15">
      <c r="A124" s="242" t="s">
        <v>67</v>
      </c>
      <c r="B124" s="43" t="s">
        <v>6</v>
      </c>
      <c r="C124" s="15">
        <v>14</v>
      </c>
      <c r="D124" s="244">
        <v>2</v>
      </c>
      <c r="E124" s="244">
        <v>1</v>
      </c>
      <c r="F124" s="244">
        <v>1</v>
      </c>
      <c r="G124" s="244">
        <v>0</v>
      </c>
      <c r="H124" s="244">
        <v>2</v>
      </c>
      <c r="I124" s="244">
        <v>2</v>
      </c>
      <c r="J124" s="244">
        <v>0</v>
      </c>
      <c r="K124" s="244">
        <v>2</v>
      </c>
      <c r="L124" s="244">
        <v>0</v>
      </c>
      <c r="M124" s="244">
        <v>1</v>
      </c>
      <c r="N124" s="244">
        <v>3</v>
      </c>
      <c r="O124" s="254">
        <v>0</v>
      </c>
    </row>
    <row r="125" ht="14.25" spans="1:15">
      <c r="A125" s="245" t="s">
        <v>67</v>
      </c>
      <c r="B125" s="52" t="s">
        <v>64</v>
      </c>
      <c r="C125" s="19">
        <v>0.636363636363636</v>
      </c>
      <c r="D125" s="246">
        <v>0</v>
      </c>
      <c r="E125" s="246">
        <v>0.333333333333333</v>
      </c>
      <c r="F125" s="246">
        <v>0</v>
      </c>
      <c r="G125" s="246">
        <v>0</v>
      </c>
      <c r="H125" s="246">
        <v>2</v>
      </c>
      <c r="I125" s="246">
        <v>0.666666666666667</v>
      </c>
      <c r="J125" s="246">
        <v>0</v>
      </c>
      <c r="K125" s="246">
        <v>0.5</v>
      </c>
      <c r="L125" s="246">
        <v>0</v>
      </c>
      <c r="M125" s="246">
        <v>1</v>
      </c>
      <c r="N125" s="246">
        <v>1</v>
      </c>
      <c r="O125" s="255">
        <v>0</v>
      </c>
    </row>
    <row r="126" spans="1:15">
      <c r="A126" s="240" t="s">
        <v>68</v>
      </c>
      <c r="B126" s="47" t="s">
        <v>55</v>
      </c>
      <c r="C126" s="12">
        <v>0.157553968801029</v>
      </c>
      <c r="D126" s="241">
        <v>0.310185185185185</v>
      </c>
      <c r="E126" s="241">
        <v>0.27027027027027</v>
      </c>
      <c r="F126" s="241">
        <v>0.225663716814159</v>
      </c>
      <c r="G126" s="241">
        <v>0.135658914728682</v>
      </c>
      <c r="H126" s="241">
        <v>0.161290322580645</v>
      </c>
      <c r="I126" s="241">
        <v>0.149359886201991</v>
      </c>
      <c r="J126" s="241">
        <v>0.158050221565731</v>
      </c>
      <c r="K126" s="241">
        <v>0.149321266968326</v>
      </c>
      <c r="L126" s="241">
        <v>0.148414985590778</v>
      </c>
      <c r="M126" s="241">
        <v>0.0607763023493361</v>
      </c>
      <c r="N126" s="241">
        <v>0.0642722117202268</v>
      </c>
      <c r="O126" s="252">
        <v>0.0573843416370107</v>
      </c>
    </row>
    <row r="127" spans="1:15">
      <c r="A127" s="242" t="s">
        <v>68</v>
      </c>
      <c r="B127" s="43" t="s">
        <v>57</v>
      </c>
      <c r="C127" s="15">
        <v>11168</v>
      </c>
      <c r="D127" s="243">
        <v>432</v>
      </c>
      <c r="E127" s="243">
        <v>222</v>
      </c>
      <c r="F127" s="243">
        <v>226</v>
      </c>
      <c r="G127" s="243">
        <v>516</v>
      </c>
      <c r="H127" s="243">
        <v>713</v>
      </c>
      <c r="I127" s="243">
        <v>703</v>
      </c>
      <c r="J127" s="243">
        <v>677</v>
      </c>
      <c r="K127" s="243">
        <v>663</v>
      </c>
      <c r="L127" s="243">
        <v>694</v>
      </c>
      <c r="M127" s="243">
        <v>1958</v>
      </c>
      <c r="N127" s="243">
        <v>2116</v>
      </c>
      <c r="O127" s="253">
        <v>2248</v>
      </c>
    </row>
    <row r="128" spans="1:15">
      <c r="A128" s="240" t="s">
        <v>68</v>
      </c>
      <c r="B128" s="47" t="s">
        <v>59</v>
      </c>
      <c r="C128" s="15">
        <v>1228</v>
      </c>
      <c r="D128" s="243">
        <v>134</v>
      </c>
      <c r="E128" s="243">
        <v>60</v>
      </c>
      <c r="F128" s="243">
        <v>51</v>
      </c>
      <c r="G128" s="243">
        <v>70</v>
      </c>
      <c r="H128" s="243">
        <v>115</v>
      </c>
      <c r="I128" s="243">
        <v>105</v>
      </c>
      <c r="J128" s="243">
        <v>107</v>
      </c>
      <c r="K128" s="243">
        <v>99</v>
      </c>
      <c r="L128" s="243">
        <v>103</v>
      </c>
      <c r="M128" s="243">
        <v>119</v>
      </c>
      <c r="N128" s="243">
        <v>136</v>
      </c>
      <c r="O128" s="253">
        <v>129</v>
      </c>
    </row>
    <row r="129" spans="1:15">
      <c r="A129" s="242" t="s">
        <v>68</v>
      </c>
      <c r="B129" s="43" t="s">
        <v>4</v>
      </c>
      <c r="C129" s="15">
        <v>57</v>
      </c>
      <c r="D129" s="244">
        <v>5</v>
      </c>
      <c r="E129" s="244">
        <v>8</v>
      </c>
      <c r="F129" s="244">
        <v>3</v>
      </c>
      <c r="G129" s="244">
        <v>2</v>
      </c>
      <c r="H129" s="244">
        <v>4</v>
      </c>
      <c r="I129" s="244">
        <v>6</v>
      </c>
      <c r="J129" s="244">
        <v>6</v>
      </c>
      <c r="K129" s="244">
        <v>7</v>
      </c>
      <c r="L129" s="244">
        <v>3</v>
      </c>
      <c r="M129" s="244">
        <v>2</v>
      </c>
      <c r="N129" s="244">
        <v>4</v>
      </c>
      <c r="O129" s="254">
        <v>7</v>
      </c>
    </row>
    <row r="130" spans="1:15">
      <c r="A130" s="240" t="s">
        <v>68</v>
      </c>
      <c r="B130" s="47" t="s">
        <v>5</v>
      </c>
      <c r="C130" s="12">
        <v>0.050529774494311</v>
      </c>
      <c r="D130" s="241">
        <v>0.0373134328358209</v>
      </c>
      <c r="E130" s="241">
        <v>0.133333333333333</v>
      </c>
      <c r="F130" s="241">
        <v>0.0588235294117647</v>
      </c>
      <c r="G130" s="241">
        <v>0.0285714285714286</v>
      </c>
      <c r="H130" s="241">
        <v>0.0347826086956522</v>
      </c>
      <c r="I130" s="241">
        <v>0.0571428571428571</v>
      </c>
      <c r="J130" s="241">
        <v>0.0560747663551402</v>
      </c>
      <c r="K130" s="241">
        <v>0.0707070707070707</v>
      </c>
      <c r="L130" s="241">
        <v>0.029126213592233</v>
      </c>
      <c r="M130" s="241">
        <v>0.0168067226890756</v>
      </c>
      <c r="N130" s="241">
        <v>0.0294117647058824</v>
      </c>
      <c r="O130" s="252">
        <v>0.0542635658914729</v>
      </c>
    </row>
    <row r="131" spans="1:15">
      <c r="A131" s="242" t="s">
        <v>68</v>
      </c>
      <c r="B131" s="43" t="s">
        <v>6</v>
      </c>
      <c r="C131" s="15">
        <v>21</v>
      </c>
      <c r="D131" s="244">
        <v>4</v>
      </c>
      <c r="E131" s="244">
        <v>2</v>
      </c>
      <c r="F131" s="244">
        <v>1</v>
      </c>
      <c r="G131" s="244">
        <v>2</v>
      </c>
      <c r="H131" s="244">
        <v>1</v>
      </c>
      <c r="I131" s="244">
        <v>1</v>
      </c>
      <c r="J131" s="244">
        <v>2</v>
      </c>
      <c r="K131" s="244">
        <v>1</v>
      </c>
      <c r="L131" s="244">
        <v>1</v>
      </c>
      <c r="M131" s="244">
        <v>0</v>
      </c>
      <c r="N131" s="244">
        <v>4</v>
      </c>
      <c r="O131" s="254">
        <v>2</v>
      </c>
    </row>
    <row r="132" ht="14.25" spans="1:15">
      <c r="A132" s="245" t="s">
        <v>68</v>
      </c>
      <c r="B132" s="52" t="s">
        <v>64</v>
      </c>
      <c r="C132" s="19">
        <v>0.368421052631579</v>
      </c>
      <c r="D132" s="246">
        <v>0.8</v>
      </c>
      <c r="E132" s="246">
        <v>0.25</v>
      </c>
      <c r="F132" s="246">
        <v>0.333333333333333</v>
      </c>
      <c r="G132" s="246">
        <v>1</v>
      </c>
      <c r="H132" s="246">
        <v>0.25</v>
      </c>
      <c r="I132" s="246">
        <v>0.166666666666667</v>
      </c>
      <c r="J132" s="246">
        <v>0.333333333333333</v>
      </c>
      <c r="K132" s="246">
        <v>0.142857142857143</v>
      </c>
      <c r="L132" s="246">
        <v>0.333333333333333</v>
      </c>
      <c r="M132" s="246">
        <v>0</v>
      </c>
      <c r="N132" s="246">
        <v>1</v>
      </c>
      <c r="O132" s="255">
        <v>0.285714285714286</v>
      </c>
    </row>
    <row r="133" spans="1:15">
      <c r="A133" s="240" t="s">
        <v>69</v>
      </c>
      <c r="B133" s="47" t="s">
        <v>55</v>
      </c>
      <c r="C133" s="12">
        <v>0.825399652811265</v>
      </c>
      <c r="D133" s="241">
        <v>0.950980392156863</v>
      </c>
      <c r="E133" s="241">
        <v>0.833333333333333</v>
      </c>
      <c r="F133" s="241">
        <v>0.631578947368421</v>
      </c>
      <c r="G133" s="241">
        <v>0.790697674418605</v>
      </c>
      <c r="H133" s="241">
        <v>0.883333333333333</v>
      </c>
      <c r="I133" s="241">
        <v>0.8</v>
      </c>
      <c r="J133" s="241">
        <v>0.855855855855856</v>
      </c>
      <c r="K133" s="241">
        <v>0.834710743801653</v>
      </c>
      <c r="L133" s="241">
        <v>0.831578947368421</v>
      </c>
      <c r="M133" s="241">
        <v>0.965909090909091</v>
      </c>
      <c r="N133" s="241">
        <v>0.747747747747748</v>
      </c>
      <c r="O133" s="252">
        <v>0.779069767441861</v>
      </c>
    </row>
    <row r="134" spans="1:15">
      <c r="A134" s="242" t="s">
        <v>69</v>
      </c>
      <c r="B134" s="43" t="s">
        <v>57</v>
      </c>
      <c r="C134" s="15">
        <v>1000</v>
      </c>
      <c r="D134" s="243">
        <v>102</v>
      </c>
      <c r="E134" s="243">
        <v>60</v>
      </c>
      <c r="F134" s="243">
        <v>38</v>
      </c>
      <c r="G134" s="243">
        <v>43</v>
      </c>
      <c r="H134" s="243">
        <v>60</v>
      </c>
      <c r="I134" s="243">
        <v>85</v>
      </c>
      <c r="J134" s="243">
        <v>111</v>
      </c>
      <c r="K134" s="243">
        <v>121</v>
      </c>
      <c r="L134" s="243">
        <v>95</v>
      </c>
      <c r="M134" s="243">
        <v>88</v>
      </c>
      <c r="N134" s="243">
        <v>111</v>
      </c>
      <c r="O134" s="253">
        <v>86</v>
      </c>
    </row>
    <row r="135" spans="1:15">
      <c r="A135" s="240" t="s">
        <v>69</v>
      </c>
      <c r="B135" s="47" t="s">
        <v>59</v>
      </c>
      <c r="C135" s="15">
        <v>836</v>
      </c>
      <c r="D135" s="243">
        <v>97</v>
      </c>
      <c r="E135" s="243">
        <v>50</v>
      </c>
      <c r="F135" s="243">
        <v>24</v>
      </c>
      <c r="G135" s="243">
        <v>34</v>
      </c>
      <c r="H135" s="243">
        <v>53</v>
      </c>
      <c r="I135" s="243">
        <v>68</v>
      </c>
      <c r="J135" s="243">
        <v>95</v>
      </c>
      <c r="K135" s="243">
        <v>101</v>
      </c>
      <c r="L135" s="243">
        <v>79</v>
      </c>
      <c r="M135" s="243">
        <v>85</v>
      </c>
      <c r="N135" s="243">
        <v>83</v>
      </c>
      <c r="O135" s="253">
        <v>67</v>
      </c>
    </row>
    <row r="136" spans="1:15">
      <c r="A136" s="242" t="s">
        <v>69</v>
      </c>
      <c r="B136" s="43" t="s">
        <v>4</v>
      </c>
      <c r="C136" s="15">
        <v>21</v>
      </c>
      <c r="D136" s="244">
        <v>2</v>
      </c>
      <c r="E136" s="244">
        <v>1</v>
      </c>
      <c r="F136" s="244">
        <v>0</v>
      </c>
      <c r="G136" s="244">
        <v>2</v>
      </c>
      <c r="H136" s="244">
        <v>0</v>
      </c>
      <c r="I136" s="244">
        <v>2</v>
      </c>
      <c r="J136" s="244">
        <v>5</v>
      </c>
      <c r="K136" s="244">
        <v>1</v>
      </c>
      <c r="L136" s="244">
        <v>2</v>
      </c>
      <c r="M136" s="244">
        <v>4</v>
      </c>
      <c r="N136" s="244">
        <v>1</v>
      </c>
      <c r="O136" s="254">
        <v>1</v>
      </c>
    </row>
    <row r="137" spans="1:15">
      <c r="A137" s="240" t="s">
        <v>69</v>
      </c>
      <c r="B137" s="47" t="s">
        <v>5</v>
      </c>
      <c r="C137" s="12">
        <v>0.0242279387496736</v>
      </c>
      <c r="D137" s="241">
        <v>0.0206185567010309</v>
      </c>
      <c r="E137" s="241">
        <v>0.02</v>
      </c>
      <c r="F137" s="241">
        <v>0</v>
      </c>
      <c r="G137" s="241">
        <v>0.0588235294117647</v>
      </c>
      <c r="H137" s="241">
        <v>0</v>
      </c>
      <c r="I137" s="241">
        <v>0.0294117647058824</v>
      </c>
      <c r="J137" s="241">
        <v>0.0526315789473684</v>
      </c>
      <c r="K137" s="241">
        <v>0.0099009900990099</v>
      </c>
      <c r="L137" s="241">
        <v>0.0253164556962025</v>
      </c>
      <c r="M137" s="241">
        <v>0.0470588235294118</v>
      </c>
      <c r="N137" s="241">
        <v>0.0120481927710843</v>
      </c>
      <c r="O137" s="252">
        <v>0.0149253731343284</v>
      </c>
    </row>
    <row r="138" spans="1:15">
      <c r="A138" s="242" t="s">
        <v>69</v>
      </c>
      <c r="B138" s="43" t="s">
        <v>6</v>
      </c>
      <c r="C138" s="15">
        <v>8</v>
      </c>
      <c r="D138" s="244">
        <v>0</v>
      </c>
      <c r="E138" s="244">
        <v>1</v>
      </c>
      <c r="F138" s="244">
        <v>0</v>
      </c>
      <c r="G138" s="244">
        <v>1</v>
      </c>
      <c r="H138" s="244">
        <v>0</v>
      </c>
      <c r="I138" s="244">
        <v>0</v>
      </c>
      <c r="J138" s="244">
        <v>3</v>
      </c>
      <c r="K138" s="244">
        <v>0</v>
      </c>
      <c r="L138" s="244">
        <v>1</v>
      </c>
      <c r="M138" s="244">
        <v>1</v>
      </c>
      <c r="N138" s="244">
        <v>0</v>
      </c>
      <c r="O138" s="254">
        <v>1</v>
      </c>
    </row>
    <row r="139" ht="14.25" spans="1:15">
      <c r="A139" s="245" t="s">
        <v>69</v>
      </c>
      <c r="B139" s="52" t="s">
        <v>64</v>
      </c>
      <c r="C139" s="19">
        <v>0.380952380952381</v>
      </c>
      <c r="D139" s="246">
        <v>0</v>
      </c>
      <c r="E139" s="246">
        <v>1</v>
      </c>
      <c r="F139" s="246">
        <v>0</v>
      </c>
      <c r="G139" s="246">
        <v>0.5</v>
      </c>
      <c r="H139" s="246">
        <v>0</v>
      </c>
      <c r="I139" s="246">
        <v>0</v>
      </c>
      <c r="J139" s="246">
        <v>0.6</v>
      </c>
      <c r="K139" s="246">
        <v>0</v>
      </c>
      <c r="L139" s="246">
        <v>0.5</v>
      </c>
      <c r="M139" s="246">
        <v>0.25</v>
      </c>
      <c r="N139" s="246">
        <v>0</v>
      </c>
      <c r="O139" s="255">
        <v>1</v>
      </c>
    </row>
    <row r="140" spans="1:15">
      <c r="A140" s="240" t="s">
        <v>70</v>
      </c>
      <c r="B140" s="47" t="s">
        <v>55</v>
      </c>
      <c r="C140" s="12">
        <v>0.969864925744289</v>
      </c>
      <c r="D140" s="241">
        <v>1</v>
      </c>
      <c r="E140" s="241">
        <v>1.46666666666667</v>
      </c>
      <c r="F140" s="241">
        <v>0.75</v>
      </c>
      <c r="G140" s="241">
        <v>1.04761904761905</v>
      </c>
      <c r="H140" s="241">
        <v>1.08108108108108</v>
      </c>
      <c r="I140" s="241">
        <v>0.875</v>
      </c>
      <c r="J140" s="241">
        <v>0.85</v>
      </c>
      <c r="K140" s="241">
        <v>0.787234042553192</v>
      </c>
      <c r="L140" s="241">
        <v>0.92156862745098</v>
      </c>
      <c r="M140" s="241">
        <v>1.06122448979592</v>
      </c>
      <c r="N140" s="241">
        <v>0.841463414634146</v>
      </c>
      <c r="O140" s="252">
        <v>0.956521739130435</v>
      </c>
    </row>
    <row r="141" spans="1:15">
      <c r="A141" s="242" t="s">
        <v>70</v>
      </c>
      <c r="B141" s="43" t="s">
        <v>57</v>
      </c>
      <c r="C141" s="15">
        <v>519</v>
      </c>
      <c r="D141" s="243">
        <v>36</v>
      </c>
      <c r="E141" s="243">
        <v>15</v>
      </c>
      <c r="F141" s="243">
        <v>16</v>
      </c>
      <c r="G141" s="243">
        <v>21</v>
      </c>
      <c r="H141" s="243">
        <v>37</v>
      </c>
      <c r="I141" s="243">
        <v>56</v>
      </c>
      <c r="J141" s="243">
        <v>40</v>
      </c>
      <c r="K141" s="243">
        <v>47</v>
      </c>
      <c r="L141" s="243">
        <v>51</v>
      </c>
      <c r="M141" s="243">
        <v>49</v>
      </c>
      <c r="N141" s="243">
        <v>82</v>
      </c>
      <c r="O141" s="253">
        <v>69</v>
      </c>
    </row>
    <row r="142" spans="1:15">
      <c r="A142" s="240" t="s">
        <v>70</v>
      </c>
      <c r="B142" s="47" t="s">
        <v>59</v>
      </c>
      <c r="C142" s="15">
        <v>486</v>
      </c>
      <c r="D142" s="243">
        <v>36</v>
      </c>
      <c r="E142" s="243">
        <v>22</v>
      </c>
      <c r="F142" s="243">
        <v>12</v>
      </c>
      <c r="G142" s="243">
        <v>22</v>
      </c>
      <c r="H142" s="243">
        <v>40</v>
      </c>
      <c r="I142" s="243">
        <v>49</v>
      </c>
      <c r="J142" s="243">
        <v>34</v>
      </c>
      <c r="K142" s="243">
        <v>37</v>
      </c>
      <c r="L142" s="243">
        <v>47</v>
      </c>
      <c r="M142" s="243">
        <v>52</v>
      </c>
      <c r="N142" s="243">
        <v>69</v>
      </c>
      <c r="O142" s="253">
        <v>66</v>
      </c>
    </row>
    <row r="143" spans="1:15">
      <c r="A143" s="242" t="s">
        <v>70</v>
      </c>
      <c r="B143" s="43" t="s">
        <v>4</v>
      </c>
      <c r="C143" s="15">
        <v>7</v>
      </c>
      <c r="D143" s="244">
        <v>0</v>
      </c>
      <c r="E143" s="244">
        <v>1</v>
      </c>
      <c r="F143" s="244">
        <v>0</v>
      </c>
      <c r="G143" s="244">
        <v>1</v>
      </c>
      <c r="H143" s="244">
        <v>1</v>
      </c>
      <c r="I143" s="244">
        <v>1</v>
      </c>
      <c r="J143" s="244">
        <v>1</v>
      </c>
      <c r="K143" s="244">
        <v>0</v>
      </c>
      <c r="L143" s="244">
        <v>0</v>
      </c>
      <c r="M143" s="244">
        <v>0</v>
      </c>
      <c r="N143" s="244">
        <v>1</v>
      </c>
      <c r="O143" s="254">
        <v>1</v>
      </c>
    </row>
    <row r="144" spans="1:15">
      <c r="A144" s="240" t="s">
        <v>70</v>
      </c>
      <c r="B144" s="47" t="s">
        <v>5</v>
      </c>
      <c r="C144" s="12">
        <v>0.0162811073045819</v>
      </c>
      <c r="D144" s="241">
        <v>0</v>
      </c>
      <c r="E144" s="241">
        <v>0.0454545454545455</v>
      </c>
      <c r="F144" s="241">
        <v>0</v>
      </c>
      <c r="G144" s="241">
        <v>0.0454545454545455</v>
      </c>
      <c r="H144" s="241">
        <v>0.025</v>
      </c>
      <c r="I144" s="241">
        <v>0.0204081632653061</v>
      </c>
      <c r="J144" s="241">
        <v>0.0294117647058824</v>
      </c>
      <c r="K144" s="241">
        <v>0</v>
      </c>
      <c r="L144" s="241">
        <v>0</v>
      </c>
      <c r="M144" s="241">
        <v>0</v>
      </c>
      <c r="N144" s="241">
        <v>0.0144927536231884</v>
      </c>
      <c r="O144" s="252">
        <v>0.0151515151515152</v>
      </c>
    </row>
    <row r="145" spans="1:15">
      <c r="A145" s="242" t="s">
        <v>70</v>
      </c>
      <c r="B145" s="43" t="s">
        <v>6</v>
      </c>
      <c r="C145" s="15">
        <v>1</v>
      </c>
      <c r="D145" s="244">
        <v>0</v>
      </c>
      <c r="E145" s="244">
        <v>0</v>
      </c>
      <c r="F145" s="244">
        <v>0</v>
      </c>
      <c r="G145" s="244">
        <v>0</v>
      </c>
      <c r="H145" s="244">
        <v>0</v>
      </c>
      <c r="I145" s="244">
        <v>0</v>
      </c>
      <c r="J145" s="244">
        <v>1</v>
      </c>
      <c r="K145" s="244">
        <v>0</v>
      </c>
      <c r="L145" s="244">
        <v>0</v>
      </c>
      <c r="M145" s="244">
        <v>0</v>
      </c>
      <c r="N145" s="244">
        <v>0</v>
      </c>
      <c r="O145" s="254">
        <v>0</v>
      </c>
    </row>
    <row r="146" ht="14.25" spans="1:15">
      <c r="A146" s="245" t="s">
        <v>70</v>
      </c>
      <c r="B146" s="52" t="s">
        <v>64</v>
      </c>
      <c r="C146" s="19">
        <v>0.142857142857143</v>
      </c>
      <c r="D146" s="246">
        <v>0</v>
      </c>
      <c r="E146" s="246">
        <v>0</v>
      </c>
      <c r="F146" s="246">
        <v>0</v>
      </c>
      <c r="G146" s="246">
        <v>0</v>
      </c>
      <c r="H146" s="246">
        <v>0</v>
      </c>
      <c r="I146" s="246">
        <v>0</v>
      </c>
      <c r="J146" s="246">
        <v>1</v>
      </c>
      <c r="K146" s="246">
        <v>0</v>
      </c>
      <c r="L146" s="246">
        <v>0</v>
      </c>
      <c r="M146" s="246">
        <v>0</v>
      </c>
      <c r="N146" s="246">
        <v>0</v>
      </c>
      <c r="O146" s="255">
        <v>0</v>
      </c>
    </row>
    <row r="147" spans="1:15">
      <c r="A147" s="240" t="s">
        <v>26</v>
      </c>
      <c r="B147" s="47" t="s">
        <v>55</v>
      </c>
      <c r="C147" s="12">
        <v>1.36713855237829</v>
      </c>
      <c r="D147" s="241">
        <v>2.22448979591837</v>
      </c>
      <c r="E147" s="241">
        <v>1.58095238095238</v>
      </c>
      <c r="F147" s="241">
        <v>1.27272727272727</v>
      </c>
      <c r="G147" s="241">
        <v>1.54639175257732</v>
      </c>
      <c r="H147" s="241">
        <v>1.50684931506849</v>
      </c>
      <c r="I147" s="241">
        <v>1.37857142857143</v>
      </c>
      <c r="J147" s="241">
        <v>1.55704697986577</v>
      </c>
      <c r="K147" s="241">
        <v>1.23222748815166</v>
      </c>
      <c r="L147" s="241">
        <v>1.1304347826087</v>
      </c>
      <c r="M147" s="241">
        <v>1.02390438247012</v>
      </c>
      <c r="N147" s="241">
        <v>0.979094076655052</v>
      </c>
      <c r="O147" s="252">
        <v>0.972972972972973</v>
      </c>
    </row>
    <row r="148" spans="1:15">
      <c r="A148" s="242" t="s">
        <v>26</v>
      </c>
      <c r="B148" s="43" t="s">
        <v>57</v>
      </c>
      <c r="C148" s="15">
        <v>2113</v>
      </c>
      <c r="D148" s="243">
        <v>147</v>
      </c>
      <c r="E148" s="243">
        <v>105</v>
      </c>
      <c r="F148" s="243">
        <v>77</v>
      </c>
      <c r="G148" s="243">
        <v>97</v>
      </c>
      <c r="H148" s="243">
        <v>146</v>
      </c>
      <c r="I148" s="243">
        <v>140</v>
      </c>
      <c r="J148" s="243">
        <v>149</v>
      </c>
      <c r="K148" s="243">
        <v>211</v>
      </c>
      <c r="L148" s="243">
        <v>207</v>
      </c>
      <c r="M148" s="243">
        <v>251</v>
      </c>
      <c r="N148" s="243">
        <v>287</v>
      </c>
      <c r="O148" s="253">
        <v>296</v>
      </c>
    </row>
    <row r="149" spans="1:15">
      <c r="A149" s="240" t="s">
        <v>26</v>
      </c>
      <c r="B149" s="47" t="s">
        <v>59</v>
      </c>
      <c r="C149" s="15">
        <v>2706</v>
      </c>
      <c r="D149" s="243">
        <v>327</v>
      </c>
      <c r="E149" s="243">
        <v>166</v>
      </c>
      <c r="F149" s="243">
        <v>98</v>
      </c>
      <c r="G149" s="243">
        <v>150</v>
      </c>
      <c r="H149" s="243">
        <v>220</v>
      </c>
      <c r="I149" s="243">
        <v>193</v>
      </c>
      <c r="J149" s="243">
        <v>232</v>
      </c>
      <c r="K149" s="243">
        <v>260</v>
      </c>
      <c r="L149" s="243">
        <v>234</v>
      </c>
      <c r="M149" s="243">
        <v>257</v>
      </c>
      <c r="N149" s="243">
        <v>281</v>
      </c>
      <c r="O149" s="253">
        <v>288</v>
      </c>
    </row>
    <row r="150" spans="1:15">
      <c r="A150" s="242" t="s">
        <v>26</v>
      </c>
      <c r="B150" s="43" t="s">
        <v>4</v>
      </c>
      <c r="C150" s="15">
        <v>98</v>
      </c>
      <c r="D150" s="244">
        <v>11</v>
      </c>
      <c r="E150" s="244">
        <v>6</v>
      </c>
      <c r="F150" s="244">
        <v>4</v>
      </c>
      <c r="G150" s="244">
        <v>8</v>
      </c>
      <c r="H150" s="244">
        <v>4</v>
      </c>
      <c r="I150" s="244">
        <v>8</v>
      </c>
      <c r="J150" s="244">
        <v>7</v>
      </c>
      <c r="K150" s="244">
        <v>15</v>
      </c>
      <c r="L150" s="244">
        <v>2</v>
      </c>
      <c r="M150" s="244">
        <v>7</v>
      </c>
      <c r="N150" s="244">
        <v>11</v>
      </c>
      <c r="O150" s="254">
        <v>15</v>
      </c>
    </row>
    <row r="151" spans="1:15">
      <c r="A151" s="240" t="s">
        <v>26</v>
      </c>
      <c r="B151" s="47" t="s">
        <v>5</v>
      </c>
      <c r="C151" s="12">
        <v>0.0365370251847202</v>
      </c>
      <c r="D151" s="241">
        <v>0.0336391437308868</v>
      </c>
      <c r="E151" s="241">
        <v>0.036144578313253</v>
      </c>
      <c r="F151" s="241">
        <v>0.0408163265306122</v>
      </c>
      <c r="G151" s="241">
        <v>0.0533333333333333</v>
      </c>
      <c r="H151" s="241">
        <v>0.0181818181818182</v>
      </c>
      <c r="I151" s="241">
        <v>0.0414507772020725</v>
      </c>
      <c r="J151" s="241">
        <v>0.0301724137931034</v>
      </c>
      <c r="K151" s="241">
        <v>0.0576923076923077</v>
      </c>
      <c r="L151" s="241">
        <v>0.00854700854700855</v>
      </c>
      <c r="M151" s="241">
        <v>0.0272373540856031</v>
      </c>
      <c r="N151" s="241">
        <v>0.0391459074733096</v>
      </c>
      <c r="O151" s="252">
        <v>0.0520833333333333</v>
      </c>
    </row>
    <row r="152" spans="1:15">
      <c r="A152" s="242" t="s">
        <v>26</v>
      </c>
      <c r="B152" s="43" t="s">
        <v>6</v>
      </c>
      <c r="C152" s="15">
        <v>19</v>
      </c>
      <c r="D152" s="244">
        <v>4</v>
      </c>
      <c r="E152" s="244">
        <v>1</v>
      </c>
      <c r="F152" s="244">
        <v>2</v>
      </c>
      <c r="G152" s="244">
        <v>0</v>
      </c>
      <c r="H152" s="244">
        <v>1</v>
      </c>
      <c r="I152" s="244">
        <v>0</v>
      </c>
      <c r="J152" s="244">
        <v>1</v>
      </c>
      <c r="K152" s="244">
        <v>2</v>
      </c>
      <c r="L152" s="244">
        <v>1</v>
      </c>
      <c r="M152" s="244">
        <v>2</v>
      </c>
      <c r="N152" s="244">
        <v>2</v>
      </c>
      <c r="O152" s="254">
        <v>3</v>
      </c>
    </row>
    <row r="153" ht="14.25" spans="1:15">
      <c r="A153" s="245" t="s">
        <v>26</v>
      </c>
      <c r="B153" s="52" t="s">
        <v>64</v>
      </c>
      <c r="C153" s="19">
        <v>0.193877551020408</v>
      </c>
      <c r="D153" s="250">
        <v>4</v>
      </c>
      <c r="E153" s="250">
        <v>1</v>
      </c>
      <c r="F153" s="250">
        <v>2</v>
      </c>
      <c r="G153" s="250">
        <v>0</v>
      </c>
      <c r="H153" s="250">
        <v>1</v>
      </c>
      <c r="I153" s="250">
        <v>0</v>
      </c>
      <c r="J153" s="250">
        <v>1</v>
      </c>
      <c r="K153" s="250">
        <v>2</v>
      </c>
      <c r="L153" s="250">
        <v>1</v>
      </c>
      <c r="M153" s="250">
        <v>2</v>
      </c>
      <c r="N153" s="250">
        <v>2</v>
      </c>
      <c r="O153" s="257">
        <v>3</v>
      </c>
    </row>
    <row r="154" ht="14.25" spans="1:15">
      <c r="A154" s="237">
        <v>45020</v>
      </c>
      <c r="B154" s="237"/>
      <c r="C154" s="237"/>
      <c r="D154" s="237"/>
      <c r="E154" s="237"/>
      <c r="F154" s="237"/>
      <c r="G154" s="237"/>
      <c r="H154" s="237"/>
      <c r="I154" s="237"/>
      <c r="J154" s="237"/>
      <c r="K154" s="237"/>
      <c r="L154" s="237"/>
      <c r="M154" s="237"/>
      <c r="N154" s="237"/>
      <c r="O154" s="237"/>
    </row>
    <row r="155" spans="1:15">
      <c r="A155" s="56" t="s">
        <v>1</v>
      </c>
      <c r="B155" s="238"/>
      <c r="C155" s="8" t="s">
        <v>42</v>
      </c>
      <c r="D155" s="239" t="s">
        <v>43</v>
      </c>
      <c r="E155" s="239" t="s">
        <v>44</v>
      </c>
      <c r="F155" s="239" t="s">
        <v>45</v>
      </c>
      <c r="G155" s="239" t="s">
        <v>46</v>
      </c>
      <c r="H155" s="239" t="s">
        <v>47</v>
      </c>
      <c r="I155" s="239" t="s">
        <v>48</v>
      </c>
      <c r="J155" s="239" t="s">
        <v>49</v>
      </c>
      <c r="K155" s="239" t="s">
        <v>50</v>
      </c>
      <c r="L155" s="239" t="s">
        <v>51</v>
      </c>
      <c r="M155" s="239" t="s">
        <v>52</v>
      </c>
      <c r="N155" s="239" t="s">
        <v>53</v>
      </c>
      <c r="O155" s="251" t="s">
        <v>54</v>
      </c>
    </row>
    <row r="156" spans="1:15">
      <c r="A156" s="240" t="s">
        <v>22</v>
      </c>
      <c r="B156" s="47" t="s">
        <v>55</v>
      </c>
      <c r="C156" s="12">
        <v>0.349009854781365</v>
      </c>
      <c r="D156" s="241">
        <v>0.24968152866242</v>
      </c>
      <c r="E156" s="241">
        <v>0.207142857142857</v>
      </c>
      <c r="F156" s="241">
        <v>0.237237237237237</v>
      </c>
      <c r="G156" s="241">
        <v>0.32183908045977</v>
      </c>
      <c r="H156" s="241">
        <v>0.339779005524862</v>
      </c>
      <c r="I156" s="241">
        <v>0.384831460674157</v>
      </c>
      <c r="J156" s="241">
        <v>0.343589743589744</v>
      </c>
      <c r="K156" s="241">
        <v>0.435013262599469</v>
      </c>
      <c r="L156" s="241">
        <v>0.400485436893204</v>
      </c>
      <c r="M156" s="241">
        <v>0.458579881656805</v>
      </c>
      <c r="N156" s="241">
        <v>0.421768707482993</v>
      </c>
      <c r="O156" s="252">
        <v>0.388170055452865</v>
      </c>
    </row>
    <row r="157" spans="1:15">
      <c r="A157" s="242" t="s">
        <v>22</v>
      </c>
      <c r="B157" s="43" t="s">
        <v>57</v>
      </c>
      <c r="C157" s="15">
        <v>5156</v>
      </c>
      <c r="D157" s="243">
        <v>785</v>
      </c>
      <c r="E157" s="243">
        <v>560</v>
      </c>
      <c r="F157" s="243">
        <v>333</v>
      </c>
      <c r="G157" s="243">
        <v>261</v>
      </c>
      <c r="H157" s="243">
        <v>362</v>
      </c>
      <c r="I157" s="243">
        <v>356</v>
      </c>
      <c r="J157" s="243">
        <v>390</v>
      </c>
      <c r="K157" s="243">
        <v>377</v>
      </c>
      <c r="L157" s="243">
        <v>412</v>
      </c>
      <c r="M157" s="243">
        <v>338</v>
      </c>
      <c r="N157" s="243">
        <v>441</v>
      </c>
      <c r="O157" s="253">
        <v>541</v>
      </c>
    </row>
    <row r="158" spans="1:15">
      <c r="A158" s="240" t="s">
        <v>22</v>
      </c>
      <c r="B158" s="47" t="s">
        <v>59</v>
      </c>
      <c r="C158" s="15">
        <v>1749</v>
      </c>
      <c r="D158" s="243">
        <v>196</v>
      </c>
      <c r="E158" s="243">
        <v>116</v>
      </c>
      <c r="F158" s="243">
        <v>79</v>
      </c>
      <c r="G158" s="243">
        <v>84</v>
      </c>
      <c r="H158" s="243">
        <v>123</v>
      </c>
      <c r="I158" s="243">
        <v>137</v>
      </c>
      <c r="J158" s="243">
        <v>134</v>
      </c>
      <c r="K158" s="243">
        <v>164</v>
      </c>
      <c r="L158" s="243">
        <v>165</v>
      </c>
      <c r="M158" s="243">
        <v>155</v>
      </c>
      <c r="N158" s="243">
        <v>186</v>
      </c>
      <c r="O158" s="253">
        <v>210</v>
      </c>
    </row>
    <row r="159" spans="1:15">
      <c r="A159" s="242" t="s">
        <v>22</v>
      </c>
      <c r="B159" s="43" t="s">
        <v>4</v>
      </c>
      <c r="C159" s="15">
        <v>147</v>
      </c>
      <c r="D159" s="244">
        <v>7</v>
      </c>
      <c r="E159" s="244">
        <v>11</v>
      </c>
      <c r="F159" s="244">
        <v>7</v>
      </c>
      <c r="G159" s="244">
        <v>4</v>
      </c>
      <c r="H159" s="244">
        <v>10</v>
      </c>
      <c r="I159" s="244">
        <v>13</v>
      </c>
      <c r="J159" s="244">
        <v>5</v>
      </c>
      <c r="K159" s="244">
        <v>15</v>
      </c>
      <c r="L159" s="244">
        <v>13</v>
      </c>
      <c r="M159" s="244">
        <v>11</v>
      </c>
      <c r="N159" s="244">
        <v>15</v>
      </c>
      <c r="O159" s="254">
        <v>36</v>
      </c>
    </row>
    <row r="160" spans="1:15">
      <c r="A160" s="240" t="s">
        <v>22</v>
      </c>
      <c r="B160" s="47" t="s">
        <v>5</v>
      </c>
      <c r="C160" s="12">
        <v>0.0811305032788498</v>
      </c>
      <c r="D160" s="241">
        <v>0.0357142857142857</v>
      </c>
      <c r="E160" s="241">
        <v>0.0948275862068965</v>
      </c>
      <c r="F160" s="241">
        <v>0.0886075949367089</v>
      </c>
      <c r="G160" s="241">
        <v>0.0476190476190476</v>
      </c>
      <c r="H160" s="241">
        <v>0.0813008130081301</v>
      </c>
      <c r="I160" s="241">
        <v>0.0948905109489051</v>
      </c>
      <c r="J160" s="241">
        <v>0.0373134328358209</v>
      </c>
      <c r="K160" s="241">
        <v>0.0914634146341463</v>
      </c>
      <c r="L160" s="241">
        <v>0.0787878787878788</v>
      </c>
      <c r="M160" s="241">
        <v>0.0709677419354839</v>
      </c>
      <c r="N160" s="241">
        <v>0.0806451612903226</v>
      </c>
      <c r="O160" s="252">
        <v>0.171428571428571</v>
      </c>
    </row>
    <row r="161" spans="1:15">
      <c r="A161" s="242" t="s">
        <v>22</v>
      </c>
      <c r="B161" s="43" t="s">
        <v>6</v>
      </c>
      <c r="C161" s="15">
        <v>44</v>
      </c>
      <c r="D161" s="244">
        <v>2</v>
      </c>
      <c r="E161" s="244">
        <v>4</v>
      </c>
      <c r="F161" s="244">
        <v>0</v>
      </c>
      <c r="G161" s="244">
        <v>3</v>
      </c>
      <c r="H161" s="244">
        <v>6</v>
      </c>
      <c r="I161" s="244">
        <v>3</v>
      </c>
      <c r="J161" s="244">
        <v>1</v>
      </c>
      <c r="K161" s="244">
        <v>1</v>
      </c>
      <c r="L161" s="244">
        <v>5</v>
      </c>
      <c r="M161" s="244">
        <v>7</v>
      </c>
      <c r="N161" s="244">
        <v>5</v>
      </c>
      <c r="O161" s="254">
        <v>7</v>
      </c>
    </row>
    <row r="162" ht="14.25" spans="1:15">
      <c r="A162" s="245" t="s">
        <v>22</v>
      </c>
      <c r="B162" s="52" t="s">
        <v>64</v>
      </c>
      <c r="C162" s="19">
        <v>0.299319727891156</v>
      </c>
      <c r="D162" s="246">
        <v>0.285714285714286</v>
      </c>
      <c r="E162" s="246">
        <v>0.363636363636364</v>
      </c>
      <c r="F162" s="246">
        <v>0</v>
      </c>
      <c r="G162" s="246">
        <v>0.75</v>
      </c>
      <c r="H162" s="246">
        <v>0.6</v>
      </c>
      <c r="I162" s="246">
        <v>0.230769230769231</v>
      </c>
      <c r="J162" s="246">
        <v>0.2</v>
      </c>
      <c r="K162" s="246">
        <v>0.0666666666666667</v>
      </c>
      <c r="L162" s="246">
        <v>0.384615384615385</v>
      </c>
      <c r="M162" s="246">
        <v>0.636363636363636</v>
      </c>
      <c r="N162" s="246">
        <v>0.333333333333333</v>
      </c>
      <c r="O162" s="255">
        <v>0.194444444444444</v>
      </c>
    </row>
    <row r="163" spans="1:15">
      <c r="A163" s="247" t="s">
        <v>66</v>
      </c>
      <c r="B163" s="248" t="s">
        <v>55</v>
      </c>
      <c r="C163" s="12">
        <v>0.119444934378035</v>
      </c>
      <c r="D163" s="249">
        <v>0.126491646778043</v>
      </c>
      <c r="E163" s="249">
        <v>0.0767123287671233</v>
      </c>
      <c r="F163" s="249">
        <v>0.0909090909090909</v>
      </c>
      <c r="G163" s="249">
        <v>0.0873015873015873</v>
      </c>
      <c r="H163" s="249">
        <v>0.0909090909090909</v>
      </c>
      <c r="I163" s="249">
        <v>0.114942528735632</v>
      </c>
      <c r="J163" s="249">
        <v>0.0902527075812274</v>
      </c>
      <c r="K163" s="249">
        <v>0.125954198473282</v>
      </c>
      <c r="L163" s="249">
        <v>0.160337552742616</v>
      </c>
      <c r="M163" s="249">
        <v>0.15609756097561</v>
      </c>
      <c r="N163" s="249">
        <v>0.143939393939394</v>
      </c>
      <c r="O163" s="256">
        <v>0.169491525423729</v>
      </c>
    </row>
    <row r="164" spans="1:15">
      <c r="A164" s="242" t="s">
        <v>66</v>
      </c>
      <c r="B164" s="43" t="s">
        <v>57</v>
      </c>
      <c r="C164" s="15">
        <v>3424</v>
      </c>
      <c r="D164" s="243">
        <v>419</v>
      </c>
      <c r="E164" s="243">
        <v>365</v>
      </c>
      <c r="F164" s="243">
        <v>253</v>
      </c>
      <c r="G164" s="243">
        <v>252</v>
      </c>
      <c r="H164" s="243">
        <v>275</v>
      </c>
      <c r="I164" s="243">
        <v>261</v>
      </c>
      <c r="J164" s="243">
        <v>277</v>
      </c>
      <c r="K164" s="243">
        <v>262</v>
      </c>
      <c r="L164" s="243">
        <v>237</v>
      </c>
      <c r="M164" s="243">
        <v>205</v>
      </c>
      <c r="N164" s="243">
        <v>264</v>
      </c>
      <c r="O164" s="253">
        <v>354</v>
      </c>
    </row>
    <row r="165" spans="1:15">
      <c r="A165" s="240" t="s">
        <v>66</v>
      </c>
      <c r="B165" s="47" t="s">
        <v>59</v>
      </c>
      <c r="C165" s="15">
        <v>407</v>
      </c>
      <c r="D165" s="243">
        <v>53</v>
      </c>
      <c r="E165" s="243">
        <v>28</v>
      </c>
      <c r="F165" s="243">
        <v>23</v>
      </c>
      <c r="G165" s="243">
        <v>22</v>
      </c>
      <c r="H165" s="243">
        <v>25</v>
      </c>
      <c r="I165" s="243">
        <v>30</v>
      </c>
      <c r="J165" s="243">
        <v>25</v>
      </c>
      <c r="K165" s="243">
        <v>33</v>
      </c>
      <c r="L165" s="243">
        <v>38</v>
      </c>
      <c r="M165" s="243">
        <v>32</v>
      </c>
      <c r="N165" s="243">
        <v>38</v>
      </c>
      <c r="O165" s="253">
        <v>60</v>
      </c>
    </row>
    <row r="166" spans="1:15">
      <c r="A166" s="242" t="s">
        <v>66</v>
      </c>
      <c r="B166" s="43" t="s">
        <v>4</v>
      </c>
      <c r="C166" s="15">
        <v>44</v>
      </c>
      <c r="D166" s="244">
        <v>5</v>
      </c>
      <c r="E166" s="244">
        <v>1</v>
      </c>
      <c r="F166" s="244">
        <v>3</v>
      </c>
      <c r="G166" s="244">
        <v>2</v>
      </c>
      <c r="H166" s="244">
        <v>2</v>
      </c>
      <c r="I166" s="244">
        <v>9</v>
      </c>
      <c r="J166" s="244">
        <v>1</v>
      </c>
      <c r="K166" s="244">
        <v>3</v>
      </c>
      <c r="L166" s="244">
        <v>4</v>
      </c>
      <c r="M166" s="244">
        <v>3</v>
      </c>
      <c r="N166" s="244">
        <v>5</v>
      </c>
      <c r="O166" s="254">
        <v>6</v>
      </c>
    </row>
    <row r="167" spans="1:15">
      <c r="A167" s="240" t="s">
        <v>66</v>
      </c>
      <c r="B167" s="47" t="s">
        <v>5</v>
      </c>
      <c r="C167" s="12">
        <v>0.107741581503819</v>
      </c>
      <c r="D167" s="241">
        <v>0.0943396226415094</v>
      </c>
      <c r="E167" s="241">
        <v>0.0357142857142857</v>
      </c>
      <c r="F167" s="241">
        <v>0.130434782608696</v>
      </c>
      <c r="G167" s="241">
        <v>0.0909090909090909</v>
      </c>
      <c r="H167" s="241">
        <v>0.08</v>
      </c>
      <c r="I167" s="241">
        <v>0.3</v>
      </c>
      <c r="J167" s="241">
        <v>0.04</v>
      </c>
      <c r="K167" s="241">
        <v>0.0909090909090909</v>
      </c>
      <c r="L167" s="241">
        <v>0.105263157894737</v>
      </c>
      <c r="M167" s="241">
        <v>0.09375</v>
      </c>
      <c r="N167" s="241">
        <v>0.131578947368421</v>
      </c>
      <c r="O167" s="252">
        <v>0.1</v>
      </c>
    </row>
    <row r="168" spans="1:15">
      <c r="A168" s="242" t="s">
        <v>66</v>
      </c>
      <c r="B168" s="43" t="s">
        <v>6</v>
      </c>
      <c r="C168" s="15">
        <v>19</v>
      </c>
      <c r="D168" s="244">
        <v>4</v>
      </c>
      <c r="E168" s="244">
        <v>2</v>
      </c>
      <c r="F168" s="244">
        <v>1</v>
      </c>
      <c r="G168" s="244">
        <v>2</v>
      </c>
      <c r="H168" s="244">
        <v>0</v>
      </c>
      <c r="I168" s="244">
        <v>2</v>
      </c>
      <c r="J168" s="244">
        <v>2</v>
      </c>
      <c r="K168" s="244">
        <v>2</v>
      </c>
      <c r="L168" s="244">
        <v>0</v>
      </c>
      <c r="M168" s="244">
        <v>2</v>
      </c>
      <c r="N168" s="244">
        <v>1</v>
      </c>
      <c r="O168" s="254">
        <v>1</v>
      </c>
    </row>
    <row r="169" ht="14.25" spans="1:15">
      <c r="A169" s="245" t="s">
        <v>66</v>
      </c>
      <c r="B169" s="52" t="s">
        <v>64</v>
      </c>
      <c r="C169" s="19">
        <v>0.431818181818182</v>
      </c>
      <c r="D169" s="246">
        <v>0.8</v>
      </c>
      <c r="E169" s="246">
        <v>2</v>
      </c>
      <c r="F169" s="246">
        <v>0.333333333333333</v>
      </c>
      <c r="G169" s="246">
        <v>1</v>
      </c>
      <c r="H169" s="246">
        <v>0</v>
      </c>
      <c r="I169" s="246">
        <v>0.222222222222222</v>
      </c>
      <c r="J169" s="246">
        <v>2</v>
      </c>
      <c r="K169" s="246">
        <v>0.666666666666667</v>
      </c>
      <c r="L169" s="246">
        <v>0</v>
      </c>
      <c r="M169" s="246">
        <v>0.666666666666667</v>
      </c>
      <c r="N169" s="246">
        <v>0.2</v>
      </c>
      <c r="O169" s="255">
        <v>0.166666666666667</v>
      </c>
    </row>
    <row r="170" spans="1:15">
      <c r="A170" s="240" t="s">
        <v>67</v>
      </c>
      <c r="B170" s="47" t="s">
        <v>55</v>
      </c>
      <c r="C170" s="12">
        <v>0.636835152097138</v>
      </c>
      <c r="D170" s="241">
        <v>0.74025974025974</v>
      </c>
      <c r="E170" s="241">
        <v>0.724137931034483</v>
      </c>
      <c r="F170" s="241">
        <v>0.5</v>
      </c>
      <c r="G170" s="241">
        <v>0.611111111111111</v>
      </c>
      <c r="H170" s="241">
        <v>0.931034482758621</v>
      </c>
      <c r="I170" s="241">
        <v>0.636363636363636</v>
      </c>
      <c r="J170" s="241">
        <v>0.771428571428571</v>
      </c>
      <c r="K170" s="241">
        <v>0.722222222222222</v>
      </c>
      <c r="L170" s="241">
        <v>0.508196721311475</v>
      </c>
      <c r="M170" s="241">
        <v>0.534246575342466</v>
      </c>
      <c r="N170" s="241">
        <v>0.533333333333333</v>
      </c>
      <c r="O170" s="252">
        <v>0.4296875</v>
      </c>
    </row>
    <row r="171" spans="1:15">
      <c r="A171" s="242" t="s">
        <v>67</v>
      </c>
      <c r="B171" s="43" t="s">
        <v>57</v>
      </c>
      <c r="C171" s="15">
        <v>639</v>
      </c>
      <c r="D171" s="243">
        <v>77</v>
      </c>
      <c r="E171" s="243">
        <v>29</v>
      </c>
      <c r="F171" s="243">
        <v>16</v>
      </c>
      <c r="G171" s="243">
        <v>18</v>
      </c>
      <c r="H171" s="243">
        <v>29</v>
      </c>
      <c r="I171" s="243">
        <v>44</v>
      </c>
      <c r="J171" s="243">
        <v>35</v>
      </c>
      <c r="K171" s="243">
        <v>54</v>
      </c>
      <c r="L171" s="243">
        <v>61</v>
      </c>
      <c r="M171" s="243">
        <v>73</v>
      </c>
      <c r="N171" s="243">
        <v>75</v>
      </c>
      <c r="O171" s="253">
        <v>128</v>
      </c>
    </row>
    <row r="172" spans="1:15">
      <c r="A172" s="240" t="s">
        <v>67</v>
      </c>
      <c r="B172" s="47" t="s">
        <v>59</v>
      </c>
      <c r="C172" s="15">
        <v>383</v>
      </c>
      <c r="D172" s="243">
        <v>57</v>
      </c>
      <c r="E172" s="243">
        <v>21</v>
      </c>
      <c r="F172" s="243">
        <v>8</v>
      </c>
      <c r="G172" s="243">
        <v>11</v>
      </c>
      <c r="H172" s="243">
        <v>27</v>
      </c>
      <c r="I172" s="243">
        <v>28</v>
      </c>
      <c r="J172" s="243">
        <v>27</v>
      </c>
      <c r="K172" s="243">
        <v>39</v>
      </c>
      <c r="L172" s="243">
        <v>31</v>
      </c>
      <c r="M172" s="243">
        <v>39</v>
      </c>
      <c r="N172" s="243">
        <v>40</v>
      </c>
      <c r="O172" s="253">
        <v>55</v>
      </c>
    </row>
    <row r="173" spans="1:15">
      <c r="A173" s="242" t="s">
        <v>67</v>
      </c>
      <c r="B173" s="43" t="s">
        <v>4</v>
      </c>
      <c r="C173" s="15">
        <v>18</v>
      </c>
      <c r="D173" s="244">
        <v>3</v>
      </c>
      <c r="E173" s="244">
        <v>0</v>
      </c>
      <c r="F173" s="244">
        <v>0</v>
      </c>
      <c r="G173" s="244">
        <v>1</v>
      </c>
      <c r="H173" s="244">
        <v>3</v>
      </c>
      <c r="I173" s="244">
        <v>1</v>
      </c>
      <c r="J173" s="244">
        <v>2</v>
      </c>
      <c r="K173" s="244">
        <v>4</v>
      </c>
      <c r="L173" s="244">
        <v>2</v>
      </c>
      <c r="M173" s="244">
        <v>0</v>
      </c>
      <c r="N173" s="244">
        <v>0</v>
      </c>
      <c r="O173" s="254">
        <v>2</v>
      </c>
    </row>
    <row r="174" spans="1:15">
      <c r="A174" s="240" t="s">
        <v>67</v>
      </c>
      <c r="B174" s="47" t="s">
        <v>5</v>
      </c>
      <c r="C174" s="12">
        <v>0.0473236673929939</v>
      </c>
      <c r="D174" s="241">
        <v>0.0526315789473684</v>
      </c>
      <c r="E174" s="241">
        <v>0</v>
      </c>
      <c r="F174" s="241">
        <v>0</v>
      </c>
      <c r="G174" s="241">
        <v>0.0909090909090909</v>
      </c>
      <c r="H174" s="241">
        <v>0.111111111111111</v>
      </c>
      <c r="I174" s="241">
        <v>0.0357142857142857</v>
      </c>
      <c r="J174" s="241">
        <v>0.0740740740740741</v>
      </c>
      <c r="K174" s="241">
        <v>0.102564102564103</v>
      </c>
      <c r="L174" s="241">
        <v>0.0645161290322581</v>
      </c>
      <c r="M174" s="241">
        <v>0</v>
      </c>
      <c r="N174" s="241">
        <v>0</v>
      </c>
      <c r="O174" s="252">
        <v>0.0363636363636364</v>
      </c>
    </row>
    <row r="175" spans="1:15">
      <c r="A175" s="242" t="s">
        <v>67</v>
      </c>
      <c r="B175" s="43" t="s">
        <v>6</v>
      </c>
      <c r="C175" s="15">
        <v>10</v>
      </c>
      <c r="D175" s="244">
        <v>2</v>
      </c>
      <c r="E175" s="244">
        <v>2</v>
      </c>
      <c r="F175" s="244">
        <v>0</v>
      </c>
      <c r="G175" s="244">
        <v>0</v>
      </c>
      <c r="H175" s="244">
        <v>0</v>
      </c>
      <c r="I175" s="244">
        <v>1</v>
      </c>
      <c r="J175" s="244">
        <v>1</v>
      </c>
      <c r="K175" s="244">
        <v>2</v>
      </c>
      <c r="L175" s="244">
        <v>2</v>
      </c>
      <c r="M175" s="244">
        <v>0</v>
      </c>
      <c r="N175" s="244">
        <v>0</v>
      </c>
      <c r="O175" s="254">
        <v>0</v>
      </c>
    </row>
    <row r="176" ht="14.25" spans="1:15">
      <c r="A176" s="245" t="s">
        <v>67</v>
      </c>
      <c r="B176" s="52" t="s">
        <v>64</v>
      </c>
      <c r="C176" s="19">
        <v>0.555555555555556</v>
      </c>
      <c r="D176" s="246">
        <v>0.666666666666667</v>
      </c>
      <c r="E176" s="246">
        <v>0</v>
      </c>
      <c r="F176" s="246">
        <v>0</v>
      </c>
      <c r="G176" s="246">
        <v>0</v>
      </c>
      <c r="H176" s="246">
        <v>0</v>
      </c>
      <c r="I176" s="246">
        <v>1</v>
      </c>
      <c r="J176" s="246">
        <v>0.5</v>
      </c>
      <c r="K176" s="246">
        <v>0.5</v>
      </c>
      <c r="L176" s="246">
        <v>1</v>
      </c>
      <c r="M176" s="246">
        <v>0</v>
      </c>
      <c r="N176" s="246">
        <v>0</v>
      </c>
      <c r="O176" s="255">
        <v>0</v>
      </c>
    </row>
    <row r="177" spans="1:15">
      <c r="A177" s="240" t="s">
        <v>68</v>
      </c>
      <c r="B177" s="47" t="s">
        <v>55</v>
      </c>
      <c r="C177" s="12">
        <v>0.142636164065644</v>
      </c>
      <c r="D177" s="241">
        <v>0.186335403726708</v>
      </c>
      <c r="E177" s="241">
        <v>0.213541666666667</v>
      </c>
      <c r="F177" s="241">
        <v>0.219917012448133</v>
      </c>
      <c r="G177" s="241">
        <v>0.110891089108911</v>
      </c>
      <c r="H177" s="241">
        <v>0.15569823434992</v>
      </c>
      <c r="I177" s="241">
        <v>0.1344</v>
      </c>
      <c r="J177" s="241">
        <v>0.140819964349376</v>
      </c>
      <c r="K177" s="241">
        <v>0.149230769230769</v>
      </c>
      <c r="L177" s="241">
        <v>0.159398496240602</v>
      </c>
      <c r="M177" s="241">
        <v>0.076814658210007</v>
      </c>
      <c r="N177" s="241">
        <v>0.0794198895027624</v>
      </c>
      <c r="O177" s="252">
        <v>0.085166784953868</v>
      </c>
    </row>
    <row r="178" spans="1:15">
      <c r="A178" s="242" t="s">
        <v>68</v>
      </c>
      <c r="B178" s="43" t="s">
        <v>57</v>
      </c>
      <c r="C178" s="15">
        <v>8821</v>
      </c>
      <c r="D178" s="243">
        <v>483</v>
      </c>
      <c r="E178" s="243">
        <v>192</v>
      </c>
      <c r="F178" s="243">
        <v>241</v>
      </c>
      <c r="G178" s="243">
        <v>505</v>
      </c>
      <c r="H178" s="243">
        <v>623</v>
      </c>
      <c r="I178" s="243">
        <v>625</v>
      </c>
      <c r="J178" s="243">
        <v>561</v>
      </c>
      <c r="K178" s="243">
        <v>650</v>
      </c>
      <c r="L178" s="243">
        <v>665</v>
      </c>
      <c r="M178" s="243">
        <v>1419</v>
      </c>
      <c r="N178" s="243">
        <v>1448</v>
      </c>
      <c r="O178" s="253">
        <v>1409</v>
      </c>
    </row>
    <row r="179" spans="1:15">
      <c r="A179" s="240" t="s">
        <v>68</v>
      </c>
      <c r="B179" s="47" t="s">
        <v>59</v>
      </c>
      <c r="C179" s="15">
        <v>1047</v>
      </c>
      <c r="D179" s="243">
        <v>90</v>
      </c>
      <c r="E179" s="243">
        <v>41</v>
      </c>
      <c r="F179" s="243">
        <v>53</v>
      </c>
      <c r="G179" s="243">
        <v>56</v>
      </c>
      <c r="H179" s="243">
        <v>97</v>
      </c>
      <c r="I179" s="243">
        <v>84</v>
      </c>
      <c r="J179" s="243">
        <v>79</v>
      </c>
      <c r="K179" s="243">
        <v>97</v>
      </c>
      <c r="L179" s="243">
        <v>106</v>
      </c>
      <c r="M179" s="243">
        <v>109</v>
      </c>
      <c r="N179" s="243">
        <v>115</v>
      </c>
      <c r="O179" s="253">
        <v>120</v>
      </c>
    </row>
    <row r="180" spans="1:15">
      <c r="A180" s="242" t="s">
        <v>68</v>
      </c>
      <c r="B180" s="43" t="s">
        <v>4</v>
      </c>
      <c r="C180" s="15">
        <v>43</v>
      </c>
      <c r="D180" s="244">
        <v>4</v>
      </c>
      <c r="E180" s="244">
        <v>3</v>
      </c>
      <c r="F180" s="244">
        <v>2</v>
      </c>
      <c r="G180" s="244">
        <v>0</v>
      </c>
      <c r="H180" s="244">
        <v>6</v>
      </c>
      <c r="I180" s="244">
        <v>4</v>
      </c>
      <c r="J180" s="244">
        <v>3</v>
      </c>
      <c r="K180" s="244">
        <v>4</v>
      </c>
      <c r="L180" s="244">
        <v>4</v>
      </c>
      <c r="M180" s="244">
        <v>5</v>
      </c>
      <c r="N180" s="244">
        <v>3</v>
      </c>
      <c r="O180" s="254">
        <v>5</v>
      </c>
    </row>
    <row r="181" spans="1:15">
      <c r="A181" s="240" t="s">
        <v>68</v>
      </c>
      <c r="B181" s="47" t="s">
        <v>5</v>
      </c>
      <c r="C181" s="12">
        <v>0.041283214312909</v>
      </c>
      <c r="D181" s="241">
        <v>0.0444444444444444</v>
      </c>
      <c r="E181" s="241">
        <v>0.0731707317073171</v>
      </c>
      <c r="F181" s="241">
        <v>0.0377358490566038</v>
      </c>
      <c r="G181" s="241">
        <v>0</v>
      </c>
      <c r="H181" s="241">
        <v>0.0618556701030928</v>
      </c>
      <c r="I181" s="241">
        <v>0.0476190476190476</v>
      </c>
      <c r="J181" s="241">
        <v>0.0379746835443038</v>
      </c>
      <c r="K181" s="241">
        <v>0.0412371134020619</v>
      </c>
      <c r="L181" s="241">
        <v>0.0377358490566038</v>
      </c>
      <c r="M181" s="241">
        <v>0.0458715596330275</v>
      </c>
      <c r="N181" s="241">
        <v>0.0260869565217391</v>
      </c>
      <c r="O181" s="252">
        <v>0.0416666666666667</v>
      </c>
    </row>
    <row r="182" spans="1:15">
      <c r="A182" s="242" t="s">
        <v>68</v>
      </c>
      <c r="B182" s="43" t="s">
        <v>6</v>
      </c>
      <c r="C182" s="15">
        <v>16</v>
      </c>
      <c r="D182" s="244">
        <v>3</v>
      </c>
      <c r="E182" s="244">
        <v>0</v>
      </c>
      <c r="F182" s="244">
        <v>1</v>
      </c>
      <c r="G182" s="244">
        <v>0</v>
      </c>
      <c r="H182" s="244">
        <v>3</v>
      </c>
      <c r="I182" s="244">
        <v>0</v>
      </c>
      <c r="J182" s="244">
        <v>1</v>
      </c>
      <c r="K182" s="244">
        <v>2</v>
      </c>
      <c r="L182" s="244">
        <v>2</v>
      </c>
      <c r="M182" s="244">
        <v>0</v>
      </c>
      <c r="N182" s="244">
        <v>2</v>
      </c>
      <c r="O182" s="254">
        <v>2</v>
      </c>
    </row>
    <row r="183" ht="14.25" spans="1:15">
      <c r="A183" s="245" t="s">
        <v>68</v>
      </c>
      <c r="B183" s="52" t="s">
        <v>64</v>
      </c>
      <c r="C183" s="19">
        <v>0.372093023255814</v>
      </c>
      <c r="D183" s="246">
        <v>0.75</v>
      </c>
      <c r="E183" s="246">
        <v>0</v>
      </c>
      <c r="F183" s="246">
        <v>0.5</v>
      </c>
      <c r="G183" s="246">
        <v>0</v>
      </c>
      <c r="H183" s="246">
        <v>0.5</v>
      </c>
      <c r="I183" s="246">
        <v>0</v>
      </c>
      <c r="J183" s="246">
        <v>0.333333333333333</v>
      </c>
      <c r="K183" s="246">
        <v>0.5</v>
      </c>
      <c r="L183" s="246">
        <v>0.5</v>
      </c>
      <c r="M183" s="246">
        <v>0</v>
      </c>
      <c r="N183" s="246">
        <v>0.666666666666667</v>
      </c>
      <c r="O183" s="255">
        <v>0.4</v>
      </c>
    </row>
    <row r="184" spans="1:15">
      <c r="A184" s="240" t="s">
        <v>69</v>
      </c>
      <c r="B184" s="47" t="s">
        <v>55</v>
      </c>
      <c r="C184" s="12">
        <v>0.865616732989705</v>
      </c>
      <c r="D184" s="241">
        <v>0.957746478873239</v>
      </c>
      <c r="E184" s="241">
        <v>0.666666666666667</v>
      </c>
      <c r="F184" s="241">
        <v>0.696969696969697</v>
      </c>
      <c r="G184" s="241">
        <v>0.9375</v>
      </c>
      <c r="H184" s="241">
        <v>0.818181818181818</v>
      </c>
      <c r="I184" s="241">
        <v>1</v>
      </c>
      <c r="J184" s="241">
        <v>0.753246753246753</v>
      </c>
      <c r="K184" s="241">
        <v>0.986301369863014</v>
      </c>
      <c r="L184" s="241">
        <v>0.803030303030303</v>
      </c>
      <c r="M184" s="241">
        <v>0.964285714285714</v>
      </c>
      <c r="N184" s="241">
        <v>0.930232558139535</v>
      </c>
      <c r="O184" s="252">
        <v>0.873239436619718</v>
      </c>
    </row>
    <row r="185" spans="1:15">
      <c r="A185" s="242" t="s">
        <v>69</v>
      </c>
      <c r="B185" s="43" t="s">
        <v>57</v>
      </c>
      <c r="C185" s="15">
        <v>731</v>
      </c>
      <c r="D185" s="243">
        <v>71</v>
      </c>
      <c r="E185" s="243">
        <v>42</v>
      </c>
      <c r="F185" s="243">
        <v>33</v>
      </c>
      <c r="G185" s="243">
        <v>32</v>
      </c>
      <c r="H185" s="243">
        <v>55</v>
      </c>
      <c r="I185" s="243">
        <v>69</v>
      </c>
      <c r="J185" s="243">
        <v>77</v>
      </c>
      <c r="K185" s="243">
        <v>73</v>
      </c>
      <c r="L185" s="243">
        <v>66</v>
      </c>
      <c r="M185" s="243">
        <v>56</v>
      </c>
      <c r="N185" s="243">
        <v>86</v>
      </c>
      <c r="O185" s="253">
        <v>71</v>
      </c>
    </row>
    <row r="186" spans="1:15">
      <c r="A186" s="240" t="s">
        <v>69</v>
      </c>
      <c r="B186" s="47" t="s">
        <v>59</v>
      </c>
      <c r="C186" s="15">
        <v>642</v>
      </c>
      <c r="D186" s="243">
        <v>68</v>
      </c>
      <c r="E186" s="243">
        <v>28</v>
      </c>
      <c r="F186" s="243">
        <v>23</v>
      </c>
      <c r="G186" s="243">
        <v>30</v>
      </c>
      <c r="H186" s="243">
        <v>45</v>
      </c>
      <c r="I186" s="243">
        <v>69</v>
      </c>
      <c r="J186" s="243">
        <v>58</v>
      </c>
      <c r="K186" s="243">
        <v>72</v>
      </c>
      <c r="L186" s="243">
        <v>53</v>
      </c>
      <c r="M186" s="243">
        <v>54</v>
      </c>
      <c r="N186" s="243">
        <v>80</v>
      </c>
      <c r="O186" s="253">
        <v>62</v>
      </c>
    </row>
    <row r="187" spans="1:15">
      <c r="A187" s="242" t="s">
        <v>69</v>
      </c>
      <c r="B187" s="43" t="s">
        <v>4</v>
      </c>
      <c r="C187" s="15">
        <v>25</v>
      </c>
      <c r="D187" s="244">
        <v>1</v>
      </c>
      <c r="E187" s="244">
        <v>0</v>
      </c>
      <c r="F187" s="244">
        <v>0</v>
      </c>
      <c r="G187" s="244">
        <v>0</v>
      </c>
      <c r="H187" s="244">
        <v>2</v>
      </c>
      <c r="I187" s="244">
        <v>1</v>
      </c>
      <c r="J187" s="244">
        <v>5</v>
      </c>
      <c r="K187" s="244">
        <v>3</v>
      </c>
      <c r="L187" s="244">
        <v>1</v>
      </c>
      <c r="M187" s="244">
        <v>6</v>
      </c>
      <c r="N187" s="244">
        <v>5</v>
      </c>
      <c r="O187" s="254">
        <v>1</v>
      </c>
    </row>
    <row r="188" spans="1:15">
      <c r="A188" s="240" t="s">
        <v>69</v>
      </c>
      <c r="B188" s="47" t="s">
        <v>5</v>
      </c>
      <c r="C188" s="12">
        <v>0.0341770592947035</v>
      </c>
      <c r="D188" s="241">
        <v>0.0147058823529412</v>
      </c>
      <c r="E188" s="241">
        <v>0</v>
      </c>
      <c r="F188" s="241">
        <v>0</v>
      </c>
      <c r="G188" s="241">
        <v>0</v>
      </c>
      <c r="H188" s="241">
        <v>0.0444444444444444</v>
      </c>
      <c r="I188" s="241">
        <v>0.0144927536231884</v>
      </c>
      <c r="J188" s="241">
        <v>0.0862068965517241</v>
      </c>
      <c r="K188" s="241">
        <v>0.0416666666666667</v>
      </c>
      <c r="L188" s="241">
        <v>0.0188679245283019</v>
      </c>
      <c r="M188" s="241">
        <v>0.111111111111111</v>
      </c>
      <c r="N188" s="241">
        <v>0.0625</v>
      </c>
      <c r="O188" s="252">
        <v>0.0161290322580645</v>
      </c>
    </row>
    <row r="189" spans="1:15">
      <c r="A189" s="242" t="s">
        <v>69</v>
      </c>
      <c r="B189" s="43" t="s">
        <v>6</v>
      </c>
      <c r="C189" s="15">
        <v>9</v>
      </c>
      <c r="D189" s="244">
        <v>0</v>
      </c>
      <c r="E189" s="244">
        <v>1</v>
      </c>
      <c r="F189" s="244">
        <v>0</v>
      </c>
      <c r="G189" s="244">
        <v>0</v>
      </c>
      <c r="H189" s="244">
        <v>0</v>
      </c>
      <c r="I189" s="244">
        <v>1</v>
      </c>
      <c r="J189" s="244">
        <v>0</v>
      </c>
      <c r="K189" s="244">
        <v>2</v>
      </c>
      <c r="L189" s="244">
        <v>0</v>
      </c>
      <c r="M189" s="244">
        <v>2</v>
      </c>
      <c r="N189" s="244">
        <v>2</v>
      </c>
      <c r="O189" s="254">
        <v>1</v>
      </c>
    </row>
    <row r="190" ht="14.25" spans="1:15">
      <c r="A190" s="245" t="s">
        <v>69</v>
      </c>
      <c r="B190" s="52" t="s">
        <v>64</v>
      </c>
      <c r="C190" s="19">
        <v>0.36</v>
      </c>
      <c r="D190" s="246">
        <v>0</v>
      </c>
      <c r="E190" s="246">
        <v>0</v>
      </c>
      <c r="F190" s="246">
        <v>0</v>
      </c>
      <c r="G190" s="246">
        <v>0</v>
      </c>
      <c r="H190" s="246">
        <v>0</v>
      </c>
      <c r="I190" s="246">
        <v>1</v>
      </c>
      <c r="J190" s="246">
        <v>0</v>
      </c>
      <c r="K190" s="246">
        <v>0.666666666666667</v>
      </c>
      <c r="L190" s="246">
        <v>0</v>
      </c>
      <c r="M190" s="246">
        <v>0.333333333333333</v>
      </c>
      <c r="N190" s="246">
        <v>0.4</v>
      </c>
      <c r="O190" s="255">
        <v>1</v>
      </c>
    </row>
    <row r="191" spans="1:15">
      <c r="A191" s="240" t="s">
        <v>70</v>
      </c>
      <c r="B191" s="47" t="s">
        <v>55</v>
      </c>
      <c r="C191" s="12">
        <v>0.916951654701623</v>
      </c>
      <c r="D191" s="241">
        <v>1.06451612903226</v>
      </c>
      <c r="E191" s="241">
        <v>1</v>
      </c>
      <c r="F191" s="241">
        <v>0.875</v>
      </c>
      <c r="G191" s="241">
        <v>0.888888888888889</v>
      </c>
      <c r="H191" s="241">
        <v>0.833333333333333</v>
      </c>
      <c r="I191" s="241">
        <v>0.818181818181818</v>
      </c>
      <c r="J191" s="241">
        <v>0.948717948717949</v>
      </c>
      <c r="K191" s="241">
        <v>0.918367346938776</v>
      </c>
      <c r="L191" s="241">
        <v>1.07547169811321</v>
      </c>
      <c r="M191" s="241">
        <v>0.865853658536585</v>
      </c>
      <c r="N191" s="241">
        <v>0.896907216494845</v>
      </c>
      <c r="O191" s="252">
        <v>0.818181818181818</v>
      </c>
    </row>
    <row r="192" spans="1:15">
      <c r="A192" s="242" t="s">
        <v>70</v>
      </c>
      <c r="B192" s="43" t="s">
        <v>57</v>
      </c>
      <c r="C192" s="15">
        <v>569</v>
      </c>
      <c r="D192" s="243">
        <v>31</v>
      </c>
      <c r="E192" s="243">
        <v>15</v>
      </c>
      <c r="F192" s="243">
        <v>8</v>
      </c>
      <c r="G192" s="243">
        <v>27</v>
      </c>
      <c r="H192" s="243">
        <v>36</v>
      </c>
      <c r="I192" s="243">
        <v>55</v>
      </c>
      <c r="J192" s="243">
        <v>39</v>
      </c>
      <c r="K192" s="243">
        <v>49</v>
      </c>
      <c r="L192" s="243">
        <v>53</v>
      </c>
      <c r="M192" s="243">
        <v>82</v>
      </c>
      <c r="N192" s="243">
        <v>97</v>
      </c>
      <c r="O192" s="253">
        <v>77</v>
      </c>
    </row>
    <row r="193" spans="1:15">
      <c r="A193" s="240" t="s">
        <v>70</v>
      </c>
      <c r="B193" s="47" t="s">
        <v>59</v>
      </c>
      <c r="C193" s="15">
        <v>514</v>
      </c>
      <c r="D193" s="243">
        <v>33</v>
      </c>
      <c r="E193" s="243">
        <v>15</v>
      </c>
      <c r="F193" s="243">
        <v>7</v>
      </c>
      <c r="G193" s="243">
        <v>24</v>
      </c>
      <c r="H193" s="243">
        <v>30</v>
      </c>
      <c r="I193" s="243">
        <v>45</v>
      </c>
      <c r="J193" s="243">
        <v>37</v>
      </c>
      <c r="K193" s="243">
        <v>45</v>
      </c>
      <c r="L193" s="243">
        <v>57</v>
      </c>
      <c r="M193" s="243">
        <v>71</v>
      </c>
      <c r="N193" s="243">
        <v>87</v>
      </c>
      <c r="O193" s="253">
        <v>63</v>
      </c>
    </row>
    <row r="194" spans="1:15">
      <c r="A194" s="242" t="s">
        <v>70</v>
      </c>
      <c r="B194" s="43" t="s">
        <v>4</v>
      </c>
      <c r="C194" s="15">
        <v>7</v>
      </c>
      <c r="D194" s="244">
        <v>0</v>
      </c>
      <c r="E194" s="244">
        <v>0</v>
      </c>
      <c r="F194" s="244">
        <v>1</v>
      </c>
      <c r="G194" s="244">
        <v>0</v>
      </c>
      <c r="H194" s="244">
        <v>0</v>
      </c>
      <c r="I194" s="244">
        <v>0</v>
      </c>
      <c r="J194" s="244">
        <v>0</v>
      </c>
      <c r="K194" s="244">
        <v>2</v>
      </c>
      <c r="L194" s="244">
        <v>0</v>
      </c>
      <c r="M194" s="244">
        <v>1</v>
      </c>
      <c r="N194" s="244">
        <v>1</v>
      </c>
      <c r="O194" s="254">
        <v>2</v>
      </c>
    </row>
    <row r="195" spans="1:15">
      <c r="A195" s="240" t="s">
        <v>70</v>
      </c>
      <c r="B195" s="47" t="s">
        <v>5</v>
      </c>
      <c r="C195" s="12">
        <v>0.0203855315802863</v>
      </c>
      <c r="D195" s="241">
        <v>0</v>
      </c>
      <c r="E195" s="241">
        <v>0</v>
      </c>
      <c r="F195" s="241">
        <v>0.142857142857143</v>
      </c>
      <c r="G195" s="241">
        <v>0</v>
      </c>
      <c r="H195" s="241">
        <v>0</v>
      </c>
      <c r="I195" s="241">
        <v>0</v>
      </c>
      <c r="J195" s="241">
        <v>0</v>
      </c>
      <c r="K195" s="241">
        <v>0.0444444444444444</v>
      </c>
      <c r="L195" s="241">
        <v>0</v>
      </c>
      <c r="M195" s="241">
        <v>0.0140845070422535</v>
      </c>
      <c r="N195" s="241">
        <v>0.0114942528735632</v>
      </c>
      <c r="O195" s="252">
        <v>0.0317460317460317</v>
      </c>
    </row>
    <row r="196" spans="1:15">
      <c r="A196" s="242" t="s">
        <v>70</v>
      </c>
      <c r="B196" s="43" t="s">
        <v>6</v>
      </c>
      <c r="C196" s="15">
        <v>1</v>
      </c>
      <c r="D196" s="244">
        <v>0</v>
      </c>
      <c r="E196" s="244">
        <v>0</v>
      </c>
      <c r="F196" s="244">
        <v>1</v>
      </c>
      <c r="G196" s="244">
        <v>0</v>
      </c>
      <c r="H196" s="244">
        <v>0</v>
      </c>
      <c r="I196" s="244">
        <v>0</v>
      </c>
      <c r="J196" s="244">
        <v>0</v>
      </c>
      <c r="K196" s="244">
        <v>0</v>
      </c>
      <c r="L196" s="244">
        <v>0</v>
      </c>
      <c r="M196" s="244">
        <v>0</v>
      </c>
      <c r="N196" s="244">
        <v>0</v>
      </c>
      <c r="O196" s="254">
        <v>0</v>
      </c>
    </row>
    <row r="197" ht="14.25" spans="1:15">
      <c r="A197" s="245" t="s">
        <v>70</v>
      </c>
      <c r="B197" s="52" t="s">
        <v>64</v>
      </c>
      <c r="C197" s="19">
        <v>0.142857142857143</v>
      </c>
      <c r="D197" s="246">
        <v>0</v>
      </c>
      <c r="E197" s="246">
        <v>0</v>
      </c>
      <c r="F197" s="246">
        <v>1</v>
      </c>
      <c r="G197" s="246">
        <v>0</v>
      </c>
      <c r="H197" s="246">
        <v>0</v>
      </c>
      <c r="I197" s="246">
        <v>0</v>
      </c>
      <c r="J197" s="246">
        <v>0</v>
      </c>
      <c r="K197" s="246">
        <v>0</v>
      </c>
      <c r="L197" s="246">
        <v>0</v>
      </c>
      <c r="M197" s="246">
        <v>0</v>
      </c>
      <c r="N197" s="246">
        <v>0</v>
      </c>
      <c r="O197" s="255">
        <v>0</v>
      </c>
    </row>
    <row r="198" spans="1:15">
      <c r="A198" s="240" t="s">
        <v>26</v>
      </c>
      <c r="B198" s="47" t="s">
        <v>55</v>
      </c>
      <c r="C198" s="12">
        <v>1.48871837771388</v>
      </c>
      <c r="D198" s="241">
        <v>1.23831775700935</v>
      </c>
      <c r="E198" s="241">
        <v>1.29807692307692</v>
      </c>
      <c r="F198" s="241">
        <v>1.67241379310345</v>
      </c>
      <c r="G198" s="241">
        <v>1.67164179104478</v>
      </c>
      <c r="H198" s="241">
        <v>1.32110091743119</v>
      </c>
      <c r="I198" s="241">
        <v>1.47142857142857</v>
      </c>
      <c r="J198" s="241">
        <v>1.575</v>
      </c>
      <c r="K198" s="241">
        <v>1.73381294964029</v>
      </c>
      <c r="L198" s="241">
        <v>1.59036144578313</v>
      </c>
      <c r="M198" s="241">
        <v>1.51807228915663</v>
      </c>
      <c r="N198" s="241">
        <v>1.41037735849057</v>
      </c>
      <c r="O198" s="252">
        <v>1.36401673640167</v>
      </c>
    </row>
    <row r="199" spans="1:15">
      <c r="A199" s="242" t="s">
        <v>26</v>
      </c>
      <c r="B199" s="43" t="s">
        <v>57</v>
      </c>
      <c r="C199" s="15">
        <v>1774</v>
      </c>
      <c r="D199" s="243">
        <v>214</v>
      </c>
      <c r="E199" s="243">
        <v>104</v>
      </c>
      <c r="F199" s="243">
        <v>58</v>
      </c>
      <c r="G199" s="243">
        <v>67</v>
      </c>
      <c r="H199" s="243">
        <v>109</v>
      </c>
      <c r="I199" s="243">
        <v>140</v>
      </c>
      <c r="J199" s="243">
        <v>160</v>
      </c>
      <c r="K199" s="243">
        <v>139</v>
      </c>
      <c r="L199" s="243">
        <v>166</v>
      </c>
      <c r="M199" s="243">
        <v>166</v>
      </c>
      <c r="N199" s="243">
        <v>212</v>
      </c>
      <c r="O199" s="253">
        <v>239</v>
      </c>
    </row>
    <row r="200" spans="1:15">
      <c r="A200" s="240" t="s">
        <v>26</v>
      </c>
      <c r="B200" s="47" t="s">
        <v>59</v>
      </c>
      <c r="C200" s="15">
        <v>2593</v>
      </c>
      <c r="D200" s="243">
        <v>265</v>
      </c>
      <c r="E200" s="243">
        <v>135</v>
      </c>
      <c r="F200" s="243">
        <v>97</v>
      </c>
      <c r="G200" s="243">
        <v>112</v>
      </c>
      <c r="H200" s="243">
        <v>144</v>
      </c>
      <c r="I200" s="243">
        <v>206</v>
      </c>
      <c r="J200" s="243">
        <v>252</v>
      </c>
      <c r="K200" s="243">
        <v>241</v>
      </c>
      <c r="L200" s="243">
        <v>264</v>
      </c>
      <c r="M200" s="243">
        <v>252</v>
      </c>
      <c r="N200" s="243">
        <v>299</v>
      </c>
      <c r="O200" s="253">
        <v>326</v>
      </c>
    </row>
    <row r="201" spans="1:15">
      <c r="A201" s="242" t="s">
        <v>26</v>
      </c>
      <c r="B201" s="43" t="s">
        <v>4</v>
      </c>
      <c r="C201" s="15">
        <v>94</v>
      </c>
      <c r="D201" s="244">
        <v>12</v>
      </c>
      <c r="E201" s="244">
        <v>7</v>
      </c>
      <c r="F201" s="244">
        <v>4</v>
      </c>
      <c r="G201" s="244">
        <v>2</v>
      </c>
      <c r="H201" s="244">
        <v>7</v>
      </c>
      <c r="I201" s="244">
        <v>14</v>
      </c>
      <c r="J201" s="244">
        <v>7</v>
      </c>
      <c r="K201" s="244">
        <v>5</v>
      </c>
      <c r="L201" s="244">
        <v>6</v>
      </c>
      <c r="M201" s="244">
        <v>11</v>
      </c>
      <c r="N201" s="244">
        <v>10</v>
      </c>
      <c r="O201" s="254">
        <v>9</v>
      </c>
    </row>
    <row r="202" spans="1:15">
      <c r="A202" s="240" t="s">
        <v>26</v>
      </c>
      <c r="B202" s="47" t="s">
        <v>5</v>
      </c>
      <c r="C202" s="12">
        <v>0.0373963594398322</v>
      </c>
      <c r="D202" s="241">
        <v>0.0452830188679245</v>
      </c>
      <c r="E202" s="241">
        <v>0.0518518518518519</v>
      </c>
      <c r="F202" s="241">
        <v>0.0412371134020619</v>
      </c>
      <c r="G202" s="241">
        <v>0.0178571428571429</v>
      </c>
      <c r="H202" s="241">
        <v>0.0486111111111111</v>
      </c>
      <c r="I202" s="241">
        <v>0.0679611650485437</v>
      </c>
      <c r="J202" s="241">
        <v>0.0277777777777778</v>
      </c>
      <c r="K202" s="241">
        <v>0.020746887966805</v>
      </c>
      <c r="L202" s="241">
        <v>0.0227272727272727</v>
      </c>
      <c r="M202" s="241">
        <v>0.0436507936507936</v>
      </c>
      <c r="N202" s="241">
        <v>0.0334448160535117</v>
      </c>
      <c r="O202" s="252">
        <v>0.0276073619631902</v>
      </c>
    </row>
    <row r="203" spans="1:15">
      <c r="A203" s="242" t="s">
        <v>26</v>
      </c>
      <c r="B203" s="43" t="s">
        <v>6</v>
      </c>
      <c r="C203" s="15">
        <v>26</v>
      </c>
      <c r="D203" s="244">
        <v>3</v>
      </c>
      <c r="E203" s="244">
        <v>3</v>
      </c>
      <c r="F203" s="244">
        <v>1</v>
      </c>
      <c r="G203" s="244">
        <v>2</v>
      </c>
      <c r="H203" s="244">
        <v>2</v>
      </c>
      <c r="I203" s="244">
        <v>3</v>
      </c>
      <c r="J203" s="244">
        <v>1</v>
      </c>
      <c r="K203" s="244">
        <v>0</v>
      </c>
      <c r="L203" s="244">
        <v>1</v>
      </c>
      <c r="M203" s="244">
        <v>1</v>
      </c>
      <c r="N203" s="244">
        <v>6</v>
      </c>
      <c r="O203" s="254">
        <v>3</v>
      </c>
    </row>
    <row r="204" ht="14.25" spans="1:15">
      <c r="A204" s="245" t="s">
        <v>26</v>
      </c>
      <c r="B204" s="52" t="s">
        <v>64</v>
      </c>
      <c r="C204" s="19">
        <v>0.276595744680851</v>
      </c>
      <c r="D204" s="250">
        <v>3</v>
      </c>
      <c r="E204" s="250">
        <v>3</v>
      </c>
      <c r="F204" s="250">
        <v>1</v>
      </c>
      <c r="G204" s="250">
        <v>2</v>
      </c>
      <c r="H204" s="250">
        <v>2</v>
      </c>
      <c r="I204" s="250">
        <v>3</v>
      </c>
      <c r="J204" s="250">
        <v>1</v>
      </c>
      <c r="K204" s="250">
        <v>0</v>
      </c>
      <c r="L204" s="250">
        <v>1</v>
      </c>
      <c r="M204" s="250">
        <v>1</v>
      </c>
      <c r="N204" s="250">
        <v>6</v>
      </c>
      <c r="O204" s="257">
        <v>3</v>
      </c>
    </row>
    <row r="205" ht="14.25" spans="1:15">
      <c r="A205" s="237">
        <v>45021</v>
      </c>
      <c r="B205" s="237"/>
      <c r="C205" s="237"/>
      <c r="D205" s="237"/>
      <c r="E205" s="237"/>
      <c r="F205" s="237"/>
      <c r="G205" s="237"/>
      <c r="H205" s="237"/>
      <c r="I205" s="237"/>
      <c r="J205" s="237"/>
      <c r="K205" s="237"/>
      <c r="L205" s="237"/>
      <c r="M205" s="237"/>
      <c r="N205" s="237"/>
      <c r="O205" s="237"/>
    </row>
    <row r="206" spans="1:15">
      <c r="A206" s="56" t="s">
        <v>1</v>
      </c>
      <c r="B206" s="238"/>
      <c r="C206" s="8" t="s">
        <v>42</v>
      </c>
      <c r="D206" s="239" t="s">
        <v>43</v>
      </c>
      <c r="E206" s="239" t="s">
        <v>44</v>
      </c>
      <c r="F206" s="239" t="s">
        <v>45</v>
      </c>
      <c r="G206" s="239" t="s">
        <v>46</v>
      </c>
      <c r="H206" s="239" t="s">
        <v>47</v>
      </c>
      <c r="I206" s="239" t="s">
        <v>48</v>
      </c>
      <c r="J206" s="239" t="s">
        <v>49</v>
      </c>
      <c r="K206" s="239" t="s">
        <v>50</v>
      </c>
      <c r="L206" s="239" t="s">
        <v>51</v>
      </c>
      <c r="M206" s="239" t="s">
        <v>52</v>
      </c>
      <c r="N206" s="239" t="s">
        <v>53</v>
      </c>
      <c r="O206" s="251" t="s">
        <v>54</v>
      </c>
    </row>
    <row r="207" spans="1:15">
      <c r="A207" s="240" t="s">
        <v>22</v>
      </c>
      <c r="B207" s="47" t="s">
        <v>55</v>
      </c>
      <c r="C207" s="12">
        <v>0.345878096274684</v>
      </c>
      <c r="D207" s="241">
        <v>0.279266572637518</v>
      </c>
      <c r="E207" s="241">
        <v>0.172143974960876</v>
      </c>
      <c r="F207" s="241">
        <v>0.238562091503268</v>
      </c>
      <c r="G207" s="241">
        <v>0.321554770318021</v>
      </c>
      <c r="H207" s="241">
        <v>0.355742296918768</v>
      </c>
      <c r="I207" s="241">
        <v>0.405759162303665</v>
      </c>
      <c r="J207" s="241">
        <v>0.35264483627204</v>
      </c>
      <c r="K207" s="241">
        <v>0.371428571428571</v>
      </c>
      <c r="L207" s="241">
        <v>0.445161290322581</v>
      </c>
      <c r="M207" s="241">
        <v>0.412742382271468</v>
      </c>
      <c r="N207" s="241">
        <v>0.416091954022988</v>
      </c>
      <c r="O207" s="252">
        <v>0.379439252336449</v>
      </c>
    </row>
    <row r="208" spans="1:15">
      <c r="A208" s="242" t="s">
        <v>22</v>
      </c>
      <c r="B208" s="43" t="s">
        <v>57</v>
      </c>
      <c r="C208" s="15">
        <v>5099</v>
      </c>
      <c r="D208" s="243">
        <v>709</v>
      </c>
      <c r="E208" s="243">
        <v>639</v>
      </c>
      <c r="F208" s="243">
        <v>306</v>
      </c>
      <c r="G208" s="243">
        <v>283</v>
      </c>
      <c r="H208" s="243">
        <v>357</v>
      </c>
      <c r="I208" s="243">
        <v>382</v>
      </c>
      <c r="J208" s="243">
        <v>397</v>
      </c>
      <c r="K208" s="243">
        <v>385</v>
      </c>
      <c r="L208" s="243">
        <v>310</v>
      </c>
      <c r="M208" s="243">
        <v>361</v>
      </c>
      <c r="N208" s="243">
        <v>435</v>
      </c>
      <c r="O208" s="253">
        <v>535</v>
      </c>
    </row>
    <row r="209" spans="1:15">
      <c r="A209" s="240" t="s">
        <v>22</v>
      </c>
      <c r="B209" s="47" t="s">
        <v>59</v>
      </c>
      <c r="C209" s="15">
        <v>1708</v>
      </c>
      <c r="D209" s="243">
        <v>198</v>
      </c>
      <c r="E209" s="243">
        <v>110</v>
      </c>
      <c r="F209" s="243">
        <v>73</v>
      </c>
      <c r="G209" s="243">
        <v>91</v>
      </c>
      <c r="H209" s="243">
        <v>127</v>
      </c>
      <c r="I209" s="243">
        <v>155</v>
      </c>
      <c r="J209" s="243">
        <v>140</v>
      </c>
      <c r="K209" s="243">
        <v>143</v>
      </c>
      <c r="L209" s="243">
        <v>138</v>
      </c>
      <c r="M209" s="243">
        <v>149</v>
      </c>
      <c r="N209" s="243">
        <v>181</v>
      </c>
      <c r="O209" s="253">
        <v>203</v>
      </c>
    </row>
    <row r="210" spans="1:15">
      <c r="A210" s="242" t="s">
        <v>22</v>
      </c>
      <c r="B210" s="43" t="s">
        <v>4</v>
      </c>
      <c r="C210" s="15">
        <v>128</v>
      </c>
      <c r="D210" s="244">
        <v>20</v>
      </c>
      <c r="E210" s="244">
        <v>9</v>
      </c>
      <c r="F210" s="244">
        <v>5</v>
      </c>
      <c r="G210" s="244">
        <v>7</v>
      </c>
      <c r="H210" s="244">
        <v>6</v>
      </c>
      <c r="I210" s="244">
        <v>10</v>
      </c>
      <c r="J210" s="244">
        <v>13</v>
      </c>
      <c r="K210" s="244">
        <v>6</v>
      </c>
      <c r="L210" s="244">
        <v>10</v>
      </c>
      <c r="M210" s="244">
        <v>10</v>
      </c>
      <c r="N210" s="244">
        <v>16</v>
      </c>
      <c r="O210" s="254">
        <v>16</v>
      </c>
    </row>
    <row r="211" spans="1:15">
      <c r="A211" s="240" t="s">
        <v>22</v>
      </c>
      <c r="B211" s="47" t="s">
        <v>5</v>
      </c>
      <c r="C211" s="12">
        <v>0.0734677754077494</v>
      </c>
      <c r="D211" s="241">
        <v>0.101010101010101</v>
      </c>
      <c r="E211" s="241">
        <v>0.0818181818181818</v>
      </c>
      <c r="F211" s="241">
        <v>0.0684931506849315</v>
      </c>
      <c r="G211" s="241">
        <v>0.0769230769230769</v>
      </c>
      <c r="H211" s="241">
        <v>0.047244094488189</v>
      </c>
      <c r="I211" s="241">
        <v>0.0645161290322581</v>
      </c>
      <c r="J211" s="241">
        <v>0.0928571428571429</v>
      </c>
      <c r="K211" s="241">
        <v>0.041958041958042</v>
      </c>
      <c r="L211" s="241">
        <v>0.072463768115942</v>
      </c>
      <c r="M211" s="241">
        <v>0.0671140939597315</v>
      </c>
      <c r="N211" s="241">
        <v>0.0883977900552486</v>
      </c>
      <c r="O211" s="252">
        <v>0.0788177339901478</v>
      </c>
    </row>
    <row r="212" spans="1:15">
      <c r="A212" s="242" t="s">
        <v>22</v>
      </c>
      <c r="B212" s="43" t="s">
        <v>6</v>
      </c>
      <c r="C212" s="15">
        <v>51</v>
      </c>
      <c r="D212" s="244">
        <v>7</v>
      </c>
      <c r="E212" s="244">
        <v>5</v>
      </c>
      <c r="F212" s="244">
        <v>2</v>
      </c>
      <c r="G212" s="244">
        <v>2</v>
      </c>
      <c r="H212" s="244">
        <v>2</v>
      </c>
      <c r="I212" s="244">
        <v>3</v>
      </c>
      <c r="J212" s="244">
        <v>4</v>
      </c>
      <c r="K212" s="244">
        <v>1</v>
      </c>
      <c r="L212" s="244">
        <v>7</v>
      </c>
      <c r="M212" s="244">
        <v>5</v>
      </c>
      <c r="N212" s="244">
        <v>7</v>
      </c>
      <c r="O212" s="254">
        <v>6</v>
      </c>
    </row>
    <row r="213" ht="14.25" spans="1:15">
      <c r="A213" s="245" t="s">
        <v>22</v>
      </c>
      <c r="B213" s="52" t="s">
        <v>64</v>
      </c>
      <c r="C213" s="19">
        <v>0.3984375</v>
      </c>
      <c r="D213" s="246">
        <v>0.35</v>
      </c>
      <c r="E213" s="246">
        <v>0.555555555555556</v>
      </c>
      <c r="F213" s="246">
        <v>0.4</v>
      </c>
      <c r="G213" s="246">
        <v>0.285714285714286</v>
      </c>
      <c r="H213" s="246">
        <v>0.333333333333333</v>
      </c>
      <c r="I213" s="246">
        <v>0.3</v>
      </c>
      <c r="J213" s="246">
        <v>0.307692307692308</v>
      </c>
      <c r="K213" s="246">
        <v>0.166666666666667</v>
      </c>
      <c r="L213" s="246">
        <v>0.7</v>
      </c>
      <c r="M213" s="246">
        <v>0.5</v>
      </c>
      <c r="N213" s="246">
        <v>0.4375</v>
      </c>
      <c r="O213" s="255">
        <v>0.375</v>
      </c>
    </row>
    <row r="214" spans="1:15">
      <c r="A214" s="247" t="s">
        <v>66</v>
      </c>
      <c r="B214" s="248" t="s">
        <v>55</v>
      </c>
      <c r="C214" s="12">
        <v>0.132626545263016</v>
      </c>
      <c r="D214" s="249">
        <v>0.131914893617021</v>
      </c>
      <c r="E214" s="249">
        <v>0.0874635568513119</v>
      </c>
      <c r="F214" s="249">
        <v>0.0546218487394958</v>
      </c>
      <c r="G214" s="249">
        <v>0.0819672131147541</v>
      </c>
      <c r="H214" s="249">
        <v>0.0905660377358491</v>
      </c>
      <c r="I214" s="249">
        <v>0.130111524163569</v>
      </c>
      <c r="J214" s="249">
        <v>0.147058823529412</v>
      </c>
      <c r="K214" s="249">
        <v>0.204152249134948</v>
      </c>
      <c r="L214" s="249">
        <v>0.134453781512605</v>
      </c>
      <c r="M214" s="249">
        <v>0.247368421052632</v>
      </c>
      <c r="N214" s="249">
        <v>0.142857142857143</v>
      </c>
      <c r="O214" s="256">
        <v>0.138983050847458</v>
      </c>
    </row>
    <row r="215" spans="1:15">
      <c r="A215" s="242" t="s">
        <v>66</v>
      </c>
      <c r="B215" s="43" t="s">
        <v>57</v>
      </c>
      <c r="C215" s="15">
        <v>3352</v>
      </c>
      <c r="D215" s="243">
        <v>470</v>
      </c>
      <c r="E215" s="243">
        <v>343</v>
      </c>
      <c r="F215" s="243">
        <v>238</v>
      </c>
      <c r="G215" s="243">
        <v>244</v>
      </c>
      <c r="H215" s="243">
        <v>265</v>
      </c>
      <c r="I215" s="243">
        <v>269</v>
      </c>
      <c r="J215" s="243">
        <v>238</v>
      </c>
      <c r="K215" s="243">
        <v>289</v>
      </c>
      <c r="L215" s="243">
        <v>238</v>
      </c>
      <c r="M215" s="243">
        <v>190</v>
      </c>
      <c r="N215" s="243">
        <v>273</v>
      </c>
      <c r="O215" s="253">
        <v>295</v>
      </c>
    </row>
    <row r="216" spans="1:15">
      <c r="A216" s="240" t="s">
        <v>66</v>
      </c>
      <c r="B216" s="47" t="s">
        <v>59</v>
      </c>
      <c r="C216" s="15">
        <v>437</v>
      </c>
      <c r="D216" s="243">
        <v>62</v>
      </c>
      <c r="E216" s="243">
        <v>30</v>
      </c>
      <c r="F216" s="243">
        <v>13</v>
      </c>
      <c r="G216" s="243">
        <v>20</v>
      </c>
      <c r="H216" s="243">
        <v>24</v>
      </c>
      <c r="I216" s="243">
        <v>35</v>
      </c>
      <c r="J216" s="243">
        <v>35</v>
      </c>
      <c r="K216" s="243">
        <v>59</v>
      </c>
      <c r="L216" s="243">
        <v>32</v>
      </c>
      <c r="M216" s="243">
        <v>47</v>
      </c>
      <c r="N216" s="243">
        <v>39</v>
      </c>
      <c r="O216" s="253">
        <v>41</v>
      </c>
    </row>
    <row r="217" spans="1:15">
      <c r="A217" s="242" t="s">
        <v>66</v>
      </c>
      <c r="B217" s="43" t="s">
        <v>4</v>
      </c>
      <c r="C217" s="15">
        <v>34</v>
      </c>
      <c r="D217" s="244">
        <v>2</v>
      </c>
      <c r="E217" s="244">
        <v>5</v>
      </c>
      <c r="F217" s="244">
        <v>3</v>
      </c>
      <c r="G217" s="244">
        <v>2</v>
      </c>
      <c r="H217" s="244">
        <v>1</v>
      </c>
      <c r="I217" s="244">
        <v>1</v>
      </c>
      <c r="J217" s="244">
        <v>4</v>
      </c>
      <c r="K217" s="244">
        <v>3</v>
      </c>
      <c r="L217" s="244">
        <v>2</v>
      </c>
      <c r="M217" s="244">
        <v>2</v>
      </c>
      <c r="N217" s="244">
        <v>5</v>
      </c>
      <c r="O217" s="254">
        <v>4</v>
      </c>
    </row>
    <row r="218" spans="1:15">
      <c r="A218" s="240" t="s">
        <v>66</v>
      </c>
      <c r="B218" s="47" t="s">
        <v>5</v>
      </c>
      <c r="C218" s="12">
        <v>0.0913237103672667</v>
      </c>
      <c r="D218" s="241">
        <v>0.032258064516129</v>
      </c>
      <c r="E218" s="241">
        <v>0.166666666666667</v>
      </c>
      <c r="F218" s="241">
        <v>0.230769230769231</v>
      </c>
      <c r="G218" s="241">
        <v>0.1</v>
      </c>
      <c r="H218" s="241">
        <v>0.0416666666666667</v>
      </c>
      <c r="I218" s="241">
        <v>0.0285714285714286</v>
      </c>
      <c r="J218" s="241">
        <v>0.114285714285714</v>
      </c>
      <c r="K218" s="241">
        <v>0.0508474576271186</v>
      </c>
      <c r="L218" s="241">
        <v>0.0625</v>
      </c>
      <c r="M218" s="241">
        <v>0.0425531914893617</v>
      </c>
      <c r="N218" s="241">
        <v>0.128205128205128</v>
      </c>
      <c r="O218" s="252">
        <v>0.0975609756097561</v>
      </c>
    </row>
    <row r="219" spans="1:15">
      <c r="A219" s="242" t="s">
        <v>66</v>
      </c>
      <c r="B219" s="43" t="s">
        <v>6</v>
      </c>
      <c r="C219" s="15">
        <v>12</v>
      </c>
      <c r="D219" s="244">
        <v>1</v>
      </c>
      <c r="E219" s="244">
        <v>3</v>
      </c>
      <c r="F219" s="244">
        <v>0</v>
      </c>
      <c r="G219" s="244">
        <v>1</v>
      </c>
      <c r="H219" s="244">
        <v>1</v>
      </c>
      <c r="I219" s="244">
        <v>0</v>
      </c>
      <c r="J219" s="244">
        <v>1</v>
      </c>
      <c r="K219" s="244">
        <v>2</v>
      </c>
      <c r="L219" s="244">
        <v>0</v>
      </c>
      <c r="M219" s="244">
        <v>1</v>
      </c>
      <c r="N219" s="244">
        <v>2</v>
      </c>
      <c r="O219" s="254">
        <v>0</v>
      </c>
    </row>
    <row r="220" ht="14.25" spans="1:15">
      <c r="A220" s="245" t="s">
        <v>66</v>
      </c>
      <c r="B220" s="52" t="s">
        <v>64</v>
      </c>
      <c r="C220" s="19">
        <v>0.352941176470588</v>
      </c>
      <c r="D220" s="246">
        <v>0.5</v>
      </c>
      <c r="E220" s="246">
        <v>0.6</v>
      </c>
      <c r="F220" s="246">
        <v>0</v>
      </c>
      <c r="G220" s="246">
        <v>0.5</v>
      </c>
      <c r="H220" s="246">
        <v>1</v>
      </c>
      <c r="I220" s="246">
        <v>0</v>
      </c>
      <c r="J220" s="246">
        <v>0.25</v>
      </c>
      <c r="K220" s="246">
        <v>0.666666666666667</v>
      </c>
      <c r="L220" s="246">
        <v>0</v>
      </c>
      <c r="M220" s="246">
        <v>0.5</v>
      </c>
      <c r="N220" s="246">
        <v>0.4</v>
      </c>
      <c r="O220" s="255">
        <v>0</v>
      </c>
    </row>
    <row r="221" spans="1:15">
      <c r="A221" s="240" t="s">
        <v>67</v>
      </c>
      <c r="B221" s="47" t="s">
        <v>55</v>
      </c>
      <c r="C221" s="12">
        <v>0.621370948001039</v>
      </c>
      <c r="D221" s="241">
        <v>0.55952380952381</v>
      </c>
      <c r="E221" s="241">
        <v>0.85</v>
      </c>
      <c r="F221" s="241">
        <v>0.625</v>
      </c>
      <c r="G221" s="241">
        <v>0.628571428571429</v>
      </c>
      <c r="H221" s="241">
        <v>0.615384615384615</v>
      </c>
      <c r="I221" s="241">
        <v>0.627118644067797</v>
      </c>
      <c r="J221" s="241">
        <v>0.7</v>
      </c>
      <c r="K221" s="241">
        <v>0.621212121212121</v>
      </c>
      <c r="L221" s="241">
        <v>0.686567164179104</v>
      </c>
      <c r="M221" s="241">
        <v>0.583333333333333</v>
      </c>
      <c r="N221" s="241">
        <v>0.414285714285714</v>
      </c>
      <c r="O221" s="252">
        <v>0.545454545454545</v>
      </c>
    </row>
    <row r="222" spans="1:15">
      <c r="A222" s="242" t="s">
        <v>67</v>
      </c>
      <c r="B222" s="43" t="s">
        <v>57</v>
      </c>
      <c r="C222" s="15">
        <v>665</v>
      </c>
      <c r="D222" s="243">
        <v>84</v>
      </c>
      <c r="E222" s="243">
        <v>40</v>
      </c>
      <c r="F222" s="243">
        <v>16</v>
      </c>
      <c r="G222" s="243">
        <v>35</v>
      </c>
      <c r="H222" s="243">
        <v>52</v>
      </c>
      <c r="I222" s="243">
        <v>59</v>
      </c>
      <c r="J222" s="243">
        <v>50</v>
      </c>
      <c r="K222" s="243">
        <v>66</v>
      </c>
      <c r="L222" s="243">
        <v>67</v>
      </c>
      <c r="M222" s="243">
        <v>60</v>
      </c>
      <c r="N222" s="243">
        <v>70</v>
      </c>
      <c r="O222" s="253">
        <v>66</v>
      </c>
    </row>
    <row r="223" spans="1:15">
      <c r="A223" s="240" t="s">
        <v>67</v>
      </c>
      <c r="B223" s="47" t="s">
        <v>59</v>
      </c>
      <c r="C223" s="15">
        <v>404</v>
      </c>
      <c r="D223" s="243">
        <v>47</v>
      </c>
      <c r="E223" s="243">
        <v>34</v>
      </c>
      <c r="F223" s="243">
        <v>10</v>
      </c>
      <c r="G223" s="243">
        <v>22</v>
      </c>
      <c r="H223" s="243">
        <v>32</v>
      </c>
      <c r="I223" s="243">
        <v>37</v>
      </c>
      <c r="J223" s="243">
        <v>35</v>
      </c>
      <c r="K223" s="243">
        <v>41</v>
      </c>
      <c r="L223" s="243">
        <v>46</v>
      </c>
      <c r="M223" s="243">
        <v>35</v>
      </c>
      <c r="N223" s="243">
        <v>29</v>
      </c>
      <c r="O223" s="253">
        <v>36</v>
      </c>
    </row>
    <row r="224" spans="1:15">
      <c r="A224" s="242" t="s">
        <v>67</v>
      </c>
      <c r="B224" s="43" t="s">
        <v>4</v>
      </c>
      <c r="C224" s="15">
        <v>22</v>
      </c>
      <c r="D224" s="244">
        <v>3</v>
      </c>
      <c r="E224" s="244">
        <v>4</v>
      </c>
      <c r="F224" s="244">
        <v>0</v>
      </c>
      <c r="G224" s="244">
        <v>1</v>
      </c>
      <c r="H224" s="244">
        <v>0</v>
      </c>
      <c r="I224" s="244">
        <v>1</v>
      </c>
      <c r="J224" s="244">
        <v>3</v>
      </c>
      <c r="K224" s="244">
        <v>1</v>
      </c>
      <c r="L224" s="244">
        <v>2</v>
      </c>
      <c r="M224" s="244">
        <v>2</v>
      </c>
      <c r="N224" s="244">
        <v>2</v>
      </c>
      <c r="O224" s="254">
        <v>3</v>
      </c>
    </row>
    <row r="225" spans="1:15">
      <c r="A225" s="240" t="s">
        <v>67</v>
      </c>
      <c r="B225" s="47" t="s">
        <v>5</v>
      </c>
      <c r="C225" s="12">
        <v>0.051415243061917</v>
      </c>
      <c r="D225" s="241">
        <v>0.0638297872340425</v>
      </c>
      <c r="E225" s="241">
        <v>0.117647058823529</v>
      </c>
      <c r="F225" s="241">
        <v>0</v>
      </c>
      <c r="G225" s="241">
        <v>0.0454545454545455</v>
      </c>
      <c r="H225" s="241">
        <v>0</v>
      </c>
      <c r="I225" s="241">
        <v>0.027027027027027</v>
      </c>
      <c r="J225" s="241">
        <v>0.0857142857142857</v>
      </c>
      <c r="K225" s="241">
        <v>0.024390243902439</v>
      </c>
      <c r="L225" s="241">
        <v>0.0434782608695652</v>
      </c>
      <c r="M225" s="241">
        <v>0.0571428571428571</v>
      </c>
      <c r="N225" s="241">
        <v>0.0689655172413793</v>
      </c>
      <c r="O225" s="252">
        <v>0.0833333333333333</v>
      </c>
    </row>
    <row r="226" spans="1:15">
      <c r="A226" s="242" t="s">
        <v>67</v>
      </c>
      <c r="B226" s="43" t="s">
        <v>6</v>
      </c>
      <c r="C226" s="15">
        <v>11</v>
      </c>
      <c r="D226" s="244">
        <v>0</v>
      </c>
      <c r="E226" s="244">
        <v>4</v>
      </c>
      <c r="F226" s="244">
        <v>0</v>
      </c>
      <c r="G226" s="244">
        <v>0</v>
      </c>
      <c r="H226" s="244">
        <v>1</v>
      </c>
      <c r="I226" s="244">
        <v>1</v>
      </c>
      <c r="J226" s="244">
        <v>0</v>
      </c>
      <c r="K226" s="244">
        <v>0</v>
      </c>
      <c r="L226" s="244">
        <v>2</v>
      </c>
      <c r="M226" s="244">
        <v>1</v>
      </c>
      <c r="N226" s="244">
        <v>2</v>
      </c>
      <c r="O226" s="254">
        <v>0</v>
      </c>
    </row>
    <row r="227" ht="14.25" spans="1:15">
      <c r="A227" s="245" t="s">
        <v>67</v>
      </c>
      <c r="B227" s="52" t="s">
        <v>64</v>
      </c>
      <c r="C227" s="19">
        <v>0.5</v>
      </c>
      <c r="D227" s="246">
        <v>0</v>
      </c>
      <c r="E227" s="246">
        <v>1</v>
      </c>
      <c r="F227" s="246">
        <v>0</v>
      </c>
      <c r="G227" s="246">
        <v>0</v>
      </c>
      <c r="H227" s="246">
        <v>0</v>
      </c>
      <c r="I227" s="246">
        <v>1</v>
      </c>
      <c r="J227" s="246">
        <v>0</v>
      </c>
      <c r="K227" s="246">
        <v>0</v>
      </c>
      <c r="L227" s="246">
        <v>1</v>
      </c>
      <c r="M227" s="246">
        <v>0.5</v>
      </c>
      <c r="N227" s="246">
        <v>1</v>
      </c>
      <c r="O227" s="255">
        <v>0</v>
      </c>
    </row>
    <row r="228" spans="1:15">
      <c r="A228" s="240" t="s">
        <v>68</v>
      </c>
      <c r="B228" s="47" t="s">
        <v>55</v>
      </c>
      <c r="C228" s="12">
        <v>0.139867317085361</v>
      </c>
      <c r="D228" s="241">
        <v>0.2125</v>
      </c>
      <c r="E228" s="241">
        <v>0.263681592039801</v>
      </c>
      <c r="F228" s="241">
        <v>0.237837837837838</v>
      </c>
      <c r="G228" s="241">
        <v>0.121359223300971</v>
      </c>
      <c r="H228" s="241">
        <v>0.125912408759124</v>
      </c>
      <c r="I228" s="241">
        <v>0.127692307692308</v>
      </c>
      <c r="J228" s="241">
        <v>0.143631436314363</v>
      </c>
      <c r="K228" s="241">
        <v>0.172514619883041</v>
      </c>
      <c r="L228" s="241">
        <v>0.166083916083916</v>
      </c>
      <c r="M228" s="241">
        <v>0.0340632603406326</v>
      </c>
      <c r="N228" s="241">
        <v>0.0364056631031494</v>
      </c>
      <c r="O228" s="252">
        <v>0.0367255396691898</v>
      </c>
    </row>
    <row r="229" spans="1:15">
      <c r="A229" s="242" t="s">
        <v>68</v>
      </c>
      <c r="B229" s="43" t="s">
        <v>57</v>
      </c>
      <c r="C229" s="15">
        <v>14786</v>
      </c>
      <c r="D229" s="243">
        <v>480</v>
      </c>
      <c r="E229" s="243">
        <v>201</v>
      </c>
      <c r="F229" s="243">
        <v>185</v>
      </c>
      <c r="G229" s="243">
        <v>412</v>
      </c>
      <c r="H229" s="243">
        <v>548</v>
      </c>
      <c r="I229" s="243">
        <v>650</v>
      </c>
      <c r="J229" s="243">
        <v>738</v>
      </c>
      <c r="K229" s="243">
        <v>684</v>
      </c>
      <c r="L229" s="243">
        <v>572</v>
      </c>
      <c r="M229" s="243">
        <v>3288</v>
      </c>
      <c r="N229" s="243">
        <v>3461</v>
      </c>
      <c r="O229" s="253">
        <v>3567</v>
      </c>
    </row>
    <row r="230" spans="1:15">
      <c r="A230" s="240" t="s">
        <v>68</v>
      </c>
      <c r="B230" s="47" t="s">
        <v>59</v>
      </c>
      <c r="C230" s="15">
        <v>1089</v>
      </c>
      <c r="D230" s="243">
        <v>102</v>
      </c>
      <c r="E230" s="243">
        <v>53</v>
      </c>
      <c r="F230" s="243">
        <v>44</v>
      </c>
      <c r="G230" s="243">
        <v>50</v>
      </c>
      <c r="H230" s="243">
        <v>69</v>
      </c>
      <c r="I230" s="243">
        <v>83</v>
      </c>
      <c r="J230" s="243">
        <v>106</v>
      </c>
      <c r="K230" s="243">
        <v>118</v>
      </c>
      <c r="L230" s="243">
        <v>95</v>
      </c>
      <c r="M230" s="243">
        <v>112</v>
      </c>
      <c r="N230" s="243">
        <v>126</v>
      </c>
      <c r="O230" s="253">
        <v>131</v>
      </c>
    </row>
    <row r="231" spans="1:15">
      <c r="A231" s="242" t="s">
        <v>68</v>
      </c>
      <c r="B231" s="43" t="s">
        <v>4</v>
      </c>
      <c r="C231" s="15">
        <v>48</v>
      </c>
      <c r="D231" s="244">
        <v>7</v>
      </c>
      <c r="E231" s="244">
        <v>3</v>
      </c>
      <c r="F231" s="244">
        <v>1</v>
      </c>
      <c r="G231" s="244">
        <v>0</v>
      </c>
      <c r="H231" s="244">
        <v>4</v>
      </c>
      <c r="I231" s="244">
        <v>1</v>
      </c>
      <c r="J231" s="244">
        <v>5</v>
      </c>
      <c r="K231" s="244">
        <v>5</v>
      </c>
      <c r="L231" s="244">
        <v>2</v>
      </c>
      <c r="M231" s="244">
        <v>4</v>
      </c>
      <c r="N231" s="244">
        <v>5</v>
      </c>
      <c r="O231" s="254">
        <v>11</v>
      </c>
    </row>
    <row r="232" spans="1:15">
      <c r="A232" s="240" t="s">
        <v>68</v>
      </c>
      <c r="B232" s="47" t="s">
        <v>5</v>
      </c>
      <c r="C232" s="12">
        <v>0.0406616099881436</v>
      </c>
      <c r="D232" s="241">
        <v>0.0686274509803922</v>
      </c>
      <c r="E232" s="241">
        <v>0.0566037735849057</v>
      </c>
      <c r="F232" s="241">
        <v>0.0227272727272727</v>
      </c>
      <c r="G232" s="241">
        <v>0</v>
      </c>
      <c r="H232" s="241">
        <v>0.0579710144927536</v>
      </c>
      <c r="I232" s="241">
        <v>0.0120481927710843</v>
      </c>
      <c r="J232" s="241">
        <v>0.0471698113207547</v>
      </c>
      <c r="K232" s="241">
        <v>0.0423728813559322</v>
      </c>
      <c r="L232" s="241">
        <v>0.0210526315789474</v>
      </c>
      <c r="M232" s="241">
        <v>0.0357142857142857</v>
      </c>
      <c r="N232" s="241">
        <v>0.0396825396825397</v>
      </c>
      <c r="O232" s="252">
        <v>0.083969465648855</v>
      </c>
    </row>
    <row r="233" spans="1:15">
      <c r="A233" s="242" t="s">
        <v>68</v>
      </c>
      <c r="B233" s="43" t="s">
        <v>6</v>
      </c>
      <c r="C233" s="15">
        <v>27</v>
      </c>
      <c r="D233" s="244">
        <v>3</v>
      </c>
      <c r="E233" s="244">
        <v>3</v>
      </c>
      <c r="F233" s="244">
        <v>0</v>
      </c>
      <c r="G233" s="244">
        <v>0</v>
      </c>
      <c r="H233" s="244">
        <v>2</v>
      </c>
      <c r="I233" s="244">
        <v>1</v>
      </c>
      <c r="J233" s="244">
        <v>3</v>
      </c>
      <c r="K233" s="244">
        <v>4</v>
      </c>
      <c r="L233" s="244">
        <v>1</v>
      </c>
      <c r="M233" s="244">
        <v>4</v>
      </c>
      <c r="N233" s="244">
        <v>1</v>
      </c>
      <c r="O233" s="254">
        <v>5</v>
      </c>
    </row>
    <row r="234" ht="14.25" spans="1:15">
      <c r="A234" s="245" t="s">
        <v>68</v>
      </c>
      <c r="B234" s="52" t="s">
        <v>64</v>
      </c>
      <c r="C234" s="19">
        <v>0.5625</v>
      </c>
      <c r="D234" s="246">
        <v>0.428571428571429</v>
      </c>
      <c r="E234" s="246">
        <v>1</v>
      </c>
      <c r="F234" s="246">
        <v>0</v>
      </c>
      <c r="G234" s="246">
        <v>0</v>
      </c>
      <c r="H234" s="246">
        <v>0.5</v>
      </c>
      <c r="I234" s="246">
        <v>1</v>
      </c>
      <c r="J234" s="246">
        <v>0.6</v>
      </c>
      <c r="K234" s="246">
        <v>0.8</v>
      </c>
      <c r="L234" s="246">
        <v>0.5</v>
      </c>
      <c r="M234" s="246">
        <v>1</v>
      </c>
      <c r="N234" s="246">
        <v>0.2</v>
      </c>
      <c r="O234" s="255">
        <v>0.454545454545455</v>
      </c>
    </row>
    <row r="235" spans="1:15">
      <c r="A235" s="240" t="s">
        <v>69</v>
      </c>
      <c r="B235" s="47" t="s">
        <v>55</v>
      </c>
      <c r="C235" s="12">
        <v>0.889751506407107</v>
      </c>
      <c r="D235" s="241">
        <v>1.02597402597403</v>
      </c>
      <c r="E235" s="241">
        <v>0.666666666666667</v>
      </c>
      <c r="F235" s="241">
        <v>0.583333333333333</v>
      </c>
      <c r="G235" s="241">
        <v>1</v>
      </c>
      <c r="H235" s="241">
        <v>0.982456140350877</v>
      </c>
      <c r="I235" s="241">
        <v>0.819444444444444</v>
      </c>
      <c r="J235" s="241">
        <v>0.814285714285714</v>
      </c>
      <c r="K235" s="241">
        <v>0.888888888888889</v>
      </c>
      <c r="L235" s="241">
        <v>0.96969696969697</v>
      </c>
      <c r="M235" s="241">
        <v>1.03636363636364</v>
      </c>
      <c r="N235" s="241">
        <v>1</v>
      </c>
      <c r="O235" s="252">
        <v>0.889908256880734</v>
      </c>
    </row>
    <row r="236" spans="1:15">
      <c r="A236" s="242" t="s">
        <v>69</v>
      </c>
      <c r="B236" s="43" t="s">
        <v>57</v>
      </c>
      <c r="C236" s="15">
        <v>766</v>
      </c>
      <c r="D236" s="243">
        <v>77</v>
      </c>
      <c r="E236" s="243">
        <v>60</v>
      </c>
      <c r="F236" s="243">
        <v>36</v>
      </c>
      <c r="G236" s="243">
        <v>37</v>
      </c>
      <c r="H236" s="243">
        <v>57</v>
      </c>
      <c r="I236" s="243">
        <v>72</v>
      </c>
      <c r="J236" s="243">
        <v>70</v>
      </c>
      <c r="K236" s="243">
        <v>63</v>
      </c>
      <c r="L236" s="243">
        <v>66</v>
      </c>
      <c r="M236" s="243">
        <v>55</v>
      </c>
      <c r="N236" s="243">
        <v>64</v>
      </c>
      <c r="O236" s="253">
        <v>109</v>
      </c>
    </row>
    <row r="237" spans="1:15">
      <c r="A237" s="240" t="s">
        <v>69</v>
      </c>
      <c r="B237" s="47" t="s">
        <v>59</v>
      </c>
      <c r="C237" s="15">
        <v>687</v>
      </c>
      <c r="D237" s="243">
        <v>79</v>
      </c>
      <c r="E237" s="243">
        <v>40</v>
      </c>
      <c r="F237" s="243">
        <v>21</v>
      </c>
      <c r="G237" s="243">
        <v>37</v>
      </c>
      <c r="H237" s="243">
        <v>56</v>
      </c>
      <c r="I237" s="243">
        <v>59</v>
      </c>
      <c r="J237" s="243">
        <v>57</v>
      </c>
      <c r="K237" s="243">
        <v>56</v>
      </c>
      <c r="L237" s="243">
        <v>64</v>
      </c>
      <c r="M237" s="243">
        <v>57</v>
      </c>
      <c r="N237" s="243">
        <v>64</v>
      </c>
      <c r="O237" s="253">
        <v>97</v>
      </c>
    </row>
    <row r="238" spans="1:15">
      <c r="A238" s="242" t="s">
        <v>69</v>
      </c>
      <c r="B238" s="43" t="s">
        <v>4</v>
      </c>
      <c r="C238" s="15">
        <v>29</v>
      </c>
      <c r="D238" s="244">
        <v>0</v>
      </c>
      <c r="E238" s="244">
        <v>0</v>
      </c>
      <c r="F238" s="244">
        <v>1</v>
      </c>
      <c r="G238" s="244">
        <v>1</v>
      </c>
      <c r="H238" s="244">
        <v>1</v>
      </c>
      <c r="I238" s="244">
        <v>3</v>
      </c>
      <c r="J238" s="244">
        <v>2</v>
      </c>
      <c r="K238" s="244">
        <v>4</v>
      </c>
      <c r="L238" s="244">
        <v>2</v>
      </c>
      <c r="M238" s="244">
        <v>3</v>
      </c>
      <c r="N238" s="244">
        <v>8</v>
      </c>
      <c r="O238" s="254">
        <v>4</v>
      </c>
    </row>
    <row r="239" spans="1:15">
      <c r="A239" s="240" t="s">
        <v>69</v>
      </c>
      <c r="B239" s="47" t="s">
        <v>5</v>
      </c>
      <c r="C239" s="12">
        <v>0.0416654715172153</v>
      </c>
      <c r="D239" s="241">
        <v>0</v>
      </c>
      <c r="E239" s="241">
        <v>0</v>
      </c>
      <c r="F239" s="241">
        <v>0.0476190476190476</v>
      </c>
      <c r="G239" s="241">
        <v>0.027027027027027</v>
      </c>
      <c r="H239" s="241">
        <v>0.0178571428571429</v>
      </c>
      <c r="I239" s="241">
        <v>0.0508474576271186</v>
      </c>
      <c r="J239" s="241">
        <v>0.0350877192982456</v>
      </c>
      <c r="K239" s="241">
        <v>0.0714285714285714</v>
      </c>
      <c r="L239" s="241">
        <v>0.03125</v>
      </c>
      <c r="M239" s="241">
        <v>0.0526315789473684</v>
      </c>
      <c r="N239" s="241">
        <v>0.125</v>
      </c>
      <c r="O239" s="252">
        <v>0.0412371134020619</v>
      </c>
    </row>
    <row r="240" spans="1:15">
      <c r="A240" s="242" t="s">
        <v>69</v>
      </c>
      <c r="B240" s="43" t="s">
        <v>6</v>
      </c>
      <c r="C240" s="15">
        <v>9</v>
      </c>
      <c r="D240" s="244">
        <v>1</v>
      </c>
      <c r="E240" s="244">
        <v>0</v>
      </c>
      <c r="F240" s="244">
        <v>1</v>
      </c>
      <c r="G240" s="244">
        <v>0</v>
      </c>
      <c r="H240" s="244">
        <v>0</v>
      </c>
      <c r="I240" s="244">
        <v>0</v>
      </c>
      <c r="J240" s="244">
        <v>1</v>
      </c>
      <c r="K240" s="244">
        <v>0</v>
      </c>
      <c r="L240" s="244">
        <v>0</v>
      </c>
      <c r="M240" s="244">
        <v>2</v>
      </c>
      <c r="N240" s="244">
        <v>2</v>
      </c>
      <c r="O240" s="254">
        <v>2</v>
      </c>
    </row>
    <row r="241" ht="14.25" spans="1:15">
      <c r="A241" s="245" t="s">
        <v>69</v>
      </c>
      <c r="B241" s="52" t="s">
        <v>64</v>
      </c>
      <c r="C241" s="19">
        <v>0.310344827586207</v>
      </c>
      <c r="D241" s="246">
        <v>0</v>
      </c>
      <c r="E241" s="246">
        <v>0</v>
      </c>
      <c r="F241" s="246">
        <v>1</v>
      </c>
      <c r="G241" s="246">
        <v>0</v>
      </c>
      <c r="H241" s="246">
        <v>0</v>
      </c>
      <c r="I241" s="246">
        <v>0</v>
      </c>
      <c r="J241" s="246">
        <v>0.5</v>
      </c>
      <c r="K241" s="246">
        <v>0</v>
      </c>
      <c r="L241" s="246">
        <v>0</v>
      </c>
      <c r="M241" s="246">
        <v>0.666666666666667</v>
      </c>
      <c r="N241" s="246">
        <v>0.25</v>
      </c>
      <c r="O241" s="255">
        <v>0.5</v>
      </c>
    </row>
    <row r="242" spans="1:15">
      <c r="A242" s="240" t="s">
        <v>70</v>
      </c>
      <c r="B242" s="47" t="s">
        <v>55</v>
      </c>
      <c r="C242" s="12">
        <v>0.915211387583613</v>
      </c>
      <c r="D242" s="241">
        <v>0.979166666666667</v>
      </c>
      <c r="E242" s="241">
        <v>0.842105263157895</v>
      </c>
      <c r="F242" s="241">
        <v>0.763157894736842</v>
      </c>
      <c r="G242" s="241">
        <v>1.03448275862069</v>
      </c>
      <c r="H242" s="241">
        <v>0.829268292682927</v>
      </c>
      <c r="I242" s="241">
        <v>1</v>
      </c>
      <c r="J242" s="241">
        <v>0.863636363636364</v>
      </c>
      <c r="K242" s="241">
        <v>0.843137254901961</v>
      </c>
      <c r="L242" s="241">
        <v>1.09259259259259</v>
      </c>
      <c r="M242" s="241">
        <v>0.927272727272727</v>
      </c>
      <c r="N242" s="241">
        <v>0.828125</v>
      </c>
      <c r="O242" s="252">
        <v>0.979591836734694</v>
      </c>
    </row>
    <row r="243" spans="1:15">
      <c r="A243" s="242" t="s">
        <v>70</v>
      </c>
      <c r="B243" s="43" t="s">
        <v>57</v>
      </c>
      <c r="C243" s="15">
        <v>544</v>
      </c>
      <c r="D243" s="243">
        <v>48</v>
      </c>
      <c r="E243" s="243">
        <v>19</v>
      </c>
      <c r="F243" s="243">
        <v>38</v>
      </c>
      <c r="G243" s="243">
        <v>29</v>
      </c>
      <c r="H243" s="243">
        <v>41</v>
      </c>
      <c r="I243" s="243">
        <v>52</v>
      </c>
      <c r="J243" s="243">
        <v>44</v>
      </c>
      <c r="K243" s="243">
        <v>51</v>
      </c>
      <c r="L243" s="243">
        <v>54</v>
      </c>
      <c r="M243" s="243">
        <v>55</v>
      </c>
      <c r="N243" s="243">
        <v>64</v>
      </c>
      <c r="O243" s="253">
        <v>49</v>
      </c>
    </row>
    <row r="244" spans="1:15">
      <c r="A244" s="240" t="s">
        <v>70</v>
      </c>
      <c r="B244" s="47" t="s">
        <v>59</v>
      </c>
      <c r="C244" s="15">
        <v>500</v>
      </c>
      <c r="D244" s="243">
        <v>47</v>
      </c>
      <c r="E244" s="243">
        <v>16</v>
      </c>
      <c r="F244" s="243">
        <v>29</v>
      </c>
      <c r="G244" s="243">
        <v>30</v>
      </c>
      <c r="H244" s="243">
        <v>34</v>
      </c>
      <c r="I244" s="243">
        <v>52</v>
      </c>
      <c r="J244" s="243">
        <v>38</v>
      </c>
      <c r="K244" s="243">
        <v>43</v>
      </c>
      <c r="L244" s="243">
        <v>59</v>
      </c>
      <c r="M244" s="243">
        <v>51</v>
      </c>
      <c r="N244" s="243">
        <v>53</v>
      </c>
      <c r="O244" s="253">
        <v>48</v>
      </c>
    </row>
    <row r="245" spans="1:15">
      <c r="A245" s="242" t="s">
        <v>70</v>
      </c>
      <c r="B245" s="43" t="s">
        <v>4</v>
      </c>
      <c r="C245" s="15">
        <v>5</v>
      </c>
      <c r="D245" s="244">
        <v>0</v>
      </c>
      <c r="E245" s="244">
        <v>0</v>
      </c>
      <c r="F245" s="244">
        <v>0</v>
      </c>
      <c r="G245" s="244">
        <v>1</v>
      </c>
      <c r="H245" s="244">
        <v>0</v>
      </c>
      <c r="I245" s="244">
        <v>0</v>
      </c>
      <c r="J245" s="244">
        <v>2</v>
      </c>
      <c r="K245" s="244">
        <v>0</v>
      </c>
      <c r="L245" s="244">
        <v>0</v>
      </c>
      <c r="M245" s="244">
        <v>1</v>
      </c>
      <c r="N245" s="244">
        <v>0</v>
      </c>
      <c r="O245" s="254">
        <v>1</v>
      </c>
    </row>
    <row r="246" spans="1:15">
      <c r="A246" s="240" t="s">
        <v>70</v>
      </c>
      <c r="B246" s="47" t="s">
        <v>5</v>
      </c>
      <c r="C246" s="12">
        <v>0.0105338407292742</v>
      </c>
      <c r="D246" s="241">
        <v>0</v>
      </c>
      <c r="E246" s="241">
        <v>0</v>
      </c>
      <c r="F246" s="241">
        <v>0</v>
      </c>
      <c r="G246" s="241">
        <v>0.0333333333333333</v>
      </c>
      <c r="H246" s="241">
        <v>0</v>
      </c>
      <c r="I246" s="241">
        <v>0</v>
      </c>
      <c r="J246" s="241">
        <v>0.0526315789473684</v>
      </c>
      <c r="K246" s="241">
        <v>0</v>
      </c>
      <c r="L246" s="241">
        <v>0</v>
      </c>
      <c r="M246" s="241">
        <v>0.0196078431372549</v>
      </c>
      <c r="N246" s="241">
        <v>0</v>
      </c>
      <c r="O246" s="252">
        <v>0.0208333333333333</v>
      </c>
    </row>
    <row r="247" spans="1:15">
      <c r="A247" s="242" t="s">
        <v>70</v>
      </c>
      <c r="B247" s="43" t="s">
        <v>6</v>
      </c>
      <c r="C247" s="15">
        <v>1</v>
      </c>
      <c r="D247" s="244">
        <v>0</v>
      </c>
      <c r="E247" s="244">
        <v>0</v>
      </c>
      <c r="F247" s="244">
        <v>0</v>
      </c>
      <c r="G247" s="244">
        <v>0</v>
      </c>
      <c r="H247" s="244">
        <v>0</v>
      </c>
      <c r="I247" s="244">
        <v>0</v>
      </c>
      <c r="J247" s="244">
        <v>0</v>
      </c>
      <c r="K247" s="244">
        <v>0</v>
      </c>
      <c r="L247" s="244">
        <v>0</v>
      </c>
      <c r="M247" s="244">
        <v>0</v>
      </c>
      <c r="N247" s="244">
        <v>0</v>
      </c>
      <c r="O247" s="254">
        <v>1</v>
      </c>
    </row>
    <row r="248" ht="14.25" spans="1:15">
      <c r="A248" s="245" t="s">
        <v>70</v>
      </c>
      <c r="B248" s="52" t="s">
        <v>64</v>
      </c>
      <c r="C248" s="19">
        <v>0.2</v>
      </c>
      <c r="D248" s="246">
        <v>0</v>
      </c>
      <c r="E248" s="246">
        <v>0</v>
      </c>
      <c r="F248" s="246">
        <v>0</v>
      </c>
      <c r="G248" s="246">
        <v>0</v>
      </c>
      <c r="H248" s="246">
        <v>0</v>
      </c>
      <c r="I248" s="246">
        <v>0</v>
      </c>
      <c r="J248" s="246">
        <v>0</v>
      </c>
      <c r="K248" s="246">
        <v>0</v>
      </c>
      <c r="L248" s="246">
        <v>0</v>
      </c>
      <c r="M248" s="246">
        <v>0</v>
      </c>
      <c r="N248" s="246">
        <v>0</v>
      </c>
      <c r="O248" s="255">
        <v>1</v>
      </c>
    </row>
    <row r="249" spans="1:15">
      <c r="A249" s="240" t="s">
        <v>26</v>
      </c>
      <c r="B249" s="47" t="s">
        <v>55</v>
      </c>
      <c r="C249" s="12">
        <v>2.13830747537929</v>
      </c>
      <c r="D249" s="241">
        <v>1.465</v>
      </c>
      <c r="E249" s="241">
        <v>1.85555555555556</v>
      </c>
      <c r="F249" s="241">
        <v>1.95918367346939</v>
      </c>
      <c r="G249" s="241">
        <v>2.58333333333333</v>
      </c>
      <c r="H249" s="241">
        <v>2.40963855421687</v>
      </c>
      <c r="I249" s="241">
        <v>1.92452830188679</v>
      </c>
      <c r="J249" s="241">
        <v>2.23404255319149</v>
      </c>
      <c r="K249" s="241">
        <v>2.21848739495798</v>
      </c>
      <c r="L249" s="241">
        <v>2.24509803921569</v>
      </c>
      <c r="M249" s="241">
        <v>2.00980392156863</v>
      </c>
      <c r="N249" s="241">
        <v>2.64814814814815</v>
      </c>
      <c r="O249" s="252">
        <v>2.10687022900763</v>
      </c>
    </row>
    <row r="250" spans="1:15">
      <c r="A250" s="242" t="s">
        <v>26</v>
      </c>
      <c r="B250" s="43" t="s">
        <v>57</v>
      </c>
      <c r="C250" s="15">
        <v>1232</v>
      </c>
      <c r="D250" s="243">
        <v>200</v>
      </c>
      <c r="E250" s="243">
        <v>90</v>
      </c>
      <c r="F250" s="243">
        <v>49</v>
      </c>
      <c r="G250" s="243">
        <v>48</v>
      </c>
      <c r="H250" s="243">
        <v>83</v>
      </c>
      <c r="I250" s="243">
        <v>106</v>
      </c>
      <c r="J250" s="243">
        <v>94</v>
      </c>
      <c r="K250" s="243">
        <v>119</v>
      </c>
      <c r="L250" s="243">
        <v>102</v>
      </c>
      <c r="M250" s="243">
        <v>102</v>
      </c>
      <c r="N250" s="243">
        <v>108</v>
      </c>
      <c r="O250" s="253">
        <v>131</v>
      </c>
    </row>
    <row r="251" spans="1:15">
      <c r="A251" s="240" t="s">
        <v>26</v>
      </c>
      <c r="B251" s="47" t="s">
        <v>59</v>
      </c>
      <c r="C251" s="15">
        <v>2554</v>
      </c>
      <c r="D251" s="243">
        <v>293</v>
      </c>
      <c r="E251" s="243">
        <v>167</v>
      </c>
      <c r="F251" s="243">
        <v>96</v>
      </c>
      <c r="G251" s="243">
        <v>124</v>
      </c>
      <c r="H251" s="243">
        <v>200</v>
      </c>
      <c r="I251" s="243">
        <v>204</v>
      </c>
      <c r="J251" s="243">
        <v>210</v>
      </c>
      <c r="K251" s="243">
        <v>264</v>
      </c>
      <c r="L251" s="243">
        <v>229</v>
      </c>
      <c r="M251" s="243">
        <v>205</v>
      </c>
      <c r="N251" s="243">
        <v>286</v>
      </c>
      <c r="O251" s="253">
        <v>276</v>
      </c>
    </row>
    <row r="252" spans="1:15">
      <c r="A252" s="242" t="s">
        <v>26</v>
      </c>
      <c r="B252" s="43" t="s">
        <v>4</v>
      </c>
      <c r="C252" s="15">
        <v>78</v>
      </c>
      <c r="D252" s="244">
        <v>10</v>
      </c>
      <c r="E252" s="244">
        <v>6</v>
      </c>
      <c r="F252" s="244">
        <v>2</v>
      </c>
      <c r="G252" s="244">
        <v>3</v>
      </c>
      <c r="H252" s="244">
        <v>2</v>
      </c>
      <c r="I252" s="244">
        <v>4</v>
      </c>
      <c r="J252" s="244">
        <v>8</v>
      </c>
      <c r="K252" s="244">
        <v>13</v>
      </c>
      <c r="L252" s="244">
        <v>9</v>
      </c>
      <c r="M252" s="244">
        <v>5</v>
      </c>
      <c r="N252" s="244">
        <v>6</v>
      </c>
      <c r="O252" s="254">
        <v>10</v>
      </c>
    </row>
    <row r="253" spans="1:15">
      <c r="A253" s="240" t="s">
        <v>26</v>
      </c>
      <c r="B253" s="47" t="s">
        <v>5</v>
      </c>
      <c r="C253" s="12">
        <v>0.0294110568936488</v>
      </c>
      <c r="D253" s="241">
        <v>0.0341296928327645</v>
      </c>
      <c r="E253" s="241">
        <v>0.0359281437125748</v>
      </c>
      <c r="F253" s="241">
        <v>0.0208333333333333</v>
      </c>
      <c r="G253" s="241">
        <v>0.0241935483870968</v>
      </c>
      <c r="H253" s="241">
        <v>0.01</v>
      </c>
      <c r="I253" s="241">
        <v>0.0196078431372549</v>
      </c>
      <c r="J253" s="241">
        <v>0.0380952380952381</v>
      </c>
      <c r="K253" s="241">
        <v>0.0492424242424242</v>
      </c>
      <c r="L253" s="241">
        <v>0.0393013100436681</v>
      </c>
      <c r="M253" s="241">
        <v>0.024390243902439</v>
      </c>
      <c r="N253" s="241">
        <v>0.020979020979021</v>
      </c>
      <c r="O253" s="252">
        <v>0.036231884057971</v>
      </c>
    </row>
    <row r="254" spans="1:15">
      <c r="A254" s="242" t="s">
        <v>26</v>
      </c>
      <c r="B254" s="43" t="s">
        <v>6</v>
      </c>
      <c r="C254" s="15">
        <v>19</v>
      </c>
      <c r="D254" s="244">
        <v>2</v>
      </c>
      <c r="E254" s="244">
        <v>3</v>
      </c>
      <c r="F254" s="244">
        <v>0</v>
      </c>
      <c r="G254" s="244">
        <v>1</v>
      </c>
      <c r="H254" s="244">
        <v>2</v>
      </c>
      <c r="I254" s="244">
        <v>1</v>
      </c>
      <c r="J254" s="244">
        <v>0</v>
      </c>
      <c r="K254" s="244">
        <v>5</v>
      </c>
      <c r="L254" s="244">
        <v>2</v>
      </c>
      <c r="M254" s="244">
        <v>0</v>
      </c>
      <c r="N254" s="244">
        <v>1</v>
      </c>
      <c r="O254" s="254">
        <v>2</v>
      </c>
    </row>
    <row r="255" ht="14.25" spans="1:15">
      <c r="A255" s="245" t="s">
        <v>26</v>
      </c>
      <c r="B255" s="52" t="s">
        <v>64</v>
      </c>
      <c r="C255" s="19">
        <v>0.243589743589744</v>
      </c>
      <c r="D255" s="250">
        <v>2</v>
      </c>
      <c r="E255" s="250">
        <v>3</v>
      </c>
      <c r="F255" s="250">
        <v>0</v>
      </c>
      <c r="G255" s="250">
        <v>1</v>
      </c>
      <c r="H255" s="250">
        <v>2</v>
      </c>
      <c r="I255" s="250">
        <v>1</v>
      </c>
      <c r="J255" s="250">
        <v>0</v>
      </c>
      <c r="K255" s="250">
        <v>5</v>
      </c>
      <c r="L255" s="250">
        <v>2</v>
      </c>
      <c r="M255" s="250">
        <v>0</v>
      </c>
      <c r="N255" s="250">
        <v>1</v>
      </c>
      <c r="O255" s="257">
        <v>2</v>
      </c>
    </row>
    <row r="256" ht="14.25" spans="1:15">
      <c r="A256" s="237">
        <v>45022</v>
      </c>
      <c r="B256" s="237"/>
      <c r="C256" s="237"/>
      <c r="D256" s="237"/>
      <c r="E256" s="237"/>
      <c r="F256" s="237"/>
      <c r="G256" s="237"/>
      <c r="H256" s="237"/>
      <c r="I256" s="237"/>
      <c r="J256" s="237"/>
      <c r="K256" s="237"/>
      <c r="L256" s="237"/>
      <c r="M256" s="237"/>
      <c r="N256" s="237"/>
      <c r="O256" s="237"/>
    </row>
    <row r="257" spans="1:15">
      <c r="A257" s="56" t="s">
        <v>1</v>
      </c>
      <c r="B257" s="238"/>
      <c r="C257" s="8" t="s">
        <v>42</v>
      </c>
      <c r="D257" s="239" t="s">
        <v>43</v>
      </c>
      <c r="E257" s="239" t="s">
        <v>44</v>
      </c>
      <c r="F257" s="239" t="s">
        <v>45</v>
      </c>
      <c r="G257" s="239" t="s">
        <v>46</v>
      </c>
      <c r="H257" s="239" t="s">
        <v>47</v>
      </c>
      <c r="I257" s="239" t="s">
        <v>48</v>
      </c>
      <c r="J257" s="239" t="s">
        <v>49</v>
      </c>
      <c r="K257" s="239" t="s">
        <v>50</v>
      </c>
      <c r="L257" s="239" t="s">
        <v>51</v>
      </c>
      <c r="M257" s="239" t="s">
        <v>52</v>
      </c>
      <c r="N257" s="239" t="s">
        <v>53</v>
      </c>
      <c r="O257" s="251" t="s">
        <v>54</v>
      </c>
    </row>
    <row r="258" spans="1:15">
      <c r="A258" s="240" t="s">
        <v>22</v>
      </c>
      <c r="B258" s="47" t="s">
        <v>55</v>
      </c>
      <c r="C258" s="12">
        <v>0.345194542905791</v>
      </c>
      <c r="D258" s="241">
        <v>0.270748299319728</v>
      </c>
      <c r="E258" s="241">
        <v>0.193857965451056</v>
      </c>
      <c r="F258" s="241">
        <v>0.15</v>
      </c>
      <c r="G258" s="241">
        <v>0.301492537313433</v>
      </c>
      <c r="H258" s="241">
        <v>0.344827586206897</v>
      </c>
      <c r="I258" s="241">
        <v>0.429394812680115</v>
      </c>
      <c r="J258" s="241">
        <v>0.398826979472141</v>
      </c>
      <c r="K258" s="241">
        <v>0.393700787401575</v>
      </c>
      <c r="L258" s="241">
        <v>0.448028673835125</v>
      </c>
      <c r="M258" s="241">
        <v>0.444444444444444</v>
      </c>
      <c r="N258" s="241">
        <v>0.403794037940379</v>
      </c>
      <c r="O258" s="252">
        <v>0.363218390804598</v>
      </c>
    </row>
    <row r="259" spans="1:15">
      <c r="A259" s="242" t="s">
        <v>22</v>
      </c>
      <c r="B259" s="43" t="s">
        <v>57</v>
      </c>
      <c r="C259" s="15">
        <v>4777</v>
      </c>
      <c r="D259" s="243">
        <v>735</v>
      </c>
      <c r="E259" s="243">
        <v>521</v>
      </c>
      <c r="F259" s="243">
        <v>360</v>
      </c>
      <c r="G259" s="243">
        <v>335</v>
      </c>
      <c r="H259" s="243">
        <v>377</v>
      </c>
      <c r="I259" s="243">
        <v>347</v>
      </c>
      <c r="J259" s="243">
        <v>341</v>
      </c>
      <c r="K259" s="243">
        <v>381</v>
      </c>
      <c r="L259" s="243">
        <v>279</v>
      </c>
      <c r="M259" s="243">
        <v>297</v>
      </c>
      <c r="N259" s="243">
        <v>369</v>
      </c>
      <c r="O259" s="253">
        <v>435</v>
      </c>
    </row>
    <row r="260" spans="1:15">
      <c r="A260" s="240" t="s">
        <v>22</v>
      </c>
      <c r="B260" s="47" t="s">
        <v>59</v>
      </c>
      <c r="C260" s="15">
        <v>1584</v>
      </c>
      <c r="D260" s="243">
        <v>199</v>
      </c>
      <c r="E260" s="243">
        <v>101</v>
      </c>
      <c r="F260" s="243">
        <v>54</v>
      </c>
      <c r="G260" s="243">
        <v>101</v>
      </c>
      <c r="H260" s="243">
        <v>130</v>
      </c>
      <c r="I260" s="243">
        <v>149</v>
      </c>
      <c r="J260" s="243">
        <v>136</v>
      </c>
      <c r="K260" s="243">
        <v>150</v>
      </c>
      <c r="L260" s="243">
        <v>125</v>
      </c>
      <c r="M260" s="243">
        <v>132</v>
      </c>
      <c r="N260" s="243">
        <v>149</v>
      </c>
      <c r="O260" s="253">
        <v>158</v>
      </c>
    </row>
    <row r="261" spans="1:15">
      <c r="A261" s="242" t="s">
        <v>22</v>
      </c>
      <c r="B261" s="43" t="s">
        <v>4</v>
      </c>
      <c r="C261" s="15">
        <v>116</v>
      </c>
      <c r="D261" s="244">
        <v>15</v>
      </c>
      <c r="E261" s="244">
        <v>8</v>
      </c>
      <c r="F261" s="244">
        <v>6</v>
      </c>
      <c r="G261" s="244">
        <v>4</v>
      </c>
      <c r="H261" s="244">
        <v>7</v>
      </c>
      <c r="I261" s="244">
        <v>15</v>
      </c>
      <c r="J261" s="244">
        <v>3</v>
      </c>
      <c r="K261" s="244">
        <v>12</v>
      </c>
      <c r="L261" s="244">
        <v>14</v>
      </c>
      <c r="M261" s="244">
        <v>9</v>
      </c>
      <c r="N261" s="244">
        <v>8</v>
      </c>
      <c r="O261" s="254">
        <v>15</v>
      </c>
    </row>
    <row r="262" spans="1:15">
      <c r="A262" s="240" t="s">
        <v>22</v>
      </c>
      <c r="B262" s="47" t="s">
        <v>5</v>
      </c>
      <c r="C262" s="12">
        <v>0.0742238164372389</v>
      </c>
      <c r="D262" s="241">
        <v>0.0753768844221105</v>
      </c>
      <c r="E262" s="241">
        <v>0.0792079207920792</v>
      </c>
      <c r="F262" s="241">
        <v>0.111111111111111</v>
      </c>
      <c r="G262" s="241">
        <v>0.0396039603960396</v>
      </c>
      <c r="H262" s="241">
        <v>0.0538461538461538</v>
      </c>
      <c r="I262" s="241">
        <v>0.100671140939597</v>
      </c>
      <c r="J262" s="241">
        <v>0.0220588235294118</v>
      </c>
      <c r="K262" s="241">
        <v>0.08</v>
      </c>
      <c r="L262" s="241">
        <v>0.112</v>
      </c>
      <c r="M262" s="241">
        <v>0.0681818181818182</v>
      </c>
      <c r="N262" s="241">
        <v>0.0536912751677852</v>
      </c>
      <c r="O262" s="252">
        <v>0.0949367088607595</v>
      </c>
    </row>
    <row r="263" spans="1:15">
      <c r="A263" s="242" t="s">
        <v>22</v>
      </c>
      <c r="B263" s="43" t="s">
        <v>6</v>
      </c>
      <c r="C263" s="15">
        <v>39</v>
      </c>
      <c r="D263" s="244">
        <v>8</v>
      </c>
      <c r="E263" s="244">
        <v>1</v>
      </c>
      <c r="F263" s="244">
        <v>1</v>
      </c>
      <c r="G263" s="244">
        <v>0</v>
      </c>
      <c r="H263" s="244">
        <v>6</v>
      </c>
      <c r="I263" s="244">
        <v>5</v>
      </c>
      <c r="J263" s="244">
        <v>2</v>
      </c>
      <c r="K263" s="244">
        <v>4</v>
      </c>
      <c r="L263" s="244">
        <v>2</v>
      </c>
      <c r="M263" s="244">
        <v>5</v>
      </c>
      <c r="N263" s="244">
        <v>3</v>
      </c>
      <c r="O263" s="254">
        <v>2</v>
      </c>
    </row>
    <row r="264" ht="14.25" spans="1:15">
      <c r="A264" s="245" t="s">
        <v>22</v>
      </c>
      <c r="B264" s="52" t="s">
        <v>64</v>
      </c>
      <c r="C264" s="19">
        <v>0.336206896551724</v>
      </c>
      <c r="D264" s="246">
        <v>0.533333333333333</v>
      </c>
      <c r="E264" s="246">
        <v>0.125</v>
      </c>
      <c r="F264" s="246">
        <v>0.166666666666667</v>
      </c>
      <c r="G264" s="246">
        <v>0</v>
      </c>
      <c r="H264" s="246">
        <v>0.857142857142857</v>
      </c>
      <c r="I264" s="246">
        <v>0.333333333333333</v>
      </c>
      <c r="J264" s="246">
        <v>0.666666666666667</v>
      </c>
      <c r="K264" s="246">
        <v>0.333333333333333</v>
      </c>
      <c r="L264" s="246">
        <v>0.142857142857143</v>
      </c>
      <c r="M264" s="246">
        <v>0.555555555555556</v>
      </c>
      <c r="N264" s="246">
        <v>0.375</v>
      </c>
      <c r="O264" s="255">
        <v>0.133333333333333</v>
      </c>
    </row>
    <row r="265" spans="1:15">
      <c r="A265" s="247" t="s">
        <v>66</v>
      </c>
      <c r="B265" s="248" t="s">
        <v>55</v>
      </c>
      <c r="C265" s="12">
        <v>0.155331979827878</v>
      </c>
      <c r="D265" s="249">
        <v>0.138888888888889</v>
      </c>
      <c r="E265" s="249">
        <v>0.0516795865633075</v>
      </c>
      <c r="F265" s="249">
        <v>0.0647668393782383</v>
      </c>
      <c r="G265" s="249">
        <v>0.107758620689655</v>
      </c>
      <c r="H265" s="249">
        <v>0.224669603524229</v>
      </c>
      <c r="I265" s="249">
        <v>0.193548387096774</v>
      </c>
      <c r="J265" s="249">
        <v>0.239263803680982</v>
      </c>
      <c r="K265" s="249">
        <v>0.192825112107623</v>
      </c>
      <c r="L265" s="249">
        <v>0.185185185185185</v>
      </c>
      <c r="M265" s="249">
        <v>0.16875</v>
      </c>
      <c r="N265" s="249">
        <v>0.176165803108808</v>
      </c>
      <c r="O265" s="256">
        <v>0.120481927710843</v>
      </c>
    </row>
    <row r="266" spans="1:15">
      <c r="A266" s="242" t="s">
        <v>66</v>
      </c>
      <c r="B266" s="43" t="s">
        <v>57</v>
      </c>
      <c r="C266" s="15">
        <v>3031</v>
      </c>
      <c r="D266" s="243">
        <v>432</v>
      </c>
      <c r="E266" s="243">
        <v>387</v>
      </c>
      <c r="F266" s="243">
        <v>386</v>
      </c>
      <c r="G266" s="243">
        <v>232</v>
      </c>
      <c r="H266" s="243">
        <v>227</v>
      </c>
      <c r="I266" s="243">
        <v>217</v>
      </c>
      <c r="J266" s="243">
        <v>163</v>
      </c>
      <c r="K266" s="243">
        <v>223</v>
      </c>
      <c r="L266" s="243">
        <v>162</v>
      </c>
      <c r="M266" s="243">
        <v>160</v>
      </c>
      <c r="N266" s="243">
        <v>193</v>
      </c>
      <c r="O266" s="253">
        <v>249</v>
      </c>
    </row>
    <row r="267" spans="1:15">
      <c r="A267" s="240" t="s">
        <v>66</v>
      </c>
      <c r="B267" s="47" t="s">
        <v>59</v>
      </c>
      <c r="C267" s="15">
        <v>426</v>
      </c>
      <c r="D267" s="243">
        <v>60</v>
      </c>
      <c r="E267" s="243">
        <v>20</v>
      </c>
      <c r="F267" s="243">
        <v>25</v>
      </c>
      <c r="G267" s="243">
        <v>25</v>
      </c>
      <c r="H267" s="243">
        <v>51</v>
      </c>
      <c r="I267" s="243">
        <v>42</v>
      </c>
      <c r="J267" s="243">
        <v>39</v>
      </c>
      <c r="K267" s="243">
        <v>43</v>
      </c>
      <c r="L267" s="243">
        <v>30</v>
      </c>
      <c r="M267" s="243">
        <v>27</v>
      </c>
      <c r="N267" s="243">
        <v>34</v>
      </c>
      <c r="O267" s="253">
        <v>30</v>
      </c>
    </row>
    <row r="268" spans="1:15">
      <c r="A268" s="242" t="s">
        <v>66</v>
      </c>
      <c r="B268" s="43" t="s">
        <v>4</v>
      </c>
      <c r="C268" s="15">
        <v>45</v>
      </c>
      <c r="D268" s="244">
        <v>5</v>
      </c>
      <c r="E268" s="244">
        <v>3</v>
      </c>
      <c r="F268" s="244">
        <v>0</v>
      </c>
      <c r="G268" s="244">
        <v>1</v>
      </c>
      <c r="H268" s="244">
        <v>3</v>
      </c>
      <c r="I268" s="244">
        <v>8</v>
      </c>
      <c r="J268" s="244">
        <v>5</v>
      </c>
      <c r="K268" s="244">
        <v>3</v>
      </c>
      <c r="L268" s="244">
        <v>4</v>
      </c>
      <c r="M268" s="244">
        <v>2</v>
      </c>
      <c r="N268" s="244">
        <v>5</v>
      </c>
      <c r="O268" s="254">
        <v>6</v>
      </c>
    </row>
    <row r="269" spans="1:15">
      <c r="A269" s="240" t="s">
        <v>66</v>
      </c>
      <c r="B269" s="47" t="s">
        <v>5</v>
      </c>
      <c r="C269" s="12">
        <v>0.106255987851975</v>
      </c>
      <c r="D269" s="241">
        <v>0.0833333333333333</v>
      </c>
      <c r="E269" s="241">
        <v>0.15</v>
      </c>
      <c r="F269" s="241">
        <v>0</v>
      </c>
      <c r="G269" s="241">
        <v>0.04</v>
      </c>
      <c r="H269" s="241">
        <v>0.0588235294117647</v>
      </c>
      <c r="I269" s="241">
        <v>0.19047619047619</v>
      </c>
      <c r="J269" s="241">
        <v>0.128205128205128</v>
      </c>
      <c r="K269" s="241">
        <v>0.0697674418604651</v>
      </c>
      <c r="L269" s="241">
        <v>0.133333333333333</v>
      </c>
      <c r="M269" s="241">
        <v>0.0740740740740741</v>
      </c>
      <c r="N269" s="241">
        <v>0.147058823529412</v>
      </c>
      <c r="O269" s="252">
        <v>0.2</v>
      </c>
    </row>
    <row r="270" spans="1:15">
      <c r="A270" s="242" t="s">
        <v>66</v>
      </c>
      <c r="B270" s="43" t="s">
        <v>6</v>
      </c>
      <c r="C270" s="15">
        <v>9</v>
      </c>
      <c r="D270" s="244">
        <v>0</v>
      </c>
      <c r="E270" s="244">
        <v>0</v>
      </c>
      <c r="F270" s="244">
        <v>1</v>
      </c>
      <c r="G270" s="244">
        <v>1</v>
      </c>
      <c r="H270" s="244">
        <v>0</v>
      </c>
      <c r="I270" s="244">
        <v>2</v>
      </c>
      <c r="J270" s="244">
        <v>1</v>
      </c>
      <c r="K270" s="244">
        <v>0</v>
      </c>
      <c r="L270" s="244">
        <v>1</v>
      </c>
      <c r="M270" s="244">
        <v>0</v>
      </c>
      <c r="N270" s="244">
        <v>2</v>
      </c>
      <c r="O270" s="254">
        <v>1</v>
      </c>
    </row>
    <row r="271" ht="14.25" spans="1:15">
      <c r="A271" s="245" t="s">
        <v>66</v>
      </c>
      <c r="B271" s="52" t="s">
        <v>64</v>
      </c>
      <c r="C271" s="19">
        <v>0.2</v>
      </c>
      <c r="D271" s="246">
        <v>0</v>
      </c>
      <c r="E271" s="246">
        <v>0</v>
      </c>
      <c r="F271" s="246">
        <v>0</v>
      </c>
      <c r="G271" s="246">
        <v>1</v>
      </c>
      <c r="H271" s="246">
        <v>0</v>
      </c>
      <c r="I271" s="246">
        <v>0.25</v>
      </c>
      <c r="J271" s="246">
        <v>0.2</v>
      </c>
      <c r="K271" s="246">
        <v>0</v>
      </c>
      <c r="L271" s="246">
        <v>0.25</v>
      </c>
      <c r="M271" s="246">
        <v>0</v>
      </c>
      <c r="N271" s="246">
        <v>0.4</v>
      </c>
      <c r="O271" s="255">
        <v>0.166666666666667</v>
      </c>
    </row>
    <row r="272" spans="1:15">
      <c r="A272" s="240" t="s">
        <v>67</v>
      </c>
      <c r="B272" s="47" t="s">
        <v>55</v>
      </c>
      <c r="C272" s="12">
        <v>0.68113135714461</v>
      </c>
      <c r="D272" s="241">
        <v>0.73134328358209</v>
      </c>
      <c r="E272" s="241">
        <v>0.628571428571429</v>
      </c>
      <c r="F272" s="241">
        <v>0.653846153846154</v>
      </c>
      <c r="G272" s="241">
        <v>0.875</v>
      </c>
      <c r="H272" s="241">
        <v>0.705882352941177</v>
      </c>
      <c r="I272" s="241">
        <v>0.672727272727273</v>
      </c>
      <c r="J272" s="241">
        <v>0.854166666666667</v>
      </c>
      <c r="K272" s="241">
        <v>0.671875</v>
      </c>
      <c r="L272" s="241">
        <v>0.573333333333333</v>
      </c>
      <c r="M272" s="241">
        <v>0.584905660377358</v>
      </c>
      <c r="N272" s="241">
        <v>0.676470588235294</v>
      </c>
      <c r="O272" s="252">
        <v>0.545454545454545</v>
      </c>
    </row>
    <row r="273" spans="1:15">
      <c r="A273" s="242" t="s">
        <v>67</v>
      </c>
      <c r="B273" s="43" t="s">
        <v>57</v>
      </c>
      <c r="C273" s="15">
        <v>643</v>
      </c>
      <c r="D273" s="243">
        <v>67</v>
      </c>
      <c r="E273" s="243">
        <v>35</v>
      </c>
      <c r="F273" s="243">
        <v>26</v>
      </c>
      <c r="G273" s="243">
        <v>24</v>
      </c>
      <c r="H273" s="243">
        <v>51</v>
      </c>
      <c r="I273" s="243">
        <v>55</v>
      </c>
      <c r="J273" s="243">
        <v>48</v>
      </c>
      <c r="K273" s="243">
        <v>64</v>
      </c>
      <c r="L273" s="243">
        <v>75</v>
      </c>
      <c r="M273" s="243">
        <v>53</v>
      </c>
      <c r="N273" s="243">
        <v>68</v>
      </c>
      <c r="O273" s="253">
        <v>77</v>
      </c>
    </row>
    <row r="274" spans="1:15">
      <c r="A274" s="240" t="s">
        <v>67</v>
      </c>
      <c r="B274" s="47" t="s">
        <v>59</v>
      </c>
      <c r="C274" s="15">
        <v>428</v>
      </c>
      <c r="D274" s="243">
        <v>49</v>
      </c>
      <c r="E274" s="243">
        <v>22</v>
      </c>
      <c r="F274" s="243">
        <v>17</v>
      </c>
      <c r="G274" s="243">
        <v>21</v>
      </c>
      <c r="H274" s="243">
        <v>36</v>
      </c>
      <c r="I274" s="243">
        <v>37</v>
      </c>
      <c r="J274" s="243">
        <v>41</v>
      </c>
      <c r="K274" s="243">
        <v>43</v>
      </c>
      <c r="L274" s="243">
        <v>43</v>
      </c>
      <c r="M274" s="243">
        <v>31</v>
      </c>
      <c r="N274" s="243">
        <v>46</v>
      </c>
      <c r="O274" s="253">
        <v>42</v>
      </c>
    </row>
    <row r="275" spans="1:15">
      <c r="A275" s="242" t="s">
        <v>67</v>
      </c>
      <c r="B275" s="43" t="s">
        <v>4</v>
      </c>
      <c r="C275" s="15">
        <v>26</v>
      </c>
      <c r="D275" s="244">
        <v>3</v>
      </c>
      <c r="E275" s="244">
        <v>2</v>
      </c>
      <c r="F275" s="244">
        <v>1</v>
      </c>
      <c r="G275" s="244">
        <v>1</v>
      </c>
      <c r="H275" s="244">
        <v>1</v>
      </c>
      <c r="I275" s="244">
        <v>3</v>
      </c>
      <c r="J275" s="244">
        <v>2</v>
      </c>
      <c r="K275" s="244">
        <v>4</v>
      </c>
      <c r="L275" s="244">
        <v>1</v>
      </c>
      <c r="M275" s="244">
        <v>0</v>
      </c>
      <c r="N275" s="244">
        <v>4</v>
      </c>
      <c r="O275" s="254">
        <v>4</v>
      </c>
    </row>
    <row r="276" spans="1:15">
      <c r="A276" s="240" t="s">
        <v>67</v>
      </c>
      <c r="B276" s="47" t="s">
        <v>5</v>
      </c>
      <c r="C276" s="12">
        <v>0.0595574325953522</v>
      </c>
      <c r="D276" s="241">
        <v>0.0612244897959184</v>
      </c>
      <c r="E276" s="241">
        <v>0.0909090909090909</v>
      </c>
      <c r="F276" s="241">
        <v>0.0588235294117647</v>
      </c>
      <c r="G276" s="241">
        <v>0.0476190476190476</v>
      </c>
      <c r="H276" s="241">
        <v>0.0277777777777778</v>
      </c>
      <c r="I276" s="241">
        <v>0.0810810810810811</v>
      </c>
      <c r="J276" s="241">
        <v>0.0487804878048781</v>
      </c>
      <c r="K276" s="241">
        <v>0.0930232558139535</v>
      </c>
      <c r="L276" s="241">
        <v>0.0232558139534884</v>
      </c>
      <c r="M276" s="241">
        <v>0</v>
      </c>
      <c r="N276" s="241">
        <v>0.0869565217391304</v>
      </c>
      <c r="O276" s="252">
        <v>0.0952380952380952</v>
      </c>
    </row>
    <row r="277" spans="1:15">
      <c r="A277" s="242" t="s">
        <v>67</v>
      </c>
      <c r="B277" s="43" t="s">
        <v>6</v>
      </c>
      <c r="C277" s="15">
        <v>9</v>
      </c>
      <c r="D277" s="244">
        <v>0</v>
      </c>
      <c r="E277" s="244">
        <v>1</v>
      </c>
      <c r="F277" s="244">
        <v>0</v>
      </c>
      <c r="G277" s="244">
        <v>0</v>
      </c>
      <c r="H277" s="244">
        <v>0</v>
      </c>
      <c r="I277" s="244">
        <v>0</v>
      </c>
      <c r="J277" s="244">
        <v>1</v>
      </c>
      <c r="K277" s="244">
        <v>1</v>
      </c>
      <c r="L277" s="244">
        <v>2</v>
      </c>
      <c r="M277" s="244">
        <v>0</v>
      </c>
      <c r="N277" s="244">
        <v>2</v>
      </c>
      <c r="O277" s="254">
        <v>2</v>
      </c>
    </row>
    <row r="278" ht="14.25" spans="1:15">
      <c r="A278" s="245" t="s">
        <v>67</v>
      </c>
      <c r="B278" s="52" t="s">
        <v>64</v>
      </c>
      <c r="C278" s="19">
        <v>0.346153846153846</v>
      </c>
      <c r="D278" s="246">
        <v>0</v>
      </c>
      <c r="E278" s="246">
        <v>0.5</v>
      </c>
      <c r="F278" s="246">
        <v>0</v>
      </c>
      <c r="G278" s="246">
        <v>0</v>
      </c>
      <c r="H278" s="246">
        <v>0</v>
      </c>
      <c r="I278" s="246">
        <v>0</v>
      </c>
      <c r="J278" s="246">
        <v>0.5</v>
      </c>
      <c r="K278" s="246">
        <v>0.25</v>
      </c>
      <c r="L278" s="246">
        <v>2</v>
      </c>
      <c r="M278" s="246">
        <v>0</v>
      </c>
      <c r="N278" s="246">
        <v>0.5</v>
      </c>
      <c r="O278" s="255">
        <v>0.5</v>
      </c>
    </row>
    <row r="279" spans="1:15">
      <c r="A279" s="240" t="s">
        <v>68</v>
      </c>
      <c r="B279" s="47" t="s">
        <v>55</v>
      </c>
      <c r="C279" s="12">
        <v>0.137179528342855</v>
      </c>
      <c r="D279" s="241">
        <v>0.199017199017199</v>
      </c>
      <c r="E279" s="241">
        <v>0.273809523809524</v>
      </c>
      <c r="F279" s="241">
        <v>0.237373737373737</v>
      </c>
      <c r="G279" s="241">
        <v>0.105145413870246</v>
      </c>
      <c r="H279" s="241">
        <v>0.128964059196617</v>
      </c>
      <c r="I279" s="241">
        <v>0.174721189591078</v>
      </c>
      <c r="J279" s="241">
        <v>0.143968871595331</v>
      </c>
      <c r="K279" s="241">
        <v>0.168905950095969</v>
      </c>
      <c r="L279" s="241">
        <v>0.140767824497258</v>
      </c>
      <c r="M279" s="241">
        <v>0.0274044795783926</v>
      </c>
      <c r="N279" s="241">
        <v>0.0264584688787682</v>
      </c>
      <c r="O279" s="252">
        <v>0.0196176226101413</v>
      </c>
    </row>
    <row r="280" spans="1:15">
      <c r="A280" s="242" t="s">
        <v>68</v>
      </c>
      <c r="B280" s="43" t="s">
        <v>57</v>
      </c>
      <c r="C280" s="15">
        <v>18234</v>
      </c>
      <c r="D280" s="243">
        <v>407</v>
      </c>
      <c r="E280" s="243">
        <v>168</v>
      </c>
      <c r="F280" s="243">
        <v>198</v>
      </c>
      <c r="G280" s="243">
        <v>447</v>
      </c>
      <c r="H280" s="243">
        <v>473</v>
      </c>
      <c r="I280" s="243">
        <v>538</v>
      </c>
      <c r="J280" s="243">
        <v>514</v>
      </c>
      <c r="K280" s="243">
        <v>521</v>
      </c>
      <c r="L280" s="243">
        <v>547</v>
      </c>
      <c r="M280" s="243">
        <v>3795</v>
      </c>
      <c r="N280" s="243">
        <v>4611</v>
      </c>
      <c r="O280" s="253">
        <v>6015</v>
      </c>
    </row>
    <row r="281" spans="1:15">
      <c r="A281" s="240" t="s">
        <v>68</v>
      </c>
      <c r="B281" s="47" t="s">
        <v>59</v>
      </c>
      <c r="C281" s="15">
        <v>959</v>
      </c>
      <c r="D281" s="243">
        <v>81</v>
      </c>
      <c r="E281" s="243">
        <v>46</v>
      </c>
      <c r="F281" s="243">
        <v>47</v>
      </c>
      <c r="G281" s="243">
        <v>47</v>
      </c>
      <c r="H281" s="243">
        <v>61</v>
      </c>
      <c r="I281" s="243">
        <v>94</v>
      </c>
      <c r="J281" s="243">
        <v>74</v>
      </c>
      <c r="K281" s="243">
        <v>88</v>
      </c>
      <c r="L281" s="243">
        <v>77</v>
      </c>
      <c r="M281" s="243">
        <v>104</v>
      </c>
      <c r="N281" s="243">
        <v>122</v>
      </c>
      <c r="O281" s="253">
        <v>118</v>
      </c>
    </row>
    <row r="282" spans="1:15">
      <c r="A282" s="242" t="s">
        <v>68</v>
      </c>
      <c r="B282" s="43" t="s">
        <v>4</v>
      </c>
      <c r="C282" s="15">
        <v>45</v>
      </c>
      <c r="D282" s="244">
        <v>6</v>
      </c>
      <c r="E282" s="244">
        <v>1</v>
      </c>
      <c r="F282" s="244">
        <v>2</v>
      </c>
      <c r="G282" s="244">
        <v>1</v>
      </c>
      <c r="H282" s="244">
        <v>3</v>
      </c>
      <c r="I282" s="244">
        <v>3</v>
      </c>
      <c r="J282" s="244">
        <v>3</v>
      </c>
      <c r="K282" s="244">
        <v>3</v>
      </c>
      <c r="L282" s="244">
        <v>6</v>
      </c>
      <c r="M282" s="244">
        <v>4</v>
      </c>
      <c r="N282" s="244">
        <v>1</v>
      </c>
      <c r="O282" s="254">
        <v>12</v>
      </c>
    </row>
    <row r="283" spans="1:15">
      <c r="A283" s="240" t="s">
        <v>68</v>
      </c>
      <c r="B283" s="47" t="s">
        <v>5</v>
      </c>
      <c r="C283" s="12">
        <v>0.0451370763174626</v>
      </c>
      <c r="D283" s="241">
        <v>0.0740740740740741</v>
      </c>
      <c r="E283" s="241">
        <v>0.0217391304347826</v>
      </c>
      <c r="F283" s="241">
        <v>0.0425531914893617</v>
      </c>
      <c r="G283" s="241">
        <v>0.0212765957446809</v>
      </c>
      <c r="H283" s="241">
        <v>0.0491803278688525</v>
      </c>
      <c r="I283" s="241">
        <v>0.0319148936170213</v>
      </c>
      <c r="J283" s="241">
        <v>0.0405405405405405</v>
      </c>
      <c r="K283" s="241">
        <v>0.0340909090909091</v>
      </c>
      <c r="L283" s="241">
        <v>0.0779220779220779</v>
      </c>
      <c r="M283" s="241">
        <v>0.0384615384615385</v>
      </c>
      <c r="N283" s="241">
        <v>0.00819672131147541</v>
      </c>
      <c r="O283" s="252">
        <v>0.101694915254237</v>
      </c>
    </row>
    <row r="284" spans="1:15">
      <c r="A284" s="242" t="s">
        <v>68</v>
      </c>
      <c r="B284" s="43" t="s">
        <v>6</v>
      </c>
      <c r="C284" s="15">
        <v>17</v>
      </c>
      <c r="D284" s="244">
        <v>2</v>
      </c>
      <c r="E284" s="244">
        <v>0</v>
      </c>
      <c r="F284" s="244">
        <v>0</v>
      </c>
      <c r="G284" s="244">
        <v>2</v>
      </c>
      <c r="H284" s="244">
        <v>1</v>
      </c>
      <c r="I284" s="244">
        <v>1</v>
      </c>
      <c r="J284" s="244">
        <v>2</v>
      </c>
      <c r="K284" s="244">
        <v>1</v>
      </c>
      <c r="L284" s="244">
        <v>4</v>
      </c>
      <c r="M284" s="244">
        <v>0</v>
      </c>
      <c r="N284" s="244">
        <v>1</v>
      </c>
      <c r="O284" s="254">
        <v>3</v>
      </c>
    </row>
    <row r="285" ht="14.25" spans="1:15">
      <c r="A285" s="245" t="s">
        <v>68</v>
      </c>
      <c r="B285" s="52" t="s">
        <v>64</v>
      </c>
      <c r="C285" s="19">
        <v>0.377777777777778</v>
      </c>
      <c r="D285" s="246">
        <v>0.333333333333333</v>
      </c>
      <c r="E285" s="246">
        <v>0</v>
      </c>
      <c r="F285" s="246">
        <v>0</v>
      </c>
      <c r="G285" s="246">
        <v>2</v>
      </c>
      <c r="H285" s="246">
        <v>0.333333333333333</v>
      </c>
      <c r="I285" s="246">
        <v>0.333333333333333</v>
      </c>
      <c r="J285" s="246">
        <v>0.666666666666667</v>
      </c>
      <c r="K285" s="246">
        <v>0.333333333333333</v>
      </c>
      <c r="L285" s="246">
        <v>0.666666666666667</v>
      </c>
      <c r="M285" s="246">
        <v>0</v>
      </c>
      <c r="N285" s="246">
        <v>1</v>
      </c>
      <c r="O285" s="255">
        <v>0.25</v>
      </c>
    </row>
    <row r="286" spans="1:15">
      <c r="A286" s="240" t="s">
        <v>69</v>
      </c>
      <c r="B286" s="47" t="s">
        <v>55</v>
      </c>
      <c r="C286" s="12">
        <v>0.890501667706997</v>
      </c>
      <c r="D286" s="241">
        <v>0.869565217391304</v>
      </c>
      <c r="E286" s="241">
        <v>0.777777777777778</v>
      </c>
      <c r="F286" s="241">
        <v>0.56</v>
      </c>
      <c r="G286" s="241">
        <v>0.8</v>
      </c>
      <c r="H286" s="241">
        <v>0.895833333333333</v>
      </c>
      <c r="I286" s="241">
        <v>1.07547169811321</v>
      </c>
      <c r="J286" s="241">
        <v>0.957142857142857</v>
      </c>
      <c r="K286" s="241">
        <v>0.870967741935484</v>
      </c>
      <c r="L286" s="241">
        <v>0.853333333333333</v>
      </c>
      <c r="M286" s="241">
        <v>1.28301886792453</v>
      </c>
      <c r="N286" s="241">
        <v>0.901639344262295</v>
      </c>
      <c r="O286" s="252">
        <v>0.841269841269841</v>
      </c>
    </row>
    <row r="287" spans="1:15">
      <c r="A287" s="242" t="s">
        <v>69</v>
      </c>
      <c r="B287" s="43" t="s">
        <v>57</v>
      </c>
      <c r="C287" s="15">
        <v>650</v>
      </c>
      <c r="D287" s="243">
        <v>69</v>
      </c>
      <c r="E287" s="243">
        <v>36</v>
      </c>
      <c r="F287" s="243">
        <v>25</v>
      </c>
      <c r="G287" s="243">
        <v>35</v>
      </c>
      <c r="H287" s="243">
        <v>48</v>
      </c>
      <c r="I287" s="243">
        <v>53</v>
      </c>
      <c r="J287" s="243">
        <v>70</v>
      </c>
      <c r="K287" s="243">
        <v>62</v>
      </c>
      <c r="L287" s="243">
        <v>75</v>
      </c>
      <c r="M287" s="243">
        <v>53</v>
      </c>
      <c r="N287" s="243">
        <v>61</v>
      </c>
      <c r="O287" s="253">
        <v>63</v>
      </c>
    </row>
    <row r="288" spans="1:15">
      <c r="A288" s="240" t="s">
        <v>69</v>
      </c>
      <c r="B288" s="47" t="s">
        <v>59</v>
      </c>
      <c r="C288" s="15">
        <v>591</v>
      </c>
      <c r="D288" s="243">
        <v>60</v>
      </c>
      <c r="E288" s="243">
        <v>28</v>
      </c>
      <c r="F288" s="243">
        <v>14</v>
      </c>
      <c r="G288" s="243">
        <v>28</v>
      </c>
      <c r="H288" s="243">
        <v>43</v>
      </c>
      <c r="I288" s="243">
        <v>57</v>
      </c>
      <c r="J288" s="243">
        <v>67</v>
      </c>
      <c r="K288" s="243">
        <v>54</v>
      </c>
      <c r="L288" s="243">
        <v>64</v>
      </c>
      <c r="M288" s="243">
        <v>68</v>
      </c>
      <c r="N288" s="243">
        <v>55</v>
      </c>
      <c r="O288" s="253">
        <v>53</v>
      </c>
    </row>
    <row r="289" spans="1:15">
      <c r="A289" s="242" t="s">
        <v>69</v>
      </c>
      <c r="B289" s="43" t="s">
        <v>4</v>
      </c>
      <c r="C289" s="15">
        <v>23</v>
      </c>
      <c r="D289" s="244">
        <v>0</v>
      </c>
      <c r="E289" s="244">
        <v>0</v>
      </c>
      <c r="F289" s="244">
        <v>0</v>
      </c>
      <c r="G289" s="244">
        <v>0</v>
      </c>
      <c r="H289" s="244">
        <v>3</v>
      </c>
      <c r="I289" s="244">
        <v>1</v>
      </c>
      <c r="J289" s="244">
        <v>2</v>
      </c>
      <c r="K289" s="244">
        <v>4</v>
      </c>
      <c r="L289" s="244">
        <v>4</v>
      </c>
      <c r="M289" s="244">
        <v>2</v>
      </c>
      <c r="N289" s="244">
        <v>3</v>
      </c>
      <c r="O289" s="254">
        <v>4</v>
      </c>
    </row>
    <row r="290" spans="1:15">
      <c r="A290" s="240" t="s">
        <v>69</v>
      </c>
      <c r="B290" s="47" t="s">
        <v>5</v>
      </c>
      <c r="C290" s="12">
        <v>0.0344304199347386</v>
      </c>
      <c r="D290" s="241">
        <v>0</v>
      </c>
      <c r="E290" s="241">
        <v>0</v>
      </c>
      <c r="F290" s="241">
        <v>0</v>
      </c>
      <c r="G290" s="241">
        <v>0</v>
      </c>
      <c r="H290" s="241">
        <v>0.0697674418604651</v>
      </c>
      <c r="I290" s="241">
        <v>0.0175438596491228</v>
      </c>
      <c r="J290" s="241">
        <v>0.0298507462686567</v>
      </c>
      <c r="K290" s="241">
        <v>0.0740740740740741</v>
      </c>
      <c r="L290" s="241">
        <v>0.0625</v>
      </c>
      <c r="M290" s="241">
        <v>0.0294117647058824</v>
      </c>
      <c r="N290" s="241">
        <v>0.0545454545454545</v>
      </c>
      <c r="O290" s="252">
        <v>0.0754716981132075</v>
      </c>
    </row>
    <row r="291" spans="1:15">
      <c r="A291" s="242" t="s">
        <v>69</v>
      </c>
      <c r="B291" s="43" t="s">
        <v>6</v>
      </c>
      <c r="C291" s="15">
        <v>9</v>
      </c>
      <c r="D291" s="244">
        <v>0</v>
      </c>
      <c r="E291" s="244">
        <v>0</v>
      </c>
      <c r="F291" s="244">
        <v>0</v>
      </c>
      <c r="G291" s="244">
        <v>0</v>
      </c>
      <c r="H291" s="244">
        <v>0</v>
      </c>
      <c r="I291" s="244">
        <v>1</v>
      </c>
      <c r="J291" s="244">
        <v>2</v>
      </c>
      <c r="K291" s="244">
        <v>0</v>
      </c>
      <c r="L291" s="244">
        <v>2</v>
      </c>
      <c r="M291" s="244">
        <v>0</v>
      </c>
      <c r="N291" s="244">
        <v>3</v>
      </c>
      <c r="O291" s="254">
        <v>1</v>
      </c>
    </row>
    <row r="292" ht="14.25" spans="1:15">
      <c r="A292" s="245" t="s">
        <v>69</v>
      </c>
      <c r="B292" s="52" t="s">
        <v>64</v>
      </c>
      <c r="C292" s="19">
        <v>0.391304347826087</v>
      </c>
      <c r="D292" s="246">
        <v>0</v>
      </c>
      <c r="E292" s="246">
        <v>0</v>
      </c>
      <c r="F292" s="246">
        <v>0</v>
      </c>
      <c r="G292" s="246">
        <v>0</v>
      </c>
      <c r="H292" s="246">
        <v>0</v>
      </c>
      <c r="I292" s="246">
        <v>1</v>
      </c>
      <c r="J292" s="246">
        <v>1</v>
      </c>
      <c r="K292" s="246">
        <v>0</v>
      </c>
      <c r="L292" s="246">
        <v>0.5</v>
      </c>
      <c r="M292" s="246">
        <v>0</v>
      </c>
      <c r="N292" s="246">
        <v>1</v>
      </c>
      <c r="O292" s="255">
        <v>0.25</v>
      </c>
    </row>
    <row r="293" spans="1:15">
      <c r="A293" s="240" t="s">
        <v>70</v>
      </c>
      <c r="B293" s="47" t="s">
        <v>55</v>
      </c>
      <c r="C293" s="12">
        <v>1.0147064223507</v>
      </c>
      <c r="D293" s="241">
        <v>1.31818181818182</v>
      </c>
      <c r="E293" s="241">
        <v>1</v>
      </c>
      <c r="F293" s="241">
        <v>1</v>
      </c>
      <c r="G293" s="241">
        <v>1.26666666666667</v>
      </c>
      <c r="H293" s="241">
        <v>0.94</v>
      </c>
      <c r="I293" s="241">
        <v>0.888888888888889</v>
      </c>
      <c r="J293" s="241">
        <v>0.98019801980198</v>
      </c>
      <c r="K293" s="241">
        <v>0.915254237288136</v>
      </c>
      <c r="L293" s="241">
        <v>1.01869158878505</v>
      </c>
      <c r="M293" s="241">
        <v>0.935897435897436</v>
      </c>
      <c r="N293" s="241">
        <v>0.912698412698413</v>
      </c>
      <c r="O293" s="252">
        <v>1</v>
      </c>
    </row>
    <row r="294" spans="1:15">
      <c r="A294" s="242" t="s">
        <v>70</v>
      </c>
      <c r="B294" s="43" t="s">
        <v>57</v>
      </c>
      <c r="C294" s="15">
        <v>798</v>
      </c>
      <c r="D294" s="243">
        <v>22</v>
      </c>
      <c r="E294" s="243">
        <v>22</v>
      </c>
      <c r="F294" s="243">
        <v>14</v>
      </c>
      <c r="G294" s="243">
        <v>30</v>
      </c>
      <c r="H294" s="243">
        <v>50</v>
      </c>
      <c r="I294" s="243">
        <v>63</v>
      </c>
      <c r="J294" s="243">
        <v>101</v>
      </c>
      <c r="K294" s="243">
        <v>118</v>
      </c>
      <c r="L294" s="243">
        <v>107</v>
      </c>
      <c r="M294" s="243">
        <v>78</v>
      </c>
      <c r="N294" s="243">
        <v>126</v>
      </c>
      <c r="O294" s="253">
        <v>67</v>
      </c>
    </row>
    <row r="295" spans="1:15">
      <c r="A295" s="240" t="s">
        <v>70</v>
      </c>
      <c r="B295" s="47" t="s">
        <v>59</v>
      </c>
      <c r="C295" s="15">
        <v>777</v>
      </c>
      <c r="D295" s="243">
        <v>29</v>
      </c>
      <c r="E295" s="243">
        <v>22</v>
      </c>
      <c r="F295" s="243">
        <v>14</v>
      </c>
      <c r="G295" s="243">
        <v>38</v>
      </c>
      <c r="H295" s="243">
        <v>47</v>
      </c>
      <c r="I295" s="243">
        <v>56</v>
      </c>
      <c r="J295" s="243">
        <v>99</v>
      </c>
      <c r="K295" s="243">
        <v>108</v>
      </c>
      <c r="L295" s="243">
        <v>109</v>
      </c>
      <c r="M295" s="243">
        <v>73</v>
      </c>
      <c r="N295" s="243">
        <v>115</v>
      </c>
      <c r="O295" s="253">
        <v>67</v>
      </c>
    </row>
    <row r="296" spans="1:15">
      <c r="A296" s="242" t="s">
        <v>70</v>
      </c>
      <c r="B296" s="43" t="s">
        <v>4</v>
      </c>
      <c r="C296" s="15">
        <v>6</v>
      </c>
      <c r="D296" s="244">
        <v>0</v>
      </c>
      <c r="E296" s="244">
        <v>0</v>
      </c>
      <c r="F296" s="244">
        <v>0</v>
      </c>
      <c r="G296" s="244">
        <v>0</v>
      </c>
      <c r="H296" s="244">
        <v>0</v>
      </c>
      <c r="I296" s="244">
        <v>0</v>
      </c>
      <c r="J296" s="244">
        <v>0</v>
      </c>
      <c r="K296" s="244">
        <v>2</v>
      </c>
      <c r="L296" s="244">
        <v>2</v>
      </c>
      <c r="M296" s="244">
        <v>0</v>
      </c>
      <c r="N296" s="244">
        <v>0</v>
      </c>
      <c r="O296" s="254">
        <v>2</v>
      </c>
    </row>
    <row r="297" spans="1:15">
      <c r="A297" s="240" t="s">
        <v>70</v>
      </c>
      <c r="B297" s="47" t="s">
        <v>5</v>
      </c>
      <c r="C297" s="12">
        <v>0.00555982405336552</v>
      </c>
      <c r="D297" s="241">
        <v>0</v>
      </c>
      <c r="E297" s="241">
        <v>0</v>
      </c>
      <c r="F297" s="241">
        <v>0</v>
      </c>
      <c r="G297" s="241">
        <v>0</v>
      </c>
      <c r="H297" s="241">
        <v>0</v>
      </c>
      <c r="I297" s="241">
        <v>0</v>
      </c>
      <c r="J297" s="241">
        <v>0</v>
      </c>
      <c r="K297" s="241">
        <v>0.0185185185185185</v>
      </c>
      <c r="L297" s="241">
        <v>0.018348623853211</v>
      </c>
      <c r="M297" s="241">
        <v>0</v>
      </c>
      <c r="N297" s="241">
        <v>0</v>
      </c>
      <c r="O297" s="252">
        <v>0.0298507462686567</v>
      </c>
    </row>
    <row r="298" spans="1:15">
      <c r="A298" s="242" t="s">
        <v>70</v>
      </c>
      <c r="B298" s="43" t="s">
        <v>6</v>
      </c>
      <c r="C298" s="15">
        <v>1</v>
      </c>
      <c r="D298" s="244">
        <v>0</v>
      </c>
      <c r="E298" s="244">
        <v>0</v>
      </c>
      <c r="F298" s="244">
        <v>0</v>
      </c>
      <c r="G298" s="244">
        <v>0</v>
      </c>
      <c r="H298" s="244">
        <v>0</v>
      </c>
      <c r="I298" s="244">
        <v>0</v>
      </c>
      <c r="J298" s="244">
        <v>0</v>
      </c>
      <c r="K298" s="244">
        <v>0</v>
      </c>
      <c r="L298" s="244">
        <v>1</v>
      </c>
      <c r="M298" s="244">
        <v>0</v>
      </c>
      <c r="N298" s="244">
        <v>0</v>
      </c>
      <c r="O298" s="254">
        <v>0</v>
      </c>
    </row>
    <row r="299" ht="14.25" spans="1:15">
      <c r="A299" s="245" t="s">
        <v>70</v>
      </c>
      <c r="B299" s="52" t="s">
        <v>64</v>
      </c>
      <c r="C299" s="19">
        <v>0.166666666666667</v>
      </c>
      <c r="D299" s="246">
        <v>0</v>
      </c>
      <c r="E299" s="246">
        <v>0</v>
      </c>
      <c r="F299" s="246">
        <v>0</v>
      </c>
      <c r="G299" s="246">
        <v>0</v>
      </c>
      <c r="H299" s="246">
        <v>0</v>
      </c>
      <c r="I299" s="246">
        <v>0</v>
      </c>
      <c r="J299" s="246">
        <v>0</v>
      </c>
      <c r="K299" s="246">
        <v>0</v>
      </c>
      <c r="L299" s="246">
        <v>0.5</v>
      </c>
      <c r="M299" s="246">
        <v>0</v>
      </c>
      <c r="N299" s="246">
        <v>0</v>
      </c>
      <c r="O299" s="255">
        <v>0</v>
      </c>
    </row>
    <row r="300" spans="1:15">
      <c r="A300" s="240" t="s">
        <v>26</v>
      </c>
      <c r="B300" s="47" t="s">
        <v>55</v>
      </c>
      <c r="C300" s="12">
        <v>1.4782169050629</v>
      </c>
      <c r="D300" s="241">
        <v>2.15833333333333</v>
      </c>
      <c r="E300" s="241">
        <v>1.42528735632184</v>
      </c>
      <c r="F300" s="241">
        <v>1.1304347826087</v>
      </c>
      <c r="G300" s="241">
        <v>1.12121212121212</v>
      </c>
      <c r="H300" s="241">
        <v>1.368</v>
      </c>
      <c r="I300" s="241">
        <v>1.32191780821918</v>
      </c>
      <c r="J300" s="241">
        <v>1.33727810650888</v>
      </c>
      <c r="K300" s="241">
        <v>1.30857142857143</v>
      </c>
      <c r="L300" s="241">
        <v>1.6056338028169</v>
      </c>
      <c r="M300" s="241">
        <v>1.58041958041958</v>
      </c>
      <c r="N300" s="241">
        <v>1.73913043478261</v>
      </c>
      <c r="O300" s="252">
        <v>1.64238410596026</v>
      </c>
    </row>
    <row r="301" spans="1:15">
      <c r="A301" s="242" t="s">
        <v>26</v>
      </c>
      <c r="B301" s="43" t="s">
        <v>57</v>
      </c>
      <c r="C301" s="15">
        <v>1610</v>
      </c>
      <c r="D301" s="243">
        <v>120</v>
      </c>
      <c r="E301" s="243">
        <v>87</v>
      </c>
      <c r="F301" s="243">
        <v>92</v>
      </c>
      <c r="G301" s="243">
        <v>99</v>
      </c>
      <c r="H301" s="243">
        <v>125</v>
      </c>
      <c r="I301" s="243">
        <v>146</v>
      </c>
      <c r="J301" s="243">
        <v>169</v>
      </c>
      <c r="K301" s="243">
        <v>175</v>
      </c>
      <c r="L301" s="243">
        <v>142</v>
      </c>
      <c r="M301" s="243">
        <v>143</v>
      </c>
      <c r="N301" s="243">
        <v>161</v>
      </c>
      <c r="O301" s="253">
        <v>151</v>
      </c>
    </row>
    <row r="302" spans="1:15">
      <c r="A302" s="240" t="s">
        <v>26</v>
      </c>
      <c r="B302" s="47" t="s">
        <v>59</v>
      </c>
      <c r="C302" s="15">
        <v>2399</v>
      </c>
      <c r="D302" s="243">
        <v>259</v>
      </c>
      <c r="E302" s="243">
        <v>124</v>
      </c>
      <c r="F302" s="243">
        <v>104</v>
      </c>
      <c r="G302" s="243">
        <v>111</v>
      </c>
      <c r="H302" s="243">
        <v>171</v>
      </c>
      <c r="I302" s="243">
        <v>193</v>
      </c>
      <c r="J302" s="243">
        <v>226</v>
      </c>
      <c r="K302" s="243">
        <v>229</v>
      </c>
      <c r="L302" s="243">
        <v>228</v>
      </c>
      <c r="M302" s="243">
        <v>226</v>
      </c>
      <c r="N302" s="243">
        <v>280</v>
      </c>
      <c r="O302" s="253">
        <v>248</v>
      </c>
    </row>
    <row r="303" spans="1:15">
      <c r="A303" s="242" t="s">
        <v>26</v>
      </c>
      <c r="B303" s="43" t="s">
        <v>4</v>
      </c>
      <c r="C303" s="15">
        <v>78</v>
      </c>
      <c r="D303" s="244">
        <v>11</v>
      </c>
      <c r="E303" s="244">
        <v>4</v>
      </c>
      <c r="F303" s="244">
        <v>3</v>
      </c>
      <c r="G303" s="244">
        <v>4</v>
      </c>
      <c r="H303" s="244">
        <v>4</v>
      </c>
      <c r="I303" s="244">
        <v>14</v>
      </c>
      <c r="J303" s="244">
        <v>7</v>
      </c>
      <c r="K303" s="244">
        <v>6</v>
      </c>
      <c r="L303" s="244">
        <v>11</v>
      </c>
      <c r="M303" s="244">
        <v>5</v>
      </c>
      <c r="N303" s="244">
        <v>6</v>
      </c>
      <c r="O303" s="254">
        <v>3</v>
      </c>
    </row>
    <row r="304" spans="1:15">
      <c r="A304" s="240" t="s">
        <v>26</v>
      </c>
      <c r="B304" s="47" t="s">
        <v>5</v>
      </c>
      <c r="C304" s="12">
        <v>0.0330509289992401</v>
      </c>
      <c r="D304" s="241">
        <v>0.0424710424710425</v>
      </c>
      <c r="E304" s="241">
        <v>0.032258064516129</v>
      </c>
      <c r="F304" s="241">
        <v>0.0288461538461538</v>
      </c>
      <c r="G304" s="241">
        <v>0.036036036036036</v>
      </c>
      <c r="H304" s="241">
        <v>0.0233918128654971</v>
      </c>
      <c r="I304" s="241">
        <v>0.0725388601036269</v>
      </c>
      <c r="J304" s="241">
        <v>0.0309734513274336</v>
      </c>
      <c r="K304" s="241">
        <v>0.0262008733624454</v>
      </c>
      <c r="L304" s="241">
        <v>0.0482456140350877</v>
      </c>
      <c r="M304" s="241">
        <v>0.0221238938053097</v>
      </c>
      <c r="N304" s="241">
        <v>0.0214285714285714</v>
      </c>
      <c r="O304" s="252">
        <v>0.0120967741935484</v>
      </c>
    </row>
    <row r="305" spans="1:15">
      <c r="A305" s="242" t="s">
        <v>26</v>
      </c>
      <c r="B305" s="43" t="s">
        <v>6</v>
      </c>
      <c r="C305" s="15">
        <v>20</v>
      </c>
      <c r="D305" s="244">
        <v>2</v>
      </c>
      <c r="E305" s="244">
        <v>3</v>
      </c>
      <c r="F305" s="244">
        <v>1</v>
      </c>
      <c r="G305" s="244">
        <v>2</v>
      </c>
      <c r="H305" s="244">
        <v>4</v>
      </c>
      <c r="I305" s="244">
        <v>1</v>
      </c>
      <c r="J305" s="244">
        <v>1</v>
      </c>
      <c r="K305" s="244">
        <v>1</v>
      </c>
      <c r="L305" s="244">
        <v>2</v>
      </c>
      <c r="M305" s="244">
        <v>0</v>
      </c>
      <c r="N305" s="244">
        <v>1</v>
      </c>
      <c r="O305" s="254">
        <v>2</v>
      </c>
    </row>
    <row r="306" ht="14.25" spans="1:15">
      <c r="A306" s="245" t="s">
        <v>26</v>
      </c>
      <c r="B306" s="52" t="s">
        <v>64</v>
      </c>
      <c r="C306" s="19">
        <v>0.256410256410256</v>
      </c>
      <c r="D306" s="250">
        <v>2</v>
      </c>
      <c r="E306" s="250">
        <v>3</v>
      </c>
      <c r="F306" s="250">
        <v>1</v>
      </c>
      <c r="G306" s="250">
        <v>2</v>
      </c>
      <c r="H306" s="250">
        <v>4</v>
      </c>
      <c r="I306" s="250">
        <v>1</v>
      </c>
      <c r="J306" s="250">
        <v>1</v>
      </c>
      <c r="K306" s="250">
        <v>1</v>
      </c>
      <c r="L306" s="250">
        <v>2</v>
      </c>
      <c r="M306" s="250">
        <v>0</v>
      </c>
      <c r="N306" s="250">
        <v>1</v>
      </c>
      <c r="O306" s="257">
        <v>2</v>
      </c>
    </row>
    <row r="307" ht="14.25" spans="1:15">
      <c r="A307" s="237">
        <v>45023</v>
      </c>
      <c r="B307" s="237"/>
      <c r="C307" s="237"/>
      <c r="D307" s="237"/>
      <c r="E307" s="237"/>
      <c r="F307" s="237"/>
      <c r="G307" s="237"/>
      <c r="H307" s="237"/>
      <c r="I307" s="237"/>
      <c r="J307" s="237"/>
      <c r="K307" s="237"/>
      <c r="L307" s="237"/>
      <c r="M307" s="237"/>
      <c r="N307" s="237"/>
      <c r="O307" s="237"/>
    </row>
    <row r="308" spans="1:15">
      <c r="A308" s="56" t="s">
        <v>1</v>
      </c>
      <c r="B308" s="238"/>
      <c r="C308" s="8" t="s">
        <v>42</v>
      </c>
      <c r="D308" s="239" t="s">
        <v>43</v>
      </c>
      <c r="E308" s="239" t="s">
        <v>44</v>
      </c>
      <c r="F308" s="239" t="s">
        <v>45</v>
      </c>
      <c r="G308" s="239" t="s">
        <v>46</v>
      </c>
      <c r="H308" s="239" t="s">
        <v>47</v>
      </c>
      <c r="I308" s="239" t="s">
        <v>48</v>
      </c>
      <c r="J308" s="239" t="s">
        <v>49</v>
      </c>
      <c r="K308" s="239" t="s">
        <v>50</v>
      </c>
      <c r="L308" s="239" t="s">
        <v>51</v>
      </c>
      <c r="M308" s="239" t="s">
        <v>52</v>
      </c>
      <c r="N308" s="239" t="s">
        <v>53</v>
      </c>
      <c r="O308" s="251" t="s">
        <v>54</v>
      </c>
    </row>
    <row r="309" spans="1:15">
      <c r="A309" s="240" t="s">
        <v>22</v>
      </c>
      <c r="B309" s="47" t="s">
        <v>55</v>
      </c>
      <c r="C309" s="12">
        <v>0.34549152234203</v>
      </c>
      <c r="D309" s="241">
        <v>0.339019189765458</v>
      </c>
      <c r="E309" s="241">
        <v>0.179545454545455</v>
      </c>
      <c r="F309" s="241">
        <v>0.153846153846154</v>
      </c>
      <c r="G309" s="241">
        <v>0.281786941580756</v>
      </c>
      <c r="H309" s="241">
        <v>0.324232081911263</v>
      </c>
      <c r="I309" s="241">
        <v>0.39</v>
      </c>
      <c r="J309" s="241">
        <v>0.406349206349206</v>
      </c>
      <c r="K309" s="241">
        <v>0.428571428571429</v>
      </c>
      <c r="L309" s="241">
        <v>0.428571428571429</v>
      </c>
      <c r="M309" s="241">
        <v>0.426056338028169</v>
      </c>
      <c r="N309" s="241">
        <v>0.410764872521246</v>
      </c>
      <c r="O309" s="252">
        <v>0.377155172413793</v>
      </c>
    </row>
    <row r="310" spans="1:15">
      <c r="A310" s="242" t="s">
        <v>22</v>
      </c>
      <c r="B310" s="43" t="s">
        <v>57</v>
      </c>
      <c r="C310" s="15">
        <v>4202</v>
      </c>
      <c r="D310" s="243">
        <v>469</v>
      </c>
      <c r="E310" s="243">
        <v>440</v>
      </c>
      <c r="F310" s="243">
        <v>377</v>
      </c>
      <c r="G310" s="243">
        <v>291</v>
      </c>
      <c r="H310" s="243">
        <v>293</v>
      </c>
      <c r="I310" s="243">
        <v>300</v>
      </c>
      <c r="J310" s="243">
        <v>315</v>
      </c>
      <c r="K310" s="243">
        <v>322</v>
      </c>
      <c r="L310" s="243">
        <v>294</v>
      </c>
      <c r="M310" s="243">
        <v>284</v>
      </c>
      <c r="N310" s="243">
        <v>353</v>
      </c>
      <c r="O310" s="253">
        <v>464</v>
      </c>
    </row>
    <row r="311" spans="1:15">
      <c r="A311" s="240" t="s">
        <v>22</v>
      </c>
      <c r="B311" s="47" t="s">
        <v>59</v>
      </c>
      <c r="C311" s="15">
        <v>1423</v>
      </c>
      <c r="D311" s="243">
        <v>159</v>
      </c>
      <c r="E311" s="243">
        <v>79</v>
      </c>
      <c r="F311" s="243">
        <v>58</v>
      </c>
      <c r="G311" s="243">
        <v>82</v>
      </c>
      <c r="H311" s="243">
        <v>95</v>
      </c>
      <c r="I311" s="243">
        <v>117</v>
      </c>
      <c r="J311" s="243">
        <v>128</v>
      </c>
      <c r="K311" s="243">
        <v>138</v>
      </c>
      <c r="L311" s="243">
        <v>126</v>
      </c>
      <c r="M311" s="243">
        <v>121</v>
      </c>
      <c r="N311" s="243">
        <v>145</v>
      </c>
      <c r="O311" s="253">
        <v>175</v>
      </c>
    </row>
    <row r="312" spans="1:15">
      <c r="A312" s="242" t="s">
        <v>22</v>
      </c>
      <c r="B312" s="43" t="s">
        <v>4</v>
      </c>
      <c r="C312" s="15">
        <v>104</v>
      </c>
      <c r="D312" s="244">
        <v>15</v>
      </c>
      <c r="E312" s="244">
        <v>5</v>
      </c>
      <c r="F312" s="244">
        <v>4</v>
      </c>
      <c r="G312" s="244">
        <v>3</v>
      </c>
      <c r="H312" s="244">
        <v>3</v>
      </c>
      <c r="I312" s="244">
        <v>7</v>
      </c>
      <c r="J312" s="244">
        <v>4</v>
      </c>
      <c r="K312" s="244">
        <v>12</v>
      </c>
      <c r="L312" s="244">
        <v>13</v>
      </c>
      <c r="M312" s="244">
        <v>15</v>
      </c>
      <c r="N312" s="244">
        <v>4</v>
      </c>
      <c r="O312" s="254">
        <v>19</v>
      </c>
    </row>
    <row r="313" spans="1:15">
      <c r="A313" s="240" t="s">
        <v>22</v>
      </c>
      <c r="B313" s="47" t="s">
        <v>5</v>
      </c>
      <c r="C313" s="12">
        <v>0.0696746128920841</v>
      </c>
      <c r="D313" s="241">
        <v>0.0943396226415094</v>
      </c>
      <c r="E313" s="241">
        <v>0.0632911392405063</v>
      </c>
      <c r="F313" s="241">
        <v>0.0689655172413793</v>
      </c>
      <c r="G313" s="241">
        <v>0.0365853658536585</v>
      </c>
      <c r="H313" s="241">
        <v>0.0315789473684211</v>
      </c>
      <c r="I313" s="241">
        <v>0.0598290598290598</v>
      </c>
      <c r="J313" s="241">
        <v>0.03125</v>
      </c>
      <c r="K313" s="241">
        <v>0.0869565217391304</v>
      </c>
      <c r="L313" s="241">
        <v>0.103174603174603</v>
      </c>
      <c r="M313" s="241">
        <v>0.12396694214876</v>
      </c>
      <c r="N313" s="241">
        <v>0.0275862068965517</v>
      </c>
      <c r="O313" s="252">
        <v>0.108571428571429</v>
      </c>
    </row>
    <row r="314" spans="1:15">
      <c r="A314" s="242" t="s">
        <v>22</v>
      </c>
      <c r="B314" s="43" t="s">
        <v>6</v>
      </c>
      <c r="C314" s="15">
        <v>24</v>
      </c>
      <c r="D314" s="244">
        <v>5</v>
      </c>
      <c r="E314" s="244">
        <v>4</v>
      </c>
      <c r="F314" s="244">
        <v>0</v>
      </c>
      <c r="G314" s="244">
        <v>0</v>
      </c>
      <c r="H314" s="244">
        <v>0</v>
      </c>
      <c r="I314" s="244">
        <v>4</v>
      </c>
      <c r="J314" s="244">
        <v>0</v>
      </c>
      <c r="K314" s="244">
        <v>2</v>
      </c>
      <c r="L314" s="244">
        <v>1</v>
      </c>
      <c r="M314" s="244">
        <v>6</v>
      </c>
      <c r="N314" s="244">
        <v>1</v>
      </c>
      <c r="O314" s="254">
        <v>1</v>
      </c>
    </row>
    <row r="315" ht="14.25" spans="1:15">
      <c r="A315" s="245" t="s">
        <v>22</v>
      </c>
      <c r="B315" s="52" t="s">
        <v>64</v>
      </c>
      <c r="C315" s="19">
        <v>0.230769230769231</v>
      </c>
      <c r="D315" s="246">
        <v>0.333333333333333</v>
      </c>
      <c r="E315" s="246">
        <v>0.8</v>
      </c>
      <c r="F315" s="246">
        <v>0</v>
      </c>
      <c r="G315" s="246">
        <v>0</v>
      </c>
      <c r="H315" s="246">
        <v>0</v>
      </c>
      <c r="I315" s="246">
        <v>0.571428571428571</v>
      </c>
      <c r="J315" s="246">
        <v>0</v>
      </c>
      <c r="K315" s="246">
        <v>0.166666666666667</v>
      </c>
      <c r="L315" s="246">
        <v>0.0769230769230769</v>
      </c>
      <c r="M315" s="246">
        <v>0.4</v>
      </c>
      <c r="N315" s="246">
        <v>0.25</v>
      </c>
      <c r="O315" s="255">
        <v>0.0526315789473684</v>
      </c>
    </row>
    <row r="316" spans="1:15">
      <c r="A316" s="247" t="s">
        <v>66</v>
      </c>
      <c r="B316" s="248" t="s">
        <v>55</v>
      </c>
      <c r="C316" s="12">
        <v>0.111743168328221</v>
      </c>
      <c r="D316" s="249">
        <v>0.0817610062893082</v>
      </c>
      <c r="E316" s="249">
        <v>0.0207852193995381</v>
      </c>
      <c r="F316" s="249">
        <v>0.0271186440677966</v>
      </c>
      <c r="G316" s="249">
        <v>0.0179372197309417</v>
      </c>
      <c r="H316" s="249">
        <v>0.085427135678392</v>
      </c>
      <c r="I316" s="249">
        <v>0.0962566844919786</v>
      </c>
      <c r="J316" s="249">
        <v>0.225806451612903</v>
      </c>
      <c r="K316" s="249">
        <v>0.150943396226415</v>
      </c>
      <c r="L316" s="249">
        <v>0.158469945355191</v>
      </c>
      <c r="M316" s="249">
        <v>0.149659863945578</v>
      </c>
      <c r="N316" s="249">
        <v>0.147540983606557</v>
      </c>
      <c r="O316" s="256">
        <v>0.17921146953405</v>
      </c>
    </row>
    <row r="317" spans="1:15">
      <c r="A317" s="242" t="s">
        <v>66</v>
      </c>
      <c r="B317" s="43" t="s">
        <v>57</v>
      </c>
      <c r="C317" s="15">
        <v>2845</v>
      </c>
      <c r="D317" s="243">
        <v>318</v>
      </c>
      <c r="E317" s="243">
        <v>433</v>
      </c>
      <c r="F317" s="243">
        <v>295</v>
      </c>
      <c r="G317" s="243">
        <v>223</v>
      </c>
      <c r="H317" s="243">
        <v>199</v>
      </c>
      <c r="I317" s="243">
        <v>187</v>
      </c>
      <c r="J317" s="243">
        <v>186</v>
      </c>
      <c r="K317" s="243">
        <v>212</v>
      </c>
      <c r="L317" s="243">
        <v>183</v>
      </c>
      <c r="M317" s="243">
        <v>147</v>
      </c>
      <c r="N317" s="243">
        <v>183</v>
      </c>
      <c r="O317" s="253">
        <v>279</v>
      </c>
    </row>
    <row r="318" spans="1:15">
      <c r="A318" s="240" t="s">
        <v>66</v>
      </c>
      <c r="B318" s="47" t="s">
        <v>59</v>
      </c>
      <c r="C318" s="15">
        <v>284</v>
      </c>
      <c r="D318" s="243">
        <v>26</v>
      </c>
      <c r="E318" s="243">
        <v>9</v>
      </c>
      <c r="F318" s="243">
        <v>8</v>
      </c>
      <c r="G318" s="243">
        <v>4</v>
      </c>
      <c r="H318" s="243">
        <v>17</v>
      </c>
      <c r="I318" s="243">
        <v>18</v>
      </c>
      <c r="J318" s="243">
        <v>42</v>
      </c>
      <c r="K318" s="243">
        <v>32</v>
      </c>
      <c r="L318" s="243">
        <v>29</v>
      </c>
      <c r="M318" s="243">
        <v>22</v>
      </c>
      <c r="N318" s="243">
        <v>27</v>
      </c>
      <c r="O318" s="253">
        <v>50</v>
      </c>
    </row>
    <row r="319" spans="1:15">
      <c r="A319" s="242" t="s">
        <v>66</v>
      </c>
      <c r="B319" s="43" t="s">
        <v>4</v>
      </c>
      <c r="C319" s="15">
        <v>23</v>
      </c>
      <c r="D319" s="244">
        <v>5</v>
      </c>
      <c r="E319" s="244">
        <v>0</v>
      </c>
      <c r="F319" s="244">
        <v>1</v>
      </c>
      <c r="G319" s="244">
        <v>0</v>
      </c>
      <c r="H319" s="244">
        <v>1</v>
      </c>
      <c r="I319" s="244">
        <v>2</v>
      </c>
      <c r="J319" s="244">
        <v>5</v>
      </c>
      <c r="K319" s="244">
        <v>1</v>
      </c>
      <c r="L319" s="244">
        <v>4</v>
      </c>
      <c r="M319" s="244">
        <v>1</v>
      </c>
      <c r="N319" s="244">
        <v>1</v>
      </c>
      <c r="O319" s="254">
        <v>2</v>
      </c>
    </row>
    <row r="320" spans="1:15">
      <c r="A320" s="240" t="s">
        <v>66</v>
      </c>
      <c r="B320" s="47" t="s">
        <v>5</v>
      </c>
      <c r="C320" s="12">
        <v>0.074830214071044</v>
      </c>
      <c r="D320" s="241">
        <v>0.192307692307692</v>
      </c>
      <c r="E320" s="241">
        <v>0</v>
      </c>
      <c r="F320" s="241">
        <v>0.125</v>
      </c>
      <c r="G320" s="241">
        <v>0</v>
      </c>
      <c r="H320" s="241">
        <v>0.0588235294117647</v>
      </c>
      <c r="I320" s="241">
        <v>0.111111111111111</v>
      </c>
      <c r="J320" s="241">
        <v>0.119047619047619</v>
      </c>
      <c r="K320" s="241">
        <v>0.03125</v>
      </c>
      <c r="L320" s="241">
        <v>0.137931034482759</v>
      </c>
      <c r="M320" s="241">
        <v>0.0454545454545455</v>
      </c>
      <c r="N320" s="241">
        <v>0.037037037037037</v>
      </c>
      <c r="O320" s="252">
        <v>0.04</v>
      </c>
    </row>
    <row r="321" spans="1:15">
      <c r="A321" s="242" t="s">
        <v>66</v>
      </c>
      <c r="B321" s="43" t="s">
        <v>6</v>
      </c>
      <c r="C321" s="15">
        <v>12</v>
      </c>
      <c r="D321" s="244">
        <v>3</v>
      </c>
      <c r="E321" s="244">
        <v>0</v>
      </c>
      <c r="F321" s="244">
        <v>1</v>
      </c>
      <c r="G321" s="244">
        <v>0</v>
      </c>
      <c r="H321" s="244">
        <v>1</v>
      </c>
      <c r="I321" s="244">
        <v>0</v>
      </c>
      <c r="J321" s="244">
        <v>2</v>
      </c>
      <c r="K321" s="244">
        <v>0</v>
      </c>
      <c r="L321" s="244">
        <v>1</v>
      </c>
      <c r="M321" s="244">
        <v>2</v>
      </c>
      <c r="N321" s="244">
        <v>0</v>
      </c>
      <c r="O321" s="254">
        <v>2</v>
      </c>
    </row>
    <row r="322" ht="14.25" spans="1:15">
      <c r="A322" s="245" t="s">
        <v>66</v>
      </c>
      <c r="B322" s="52" t="s">
        <v>64</v>
      </c>
      <c r="C322" s="19">
        <v>0.521739130434783</v>
      </c>
      <c r="D322" s="246">
        <v>0.6</v>
      </c>
      <c r="E322" s="246">
        <v>0</v>
      </c>
      <c r="F322" s="246">
        <v>1</v>
      </c>
      <c r="G322" s="246">
        <v>0</v>
      </c>
      <c r="H322" s="246">
        <v>1</v>
      </c>
      <c r="I322" s="246">
        <v>0</v>
      </c>
      <c r="J322" s="246">
        <v>0.4</v>
      </c>
      <c r="K322" s="246">
        <v>0</v>
      </c>
      <c r="L322" s="246">
        <v>0.25</v>
      </c>
      <c r="M322" s="246">
        <v>2</v>
      </c>
      <c r="N322" s="246">
        <v>0</v>
      </c>
      <c r="O322" s="255">
        <v>1</v>
      </c>
    </row>
    <row r="323" spans="1:15">
      <c r="A323" s="240" t="s">
        <v>67</v>
      </c>
      <c r="B323" s="47" t="s">
        <v>55</v>
      </c>
      <c r="C323" s="12">
        <v>0.74441077938327</v>
      </c>
      <c r="D323" s="241">
        <v>0.682926829268293</v>
      </c>
      <c r="E323" s="241">
        <v>0.634146341463415</v>
      </c>
      <c r="F323" s="241">
        <v>0.958333333333333</v>
      </c>
      <c r="G323" s="241">
        <v>0.772727272727273</v>
      </c>
      <c r="H323" s="241">
        <v>0.761904761904762</v>
      </c>
      <c r="I323" s="241">
        <v>0.604166666666667</v>
      </c>
      <c r="J323" s="241">
        <v>1.19512195121951</v>
      </c>
      <c r="K323" s="241">
        <v>0.883116883116883</v>
      </c>
      <c r="L323" s="241">
        <v>0.56</v>
      </c>
      <c r="M323" s="241">
        <v>0.573333333333333</v>
      </c>
      <c r="N323" s="241">
        <v>0.703703703703704</v>
      </c>
      <c r="O323" s="252">
        <v>0.603448275862069</v>
      </c>
    </row>
    <row r="324" spans="1:15">
      <c r="A324" s="242" t="s">
        <v>67</v>
      </c>
      <c r="B324" s="43" t="s">
        <v>57</v>
      </c>
      <c r="C324" s="15">
        <v>746</v>
      </c>
      <c r="D324" s="243">
        <v>82</v>
      </c>
      <c r="E324" s="243">
        <v>41</v>
      </c>
      <c r="F324" s="243">
        <v>24</v>
      </c>
      <c r="G324" s="243">
        <v>44</v>
      </c>
      <c r="H324" s="243">
        <v>42</v>
      </c>
      <c r="I324" s="243">
        <v>48</v>
      </c>
      <c r="J324" s="243">
        <v>41</v>
      </c>
      <c r="K324" s="243">
        <v>77</v>
      </c>
      <c r="L324" s="243">
        <v>75</v>
      </c>
      <c r="M324" s="243">
        <v>75</v>
      </c>
      <c r="N324" s="243">
        <v>81</v>
      </c>
      <c r="O324" s="253">
        <v>116</v>
      </c>
    </row>
    <row r="325" spans="1:15">
      <c r="A325" s="240" t="s">
        <v>67</v>
      </c>
      <c r="B325" s="47" t="s">
        <v>59</v>
      </c>
      <c r="C325" s="15">
        <v>529</v>
      </c>
      <c r="D325" s="243">
        <v>56</v>
      </c>
      <c r="E325" s="243">
        <v>26</v>
      </c>
      <c r="F325" s="243">
        <v>23</v>
      </c>
      <c r="G325" s="243">
        <v>34</v>
      </c>
      <c r="H325" s="243">
        <v>32</v>
      </c>
      <c r="I325" s="243">
        <v>29</v>
      </c>
      <c r="J325" s="243">
        <v>49</v>
      </c>
      <c r="K325" s="243">
        <v>68</v>
      </c>
      <c r="L325" s="243">
        <v>42</v>
      </c>
      <c r="M325" s="243">
        <v>43</v>
      </c>
      <c r="N325" s="243">
        <v>57</v>
      </c>
      <c r="O325" s="253">
        <v>70</v>
      </c>
    </row>
    <row r="326" spans="1:15">
      <c r="A326" s="242" t="s">
        <v>67</v>
      </c>
      <c r="B326" s="43" t="s">
        <v>4</v>
      </c>
      <c r="C326" s="15">
        <v>31</v>
      </c>
      <c r="D326" s="244">
        <v>2</v>
      </c>
      <c r="E326" s="244">
        <v>2</v>
      </c>
      <c r="F326" s="244">
        <v>2</v>
      </c>
      <c r="G326" s="244">
        <v>2</v>
      </c>
      <c r="H326" s="244">
        <v>4</v>
      </c>
      <c r="I326" s="244">
        <v>3</v>
      </c>
      <c r="J326" s="244">
        <v>1</v>
      </c>
      <c r="K326" s="244">
        <v>4</v>
      </c>
      <c r="L326" s="244">
        <v>3</v>
      </c>
      <c r="M326" s="244">
        <v>1</v>
      </c>
      <c r="N326" s="244">
        <v>3</v>
      </c>
      <c r="O326" s="254">
        <v>4</v>
      </c>
    </row>
    <row r="327" spans="1:15">
      <c r="A327" s="240" t="s">
        <v>67</v>
      </c>
      <c r="B327" s="47" t="s">
        <v>5</v>
      </c>
      <c r="C327" s="12">
        <v>0.0642130169833069</v>
      </c>
      <c r="D327" s="241">
        <v>0.0357142857142857</v>
      </c>
      <c r="E327" s="241">
        <v>0.0769230769230769</v>
      </c>
      <c r="F327" s="241">
        <v>0.0869565217391304</v>
      </c>
      <c r="G327" s="241">
        <v>0.0588235294117647</v>
      </c>
      <c r="H327" s="241">
        <v>0.125</v>
      </c>
      <c r="I327" s="241">
        <v>0.103448275862069</v>
      </c>
      <c r="J327" s="241">
        <v>0.0204081632653061</v>
      </c>
      <c r="K327" s="241">
        <v>0.0588235294117647</v>
      </c>
      <c r="L327" s="241">
        <v>0.0714285714285714</v>
      </c>
      <c r="M327" s="241">
        <v>0.0232558139534884</v>
      </c>
      <c r="N327" s="241">
        <v>0.0526315789473684</v>
      </c>
      <c r="O327" s="252">
        <v>0.0571428571428571</v>
      </c>
    </row>
    <row r="328" spans="1:15">
      <c r="A328" s="242" t="s">
        <v>67</v>
      </c>
      <c r="B328" s="43" t="s">
        <v>6</v>
      </c>
      <c r="C328" s="15">
        <v>9</v>
      </c>
      <c r="D328" s="244">
        <v>1</v>
      </c>
      <c r="E328" s="244">
        <v>0</v>
      </c>
      <c r="F328" s="244">
        <v>1</v>
      </c>
      <c r="G328" s="244">
        <v>1</v>
      </c>
      <c r="H328" s="244">
        <v>0</v>
      </c>
      <c r="I328" s="244">
        <v>1</v>
      </c>
      <c r="J328" s="244">
        <v>0</v>
      </c>
      <c r="K328" s="244">
        <v>1</v>
      </c>
      <c r="L328" s="244">
        <v>3</v>
      </c>
      <c r="M328" s="244">
        <v>0</v>
      </c>
      <c r="N328" s="244">
        <v>1</v>
      </c>
      <c r="O328" s="254">
        <v>0</v>
      </c>
    </row>
    <row r="329" ht="14.25" spans="1:15">
      <c r="A329" s="245" t="s">
        <v>67</v>
      </c>
      <c r="B329" s="52" t="s">
        <v>64</v>
      </c>
      <c r="C329" s="19">
        <v>0.290322580645161</v>
      </c>
      <c r="D329" s="246">
        <v>0.5</v>
      </c>
      <c r="E329" s="246">
        <v>0</v>
      </c>
      <c r="F329" s="246">
        <v>0.5</v>
      </c>
      <c r="G329" s="246">
        <v>0.5</v>
      </c>
      <c r="H329" s="246">
        <v>0</v>
      </c>
      <c r="I329" s="246">
        <v>0.333333333333333</v>
      </c>
      <c r="J329" s="246">
        <v>0</v>
      </c>
      <c r="K329" s="246">
        <v>0.25</v>
      </c>
      <c r="L329" s="246">
        <v>1</v>
      </c>
      <c r="M329" s="246">
        <v>0</v>
      </c>
      <c r="N329" s="246">
        <v>0.333333333333333</v>
      </c>
      <c r="O329" s="255">
        <v>0</v>
      </c>
    </row>
    <row r="330" spans="1:15">
      <c r="A330" s="240" t="s">
        <v>68</v>
      </c>
      <c r="B330" s="47" t="s">
        <v>55</v>
      </c>
      <c r="C330" s="12">
        <v>0.115074749094158</v>
      </c>
      <c r="D330" s="241">
        <v>0.215873015873016</v>
      </c>
      <c r="E330" s="241">
        <v>0.21301775147929</v>
      </c>
      <c r="F330" s="241">
        <v>0.238578680203046</v>
      </c>
      <c r="G330" s="241">
        <v>0.107305936073059</v>
      </c>
      <c r="H330" s="241">
        <v>0.124822695035461</v>
      </c>
      <c r="I330" s="241">
        <v>0.122853368560106</v>
      </c>
      <c r="J330" s="241">
        <v>0.0763779527559055</v>
      </c>
      <c r="K330" s="241">
        <v>0.075187969924812</v>
      </c>
      <c r="L330" s="241">
        <v>0.0783132530120482</v>
      </c>
      <c r="M330" s="241">
        <v>0.0628722700198544</v>
      </c>
      <c r="N330" s="241">
        <v>0.0390243902439024</v>
      </c>
      <c r="O330" s="252">
        <v>0.0266697059493959</v>
      </c>
    </row>
    <row r="331" spans="1:15">
      <c r="A331" s="242" t="s">
        <v>68</v>
      </c>
      <c r="B331" s="43" t="s">
        <v>57</v>
      </c>
      <c r="C331" s="15">
        <v>15144</v>
      </c>
      <c r="D331" s="243">
        <v>315</v>
      </c>
      <c r="E331" s="243">
        <v>169</v>
      </c>
      <c r="F331" s="243">
        <v>197</v>
      </c>
      <c r="G331" s="243">
        <v>438</v>
      </c>
      <c r="H331" s="243">
        <v>705</v>
      </c>
      <c r="I331" s="243">
        <v>757</v>
      </c>
      <c r="J331" s="243">
        <v>1270</v>
      </c>
      <c r="K331" s="243">
        <v>1197</v>
      </c>
      <c r="L331" s="243">
        <v>1328</v>
      </c>
      <c r="M331" s="243">
        <v>1511</v>
      </c>
      <c r="N331" s="243">
        <v>2870</v>
      </c>
      <c r="O331" s="253">
        <v>4387</v>
      </c>
    </row>
    <row r="332" spans="1:15">
      <c r="A332" s="240" t="s">
        <v>68</v>
      </c>
      <c r="B332" s="47" t="s">
        <v>59</v>
      </c>
      <c r="C332" s="15">
        <v>994</v>
      </c>
      <c r="D332" s="243">
        <v>68</v>
      </c>
      <c r="E332" s="243">
        <v>36</v>
      </c>
      <c r="F332" s="243">
        <v>47</v>
      </c>
      <c r="G332" s="243">
        <v>47</v>
      </c>
      <c r="H332" s="243">
        <v>88</v>
      </c>
      <c r="I332" s="243">
        <v>93</v>
      </c>
      <c r="J332" s="243">
        <v>97</v>
      </c>
      <c r="K332" s="243">
        <v>90</v>
      </c>
      <c r="L332" s="243">
        <v>104</v>
      </c>
      <c r="M332" s="243">
        <v>95</v>
      </c>
      <c r="N332" s="243">
        <v>112</v>
      </c>
      <c r="O332" s="253">
        <v>117</v>
      </c>
    </row>
    <row r="333" spans="1:15">
      <c r="A333" s="242" t="s">
        <v>68</v>
      </c>
      <c r="B333" s="43" t="s">
        <v>4</v>
      </c>
      <c r="C333" s="15">
        <v>42</v>
      </c>
      <c r="D333" s="244">
        <v>4</v>
      </c>
      <c r="E333" s="244">
        <v>3</v>
      </c>
      <c r="F333" s="244">
        <v>2</v>
      </c>
      <c r="G333" s="244">
        <v>0</v>
      </c>
      <c r="H333" s="244">
        <v>3</v>
      </c>
      <c r="I333" s="244">
        <v>6</v>
      </c>
      <c r="J333" s="244">
        <v>2</v>
      </c>
      <c r="K333" s="244">
        <v>6</v>
      </c>
      <c r="L333" s="244">
        <v>5</v>
      </c>
      <c r="M333" s="244">
        <v>2</v>
      </c>
      <c r="N333" s="244">
        <v>2</v>
      </c>
      <c r="O333" s="254">
        <v>7</v>
      </c>
    </row>
    <row r="334" spans="1:15">
      <c r="A334" s="240" t="s">
        <v>68</v>
      </c>
      <c r="B334" s="47" t="s">
        <v>5</v>
      </c>
      <c r="C334" s="12">
        <v>0.0431181727556165</v>
      </c>
      <c r="D334" s="241">
        <v>0.0588235294117647</v>
      </c>
      <c r="E334" s="241">
        <v>0.0833333333333333</v>
      </c>
      <c r="F334" s="241">
        <v>0.0425531914893617</v>
      </c>
      <c r="G334" s="241">
        <v>0</v>
      </c>
      <c r="H334" s="241">
        <v>0.0340909090909091</v>
      </c>
      <c r="I334" s="241">
        <v>0.0645161290322581</v>
      </c>
      <c r="J334" s="241">
        <v>0.0206185567010309</v>
      </c>
      <c r="K334" s="241">
        <v>0.0666666666666667</v>
      </c>
      <c r="L334" s="241">
        <v>0.0480769230769231</v>
      </c>
      <c r="M334" s="241">
        <v>0.0210526315789474</v>
      </c>
      <c r="N334" s="241">
        <v>0.0178571428571429</v>
      </c>
      <c r="O334" s="252">
        <v>0.0598290598290598</v>
      </c>
    </row>
    <row r="335" spans="1:15">
      <c r="A335" s="242" t="s">
        <v>68</v>
      </c>
      <c r="B335" s="43" t="s">
        <v>6</v>
      </c>
      <c r="C335" s="15">
        <v>16</v>
      </c>
      <c r="D335" s="244">
        <v>3</v>
      </c>
      <c r="E335" s="244">
        <v>2</v>
      </c>
      <c r="F335" s="244">
        <v>0</v>
      </c>
      <c r="G335" s="244">
        <v>1</v>
      </c>
      <c r="H335" s="244">
        <v>1</v>
      </c>
      <c r="I335" s="244">
        <v>3</v>
      </c>
      <c r="J335" s="244">
        <v>0</v>
      </c>
      <c r="K335" s="244">
        <v>0</v>
      </c>
      <c r="L335" s="244">
        <v>3</v>
      </c>
      <c r="M335" s="244">
        <v>1</v>
      </c>
      <c r="N335" s="244">
        <v>1</v>
      </c>
      <c r="O335" s="254">
        <v>1</v>
      </c>
    </row>
    <row r="336" ht="14.25" spans="1:15">
      <c r="A336" s="245" t="s">
        <v>68</v>
      </c>
      <c r="B336" s="52" t="s">
        <v>64</v>
      </c>
      <c r="C336" s="19">
        <v>0.380952380952381</v>
      </c>
      <c r="D336" s="246">
        <v>0.75</v>
      </c>
      <c r="E336" s="246">
        <v>0.666666666666667</v>
      </c>
      <c r="F336" s="246">
        <v>0</v>
      </c>
      <c r="G336" s="246">
        <v>0</v>
      </c>
      <c r="H336" s="246">
        <v>0.333333333333333</v>
      </c>
      <c r="I336" s="246">
        <v>0.5</v>
      </c>
      <c r="J336" s="246">
        <v>0</v>
      </c>
      <c r="K336" s="246">
        <v>0</v>
      </c>
      <c r="L336" s="246">
        <v>0.6</v>
      </c>
      <c r="M336" s="246">
        <v>0.5</v>
      </c>
      <c r="N336" s="246">
        <v>0.5</v>
      </c>
      <c r="O336" s="255">
        <v>0.142857142857143</v>
      </c>
    </row>
    <row r="337" spans="1:15">
      <c r="A337" s="240" t="s">
        <v>69</v>
      </c>
      <c r="B337" s="47" t="s">
        <v>55</v>
      </c>
      <c r="C337" s="12">
        <v>0.863453647089199</v>
      </c>
      <c r="D337" s="241">
        <v>0.962962962962963</v>
      </c>
      <c r="E337" s="241">
        <v>0.692307692307692</v>
      </c>
      <c r="F337" s="241">
        <v>0.4375</v>
      </c>
      <c r="G337" s="241">
        <v>0.866666666666667</v>
      </c>
      <c r="H337" s="241">
        <v>0.931818181818182</v>
      </c>
      <c r="I337" s="241">
        <v>1.05555555555556</v>
      </c>
      <c r="J337" s="241">
        <v>0.818181818181818</v>
      </c>
      <c r="K337" s="241">
        <v>0.888888888888889</v>
      </c>
      <c r="L337" s="241">
        <v>0.830508474576271</v>
      </c>
      <c r="M337" s="241">
        <v>1.03921568627451</v>
      </c>
      <c r="N337" s="241">
        <v>1</v>
      </c>
      <c r="O337" s="252">
        <v>0.837837837837838</v>
      </c>
    </row>
    <row r="338" spans="1:15">
      <c r="A338" s="242" t="s">
        <v>69</v>
      </c>
      <c r="B338" s="43" t="s">
        <v>57</v>
      </c>
      <c r="C338" s="15">
        <v>629</v>
      </c>
      <c r="D338" s="243">
        <v>54</v>
      </c>
      <c r="E338" s="243">
        <v>26</v>
      </c>
      <c r="F338" s="243">
        <v>32</v>
      </c>
      <c r="G338" s="243">
        <v>30</v>
      </c>
      <c r="H338" s="243">
        <v>44</v>
      </c>
      <c r="I338" s="243">
        <v>54</v>
      </c>
      <c r="J338" s="243">
        <v>55</v>
      </c>
      <c r="K338" s="243">
        <v>81</v>
      </c>
      <c r="L338" s="243">
        <v>59</v>
      </c>
      <c r="M338" s="243">
        <v>51</v>
      </c>
      <c r="N338" s="243">
        <v>69</v>
      </c>
      <c r="O338" s="253">
        <v>74</v>
      </c>
    </row>
    <row r="339" spans="1:15">
      <c r="A339" s="240" t="s">
        <v>69</v>
      </c>
      <c r="B339" s="47" t="s">
        <v>59</v>
      </c>
      <c r="C339" s="15">
        <v>558</v>
      </c>
      <c r="D339" s="243">
        <v>52</v>
      </c>
      <c r="E339" s="243">
        <v>18</v>
      </c>
      <c r="F339" s="243">
        <v>14</v>
      </c>
      <c r="G339" s="243">
        <v>26</v>
      </c>
      <c r="H339" s="243">
        <v>41</v>
      </c>
      <c r="I339" s="243">
        <v>57</v>
      </c>
      <c r="J339" s="243">
        <v>45</v>
      </c>
      <c r="K339" s="243">
        <v>72</v>
      </c>
      <c r="L339" s="243">
        <v>49</v>
      </c>
      <c r="M339" s="243">
        <v>53</v>
      </c>
      <c r="N339" s="243">
        <v>69</v>
      </c>
      <c r="O339" s="253">
        <v>62</v>
      </c>
    </row>
    <row r="340" spans="1:15">
      <c r="A340" s="242" t="s">
        <v>69</v>
      </c>
      <c r="B340" s="43" t="s">
        <v>4</v>
      </c>
      <c r="C340" s="15">
        <v>23</v>
      </c>
      <c r="D340" s="244">
        <v>0</v>
      </c>
      <c r="E340" s="244">
        <v>0</v>
      </c>
      <c r="F340" s="244">
        <v>0</v>
      </c>
      <c r="G340" s="244">
        <v>0</v>
      </c>
      <c r="H340" s="244">
        <v>2</v>
      </c>
      <c r="I340" s="244">
        <v>3</v>
      </c>
      <c r="J340" s="244">
        <v>1</v>
      </c>
      <c r="K340" s="244">
        <v>5</v>
      </c>
      <c r="L340" s="244">
        <v>4</v>
      </c>
      <c r="M340" s="244">
        <v>3</v>
      </c>
      <c r="N340" s="244">
        <v>3</v>
      </c>
      <c r="O340" s="254">
        <v>2</v>
      </c>
    </row>
    <row r="341" spans="1:15">
      <c r="A341" s="240" t="s">
        <v>69</v>
      </c>
      <c r="B341" s="47" t="s">
        <v>5</v>
      </c>
      <c r="C341" s="12">
        <v>0.0339209571208948</v>
      </c>
      <c r="D341" s="241">
        <v>0</v>
      </c>
      <c r="E341" s="241">
        <v>0</v>
      </c>
      <c r="F341" s="241">
        <v>0</v>
      </c>
      <c r="G341" s="241">
        <v>0</v>
      </c>
      <c r="H341" s="241">
        <v>0.0487804878048781</v>
      </c>
      <c r="I341" s="241">
        <v>0.0526315789473684</v>
      </c>
      <c r="J341" s="241">
        <v>0.0222222222222222</v>
      </c>
      <c r="K341" s="241">
        <v>0.0694444444444444</v>
      </c>
      <c r="L341" s="241">
        <v>0.0816326530612245</v>
      </c>
      <c r="M341" s="241">
        <v>0.0566037735849057</v>
      </c>
      <c r="N341" s="241">
        <v>0.0434782608695652</v>
      </c>
      <c r="O341" s="252">
        <v>0.032258064516129</v>
      </c>
    </row>
    <row r="342" spans="1:15">
      <c r="A342" s="242" t="s">
        <v>69</v>
      </c>
      <c r="B342" s="43" t="s">
        <v>6</v>
      </c>
      <c r="C342" s="15">
        <v>9</v>
      </c>
      <c r="D342" s="244">
        <v>0</v>
      </c>
      <c r="E342" s="244">
        <v>0</v>
      </c>
      <c r="F342" s="244">
        <v>0</v>
      </c>
      <c r="G342" s="244">
        <v>0</v>
      </c>
      <c r="H342" s="244">
        <v>1</v>
      </c>
      <c r="I342" s="244">
        <v>0</v>
      </c>
      <c r="J342" s="244">
        <v>2</v>
      </c>
      <c r="K342" s="244">
        <v>0</v>
      </c>
      <c r="L342" s="244">
        <v>0</v>
      </c>
      <c r="M342" s="244">
        <v>1</v>
      </c>
      <c r="N342" s="244">
        <v>3</v>
      </c>
      <c r="O342" s="254">
        <v>2</v>
      </c>
    </row>
    <row r="343" ht="14.25" spans="1:15">
      <c r="A343" s="245" t="s">
        <v>69</v>
      </c>
      <c r="B343" s="52" t="s">
        <v>64</v>
      </c>
      <c r="C343" s="19">
        <v>0.391304347826087</v>
      </c>
      <c r="D343" s="246">
        <v>0</v>
      </c>
      <c r="E343" s="246">
        <v>0</v>
      </c>
      <c r="F343" s="246">
        <v>0</v>
      </c>
      <c r="G343" s="246">
        <v>0</v>
      </c>
      <c r="H343" s="246">
        <v>0.5</v>
      </c>
      <c r="I343" s="246">
        <v>0</v>
      </c>
      <c r="J343" s="246">
        <v>2</v>
      </c>
      <c r="K343" s="246">
        <v>0</v>
      </c>
      <c r="L343" s="246">
        <v>0</v>
      </c>
      <c r="M343" s="246">
        <v>0.333333333333333</v>
      </c>
      <c r="N343" s="246">
        <v>1</v>
      </c>
      <c r="O343" s="255">
        <v>1</v>
      </c>
    </row>
    <row r="344" spans="1:15">
      <c r="A344" s="240" t="s">
        <v>70</v>
      </c>
      <c r="B344" s="47" t="s">
        <v>55</v>
      </c>
      <c r="C344" s="12">
        <v>0.953545496775594</v>
      </c>
      <c r="D344" s="241">
        <v>1.04347826086957</v>
      </c>
      <c r="E344" s="241">
        <v>1.1</v>
      </c>
      <c r="F344" s="241">
        <v>0.777777777777778</v>
      </c>
      <c r="G344" s="241">
        <v>0.952380952380952</v>
      </c>
      <c r="H344" s="241">
        <v>0.925925925925926</v>
      </c>
      <c r="I344" s="241">
        <v>1</v>
      </c>
      <c r="J344" s="241">
        <v>0.833333333333333</v>
      </c>
      <c r="K344" s="241">
        <v>0.890909090909091</v>
      </c>
      <c r="L344" s="241">
        <v>0.897435897435897</v>
      </c>
      <c r="M344" s="241">
        <v>1.23076923076923</v>
      </c>
      <c r="N344" s="241">
        <v>0.872727272727273</v>
      </c>
      <c r="O344" s="252">
        <v>0.917808219178082</v>
      </c>
    </row>
    <row r="345" spans="1:15">
      <c r="A345" s="242" t="s">
        <v>70</v>
      </c>
      <c r="B345" s="43" t="s">
        <v>57</v>
      </c>
      <c r="C345" s="15">
        <v>456</v>
      </c>
      <c r="D345" s="243">
        <v>46</v>
      </c>
      <c r="E345" s="243">
        <v>10</v>
      </c>
      <c r="F345" s="243">
        <v>18</v>
      </c>
      <c r="G345" s="243">
        <v>21</v>
      </c>
      <c r="H345" s="243">
        <v>27</v>
      </c>
      <c r="I345" s="243">
        <v>37</v>
      </c>
      <c r="J345" s="243">
        <v>36</v>
      </c>
      <c r="K345" s="243">
        <v>55</v>
      </c>
      <c r="L345" s="243">
        <v>39</v>
      </c>
      <c r="M345" s="243">
        <v>39</v>
      </c>
      <c r="N345" s="243">
        <v>55</v>
      </c>
      <c r="O345" s="253">
        <v>73</v>
      </c>
    </row>
    <row r="346" spans="1:15">
      <c r="A346" s="240" t="s">
        <v>70</v>
      </c>
      <c r="B346" s="47" t="s">
        <v>59</v>
      </c>
      <c r="C346" s="15">
        <v>432</v>
      </c>
      <c r="D346" s="243">
        <v>48</v>
      </c>
      <c r="E346" s="243">
        <v>11</v>
      </c>
      <c r="F346" s="243">
        <v>14</v>
      </c>
      <c r="G346" s="243">
        <v>20</v>
      </c>
      <c r="H346" s="243">
        <v>25</v>
      </c>
      <c r="I346" s="243">
        <v>37</v>
      </c>
      <c r="J346" s="243">
        <v>30</v>
      </c>
      <c r="K346" s="243">
        <v>49</v>
      </c>
      <c r="L346" s="243">
        <v>35</v>
      </c>
      <c r="M346" s="243">
        <v>48</v>
      </c>
      <c r="N346" s="243">
        <v>48</v>
      </c>
      <c r="O346" s="253">
        <v>67</v>
      </c>
    </row>
    <row r="347" spans="1:15">
      <c r="A347" s="242" t="s">
        <v>70</v>
      </c>
      <c r="B347" s="43" t="s">
        <v>4</v>
      </c>
      <c r="C347" s="15">
        <v>7</v>
      </c>
      <c r="D347" s="244">
        <v>1</v>
      </c>
      <c r="E347" s="244">
        <v>0</v>
      </c>
      <c r="F347" s="244">
        <v>0</v>
      </c>
      <c r="G347" s="244">
        <v>0</v>
      </c>
      <c r="H347" s="244">
        <v>2</v>
      </c>
      <c r="I347" s="244">
        <v>0</v>
      </c>
      <c r="J347" s="244">
        <v>0</v>
      </c>
      <c r="K347" s="244">
        <v>2</v>
      </c>
      <c r="L347" s="244">
        <v>2</v>
      </c>
      <c r="M347" s="244">
        <v>0</v>
      </c>
      <c r="N347" s="244">
        <v>0</v>
      </c>
      <c r="O347" s="254">
        <v>0</v>
      </c>
    </row>
    <row r="348" spans="1:15">
      <c r="A348" s="240" t="s">
        <v>70</v>
      </c>
      <c r="B348" s="47" t="s">
        <v>5</v>
      </c>
      <c r="C348" s="12">
        <v>0.0165660430839002</v>
      </c>
      <c r="D348" s="241">
        <v>0.0208333333333333</v>
      </c>
      <c r="E348" s="241">
        <v>0</v>
      </c>
      <c r="F348" s="241">
        <v>0</v>
      </c>
      <c r="G348" s="241">
        <v>0</v>
      </c>
      <c r="H348" s="241">
        <v>0.08</v>
      </c>
      <c r="I348" s="241">
        <v>0</v>
      </c>
      <c r="J348" s="241">
        <v>0</v>
      </c>
      <c r="K348" s="241">
        <v>0.0408163265306122</v>
      </c>
      <c r="L348" s="241">
        <v>0.0571428571428571</v>
      </c>
      <c r="M348" s="241">
        <v>0</v>
      </c>
      <c r="N348" s="241">
        <v>0</v>
      </c>
      <c r="O348" s="252">
        <v>0</v>
      </c>
    </row>
    <row r="349" spans="1:15">
      <c r="A349" s="242" t="s">
        <v>70</v>
      </c>
      <c r="B349" s="43" t="s">
        <v>6</v>
      </c>
      <c r="C349" s="15">
        <v>2</v>
      </c>
      <c r="D349" s="244">
        <v>1</v>
      </c>
      <c r="E349" s="244">
        <v>0</v>
      </c>
      <c r="F349" s="244">
        <v>0</v>
      </c>
      <c r="G349" s="244">
        <v>0</v>
      </c>
      <c r="H349" s="244">
        <v>0</v>
      </c>
      <c r="I349" s="244">
        <v>1</v>
      </c>
      <c r="J349" s="244">
        <v>0</v>
      </c>
      <c r="K349" s="244">
        <v>0</v>
      </c>
      <c r="L349" s="244">
        <v>0</v>
      </c>
      <c r="M349" s="244">
        <v>0</v>
      </c>
      <c r="N349" s="244">
        <v>0</v>
      </c>
      <c r="O349" s="254">
        <v>0</v>
      </c>
    </row>
    <row r="350" ht="14.25" spans="1:15">
      <c r="A350" s="245" t="s">
        <v>70</v>
      </c>
      <c r="B350" s="52" t="s">
        <v>64</v>
      </c>
      <c r="C350" s="19">
        <v>0.285714285714286</v>
      </c>
      <c r="D350" s="246">
        <v>1</v>
      </c>
      <c r="E350" s="246">
        <v>0</v>
      </c>
      <c r="F350" s="246">
        <v>0</v>
      </c>
      <c r="G350" s="246">
        <v>0</v>
      </c>
      <c r="H350" s="246">
        <v>0</v>
      </c>
      <c r="I350" s="246">
        <v>0</v>
      </c>
      <c r="J350" s="246">
        <v>0</v>
      </c>
      <c r="K350" s="246">
        <v>0</v>
      </c>
      <c r="L350" s="246">
        <v>0</v>
      </c>
      <c r="M350" s="246">
        <v>0</v>
      </c>
      <c r="N350" s="246">
        <v>0</v>
      </c>
      <c r="O350" s="255">
        <v>0</v>
      </c>
    </row>
    <row r="351" spans="1:15">
      <c r="A351" s="240" t="s">
        <v>26</v>
      </c>
      <c r="B351" s="47" t="s">
        <v>55</v>
      </c>
      <c r="C351" s="12">
        <v>1.56617711176543</v>
      </c>
      <c r="D351" s="241">
        <v>1.84070796460177</v>
      </c>
      <c r="E351" s="241">
        <v>2.45454545454545</v>
      </c>
      <c r="F351" s="241">
        <v>1.75</v>
      </c>
      <c r="G351" s="241">
        <v>1.95652173913043</v>
      </c>
      <c r="H351" s="241">
        <v>1.57608695652174</v>
      </c>
      <c r="I351" s="241">
        <v>1.34</v>
      </c>
      <c r="J351" s="241">
        <v>1.52032520325203</v>
      </c>
      <c r="K351" s="241">
        <v>1.375</v>
      </c>
      <c r="L351" s="241">
        <v>1.29370629370629</v>
      </c>
      <c r="M351" s="241">
        <v>1.28947368421053</v>
      </c>
      <c r="N351" s="241">
        <v>1.17412935323383</v>
      </c>
      <c r="O351" s="252">
        <v>1.22362869198312</v>
      </c>
    </row>
    <row r="352" spans="1:15">
      <c r="A352" s="242" t="s">
        <v>26</v>
      </c>
      <c r="B352" s="43" t="s">
        <v>57</v>
      </c>
      <c r="C352" s="15">
        <v>1435</v>
      </c>
      <c r="D352" s="243">
        <v>113</v>
      </c>
      <c r="E352" s="243">
        <v>44</v>
      </c>
      <c r="F352" s="243">
        <v>40</v>
      </c>
      <c r="G352" s="243">
        <v>46</v>
      </c>
      <c r="H352" s="243">
        <v>92</v>
      </c>
      <c r="I352" s="243">
        <v>100</v>
      </c>
      <c r="J352" s="243">
        <v>123</v>
      </c>
      <c r="K352" s="243">
        <v>144</v>
      </c>
      <c r="L352" s="243">
        <v>143</v>
      </c>
      <c r="M352" s="243">
        <v>152</v>
      </c>
      <c r="N352" s="243">
        <v>201</v>
      </c>
      <c r="O352" s="253">
        <v>237</v>
      </c>
    </row>
    <row r="353" spans="1:15">
      <c r="A353" s="240" t="s">
        <v>26</v>
      </c>
      <c r="B353" s="47" t="s">
        <v>59</v>
      </c>
      <c r="C353" s="15">
        <v>2047</v>
      </c>
      <c r="D353" s="243">
        <v>208</v>
      </c>
      <c r="E353" s="243">
        <v>108</v>
      </c>
      <c r="F353" s="243">
        <v>70</v>
      </c>
      <c r="G353" s="243">
        <v>90</v>
      </c>
      <c r="H353" s="243">
        <v>145</v>
      </c>
      <c r="I353" s="243">
        <v>134</v>
      </c>
      <c r="J353" s="243">
        <v>187</v>
      </c>
      <c r="K353" s="243">
        <v>198</v>
      </c>
      <c r="L353" s="243">
        <v>185</v>
      </c>
      <c r="M353" s="243">
        <v>196</v>
      </c>
      <c r="N353" s="243">
        <v>236</v>
      </c>
      <c r="O353" s="253">
        <v>290</v>
      </c>
    </row>
    <row r="354" spans="1:15">
      <c r="A354" s="242" t="s">
        <v>26</v>
      </c>
      <c r="B354" s="43" t="s">
        <v>4</v>
      </c>
      <c r="C354" s="15">
        <v>67</v>
      </c>
      <c r="D354" s="244">
        <v>5</v>
      </c>
      <c r="E354" s="244">
        <v>1</v>
      </c>
      <c r="F354" s="244">
        <v>5</v>
      </c>
      <c r="G354" s="244">
        <v>2</v>
      </c>
      <c r="H354" s="244">
        <v>4</v>
      </c>
      <c r="I354" s="244">
        <v>1</v>
      </c>
      <c r="J354" s="244">
        <v>8</v>
      </c>
      <c r="K354" s="244">
        <v>13</v>
      </c>
      <c r="L354" s="244">
        <v>7</v>
      </c>
      <c r="M354" s="244">
        <v>7</v>
      </c>
      <c r="N354" s="244">
        <v>3</v>
      </c>
      <c r="O354" s="254">
        <v>11</v>
      </c>
    </row>
    <row r="355" spans="1:15">
      <c r="A355" s="240" t="s">
        <v>26</v>
      </c>
      <c r="B355" s="47" t="s">
        <v>5</v>
      </c>
      <c r="C355" s="12">
        <v>0.03288581205613</v>
      </c>
      <c r="D355" s="241">
        <v>0.0240384615384615</v>
      </c>
      <c r="E355" s="241">
        <v>0.00925925925925926</v>
      </c>
      <c r="F355" s="241">
        <v>0.0714285714285714</v>
      </c>
      <c r="G355" s="241">
        <v>0.0222222222222222</v>
      </c>
      <c r="H355" s="241">
        <v>0.0275862068965517</v>
      </c>
      <c r="I355" s="241">
        <v>0.00746268656716418</v>
      </c>
      <c r="J355" s="241">
        <v>0.0427807486631016</v>
      </c>
      <c r="K355" s="241">
        <v>0.0656565656565657</v>
      </c>
      <c r="L355" s="241">
        <v>0.0378378378378378</v>
      </c>
      <c r="M355" s="241">
        <v>0.0357142857142857</v>
      </c>
      <c r="N355" s="241">
        <v>0.0127118644067797</v>
      </c>
      <c r="O355" s="252">
        <v>0.0379310344827586</v>
      </c>
    </row>
    <row r="356" spans="1:15">
      <c r="A356" s="242" t="s">
        <v>26</v>
      </c>
      <c r="B356" s="43" t="s">
        <v>6</v>
      </c>
      <c r="C356" s="15">
        <v>19</v>
      </c>
      <c r="D356" s="244">
        <v>1</v>
      </c>
      <c r="E356" s="244">
        <v>3</v>
      </c>
      <c r="F356" s="244">
        <v>0</v>
      </c>
      <c r="G356" s="244">
        <v>1</v>
      </c>
      <c r="H356" s="244">
        <v>2</v>
      </c>
      <c r="I356" s="244">
        <v>0</v>
      </c>
      <c r="J356" s="244">
        <v>0</v>
      </c>
      <c r="K356" s="244">
        <v>3</v>
      </c>
      <c r="L356" s="244">
        <v>2</v>
      </c>
      <c r="M356" s="244">
        <v>1</v>
      </c>
      <c r="N356" s="244">
        <v>5</v>
      </c>
      <c r="O356" s="254">
        <v>1</v>
      </c>
    </row>
    <row r="357" ht="14.25" spans="1:15">
      <c r="A357" s="245" t="s">
        <v>26</v>
      </c>
      <c r="B357" s="52" t="s">
        <v>64</v>
      </c>
      <c r="C357" s="19">
        <v>0.283582089552239</v>
      </c>
      <c r="D357" s="250">
        <v>1</v>
      </c>
      <c r="E357" s="250">
        <v>3</v>
      </c>
      <c r="F357" s="250">
        <v>0</v>
      </c>
      <c r="G357" s="250">
        <v>1</v>
      </c>
      <c r="H357" s="250">
        <v>2</v>
      </c>
      <c r="I357" s="250">
        <v>0</v>
      </c>
      <c r="J357" s="250">
        <v>0</v>
      </c>
      <c r="K357" s="250">
        <v>3</v>
      </c>
      <c r="L357" s="250">
        <v>2</v>
      </c>
      <c r="M357" s="250">
        <v>1</v>
      </c>
      <c r="N357" s="250">
        <v>5</v>
      </c>
      <c r="O357" s="257">
        <v>1</v>
      </c>
    </row>
    <row r="358" ht="14.25" spans="1:15">
      <c r="A358" s="237">
        <v>45024</v>
      </c>
      <c r="B358" s="237"/>
      <c r="C358" s="237"/>
      <c r="D358" s="237"/>
      <c r="E358" s="237"/>
      <c r="F358" s="237"/>
      <c r="G358" s="237"/>
      <c r="H358" s="237"/>
      <c r="I358" s="237"/>
      <c r="J358" s="237"/>
      <c r="K358" s="237"/>
      <c r="L358" s="237"/>
      <c r="M358" s="237"/>
      <c r="N358" s="237"/>
      <c r="O358" s="237"/>
    </row>
    <row r="359" spans="1:15">
      <c r="A359" s="56" t="s">
        <v>1</v>
      </c>
      <c r="B359" s="238"/>
      <c r="C359" s="8" t="s">
        <v>42</v>
      </c>
      <c r="D359" s="239" t="s">
        <v>43</v>
      </c>
      <c r="E359" s="239" t="s">
        <v>44</v>
      </c>
      <c r="F359" s="239" t="s">
        <v>45</v>
      </c>
      <c r="G359" s="239" t="s">
        <v>46</v>
      </c>
      <c r="H359" s="239" t="s">
        <v>47</v>
      </c>
      <c r="I359" s="239" t="s">
        <v>48</v>
      </c>
      <c r="J359" s="239" t="s">
        <v>49</v>
      </c>
      <c r="K359" s="239" t="s">
        <v>50</v>
      </c>
      <c r="L359" s="239" t="s">
        <v>51</v>
      </c>
      <c r="M359" s="239" t="s">
        <v>52</v>
      </c>
      <c r="N359" s="239" t="s">
        <v>53</v>
      </c>
      <c r="O359" s="251" t="s">
        <v>54</v>
      </c>
    </row>
    <row r="360" spans="1:15">
      <c r="A360" s="240" t="s">
        <v>22</v>
      </c>
      <c r="B360" s="47" t="s">
        <v>55</v>
      </c>
      <c r="C360" s="12">
        <v>0.353546075398955</v>
      </c>
      <c r="D360" s="241">
        <v>0.230964467005076</v>
      </c>
      <c r="E360" s="241">
        <v>0.194323144104804</v>
      </c>
      <c r="F360" s="241">
        <v>0.17037037037037</v>
      </c>
      <c r="G360" s="241">
        <v>0.305555555555556</v>
      </c>
      <c r="H360" s="241">
        <v>0.344615384615385</v>
      </c>
      <c r="I360" s="241">
        <v>0.38953488372093</v>
      </c>
      <c r="J360" s="241">
        <v>0.45</v>
      </c>
      <c r="K360" s="241">
        <v>0.445378151260504</v>
      </c>
      <c r="L360" s="241">
        <v>0.437106918238994</v>
      </c>
      <c r="M360" s="241">
        <v>0.515267175572519</v>
      </c>
      <c r="N360" s="241">
        <v>0.398921832884097</v>
      </c>
      <c r="O360" s="252">
        <v>0.360515021459227</v>
      </c>
    </row>
    <row r="361" spans="1:15">
      <c r="A361" s="242" t="s">
        <v>22</v>
      </c>
      <c r="B361" s="43" t="s">
        <v>57</v>
      </c>
      <c r="C361" s="15">
        <v>4643</v>
      </c>
      <c r="D361" s="243">
        <v>788</v>
      </c>
      <c r="E361" s="243">
        <v>458</v>
      </c>
      <c r="F361" s="243">
        <v>270</v>
      </c>
      <c r="G361" s="243">
        <v>324</v>
      </c>
      <c r="H361" s="243">
        <v>325</v>
      </c>
      <c r="I361" s="243">
        <v>344</v>
      </c>
      <c r="J361" s="243">
        <v>360</v>
      </c>
      <c r="K361" s="243">
        <v>357</v>
      </c>
      <c r="L361" s="243">
        <v>318</v>
      </c>
      <c r="M361" s="243">
        <v>262</v>
      </c>
      <c r="N361" s="243">
        <v>371</v>
      </c>
      <c r="O361" s="253">
        <v>466</v>
      </c>
    </row>
    <row r="362" spans="1:15">
      <c r="A362" s="240" t="s">
        <v>22</v>
      </c>
      <c r="B362" s="47" t="s">
        <v>59</v>
      </c>
      <c r="C362" s="15">
        <v>1573</v>
      </c>
      <c r="D362" s="243">
        <v>182</v>
      </c>
      <c r="E362" s="243">
        <v>89</v>
      </c>
      <c r="F362" s="243">
        <v>46</v>
      </c>
      <c r="G362" s="243">
        <v>99</v>
      </c>
      <c r="H362" s="243">
        <v>112</v>
      </c>
      <c r="I362" s="243">
        <v>134</v>
      </c>
      <c r="J362" s="243">
        <v>162</v>
      </c>
      <c r="K362" s="243">
        <v>159</v>
      </c>
      <c r="L362" s="243">
        <v>139</v>
      </c>
      <c r="M362" s="243">
        <v>135</v>
      </c>
      <c r="N362" s="243">
        <v>148</v>
      </c>
      <c r="O362" s="253">
        <v>168</v>
      </c>
    </row>
    <row r="363" spans="1:15">
      <c r="A363" s="242" t="s">
        <v>22</v>
      </c>
      <c r="B363" s="43" t="s">
        <v>4</v>
      </c>
      <c r="C363" s="15">
        <v>116</v>
      </c>
      <c r="D363" s="244">
        <v>12</v>
      </c>
      <c r="E363" s="244">
        <v>4</v>
      </c>
      <c r="F363" s="244">
        <v>7</v>
      </c>
      <c r="G363" s="244">
        <v>5</v>
      </c>
      <c r="H363" s="244">
        <v>4</v>
      </c>
      <c r="I363" s="244">
        <v>7</v>
      </c>
      <c r="J363" s="244">
        <v>13</v>
      </c>
      <c r="K363" s="244">
        <v>9</v>
      </c>
      <c r="L363" s="244">
        <v>14</v>
      </c>
      <c r="M363" s="244">
        <v>10</v>
      </c>
      <c r="N363" s="244">
        <v>12</v>
      </c>
      <c r="O363" s="254">
        <v>19</v>
      </c>
    </row>
    <row r="364" spans="1:15">
      <c r="A364" s="240" t="s">
        <v>22</v>
      </c>
      <c r="B364" s="47" t="s">
        <v>5</v>
      </c>
      <c r="C364" s="12">
        <v>0.0756108705223105</v>
      </c>
      <c r="D364" s="241">
        <v>0.0659340659340659</v>
      </c>
      <c r="E364" s="241">
        <v>0.0449438202247191</v>
      </c>
      <c r="F364" s="241">
        <v>0.152173913043478</v>
      </c>
      <c r="G364" s="241">
        <v>0.0505050505050505</v>
      </c>
      <c r="H364" s="241">
        <v>0.0357142857142857</v>
      </c>
      <c r="I364" s="241">
        <v>0.0522388059701493</v>
      </c>
      <c r="J364" s="241">
        <v>0.0802469135802469</v>
      </c>
      <c r="K364" s="241">
        <v>0.0566037735849057</v>
      </c>
      <c r="L364" s="241">
        <v>0.100719424460432</v>
      </c>
      <c r="M364" s="241">
        <v>0.0740740740740741</v>
      </c>
      <c r="N364" s="241">
        <v>0.0810810810810811</v>
      </c>
      <c r="O364" s="252">
        <v>0.113095238095238</v>
      </c>
    </row>
    <row r="365" spans="1:15">
      <c r="A365" s="242" t="s">
        <v>22</v>
      </c>
      <c r="B365" s="43" t="s">
        <v>6</v>
      </c>
      <c r="C365" s="15">
        <v>13</v>
      </c>
      <c r="D365" s="244">
        <v>1</v>
      </c>
      <c r="E365" s="244">
        <v>1</v>
      </c>
      <c r="F365" s="244">
        <v>1</v>
      </c>
      <c r="G365" s="244">
        <v>1</v>
      </c>
      <c r="H365" s="244">
        <v>0</v>
      </c>
      <c r="I365" s="244">
        <v>2</v>
      </c>
      <c r="J365" s="244">
        <v>0</v>
      </c>
      <c r="K365" s="244">
        <v>2</v>
      </c>
      <c r="L365" s="244">
        <v>2</v>
      </c>
      <c r="M365" s="244">
        <v>1</v>
      </c>
      <c r="N365" s="244">
        <v>1</v>
      </c>
      <c r="O365" s="254">
        <v>1</v>
      </c>
    </row>
    <row r="366" ht="14.25" spans="1:15">
      <c r="A366" s="245" t="s">
        <v>22</v>
      </c>
      <c r="B366" s="52" t="s">
        <v>64</v>
      </c>
      <c r="C366" s="19">
        <v>0.112068965517241</v>
      </c>
      <c r="D366" s="246">
        <v>0.0833333333333333</v>
      </c>
      <c r="E366" s="246">
        <v>0.25</v>
      </c>
      <c r="F366" s="246">
        <v>0.142857142857143</v>
      </c>
      <c r="G366" s="246">
        <v>0.2</v>
      </c>
      <c r="H366" s="246">
        <v>0</v>
      </c>
      <c r="I366" s="246">
        <v>0.285714285714286</v>
      </c>
      <c r="J366" s="246">
        <v>0</v>
      </c>
      <c r="K366" s="246">
        <v>0.222222222222222</v>
      </c>
      <c r="L366" s="246">
        <v>0.142857142857143</v>
      </c>
      <c r="M366" s="246">
        <v>0.1</v>
      </c>
      <c r="N366" s="246">
        <v>0.0833333333333333</v>
      </c>
      <c r="O366" s="255">
        <v>0.0526315789473684</v>
      </c>
    </row>
    <row r="367" spans="1:15">
      <c r="A367" s="247" t="s">
        <v>66</v>
      </c>
      <c r="B367" s="248" t="s">
        <v>55</v>
      </c>
      <c r="C367" s="12">
        <v>0.147169908548141</v>
      </c>
      <c r="D367" s="249">
        <v>0.0987654320987654</v>
      </c>
      <c r="E367" s="249">
        <v>0.0778097982708934</v>
      </c>
      <c r="F367" s="249">
        <v>0.080952380952381</v>
      </c>
      <c r="G367" s="249">
        <v>0.0651162790697674</v>
      </c>
      <c r="H367" s="249">
        <v>0.137931034482759</v>
      </c>
      <c r="I367" s="249">
        <v>0.118556701030928</v>
      </c>
      <c r="J367" s="249">
        <v>0.203980099502488</v>
      </c>
      <c r="K367" s="249">
        <v>0.179723502304147</v>
      </c>
      <c r="L367" s="249">
        <v>0.218274111675127</v>
      </c>
      <c r="M367" s="249">
        <v>0.202898550724638</v>
      </c>
      <c r="N367" s="249">
        <v>0.192307692307692</v>
      </c>
      <c r="O367" s="256">
        <v>0.189723320158103</v>
      </c>
    </row>
    <row r="368" spans="1:15">
      <c r="A368" s="242" t="s">
        <v>66</v>
      </c>
      <c r="B368" s="43" t="s">
        <v>57</v>
      </c>
      <c r="C368" s="15">
        <v>2895</v>
      </c>
      <c r="D368" s="243">
        <v>567</v>
      </c>
      <c r="E368" s="243">
        <v>347</v>
      </c>
      <c r="F368" s="243">
        <v>210</v>
      </c>
      <c r="G368" s="243">
        <v>215</v>
      </c>
      <c r="H368" s="243">
        <v>174</v>
      </c>
      <c r="I368" s="243">
        <v>194</v>
      </c>
      <c r="J368" s="243">
        <v>201</v>
      </c>
      <c r="K368" s="243">
        <v>217</v>
      </c>
      <c r="L368" s="243">
        <v>197</v>
      </c>
      <c r="M368" s="243">
        <v>138</v>
      </c>
      <c r="N368" s="243">
        <v>182</v>
      </c>
      <c r="O368" s="253">
        <v>253</v>
      </c>
    </row>
    <row r="369" spans="1:15">
      <c r="A369" s="240" t="s">
        <v>66</v>
      </c>
      <c r="B369" s="47" t="s">
        <v>59</v>
      </c>
      <c r="C369" s="15">
        <v>395</v>
      </c>
      <c r="D369" s="243">
        <v>56</v>
      </c>
      <c r="E369" s="243">
        <v>27</v>
      </c>
      <c r="F369" s="243">
        <v>17</v>
      </c>
      <c r="G369" s="243">
        <v>14</v>
      </c>
      <c r="H369" s="243">
        <v>24</v>
      </c>
      <c r="I369" s="243">
        <v>23</v>
      </c>
      <c r="J369" s="243">
        <v>41</v>
      </c>
      <c r="K369" s="243">
        <v>39</v>
      </c>
      <c r="L369" s="243">
        <v>43</v>
      </c>
      <c r="M369" s="243">
        <v>28</v>
      </c>
      <c r="N369" s="243">
        <v>35</v>
      </c>
      <c r="O369" s="253">
        <v>48</v>
      </c>
    </row>
    <row r="370" spans="1:15">
      <c r="A370" s="242" t="s">
        <v>66</v>
      </c>
      <c r="B370" s="43" t="s">
        <v>4</v>
      </c>
      <c r="C370" s="15">
        <v>38</v>
      </c>
      <c r="D370" s="244">
        <v>7</v>
      </c>
      <c r="E370" s="244">
        <v>3</v>
      </c>
      <c r="F370" s="244">
        <v>2</v>
      </c>
      <c r="G370" s="244">
        <v>2</v>
      </c>
      <c r="H370" s="244">
        <v>2</v>
      </c>
      <c r="I370" s="244">
        <v>0</v>
      </c>
      <c r="J370" s="244">
        <v>3</v>
      </c>
      <c r="K370" s="244">
        <v>7</v>
      </c>
      <c r="L370" s="244">
        <v>2</v>
      </c>
      <c r="M370" s="244">
        <v>4</v>
      </c>
      <c r="N370" s="244">
        <v>1</v>
      </c>
      <c r="O370" s="254">
        <v>5</v>
      </c>
    </row>
    <row r="371" spans="1:15">
      <c r="A371" s="240" t="s">
        <v>66</v>
      </c>
      <c r="B371" s="47" t="s">
        <v>5</v>
      </c>
      <c r="C371" s="12">
        <v>0.0962261186101523</v>
      </c>
      <c r="D371" s="241">
        <v>0.125</v>
      </c>
      <c r="E371" s="241">
        <v>0.111111111111111</v>
      </c>
      <c r="F371" s="241">
        <v>0.117647058823529</v>
      </c>
      <c r="G371" s="241">
        <v>0.142857142857143</v>
      </c>
      <c r="H371" s="241">
        <v>0.0833333333333333</v>
      </c>
      <c r="I371" s="241">
        <v>0</v>
      </c>
      <c r="J371" s="241">
        <v>0.0731707317073171</v>
      </c>
      <c r="K371" s="241">
        <v>0.179487179487179</v>
      </c>
      <c r="L371" s="241">
        <v>0.0465116279069767</v>
      </c>
      <c r="M371" s="241">
        <v>0.142857142857143</v>
      </c>
      <c r="N371" s="241">
        <v>0.0285714285714286</v>
      </c>
      <c r="O371" s="252">
        <v>0.104166666666667</v>
      </c>
    </row>
    <row r="372" spans="1:15">
      <c r="A372" s="242" t="s">
        <v>66</v>
      </c>
      <c r="B372" s="43" t="s">
        <v>6</v>
      </c>
      <c r="C372" s="15">
        <v>14</v>
      </c>
      <c r="D372" s="244">
        <v>3</v>
      </c>
      <c r="E372" s="244">
        <v>0</v>
      </c>
      <c r="F372" s="244">
        <v>0</v>
      </c>
      <c r="G372" s="244">
        <v>1</v>
      </c>
      <c r="H372" s="244">
        <v>1</v>
      </c>
      <c r="I372" s="244">
        <v>0</v>
      </c>
      <c r="J372" s="244">
        <v>2</v>
      </c>
      <c r="K372" s="244">
        <v>2</v>
      </c>
      <c r="L372" s="244">
        <v>2</v>
      </c>
      <c r="M372" s="244">
        <v>1</v>
      </c>
      <c r="N372" s="244">
        <v>1</v>
      </c>
      <c r="O372" s="254">
        <v>1</v>
      </c>
    </row>
    <row r="373" ht="14.25" spans="1:15">
      <c r="A373" s="245" t="s">
        <v>66</v>
      </c>
      <c r="B373" s="52" t="s">
        <v>64</v>
      </c>
      <c r="C373" s="19">
        <v>0.368421052631579</v>
      </c>
      <c r="D373" s="246">
        <v>0.428571428571429</v>
      </c>
      <c r="E373" s="246">
        <v>0</v>
      </c>
      <c r="F373" s="246">
        <v>0</v>
      </c>
      <c r="G373" s="246">
        <v>0.5</v>
      </c>
      <c r="H373" s="246">
        <v>0.5</v>
      </c>
      <c r="I373" s="246">
        <v>0</v>
      </c>
      <c r="J373" s="246">
        <v>0.666666666666667</v>
      </c>
      <c r="K373" s="246">
        <v>0.285714285714286</v>
      </c>
      <c r="L373" s="246">
        <v>1</v>
      </c>
      <c r="M373" s="246">
        <v>0.25</v>
      </c>
      <c r="N373" s="246">
        <v>1</v>
      </c>
      <c r="O373" s="255">
        <v>0.2</v>
      </c>
    </row>
    <row r="374" spans="1:15">
      <c r="A374" s="240" t="s">
        <v>67</v>
      </c>
      <c r="B374" s="47" t="s">
        <v>55</v>
      </c>
      <c r="C374" s="12">
        <v>0.702192347986861</v>
      </c>
      <c r="D374" s="241">
        <v>0.794117647058823</v>
      </c>
      <c r="E374" s="241">
        <v>0.631578947368421</v>
      </c>
      <c r="F374" s="241">
        <v>1.29411764705882</v>
      </c>
      <c r="G374" s="241">
        <v>0.659574468085106</v>
      </c>
      <c r="H374" s="241">
        <v>0.540983606557377</v>
      </c>
      <c r="I374" s="241">
        <v>0.586666666666667</v>
      </c>
      <c r="J374" s="241">
        <v>0.634408602150538</v>
      </c>
      <c r="K374" s="241">
        <v>0.56989247311828</v>
      </c>
      <c r="L374" s="241">
        <v>0.649350649350649</v>
      </c>
      <c r="M374" s="241">
        <v>0.890909090909091</v>
      </c>
      <c r="N374" s="241">
        <v>0.467391304347826</v>
      </c>
      <c r="O374" s="252">
        <v>0.707317073170732</v>
      </c>
    </row>
    <row r="375" spans="1:15">
      <c r="A375" s="242" t="s">
        <v>67</v>
      </c>
      <c r="B375" s="43" t="s">
        <v>57</v>
      </c>
      <c r="C375" s="15">
        <v>851</v>
      </c>
      <c r="D375" s="243">
        <v>102</v>
      </c>
      <c r="E375" s="243">
        <v>57</v>
      </c>
      <c r="F375" s="243">
        <v>17</v>
      </c>
      <c r="G375" s="243">
        <v>47</v>
      </c>
      <c r="H375" s="243">
        <v>61</v>
      </c>
      <c r="I375" s="243">
        <v>75</v>
      </c>
      <c r="J375" s="243">
        <v>93</v>
      </c>
      <c r="K375" s="243">
        <v>93</v>
      </c>
      <c r="L375" s="243">
        <v>77</v>
      </c>
      <c r="M375" s="243">
        <v>55</v>
      </c>
      <c r="N375" s="243">
        <v>92</v>
      </c>
      <c r="O375" s="253">
        <v>82</v>
      </c>
    </row>
    <row r="376" spans="1:15">
      <c r="A376" s="240" t="s">
        <v>67</v>
      </c>
      <c r="B376" s="47" t="s">
        <v>59</v>
      </c>
      <c r="C376" s="15">
        <v>559</v>
      </c>
      <c r="D376" s="243">
        <v>81</v>
      </c>
      <c r="E376" s="243">
        <v>36</v>
      </c>
      <c r="F376" s="243">
        <v>22</v>
      </c>
      <c r="G376" s="243">
        <v>31</v>
      </c>
      <c r="H376" s="243">
        <v>33</v>
      </c>
      <c r="I376" s="243">
        <v>44</v>
      </c>
      <c r="J376" s="243">
        <v>59</v>
      </c>
      <c r="K376" s="243">
        <v>53</v>
      </c>
      <c r="L376" s="243">
        <v>50</v>
      </c>
      <c r="M376" s="243">
        <v>49</v>
      </c>
      <c r="N376" s="243">
        <v>43</v>
      </c>
      <c r="O376" s="253">
        <v>58</v>
      </c>
    </row>
    <row r="377" spans="1:15">
      <c r="A377" s="242" t="s">
        <v>67</v>
      </c>
      <c r="B377" s="43" t="s">
        <v>4</v>
      </c>
      <c r="C377" s="15">
        <v>39</v>
      </c>
      <c r="D377" s="244">
        <v>6</v>
      </c>
      <c r="E377" s="244">
        <v>2</v>
      </c>
      <c r="F377" s="244">
        <v>3</v>
      </c>
      <c r="G377" s="244">
        <v>0</v>
      </c>
      <c r="H377" s="244">
        <v>1</v>
      </c>
      <c r="I377" s="244">
        <v>6</v>
      </c>
      <c r="J377" s="244">
        <v>3</v>
      </c>
      <c r="K377" s="244">
        <v>3</v>
      </c>
      <c r="L377" s="244">
        <v>5</v>
      </c>
      <c r="M377" s="244">
        <v>5</v>
      </c>
      <c r="N377" s="244">
        <v>3</v>
      </c>
      <c r="O377" s="254">
        <v>2</v>
      </c>
    </row>
    <row r="378" spans="1:15">
      <c r="A378" s="240" t="s">
        <v>67</v>
      </c>
      <c r="B378" s="47" t="s">
        <v>5</v>
      </c>
      <c r="C378" s="12">
        <v>0.0705335150566369</v>
      </c>
      <c r="D378" s="241">
        <v>0.0740740740740741</v>
      </c>
      <c r="E378" s="241">
        <v>0.0555555555555556</v>
      </c>
      <c r="F378" s="241">
        <v>0.136363636363636</v>
      </c>
      <c r="G378" s="241">
        <v>0</v>
      </c>
      <c r="H378" s="241">
        <v>0.0303030303030303</v>
      </c>
      <c r="I378" s="241">
        <v>0.136363636363636</v>
      </c>
      <c r="J378" s="241">
        <v>0.0508474576271186</v>
      </c>
      <c r="K378" s="241">
        <v>0.0566037735849057</v>
      </c>
      <c r="L378" s="241">
        <v>0.1</v>
      </c>
      <c r="M378" s="241">
        <v>0.102040816326531</v>
      </c>
      <c r="N378" s="241">
        <v>0.0697674418604651</v>
      </c>
      <c r="O378" s="252">
        <v>0.0344827586206897</v>
      </c>
    </row>
    <row r="379" spans="1:15">
      <c r="A379" s="242" t="s">
        <v>67</v>
      </c>
      <c r="B379" s="43" t="s">
        <v>6</v>
      </c>
      <c r="C379" s="15">
        <v>8</v>
      </c>
      <c r="D379" s="244">
        <v>2</v>
      </c>
      <c r="E379" s="244">
        <v>1</v>
      </c>
      <c r="F379" s="244">
        <v>0</v>
      </c>
      <c r="G379" s="244">
        <v>0</v>
      </c>
      <c r="H379" s="244">
        <v>0</v>
      </c>
      <c r="I379" s="244">
        <v>1</v>
      </c>
      <c r="J379" s="244">
        <v>0</v>
      </c>
      <c r="K379" s="244">
        <v>0</v>
      </c>
      <c r="L379" s="244">
        <v>2</v>
      </c>
      <c r="M379" s="244">
        <v>1</v>
      </c>
      <c r="N379" s="244">
        <v>1</v>
      </c>
      <c r="O379" s="254">
        <v>0</v>
      </c>
    </row>
    <row r="380" ht="14.25" spans="1:15">
      <c r="A380" s="245" t="s">
        <v>67</v>
      </c>
      <c r="B380" s="52" t="s">
        <v>64</v>
      </c>
      <c r="C380" s="19">
        <v>0.205128205128205</v>
      </c>
      <c r="D380" s="246">
        <v>0.333333333333333</v>
      </c>
      <c r="E380" s="246">
        <v>0.5</v>
      </c>
      <c r="F380" s="246">
        <v>0</v>
      </c>
      <c r="G380" s="246">
        <v>0</v>
      </c>
      <c r="H380" s="246">
        <v>0</v>
      </c>
      <c r="I380" s="246">
        <v>0.166666666666667</v>
      </c>
      <c r="J380" s="246">
        <v>0</v>
      </c>
      <c r="K380" s="246">
        <v>0</v>
      </c>
      <c r="L380" s="246">
        <v>0.4</v>
      </c>
      <c r="M380" s="246">
        <v>0.2</v>
      </c>
      <c r="N380" s="246">
        <v>0.333333333333333</v>
      </c>
      <c r="O380" s="255">
        <v>0</v>
      </c>
    </row>
    <row r="381" spans="1:15">
      <c r="A381" s="240" t="s">
        <v>68</v>
      </c>
      <c r="B381" s="47" t="s">
        <v>55</v>
      </c>
      <c r="C381" s="12">
        <v>0.112644479982323</v>
      </c>
      <c r="D381" s="241">
        <v>0.164383561643836</v>
      </c>
      <c r="E381" s="241">
        <v>0.174721189591078</v>
      </c>
      <c r="F381" s="241">
        <v>0.167910447761194</v>
      </c>
      <c r="G381" s="241">
        <v>0.126559714795009</v>
      </c>
      <c r="H381" s="241">
        <v>0.121584699453552</v>
      </c>
      <c r="I381" s="241">
        <v>0.107419712070875</v>
      </c>
      <c r="J381" s="241">
        <v>0.089311859443631</v>
      </c>
      <c r="K381" s="241">
        <v>0.0800627943485086</v>
      </c>
      <c r="L381" s="241">
        <v>0.0814708002883922</v>
      </c>
      <c r="M381" s="241">
        <v>0.0748775367389783</v>
      </c>
      <c r="N381" s="241">
        <v>0.0809432759719567</v>
      </c>
      <c r="O381" s="252">
        <v>0.0824881676808654</v>
      </c>
    </row>
    <row r="382" spans="1:15">
      <c r="A382" s="242" t="s">
        <v>68</v>
      </c>
      <c r="B382" s="43" t="s">
        <v>57</v>
      </c>
      <c r="C382" s="15">
        <v>11821</v>
      </c>
      <c r="D382" s="243">
        <v>584</v>
      </c>
      <c r="E382" s="243">
        <v>269</v>
      </c>
      <c r="F382" s="243">
        <v>268</v>
      </c>
      <c r="G382" s="243">
        <v>561</v>
      </c>
      <c r="H382" s="243">
        <v>732</v>
      </c>
      <c r="I382" s="243">
        <v>903</v>
      </c>
      <c r="J382" s="243">
        <v>1366</v>
      </c>
      <c r="K382" s="243">
        <v>1274</v>
      </c>
      <c r="L382" s="243">
        <v>1387</v>
      </c>
      <c r="M382" s="243">
        <v>1429</v>
      </c>
      <c r="N382" s="243">
        <v>1569</v>
      </c>
      <c r="O382" s="253">
        <v>1479</v>
      </c>
    </row>
    <row r="383" spans="1:15">
      <c r="A383" s="240" t="s">
        <v>68</v>
      </c>
      <c r="B383" s="47" t="s">
        <v>59</v>
      </c>
      <c r="C383" s="15">
        <v>1138</v>
      </c>
      <c r="D383" s="243">
        <v>96</v>
      </c>
      <c r="E383" s="243">
        <v>47</v>
      </c>
      <c r="F383" s="243">
        <v>45</v>
      </c>
      <c r="G383" s="243">
        <v>71</v>
      </c>
      <c r="H383" s="243">
        <v>89</v>
      </c>
      <c r="I383" s="243">
        <v>97</v>
      </c>
      <c r="J383" s="243">
        <v>122</v>
      </c>
      <c r="K383" s="243">
        <v>102</v>
      </c>
      <c r="L383" s="243">
        <v>113</v>
      </c>
      <c r="M383" s="243">
        <v>107</v>
      </c>
      <c r="N383" s="243">
        <v>127</v>
      </c>
      <c r="O383" s="253">
        <v>122</v>
      </c>
    </row>
    <row r="384" spans="1:15">
      <c r="A384" s="242" t="s">
        <v>68</v>
      </c>
      <c r="B384" s="43" t="s">
        <v>4</v>
      </c>
      <c r="C384" s="15">
        <v>50</v>
      </c>
      <c r="D384" s="244">
        <v>8</v>
      </c>
      <c r="E384" s="244">
        <v>1</v>
      </c>
      <c r="F384" s="244">
        <v>2</v>
      </c>
      <c r="G384" s="244">
        <v>2</v>
      </c>
      <c r="H384" s="244">
        <v>3</v>
      </c>
      <c r="I384" s="244">
        <v>4</v>
      </c>
      <c r="J384" s="244">
        <v>7</v>
      </c>
      <c r="K384" s="244">
        <v>8</v>
      </c>
      <c r="L384" s="244">
        <v>1</v>
      </c>
      <c r="M384" s="244">
        <v>3</v>
      </c>
      <c r="N384" s="244">
        <v>8</v>
      </c>
      <c r="O384" s="254">
        <v>3</v>
      </c>
    </row>
    <row r="385" spans="1:15">
      <c r="A385" s="240" t="s">
        <v>68</v>
      </c>
      <c r="B385" s="47" t="s">
        <v>5</v>
      </c>
      <c r="C385" s="12">
        <v>0.0427038348771072</v>
      </c>
      <c r="D385" s="241">
        <v>0.0833333333333333</v>
      </c>
      <c r="E385" s="241">
        <v>0.0212765957446809</v>
      </c>
      <c r="F385" s="241">
        <v>0.0444444444444444</v>
      </c>
      <c r="G385" s="241">
        <v>0.028169014084507</v>
      </c>
      <c r="H385" s="241">
        <v>0.0337078651685393</v>
      </c>
      <c r="I385" s="241">
        <v>0.0412371134020619</v>
      </c>
      <c r="J385" s="241">
        <v>0.0573770491803279</v>
      </c>
      <c r="K385" s="241">
        <v>0.0784313725490196</v>
      </c>
      <c r="L385" s="241">
        <v>0.00884955752212389</v>
      </c>
      <c r="M385" s="241">
        <v>0.0280373831775701</v>
      </c>
      <c r="N385" s="241">
        <v>0.062992125984252</v>
      </c>
      <c r="O385" s="252">
        <v>0.0245901639344262</v>
      </c>
    </row>
    <row r="386" spans="1:15">
      <c r="A386" s="242" t="s">
        <v>68</v>
      </c>
      <c r="B386" s="43" t="s">
        <v>6</v>
      </c>
      <c r="C386" s="15">
        <v>58</v>
      </c>
      <c r="D386" s="244">
        <v>5</v>
      </c>
      <c r="E386" s="244">
        <v>3</v>
      </c>
      <c r="F386" s="244">
        <v>1</v>
      </c>
      <c r="G386" s="244">
        <v>1</v>
      </c>
      <c r="H386" s="244">
        <v>8</v>
      </c>
      <c r="I386" s="244">
        <v>0</v>
      </c>
      <c r="J386" s="244">
        <v>6</v>
      </c>
      <c r="K386" s="244">
        <v>3</v>
      </c>
      <c r="L386" s="244">
        <v>7</v>
      </c>
      <c r="M386" s="244">
        <v>7</v>
      </c>
      <c r="N386" s="244">
        <v>6</v>
      </c>
      <c r="O386" s="254">
        <v>11</v>
      </c>
    </row>
    <row r="387" ht="14.25" spans="1:15">
      <c r="A387" s="245" t="s">
        <v>68</v>
      </c>
      <c r="B387" s="52" t="s">
        <v>64</v>
      </c>
      <c r="C387" s="19">
        <v>1.16</v>
      </c>
      <c r="D387" s="246">
        <v>0.625</v>
      </c>
      <c r="E387" s="246">
        <v>3</v>
      </c>
      <c r="F387" s="246">
        <v>0.5</v>
      </c>
      <c r="G387" s="246">
        <v>0.5</v>
      </c>
      <c r="H387" s="246">
        <v>2.66666666666667</v>
      </c>
      <c r="I387" s="246">
        <v>0</v>
      </c>
      <c r="J387" s="246">
        <v>0.857142857142857</v>
      </c>
      <c r="K387" s="246">
        <v>0.375</v>
      </c>
      <c r="L387" s="246">
        <v>7</v>
      </c>
      <c r="M387" s="246">
        <v>2.33333333333333</v>
      </c>
      <c r="N387" s="246">
        <v>0.75</v>
      </c>
      <c r="O387" s="255">
        <v>3.66666666666667</v>
      </c>
    </row>
    <row r="388" spans="1:15">
      <c r="A388" s="240" t="s">
        <v>69</v>
      </c>
      <c r="B388" s="47" t="s">
        <v>55</v>
      </c>
      <c r="C388" s="12">
        <v>1.26813985219805</v>
      </c>
      <c r="D388" s="241">
        <v>1.19607843137255</v>
      </c>
      <c r="E388" s="241">
        <v>0.974358974358974</v>
      </c>
      <c r="F388" s="241">
        <v>1.16666666666667</v>
      </c>
      <c r="G388" s="241">
        <v>2</v>
      </c>
      <c r="H388" s="241">
        <v>1.42424242424242</v>
      </c>
      <c r="I388" s="241">
        <v>1.35</v>
      </c>
      <c r="J388" s="241">
        <v>1.46153846153846</v>
      </c>
      <c r="K388" s="241">
        <v>1.15555555555556</v>
      </c>
      <c r="L388" s="241">
        <v>1.06382978723404</v>
      </c>
      <c r="M388" s="241">
        <v>1.16666666666667</v>
      </c>
      <c r="N388" s="241">
        <v>1.18181818181818</v>
      </c>
      <c r="O388" s="252">
        <v>1.07692307692308</v>
      </c>
    </row>
    <row r="389" spans="1:15">
      <c r="A389" s="242" t="s">
        <v>69</v>
      </c>
      <c r="B389" s="43" t="s">
        <v>57</v>
      </c>
      <c r="C389" s="15">
        <v>466</v>
      </c>
      <c r="D389" s="243">
        <v>51</v>
      </c>
      <c r="E389" s="243">
        <v>39</v>
      </c>
      <c r="F389" s="243">
        <v>18</v>
      </c>
      <c r="G389" s="243">
        <v>18</v>
      </c>
      <c r="H389" s="243">
        <v>33</v>
      </c>
      <c r="I389" s="243">
        <v>40</v>
      </c>
      <c r="J389" s="243">
        <v>39</v>
      </c>
      <c r="K389" s="243">
        <v>45</v>
      </c>
      <c r="L389" s="243">
        <v>47</v>
      </c>
      <c r="M389" s="243">
        <v>42</v>
      </c>
      <c r="N389" s="243">
        <v>55</v>
      </c>
      <c r="O389" s="253">
        <v>39</v>
      </c>
    </row>
    <row r="390" spans="1:15">
      <c r="A390" s="240" t="s">
        <v>69</v>
      </c>
      <c r="B390" s="47" t="s">
        <v>59</v>
      </c>
      <c r="C390" s="15">
        <v>572</v>
      </c>
      <c r="D390" s="243">
        <v>61</v>
      </c>
      <c r="E390" s="243">
        <v>38</v>
      </c>
      <c r="F390" s="243">
        <v>21</v>
      </c>
      <c r="G390" s="243">
        <v>36</v>
      </c>
      <c r="H390" s="243">
        <v>47</v>
      </c>
      <c r="I390" s="243">
        <v>54</v>
      </c>
      <c r="J390" s="243">
        <v>57</v>
      </c>
      <c r="K390" s="243">
        <v>52</v>
      </c>
      <c r="L390" s="243">
        <v>50</v>
      </c>
      <c r="M390" s="243">
        <v>49</v>
      </c>
      <c r="N390" s="243">
        <v>65</v>
      </c>
      <c r="O390" s="253">
        <v>42</v>
      </c>
    </row>
    <row r="391" spans="1:15">
      <c r="A391" s="242" t="s">
        <v>69</v>
      </c>
      <c r="B391" s="43" t="s">
        <v>4</v>
      </c>
      <c r="C391" s="15">
        <v>24</v>
      </c>
      <c r="D391" s="244">
        <v>1</v>
      </c>
      <c r="E391" s="244">
        <v>1</v>
      </c>
      <c r="F391" s="244">
        <v>1</v>
      </c>
      <c r="G391" s="244">
        <v>0</v>
      </c>
      <c r="H391" s="244">
        <v>1</v>
      </c>
      <c r="I391" s="244">
        <v>6</v>
      </c>
      <c r="J391" s="244">
        <v>1</v>
      </c>
      <c r="K391" s="244">
        <v>0</v>
      </c>
      <c r="L391" s="244">
        <v>4</v>
      </c>
      <c r="M391" s="244">
        <v>2</v>
      </c>
      <c r="N391" s="244">
        <v>7</v>
      </c>
      <c r="O391" s="254">
        <v>0</v>
      </c>
    </row>
    <row r="392" spans="1:15">
      <c r="A392" s="240" t="s">
        <v>69</v>
      </c>
      <c r="B392" s="47" t="s">
        <v>5</v>
      </c>
      <c r="C392" s="12">
        <v>0.0390640400369598</v>
      </c>
      <c r="D392" s="241">
        <v>0.0163934426229508</v>
      </c>
      <c r="E392" s="241">
        <v>0.0263157894736842</v>
      </c>
      <c r="F392" s="241">
        <v>0.0476190476190476</v>
      </c>
      <c r="G392" s="241">
        <v>0</v>
      </c>
      <c r="H392" s="241">
        <v>0.0212765957446809</v>
      </c>
      <c r="I392" s="241">
        <v>0.111111111111111</v>
      </c>
      <c r="J392" s="241">
        <v>0.0175438596491228</v>
      </c>
      <c r="K392" s="241">
        <v>0</v>
      </c>
      <c r="L392" s="241">
        <v>0.08</v>
      </c>
      <c r="M392" s="241">
        <v>0.0408163265306122</v>
      </c>
      <c r="N392" s="241">
        <v>0.107692307692308</v>
      </c>
      <c r="O392" s="252">
        <v>0</v>
      </c>
    </row>
    <row r="393" spans="1:15">
      <c r="A393" s="242" t="s">
        <v>69</v>
      </c>
      <c r="B393" s="43" t="s">
        <v>6</v>
      </c>
      <c r="C393" s="15">
        <v>7</v>
      </c>
      <c r="D393" s="244">
        <v>1</v>
      </c>
      <c r="E393" s="244">
        <v>0</v>
      </c>
      <c r="F393" s="244">
        <v>1</v>
      </c>
      <c r="G393" s="244">
        <v>0</v>
      </c>
      <c r="H393" s="244">
        <v>1</v>
      </c>
      <c r="I393" s="244">
        <v>0</v>
      </c>
      <c r="J393" s="244">
        <v>0</v>
      </c>
      <c r="K393" s="244">
        <v>0</v>
      </c>
      <c r="L393" s="244">
        <v>2</v>
      </c>
      <c r="M393" s="244">
        <v>0</v>
      </c>
      <c r="N393" s="244">
        <v>2</v>
      </c>
      <c r="O393" s="254">
        <v>0</v>
      </c>
    </row>
    <row r="394" ht="14.25" spans="1:15">
      <c r="A394" s="245" t="s">
        <v>69</v>
      </c>
      <c r="B394" s="52" t="s">
        <v>64</v>
      </c>
      <c r="C394" s="19">
        <v>0.291666666666667</v>
      </c>
      <c r="D394" s="246">
        <v>1</v>
      </c>
      <c r="E394" s="246">
        <v>0</v>
      </c>
      <c r="F394" s="246">
        <v>1</v>
      </c>
      <c r="G394" s="246">
        <v>0</v>
      </c>
      <c r="H394" s="246">
        <v>1</v>
      </c>
      <c r="I394" s="246">
        <v>0</v>
      </c>
      <c r="J394" s="246">
        <v>0</v>
      </c>
      <c r="K394" s="246">
        <v>0</v>
      </c>
      <c r="L394" s="246">
        <v>0.5</v>
      </c>
      <c r="M394" s="246">
        <v>0</v>
      </c>
      <c r="N394" s="246">
        <v>0.285714285714286</v>
      </c>
      <c r="O394" s="255">
        <v>0</v>
      </c>
    </row>
    <row r="395" spans="1:15">
      <c r="A395" s="240" t="s">
        <v>70</v>
      </c>
      <c r="B395" s="47" t="s">
        <v>55</v>
      </c>
      <c r="C395" s="12">
        <v>0.955678349947506</v>
      </c>
      <c r="D395" s="241">
        <v>1.08333333333333</v>
      </c>
      <c r="E395" s="241">
        <v>0.895833333333333</v>
      </c>
      <c r="F395" s="241">
        <v>1.18181818181818</v>
      </c>
      <c r="G395" s="241">
        <v>1.09090909090909</v>
      </c>
      <c r="H395" s="241">
        <v>0.891891891891892</v>
      </c>
      <c r="I395" s="241">
        <v>0.875</v>
      </c>
      <c r="J395" s="241">
        <v>1.11904761904762</v>
      </c>
      <c r="K395" s="241">
        <v>0.981132075471698</v>
      </c>
      <c r="L395" s="241">
        <v>0.833333333333333</v>
      </c>
      <c r="M395" s="241">
        <v>0.780487804878049</v>
      </c>
      <c r="N395" s="241">
        <v>0.890909090909091</v>
      </c>
      <c r="O395" s="252">
        <v>0.844444444444444</v>
      </c>
    </row>
    <row r="396" spans="1:15">
      <c r="A396" s="242" t="s">
        <v>70</v>
      </c>
      <c r="B396" s="43" t="s">
        <v>57</v>
      </c>
      <c r="C396" s="15">
        <v>478</v>
      </c>
      <c r="D396" s="243">
        <v>36</v>
      </c>
      <c r="E396" s="243">
        <v>48</v>
      </c>
      <c r="F396" s="243">
        <v>11</v>
      </c>
      <c r="G396" s="243">
        <v>22</v>
      </c>
      <c r="H396" s="243">
        <v>37</v>
      </c>
      <c r="I396" s="243">
        <v>40</v>
      </c>
      <c r="J396" s="243">
        <v>42</v>
      </c>
      <c r="K396" s="243">
        <v>53</v>
      </c>
      <c r="L396" s="243">
        <v>48</v>
      </c>
      <c r="M396" s="243">
        <v>41</v>
      </c>
      <c r="N396" s="243">
        <v>55</v>
      </c>
      <c r="O396" s="253">
        <v>45</v>
      </c>
    </row>
    <row r="397" spans="1:15">
      <c r="A397" s="240" t="s">
        <v>70</v>
      </c>
      <c r="B397" s="47" t="s">
        <v>59</v>
      </c>
      <c r="C397" s="15">
        <v>445</v>
      </c>
      <c r="D397" s="243">
        <v>39</v>
      </c>
      <c r="E397" s="243">
        <v>43</v>
      </c>
      <c r="F397" s="243">
        <v>13</v>
      </c>
      <c r="G397" s="243">
        <v>24</v>
      </c>
      <c r="H397" s="243">
        <v>33</v>
      </c>
      <c r="I397" s="243">
        <v>35</v>
      </c>
      <c r="J397" s="243">
        <v>47</v>
      </c>
      <c r="K397" s="243">
        <v>52</v>
      </c>
      <c r="L397" s="243">
        <v>40</v>
      </c>
      <c r="M397" s="243">
        <v>32</v>
      </c>
      <c r="N397" s="243">
        <v>49</v>
      </c>
      <c r="O397" s="253">
        <v>38</v>
      </c>
    </row>
    <row r="398" spans="1:15">
      <c r="A398" s="242" t="s">
        <v>70</v>
      </c>
      <c r="B398" s="43" t="s">
        <v>4</v>
      </c>
      <c r="C398" s="15">
        <v>7</v>
      </c>
      <c r="D398" s="244">
        <v>0</v>
      </c>
      <c r="E398" s="244">
        <v>0</v>
      </c>
      <c r="F398" s="244">
        <v>0</v>
      </c>
      <c r="G398" s="244">
        <v>0</v>
      </c>
      <c r="H398" s="244">
        <v>0</v>
      </c>
      <c r="I398" s="244">
        <v>0</v>
      </c>
      <c r="J398" s="244">
        <v>2</v>
      </c>
      <c r="K398" s="244">
        <v>1</v>
      </c>
      <c r="L398" s="244">
        <v>3</v>
      </c>
      <c r="M398" s="244">
        <v>0</v>
      </c>
      <c r="N398" s="244">
        <v>1</v>
      </c>
      <c r="O398" s="254">
        <v>0</v>
      </c>
    </row>
    <row r="399" spans="1:15">
      <c r="A399" s="240" t="s">
        <v>70</v>
      </c>
      <c r="B399" s="47" t="s">
        <v>5</v>
      </c>
      <c r="C399" s="12">
        <v>0.0130993436654531</v>
      </c>
      <c r="D399" s="241">
        <v>0</v>
      </c>
      <c r="E399" s="241">
        <v>0</v>
      </c>
      <c r="F399" s="241">
        <v>0</v>
      </c>
      <c r="G399" s="241">
        <v>0</v>
      </c>
      <c r="H399" s="241">
        <v>0</v>
      </c>
      <c r="I399" s="241">
        <v>0</v>
      </c>
      <c r="J399" s="241">
        <v>0.0425531914893617</v>
      </c>
      <c r="K399" s="241">
        <v>0.0192307692307692</v>
      </c>
      <c r="L399" s="241">
        <v>0.075</v>
      </c>
      <c r="M399" s="241">
        <v>0</v>
      </c>
      <c r="N399" s="241">
        <v>0.0204081632653061</v>
      </c>
      <c r="O399" s="252">
        <v>0</v>
      </c>
    </row>
    <row r="400" spans="1:15">
      <c r="A400" s="242" t="s">
        <v>70</v>
      </c>
      <c r="B400" s="43" t="s">
        <v>6</v>
      </c>
      <c r="C400" s="15">
        <v>3</v>
      </c>
      <c r="D400" s="244">
        <v>1</v>
      </c>
      <c r="E400" s="244">
        <v>1</v>
      </c>
      <c r="F400" s="244">
        <v>0</v>
      </c>
      <c r="G400" s="244">
        <v>0</v>
      </c>
      <c r="H400" s="244">
        <v>0</v>
      </c>
      <c r="I400" s="244">
        <v>0</v>
      </c>
      <c r="J400" s="244">
        <v>0</v>
      </c>
      <c r="K400" s="244">
        <v>0</v>
      </c>
      <c r="L400" s="244">
        <v>0</v>
      </c>
      <c r="M400" s="244">
        <v>1</v>
      </c>
      <c r="N400" s="244">
        <v>0</v>
      </c>
      <c r="O400" s="254">
        <v>0</v>
      </c>
    </row>
    <row r="401" ht="14.25" spans="1:15">
      <c r="A401" s="245" t="s">
        <v>70</v>
      </c>
      <c r="B401" s="52" t="s">
        <v>64</v>
      </c>
      <c r="C401" s="19">
        <v>0.428571428571429</v>
      </c>
      <c r="D401" s="246">
        <v>0</v>
      </c>
      <c r="E401" s="246">
        <v>0</v>
      </c>
      <c r="F401" s="246">
        <v>0</v>
      </c>
      <c r="G401" s="246">
        <v>0</v>
      </c>
      <c r="H401" s="246">
        <v>0</v>
      </c>
      <c r="I401" s="246">
        <v>0</v>
      </c>
      <c r="J401" s="246">
        <v>0</v>
      </c>
      <c r="K401" s="246">
        <v>0</v>
      </c>
      <c r="L401" s="246">
        <v>0</v>
      </c>
      <c r="M401" s="246">
        <v>0</v>
      </c>
      <c r="N401" s="246">
        <v>0</v>
      </c>
      <c r="O401" s="255">
        <v>0</v>
      </c>
    </row>
    <row r="402" spans="1:15">
      <c r="A402" s="240" t="s">
        <v>26</v>
      </c>
      <c r="B402" s="47" t="s">
        <v>55</v>
      </c>
      <c r="C402" s="12">
        <v>1.12661580197352</v>
      </c>
      <c r="D402" s="241">
        <v>1.49689440993789</v>
      </c>
      <c r="E402" s="241">
        <v>1.07826086956522</v>
      </c>
      <c r="F402" s="241">
        <v>1.09210526315789</v>
      </c>
      <c r="G402" s="241">
        <v>1.11458333333333</v>
      </c>
      <c r="H402" s="241">
        <v>1.26515151515152</v>
      </c>
      <c r="I402" s="241">
        <v>1.02409638554217</v>
      </c>
      <c r="J402" s="241">
        <v>1.00564971751412</v>
      </c>
      <c r="K402" s="241">
        <v>1.35260115606936</v>
      </c>
      <c r="L402" s="241">
        <v>1.0880829015544</v>
      </c>
      <c r="M402" s="241">
        <v>1.01796407185629</v>
      </c>
      <c r="N402" s="241">
        <v>0.984</v>
      </c>
      <c r="O402" s="252">
        <v>1</v>
      </c>
    </row>
    <row r="403" spans="1:15">
      <c r="A403" s="242" t="s">
        <v>26</v>
      </c>
      <c r="B403" s="43" t="s">
        <v>57</v>
      </c>
      <c r="C403" s="15">
        <v>1975</v>
      </c>
      <c r="D403" s="243">
        <v>161</v>
      </c>
      <c r="E403" s="243">
        <v>115</v>
      </c>
      <c r="F403" s="243">
        <v>76</v>
      </c>
      <c r="G403" s="243">
        <v>96</v>
      </c>
      <c r="H403" s="243">
        <v>132</v>
      </c>
      <c r="I403" s="243">
        <v>166</v>
      </c>
      <c r="J403" s="243">
        <v>177</v>
      </c>
      <c r="K403" s="243">
        <v>173</v>
      </c>
      <c r="L403" s="243">
        <v>193</v>
      </c>
      <c r="M403" s="243">
        <v>167</v>
      </c>
      <c r="N403" s="243">
        <v>250</v>
      </c>
      <c r="O403" s="253">
        <v>269</v>
      </c>
    </row>
    <row r="404" spans="1:15">
      <c r="A404" s="240" t="s">
        <v>26</v>
      </c>
      <c r="B404" s="47" t="s">
        <v>59</v>
      </c>
      <c r="C404" s="15">
        <v>2199</v>
      </c>
      <c r="D404" s="243">
        <v>241</v>
      </c>
      <c r="E404" s="243">
        <v>124</v>
      </c>
      <c r="F404" s="243">
        <v>83</v>
      </c>
      <c r="G404" s="243">
        <v>107</v>
      </c>
      <c r="H404" s="243">
        <v>167</v>
      </c>
      <c r="I404" s="243">
        <v>170</v>
      </c>
      <c r="J404" s="243">
        <v>178</v>
      </c>
      <c r="K404" s="243">
        <v>234</v>
      </c>
      <c r="L404" s="243">
        <v>210</v>
      </c>
      <c r="M404" s="243">
        <v>170</v>
      </c>
      <c r="N404" s="243">
        <v>246</v>
      </c>
      <c r="O404" s="253">
        <v>269</v>
      </c>
    </row>
    <row r="405" spans="1:15">
      <c r="A405" s="242" t="s">
        <v>26</v>
      </c>
      <c r="B405" s="43" t="s">
        <v>4</v>
      </c>
      <c r="C405" s="15">
        <v>73</v>
      </c>
      <c r="D405" s="244">
        <v>7</v>
      </c>
      <c r="E405" s="244">
        <v>0</v>
      </c>
      <c r="F405" s="244">
        <v>2</v>
      </c>
      <c r="G405" s="244">
        <v>1</v>
      </c>
      <c r="H405" s="244">
        <v>6</v>
      </c>
      <c r="I405" s="244">
        <v>1</v>
      </c>
      <c r="J405" s="244">
        <v>3</v>
      </c>
      <c r="K405" s="244">
        <v>9</v>
      </c>
      <c r="L405" s="244">
        <v>8</v>
      </c>
      <c r="M405" s="244">
        <v>7</v>
      </c>
      <c r="N405" s="244">
        <v>9</v>
      </c>
      <c r="O405" s="254">
        <v>20</v>
      </c>
    </row>
    <row r="406" spans="1:15">
      <c r="A406" s="240" t="s">
        <v>26</v>
      </c>
      <c r="B406" s="47" t="s">
        <v>5</v>
      </c>
      <c r="C406" s="12">
        <v>0.0291516923086744</v>
      </c>
      <c r="D406" s="241">
        <v>0.029045643153527</v>
      </c>
      <c r="E406" s="241">
        <v>0</v>
      </c>
      <c r="F406" s="241">
        <v>0.0240963855421687</v>
      </c>
      <c r="G406" s="241">
        <v>0.00934579439252336</v>
      </c>
      <c r="H406" s="241">
        <v>0.0359281437125748</v>
      </c>
      <c r="I406" s="241">
        <v>0.00588235294117647</v>
      </c>
      <c r="J406" s="241">
        <v>0.0168539325842697</v>
      </c>
      <c r="K406" s="241">
        <v>0.0384615384615385</v>
      </c>
      <c r="L406" s="241">
        <v>0.0380952380952381</v>
      </c>
      <c r="M406" s="241">
        <v>0.0411764705882353</v>
      </c>
      <c r="N406" s="241">
        <v>0.0365853658536585</v>
      </c>
      <c r="O406" s="252">
        <v>0.0743494423791822</v>
      </c>
    </row>
    <row r="407" spans="1:15">
      <c r="A407" s="242" t="s">
        <v>26</v>
      </c>
      <c r="B407" s="43" t="s">
        <v>6</v>
      </c>
      <c r="C407" s="15">
        <v>34</v>
      </c>
      <c r="D407" s="244">
        <v>5</v>
      </c>
      <c r="E407" s="244">
        <v>2</v>
      </c>
      <c r="F407" s="244">
        <v>0</v>
      </c>
      <c r="G407" s="244">
        <v>0</v>
      </c>
      <c r="H407" s="244">
        <v>5</v>
      </c>
      <c r="I407" s="244">
        <v>1</v>
      </c>
      <c r="J407" s="244">
        <v>3</v>
      </c>
      <c r="K407" s="244">
        <v>3</v>
      </c>
      <c r="L407" s="244">
        <v>4</v>
      </c>
      <c r="M407" s="244">
        <v>3</v>
      </c>
      <c r="N407" s="244">
        <v>4</v>
      </c>
      <c r="O407" s="254">
        <v>4</v>
      </c>
    </row>
    <row r="408" ht="14.25" spans="1:15">
      <c r="A408" s="245" t="s">
        <v>26</v>
      </c>
      <c r="B408" s="52" t="s">
        <v>64</v>
      </c>
      <c r="C408" s="19">
        <v>0.465753424657534</v>
      </c>
      <c r="D408" s="250">
        <v>5</v>
      </c>
      <c r="E408" s="250">
        <v>2</v>
      </c>
      <c r="F408" s="250">
        <v>0</v>
      </c>
      <c r="G408" s="250">
        <v>0</v>
      </c>
      <c r="H408" s="250">
        <v>5</v>
      </c>
      <c r="I408" s="250">
        <v>1</v>
      </c>
      <c r="J408" s="250">
        <v>3</v>
      </c>
      <c r="K408" s="250">
        <v>3</v>
      </c>
      <c r="L408" s="250">
        <v>4</v>
      </c>
      <c r="M408" s="250">
        <v>3</v>
      </c>
      <c r="N408" s="250">
        <v>4</v>
      </c>
      <c r="O408" s="257">
        <v>4</v>
      </c>
    </row>
    <row r="409" ht="14.25" spans="1:15">
      <c r="A409" s="237">
        <v>45025</v>
      </c>
      <c r="B409" s="237"/>
      <c r="C409" s="237"/>
      <c r="D409" s="237"/>
      <c r="E409" s="237"/>
      <c r="F409" s="237"/>
      <c r="G409" s="237"/>
      <c r="H409" s="237"/>
      <c r="I409" s="237"/>
      <c r="J409" s="237"/>
      <c r="K409" s="237"/>
      <c r="L409" s="237"/>
      <c r="M409" s="237"/>
      <c r="N409" s="237"/>
      <c r="O409" s="237"/>
    </row>
    <row r="410" spans="1:15">
      <c r="A410" s="56" t="s">
        <v>1</v>
      </c>
      <c r="B410" s="238"/>
      <c r="C410" s="8" t="s">
        <v>42</v>
      </c>
      <c r="D410" s="239" t="s">
        <v>43</v>
      </c>
      <c r="E410" s="239" t="s">
        <v>44</v>
      </c>
      <c r="F410" s="239" t="s">
        <v>45</v>
      </c>
      <c r="G410" s="239" t="s">
        <v>46</v>
      </c>
      <c r="H410" s="239" t="s">
        <v>47</v>
      </c>
      <c r="I410" s="239" t="s">
        <v>48</v>
      </c>
      <c r="J410" s="239" t="s">
        <v>49</v>
      </c>
      <c r="K410" s="239" t="s">
        <v>50</v>
      </c>
      <c r="L410" s="239" t="s">
        <v>51</v>
      </c>
      <c r="M410" s="239" t="s">
        <v>52</v>
      </c>
      <c r="N410" s="239" t="s">
        <v>53</v>
      </c>
      <c r="O410" s="251" t="s">
        <v>54</v>
      </c>
    </row>
    <row r="411" spans="1:15">
      <c r="A411" s="240" t="s">
        <v>22</v>
      </c>
      <c r="B411" s="47" t="s">
        <v>55</v>
      </c>
      <c r="C411" s="12">
        <v>0.301703869323413</v>
      </c>
      <c r="D411" s="241">
        <v>0.285123966942149</v>
      </c>
      <c r="E411" s="241">
        <v>0.161662817551963</v>
      </c>
      <c r="F411" s="241">
        <v>0.160409556313993</v>
      </c>
      <c r="G411" s="241">
        <v>0.212765957446809</v>
      </c>
      <c r="H411" s="241">
        <v>0.286153846153846</v>
      </c>
      <c r="I411" s="241">
        <v>0.343042071197411</v>
      </c>
      <c r="J411" s="241">
        <v>0.370820668693009</v>
      </c>
      <c r="K411" s="241">
        <v>0.343283582089552</v>
      </c>
      <c r="L411" s="241">
        <v>0.365930599369085</v>
      </c>
      <c r="M411" s="241">
        <v>0.353146853146853</v>
      </c>
      <c r="N411" s="241">
        <v>0.390374331550802</v>
      </c>
      <c r="O411" s="252">
        <v>0.347732181425486</v>
      </c>
    </row>
    <row r="412" spans="1:15">
      <c r="A412" s="242" t="s">
        <v>22</v>
      </c>
      <c r="B412" s="43" t="s">
        <v>57</v>
      </c>
      <c r="C412" s="15">
        <v>4472</v>
      </c>
      <c r="D412" s="243">
        <v>726</v>
      </c>
      <c r="E412" s="243">
        <v>433</v>
      </c>
      <c r="F412" s="243">
        <v>293</v>
      </c>
      <c r="G412" s="243">
        <v>282</v>
      </c>
      <c r="H412" s="243">
        <v>325</v>
      </c>
      <c r="I412" s="243">
        <v>309</v>
      </c>
      <c r="J412" s="243">
        <v>329</v>
      </c>
      <c r="K412" s="243">
        <v>335</v>
      </c>
      <c r="L412" s="243">
        <v>317</v>
      </c>
      <c r="M412" s="243">
        <v>286</v>
      </c>
      <c r="N412" s="243">
        <v>374</v>
      </c>
      <c r="O412" s="253">
        <v>463</v>
      </c>
    </row>
    <row r="413" spans="1:15">
      <c r="A413" s="240" t="s">
        <v>22</v>
      </c>
      <c r="B413" s="47" t="s">
        <v>59</v>
      </c>
      <c r="C413" s="15">
        <v>1344</v>
      </c>
      <c r="D413" s="243">
        <v>207</v>
      </c>
      <c r="E413" s="243">
        <v>70</v>
      </c>
      <c r="F413" s="243">
        <v>47</v>
      </c>
      <c r="G413" s="243">
        <v>60</v>
      </c>
      <c r="H413" s="243">
        <v>93</v>
      </c>
      <c r="I413" s="243">
        <v>106</v>
      </c>
      <c r="J413" s="243">
        <v>122</v>
      </c>
      <c r="K413" s="243">
        <v>115</v>
      </c>
      <c r="L413" s="243">
        <v>116</v>
      </c>
      <c r="M413" s="243">
        <v>101</v>
      </c>
      <c r="N413" s="243">
        <v>146</v>
      </c>
      <c r="O413" s="253">
        <v>161</v>
      </c>
    </row>
    <row r="414" spans="1:15">
      <c r="A414" s="242" t="s">
        <v>22</v>
      </c>
      <c r="B414" s="43" t="s">
        <v>4</v>
      </c>
      <c r="C414" s="15">
        <v>116</v>
      </c>
      <c r="D414" s="244">
        <v>16</v>
      </c>
      <c r="E414" s="244">
        <v>8</v>
      </c>
      <c r="F414" s="244">
        <v>6</v>
      </c>
      <c r="G414" s="244">
        <v>2</v>
      </c>
      <c r="H414" s="244">
        <v>4</v>
      </c>
      <c r="I414" s="244">
        <v>11</v>
      </c>
      <c r="J414" s="244">
        <v>6</v>
      </c>
      <c r="K414" s="244">
        <v>11</v>
      </c>
      <c r="L414" s="244">
        <v>13</v>
      </c>
      <c r="M414" s="244">
        <v>9</v>
      </c>
      <c r="N414" s="244">
        <v>14</v>
      </c>
      <c r="O414" s="254">
        <v>16</v>
      </c>
    </row>
    <row r="415" spans="1:15">
      <c r="A415" s="240" t="s">
        <v>22</v>
      </c>
      <c r="B415" s="47" t="s">
        <v>5</v>
      </c>
      <c r="C415" s="12">
        <v>0.0867197764006676</v>
      </c>
      <c r="D415" s="241">
        <v>0.0772946859903382</v>
      </c>
      <c r="E415" s="241">
        <v>0.114285714285714</v>
      </c>
      <c r="F415" s="241">
        <v>0.127659574468085</v>
      </c>
      <c r="G415" s="241">
        <v>0.0333333333333333</v>
      </c>
      <c r="H415" s="241">
        <v>0.043010752688172</v>
      </c>
      <c r="I415" s="241">
        <v>0.10377358490566</v>
      </c>
      <c r="J415" s="241">
        <v>0.0491803278688525</v>
      </c>
      <c r="K415" s="241">
        <v>0.0956521739130435</v>
      </c>
      <c r="L415" s="241">
        <v>0.112068965517241</v>
      </c>
      <c r="M415" s="241">
        <v>0.0891089108910891</v>
      </c>
      <c r="N415" s="241">
        <v>0.0958904109589041</v>
      </c>
      <c r="O415" s="252">
        <v>0.0993788819875776</v>
      </c>
    </row>
    <row r="416" spans="1:15">
      <c r="A416" s="242" t="s">
        <v>22</v>
      </c>
      <c r="B416" s="43" t="s">
        <v>6</v>
      </c>
      <c r="C416" s="15">
        <v>38</v>
      </c>
      <c r="D416" s="244">
        <v>1</v>
      </c>
      <c r="E416" s="244">
        <v>3</v>
      </c>
      <c r="F416" s="244">
        <v>4</v>
      </c>
      <c r="G416" s="244">
        <v>0</v>
      </c>
      <c r="H416" s="244">
        <v>4</v>
      </c>
      <c r="I416" s="244">
        <v>3</v>
      </c>
      <c r="J416" s="244">
        <v>1</v>
      </c>
      <c r="K416" s="244">
        <v>1</v>
      </c>
      <c r="L416" s="244">
        <v>5</v>
      </c>
      <c r="M416" s="244">
        <v>2</v>
      </c>
      <c r="N416" s="244">
        <v>8</v>
      </c>
      <c r="O416" s="254">
        <v>6</v>
      </c>
    </row>
    <row r="417" ht="14.25" spans="1:15">
      <c r="A417" s="245" t="s">
        <v>22</v>
      </c>
      <c r="B417" s="52" t="s">
        <v>64</v>
      </c>
      <c r="C417" s="19">
        <v>0.327586206896552</v>
      </c>
      <c r="D417" s="246">
        <v>0.0625</v>
      </c>
      <c r="E417" s="246">
        <v>0.375</v>
      </c>
      <c r="F417" s="246">
        <v>0.666666666666667</v>
      </c>
      <c r="G417" s="246">
        <v>0</v>
      </c>
      <c r="H417" s="246">
        <v>1</v>
      </c>
      <c r="I417" s="246">
        <v>0.272727272727273</v>
      </c>
      <c r="J417" s="246">
        <v>0.166666666666667</v>
      </c>
      <c r="K417" s="246">
        <v>0.0909090909090909</v>
      </c>
      <c r="L417" s="246">
        <v>0.384615384615385</v>
      </c>
      <c r="M417" s="246">
        <v>0.222222222222222</v>
      </c>
      <c r="N417" s="246">
        <v>0.571428571428571</v>
      </c>
      <c r="O417" s="255">
        <v>0.375</v>
      </c>
    </row>
    <row r="418" spans="1:15">
      <c r="A418" s="247" t="s">
        <v>66</v>
      </c>
      <c r="B418" s="248" t="s">
        <v>55</v>
      </c>
      <c r="C418" s="12">
        <v>0.133753916841534</v>
      </c>
      <c r="D418" s="249">
        <v>0.173144876325088</v>
      </c>
      <c r="E418" s="249">
        <v>0.0950704225352113</v>
      </c>
      <c r="F418" s="249">
        <v>0.0619469026548673</v>
      </c>
      <c r="G418" s="249">
        <v>0.0566037735849057</v>
      </c>
      <c r="H418" s="249">
        <v>0.103960396039604</v>
      </c>
      <c r="I418" s="249">
        <v>0.122549019607843</v>
      </c>
      <c r="J418" s="249">
        <v>0.136150234741784</v>
      </c>
      <c r="K418" s="249">
        <v>0.162162162162162</v>
      </c>
      <c r="L418" s="249">
        <v>0.170212765957447</v>
      </c>
      <c r="M418" s="249">
        <v>0.210191082802548</v>
      </c>
      <c r="N418" s="249">
        <v>0.162679425837321</v>
      </c>
      <c r="O418" s="256">
        <v>0.150375939849624</v>
      </c>
    </row>
    <row r="419" spans="1:15">
      <c r="A419" s="242" t="s">
        <v>66</v>
      </c>
      <c r="B419" s="43" t="s">
        <v>57</v>
      </c>
      <c r="C419" s="15">
        <v>2666</v>
      </c>
      <c r="D419" s="243">
        <v>283</v>
      </c>
      <c r="E419" s="243">
        <v>284</v>
      </c>
      <c r="F419" s="243">
        <v>226</v>
      </c>
      <c r="G419" s="243">
        <v>212</v>
      </c>
      <c r="H419" s="243">
        <v>202</v>
      </c>
      <c r="I419" s="243">
        <v>204</v>
      </c>
      <c r="J419" s="243">
        <v>213</v>
      </c>
      <c r="K419" s="243">
        <v>222</v>
      </c>
      <c r="L419" s="243">
        <v>188</v>
      </c>
      <c r="M419" s="243">
        <v>157</v>
      </c>
      <c r="N419" s="243">
        <v>209</v>
      </c>
      <c r="O419" s="253">
        <v>266</v>
      </c>
    </row>
    <row r="420" spans="1:15">
      <c r="A420" s="240" t="s">
        <v>66</v>
      </c>
      <c r="B420" s="47" t="s">
        <v>59</v>
      </c>
      <c r="C420" s="15">
        <v>352</v>
      </c>
      <c r="D420" s="243">
        <v>49</v>
      </c>
      <c r="E420" s="243">
        <v>27</v>
      </c>
      <c r="F420" s="243">
        <v>14</v>
      </c>
      <c r="G420" s="243">
        <v>12</v>
      </c>
      <c r="H420" s="243">
        <v>21</v>
      </c>
      <c r="I420" s="243">
        <v>25</v>
      </c>
      <c r="J420" s="243">
        <v>29</v>
      </c>
      <c r="K420" s="243">
        <v>36</v>
      </c>
      <c r="L420" s="243">
        <v>32</v>
      </c>
      <c r="M420" s="243">
        <v>33</v>
      </c>
      <c r="N420" s="243">
        <v>34</v>
      </c>
      <c r="O420" s="253">
        <v>40</v>
      </c>
    </row>
    <row r="421" spans="1:15">
      <c r="A421" s="242" t="s">
        <v>66</v>
      </c>
      <c r="B421" s="43" t="s">
        <v>4</v>
      </c>
      <c r="C421" s="15">
        <v>31</v>
      </c>
      <c r="D421" s="244">
        <v>5</v>
      </c>
      <c r="E421" s="244">
        <v>3</v>
      </c>
      <c r="F421" s="244">
        <v>4</v>
      </c>
      <c r="G421" s="244">
        <v>0</v>
      </c>
      <c r="H421" s="244">
        <v>1</v>
      </c>
      <c r="I421" s="244">
        <v>2</v>
      </c>
      <c r="J421" s="244">
        <v>2</v>
      </c>
      <c r="K421" s="244">
        <v>2</v>
      </c>
      <c r="L421" s="244">
        <v>3</v>
      </c>
      <c r="M421" s="244">
        <v>2</v>
      </c>
      <c r="N421" s="244">
        <v>3</v>
      </c>
      <c r="O421" s="254">
        <v>4</v>
      </c>
    </row>
    <row r="422" spans="1:15">
      <c r="A422" s="240" t="s">
        <v>66</v>
      </c>
      <c r="B422" s="47" t="s">
        <v>5</v>
      </c>
      <c r="C422" s="12">
        <v>0.0911331406909681</v>
      </c>
      <c r="D422" s="241">
        <v>0.102040816326531</v>
      </c>
      <c r="E422" s="241">
        <v>0.111111111111111</v>
      </c>
      <c r="F422" s="241">
        <v>0.285714285714286</v>
      </c>
      <c r="G422" s="241">
        <v>0</v>
      </c>
      <c r="H422" s="241">
        <v>0.0476190476190476</v>
      </c>
      <c r="I422" s="241">
        <v>0.08</v>
      </c>
      <c r="J422" s="241">
        <v>0.0689655172413793</v>
      </c>
      <c r="K422" s="241">
        <v>0.0555555555555556</v>
      </c>
      <c r="L422" s="241">
        <v>0.09375</v>
      </c>
      <c r="M422" s="241">
        <v>0.0606060606060606</v>
      </c>
      <c r="N422" s="241">
        <v>0.0882352941176471</v>
      </c>
      <c r="O422" s="252">
        <v>0.1</v>
      </c>
    </row>
    <row r="423" spans="1:15">
      <c r="A423" s="242" t="s">
        <v>66</v>
      </c>
      <c r="B423" s="43" t="s">
        <v>6</v>
      </c>
      <c r="C423" s="15">
        <v>8</v>
      </c>
      <c r="D423" s="244">
        <v>1</v>
      </c>
      <c r="E423" s="244">
        <v>1</v>
      </c>
      <c r="F423" s="244">
        <v>2</v>
      </c>
      <c r="G423" s="244">
        <v>0</v>
      </c>
      <c r="H423" s="244">
        <v>0</v>
      </c>
      <c r="I423" s="244">
        <v>0</v>
      </c>
      <c r="J423" s="244">
        <v>0</v>
      </c>
      <c r="K423" s="244">
        <v>1</v>
      </c>
      <c r="L423" s="244">
        <v>1</v>
      </c>
      <c r="M423" s="244">
        <v>0</v>
      </c>
      <c r="N423" s="244">
        <v>1</v>
      </c>
      <c r="O423" s="254">
        <v>1</v>
      </c>
    </row>
    <row r="424" ht="14.25" spans="1:15">
      <c r="A424" s="245" t="s">
        <v>66</v>
      </c>
      <c r="B424" s="52" t="s">
        <v>64</v>
      </c>
      <c r="C424" s="19">
        <v>0.258064516129032</v>
      </c>
      <c r="D424" s="246">
        <v>0.2</v>
      </c>
      <c r="E424" s="246">
        <v>0.333333333333333</v>
      </c>
      <c r="F424" s="246">
        <v>0.5</v>
      </c>
      <c r="G424" s="246">
        <v>0</v>
      </c>
      <c r="H424" s="246">
        <v>0</v>
      </c>
      <c r="I424" s="246">
        <v>0</v>
      </c>
      <c r="J424" s="246">
        <v>0</v>
      </c>
      <c r="K424" s="246">
        <v>0.5</v>
      </c>
      <c r="L424" s="246">
        <v>0.333333333333333</v>
      </c>
      <c r="M424" s="246">
        <v>0</v>
      </c>
      <c r="N424" s="246">
        <v>0.333333333333333</v>
      </c>
      <c r="O424" s="255">
        <v>0.25</v>
      </c>
    </row>
    <row r="425" spans="1:15">
      <c r="A425" s="240" t="s">
        <v>67</v>
      </c>
      <c r="B425" s="47" t="s">
        <v>55</v>
      </c>
      <c r="C425" s="12">
        <v>0.746052414832197</v>
      </c>
      <c r="D425" s="241">
        <v>0.896103896103896</v>
      </c>
      <c r="E425" s="241">
        <v>0.731707317073171</v>
      </c>
      <c r="F425" s="241">
        <v>0.789473684210526</v>
      </c>
      <c r="G425" s="241">
        <v>1.11538461538462</v>
      </c>
      <c r="H425" s="241">
        <v>0.564102564102564</v>
      </c>
      <c r="I425" s="241">
        <v>0.75</v>
      </c>
      <c r="J425" s="241">
        <v>0.8</v>
      </c>
      <c r="K425" s="241">
        <v>0.666666666666667</v>
      </c>
      <c r="L425" s="241">
        <v>0.793103448275862</v>
      </c>
      <c r="M425" s="241">
        <v>0.633333333333333</v>
      </c>
      <c r="N425" s="241">
        <v>0.658536585365854</v>
      </c>
      <c r="O425" s="252">
        <v>0.55421686746988</v>
      </c>
    </row>
    <row r="426" spans="1:15">
      <c r="A426" s="242" t="s">
        <v>67</v>
      </c>
      <c r="B426" s="43" t="s">
        <v>57</v>
      </c>
      <c r="C426" s="15">
        <v>596</v>
      </c>
      <c r="D426" s="243">
        <v>77</v>
      </c>
      <c r="E426" s="243">
        <v>41</v>
      </c>
      <c r="F426" s="243">
        <v>19</v>
      </c>
      <c r="G426" s="243">
        <v>26</v>
      </c>
      <c r="H426" s="243">
        <v>39</v>
      </c>
      <c r="I426" s="243">
        <v>48</v>
      </c>
      <c r="J426" s="243">
        <v>50</v>
      </c>
      <c r="K426" s="243">
        <v>54</v>
      </c>
      <c r="L426" s="243">
        <v>58</v>
      </c>
      <c r="M426" s="243">
        <v>60</v>
      </c>
      <c r="N426" s="243">
        <v>41</v>
      </c>
      <c r="O426" s="253">
        <v>83</v>
      </c>
    </row>
    <row r="427" spans="1:15">
      <c r="A427" s="240" t="s">
        <v>67</v>
      </c>
      <c r="B427" s="47" t="s">
        <v>59</v>
      </c>
      <c r="C427" s="15">
        <v>434</v>
      </c>
      <c r="D427" s="243">
        <v>69</v>
      </c>
      <c r="E427" s="243">
        <v>30</v>
      </c>
      <c r="F427" s="243">
        <v>15</v>
      </c>
      <c r="G427" s="243">
        <v>29</v>
      </c>
      <c r="H427" s="243">
        <v>22</v>
      </c>
      <c r="I427" s="243">
        <v>36</v>
      </c>
      <c r="J427" s="243">
        <v>40</v>
      </c>
      <c r="K427" s="243">
        <v>36</v>
      </c>
      <c r="L427" s="243">
        <v>46</v>
      </c>
      <c r="M427" s="243">
        <v>38</v>
      </c>
      <c r="N427" s="243">
        <v>27</v>
      </c>
      <c r="O427" s="253">
        <v>46</v>
      </c>
    </row>
    <row r="428" spans="1:15">
      <c r="A428" s="242" t="s">
        <v>67</v>
      </c>
      <c r="B428" s="43" t="s">
        <v>4</v>
      </c>
      <c r="C428" s="15">
        <v>28</v>
      </c>
      <c r="D428" s="244">
        <v>7</v>
      </c>
      <c r="E428" s="244">
        <v>3</v>
      </c>
      <c r="F428" s="244">
        <v>0</v>
      </c>
      <c r="G428" s="244">
        <v>0</v>
      </c>
      <c r="H428" s="244">
        <v>0</v>
      </c>
      <c r="I428" s="244">
        <v>2</v>
      </c>
      <c r="J428" s="244">
        <v>2</v>
      </c>
      <c r="K428" s="244">
        <v>5</v>
      </c>
      <c r="L428" s="244">
        <v>2</v>
      </c>
      <c r="M428" s="244">
        <v>3</v>
      </c>
      <c r="N428" s="244">
        <v>0</v>
      </c>
      <c r="O428" s="254">
        <v>4</v>
      </c>
    </row>
    <row r="429" spans="1:15">
      <c r="A429" s="240" t="s">
        <v>67</v>
      </c>
      <c r="B429" s="47" t="s">
        <v>5</v>
      </c>
      <c r="C429" s="12">
        <v>0.0546063225697093</v>
      </c>
      <c r="D429" s="241">
        <v>0.101449275362319</v>
      </c>
      <c r="E429" s="241">
        <v>0.1</v>
      </c>
      <c r="F429" s="241">
        <v>0</v>
      </c>
      <c r="G429" s="241">
        <v>0</v>
      </c>
      <c r="H429" s="241">
        <v>0</v>
      </c>
      <c r="I429" s="241">
        <v>0.0555555555555556</v>
      </c>
      <c r="J429" s="241">
        <v>0.05</v>
      </c>
      <c r="K429" s="241">
        <v>0.138888888888889</v>
      </c>
      <c r="L429" s="241">
        <v>0.0434782608695652</v>
      </c>
      <c r="M429" s="241">
        <v>0.0789473684210526</v>
      </c>
      <c r="N429" s="241">
        <v>0</v>
      </c>
      <c r="O429" s="252">
        <v>0.0869565217391304</v>
      </c>
    </row>
    <row r="430" spans="1:15">
      <c r="A430" s="242" t="s">
        <v>67</v>
      </c>
      <c r="B430" s="43" t="s">
        <v>6</v>
      </c>
      <c r="C430" s="15">
        <v>13</v>
      </c>
      <c r="D430" s="244">
        <v>6</v>
      </c>
      <c r="E430" s="244">
        <v>0</v>
      </c>
      <c r="F430" s="244">
        <v>0</v>
      </c>
      <c r="G430" s="244">
        <v>0</v>
      </c>
      <c r="H430" s="244">
        <v>0</v>
      </c>
      <c r="I430" s="244">
        <v>2</v>
      </c>
      <c r="J430" s="244">
        <v>0</v>
      </c>
      <c r="K430" s="244">
        <v>1</v>
      </c>
      <c r="L430" s="244">
        <v>1</v>
      </c>
      <c r="M430" s="244">
        <v>0</v>
      </c>
      <c r="N430" s="244">
        <v>2</v>
      </c>
      <c r="O430" s="254">
        <v>1</v>
      </c>
    </row>
    <row r="431" ht="14.25" spans="1:15">
      <c r="A431" s="245" t="s">
        <v>67</v>
      </c>
      <c r="B431" s="52" t="s">
        <v>64</v>
      </c>
      <c r="C431" s="19">
        <v>0.464285714285714</v>
      </c>
      <c r="D431" s="246">
        <v>0.857142857142857</v>
      </c>
      <c r="E431" s="246">
        <v>0</v>
      </c>
      <c r="F431" s="246">
        <v>0</v>
      </c>
      <c r="G431" s="246">
        <v>0</v>
      </c>
      <c r="H431" s="246">
        <v>0</v>
      </c>
      <c r="I431" s="246">
        <v>1</v>
      </c>
      <c r="J431" s="246">
        <v>0</v>
      </c>
      <c r="K431" s="246">
        <v>0.2</v>
      </c>
      <c r="L431" s="246">
        <v>0.5</v>
      </c>
      <c r="M431" s="246">
        <v>0</v>
      </c>
      <c r="N431" s="246">
        <v>0</v>
      </c>
      <c r="O431" s="255">
        <v>0.25</v>
      </c>
    </row>
    <row r="432" spans="1:15">
      <c r="A432" s="240" t="s">
        <v>68</v>
      </c>
      <c r="B432" s="47" t="s">
        <v>55</v>
      </c>
      <c r="C432" s="12">
        <v>0.0904561014473734</v>
      </c>
      <c r="D432" s="241">
        <v>0.164359861591695</v>
      </c>
      <c r="E432" s="241">
        <v>0.165492957746479</v>
      </c>
      <c r="F432" s="241">
        <v>0.153543307086614</v>
      </c>
      <c r="G432" s="241">
        <v>0.089171974522293</v>
      </c>
      <c r="H432" s="241">
        <v>0.0935064935064935</v>
      </c>
      <c r="I432" s="241">
        <v>0.0711864406779661</v>
      </c>
      <c r="J432" s="241">
        <v>0.0626057529610829</v>
      </c>
      <c r="K432" s="241">
        <v>0.0602605863192182</v>
      </c>
      <c r="L432" s="241">
        <v>0.0619967793880837</v>
      </c>
      <c r="M432" s="241">
        <v>0.0487084870848708</v>
      </c>
      <c r="N432" s="241">
        <v>0.0532544378698225</v>
      </c>
      <c r="O432" s="252">
        <v>0.0613861386138614</v>
      </c>
    </row>
    <row r="433" spans="1:15">
      <c r="A433" s="242" t="s">
        <v>68</v>
      </c>
      <c r="B433" s="43" t="s">
        <v>57</v>
      </c>
      <c r="C433" s="15">
        <v>11147</v>
      </c>
      <c r="D433" s="243">
        <v>578</v>
      </c>
      <c r="E433" s="243">
        <v>284</v>
      </c>
      <c r="F433" s="243">
        <v>254</v>
      </c>
      <c r="G433" s="243">
        <v>628</v>
      </c>
      <c r="H433" s="243">
        <v>770</v>
      </c>
      <c r="I433" s="243">
        <v>590</v>
      </c>
      <c r="J433" s="243">
        <v>1182</v>
      </c>
      <c r="K433" s="243">
        <v>1228</v>
      </c>
      <c r="L433" s="243">
        <v>1242</v>
      </c>
      <c r="M433" s="243">
        <v>1355</v>
      </c>
      <c r="N433" s="243">
        <v>1521</v>
      </c>
      <c r="O433" s="253">
        <v>1515</v>
      </c>
    </row>
    <row r="434" spans="1:15">
      <c r="A434" s="240" t="s">
        <v>68</v>
      </c>
      <c r="B434" s="47" t="s">
        <v>59</v>
      </c>
      <c r="C434" s="15">
        <v>816</v>
      </c>
      <c r="D434" s="243">
        <v>95</v>
      </c>
      <c r="E434" s="243">
        <v>47</v>
      </c>
      <c r="F434" s="243">
        <v>39</v>
      </c>
      <c r="G434" s="243">
        <v>56</v>
      </c>
      <c r="H434" s="243">
        <v>72</v>
      </c>
      <c r="I434" s="243">
        <v>42</v>
      </c>
      <c r="J434" s="243">
        <v>74</v>
      </c>
      <c r="K434" s="243">
        <v>74</v>
      </c>
      <c r="L434" s="243">
        <v>77</v>
      </c>
      <c r="M434" s="243">
        <v>66</v>
      </c>
      <c r="N434" s="243">
        <v>81</v>
      </c>
      <c r="O434" s="253">
        <v>93</v>
      </c>
    </row>
    <row r="435" spans="1:15">
      <c r="A435" s="242" t="s">
        <v>68</v>
      </c>
      <c r="B435" s="43" t="s">
        <v>4</v>
      </c>
      <c r="C435" s="15">
        <v>38</v>
      </c>
      <c r="D435" s="244">
        <v>7</v>
      </c>
      <c r="E435" s="244">
        <v>2</v>
      </c>
      <c r="F435" s="244">
        <v>1</v>
      </c>
      <c r="G435" s="244">
        <v>3</v>
      </c>
      <c r="H435" s="244">
        <v>0</v>
      </c>
      <c r="I435" s="244">
        <v>3</v>
      </c>
      <c r="J435" s="244">
        <v>3</v>
      </c>
      <c r="K435" s="244">
        <v>3</v>
      </c>
      <c r="L435" s="244">
        <v>4</v>
      </c>
      <c r="M435" s="244">
        <v>4</v>
      </c>
      <c r="N435" s="244">
        <v>3</v>
      </c>
      <c r="O435" s="254">
        <v>5</v>
      </c>
    </row>
    <row r="436" spans="1:15">
      <c r="A436" s="240" t="s">
        <v>68</v>
      </c>
      <c r="B436" s="47" t="s">
        <v>5</v>
      </c>
      <c r="C436" s="12">
        <v>0.0459428415990957</v>
      </c>
      <c r="D436" s="241">
        <v>0.0736842105263158</v>
      </c>
      <c r="E436" s="241">
        <v>0.0425531914893617</v>
      </c>
      <c r="F436" s="241">
        <v>0.0256410256410256</v>
      </c>
      <c r="G436" s="241">
        <v>0.0535714285714286</v>
      </c>
      <c r="H436" s="241">
        <v>0</v>
      </c>
      <c r="I436" s="241">
        <v>0.0714285714285714</v>
      </c>
      <c r="J436" s="241">
        <v>0.0405405405405405</v>
      </c>
      <c r="K436" s="241">
        <v>0.0405405405405405</v>
      </c>
      <c r="L436" s="241">
        <v>0.051948051948052</v>
      </c>
      <c r="M436" s="241">
        <v>0.0606060606060606</v>
      </c>
      <c r="N436" s="241">
        <v>0.037037037037037</v>
      </c>
      <c r="O436" s="252">
        <v>0.0537634408602151</v>
      </c>
    </row>
    <row r="437" spans="1:15">
      <c r="A437" s="242" t="s">
        <v>68</v>
      </c>
      <c r="B437" s="43" t="s">
        <v>6</v>
      </c>
      <c r="C437" s="15">
        <v>18</v>
      </c>
      <c r="D437" s="244">
        <v>4</v>
      </c>
      <c r="E437" s="244">
        <v>1</v>
      </c>
      <c r="F437" s="244">
        <v>1</v>
      </c>
      <c r="G437" s="244">
        <v>2</v>
      </c>
      <c r="H437" s="244">
        <v>0</v>
      </c>
      <c r="I437" s="244">
        <v>2</v>
      </c>
      <c r="J437" s="244">
        <v>0</v>
      </c>
      <c r="K437" s="244">
        <v>2</v>
      </c>
      <c r="L437" s="244">
        <v>0</v>
      </c>
      <c r="M437" s="244">
        <v>3</v>
      </c>
      <c r="N437" s="244">
        <v>1</v>
      </c>
      <c r="O437" s="254">
        <v>2</v>
      </c>
    </row>
    <row r="438" ht="14.25" spans="1:15">
      <c r="A438" s="245" t="s">
        <v>68</v>
      </c>
      <c r="B438" s="52" t="s">
        <v>64</v>
      </c>
      <c r="C438" s="19">
        <v>0.473684210526316</v>
      </c>
      <c r="D438" s="246">
        <v>0.571428571428571</v>
      </c>
      <c r="E438" s="246">
        <v>0.5</v>
      </c>
      <c r="F438" s="246">
        <v>1</v>
      </c>
      <c r="G438" s="246">
        <v>0.666666666666667</v>
      </c>
      <c r="H438" s="246">
        <v>0</v>
      </c>
      <c r="I438" s="246">
        <v>0.666666666666667</v>
      </c>
      <c r="J438" s="246">
        <v>0</v>
      </c>
      <c r="K438" s="246">
        <v>0.666666666666667</v>
      </c>
      <c r="L438" s="246">
        <v>0</v>
      </c>
      <c r="M438" s="246">
        <v>0.75</v>
      </c>
      <c r="N438" s="246">
        <v>0.333333333333333</v>
      </c>
      <c r="O438" s="255">
        <v>0.4</v>
      </c>
    </row>
    <row r="439" spans="1:15">
      <c r="A439" s="240" t="s">
        <v>69</v>
      </c>
      <c r="B439" s="47" t="s">
        <v>55</v>
      </c>
      <c r="C439" s="12">
        <v>1.56726123535334</v>
      </c>
      <c r="D439" s="241">
        <v>1.68421052631579</v>
      </c>
      <c r="E439" s="241">
        <v>1.23076923076923</v>
      </c>
      <c r="F439" s="241">
        <v>1.35714285714286</v>
      </c>
      <c r="G439" s="241">
        <v>2.11111111111111</v>
      </c>
      <c r="H439" s="241">
        <v>1.25</v>
      </c>
      <c r="I439" s="241">
        <v>1.88461538461538</v>
      </c>
      <c r="J439" s="241">
        <v>1.71428571428571</v>
      </c>
      <c r="K439" s="241">
        <v>1.6</v>
      </c>
      <c r="L439" s="241">
        <v>1.875</v>
      </c>
      <c r="M439" s="241">
        <v>1.66666666666667</v>
      </c>
      <c r="N439" s="241">
        <v>1.16666666666667</v>
      </c>
      <c r="O439" s="252">
        <v>1.26666666666667</v>
      </c>
    </row>
    <row r="440" spans="1:15">
      <c r="A440" s="242" t="s">
        <v>69</v>
      </c>
      <c r="B440" s="43" t="s">
        <v>57</v>
      </c>
      <c r="C440" s="15">
        <v>390</v>
      </c>
      <c r="D440" s="243">
        <v>38</v>
      </c>
      <c r="E440" s="243">
        <v>26</v>
      </c>
      <c r="F440" s="243">
        <v>14</v>
      </c>
      <c r="G440" s="243">
        <v>9</v>
      </c>
      <c r="H440" s="243">
        <v>28</v>
      </c>
      <c r="I440" s="243">
        <v>26</v>
      </c>
      <c r="J440" s="243">
        <v>35</v>
      </c>
      <c r="K440" s="243">
        <v>40</v>
      </c>
      <c r="L440" s="243">
        <v>24</v>
      </c>
      <c r="M440" s="243">
        <v>30</v>
      </c>
      <c r="N440" s="243">
        <v>60</v>
      </c>
      <c r="O440" s="253">
        <v>60</v>
      </c>
    </row>
    <row r="441" spans="1:15">
      <c r="A441" s="240" t="s">
        <v>69</v>
      </c>
      <c r="B441" s="47" t="s">
        <v>59</v>
      </c>
      <c r="C441" s="15">
        <v>583</v>
      </c>
      <c r="D441" s="243">
        <v>64</v>
      </c>
      <c r="E441" s="243">
        <v>32</v>
      </c>
      <c r="F441" s="243">
        <v>19</v>
      </c>
      <c r="G441" s="243">
        <v>19</v>
      </c>
      <c r="H441" s="243">
        <v>35</v>
      </c>
      <c r="I441" s="243">
        <v>49</v>
      </c>
      <c r="J441" s="243">
        <v>60</v>
      </c>
      <c r="K441" s="243">
        <v>64</v>
      </c>
      <c r="L441" s="243">
        <v>45</v>
      </c>
      <c r="M441" s="243">
        <v>50</v>
      </c>
      <c r="N441" s="243">
        <v>70</v>
      </c>
      <c r="O441" s="253">
        <v>76</v>
      </c>
    </row>
    <row r="442" spans="1:15">
      <c r="A442" s="242" t="s">
        <v>69</v>
      </c>
      <c r="B442" s="43" t="s">
        <v>4</v>
      </c>
      <c r="C442" s="15">
        <v>22</v>
      </c>
      <c r="D442" s="244">
        <v>0</v>
      </c>
      <c r="E442" s="244">
        <v>2</v>
      </c>
      <c r="F442" s="244">
        <v>0</v>
      </c>
      <c r="G442" s="244">
        <v>0</v>
      </c>
      <c r="H442" s="244">
        <v>0</v>
      </c>
      <c r="I442" s="244">
        <v>2</v>
      </c>
      <c r="J442" s="244">
        <v>3</v>
      </c>
      <c r="K442" s="244">
        <v>4</v>
      </c>
      <c r="L442" s="244">
        <v>3</v>
      </c>
      <c r="M442" s="244">
        <v>2</v>
      </c>
      <c r="N442" s="244">
        <v>5</v>
      </c>
      <c r="O442" s="254">
        <v>1</v>
      </c>
    </row>
    <row r="443" spans="1:15">
      <c r="A443" s="240" t="s">
        <v>69</v>
      </c>
      <c r="B443" s="47" t="s">
        <v>5</v>
      </c>
      <c r="C443" s="12">
        <v>0.033922454946891</v>
      </c>
      <c r="D443" s="241">
        <v>0</v>
      </c>
      <c r="E443" s="241">
        <v>0.0625</v>
      </c>
      <c r="F443" s="241">
        <v>0</v>
      </c>
      <c r="G443" s="241">
        <v>0</v>
      </c>
      <c r="H443" s="241">
        <v>0</v>
      </c>
      <c r="I443" s="241">
        <v>0.0408163265306122</v>
      </c>
      <c r="J443" s="241">
        <v>0.05</v>
      </c>
      <c r="K443" s="241">
        <v>0.0625</v>
      </c>
      <c r="L443" s="241">
        <v>0.0666666666666667</v>
      </c>
      <c r="M443" s="241">
        <v>0.04</v>
      </c>
      <c r="N443" s="241">
        <v>0.0714285714285714</v>
      </c>
      <c r="O443" s="252">
        <v>0.0131578947368421</v>
      </c>
    </row>
    <row r="444" spans="1:15">
      <c r="A444" s="242" t="s">
        <v>69</v>
      </c>
      <c r="B444" s="43" t="s">
        <v>6</v>
      </c>
      <c r="C444" s="15">
        <v>11</v>
      </c>
      <c r="D444" s="244">
        <v>1</v>
      </c>
      <c r="E444" s="244">
        <v>0</v>
      </c>
      <c r="F444" s="244">
        <v>0</v>
      </c>
      <c r="G444" s="244">
        <v>0</v>
      </c>
      <c r="H444" s="244">
        <v>0</v>
      </c>
      <c r="I444" s="244">
        <v>1</v>
      </c>
      <c r="J444" s="244">
        <v>1</v>
      </c>
      <c r="K444" s="244">
        <v>2</v>
      </c>
      <c r="L444" s="244">
        <v>1</v>
      </c>
      <c r="M444" s="244">
        <v>2</v>
      </c>
      <c r="N444" s="244">
        <v>2</v>
      </c>
      <c r="O444" s="254">
        <v>1</v>
      </c>
    </row>
    <row r="445" ht="14.25" spans="1:15">
      <c r="A445" s="245" t="s">
        <v>69</v>
      </c>
      <c r="B445" s="52" t="s">
        <v>64</v>
      </c>
      <c r="C445" s="19">
        <v>0.5</v>
      </c>
      <c r="D445" s="246">
        <v>0</v>
      </c>
      <c r="E445" s="246">
        <v>0</v>
      </c>
      <c r="F445" s="246">
        <v>0</v>
      </c>
      <c r="G445" s="246">
        <v>0</v>
      </c>
      <c r="H445" s="246">
        <v>0</v>
      </c>
      <c r="I445" s="246">
        <v>0.5</v>
      </c>
      <c r="J445" s="246">
        <v>0.333333333333333</v>
      </c>
      <c r="K445" s="246">
        <v>0.5</v>
      </c>
      <c r="L445" s="246">
        <v>0.333333333333333</v>
      </c>
      <c r="M445" s="246">
        <v>1</v>
      </c>
      <c r="N445" s="246">
        <v>0.4</v>
      </c>
      <c r="O445" s="255">
        <v>1</v>
      </c>
    </row>
    <row r="446" spans="1:15">
      <c r="A446" s="240" t="s">
        <v>70</v>
      </c>
      <c r="B446" s="47" t="s">
        <v>55</v>
      </c>
      <c r="C446" s="12">
        <v>0.951180301180301</v>
      </c>
      <c r="D446" s="241">
        <v>1.05714285714286</v>
      </c>
      <c r="E446" s="241">
        <v>0.916666666666667</v>
      </c>
      <c r="F446" s="241">
        <v>1.2</v>
      </c>
      <c r="G446" s="241">
        <v>0.933333333333333</v>
      </c>
      <c r="H446" s="241">
        <v>0.82051282051282</v>
      </c>
      <c r="I446" s="241">
        <v>1</v>
      </c>
      <c r="J446" s="241">
        <v>0.976190476190476</v>
      </c>
      <c r="K446" s="241">
        <v>1</v>
      </c>
      <c r="L446" s="241">
        <v>0.761904761904762</v>
      </c>
      <c r="M446" s="241">
        <v>0.916666666666667</v>
      </c>
      <c r="N446" s="241">
        <v>0.920634920634921</v>
      </c>
      <c r="O446" s="252">
        <v>0.911111111111111</v>
      </c>
    </row>
    <row r="447" spans="1:15">
      <c r="A447" s="242" t="s">
        <v>70</v>
      </c>
      <c r="B447" s="43" t="s">
        <v>57</v>
      </c>
      <c r="C447" s="15">
        <v>455</v>
      </c>
      <c r="D447" s="243">
        <v>35</v>
      </c>
      <c r="E447" s="243">
        <v>12</v>
      </c>
      <c r="F447" s="243">
        <v>10</v>
      </c>
      <c r="G447" s="243">
        <v>15</v>
      </c>
      <c r="H447" s="243">
        <v>39</v>
      </c>
      <c r="I447" s="243">
        <v>39</v>
      </c>
      <c r="J447" s="243">
        <v>42</v>
      </c>
      <c r="K447" s="243">
        <v>53</v>
      </c>
      <c r="L447" s="243">
        <v>42</v>
      </c>
      <c r="M447" s="243">
        <v>60</v>
      </c>
      <c r="N447" s="243">
        <v>63</v>
      </c>
      <c r="O447" s="253">
        <v>45</v>
      </c>
    </row>
    <row r="448" spans="1:15">
      <c r="A448" s="240" t="s">
        <v>70</v>
      </c>
      <c r="B448" s="47" t="s">
        <v>59</v>
      </c>
      <c r="C448" s="15">
        <v>425</v>
      </c>
      <c r="D448" s="243">
        <v>37</v>
      </c>
      <c r="E448" s="243">
        <v>11</v>
      </c>
      <c r="F448" s="243">
        <v>12</v>
      </c>
      <c r="G448" s="243">
        <v>14</v>
      </c>
      <c r="H448" s="243">
        <v>32</v>
      </c>
      <c r="I448" s="243">
        <v>39</v>
      </c>
      <c r="J448" s="243">
        <v>41</v>
      </c>
      <c r="K448" s="243">
        <v>53</v>
      </c>
      <c r="L448" s="243">
        <v>32</v>
      </c>
      <c r="M448" s="243">
        <v>55</v>
      </c>
      <c r="N448" s="243">
        <v>58</v>
      </c>
      <c r="O448" s="253">
        <v>41</v>
      </c>
    </row>
    <row r="449" spans="1:15">
      <c r="A449" s="242" t="s">
        <v>70</v>
      </c>
      <c r="B449" s="43" t="s">
        <v>4</v>
      </c>
      <c r="C449" s="15">
        <v>5</v>
      </c>
      <c r="D449" s="244">
        <v>0</v>
      </c>
      <c r="E449" s="244">
        <v>0</v>
      </c>
      <c r="F449" s="244">
        <v>0</v>
      </c>
      <c r="G449" s="244">
        <v>0</v>
      </c>
      <c r="H449" s="244">
        <v>1</v>
      </c>
      <c r="I449" s="244">
        <v>0</v>
      </c>
      <c r="J449" s="244">
        <v>0</v>
      </c>
      <c r="K449" s="244">
        <v>1</v>
      </c>
      <c r="L449" s="244">
        <v>0</v>
      </c>
      <c r="M449" s="244">
        <v>1</v>
      </c>
      <c r="N449" s="244">
        <v>0</v>
      </c>
      <c r="O449" s="254">
        <v>2</v>
      </c>
    </row>
    <row r="450" spans="1:15">
      <c r="A450" s="240" t="s">
        <v>70</v>
      </c>
      <c r="B450" s="47" t="s">
        <v>5</v>
      </c>
      <c r="C450" s="12">
        <v>0.00975668587624984</v>
      </c>
      <c r="D450" s="241">
        <v>0</v>
      </c>
      <c r="E450" s="241">
        <v>0</v>
      </c>
      <c r="F450" s="241">
        <v>0</v>
      </c>
      <c r="G450" s="241">
        <v>0</v>
      </c>
      <c r="H450" s="241">
        <v>0.03125</v>
      </c>
      <c r="I450" s="241">
        <v>0</v>
      </c>
      <c r="J450" s="241">
        <v>0</v>
      </c>
      <c r="K450" s="241">
        <v>0.0188679245283019</v>
      </c>
      <c r="L450" s="241">
        <v>0</v>
      </c>
      <c r="M450" s="241">
        <v>0.0181818181818182</v>
      </c>
      <c r="N450" s="241">
        <v>0</v>
      </c>
      <c r="O450" s="252">
        <v>0.0487804878048781</v>
      </c>
    </row>
    <row r="451" spans="1:15">
      <c r="A451" s="242" t="s">
        <v>70</v>
      </c>
      <c r="B451" s="43" t="s">
        <v>6</v>
      </c>
      <c r="C451" s="15">
        <v>0</v>
      </c>
      <c r="D451" s="244">
        <v>0</v>
      </c>
      <c r="E451" s="244">
        <v>0</v>
      </c>
      <c r="F451" s="244">
        <v>0</v>
      </c>
      <c r="G451" s="244">
        <v>0</v>
      </c>
      <c r="H451" s="244">
        <v>0</v>
      </c>
      <c r="I451" s="244">
        <v>0</v>
      </c>
      <c r="J451" s="244">
        <v>0</v>
      </c>
      <c r="K451" s="244">
        <v>0</v>
      </c>
      <c r="L451" s="244">
        <v>0</v>
      </c>
      <c r="M451" s="244">
        <v>0</v>
      </c>
      <c r="N451" s="244">
        <v>0</v>
      </c>
      <c r="O451" s="254">
        <v>0</v>
      </c>
    </row>
    <row r="452" ht="14.25" spans="1:15">
      <c r="A452" s="245" t="s">
        <v>70</v>
      </c>
      <c r="B452" s="52" t="s">
        <v>64</v>
      </c>
      <c r="C452" s="19">
        <v>0</v>
      </c>
      <c r="D452" s="246">
        <v>0</v>
      </c>
      <c r="E452" s="246">
        <v>0</v>
      </c>
      <c r="F452" s="246">
        <v>0</v>
      </c>
      <c r="G452" s="246">
        <v>0</v>
      </c>
      <c r="H452" s="246">
        <v>0</v>
      </c>
      <c r="I452" s="246">
        <v>0</v>
      </c>
      <c r="J452" s="246">
        <v>0</v>
      </c>
      <c r="K452" s="246">
        <v>0</v>
      </c>
      <c r="L452" s="246">
        <v>0</v>
      </c>
      <c r="M452" s="246">
        <v>0</v>
      </c>
      <c r="N452" s="246">
        <v>0</v>
      </c>
      <c r="O452" s="255">
        <v>0</v>
      </c>
    </row>
    <row r="453" spans="1:15">
      <c r="A453" s="240" t="s">
        <v>26</v>
      </c>
      <c r="B453" s="47" t="s">
        <v>55</v>
      </c>
      <c r="C453" s="12">
        <v>0.910024570407489</v>
      </c>
      <c r="D453" s="241">
        <v>1.0746887966805</v>
      </c>
      <c r="E453" s="241">
        <v>0.885135135135135</v>
      </c>
      <c r="F453" s="241">
        <v>0.91304347826087</v>
      </c>
      <c r="G453" s="241">
        <v>0.991379310344828</v>
      </c>
      <c r="H453" s="241">
        <v>1</v>
      </c>
      <c r="I453" s="241">
        <v>0.854166666666667</v>
      </c>
      <c r="J453" s="241">
        <v>0.922651933701657</v>
      </c>
      <c r="K453" s="241">
        <v>0.9004329004329</v>
      </c>
      <c r="L453" s="241">
        <v>0.879581151832461</v>
      </c>
      <c r="M453" s="241">
        <v>0.891509433962264</v>
      </c>
      <c r="N453" s="241">
        <v>0.79182156133829</v>
      </c>
      <c r="O453" s="252">
        <v>0.815884476534296</v>
      </c>
    </row>
    <row r="454" spans="1:15">
      <c r="A454" s="242" t="s">
        <v>26</v>
      </c>
      <c r="B454" s="43" t="s">
        <v>57</v>
      </c>
      <c r="C454" s="15">
        <v>2322</v>
      </c>
      <c r="D454" s="243">
        <v>241</v>
      </c>
      <c r="E454" s="243">
        <v>148</v>
      </c>
      <c r="F454" s="243">
        <v>92</v>
      </c>
      <c r="G454" s="243">
        <v>116</v>
      </c>
      <c r="H454" s="243">
        <v>172</v>
      </c>
      <c r="I454" s="243">
        <v>192</v>
      </c>
      <c r="J454" s="243">
        <v>181</v>
      </c>
      <c r="K454" s="243">
        <v>231</v>
      </c>
      <c r="L454" s="243">
        <v>191</v>
      </c>
      <c r="M454" s="243">
        <v>212</v>
      </c>
      <c r="N454" s="243">
        <v>269</v>
      </c>
      <c r="O454" s="253">
        <v>277</v>
      </c>
    </row>
    <row r="455" spans="1:15">
      <c r="A455" s="240" t="s">
        <v>26</v>
      </c>
      <c r="B455" s="47" t="s">
        <v>59</v>
      </c>
      <c r="C455" s="15">
        <v>2096</v>
      </c>
      <c r="D455" s="243">
        <v>259</v>
      </c>
      <c r="E455" s="243">
        <v>131</v>
      </c>
      <c r="F455" s="243">
        <v>84</v>
      </c>
      <c r="G455" s="243">
        <v>115</v>
      </c>
      <c r="H455" s="243">
        <v>172</v>
      </c>
      <c r="I455" s="243">
        <v>164</v>
      </c>
      <c r="J455" s="243">
        <v>167</v>
      </c>
      <c r="K455" s="243">
        <v>208</v>
      </c>
      <c r="L455" s="243">
        <v>168</v>
      </c>
      <c r="M455" s="243">
        <v>189</v>
      </c>
      <c r="N455" s="243">
        <v>213</v>
      </c>
      <c r="O455" s="253">
        <v>226</v>
      </c>
    </row>
    <row r="456" spans="1:15">
      <c r="A456" s="242" t="s">
        <v>26</v>
      </c>
      <c r="B456" s="43" t="s">
        <v>4</v>
      </c>
      <c r="C456" s="15">
        <v>56</v>
      </c>
      <c r="D456" s="244">
        <v>9</v>
      </c>
      <c r="E456" s="244">
        <v>5</v>
      </c>
      <c r="F456" s="244">
        <v>3</v>
      </c>
      <c r="G456" s="244">
        <v>3</v>
      </c>
      <c r="H456" s="244">
        <v>3</v>
      </c>
      <c r="I456" s="244">
        <v>3</v>
      </c>
      <c r="J456" s="244">
        <v>6</v>
      </c>
      <c r="K456" s="244">
        <v>4</v>
      </c>
      <c r="L456" s="244">
        <v>9</v>
      </c>
      <c r="M456" s="244">
        <v>4</v>
      </c>
      <c r="N456" s="244">
        <v>3</v>
      </c>
      <c r="O456" s="254">
        <v>4</v>
      </c>
    </row>
    <row r="457" spans="1:15">
      <c r="A457" s="240" t="s">
        <v>26</v>
      </c>
      <c r="B457" s="47" t="s">
        <v>5</v>
      </c>
      <c r="C457" s="12">
        <v>0.0276775620061332</v>
      </c>
      <c r="D457" s="241">
        <v>0.0347490347490347</v>
      </c>
      <c r="E457" s="241">
        <v>0.0381679389312977</v>
      </c>
      <c r="F457" s="241">
        <v>0.0357142857142857</v>
      </c>
      <c r="G457" s="241">
        <v>0.0260869565217391</v>
      </c>
      <c r="H457" s="241">
        <v>0.0174418604651163</v>
      </c>
      <c r="I457" s="241">
        <v>0.0182926829268293</v>
      </c>
      <c r="J457" s="241">
        <v>0.0359281437125748</v>
      </c>
      <c r="K457" s="241">
        <v>0.0192307692307692</v>
      </c>
      <c r="L457" s="241">
        <v>0.0535714285714286</v>
      </c>
      <c r="M457" s="241">
        <v>0.0211640211640212</v>
      </c>
      <c r="N457" s="241">
        <v>0.0140845070422535</v>
      </c>
      <c r="O457" s="252">
        <v>0.0176991150442478</v>
      </c>
    </row>
    <row r="458" spans="1:15">
      <c r="A458" s="242" t="s">
        <v>26</v>
      </c>
      <c r="B458" s="43" t="s">
        <v>6</v>
      </c>
      <c r="C458" s="15">
        <v>22</v>
      </c>
      <c r="D458" s="244">
        <v>4</v>
      </c>
      <c r="E458" s="244">
        <v>1</v>
      </c>
      <c r="F458" s="244">
        <v>1</v>
      </c>
      <c r="G458" s="244">
        <v>1</v>
      </c>
      <c r="H458" s="244">
        <v>2</v>
      </c>
      <c r="I458" s="244">
        <v>3</v>
      </c>
      <c r="J458" s="244">
        <v>2</v>
      </c>
      <c r="K458" s="244">
        <v>0</v>
      </c>
      <c r="L458" s="244">
        <v>2</v>
      </c>
      <c r="M458" s="244">
        <v>4</v>
      </c>
      <c r="N458" s="244">
        <v>1</v>
      </c>
      <c r="O458" s="254">
        <v>1</v>
      </c>
    </row>
    <row r="459" ht="14.25" spans="1:15">
      <c r="A459" s="245" t="s">
        <v>26</v>
      </c>
      <c r="B459" s="52" t="s">
        <v>64</v>
      </c>
      <c r="C459" s="19">
        <v>0.392857142857143</v>
      </c>
      <c r="D459" s="250">
        <v>4</v>
      </c>
      <c r="E459" s="250">
        <v>1</v>
      </c>
      <c r="F459" s="250">
        <v>1</v>
      </c>
      <c r="G459" s="250">
        <v>1</v>
      </c>
      <c r="H459" s="250">
        <v>2</v>
      </c>
      <c r="I459" s="250">
        <v>3</v>
      </c>
      <c r="J459" s="250">
        <v>2</v>
      </c>
      <c r="K459" s="250">
        <v>0</v>
      </c>
      <c r="L459" s="250">
        <v>2</v>
      </c>
      <c r="M459" s="250">
        <v>4</v>
      </c>
      <c r="N459" s="250">
        <v>1</v>
      </c>
      <c r="O459" s="257">
        <v>1</v>
      </c>
    </row>
    <row r="460" ht="14.25" spans="1:15">
      <c r="A460" s="237">
        <v>45026</v>
      </c>
      <c r="B460" s="237"/>
      <c r="C460" s="237"/>
      <c r="D460" s="237"/>
      <c r="E460" s="237"/>
      <c r="F460" s="237"/>
      <c r="G460" s="237"/>
      <c r="H460" s="237"/>
      <c r="I460" s="237"/>
      <c r="J460" s="237"/>
      <c r="K460" s="237"/>
      <c r="L460" s="237"/>
      <c r="M460" s="237"/>
      <c r="N460" s="237"/>
      <c r="O460" s="237"/>
    </row>
    <row r="461" spans="1:15">
      <c r="A461" s="56" t="s">
        <v>1</v>
      </c>
      <c r="B461" s="238"/>
      <c r="C461" s="8" t="s">
        <v>42</v>
      </c>
      <c r="D461" s="239" t="s">
        <v>43</v>
      </c>
      <c r="E461" s="239" t="s">
        <v>44</v>
      </c>
      <c r="F461" s="239" t="s">
        <v>45</v>
      </c>
      <c r="G461" s="239" t="s">
        <v>46</v>
      </c>
      <c r="H461" s="239" t="s">
        <v>47</v>
      </c>
      <c r="I461" s="239" t="s">
        <v>48</v>
      </c>
      <c r="J461" s="239" t="s">
        <v>49</v>
      </c>
      <c r="K461" s="239" t="s">
        <v>50</v>
      </c>
      <c r="L461" s="239" t="s">
        <v>51</v>
      </c>
      <c r="M461" s="239" t="s">
        <v>52</v>
      </c>
      <c r="N461" s="239" t="s">
        <v>53</v>
      </c>
      <c r="O461" s="251" t="s">
        <v>54</v>
      </c>
    </row>
    <row r="462" spans="1:15">
      <c r="A462" s="240" t="s">
        <v>22</v>
      </c>
      <c r="B462" s="47" t="s">
        <v>55</v>
      </c>
      <c r="C462" s="12">
        <v>0.382662807413842</v>
      </c>
      <c r="D462" s="241">
        <v>0.215922798552473</v>
      </c>
      <c r="E462" s="241">
        <v>0.15036231884058</v>
      </c>
      <c r="F462" s="241">
        <v>0.185606060606061</v>
      </c>
      <c r="G462" s="241">
        <v>0.320675105485232</v>
      </c>
      <c r="H462" s="241">
        <v>0.358778625954198</v>
      </c>
      <c r="I462" s="241">
        <v>0.45724907063197</v>
      </c>
      <c r="J462" s="241">
        <v>0.5390625</v>
      </c>
      <c r="K462" s="241">
        <v>0.528455284552846</v>
      </c>
      <c r="L462" s="241">
        <v>0.527896995708155</v>
      </c>
      <c r="M462" s="241">
        <v>0.5</v>
      </c>
      <c r="N462" s="241">
        <v>0.404761904761905</v>
      </c>
      <c r="O462" s="252">
        <v>0.403183023872679</v>
      </c>
    </row>
    <row r="463" spans="1:15">
      <c r="A463" s="242" t="s">
        <v>22</v>
      </c>
      <c r="B463" s="43" t="s">
        <v>57</v>
      </c>
      <c r="C463" s="15">
        <v>4093</v>
      </c>
      <c r="D463" s="243">
        <v>829</v>
      </c>
      <c r="E463" s="243">
        <v>552</v>
      </c>
      <c r="F463" s="243">
        <v>264</v>
      </c>
      <c r="G463" s="243">
        <v>237</v>
      </c>
      <c r="H463" s="243">
        <v>262</v>
      </c>
      <c r="I463" s="243">
        <v>269</v>
      </c>
      <c r="J463" s="243">
        <v>256</v>
      </c>
      <c r="K463" s="243">
        <v>246</v>
      </c>
      <c r="L463" s="243">
        <v>233</v>
      </c>
      <c r="M463" s="243">
        <v>232</v>
      </c>
      <c r="N463" s="243">
        <v>336</v>
      </c>
      <c r="O463" s="253">
        <v>377</v>
      </c>
    </row>
    <row r="464" spans="1:15">
      <c r="A464" s="240" t="s">
        <v>22</v>
      </c>
      <c r="B464" s="47" t="s">
        <v>59</v>
      </c>
      <c r="C464" s="15">
        <v>1399</v>
      </c>
      <c r="D464" s="243">
        <v>179</v>
      </c>
      <c r="E464" s="243">
        <v>83</v>
      </c>
      <c r="F464" s="243">
        <v>49</v>
      </c>
      <c r="G464" s="243">
        <v>76</v>
      </c>
      <c r="H464" s="243">
        <v>94</v>
      </c>
      <c r="I464" s="243">
        <v>123</v>
      </c>
      <c r="J464" s="243">
        <v>138</v>
      </c>
      <c r="K464" s="243">
        <v>130</v>
      </c>
      <c r="L464" s="243">
        <v>123</v>
      </c>
      <c r="M464" s="243">
        <v>116</v>
      </c>
      <c r="N464" s="243">
        <v>136</v>
      </c>
      <c r="O464" s="253">
        <v>152</v>
      </c>
    </row>
    <row r="465" spans="1:15">
      <c r="A465" s="242" t="s">
        <v>22</v>
      </c>
      <c r="B465" s="43" t="s">
        <v>4</v>
      </c>
      <c r="C465" s="15">
        <v>99</v>
      </c>
      <c r="D465" s="244">
        <v>16</v>
      </c>
      <c r="E465" s="244">
        <v>3</v>
      </c>
      <c r="F465" s="244">
        <v>5</v>
      </c>
      <c r="G465" s="244">
        <v>3</v>
      </c>
      <c r="H465" s="244">
        <v>3</v>
      </c>
      <c r="I465" s="244">
        <v>13</v>
      </c>
      <c r="J465" s="244">
        <v>7</v>
      </c>
      <c r="K465" s="244">
        <v>11</v>
      </c>
      <c r="L465" s="244">
        <v>8</v>
      </c>
      <c r="M465" s="244">
        <v>11</v>
      </c>
      <c r="N465" s="244">
        <v>4</v>
      </c>
      <c r="O465" s="254">
        <v>15</v>
      </c>
    </row>
    <row r="466" spans="1:15">
      <c r="A466" s="240" t="s">
        <v>22</v>
      </c>
      <c r="B466" s="47" t="s">
        <v>5</v>
      </c>
      <c r="C466" s="12">
        <v>0.0689962281983649</v>
      </c>
      <c r="D466" s="241">
        <v>0.0893854748603352</v>
      </c>
      <c r="E466" s="241">
        <v>0.036144578313253</v>
      </c>
      <c r="F466" s="241">
        <v>0.102040816326531</v>
      </c>
      <c r="G466" s="241">
        <v>0.0394736842105263</v>
      </c>
      <c r="H466" s="241">
        <v>0.0319148936170213</v>
      </c>
      <c r="I466" s="241">
        <v>0.105691056910569</v>
      </c>
      <c r="J466" s="241">
        <v>0.0507246376811594</v>
      </c>
      <c r="K466" s="241">
        <v>0.0846153846153846</v>
      </c>
      <c r="L466" s="241">
        <v>0.0650406504065041</v>
      </c>
      <c r="M466" s="241">
        <v>0.0948275862068965</v>
      </c>
      <c r="N466" s="241">
        <v>0.0294117647058824</v>
      </c>
      <c r="O466" s="252">
        <v>0.0986842105263158</v>
      </c>
    </row>
    <row r="467" spans="1:15">
      <c r="A467" s="242" t="s">
        <v>22</v>
      </c>
      <c r="B467" s="43" t="s">
        <v>6</v>
      </c>
      <c r="C467" s="15">
        <v>33</v>
      </c>
      <c r="D467" s="244">
        <v>5</v>
      </c>
      <c r="E467" s="244">
        <v>1</v>
      </c>
      <c r="F467" s="244">
        <v>1</v>
      </c>
      <c r="G467" s="244">
        <v>1</v>
      </c>
      <c r="H467" s="244">
        <v>1</v>
      </c>
      <c r="I467" s="244">
        <v>3</v>
      </c>
      <c r="J467" s="244">
        <v>0</v>
      </c>
      <c r="K467" s="244">
        <v>4</v>
      </c>
      <c r="L467" s="244">
        <v>2</v>
      </c>
      <c r="M467" s="244">
        <v>8</v>
      </c>
      <c r="N467" s="244">
        <v>1</v>
      </c>
      <c r="O467" s="254">
        <v>6</v>
      </c>
    </row>
    <row r="468" ht="14.25" spans="1:15">
      <c r="A468" s="245" t="s">
        <v>22</v>
      </c>
      <c r="B468" s="52" t="s">
        <v>64</v>
      </c>
      <c r="C468" s="19">
        <v>0.333333333333333</v>
      </c>
      <c r="D468" s="246">
        <v>0.3125</v>
      </c>
      <c r="E468" s="246">
        <v>0.333333333333333</v>
      </c>
      <c r="F468" s="246">
        <v>0.2</v>
      </c>
      <c r="G468" s="246">
        <v>0.333333333333333</v>
      </c>
      <c r="H468" s="246">
        <v>0.333333333333333</v>
      </c>
      <c r="I468" s="246">
        <v>0.230769230769231</v>
      </c>
      <c r="J468" s="246">
        <v>0</v>
      </c>
      <c r="K468" s="246">
        <v>0.363636363636364</v>
      </c>
      <c r="L468" s="246">
        <v>0.25</v>
      </c>
      <c r="M468" s="246">
        <v>0.727272727272727</v>
      </c>
      <c r="N468" s="246">
        <v>0.25</v>
      </c>
      <c r="O468" s="255">
        <v>0.4</v>
      </c>
    </row>
    <row r="469" spans="1:15">
      <c r="A469" s="247" t="s">
        <v>66</v>
      </c>
      <c r="B469" s="248" t="s">
        <v>55</v>
      </c>
      <c r="C469" s="12">
        <v>0.158977587366238</v>
      </c>
      <c r="D469" s="249">
        <v>0.236434108527132</v>
      </c>
      <c r="E469" s="249">
        <v>0.0963855421686747</v>
      </c>
      <c r="F469" s="249">
        <v>0.0789473684210526</v>
      </c>
      <c r="G469" s="249">
        <v>0.0995024875621891</v>
      </c>
      <c r="H469" s="249">
        <v>0.133333333333333</v>
      </c>
      <c r="I469" s="249">
        <v>0.142857142857143</v>
      </c>
      <c r="J469" s="249">
        <v>0.122905027932961</v>
      </c>
      <c r="K469" s="249">
        <v>0.179640718562874</v>
      </c>
      <c r="L469" s="249">
        <v>0.202127659574468</v>
      </c>
      <c r="M469" s="249">
        <v>0.22289156626506</v>
      </c>
      <c r="N469" s="249">
        <v>0.235</v>
      </c>
      <c r="O469" s="256">
        <v>0.157706093189964</v>
      </c>
    </row>
    <row r="470" spans="1:15">
      <c r="A470" s="242" t="s">
        <v>66</v>
      </c>
      <c r="B470" s="43" t="s">
        <v>57</v>
      </c>
      <c r="C470" s="15">
        <v>2469</v>
      </c>
      <c r="D470" s="243">
        <v>258</v>
      </c>
      <c r="E470" s="243">
        <v>249</v>
      </c>
      <c r="F470" s="243">
        <v>190</v>
      </c>
      <c r="G470" s="243">
        <v>201</v>
      </c>
      <c r="H470" s="243">
        <v>210</v>
      </c>
      <c r="I470" s="243">
        <v>182</v>
      </c>
      <c r="J470" s="243">
        <v>179</v>
      </c>
      <c r="K470" s="243">
        <v>167</v>
      </c>
      <c r="L470" s="243">
        <v>188</v>
      </c>
      <c r="M470" s="243">
        <v>166</v>
      </c>
      <c r="N470" s="243">
        <v>200</v>
      </c>
      <c r="O470" s="253">
        <v>279</v>
      </c>
    </row>
    <row r="471" spans="1:15">
      <c r="A471" s="240" t="s">
        <v>66</v>
      </c>
      <c r="B471" s="47" t="s">
        <v>59</v>
      </c>
      <c r="C471" s="15">
        <v>392</v>
      </c>
      <c r="D471" s="243">
        <v>61</v>
      </c>
      <c r="E471" s="243">
        <v>24</v>
      </c>
      <c r="F471" s="243">
        <v>15</v>
      </c>
      <c r="G471" s="243">
        <v>20</v>
      </c>
      <c r="H471" s="243">
        <v>28</v>
      </c>
      <c r="I471" s="243">
        <v>26</v>
      </c>
      <c r="J471" s="243">
        <v>22</v>
      </c>
      <c r="K471" s="243">
        <v>30</v>
      </c>
      <c r="L471" s="243">
        <v>38</v>
      </c>
      <c r="M471" s="243">
        <v>37</v>
      </c>
      <c r="N471" s="243">
        <v>47</v>
      </c>
      <c r="O471" s="253">
        <v>44</v>
      </c>
    </row>
    <row r="472" spans="1:15">
      <c r="A472" s="242" t="s">
        <v>66</v>
      </c>
      <c r="B472" s="43" t="s">
        <v>4</v>
      </c>
      <c r="C472" s="15">
        <v>34</v>
      </c>
      <c r="D472" s="244">
        <v>3</v>
      </c>
      <c r="E472" s="244">
        <v>3</v>
      </c>
      <c r="F472" s="244">
        <v>3</v>
      </c>
      <c r="G472" s="244">
        <v>0</v>
      </c>
      <c r="H472" s="244">
        <v>2</v>
      </c>
      <c r="I472" s="244">
        <v>3</v>
      </c>
      <c r="J472" s="244">
        <v>0</v>
      </c>
      <c r="K472" s="244">
        <v>7</v>
      </c>
      <c r="L472" s="244">
        <v>2</v>
      </c>
      <c r="M472" s="244">
        <v>4</v>
      </c>
      <c r="N472" s="244">
        <v>2</v>
      </c>
      <c r="O472" s="254">
        <v>5</v>
      </c>
    </row>
    <row r="473" spans="1:15">
      <c r="A473" s="240" t="s">
        <v>66</v>
      </c>
      <c r="B473" s="47" t="s">
        <v>5</v>
      </c>
      <c r="C473" s="12">
        <v>0.0926046741830479</v>
      </c>
      <c r="D473" s="241">
        <v>0.0491803278688525</v>
      </c>
      <c r="E473" s="241">
        <v>0.125</v>
      </c>
      <c r="F473" s="241">
        <v>0.2</v>
      </c>
      <c r="G473" s="241">
        <v>0</v>
      </c>
      <c r="H473" s="241">
        <v>0.0714285714285714</v>
      </c>
      <c r="I473" s="241">
        <v>0.115384615384615</v>
      </c>
      <c r="J473" s="241">
        <v>0</v>
      </c>
      <c r="K473" s="241">
        <v>0.233333333333333</v>
      </c>
      <c r="L473" s="241">
        <v>0.0526315789473684</v>
      </c>
      <c r="M473" s="241">
        <v>0.108108108108108</v>
      </c>
      <c r="N473" s="241">
        <v>0.0425531914893617</v>
      </c>
      <c r="O473" s="252">
        <v>0.113636363636364</v>
      </c>
    </row>
    <row r="474" spans="1:15">
      <c r="A474" s="242" t="s">
        <v>66</v>
      </c>
      <c r="B474" s="43" t="s">
        <v>6</v>
      </c>
      <c r="C474" s="15">
        <v>13</v>
      </c>
      <c r="D474" s="244">
        <v>2</v>
      </c>
      <c r="E474" s="244">
        <v>1</v>
      </c>
      <c r="F474" s="244">
        <v>2</v>
      </c>
      <c r="G474" s="244">
        <v>0</v>
      </c>
      <c r="H474" s="244">
        <v>1</v>
      </c>
      <c r="I474" s="244">
        <v>0</v>
      </c>
      <c r="J474" s="244">
        <v>1</v>
      </c>
      <c r="K474" s="244">
        <v>1</v>
      </c>
      <c r="L474" s="244">
        <v>0</v>
      </c>
      <c r="M474" s="244">
        <v>2</v>
      </c>
      <c r="N474" s="244">
        <v>1</v>
      </c>
      <c r="O474" s="254">
        <v>2</v>
      </c>
    </row>
    <row r="475" ht="14.25" spans="1:15">
      <c r="A475" s="245" t="s">
        <v>66</v>
      </c>
      <c r="B475" s="52" t="s">
        <v>64</v>
      </c>
      <c r="C475" s="19">
        <v>0.382352941176471</v>
      </c>
      <c r="D475" s="246">
        <v>0.666666666666667</v>
      </c>
      <c r="E475" s="246">
        <v>0.333333333333333</v>
      </c>
      <c r="F475" s="246">
        <v>0.666666666666667</v>
      </c>
      <c r="G475" s="246">
        <v>0</v>
      </c>
      <c r="H475" s="246">
        <v>0.5</v>
      </c>
      <c r="I475" s="246">
        <v>0</v>
      </c>
      <c r="J475" s="246">
        <v>0</v>
      </c>
      <c r="K475" s="246">
        <v>0.142857142857143</v>
      </c>
      <c r="L475" s="246">
        <v>0</v>
      </c>
      <c r="M475" s="246">
        <v>0.5</v>
      </c>
      <c r="N475" s="246">
        <v>0.5</v>
      </c>
      <c r="O475" s="255">
        <v>0.4</v>
      </c>
    </row>
    <row r="476" spans="1:15">
      <c r="A476" s="240" t="s">
        <v>67</v>
      </c>
      <c r="B476" s="47" t="s">
        <v>55</v>
      </c>
      <c r="C476" s="12">
        <v>0.734210571799697</v>
      </c>
      <c r="D476" s="241">
        <v>0.970588235294118</v>
      </c>
      <c r="E476" s="241">
        <v>0.852941176470588</v>
      </c>
      <c r="F476" s="241">
        <v>0.846153846153846</v>
      </c>
      <c r="G476" s="241">
        <v>0.692307692307692</v>
      </c>
      <c r="H476" s="241">
        <v>0.48936170212766</v>
      </c>
      <c r="I476" s="241">
        <v>0.846153846153846</v>
      </c>
      <c r="J476" s="241">
        <v>0.755102040816326</v>
      </c>
      <c r="K476" s="241">
        <v>0.688888888888889</v>
      </c>
      <c r="L476" s="241">
        <v>0.637931034482759</v>
      </c>
      <c r="M476" s="241">
        <v>0.775862068965517</v>
      </c>
      <c r="N476" s="241">
        <v>0.676923076923077</v>
      </c>
      <c r="O476" s="252">
        <v>0.578313253012048</v>
      </c>
    </row>
    <row r="477" spans="1:15">
      <c r="A477" s="242" t="s">
        <v>67</v>
      </c>
      <c r="B477" s="43" t="s">
        <v>57</v>
      </c>
      <c r="C477" s="15">
        <v>572</v>
      </c>
      <c r="D477" s="243">
        <v>68</v>
      </c>
      <c r="E477" s="243">
        <v>34</v>
      </c>
      <c r="F477" s="243">
        <v>13</v>
      </c>
      <c r="G477" s="243">
        <v>13</v>
      </c>
      <c r="H477" s="243">
        <v>47</v>
      </c>
      <c r="I477" s="243">
        <v>39</v>
      </c>
      <c r="J477" s="243">
        <v>49</v>
      </c>
      <c r="K477" s="243">
        <v>45</v>
      </c>
      <c r="L477" s="243">
        <v>58</v>
      </c>
      <c r="M477" s="243">
        <v>58</v>
      </c>
      <c r="N477" s="243">
        <v>65</v>
      </c>
      <c r="O477" s="253">
        <v>83</v>
      </c>
    </row>
    <row r="478" spans="1:15">
      <c r="A478" s="240" t="s">
        <v>67</v>
      </c>
      <c r="B478" s="47" t="s">
        <v>59</v>
      </c>
      <c r="C478" s="15">
        <v>413</v>
      </c>
      <c r="D478" s="243">
        <v>66</v>
      </c>
      <c r="E478" s="243">
        <v>29</v>
      </c>
      <c r="F478" s="243">
        <v>11</v>
      </c>
      <c r="G478" s="243">
        <v>9</v>
      </c>
      <c r="H478" s="243">
        <v>23</v>
      </c>
      <c r="I478" s="243">
        <v>33</v>
      </c>
      <c r="J478" s="243">
        <v>37</v>
      </c>
      <c r="K478" s="243">
        <v>31</v>
      </c>
      <c r="L478" s="243">
        <v>37</v>
      </c>
      <c r="M478" s="243">
        <v>45</v>
      </c>
      <c r="N478" s="243">
        <v>44</v>
      </c>
      <c r="O478" s="253">
        <v>48</v>
      </c>
    </row>
    <row r="479" spans="1:15">
      <c r="A479" s="242" t="s">
        <v>67</v>
      </c>
      <c r="B479" s="43" t="s">
        <v>4</v>
      </c>
      <c r="C479" s="15">
        <v>23</v>
      </c>
      <c r="D479" s="244">
        <v>4</v>
      </c>
      <c r="E479" s="244">
        <v>2</v>
      </c>
      <c r="F479" s="244">
        <v>0</v>
      </c>
      <c r="G479" s="244">
        <v>0</v>
      </c>
      <c r="H479" s="244">
        <v>1</v>
      </c>
      <c r="I479" s="244">
        <v>1</v>
      </c>
      <c r="J479" s="244">
        <v>2</v>
      </c>
      <c r="K479" s="244">
        <v>2</v>
      </c>
      <c r="L479" s="244">
        <v>2</v>
      </c>
      <c r="M479" s="244">
        <v>3</v>
      </c>
      <c r="N479" s="244">
        <v>3</v>
      </c>
      <c r="O479" s="254">
        <v>3</v>
      </c>
    </row>
    <row r="480" spans="1:15">
      <c r="A480" s="240" t="s">
        <v>67</v>
      </c>
      <c r="B480" s="47" t="s">
        <v>5</v>
      </c>
      <c r="C480" s="12">
        <v>0.0477771325840739</v>
      </c>
      <c r="D480" s="241">
        <v>0.0606060606060606</v>
      </c>
      <c r="E480" s="241">
        <v>0.0689655172413793</v>
      </c>
      <c r="F480" s="241">
        <v>0</v>
      </c>
      <c r="G480" s="241">
        <v>0</v>
      </c>
      <c r="H480" s="241">
        <v>0.0434782608695652</v>
      </c>
      <c r="I480" s="241">
        <v>0.0303030303030303</v>
      </c>
      <c r="J480" s="241">
        <v>0.0540540540540541</v>
      </c>
      <c r="K480" s="241">
        <v>0.0645161290322581</v>
      </c>
      <c r="L480" s="241">
        <v>0.0540540540540541</v>
      </c>
      <c r="M480" s="241">
        <v>0.0666666666666667</v>
      </c>
      <c r="N480" s="241">
        <v>0.0681818181818182</v>
      </c>
      <c r="O480" s="252">
        <v>0.0625</v>
      </c>
    </row>
    <row r="481" spans="1:15">
      <c r="A481" s="242" t="s">
        <v>67</v>
      </c>
      <c r="B481" s="43" t="s">
        <v>6</v>
      </c>
      <c r="C481" s="15">
        <v>11</v>
      </c>
      <c r="D481" s="244">
        <v>3</v>
      </c>
      <c r="E481" s="244">
        <v>0</v>
      </c>
      <c r="F481" s="244">
        <v>0</v>
      </c>
      <c r="G481" s="244">
        <v>0</v>
      </c>
      <c r="H481" s="244">
        <v>0</v>
      </c>
      <c r="I481" s="244">
        <v>0</v>
      </c>
      <c r="J481" s="244">
        <v>0</v>
      </c>
      <c r="K481" s="244">
        <v>2</v>
      </c>
      <c r="L481" s="244">
        <v>1</v>
      </c>
      <c r="M481" s="244">
        <v>1</v>
      </c>
      <c r="N481" s="244">
        <v>3</v>
      </c>
      <c r="O481" s="254">
        <v>1</v>
      </c>
    </row>
    <row r="482" ht="14.25" spans="1:15">
      <c r="A482" s="245" t="s">
        <v>67</v>
      </c>
      <c r="B482" s="52" t="s">
        <v>64</v>
      </c>
      <c r="C482" s="19">
        <v>0.478260869565217</v>
      </c>
      <c r="D482" s="246">
        <v>0.75</v>
      </c>
      <c r="E482" s="246">
        <v>0</v>
      </c>
      <c r="F482" s="246">
        <v>0</v>
      </c>
      <c r="G482" s="246">
        <v>0</v>
      </c>
      <c r="H482" s="246">
        <v>0</v>
      </c>
      <c r="I482" s="246">
        <v>0</v>
      </c>
      <c r="J482" s="246">
        <v>0</v>
      </c>
      <c r="K482" s="246">
        <v>1</v>
      </c>
      <c r="L482" s="246">
        <v>0.5</v>
      </c>
      <c r="M482" s="246">
        <v>0.333333333333333</v>
      </c>
      <c r="N482" s="246">
        <v>1</v>
      </c>
      <c r="O482" s="255">
        <v>0.333333333333333</v>
      </c>
    </row>
    <row r="483" spans="1:15">
      <c r="A483" s="240" t="s">
        <v>68</v>
      </c>
      <c r="B483" s="47" t="s">
        <v>55</v>
      </c>
      <c r="C483" s="12">
        <v>0.206845427029132</v>
      </c>
      <c r="D483" s="241">
        <v>0.213740458015267</v>
      </c>
      <c r="E483" s="241">
        <v>0.160493827160494</v>
      </c>
      <c r="F483" s="241">
        <v>0.317307692307692</v>
      </c>
      <c r="G483" s="241">
        <v>0.130044843049327</v>
      </c>
      <c r="H483" s="241">
        <v>0.245454545454545</v>
      </c>
      <c r="I483" s="241">
        <v>0.264705882352941</v>
      </c>
      <c r="J483" s="241">
        <v>0.198630136986301</v>
      </c>
      <c r="K483" s="241">
        <v>0.24</v>
      </c>
      <c r="L483" s="241">
        <v>0.228699551569507</v>
      </c>
      <c r="M483" s="241">
        <v>0.183783783783784</v>
      </c>
      <c r="N483" s="241">
        <v>0.158</v>
      </c>
      <c r="O483" s="252">
        <v>0.141284403669725</v>
      </c>
    </row>
    <row r="484" spans="1:15">
      <c r="A484" s="242" t="s">
        <v>68</v>
      </c>
      <c r="B484" s="43" t="s">
        <v>57</v>
      </c>
      <c r="C484" s="15">
        <v>3520</v>
      </c>
      <c r="D484" s="243">
        <v>393</v>
      </c>
      <c r="E484" s="243">
        <v>162</v>
      </c>
      <c r="F484" s="243">
        <v>104</v>
      </c>
      <c r="G484" s="243">
        <v>223</v>
      </c>
      <c r="H484" s="243">
        <v>220</v>
      </c>
      <c r="I484" s="243">
        <v>238</v>
      </c>
      <c r="J484" s="243">
        <v>292</v>
      </c>
      <c r="K484" s="243">
        <v>250</v>
      </c>
      <c r="L484" s="243">
        <v>223</v>
      </c>
      <c r="M484" s="243">
        <v>370</v>
      </c>
      <c r="N484" s="243">
        <v>500</v>
      </c>
      <c r="O484" s="253">
        <v>545</v>
      </c>
    </row>
    <row r="485" spans="1:15">
      <c r="A485" s="240" t="s">
        <v>68</v>
      </c>
      <c r="B485" s="47" t="s">
        <v>59</v>
      </c>
      <c r="C485" s="15">
        <v>682</v>
      </c>
      <c r="D485" s="243">
        <v>84</v>
      </c>
      <c r="E485" s="243">
        <v>26</v>
      </c>
      <c r="F485" s="243">
        <v>33</v>
      </c>
      <c r="G485" s="243">
        <v>29</v>
      </c>
      <c r="H485" s="243">
        <v>54</v>
      </c>
      <c r="I485" s="243">
        <v>63</v>
      </c>
      <c r="J485" s="243">
        <v>58</v>
      </c>
      <c r="K485" s="243">
        <v>60</v>
      </c>
      <c r="L485" s="243">
        <v>51</v>
      </c>
      <c r="M485" s="243">
        <v>68</v>
      </c>
      <c r="N485" s="243">
        <v>79</v>
      </c>
      <c r="O485" s="253">
        <v>77</v>
      </c>
    </row>
    <row r="486" spans="1:15">
      <c r="A486" s="242" t="s">
        <v>68</v>
      </c>
      <c r="B486" s="43" t="s">
        <v>4</v>
      </c>
      <c r="C486" s="15">
        <v>27</v>
      </c>
      <c r="D486" s="244">
        <v>3</v>
      </c>
      <c r="E486" s="244">
        <v>5</v>
      </c>
      <c r="F486" s="244">
        <v>0</v>
      </c>
      <c r="G486" s="244">
        <v>1</v>
      </c>
      <c r="H486" s="244">
        <v>2</v>
      </c>
      <c r="I486" s="244">
        <v>2</v>
      </c>
      <c r="J486" s="244">
        <v>1</v>
      </c>
      <c r="K486" s="244">
        <v>4</v>
      </c>
      <c r="L486" s="244">
        <v>1</v>
      </c>
      <c r="M486" s="244">
        <v>3</v>
      </c>
      <c r="N486" s="244">
        <v>1</v>
      </c>
      <c r="O486" s="254">
        <v>4</v>
      </c>
    </row>
    <row r="487" spans="1:15">
      <c r="A487" s="240" t="s">
        <v>68</v>
      </c>
      <c r="B487" s="47" t="s">
        <v>5</v>
      </c>
      <c r="C487" s="12">
        <v>0.0452939684495816</v>
      </c>
      <c r="D487" s="241">
        <v>0.0357142857142857</v>
      </c>
      <c r="E487" s="241">
        <v>0.192307692307692</v>
      </c>
      <c r="F487" s="241">
        <v>0</v>
      </c>
      <c r="G487" s="241">
        <v>0.0344827586206897</v>
      </c>
      <c r="H487" s="241">
        <v>0.037037037037037</v>
      </c>
      <c r="I487" s="241">
        <v>0.0317460317460317</v>
      </c>
      <c r="J487" s="241">
        <v>0.0172413793103448</v>
      </c>
      <c r="K487" s="241">
        <v>0.0666666666666667</v>
      </c>
      <c r="L487" s="241">
        <v>0.0196078431372549</v>
      </c>
      <c r="M487" s="241">
        <v>0.0441176470588235</v>
      </c>
      <c r="N487" s="241">
        <v>0.0126582278481013</v>
      </c>
      <c r="O487" s="252">
        <v>0.051948051948052</v>
      </c>
    </row>
    <row r="488" spans="1:15">
      <c r="A488" s="242" t="s">
        <v>68</v>
      </c>
      <c r="B488" s="43" t="s">
        <v>6</v>
      </c>
      <c r="C488" s="15">
        <v>10</v>
      </c>
      <c r="D488" s="244">
        <v>1</v>
      </c>
      <c r="E488" s="244">
        <v>2</v>
      </c>
      <c r="F488" s="244">
        <v>0</v>
      </c>
      <c r="G488" s="244">
        <v>0</v>
      </c>
      <c r="H488" s="244">
        <v>0</v>
      </c>
      <c r="I488" s="244">
        <v>0</v>
      </c>
      <c r="J488" s="244">
        <v>0</v>
      </c>
      <c r="K488" s="244">
        <v>1</v>
      </c>
      <c r="L488" s="244">
        <v>3</v>
      </c>
      <c r="M488" s="244">
        <v>1</v>
      </c>
      <c r="N488" s="244">
        <v>1</v>
      </c>
      <c r="O488" s="254">
        <v>1</v>
      </c>
    </row>
    <row r="489" ht="14.25" spans="1:15">
      <c r="A489" s="245" t="s">
        <v>68</v>
      </c>
      <c r="B489" s="52" t="s">
        <v>64</v>
      </c>
      <c r="C489" s="19">
        <v>0.37037037037037</v>
      </c>
      <c r="D489" s="246">
        <v>0.333333333333333</v>
      </c>
      <c r="E489" s="246">
        <v>0.4</v>
      </c>
      <c r="F489" s="246">
        <v>0</v>
      </c>
      <c r="G489" s="246">
        <v>0</v>
      </c>
      <c r="H489" s="246">
        <v>0</v>
      </c>
      <c r="I489" s="246">
        <v>0</v>
      </c>
      <c r="J489" s="246">
        <v>0</v>
      </c>
      <c r="K489" s="246">
        <v>0.25</v>
      </c>
      <c r="L489" s="246">
        <v>3</v>
      </c>
      <c r="M489" s="246">
        <v>0.333333333333333</v>
      </c>
      <c r="N489" s="246">
        <v>1</v>
      </c>
      <c r="O489" s="255">
        <v>0.25</v>
      </c>
    </row>
    <row r="490" spans="1:15">
      <c r="A490" s="240" t="s">
        <v>69</v>
      </c>
      <c r="B490" s="47" t="s">
        <v>55</v>
      </c>
      <c r="C490" s="12">
        <v>1.56368904619255</v>
      </c>
      <c r="D490" s="241">
        <v>1.72727272727273</v>
      </c>
      <c r="E490" s="241">
        <v>1.43478260869565</v>
      </c>
      <c r="F490" s="241">
        <v>1.53846153846154</v>
      </c>
      <c r="G490" s="241">
        <v>1.55</v>
      </c>
      <c r="H490" s="241">
        <v>1.42857142857143</v>
      </c>
      <c r="I490" s="241">
        <v>2.04545454545455</v>
      </c>
      <c r="J490" s="241">
        <v>1.86486486486486</v>
      </c>
      <c r="K490" s="241">
        <v>1.7741935483871</v>
      </c>
      <c r="L490" s="241">
        <v>1.27027027027027</v>
      </c>
      <c r="M490" s="241">
        <v>1.74193548387097</v>
      </c>
      <c r="N490" s="241">
        <v>1.28846153846154</v>
      </c>
      <c r="O490" s="252">
        <v>1.1</v>
      </c>
    </row>
    <row r="491" spans="1:15">
      <c r="A491" s="242" t="s">
        <v>69</v>
      </c>
      <c r="B491" s="43" t="s">
        <v>57</v>
      </c>
      <c r="C491" s="15">
        <v>398</v>
      </c>
      <c r="D491" s="243">
        <v>44</v>
      </c>
      <c r="E491" s="243">
        <v>23</v>
      </c>
      <c r="F491" s="243">
        <v>13</v>
      </c>
      <c r="G491" s="243">
        <v>20</v>
      </c>
      <c r="H491" s="243">
        <v>28</v>
      </c>
      <c r="I491" s="243">
        <v>22</v>
      </c>
      <c r="J491" s="243">
        <v>37</v>
      </c>
      <c r="K491" s="243">
        <v>31</v>
      </c>
      <c r="L491" s="243">
        <v>37</v>
      </c>
      <c r="M491" s="243">
        <v>31</v>
      </c>
      <c r="N491" s="243">
        <v>52</v>
      </c>
      <c r="O491" s="253">
        <v>60</v>
      </c>
    </row>
    <row r="492" spans="1:15">
      <c r="A492" s="240" t="s">
        <v>69</v>
      </c>
      <c r="B492" s="47" t="s">
        <v>59</v>
      </c>
      <c r="C492" s="15">
        <v>603</v>
      </c>
      <c r="D492" s="243">
        <v>76</v>
      </c>
      <c r="E492" s="243">
        <v>33</v>
      </c>
      <c r="F492" s="243">
        <v>20</v>
      </c>
      <c r="G492" s="243">
        <v>31</v>
      </c>
      <c r="H492" s="243">
        <v>40</v>
      </c>
      <c r="I492" s="243">
        <v>45</v>
      </c>
      <c r="J492" s="243">
        <v>69</v>
      </c>
      <c r="K492" s="243">
        <v>55</v>
      </c>
      <c r="L492" s="243">
        <v>47</v>
      </c>
      <c r="M492" s="243">
        <v>54</v>
      </c>
      <c r="N492" s="243">
        <v>67</v>
      </c>
      <c r="O492" s="253">
        <v>66</v>
      </c>
    </row>
    <row r="493" spans="1:15">
      <c r="A493" s="242" t="s">
        <v>69</v>
      </c>
      <c r="B493" s="43" t="s">
        <v>4</v>
      </c>
      <c r="C493" s="15">
        <v>23</v>
      </c>
      <c r="D493" s="244">
        <v>0</v>
      </c>
      <c r="E493" s="244">
        <v>1</v>
      </c>
      <c r="F493" s="244">
        <v>1</v>
      </c>
      <c r="G493" s="244">
        <v>0</v>
      </c>
      <c r="H493" s="244">
        <v>0</v>
      </c>
      <c r="I493" s="244">
        <v>3</v>
      </c>
      <c r="J493" s="244">
        <v>2</v>
      </c>
      <c r="K493" s="244">
        <v>4</v>
      </c>
      <c r="L493" s="244">
        <v>4</v>
      </c>
      <c r="M493" s="244">
        <v>3</v>
      </c>
      <c r="N493" s="244">
        <v>3</v>
      </c>
      <c r="O493" s="254">
        <v>2</v>
      </c>
    </row>
    <row r="494" spans="1:15">
      <c r="A494" s="240" t="s">
        <v>69</v>
      </c>
      <c r="B494" s="47" t="s">
        <v>5</v>
      </c>
      <c r="C494" s="12">
        <v>0.0387019637653034</v>
      </c>
      <c r="D494" s="241">
        <v>0</v>
      </c>
      <c r="E494" s="241">
        <v>0.0303030303030303</v>
      </c>
      <c r="F494" s="241">
        <v>0.05</v>
      </c>
      <c r="G494" s="241">
        <v>0</v>
      </c>
      <c r="H494" s="241">
        <v>0</v>
      </c>
      <c r="I494" s="241">
        <v>0.0666666666666667</v>
      </c>
      <c r="J494" s="241">
        <v>0.0289855072463768</v>
      </c>
      <c r="K494" s="241">
        <v>0.0727272727272727</v>
      </c>
      <c r="L494" s="241">
        <v>0.0851063829787234</v>
      </c>
      <c r="M494" s="241">
        <v>0.0555555555555556</v>
      </c>
      <c r="N494" s="241">
        <v>0.0447761194029851</v>
      </c>
      <c r="O494" s="252">
        <v>0.0303030303030303</v>
      </c>
    </row>
    <row r="495" spans="1:15">
      <c r="A495" s="242" t="s">
        <v>69</v>
      </c>
      <c r="B495" s="43" t="s">
        <v>6</v>
      </c>
      <c r="C495" s="15">
        <v>11</v>
      </c>
      <c r="D495" s="244">
        <v>0</v>
      </c>
      <c r="E495" s="244">
        <v>1</v>
      </c>
      <c r="F495" s="244">
        <v>0</v>
      </c>
      <c r="G495" s="244">
        <v>0</v>
      </c>
      <c r="H495" s="244">
        <v>1</v>
      </c>
      <c r="I495" s="244">
        <v>1</v>
      </c>
      <c r="J495" s="244">
        <v>0</v>
      </c>
      <c r="K495" s="244">
        <v>2</v>
      </c>
      <c r="L495" s="244">
        <v>2</v>
      </c>
      <c r="M495" s="244">
        <v>1</v>
      </c>
      <c r="N495" s="244">
        <v>1</v>
      </c>
      <c r="O495" s="254">
        <v>2</v>
      </c>
    </row>
    <row r="496" ht="14.25" spans="1:15">
      <c r="A496" s="245" t="s">
        <v>69</v>
      </c>
      <c r="B496" s="52" t="s">
        <v>64</v>
      </c>
      <c r="C496" s="19">
        <v>0.478260869565217</v>
      </c>
      <c r="D496" s="246">
        <v>0</v>
      </c>
      <c r="E496" s="246">
        <v>1</v>
      </c>
      <c r="F496" s="246">
        <v>0</v>
      </c>
      <c r="G496" s="246">
        <v>0</v>
      </c>
      <c r="H496" s="246">
        <v>0</v>
      </c>
      <c r="I496" s="246">
        <v>0.333333333333333</v>
      </c>
      <c r="J496" s="246">
        <v>0</v>
      </c>
      <c r="K496" s="246">
        <v>0.5</v>
      </c>
      <c r="L496" s="246">
        <v>0.5</v>
      </c>
      <c r="M496" s="246">
        <v>0.333333333333333</v>
      </c>
      <c r="N496" s="246">
        <v>0.333333333333333</v>
      </c>
      <c r="O496" s="255">
        <v>1</v>
      </c>
    </row>
    <row r="497" spans="1:15">
      <c r="A497" s="240" t="s">
        <v>70</v>
      </c>
      <c r="B497" s="47" t="s">
        <v>55</v>
      </c>
      <c r="C497" s="12">
        <v>0.927741797067455</v>
      </c>
      <c r="D497" s="241">
        <v>1.125</v>
      </c>
      <c r="E497" s="241">
        <v>0.523809523809524</v>
      </c>
      <c r="F497" s="241">
        <v>1</v>
      </c>
      <c r="G497" s="241">
        <v>1.05</v>
      </c>
      <c r="H497" s="241">
        <v>0.888888888888889</v>
      </c>
      <c r="I497" s="241">
        <v>1.07692307692308</v>
      </c>
      <c r="J497" s="241">
        <v>1.03571428571429</v>
      </c>
      <c r="K497" s="241">
        <v>0.888888888888889</v>
      </c>
      <c r="L497" s="241">
        <v>1</v>
      </c>
      <c r="M497" s="241">
        <v>0.859649122807018</v>
      </c>
      <c r="N497" s="241">
        <f>N499/N498</f>
        <v>0.90625</v>
      </c>
      <c r="O497" s="241">
        <f>O499/O498</f>
        <v>0.777777777777778</v>
      </c>
    </row>
    <row r="498" spans="1:15">
      <c r="A498" s="242" t="s">
        <v>70</v>
      </c>
      <c r="B498" s="43" t="s">
        <v>57</v>
      </c>
      <c r="C498" s="15">
        <v>506</v>
      </c>
      <c r="D498" s="243">
        <v>32</v>
      </c>
      <c r="E498" s="243">
        <v>21</v>
      </c>
      <c r="F498" s="243">
        <v>12</v>
      </c>
      <c r="G498" s="243">
        <v>20</v>
      </c>
      <c r="H498" s="243">
        <v>81</v>
      </c>
      <c r="I498" s="243">
        <v>26</v>
      </c>
      <c r="J498" s="243">
        <v>28</v>
      </c>
      <c r="K498" s="243">
        <v>45</v>
      </c>
      <c r="L498" s="243">
        <v>66</v>
      </c>
      <c r="M498" s="243">
        <v>57</v>
      </c>
      <c r="N498" s="243">
        <v>64</v>
      </c>
      <c r="O498" s="253">
        <v>54</v>
      </c>
    </row>
    <row r="499" spans="1:15">
      <c r="A499" s="240" t="s">
        <v>70</v>
      </c>
      <c r="B499" s="47" t="s">
        <v>59</v>
      </c>
      <c r="C499" s="15">
        <v>464</v>
      </c>
      <c r="D499" s="243">
        <v>36</v>
      </c>
      <c r="E499" s="243">
        <v>11</v>
      </c>
      <c r="F499" s="243">
        <v>12</v>
      </c>
      <c r="G499" s="243">
        <v>21</v>
      </c>
      <c r="H499" s="243">
        <v>72</v>
      </c>
      <c r="I499" s="243">
        <v>28</v>
      </c>
      <c r="J499" s="243">
        <v>29</v>
      </c>
      <c r="K499" s="243">
        <v>40</v>
      </c>
      <c r="L499" s="243">
        <v>66</v>
      </c>
      <c r="M499" s="243">
        <v>49</v>
      </c>
      <c r="N499" s="243">
        <v>58</v>
      </c>
      <c r="O499" s="253">
        <v>42</v>
      </c>
    </row>
    <row r="500" spans="1:15">
      <c r="A500" s="242" t="s">
        <v>70</v>
      </c>
      <c r="B500" s="43" t="s">
        <v>4</v>
      </c>
      <c r="C500" s="15">
        <v>6</v>
      </c>
      <c r="D500" s="244">
        <v>0</v>
      </c>
      <c r="E500" s="244">
        <v>0</v>
      </c>
      <c r="F500" s="244">
        <v>0</v>
      </c>
      <c r="G500" s="244">
        <v>0</v>
      </c>
      <c r="H500" s="244">
        <v>0</v>
      </c>
      <c r="I500" s="244">
        <v>0</v>
      </c>
      <c r="J500" s="244">
        <v>0</v>
      </c>
      <c r="K500" s="244">
        <v>1</v>
      </c>
      <c r="L500" s="244">
        <v>1</v>
      </c>
      <c r="M500" s="244">
        <v>3</v>
      </c>
      <c r="N500" s="244">
        <v>0</v>
      </c>
      <c r="O500" s="254">
        <v>1</v>
      </c>
    </row>
    <row r="501" spans="1:15">
      <c r="A501" s="240" t="s">
        <v>70</v>
      </c>
      <c r="B501" s="47" t="s">
        <v>5</v>
      </c>
      <c r="C501" s="12">
        <v>0.0104321273964131</v>
      </c>
      <c r="D501" s="241">
        <v>0</v>
      </c>
      <c r="E501" s="241">
        <v>0</v>
      </c>
      <c r="F501" s="241">
        <v>0</v>
      </c>
      <c r="G501" s="241">
        <v>0</v>
      </c>
      <c r="H501" s="241">
        <v>0</v>
      </c>
      <c r="I501" s="241">
        <v>0</v>
      </c>
      <c r="J501" s="241">
        <v>0</v>
      </c>
      <c r="K501" s="241">
        <v>0.025</v>
      </c>
      <c r="L501" s="241">
        <v>0.0151515151515152</v>
      </c>
      <c r="M501" s="241">
        <v>0.0612244897959184</v>
      </c>
      <c r="N501" s="241">
        <v>0</v>
      </c>
      <c r="O501" s="252">
        <v>0.0238095238095238</v>
      </c>
    </row>
    <row r="502" spans="1:15">
      <c r="A502" s="242" t="s">
        <v>70</v>
      </c>
      <c r="B502" s="43" t="s">
        <v>6</v>
      </c>
      <c r="C502" s="15">
        <v>3</v>
      </c>
      <c r="D502" s="244">
        <v>2</v>
      </c>
      <c r="E502" s="244">
        <v>0</v>
      </c>
      <c r="F502" s="244">
        <v>0</v>
      </c>
      <c r="G502" s="244">
        <v>0</v>
      </c>
      <c r="H502" s="244">
        <v>0</v>
      </c>
      <c r="I502" s="244">
        <v>0</v>
      </c>
      <c r="J502" s="244">
        <v>0</v>
      </c>
      <c r="K502" s="244">
        <v>0</v>
      </c>
      <c r="L502" s="244">
        <v>0</v>
      </c>
      <c r="M502" s="244">
        <v>1</v>
      </c>
      <c r="N502" s="244">
        <v>0</v>
      </c>
      <c r="O502" s="254">
        <v>0</v>
      </c>
    </row>
    <row r="503" ht="14.25" spans="1:15">
      <c r="A503" s="245" t="s">
        <v>70</v>
      </c>
      <c r="B503" s="52" t="s">
        <v>64</v>
      </c>
      <c r="C503" s="19">
        <v>0.5</v>
      </c>
      <c r="D503" s="246">
        <v>0</v>
      </c>
      <c r="E503" s="246">
        <v>0</v>
      </c>
      <c r="F503" s="246">
        <v>0</v>
      </c>
      <c r="G503" s="246">
        <v>0</v>
      </c>
      <c r="H503" s="246">
        <v>0</v>
      </c>
      <c r="I503" s="246">
        <v>0</v>
      </c>
      <c r="J503" s="246">
        <v>0</v>
      </c>
      <c r="K503" s="246">
        <v>0</v>
      </c>
      <c r="L503" s="246">
        <v>0</v>
      </c>
      <c r="M503" s="246">
        <v>0.333333333333333</v>
      </c>
      <c r="N503" s="246">
        <v>0</v>
      </c>
      <c r="O503" s="255">
        <v>0</v>
      </c>
    </row>
    <row r="504" spans="1:15">
      <c r="A504" s="240" t="s">
        <v>26</v>
      </c>
      <c r="B504" s="47" t="s">
        <v>55</v>
      </c>
      <c r="C504" s="12">
        <f>C506/C505</f>
        <v>0.899706457925636</v>
      </c>
      <c r="D504" s="241">
        <v>1.01923076923077</v>
      </c>
      <c r="E504" s="241">
        <v>0.848214285714286</v>
      </c>
      <c r="F504" s="241">
        <v>0.875</v>
      </c>
      <c r="G504" s="241">
        <v>1.05555555555556</v>
      </c>
      <c r="H504" s="241">
        <v>0.924812030075188</v>
      </c>
      <c r="I504" s="241">
        <v>0.89375</v>
      </c>
      <c r="J504" s="241">
        <v>0.882352941176471</v>
      </c>
      <c r="K504" s="241">
        <v>0.764150943396226</v>
      </c>
      <c r="L504" s="241">
        <v>0.91005291005291</v>
      </c>
      <c r="M504" s="241">
        <v>0.950549450549451</v>
      </c>
      <c r="N504" s="241">
        <v>0.965217391304348</v>
      </c>
      <c r="O504" s="252">
        <v>0.783898305084746</v>
      </c>
    </row>
    <row r="505" spans="1:15">
      <c r="A505" s="242" t="s">
        <v>26</v>
      </c>
      <c r="B505" s="43" t="s">
        <v>57</v>
      </c>
      <c r="C505" s="15">
        <v>2044</v>
      </c>
      <c r="D505" s="243">
        <v>208</v>
      </c>
      <c r="E505" s="243">
        <v>112</v>
      </c>
      <c r="F505" s="243">
        <v>88</v>
      </c>
      <c r="G505" s="243">
        <v>90</v>
      </c>
      <c r="H505" s="243">
        <v>133</v>
      </c>
      <c r="I505" s="243">
        <v>160</v>
      </c>
      <c r="J505" s="243">
        <v>204</v>
      </c>
      <c r="K505" s="243">
        <v>212</v>
      </c>
      <c r="L505" s="243">
        <v>189</v>
      </c>
      <c r="M505" s="243">
        <v>182</v>
      </c>
      <c r="N505" s="243">
        <v>230</v>
      </c>
      <c r="O505" s="253">
        <v>236</v>
      </c>
    </row>
    <row r="506" spans="1:15">
      <c r="A506" s="240" t="s">
        <v>26</v>
      </c>
      <c r="B506" s="47" t="s">
        <v>59</v>
      </c>
      <c r="C506" s="15">
        <v>1839</v>
      </c>
      <c r="D506" s="243">
        <v>212</v>
      </c>
      <c r="E506" s="243">
        <v>95</v>
      </c>
      <c r="F506" s="243">
        <v>77</v>
      </c>
      <c r="G506" s="243">
        <v>95</v>
      </c>
      <c r="H506" s="243">
        <v>123</v>
      </c>
      <c r="I506" s="243">
        <v>143</v>
      </c>
      <c r="J506" s="243">
        <v>180</v>
      </c>
      <c r="K506" s="243">
        <v>162</v>
      </c>
      <c r="L506" s="243">
        <v>172</v>
      </c>
      <c r="M506" s="243">
        <v>173</v>
      </c>
      <c r="N506" s="243">
        <v>222</v>
      </c>
      <c r="O506" s="253">
        <v>185</v>
      </c>
    </row>
    <row r="507" spans="1:15">
      <c r="A507" s="242" t="s">
        <v>26</v>
      </c>
      <c r="B507" s="43" t="s">
        <v>4</v>
      </c>
      <c r="C507" s="15">
        <v>45</v>
      </c>
      <c r="D507" s="244">
        <v>3</v>
      </c>
      <c r="E507" s="244">
        <v>2</v>
      </c>
      <c r="F507" s="244">
        <v>2</v>
      </c>
      <c r="G507" s="244">
        <v>0</v>
      </c>
      <c r="H507" s="244">
        <v>1</v>
      </c>
      <c r="I507" s="244">
        <v>8</v>
      </c>
      <c r="J507" s="244">
        <v>3</v>
      </c>
      <c r="K507" s="244">
        <v>8</v>
      </c>
      <c r="L507" s="244">
        <v>3</v>
      </c>
      <c r="M507" s="244">
        <v>3</v>
      </c>
      <c r="N507" s="244">
        <v>7</v>
      </c>
      <c r="O507" s="254">
        <v>5</v>
      </c>
    </row>
    <row r="508" spans="1:15">
      <c r="A508" s="240" t="s">
        <v>26</v>
      </c>
      <c r="B508" s="47" t="s">
        <v>5</v>
      </c>
      <c r="C508" s="12">
        <v>0.0237202150330184</v>
      </c>
      <c r="D508" s="241">
        <v>0.0141509433962264</v>
      </c>
      <c r="E508" s="241">
        <v>0.0210526315789474</v>
      </c>
      <c r="F508" s="241">
        <v>0.025974025974026</v>
      </c>
      <c r="G508" s="241">
        <v>0</v>
      </c>
      <c r="H508" s="241">
        <v>0.00813008130081301</v>
      </c>
      <c r="I508" s="241">
        <v>0.0559440559440559</v>
      </c>
      <c r="J508" s="241">
        <v>0.0166666666666667</v>
      </c>
      <c r="K508" s="241">
        <v>0.0493827160493827</v>
      </c>
      <c r="L508" s="241">
        <v>0.0174418604651163</v>
      </c>
      <c r="M508" s="241">
        <v>0.0173410404624277</v>
      </c>
      <c r="N508" s="241">
        <v>0.0315315315315315</v>
      </c>
      <c r="O508" s="252">
        <v>0.027027027027027</v>
      </c>
    </row>
    <row r="509" spans="1:15">
      <c r="A509" s="242" t="s">
        <v>26</v>
      </c>
      <c r="B509" s="43" t="s">
        <v>6</v>
      </c>
      <c r="C509" s="15">
        <v>18</v>
      </c>
      <c r="D509" s="244">
        <v>1</v>
      </c>
      <c r="E509" s="244">
        <v>0</v>
      </c>
      <c r="F509" s="244">
        <v>1</v>
      </c>
      <c r="G509" s="244">
        <v>0</v>
      </c>
      <c r="H509" s="244">
        <v>1</v>
      </c>
      <c r="I509" s="244">
        <v>3</v>
      </c>
      <c r="J509" s="244">
        <v>0</v>
      </c>
      <c r="K509" s="244">
        <v>4</v>
      </c>
      <c r="L509" s="244">
        <v>3</v>
      </c>
      <c r="M509" s="244">
        <v>2</v>
      </c>
      <c r="N509" s="244">
        <v>1</v>
      </c>
      <c r="O509" s="254">
        <v>2</v>
      </c>
    </row>
    <row r="510" ht="14.25" spans="1:15">
      <c r="A510" s="245" t="s">
        <v>26</v>
      </c>
      <c r="B510" s="52" t="s">
        <v>64</v>
      </c>
      <c r="C510" s="19">
        <v>0.4</v>
      </c>
      <c r="D510" s="250">
        <v>1</v>
      </c>
      <c r="E510" s="250">
        <v>0</v>
      </c>
      <c r="F510" s="250">
        <v>1</v>
      </c>
      <c r="G510" s="250">
        <v>0</v>
      </c>
      <c r="H510" s="250">
        <v>1</v>
      </c>
      <c r="I510" s="250">
        <v>3</v>
      </c>
      <c r="J510" s="250">
        <v>0</v>
      </c>
      <c r="K510" s="250">
        <v>4</v>
      </c>
      <c r="L510" s="250">
        <v>3</v>
      </c>
      <c r="M510" s="250">
        <v>2</v>
      </c>
      <c r="N510" s="250">
        <v>1</v>
      </c>
      <c r="O510" s="257">
        <v>2</v>
      </c>
    </row>
    <row r="511" ht="14.25" spans="1:15">
      <c r="A511" s="237">
        <v>45027</v>
      </c>
      <c r="B511" s="237"/>
      <c r="C511" s="237"/>
      <c r="D511" s="237"/>
      <c r="E511" s="237"/>
      <c r="F511" s="237"/>
      <c r="G511" s="237"/>
      <c r="H511" s="237"/>
      <c r="I511" s="237"/>
      <c r="J511" s="237"/>
      <c r="K511" s="237"/>
      <c r="L511" s="237"/>
      <c r="M511" s="237"/>
      <c r="N511" s="237"/>
      <c r="O511" s="237"/>
    </row>
    <row r="512" spans="1:15">
      <c r="A512" s="56" t="s">
        <v>1</v>
      </c>
      <c r="B512" s="238"/>
      <c r="C512" s="8" t="s">
        <v>42</v>
      </c>
      <c r="D512" s="239" t="s">
        <v>43</v>
      </c>
      <c r="E512" s="239" t="s">
        <v>44</v>
      </c>
      <c r="F512" s="239" t="s">
        <v>45</v>
      </c>
      <c r="G512" s="239" t="s">
        <v>46</v>
      </c>
      <c r="H512" s="239" t="s">
        <v>47</v>
      </c>
      <c r="I512" s="239" t="s">
        <v>48</v>
      </c>
      <c r="J512" s="239" t="s">
        <v>49</v>
      </c>
      <c r="K512" s="239" t="s">
        <v>50</v>
      </c>
      <c r="L512" s="239" t="s">
        <v>51</v>
      </c>
      <c r="M512" s="239" t="s">
        <v>52</v>
      </c>
      <c r="N512" s="239" t="s">
        <v>53</v>
      </c>
      <c r="O512" s="251" t="s">
        <v>54</v>
      </c>
    </row>
    <row r="513" spans="1:15">
      <c r="A513" s="240" t="s">
        <v>22</v>
      </c>
      <c r="B513" s="47" t="s">
        <v>55</v>
      </c>
      <c r="C513" s="12">
        <v>0.410536664947334</v>
      </c>
      <c r="D513" s="241">
        <v>0.250960307298335</v>
      </c>
      <c r="E513" s="241">
        <v>0.148897058823529</v>
      </c>
      <c r="F513" s="241">
        <v>0.190625</v>
      </c>
      <c r="G513" s="241">
        <v>0.3690036900369</v>
      </c>
      <c r="H513" s="241">
        <v>0.453125</v>
      </c>
      <c r="I513" s="241">
        <v>0.436619718309859</v>
      </c>
      <c r="J513" s="241">
        <v>0.528455284552846</v>
      </c>
      <c r="K513" s="241">
        <v>0.483516483516484</v>
      </c>
      <c r="L513" s="241">
        <v>0.569852941176471</v>
      </c>
      <c r="M513" s="241">
        <v>0.540856031128405</v>
      </c>
      <c r="N513" s="241">
        <v>0.525222551928783</v>
      </c>
      <c r="O513" s="252">
        <v>0.429305912596401</v>
      </c>
    </row>
    <row r="514" spans="1:15">
      <c r="A514" s="242" t="s">
        <v>22</v>
      </c>
      <c r="B514" s="43" t="s">
        <v>57</v>
      </c>
      <c r="C514" s="15">
        <v>4230</v>
      </c>
      <c r="D514" s="243">
        <v>781</v>
      </c>
      <c r="E514" s="243">
        <v>544</v>
      </c>
      <c r="F514" s="243">
        <v>320</v>
      </c>
      <c r="G514" s="243">
        <v>271</v>
      </c>
      <c r="H514" s="243">
        <v>256</v>
      </c>
      <c r="I514" s="243">
        <v>284</v>
      </c>
      <c r="J514" s="243">
        <v>246</v>
      </c>
      <c r="K514" s="243">
        <v>273</v>
      </c>
      <c r="L514" s="243">
        <v>272</v>
      </c>
      <c r="M514" s="243">
        <v>257</v>
      </c>
      <c r="N514" s="243">
        <v>337</v>
      </c>
      <c r="O514" s="253">
        <v>389</v>
      </c>
    </row>
    <row r="515" spans="1:15">
      <c r="A515" s="240" t="s">
        <v>22</v>
      </c>
      <c r="B515" s="47" t="s">
        <v>59</v>
      </c>
      <c r="C515" s="15">
        <v>1578</v>
      </c>
      <c r="D515" s="243">
        <v>196</v>
      </c>
      <c r="E515" s="243">
        <v>81</v>
      </c>
      <c r="F515" s="243">
        <v>61</v>
      </c>
      <c r="G515" s="243">
        <v>100</v>
      </c>
      <c r="H515" s="243">
        <v>116</v>
      </c>
      <c r="I515" s="243">
        <v>124</v>
      </c>
      <c r="J515" s="243">
        <v>130</v>
      </c>
      <c r="K515" s="243">
        <v>132</v>
      </c>
      <c r="L515" s="243">
        <v>155</v>
      </c>
      <c r="M515" s="243">
        <v>139</v>
      </c>
      <c r="N515" s="243">
        <v>177</v>
      </c>
      <c r="O515" s="253">
        <v>167</v>
      </c>
    </row>
    <row r="516" spans="1:15">
      <c r="A516" s="242" t="s">
        <v>22</v>
      </c>
      <c r="B516" s="43" t="s">
        <v>4</v>
      </c>
      <c r="C516" s="15">
        <v>97</v>
      </c>
      <c r="D516" s="244">
        <v>8</v>
      </c>
      <c r="E516" s="244">
        <v>6</v>
      </c>
      <c r="F516" s="244">
        <v>8</v>
      </c>
      <c r="G516" s="244">
        <v>1</v>
      </c>
      <c r="H516" s="244">
        <v>8</v>
      </c>
      <c r="I516" s="244">
        <v>4</v>
      </c>
      <c r="J516" s="244">
        <v>8</v>
      </c>
      <c r="K516" s="244">
        <v>5</v>
      </c>
      <c r="L516" s="244">
        <v>15</v>
      </c>
      <c r="M516" s="244">
        <v>9</v>
      </c>
      <c r="N516" s="244">
        <v>10</v>
      </c>
      <c r="O516" s="254">
        <v>15</v>
      </c>
    </row>
    <row r="517" spans="1:15">
      <c r="A517" s="240" t="s">
        <v>22</v>
      </c>
      <c r="B517" s="47" t="s">
        <v>5</v>
      </c>
      <c r="C517" s="12">
        <v>0.0637098918477472</v>
      </c>
      <c r="D517" s="241">
        <v>0.0408163265306122</v>
      </c>
      <c r="E517" s="241">
        <v>0.0740740740740741</v>
      </c>
      <c r="F517" s="241">
        <v>0.131147540983607</v>
      </c>
      <c r="G517" s="241">
        <v>0.01</v>
      </c>
      <c r="H517" s="241">
        <v>0.0689655172413793</v>
      </c>
      <c r="I517" s="241">
        <v>0.032258064516129</v>
      </c>
      <c r="J517" s="241">
        <v>0.0615384615384615</v>
      </c>
      <c r="K517" s="241">
        <v>0.0378787878787879</v>
      </c>
      <c r="L517" s="241">
        <v>0.0967741935483871</v>
      </c>
      <c r="M517" s="241">
        <v>0.0647482014388489</v>
      </c>
      <c r="N517" s="241">
        <v>0.0564971751412429</v>
      </c>
      <c r="O517" s="252">
        <v>0.0898203592814371</v>
      </c>
    </row>
    <row r="518" spans="1:15">
      <c r="A518" s="242" t="s">
        <v>22</v>
      </c>
      <c r="B518" s="43" t="s">
        <v>6</v>
      </c>
      <c r="C518" s="15">
        <v>28</v>
      </c>
      <c r="D518" s="244">
        <v>1</v>
      </c>
      <c r="E518" s="244">
        <v>1</v>
      </c>
      <c r="F518" s="244">
        <v>0</v>
      </c>
      <c r="G518" s="244">
        <v>2</v>
      </c>
      <c r="H518" s="244">
        <v>0</v>
      </c>
      <c r="I518" s="244">
        <v>0</v>
      </c>
      <c r="J518" s="244">
        <v>2</v>
      </c>
      <c r="K518" s="244">
        <v>4</v>
      </c>
      <c r="L518" s="244">
        <v>4</v>
      </c>
      <c r="M518" s="244">
        <v>6</v>
      </c>
      <c r="N518" s="244">
        <v>6</v>
      </c>
      <c r="O518" s="254">
        <v>2</v>
      </c>
    </row>
    <row r="519" ht="14.25" spans="1:15">
      <c r="A519" s="245" t="s">
        <v>22</v>
      </c>
      <c r="B519" s="52" t="s">
        <v>64</v>
      </c>
      <c r="C519" s="19">
        <v>0.288659793814433</v>
      </c>
      <c r="D519" s="246">
        <v>0.125</v>
      </c>
      <c r="E519" s="246">
        <v>0.166666666666667</v>
      </c>
      <c r="F519" s="246">
        <v>0</v>
      </c>
      <c r="G519" s="246">
        <v>2</v>
      </c>
      <c r="H519" s="246">
        <v>0</v>
      </c>
      <c r="I519" s="246">
        <v>0</v>
      </c>
      <c r="J519" s="246">
        <v>0.25</v>
      </c>
      <c r="K519" s="246">
        <v>0.8</v>
      </c>
      <c r="L519" s="246">
        <v>0.266666666666667</v>
      </c>
      <c r="M519" s="246">
        <v>0.666666666666667</v>
      </c>
      <c r="N519" s="246">
        <v>0.6</v>
      </c>
      <c r="O519" s="255">
        <v>0.133333333333333</v>
      </c>
    </row>
    <row r="520" spans="1:15">
      <c r="A520" s="247" t="s">
        <v>66</v>
      </c>
      <c r="B520" s="248" t="s">
        <v>55</v>
      </c>
      <c r="C520" s="12">
        <v>0.160007578712613</v>
      </c>
      <c r="D520" s="249">
        <v>0.163009404388715</v>
      </c>
      <c r="E520" s="249">
        <v>0.129770992366412</v>
      </c>
      <c r="F520" s="249">
        <v>0.0820512820512821</v>
      </c>
      <c r="G520" s="249">
        <v>0.0689655172413793</v>
      </c>
      <c r="H520" s="249">
        <v>0.110497237569061</v>
      </c>
      <c r="I520" s="249">
        <v>0.136842105263158</v>
      </c>
      <c r="J520" s="249">
        <v>0.227272727272727</v>
      </c>
      <c r="K520" s="249">
        <v>0.205263157894737</v>
      </c>
      <c r="L520" s="249">
        <v>0.215384615384615</v>
      </c>
      <c r="M520" s="249">
        <v>0.2125</v>
      </c>
      <c r="N520" s="249">
        <v>0.197802197802198</v>
      </c>
      <c r="O520" s="256">
        <v>0.170731707317073</v>
      </c>
    </row>
    <row r="521" spans="1:15">
      <c r="A521" s="242" t="s">
        <v>66</v>
      </c>
      <c r="B521" s="43" t="s">
        <v>57</v>
      </c>
      <c r="C521" s="15">
        <v>2470</v>
      </c>
      <c r="D521" s="243">
        <v>319</v>
      </c>
      <c r="E521" s="243">
        <v>262</v>
      </c>
      <c r="F521" s="243">
        <v>195</v>
      </c>
      <c r="G521" s="243">
        <v>174</v>
      </c>
      <c r="H521" s="243">
        <v>181</v>
      </c>
      <c r="I521" s="243">
        <v>190</v>
      </c>
      <c r="J521" s="243">
        <v>176</v>
      </c>
      <c r="K521" s="243">
        <v>190</v>
      </c>
      <c r="L521" s="243">
        <v>195</v>
      </c>
      <c r="M521" s="243">
        <v>160</v>
      </c>
      <c r="N521" s="243">
        <v>182</v>
      </c>
      <c r="O521" s="253">
        <v>246</v>
      </c>
    </row>
    <row r="522" spans="1:15">
      <c r="A522" s="240" t="s">
        <v>66</v>
      </c>
      <c r="B522" s="47" t="s">
        <v>59</v>
      </c>
      <c r="C522" s="15">
        <v>393</v>
      </c>
      <c r="D522" s="243">
        <v>52</v>
      </c>
      <c r="E522" s="243">
        <v>34</v>
      </c>
      <c r="F522" s="243">
        <v>16</v>
      </c>
      <c r="G522" s="243">
        <v>12</v>
      </c>
      <c r="H522" s="243">
        <v>20</v>
      </c>
      <c r="I522" s="243">
        <v>26</v>
      </c>
      <c r="J522" s="243">
        <v>40</v>
      </c>
      <c r="K522" s="243">
        <v>39</v>
      </c>
      <c r="L522" s="243">
        <v>42</v>
      </c>
      <c r="M522" s="243">
        <v>34</v>
      </c>
      <c r="N522" s="243">
        <v>36</v>
      </c>
      <c r="O522" s="253">
        <v>42</v>
      </c>
    </row>
    <row r="523" spans="1:15">
      <c r="A523" s="242" t="s">
        <v>66</v>
      </c>
      <c r="B523" s="43" t="s">
        <v>4</v>
      </c>
      <c r="C523" s="15">
        <v>33</v>
      </c>
      <c r="D523" s="244">
        <v>3</v>
      </c>
      <c r="E523" s="244">
        <v>2</v>
      </c>
      <c r="F523" s="244">
        <v>3</v>
      </c>
      <c r="G523" s="244">
        <v>0</v>
      </c>
      <c r="H523" s="244">
        <v>0</v>
      </c>
      <c r="I523" s="244">
        <v>6</v>
      </c>
      <c r="J523" s="244">
        <v>3</v>
      </c>
      <c r="K523" s="244">
        <v>2</v>
      </c>
      <c r="L523" s="244">
        <v>5</v>
      </c>
      <c r="M523" s="244">
        <v>0</v>
      </c>
      <c r="N523" s="244">
        <v>2</v>
      </c>
      <c r="O523" s="254">
        <v>7</v>
      </c>
    </row>
    <row r="524" spans="1:15">
      <c r="A524" s="240" t="s">
        <v>66</v>
      </c>
      <c r="B524" s="47" t="s">
        <v>5</v>
      </c>
      <c r="C524" s="12">
        <v>0.083528080035433</v>
      </c>
      <c r="D524" s="241">
        <v>0.0576923076923077</v>
      </c>
      <c r="E524" s="241">
        <v>0.0588235294117647</v>
      </c>
      <c r="F524" s="241">
        <v>0.1875</v>
      </c>
      <c r="G524" s="241">
        <v>0</v>
      </c>
      <c r="H524" s="241">
        <v>0</v>
      </c>
      <c r="I524" s="241">
        <v>0.230769230769231</v>
      </c>
      <c r="J524" s="241">
        <v>0.075</v>
      </c>
      <c r="K524" s="241">
        <v>0.0512820512820513</v>
      </c>
      <c r="L524" s="241">
        <v>0.119047619047619</v>
      </c>
      <c r="M524" s="241">
        <v>0</v>
      </c>
      <c r="N524" s="241">
        <v>0.0555555555555556</v>
      </c>
      <c r="O524" s="252">
        <v>0.166666666666667</v>
      </c>
    </row>
    <row r="525" spans="1:15">
      <c r="A525" s="242" t="s">
        <v>66</v>
      </c>
      <c r="B525" s="43" t="s">
        <v>6</v>
      </c>
      <c r="C525" s="15">
        <v>13</v>
      </c>
      <c r="D525" s="244">
        <v>2</v>
      </c>
      <c r="E525" s="244">
        <v>0</v>
      </c>
      <c r="F525" s="244">
        <v>0</v>
      </c>
      <c r="G525" s="244">
        <v>0</v>
      </c>
      <c r="H525" s="244">
        <v>0</v>
      </c>
      <c r="I525" s="244">
        <v>1</v>
      </c>
      <c r="J525" s="244">
        <v>2</v>
      </c>
      <c r="K525" s="244">
        <v>2</v>
      </c>
      <c r="L525" s="244">
        <v>1</v>
      </c>
      <c r="M525" s="244">
        <v>1</v>
      </c>
      <c r="N525" s="244">
        <v>3</v>
      </c>
      <c r="O525" s="254">
        <v>1</v>
      </c>
    </row>
    <row r="526" ht="14.25" spans="1:15">
      <c r="A526" s="245" t="s">
        <v>66</v>
      </c>
      <c r="B526" s="52" t="s">
        <v>64</v>
      </c>
      <c r="C526" s="19">
        <v>0.393939393939394</v>
      </c>
      <c r="D526" s="246">
        <v>0.666666666666667</v>
      </c>
      <c r="E526" s="246">
        <v>0</v>
      </c>
      <c r="F526" s="246">
        <v>0</v>
      </c>
      <c r="G526" s="246">
        <v>0</v>
      </c>
      <c r="H526" s="246">
        <v>0</v>
      </c>
      <c r="I526" s="246">
        <v>0.166666666666667</v>
      </c>
      <c r="J526" s="246">
        <v>0.666666666666667</v>
      </c>
      <c r="K526" s="246">
        <v>1</v>
      </c>
      <c r="L526" s="246">
        <v>0.2</v>
      </c>
      <c r="M526" s="246">
        <v>0</v>
      </c>
      <c r="N526" s="246">
        <v>1.5</v>
      </c>
      <c r="O526" s="255">
        <v>0.142857142857143</v>
      </c>
    </row>
    <row r="527" spans="1:15">
      <c r="A527" s="240" t="s">
        <v>67</v>
      </c>
      <c r="B527" s="47" t="s">
        <v>55</v>
      </c>
      <c r="C527" s="12">
        <v>0.836522189552563</v>
      </c>
      <c r="D527" s="241">
        <v>0.946428571428571</v>
      </c>
      <c r="E527" s="241">
        <v>0.708333333333333</v>
      </c>
      <c r="F527" s="241">
        <v>0.944444444444444</v>
      </c>
      <c r="G527" s="241">
        <v>0.882352941176471</v>
      </c>
      <c r="H527" s="241">
        <v>1.28</v>
      </c>
      <c r="I527" s="241">
        <v>0.787234042553192</v>
      </c>
      <c r="J527" s="241">
        <v>0.6875</v>
      </c>
      <c r="K527" s="241">
        <v>0.863636363636364</v>
      </c>
      <c r="L527" s="241">
        <v>0.819672131147541</v>
      </c>
      <c r="M527" s="241">
        <v>0.602941176470588</v>
      </c>
      <c r="N527" s="241">
        <v>0.666666666666667</v>
      </c>
      <c r="O527" s="252">
        <v>0.849056603773585</v>
      </c>
    </row>
    <row r="528" spans="1:15">
      <c r="A528" s="242" t="s">
        <v>67</v>
      </c>
      <c r="B528" s="43" t="s">
        <v>57</v>
      </c>
      <c r="C528" s="15">
        <v>527</v>
      </c>
      <c r="D528" s="243">
        <v>56</v>
      </c>
      <c r="E528" s="243">
        <v>24</v>
      </c>
      <c r="F528" s="243">
        <v>18</v>
      </c>
      <c r="G528" s="243">
        <v>17</v>
      </c>
      <c r="H528" s="243">
        <v>25</v>
      </c>
      <c r="I528" s="243">
        <v>47</v>
      </c>
      <c r="J528" s="243">
        <v>48</v>
      </c>
      <c r="K528" s="243">
        <v>44</v>
      </c>
      <c r="L528" s="243">
        <v>61</v>
      </c>
      <c r="M528" s="243">
        <v>68</v>
      </c>
      <c r="N528" s="243">
        <v>66</v>
      </c>
      <c r="O528" s="253">
        <v>53</v>
      </c>
    </row>
    <row r="529" spans="1:15">
      <c r="A529" s="240" t="s">
        <v>67</v>
      </c>
      <c r="B529" s="47" t="s">
        <v>59</v>
      </c>
      <c r="C529" s="15">
        <v>422</v>
      </c>
      <c r="D529" s="243">
        <v>53</v>
      </c>
      <c r="E529" s="243">
        <v>17</v>
      </c>
      <c r="F529" s="243">
        <v>17</v>
      </c>
      <c r="G529" s="243">
        <v>15</v>
      </c>
      <c r="H529" s="243">
        <v>32</v>
      </c>
      <c r="I529" s="243">
        <v>37</v>
      </c>
      <c r="J529" s="243">
        <v>33</v>
      </c>
      <c r="K529" s="243">
        <v>38</v>
      </c>
      <c r="L529" s="243">
        <v>50</v>
      </c>
      <c r="M529" s="243">
        <v>41</v>
      </c>
      <c r="N529" s="243">
        <v>44</v>
      </c>
      <c r="O529" s="253">
        <v>45</v>
      </c>
    </row>
    <row r="530" spans="1:15">
      <c r="A530" s="242" t="s">
        <v>67</v>
      </c>
      <c r="B530" s="43" t="s">
        <v>4</v>
      </c>
      <c r="C530" s="15">
        <v>20</v>
      </c>
      <c r="D530" s="244">
        <v>0</v>
      </c>
      <c r="E530" s="244">
        <v>2</v>
      </c>
      <c r="F530" s="244">
        <v>0</v>
      </c>
      <c r="G530" s="244">
        <v>0</v>
      </c>
      <c r="H530" s="244">
        <v>1</v>
      </c>
      <c r="I530" s="244">
        <v>2</v>
      </c>
      <c r="J530" s="244">
        <v>2</v>
      </c>
      <c r="K530" s="244">
        <v>4</v>
      </c>
      <c r="L530" s="244">
        <v>3</v>
      </c>
      <c r="M530" s="244">
        <v>1</v>
      </c>
      <c r="N530" s="244">
        <v>2</v>
      </c>
      <c r="O530" s="254">
        <v>3</v>
      </c>
    </row>
    <row r="531" spans="1:15">
      <c r="A531" s="240" t="s">
        <v>67</v>
      </c>
      <c r="B531" s="47" t="s">
        <v>5</v>
      </c>
      <c r="C531" s="12">
        <v>0.0471109822835027</v>
      </c>
      <c r="D531" s="241">
        <v>0</v>
      </c>
      <c r="E531" s="241">
        <v>0.117647058823529</v>
      </c>
      <c r="F531" s="241">
        <v>0</v>
      </c>
      <c r="G531" s="241">
        <v>0</v>
      </c>
      <c r="H531" s="241">
        <v>0.03125</v>
      </c>
      <c r="I531" s="241">
        <v>0.0540540540540541</v>
      </c>
      <c r="J531" s="241">
        <v>0.0606060606060606</v>
      </c>
      <c r="K531" s="241">
        <v>0.105263157894737</v>
      </c>
      <c r="L531" s="241">
        <v>0.06</v>
      </c>
      <c r="M531" s="241">
        <v>0.024390243902439</v>
      </c>
      <c r="N531" s="241">
        <v>0.0454545454545455</v>
      </c>
      <c r="O531" s="252">
        <v>0.0666666666666667</v>
      </c>
    </row>
    <row r="532" spans="1:15">
      <c r="A532" s="242" t="s">
        <v>67</v>
      </c>
      <c r="B532" s="43" t="s">
        <v>6</v>
      </c>
      <c r="C532" s="15">
        <v>14</v>
      </c>
      <c r="D532" s="244">
        <v>1</v>
      </c>
      <c r="E532" s="244">
        <v>2</v>
      </c>
      <c r="F532" s="244">
        <v>0</v>
      </c>
      <c r="G532" s="244">
        <v>0</v>
      </c>
      <c r="H532" s="244">
        <v>0</v>
      </c>
      <c r="I532" s="244">
        <v>2</v>
      </c>
      <c r="J532" s="244">
        <v>1</v>
      </c>
      <c r="K532" s="244">
        <v>3</v>
      </c>
      <c r="L532" s="244">
        <v>3</v>
      </c>
      <c r="M532" s="244">
        <v>0</v>
      </c>
      <c r="N532" s="244">
        <v>0</v>
      </c>
      <c r="O532" s="254">
        <v>2</v>
      </c>
    </row>
    <row r="533" ht="14.25" spans="1:15">
      <c r="A533" s="245" t="s">
        <v>67</v>
      </c>
      <c r="B533" s="52" t="s">
        <v>64</v>
      </c>
      <c r="C533" s="19">
        <v>0.7</v>
      </c>
      <c r="D533" s="246">
        <v>0</v>
      </c>
      <c r="E533" s="246">
        <v>1</v>
      </c>
      <c r="F533" s="246">
        <v>0</v>
      </c>
      <c r="G533" s="246">
        <v>0</v>
      </c>
      <c r="H533" s="246">
        <v>0</v>
      </c>
      <c r="I533" s="246">
        <v>1</v>
      </c>
      <c r="J533" s="246">
        <v>0.5</v>
      </c>
      <c r="K533" s="246">
        <v>0.75</v>
      </c>
      <c r="L533" s="246">
        <v>1</v>
      </c>
      <c r="M533" s="246">
        <v>0</v>
      </c>
      <c r="N533" s="246">
        <v>0</v>
      </c>
      <c r="O533" s="255">
        <v>0.666666666666667</v>
      </c>
    </row>
    <row r="534" spans="1:15">
      <c r="A534" s="240" t="s">
        <v>68</v>
      </c>
      <c r="B534" s="47" t="s">
        <v>55</v>
      </c>
      <c r="C534" s="12">
        <v>0.281381641361983</v>
      </c>
      <c r="D534" s="241">
        <v>0.272277227722772</v>
      </c>
      <c r="E534" s="241">
        <v>0.425531914893617</v>
      </c>
      <c r="F534" s="241">
        <v>0.552238805970149</v>
      </c>
      <c r="G534" s="241">
        <v>0.280898876404494</v>
      </c>
      <c r="H534" s="241">
        <v>0.262032085561497</v>
      </c>
      <c r="I534" s="241">
        <v>0.251082251082251</v>
      </c>
      <c r="J534" s="241">
        <v>0.248275862068966</v>
      </c>
      <c r="K534" s="241">
        <v>0.239043824701195</v>
      </c>
      <c r="L534" s="241">
        <v>0.324074074074074</v>
      </c>
      <c r="M534" s="241">
        <v>0.198275862068966</v>
      </c>
      <c r="N534" s="241">
        <v>0.157243816254417</v>
      </c>
      <c r="O534" s="252">
        <v>0.165605095541401</v>
      </c>
    </row>
    <row r="535" spans="1:15">
      <c r="A535" s="242" t="s">
        <v>68</v>
      </c>
      <c r="B535" s="43" t="s">
        <v>57</v>
      </c>
      <c r="C535" s="15">
        <v>3012</v>
      </c>
      <c r="D535" s="243">
        <v>202</v>
      </c>
      <c r="E535" s="243">
        <v>94</v>
      </c>
      <c r="F535" s="243">
        <v>67</v>
      </c>
      <c r="G535" s="243">
        <v>89</v>
      </c>
      <c r="H535" s="243">
        <v>187</v>
      </c>
      <c r="I535" s="243">
        <v>231</v>
      </c>
      <c r="J535" s="243">
        <v>290</v>
      </c>
      <c r="K535" s="243">
        <v>251</v>
      </c>
      <c r="L535" s="243">
        <v>216</v>
      </c>
      <c r="M535" s="243">
        <v>348</v>
      </c>
      <c r="N535" s="243">
        <v>566</v>
      </c>
      <c r="O535" s="253">
        <v>471</v>
      </c>
    </row>
    <row r="536" spans="1:15">
      <c r="A536" s="240" t="s">
        <v>68</v>
      </c>
      <c r="B536" s="47" t="s">
        <v>59</v>
      </c>
      <c r="C536" s="15">
        <v>702</v>
      </c>
      <c r="D536" s="243">
        <v>55</v>
      </c>
      <c r="E536" s="243">
        <v>40</v>
      </c>
      <c r="F536" s="243">
        <v>37</v>
      </c>
      <c r="G536" s="243">
        <v>25</v>
      </c>
      <c r="H536" s="243">
        <v>49</v>
      </c>
      <c r="I536" s="243">
        <v>58</v>
      </c>
      <c r="J536" s="243">
        <v>72</v>
      </c>
      <c r="K536" s="243">
        <v>60</v>
      </c>
      <c r="L536" s="243">
        <v>70</v>
      </c>
      <c r="M536" s="243">
        <v>69</v>
      </c>
      <c r="N536" s="243">
        <v>89</v>
      </c>
      <c r="O536" s="253">
        <v>78</v>
      </c>
    </row>
    <row r="537" spans="1:15">
      <c r="A537" s="242" t="s">
        <v>68</v>
      </c>
      <c r="B537" s="43" t="s">
        <v>4</v>
      </c>
      <c r="C537" s="15">
        <v>34</v>
      </c>
      <c r="D537" s="244">
        <v>3</v>
      </c>
      <c r="E537" s="244">
        <v>4</v>
      </c>
      <c r="F537" s="244">
        <v>2</v>
      </c>
      <c r="G537" s="244">
        <v>0</v>
      </c>
      <c r="H537" s="244">
        <v>3</v>
      </c>
      <c r="I537" s="244">
        <v>4</v>
      </c>
      <c r="J537" s="244">
        <v>5</v>
      </c>
      <c r="K537" s="244">
        <v>3</v>
      </c>
      <c r="L537" s="244">
        <v>0</v>
      </c>
      <c r="M537" s="244">
        <v>0</v>
      </c>
      <c r="N537" s="244">
        <v>3</v>
      </c>
      <c r="O537" s="254">
        <v>7</v>
      </c>
    </row>
    <row r="538" spans="1:15">
      <c r="A538" s="240" t="s">
        <v>68</v>
      </c>
      <c r="B538" s="47" t="s">
        <v>5</v>
      </c>
      <c r="C538" s="12">
        <v>0.0484737845827816</v>
      </c>
      <c r="D538" s="241">
        <v>0.0545454545454545</v>
      </c>
      <c r="E538" s="241">
        <v>0.1</v>
      </c>
      <c r="F538" s="241">
        <v>0.0540540540540541</v>
      </c>
      <c r="G538" s="241">
        <v>0</v>
      </c>
      <c r="H538" s="241">
        <v>0.0612244897959184</v>
      </c>
      <c r="I538" s="241">
        <v>0.0689655172413793</v>
      </c>
      <c r="J538" s="241">
        <v>0.0694444444444444</v>
      </c>
      <c r="K538" s="241">
        <v>0.05</v>
      </c>
      <c r="L538" s="241">
        <v>0</v>
      </c>
      <c r="M538" s="241">
        <v>0</v>
      </c>
      <c r="N538" s="241">
        <v>0.0337078651685393</v>
      </c>
      <c r="O538" s="252">
        <v>0.0897435897435897</v>
      </c>
    </row>
    <row r="539" spans="1:15">
      <c r="A539" s="242" t="s">
        <v>68</v>
      </c>
      <c r="B539" s="43" t="s">
        <v>6</v>
      </c>
      <c r="C539" s="15">
        <v>11</v>
      </c>
      <c r="D539" s="244">
        <v>1</v>
      </c>
      <c r="E539" s="244">
        <v>3</v>
      </c>
      <c r="F539" s="244">
        <v>0</v>
      </c>
      <c r="G539" s="244">
        <v>0</v>
      </c>
      <c r="H539" s="244">
        <v>1</v>
      </c>
      <c r="I539" s="244">
        <v>0</v>
      </c>
      <c r="J539" s="244">
        <v>2</v>
      </c>
      <c r="K539" s="244">
        <v>2</v>
      </c>
      <c r="L539" s="244">
        <v>1</v>
      </c>
      <c r="M539" s="244">
        <v>0</v>
      </c>
      <c r="N539" s="244">
        <v>1</v>
      </c>
      <c r="O539" s="254">
        <v>0</v>
      </c>
    </row>
    <row r="540" ht="14.25" spans="1:15">
      <c r="A540" s="245" t="s">
        <v>68</v>
      </c>
      <c r="B540" s="52" t="s">
        <v>64</v>
      </c>
      <c r="C540" s="19">
        <v>0.323529411764706</v>
      </c>
      <c r="D540" s="246">
        <v>0.333333333333333</v>
      </c>
      <c r="E540" s="246">
        <v>0.75</v>
      </c>
      <c r="F540" s="246">
        <v>0</v>
      </c>
      <c r="G540" s="246">
        <v>0</v>
      </c>
      <c r="H540" s="246">
        <v>0.333333333333333</v>
      </c>
      <c r="I540" s="246">
        <v>0</v>
      </c>
      <c r="J540" s="246">
        <v>0.4</v>
      </c>
      <c r="K540" s="246">
        <v>0.666666666666667</v>
      </c>
      <c r="L540" s="246">
        <v>0</v>
      </c>
      <c r="M540" s="246">
        <v>0</v>
      </c>
      <c r="N540" s="246">
        <v>0.333333333333333</v>
      </c>
      <c r="O540" s="255">
        <v>0</v>
      </c>
    </row>
    <row r="541" spans="1:15">
      <c r="A541" s="240" t="s">
        <v>69</v>
      </c>
      <c r="B541" s="47" t="s">
        <v>55</v>
      </c>
      <c r="C541" s="12">
        <v>1.41594685554664</v>
      </c>
      <c r="D541" s="241">
        <v>1.30952380952381</v>
      </c>
      <c r="E541" s="241">
        <v>1.11764705882353</v>
      </c>
      <c r="F541" s="241">
        <v>1.04347826086957</v>
      </c>
      <c r="G541" s="241">
        <v>1.72222222222222</v>
      </c>
      <c r="H541" s="241">
        <v>2.28571428571429</v>
      </c>
      <c r="I541" s="241">
        <v>1.3</v>
      </c>
      <c r="J541" s="241">
        <v>1.35294117647059</v>
      </c>
      <c r="K541" s="241">
        <v>1.7</v>
      </c>
      <c r="L541" s="241">
        <v>1.575</v>
      </c>
      <c r="M541" s="241">
        <v>1.16363636363636</v>
      </c>
      <c r="N541" s="241">
        <v>1.15254237288136</v>
      </c>
      <c r="O541" s="252">
        <v>1.26865671641791</v>
      </c>
    </row>
    <row r="542" spans="1:15">
      <c r="A542" s="242" t="s">
        <v>69</v>
      </c>
      <c r="B542" s="43" t="s">
        <v>57</v>
      </c>
      <c r="C542" s="15">
        <v>456</v>
      </c>
      <c r="D542" s="243">
        <v>42</v>
      </c>
      <c r="E542" s="243">
        <v>17</v>
      </c>
      <c r="F542" s="243">
        <v>23</v>
      </c>
      <c r="G542" s="243">
        <v>18</v>
      </c>
      <c r="H542" s="243">
        <v>21</v>
      </c>
      <c r="I542" s="243">
        <v>40</v>
      </c>
      <c r="J542" s="243">
        <v>34</v>
      </c>
      <c r="K542" s="243">
        <v>40</v>
      </c>
      <c r="L542" s="243">
        <v>40</v>
      </c>
      <c r="M542" s="243">
        <v>55</v>
      </c>
      <c r="N542" s="243">
        <v>59</v>
      </c>
      <c r="O542" s="253">
        <v>67</v>
      </c>
    </row>
    <row r="543" spans="1:15">
      <c r="A543" s="240" t="s">
        <v>69</v>
      </c>
      <c r="B543" s="47" t="s">
        <v>59</v>
      </c>
      <c r="C543" s="15">
        <v>623</v>
      </c>
      <c r="D543" s="243">
        <v>55</v>
      </c>
      <c r="E543" s="243">
        <v>19</v>
      </c>
      <c r="F543" s="243">
        <v>24</v>
      </c>
      <c r="G543" s="243">
        <v>31</v>
      </c>
      <c r="H543" s="243">
        <v>48</v>
      </c>
      <c r="I543" s="243">
        <v>52</v>
      </c>
      <c r="J543" s="243">
        <v>46</v>
      </c>
      <c r="K543" s="243">
        <v>68</v>
      </c>
      <c r="L543" s="243">
        <v>63</v>
      </c>
      <c r="M543" s="243">
        <v>64</v>
      </c>
      <c r="N543" s="243">
        <v>68</v>
      </c>
      <c r="O543" s="253">
        <v>85</v>
      </c>
    </row>
    <row r="544" spans="1:15">
      <c r="A544" s="242" t="s">
        <v>69</v>
      </c>
      <c r="B544" s="43" t="s">
        <v>4</v>
      </c>
      <c r="C544" s="15">
        <v>28</v>
      </c>
      <c r="D544" s="244">
        <v>0</v>
      </c>
      <c r="E544" s="244">
        <v>0</v>
      </c>
      <c r="F544" s="244">
        <v>1</v>
      </c>
      <c r="G544" s="244">
        <v>0</v>
      </c>
      <c r="H544" s="244">
        <v>3</v>
      </c>
      <c r="I544" s="244">
        <v>3</v>
      </c>
      <c r="J544" s="244">
        <v>4</v>
      </c>
      <c r="K544" s="244">
        <v>5</v>
      </c>
      <c r="L544" s="244">
        <v>6</v>
      </c>
      <c r="M544" s="244">
        <v>2</v>
      </c>
      <c r="N544" s="244">
        <v>1</v>
      </c>
      <c r="O544" s="254">
        <v>3</v>
      </c>
    </row>
    <row r="545" spans="1:15">
      <c r="A545" s="240" t="s">
        <v>69</v>
      </c>
      <c r="B545" s="47" t="s">
        <v>5</v>
      </c>
      <c r="C545" s="12">
        <v>0.0415694169250755</v>
      </c>
      <c r="D545" s="241">
        <v>0</v>
      </c>
      <c r="E545" s="241">
        <v>0</v>
      </c>
      <c r="F545" s="241">
        <v>0.0416666666666667</v>
      </c>
      <c r="G545" s="241">
        <v>0</v>
      </c>
      <c r="H545" s="241">
        <v>0.0625</v>
      </c>
      <c r="I545" s="241">
        <v>0.0576923076923077</v>
      </c>
      <c r="J545" s="241">
        <v>0.0869565217391304</v>
      </c>
      <c r="K545" s="241">
        <v>0.0735294117647059</v>
      </c>
      <c r="L545" s="241">
        <v>0.0952380952380952</v>
      </c>
      <c r="M545" s="241">
        <v>0.03125</v>
      </c>
      <c r="N545" s="241">
        <v>0.0147058823529412</v>
      </c>
      <c r="O545" s="252">
        <v>0.0352941176470588</v>
      </c>
    </row>
    <row r="546" spans="1:15">
      <c r="A546" s="242" t="s">
        <v>69</v>
      </c>
      <c r="B546" s="43" t="s">
        <v>6</v>
      </c>
      <c r="C546" s="15">
        <v>8</v>
      </c>
      <c r="D546" s="244">
        <v>0</v>
      </c>
      <c r="E546" s="244">
        <v>0</v>
      </c>
      <c r="F546" s="244">
        <v>1</v>
      </c>
      <c r="G546" s="244">
        <v>0</v>
      </c>
      <c r="H546" s="244">
        <v>0</v>
      </c>
      <c r="I546" s="244">
        <v>2</v>
      </c>
      <c r="J546" s="244">
        <v>0</v>
      </c>
      <c r="K546" s="244">
        <v>1</v>
      </c>
      <c r="L546" s="244">
        <v>0</v>
      </c>
      <c r="M546" s="244">
        <v>3</v>
      </c>
      <c r="N546" s="244">
        <v>0</v>
      </c>
      <c r="O546" s="254">
        <v>1</v>
      </c>
    </row>
    <row r="547" ht="14.25" spans="1:15">
      <c r="A547" s="245" t="s">
        <v>69</v>
      </c>
      <c r="B547" s="52" t="s">
        <v>64</v>
      </c>
      <c r="C547" s="19">
        <v>0.285714285714286</v>
      </c>
      <c r="D547" s="246">
        <v>0</v>
      </c>
      <c r="E547" s="246">
        <v>0</v>
      </c>
      <c r="F547" s="246">
        <v>1</v>
      </c>
      <c r="G547" s="246">
        <v>0</v>
      </c>
      <c r="H547" s="246">
        <v>0</v>
      </c>
      <c r="I547" s="246">
        <v>0.666666666666667</v>
      </c>
      <c r="J547" s="246">
        <v>0</v>
      </c>
      <c r="K547" s="246">
        <v>0.2</v>
      </c>
      <c r="L547" s="246">
        <v>0</v>
      </c>
      <c r="M547" s="246">
        <v>1.5</v>
      </c>
      <c r="N547" s="246">
        <v>0</v>
      </c>
      <c r="O547" s="255">
        <v>0.333333333333333</v>
      </c>
    </row>
    <row r="548" spans="1:15">
      <c r="A548" s="240" t="s">
        <v>70</v>
      </c>
      <c r="B548" s="47" t="s">
        <v>55</v>
      </c>
      <c r="C548" s="12">
        <v>0.955841671119126</v>
      </c>
      <c r="D548" s="241">
        <v>1.18181818181818</v>
      </c>
      <c r="E548" s="241">
        <v>1.23076923076923</v>
      </c>
      <c r="F548" s="241">
        <v>1.1</v>
      </c>
      <c r="G548" s="241">
        <v>0.725490196078431</v>
      </c>
      <c r="H548" s="241">
        <v>1</v>
      </c>
      <c r="I548" s="241">
        <v>0.864864864864865</v>
      </c>
      <c r="J548" s="241">
        <v>0.777777777777778</v>
      </c>
      <c r="K548" s="241">
        <v>0.906976744186046</v>
      </c>
      <c r="L548" s="241">
        <v>0.939393939393939</v>
      </c>
      <c r="M548" s="241">
        <v>0.8</v>
      </c>
      <c r="N548" s="241">
        <v>0.964285714285714</v>
      </c>
      <c r="O548" s="252">
        <v>0.978723404255319</v>
      </c>
    </row>
    <row r="549" spans="1:15">
      <c r="A549" s="242" t="s">
        <v>70</v>
      </c>
      <c r="B549" s="43" t="s">
        <v>57</v>
      </c>
      <c r="C549" s="15">
        <v>418</v>
      </c>
      <c r="D549" s="243">
        <v>22</v>
      </c>
      <c r="E549" s="243">
        <v>13</v>
      </c>
      <c r="F549" s="243">
        <v>10</v>
      </c>
      <c r="G549" s="243">
        <v>51</v>
      </c>
      <c r="H549" s="243">
        <v>34</v>
      </c>
      <c r="I549" s="243">
        <v>37</v>
      </c>
      <c r="J549" s="243">
        <v>27</v>
      </c>
      <c r="K549" s="243">
        <v>43</v>
      </c>
      <c r="L549" s="243">
        <v>33</v>
      </c>
      <c r="M549" s="243">
        <v>45</v>
      </c>
      <c r="N549" s="243">
        <v>56</v>
      </c>
      <c r="O549" s="253">
        <v>47</v>
      </c>
    </row>
    <row r="550" spans="1:15">
      <c r="A550" s="240" t="s">
        <v>70</v>
      </c>
      <c r="B550" s="47" t="s">
        <v>59</v>
      </c>
      <c r="C550" s="15">
        <v>383</v>
      </c>
      <c r="D550" s="243">
        <v>26</v>
      </c>
      <c r="E550" s="243">
        <v>16</v>
      </c>
      <c r="F550" s="243">
        <v>11</v>
      </c>
      <c r="G550" s="243">
        <v>37</v>
      </c>
      <c r="H550" s="243">
        <v>34</v>
      </c>
      <c r="I550" s="243">
        <v>32</v>
      </c>
      <c r="J550" s="243">
        <v>21</v>
      </c>
      <c r="K550" s="243">
        <v>39</v>
      </c>
      <c r="L550" s="243">
        <v>31</v>
      </c>
      <c r="M550" s="243">
        <v>36</v>
      </c>
      <c r="N550" s="243">
        <v>54</v>
      </c>
      <c r="O550" s="253">
        <v>46</v>
      </c>
    </row>
    <row r="551" spans="1:15">
      <c r="A551" s="242" t="s">
        <v>70</v>
      </c>
      <c r="B551" s="43" t="s">
        <v>4</v>
      </c>
      <c r="C551" s="15">
        <v>9</v>
      </c>
      <c r="D551" s="244">
        <v>0</v>
      </c>
      <c r="E551" s="244">
        <v>0</v>
      </c>
      <c r="F551" s="244">
        <v>0</v>
      </c>
      <c r="G551" s="244">
        <v>0</v>
      </c>
      <c r="H551" s="244">
        <v>2</v>
      </c>
      <c r="I551" s="244">
        <v>1</v>
      </c>
      <c r="J551" s="244">
        <v>0</v>
      </c>
      <c r="K551" s="244">
        <v>0</v>
      </c>
      <c r="L551" s="244">
        <v>4</v>
      </c>
      <c r="M551" s="244">
        <v>1</v>
      </c>
      <c r="N551" s="244">
        <v>0</v>
      </c>
      <c r="O551" s="254">
        <v>1</v>
      </c>
    </row>
    <row r="552" spans="1:15">
      <c r="A552" s="240" t="s">
        <v>70</v>
      </c>
      <c r="B552" s="47" t="s">
        <v>5</v>
      </c>
      <c r="C552" s="12">
        <v>0.0223852246407368</v>
      </c>
      <c r="D552" s="241">
        <v>0</v>
      </c>
      <c r="E552" s="241">
        <v>0</v>
      </c>
      <c r="F552" s="241">
        <v>0</v>
      </c>
      <c r="G552" s="241">
        <v>0</v>
      </c>
      <c r="H552" s="241">
        <v>0.0588235294117647</v>
      </c>
      <c r="I552" s="241">
        <v>0.03125</v>
      </c>
      <c r="J552" s="241">
        <v>0</v>
      </c>
      <c r="K552" s="241">
        <v>0</v>
      </c>
      <c r="L552" s="241">
        <v>0.129032258064516</v>
      </c>
      <c r="M552" s="241">
        <v>0.0277777777777778</v>
      </c>
      <c r="N552" s="241">
        <v>0</v>
      </c>
      <c r="O552" s="252">
        <v>0.0217391304347826</v>
      </c>
    </row>
    <row r="553" spans="1:15">
      <c r="A553" s="242" t="s">
        <v>70</v>
      </c>
      <c r="B553" s="43" t="s">
        <v>6</v>
      </c>
      <c r="C553" s="15">
        <v>0</v>
      </c>
      <c r="D553" s="244">
        <v>0</v>
      </c>
      <c r="E553" s="244">
        <v>0</v>
      </c>
      <c r="F553" s="244">
        <v>0</v>
      </c>
      <c r="G553" s="244">
        <v>0</v>
      </c>
      <c r="H553" s="244">
        <v>0</v>
      </c>
      <c r="I553" s="244">
        <v>0</v>
      </c>
      <c r="J553" s="244">
        <v>0</v>
      </c>
      <c r="K553" s="244">
        <v>0</v>
      </c>
      <c r="L553" s="244">
        <v>0</v>
      </c>
      <c r="M553" s="244">
        <v>0</v>
      </c>
      <c r="N553" s="244">
        <v>0</v>
      </c>
      <c r="O553" s="254">
        <v>0</v>
      </c>
    </row>
    <row r="554" ht="14.25" spans="1:15">
      <c r="A554" s="245" t="s">
        <v>70</v>
      </c>
      <c r="B554" s="52" t="s">
        <v>64</v>
      </c>
      <c r="C554" s="19">
        <v>0</v>
      </c>
      <c r="D554" s="246">
        <v>0</v>
      </c>
      <c r="E554" s="246">
        <v>0</v>
      </c>
      <c r="F554" s="246">
        <v>0</v>
      </c>
      <c r="G554" s="246">
        <v>0</v>
      </c>
      <c r="H554" s="246">
        <v>0</v>
      </c>
      <c r="I554" s="246">
        <v>0</v>
      </c>
      <c r="J554" s="246">
        <v>0</v>
      </c>
      <c r="K554" s="246">
        <v>0</v>
      </c>
      <c r="L554" s="246">
        <v>0</v>
      </c>
      <c r="M554" s="246">
        <v>0</v>
      </c>
      <c r="N554" s="246">
        <v>0</v>
      </c>
      <c r="O554" s="255">
        <v>0</v>
      </c>
    </row>
    <row r="555" spans="1:15">
      <c r="A555" s="240" t="s">
        <v>26</v>
      </c>
      <c r="B555" s="47" t="s">
        <v>55</v>
      </c>
      <c r="C555" s="258">
        <f>C557/C556</f>
        <v>0.994661921708185</v>
      </c>
      <c r="D555" s="241">
        <v>1.1</v>
      </c>
      <c r="E555" s="241">
        <v>1.0989010989011</v>
      </c>
      <c r="F555" s="241">
        <v>1.05882352941176</v>
      </c>
      <c r="G555" s="241">
        <v>1.09574468085106</v>
      </c>
      <c r="H555" s="241">
        <v>1.22222222222222</v>
      </c>
      <c r="I555" s="241">
        <v>0.977099236641221</v>
      </c>
      <c r="J555" s="241">
        <v>1.01428571428571</v>
      </c>
      <c r="K555" s="241">
        <v>1.02614379084967</v>
      </c>
      <c r="L555" s="241">
        <v>0.992857142857143</v>
      </c>
      <c r="M555" s="241">
        <v>1.05031446540881</v>
      </c>
      <c r="N555" s="241">
        <v>0.809128630705394</v>
      </c>
      <c r="O555" s="252">
        <v>0.858447488584475</v>
      </c>
    </row>
    <row r="556" spans="1:15">
      <c r="A556" s="242" t="s">
        <v>26</v>
      </c>
      <c r="B556" s="43" t="s">
        <v>57</v>
      </c>
      <c r="C556" s="15">
        <v>1686</v>
      </c>
      <c r="D556" s="243">
        <v>160</v>
      </c>
      <c r="E556" s="243">
        <v>91</v>
      </c>
      <c r="F556" s="243">
        <v>68</v>
      </c>
      <c r="G556" s="243">
        <v>94</v>
      </c>
      <c r="H556" s="243">
        <v>90</v>
      </c>
      <c r="I556" s="243">
        <v>131</v>
      </c>
      <c r="J556" s="243">
        <v>140</v>
      </c>
      <c r="K556" s="243">
        <v>153</v>
      </c>
      <c r="L556" s="243">
        <v>140</v>
      </c>
      <c r="M556" s="243">
        <v>159</v>
      </c>
      <c r="N556" s="243">
        <v>241</v>
      </c>
      <c r="O556" s="253">
        <v>219</v>
      </c>
    </row>
    <row r="557" spans="1:15">
      <c r="A557" s="240" t="s">
        <v>26</v>
      </c>
      <c r="B557" s="47" t="s">
        <v>59</v>
      </c>
      <c r="C557" s="15">
        <v>1677</v>
      </c>
      <c r="D557" s="243">
        <v>176</v>
      </c>
      <c r="E557" s="243">
        <v>100</v>
      </c>
      <c r="F557" s="243">
        <v>72</v>
      </c>
      <c r="G557" s="243">
        <v>103</v>
      </c>
      <c r="H557" s="243">
        <v>110</v>
      </c>
      <c r="I557" s="243">
        <v>128</v>
      </c>
      <c r="J557" s="243">
        <v>142</v>
      </c>
      <c r="K557" s="243">
        <v>157</v>
      </c>
      <c r="L557" s="243">
        <v>139</v>
      </c>
      <c r="M557" s="243">
        <v>167</v>
      </c>
      <c r="N557" s="243">
        <v>195</v>
      </c>
      <c r="O557" s="253">
        <v>188</v>
      </c>
    </row>
    <row r="558" spans="1:15">
      <c r="A558" s="242" t="s">
        <v>26</v>
      </c>
      <c r="B558" s="43" t="s">
        <v>4</v>
      </c>
      <c r="C558" s="15">
        <v>43</v>
      </c>
      <c r="D558" s="244">
        <v>3</v>
      </c>
      <c r="E558" s="244">
        <v>1</v>
      </c>
      <c r="F558" s="244">
        <v>4</v>
      </c>
      <c r="G558" s="244">
        <v>2</v>
      </c>
      <c r="H558" s="244">
        <v>3</v>
      </c>
      <c r="I558" s="244">
        <v>7</v>
      </c>
      <c r="J558" s="244">
        <v>2</v>
      </c>
      <c r="K558" s="244">
        <v>4</v>
      </c>
      <c r="L558" s="244">
        <v>4</v>
      </c>
      <c r="M558" s="244">
        <v>6</v>
      </c>
      <c r="N558" s="244">
        <v>4</v>
      </c>
      <c r="O558" s="254">
        <v>3</v>
      </c>
    </row>
    <row r="559" spans="1:15">
      <c r="A559" s="240" t="s">
        <v>26</v>
      </c>
      <c r="B559" s="47" t="s">
        <v>5</v>
      </c>
      <c r="C559" s="12">
        <v>0.0270596930501407</v>
      </c>
      <c r="D559" s="241">
        <v>0.0170454545454545</v>
      </c>
      <c r="E559" s="241">
        <v>0.01</v>
      </c>
      <c r="F559" s="241">
        <v>0.0555555555555556</v>
      </c>
      <c r="G559" s="241">
        <v>0.0194174757281553</v>
      </c>
      <c r="H559" s="241">
        <v>0.0272727272727273</v>
      </c>
      <c r="I559" s="241">
        <v>0.0546875</v>
      </c>
      <c r="J559" s="241">
        <v>0.0140845070422535</v>
      </c>
      <c r="K559" s="241">
        <v>0.0254777070063694</v>
      </c>
      <c r="L559" s="241">
        <v>0.0287769784172662</v>
      </c>
      <c r="M559" s="241">
        <v>0.0359281437125748</v>
      </c>
      <c r="N559" s="241">
        <v>0.0205128205128205</v>
      </c>
      <c r="O559" s="252">
        <v>0.0159574468085106</v>
      </c>
    </row>
    <row r="560" spans="1:15">
      <c r="A560" s="242" t="s">
        <v>26</v>
      </c>
      <c r="B560" s="43" t="s">
        <v>6</v>
      </c>
      <c r="C560" s="15">
        <v>11</v>
      </c>
      <c r="D560" s="244">
        <v>0</v>
      </c>
      <c r="E560" s="244">
        <v>0</v>
      </c>
      <c r="F560" s="244">
        <v>0</v>
      </c>
      <c r="G560" s="244">
        <v>0</v>
      </c>
      <c r="H560" s="244">
        <v>1</v>
      </c>
      <c r="I560" s="244">
        <v>1</v>
      </c>
      <c r="J560" s="244">
        <v>0</v>
      </c>
      <c r="K560" s="244">
        <v>3</v>
      </c>
      <c r="L560" s="244">
        <v>1</v>
      </c>
      <c r="M560" s="244">
        <v>3</v>
      </c>
      <c r="N560" s="244">
        <v>2</v>
      </c>
      <c r="O560" s="254">
        <v>0</v>
      </c>
    </row>
    <row r="561" ht="14.25" spans="1:15">
      <c r="A561" s="245" t="s">
        <v>26</v>
      </c>
      <c r="B561" s="52" t="s">
        <v>64</v>
      </c>
      <c r="C561" s="19">
        <v>0.255813953488372</v>
      </c>
      <c r="D561" s="250">
        <v>0</v>
      </c>
      <c r="E561" s="250">
        <v>0</v>
      </c>
      <c r="F561" s="250">
        <v>0</v>
      </c>
      <c r="G561" s="250">
        <v>0</v>
      </c>
      <c r="H561" s="250">
        <v>1</v>
      </c>
      <c r="I561" s="250">
        <v>1</v>
      </c>
      <c r="J561" s="250">
        <v>0</v>
      </c>
      <c r="K561" s="250">
        <v>3</v>
      </c>
      <c r="L561" s="250">
        <v>1</v>
      </c>
      <c r="M561" s="250">
        <v>3</v>
      </c>
      <c r="N561" s="250">
        <v>2</v>
      </c>
      <c r="O561" s="257">
        <v>0</v>
      </c>
    </row>
    <row r="562" spans="1:15">
      <c r="A562" s="240" t="s">
        <v>71</v>
      </c>
      <c r="B562" s="47" t="s">
        <v>55</v>
      </c>
      <c r="C562" s="12">
        <v>0.0303619528619529</v>
      </c>
      <c r="D562" s="241">
        <v>0</v>
      </c>
      <c r="E562" s="241">
        <v>0</v>
      </c>
      <c r="F562" s="241">
        <v>0.1</v>
      </c>
      <c r="G562" s="241">
        <v>0</v>
      </c>
      <c r="H562" s="241">
        <v>0.0833333333333333</v>
      </c>
      <c r="I562" s="241">
        <v>0</v>
      </c>
      <c r="J562" s="241">
        <v>0.0555555555555556</v>
      </c>
      <c r="K562" s="241">
        <v>0.08</v>
      </c>
      <c r="L562" s="241">
        <v>0</v>
      </c>
      <c r="M562" s="241">
        <v>0.0454545454545455</v>
      </c>
      <c r="N562" s="241">
        <v>0</v>
      </c>
      <c r="O562" s="252">
        <v>0</v>
      </c>
    </row>
    <row r="563" spans="1:15">
      <c r="A563" s="242" t="s">
        <v>71</v>
      </c>
      <c r="B563" s="43" t="s">
        <v>57</v>
      </c>
      <c r="C563" s="15">
        <v>216</v>
      </c>
      <c r="D563" s="243">
        <v>19</v>
      </c>
      <c r="E563" s="243">
        <v>9</v>
      </c>
      <c r="F563" s="243">
        <v>10</v>
      </c>
      <c r="G563" s="243">
        <v>7</v>
      </c>
      <c r="H563" s="243">
        <v>12</v>
      </c>
      <c r="I563" s="243">
        <v>18</v>
      </c>
      <c r="J563" s="243">
        <v>18</v>
      </c>
      <c r="K563" s="243">
        <v>25</v>
      </c>
      <c r="L563" s="243">
        <v>17</v>
      </c>
      <c r="M563" s="243">
        <v>22</v>
      </c>
      <c r="N563" s="243">
        <v>30</v>
      </c>
      <c r="O563" s="253">
        <v>29</v>
      </c>
    </row>
    <row r="564" spans="1:15">
      <c r="A564" s="240" t="s">
        <v>71</v>
      </c>
      <c r="B564" s="47" t="s">
        <v>59</v>
      </c>
      <c r="C564" s="15">
        <v>6</v>
      </c>
      <c r="D564" s="243">
        <v>0</v>
      </c>
      <c r="E564" s="243">
        <v>0</v>
      </c>
      <c r="F564" s="243">
        <v>1</v>
      </c>
      <c r="G564" s="243">
        <v>0</v>
      </c>
      <c r="H564" s="243">
        <v>1</v>
      </c>
      <c r="I564" s="243">
        <v>0</v>
      </c>
      <c r="J564" s="243">
        <v>1</v>
      </c>
      <c r="K564" s="243">
        <v>2</v>
      </c>
      <c r="L564" s="243">
        <v>0</v>
      </c>
      <c r="M564" s="243">
        <v>1</v>
      </c>
      <c r="N564" s="243">
        <v>0</v>
      </c>
      <c r="O564" s="253">
        <v>0</v>
      </c>
    </row>
    <row r="565" spans="1:15">
      <c r="A565" s="242" t="s">
        <v>71</v>
      </c>
      <c r="B565" s="43" t="s">
        <v>4</v>
      </c>
      <c r="C565" s="15">
        <v>15</v>
      </c>
      <c r="D565" s="244">
        <v>1</v>
      </c>
      <c r="E565" s="244">
        <v>1</v>
      </c>
      <c r="F565" s="244">
        <v>0</v>
      </c>
      <c r="G565" s="244">
        <v>1</v>
      </c>
      <c r="H565" s="244">
        <v>1</v>
      </c>
      <c r="I565" s="244">
        <v>0</v>
      </c>
      <c r="J565" s="244">
        <v>4</v>
      </c>
      <c r="K565" s="244">
        <v>3</v>
      </c>
      <c r="L565" s="244">
        <v>1</v>
      </c>
      <c r="M565" s="244">
        <v>2</v>
      </c>
      <c r="N565" s="244">
        <v>1</v>
      </c>
      <c r="O565" s="254">
        <v>0</v>
      </c>
    </row>
    <row r="566" spans="1:15">
      <c r="A566" s="240" t="s">
        <v>71</v>
      </c>
      <c r="B566" s="47" t="s">
        <v>5</v>
      </c>
      <c r="C566" s="12">
        <v>0.708333333333333</v>
      </c>
      <c r="D566" s="241">
        <v>0</v>
      </c>
      <c r="E566" s="241">
        <v>0</v>
      </c>
      <c r="F566" s="241">
        <v>0</v>
      </c>
      <c r="G566" s="241">
        <v>0</v>
      </c>
      <c r="H566" s="241">
        <v>1</v>
      </c>
      <c r="I566" s="241">
        <v>0</v>
      </c>
      <c r="J566" s="241">
        <v>4</v>
      </c>
      <c r="K566" s="241">
        <v>1.5</v>
      </c>
      <c r="L566" s="241">
        <v>0</v>
      </c>
      <c r="M566" s="241">
        <v>2</v>
      </c>
      <c r="N566" s="241">
        <v>0</v>
      </c>
      <c r="O566" s="252">
        <v>0</v>
      </c>
    </row>
    <row r="567" spans="1:15">
      <c r="A567" s="242" t="s">
        <v>71</v>
      </c>
      <c r="B567" s="43" t="s">
        <v>6</v>
      </c>
      <c r="C567" s="15">
        <v>3</v>
      </c>
      <c r="D567" s="244">
        <v>1</v>
      </c>
      <c r="E567" s="244">
        <v>0</v>
      </c>
      <c r="F567" s="244">
        <v>0</v>
      </c>
      <c r="G567" s="244">
        <v>0</v>
      </c>
      <c r="H567" s="244">
        <v>0</v>
      </c>
      <c r="I567" s="244">
        <v>0</v>
      </c>
      <c r="J567" s="244">
        <v>0</v>
      </c>
      <c r="K567" s="244">
        <v>1</v>
      </c>
      <c r="L567" s="244">
        <v>1</v>
      </c>
      <c r="M567" s="244">
        <v>0</v>
      </c>
      <c r="N567" s="244">
        <v>0</v>
      </c>
      <c r="O567" s="254">
        <v>0</v>
      </c>
    </row>
    <row r="568" ht="14.25" spans="1:15">
      <c r="A568" s="245" t="s">
        <v>71</v>
      </c>
      <c r="B568" s="52" t="s">
        <v>64</v>
      </c>
      <c r="C568" s="19">
        <v>0.2</v>
      </c>
      <c r="D568" s="250">
        <v>1</v>
      </c>
      <c r="E568" s="250">
        <v>0</v>
      </c>
      <c r="F568" s="250">
        <v>0</v>
      </c>
      <c r="G568" s="250">
        <v>0</v>
      </c>
      <c r="H568" s="250">
        <v>0</v>
      </c>
      <c r="I568" s="250">
        <v>0</v>
      </c>
      <c r="J568" s="250">
        <v>0</v>
      </c>
      <c r="K568" s="250">
        <v>1</v>
      </c>
      <c r="L568" s="250">
        <v>1</v>
      </c>
      <c r="M568" s="250">
        <v>0</v>
      </c>
      <c r="N568" s="250">
        <v>0</v>
      </c>
      <c r="O568" s="257">
        <v>0</v>
      </c>
    </row>
    <row r="569" spans="1:15">
      <c r="A569" s="240" t="s">
        <v>72</v>
      </c>
      <c r="B569" s="47" t="s">
        <v>55</v>
      </c>
      <c r="C569" s="12">
        <v>1.07442927442927</v>
      </c>
      <c r="D569" s="241">
        <v>1.5</v>
      </c>
      <c r="E569" s="241">
        <v>1.33333333333333</v>
      </c>
      <c r="F569" s="241">
        <v>1</v>
      </c>
      <c r="G569" s="241">
        <v>1</v>
      </c>
      <c r="H569" s="241">
        <v>2</v>
      </c>
      <c r="I569" s="241">
        <v>1.6</v>
      </c>
      <c r="J569" s="241">
        <v>1.5</v>
      </c>
      <c r="K569" s="241">
        <v>0.818181818181818</v>
      </c>
      <c r="L569" s="241">
        <v>0.523809523809524</v>
      </c>
      <c r="M569" s="241">
        <v>0.538461538461538</v>
      </c>
      <c r="N569" s="241">
        <v>0.357142857142857</v>
      </c>
      <c r="O569" s="252">
        <v>0.722222222222222</v>
      </c>
    </row>
    <row r="570" spans="1:15">
      <c r="A570" s="242" t="s">
        <v>72</v>
      </c>
      <c r="B570" s="43" t="s">
        <v>57</v>
      </c>
      <c r="C570" s="15">
        <v>97</v>
      </c>
      <c r="D570" s="243">
        <v>2</v>
      </c>
      <c r="E570" s="243">
        <v>3</v>
      </c>
      <c r="F570" s="243">
        <v>1</v>
      </c>
      <c r="G570" s="243">
        <v>4</v>
      </c>
      <c r="H570" s="243">
        <v>3</v>
      </c>
      <c r="I570" s="243">
        <v>5</v>
      </c>
      <c r="J570" s="243">
        <v>2</v>
      </c>
      <c r="K570" s="243">
        <v>11</v>
      </c>
      <c r="L570" s="243">
        <v>21</v>
      </c>
      <c r="M570" s="243">
        <v>13</v>
      </c>
      <c r="N570" s="243">
        <v>14</v>
      </c>
      <c r="O570" s="253">
        <v>18</v>
      </c>
    </row>
    <row r="571" spans="1:15">
      <c r="A571" s="240" t="s">
        <v>72</v>
      </c>
      <c r="B571" s="47" t="s">
        <v>59</v>
      </c>
      <c r="C571" s="15">
        <v>74</v>
      </c>
      <c r="D571" s="243">
        <v>3</v>
      </c>
      <c r="E571" s="243">
        <v>4</v>
      </c>
      <c r="F571" s="243">
        <v>1</v>
      </c>
      <c r="G571" s="243">
        <v>4</v>
      </c>
      <c r="H571" s="243">
        <v>6</v>
      </c>
      <c r="I571" s="243">
        <v>8</v>
      </c>
      <c r="J571" s="243">
        <v>3</v>
      </c>
      <c r="K571" s="243">
        <v>9</v>
      </c>
      <c r="L571" s="243">
        <v>11</v>
      </c>
      <c r="M571" s="243">
        <v>7</v>
      </c>
      <c r="N571" s="243">
        <v>5</v>
      </c>
      <c r="O571" s="253">
        <v>13</v>
      </c>
    </row>
    <row r="572" spans="1:15">
      <c r="A572" s="242" t="s">
        <v>72</v>
      </c>
      <c r="B572" s="43" t="s">
        <v>4</v>
      </c>
      <c r="C572" s="15">
        <v>3</v>
      </c>
      <c r="D572" s="244">
        <v>0</v>
      </c>
      <c r="E572" s="244">
        <v>0</v>
      </c>
      <c r="F572" s="244">
        <v>0</v>
      </c>
      <c r="G572" s="244">
        <v>0</v>
      </c>
      <c r="H572" s="244">
        <v>0</v>
      </c>
      <c r="I572" s="244">
        <v>0</v>
      </c>
      <c r="J572" s="244">
        <v>0</v>
      </c>
      <c r="K572" s="244">
        <v>2</v>
      </c>
      <c r="L572" s="244">
        <v>0</v>
      </c>
      <c r="M572" s="244">
        <v>1</v>
      </c>
      <c r="N572" s="244">
        <v>0</v>
      </c>
      <c r="O572" s="254">
        <v>0</v>
      </c>
    </row>
    <row r="573" spans="1:15">
      <c r="A573" s="240" t="s">
        <v>72</v>
      </c>
      <c r="B573" s="47" t="s">
        <v>5</v>
      </c>
      <c r="C573" s="12">
        <v>0.0304232804232804</v>
      </c>
      <c r="D573" s="241">
        <v>0</v>
      </c>
      <c r="E573" s="241">
        <v>0</v>
      </c>
      <c r="F573" s="241">
        <v>0</v>
      </c>
      <c r="G573" s="241">
        <v>0</v>
      </c>
      <c r="H573" s="241">
        <v>0</v>
      </c>
      <c r="I573" s="241">
        <v>0</v>
      </c>
      <c r="J573" s="241">
        <v>0</v>
      </c>
      <c r="K573" s="241">
        <v>0.222222222222222</v>
      </c>
      <c r="L573" s="241">
        <v>0</v>
      </c>
      <c r="M573" s="241">
        <v>0.142857142857143</v>
      </c>
      <c r="N573" s="241">
        <v>0</v>
      </c>
      <c r="O573" s="252">
        <v>0</v>
      </c>
    </row>
    <row r="574" spans="1:15">
      <c r="A574" s="242" t="s">
        <v>72</v>
      </c>
      <c r="B574" s="43" t="s">
        <v>6</v>
      </c>
      <c r="C574" s="15">
        <v>1</v>
      </c>
      <c r="D574" s="244">
        <v>0</v>
      </c>
      <c r="E574" s="244">
        <v>0</v>
      </c>
      <c r="F574" s="244">
        <v>0</v>
      </c>
      <c r="G574" s="244">
        <v>0</v>
      </c>
      <c r="H574" s="244">
        <v>0</v>
      </c>
      <c r="I574" s="244">
        <v>0</v>
      </c>
      <c r="J574" s="244">
        <v>0</v>
      </c>
      <c r="K574" s="244">
        <v>0</v>
      </c>
      <c r="L574" s="244">
        <v>0</v>
      </c>
      <c r="M574" s="244">
        <v>1</v>
      </c>
      <c r="N574" s="244">
        <v>0</v>
      </c>
      <c r="O574" s="254">
        <v>0</v>
      </c>
    </row>
    <row r="575" ht="14.25" spans="1:15">
      <c r="A575" s="245" t="s">
        <v>72</v>
      </c>
      <c r="B575" s="52" t="s">
        <v>64</v>
      </c>
      <c r="C575" s="19">
        <v>0.333333333333333</v>
      </c>
      <c r="D575" s="250">
        <v>0</v>
      </c>
      <c r="E575" s="250">
        <v>0</v>
      </c>
      <c r="F575" s="250">
        <v>0</v>
      </c>
      <c r="G575" s="250">
        <v>0</v>
      </c>
      <c r="H575" s="250">
        <v>0</v>
      </c>
      <c r="I575" s="250">
        <v>0</v>
      </c>
      <c r="J575" s="250">
        <v>0</v>
      </c>
      <c r="K575" s="250">
        <v>0</v>
      </c>
      <c r="L575" s="250">
        <v>0</v>
      </c>
      <c r="M575" s="250">
        <v>1</v>
      </c>
      <c r="N575" s="250">
        <v>0</v>
      </c>
      <c r="O575" s="257">
        <v>0</v>
      </c>
    </row>
    <row r="576" ht="14.25" spans="1:15">
      <c r="A576" s="237">
        <v>45028</v>
      </c>
      <c r="B576" s="237"/>
      <c r="C576" s="237"/>
      <c r="D576" s="237"/>
      <c r="E576" s="237"/>
      <c r="F576" s="237"/>
      <c r="G576" s="237"/>
      <c r="H576" s="237"/>
      <c r="I576" s="237"/>
      <c r="J576" s="237"/>
      <c r="K576" s="237"/>
      <c r="L576" s="237"/>
      <c r="M576" s="237"/>
      <c r="N576" s="237"/>
      <c r="O576" s="237"/>
    </row>
    <row r="577" spans="1:15">
      <c r="A577" s="56" t="s">
        <v>1</v>
      </c>
      <c r="B577" s="238"/>
      <c r="C577" s="8" t="s">
        <v>42</v>
      </c>
      <c r="D577" s="239" t="s">
        <v>43</v>
      </c>
      <c r="E577" s="239" t="s">
        <v>44</v>
      </c>
      <c r="F577" s="239" t="s">
        <v>45</v>
      </c>
      <c r="G577" s="239" t="s">
        <v>46</v>
      </c>
      <c r="H577" s="239" t="s">
        <v>47</v>
      </c>
      <c r="I577" s="239" t="s">
        <v>48</v>
      </c>
      <c r="J577" s="239" t="s">
        <v>49</v>
      </c>
      <c r="K577" s="239" t="s">
        <v>50</v>
      </c>
      <c r="L577" s="239" t="s">
        <v>51</v>
      </c>
      <c r="M577" s="239" t="s">
        <v>52</v>
      </c>
      <c r="N577" s="239" t="s">
        <v>53</v>
      </c>
      <c r="O577" s="251" t="s">
        <v>54</v>
      </c>
    </row>
    <row r="578" spans="1:15">
      <c r="A578" s="240" t="s">
        <v>22</v>
      </c>
      <c r="B578" s="47" t="s">
        <v>55</v>
      </c>
      <c r="C578" s="12">
        <v>0.357454766746143</v>
      </c>
      <c r="D578" s="241">
        <v>0.232524964336662</v>
      </c>
      <c r="E578" s="241">
        <v>0.154121863799283</v>
      </c>
      <c r="F578" s="241">
        <v>0.161643835616438</v>
      </c>
      <c r="G578" s="241">
        <v>0.358490566037736</v>
      </c>
      <c r="H578" s="241">
        <v>0.429553264604811</v>
      </c>
      <c r="I578" s="241">
        <v>0.58955223880597</v>
      </c>
      <c r="J578" s="241">
        <v>0.476190476190476</v>
      </c>
      <c r="K578" s="241">
        <v>0.460251046025105</v>
      </c>
      <c r="L578" s="241">
        <v>0.411483253588517</v>
      </c>
      <c r="M578" s="241">
        <v>0.438524590163934</v>
      </c>
      <c r="N578" s="241">
        <v>0.33048433048433</v>
      </c>
      <c r="O578" s="252">
        <v>0.246636771300448</v>
      </c>
    </row>
    <row r="579" spans="1:15">
      <c r="A579" s="242" t="s">
        <v>22</v>
      </c>
      <c r="B579" s="43" t="s">
        <v>57</v>
      </c>
      <c r="C579" s="15">
        <v>4210</v>
      </c>
      <c r="D579" s="243">
        <v>701</v>
      </c>
      <c r="E579" s="243">
        <v>558</v>
      </c>
      <c r="F579" s="243">
        <v>365</v>
      </c>
      <c r="G579" s="243">
        <v>265</v>
      </c>
      <c r="H579" s="243">
        <v>291</v>
      </c>
      <c r="I579" s="243">
        <v>268</v>
      </c>
      <c r="J579" s="243">
        <v>273</v>
      </c>
      <c r="K579" s="243">
        <v>239</v>
      </c>
      <c r="L579" s="243">
        <v>209</v>
      </c>
      <c r="M579" s="243">
        <v>244</v>
      </c>
      <c r="N579" s="243">
        <v>351</v>
      </c>
      <c r="O579" s="253">
        <v>446</v>
      </c>
    </row>
    <row r="580" spans="1:15">
      <c r="A580" s="240" t="s">
        <v>22</v>
      </c>
      <c r="B580" s="47" t="s">
        <v>59</v>
      </c>
      <c r="C580" s="15">
        <v>1345</v>
      </c>
      <c r="D580" s="243">
        <v>163</v>
      </c>
      <c r="E580" s="243">
        <v>86</v>
      </c>
      <c r="F580" s="243">
        <v>59</v>
      </c>
      <c r="G580" s="243">
        <v>95</v>
      </c>
      <c r="H580" s="243">
        <v>125</v>
      </c>
      <c r="I580" s="243">
        <v>158</v>
      </c>
      <c r="J580" s="243">
        <v>130</v>
      </c>
      <c r="K580" s="243">
        <v>110</v>
      </c>
      <c r="L580" s="243">
        <v>86</v>
      </c>
      <c r="M580" s="243">
        <v>107</v>
      </c>
      <c r="N580" s="243">
        <v>116</v>
      </c>
      <c r="O580" s="253">
        <v>110</v>
      </c>
    </row>
    <row r="581" spans="1:15">
      <c r="A581" s="242" t="s">
        <v>22</v>
      </c>
      <c r="B581" s="43" t="s">
        <v>4</v>
      </c>
      <c r="C581" s="15">
        <v>76</v>
      </c>
      <c r="D581" s="244">
        <v>8</v>
      </c>
      <c r="E581" s="244">
        <v>9</v>
      </c>
      <c r="F581" s="244">
        <v>4</v>
      </c>
      <c r="G581" s="244">
        <v>7</v>
      </c>
      <c r="H581" s="244">
        <v>7</v>
      </c>
      <c r="I581" s="244">
        <v>7</v>
      </c>
      <c r="J581" s="244">
        <v>4</v>
      </c>
      <c r="K581" s="244">
        <v>4</v>
      </c>
      <c r="L581" s="244">
        <v>3</v>
      </c>
      <c r="M581" s="244">
        <v>7</v>
      </c>
      <c r="N581" s="244">
        <v>4</v>
      </c>
      <c r="O581" s="254">
        <v>12</v>
      </c>
    </row>
    <row r="582" spans="1:15">
      <c r="A582" s="240" t="s">
        <v>22</v>
      </c>
      <c r="B582" s="47" t="s">
        <v>5</v>
      </c>
      <c r="C582" s="12">
        <v>0.0588771960065374</v>
      </c>
      <c r="D582" s="241">
        <v>0.049079754601227</v>
      </c>
      <c r="E582" s="241">
        <v>0.104651162790698</v>
      </c>
      <c r="F582" s="241">
        <v>0.0677966101694915</v>
      </c>
      <c r="G582" s="241">
        <v>0.0736842105263158</v>
      </c>
      <c r="H582" s="241">
        <v>0.056</v>
      </c>
      <c r="I582" s="241">
        <v>0.0443037974683544</v>
      </c>
      <c r="J582" s="241">
        <v>0.0307692307692308</v>
      </c>
      <c r="K582" s="241">
        <v>0.0363636363636364</v>
      </c>
      <c r="L582" s="241">
        <v>0.0348837209302326</v>
      </c>
      <c r="M582" s="241">
        <v>0.0654205607476635</v>
      </c>
      <c r="N582" s="241">
        <v>0.0344827586206897</v>
      </c>
      <c r="O582" s="252">
        <v>0.109090909090909</v>
      </c>
    </row>
    <row r="583" spans="1:15">
      <c r="A583" s="242" t="s">
        <v>22</v>
      </c>
      <c r="B583" s="43" t="s">
        <v>6</v>
      </c>
      <c r="C583" s="15">
        <v>35</v>
      </c>
      <c r="D583" s="244">
        <v>2</v>
      </c>
      <c r="E583" s="244">
        <v>5</v>
      </c>
      <c r="F583" s="244">
        <v>2</v>
      </c>
      <c r="G583" s="244">
        <v>5</v>
      </c>
      <c r="H583" s="244">
        <v>2</v>
      </c>
      <c r="I583" s="244">
        <v>2</v>
      </c>
      <c r="J583" s="244">
        <v>2</v>
      </c>
      <c r="K583" s="244">
        <v>1</v>
      </c>
      <c r="L583" s="244">
        <v>3</v>
      </c>
      <c r="M583" s="244">
        <v>5</v>
      </c>
      <c r="N583" s="244">
        <v>2</v>
      </c>
      <c r="O583" s="254">
        <v>4</v>
      </c>
    </row>
    <row r="584" ht="14.25" spans="1:15">
      <c r="A584" s="245" t="s">
        <v>22</v>
      </c>
      <c r="B584" s="52" t="s">
        <v>64</v>
      </c>
      <c r="C584" s="19">
        <v>0.460526315789474</v>
      </c>
      <c r="D584" s="246">
        <v>0.25</v>
      </c>
      <c r="E584" s="246">
        <v>0.555555555555556</v>
      </c>
      <c r="F584" s="246">
        <v>0.5</v>
      </c>
      <c r="G584" s="246">
        <v>0.714285714285714</v>
      </c>
      <c r="H584" s="246">
        <v>0.285714285714286</v>
      </c>
      <c r="I584" s="246">
        <v>0.285714285714286</v>
      </c>
      <c r="J584" s="246">
        <v>0.5</v>
      </c>
      <c r="K584" s="246">
        <v>0.25</v>
      </c>
      <c r="L584" s="246">
        <v>1</v>
      </c>
      <c r="M584" s="246">
        <v>0.714285714285714</v>
      </c>
      <c r="N584" s="246">
        <v>0.5</v>
      </c>
      <c r="O584" s="255">
        <v>0.333333333333333</v>
      </c>
    </row>
    <row r="585" spans="1:15">
      <c r="A585" s="247" t="s">
        <v>66</v>
      </c>
      <c r="B585" s="248" t="s">
        <v>55</v>
      </c>
      <c r="C585" s="12">
        <v>0.183286824263714</v>
      </c>
      <c r="D585" s="249">
        <v>0.188235294117647</v>
      </c>
      <c r="E585" s="249">
        <v>0.111111111111111</v>
      </c>
      <c r="F585" s="249">
        <v>0.0855614973262032</v>
      </c>
      <c r="G585" s="249">
        <v>0.111111111111111</v>
      </c>
      <c r="H585" s="249">
        <v>0.237837837837838</v>
      </c>
      <c r="I585" s="249">
        <v>0.222826086956522</v>
      </c>
      <c r="J585" s="249">
        <v>0.164893617021277</v>
      </c>
      <c r="K585" s="249">
        <v>0.195652173913043</v>
      </c>
      <c r="L585" s="249">
        <v>0.214285714285714</v>
      </c>
      <c r="M585" s="249">
        <v>0.223776223776224</v>
      </c>
      <c r="N585" s="249">
        <v>0.229591836734694</v>
      </c>
      <c r="O585" s="256">
        <v>0.21455938697318</v>
      </c>
    </row>
    <row r="586" spans="1:15">
      <c r="A586" s="242" t="s">
        <v>66</v>
      </c>
      <c r="B586" s="43" t="s">
        <v>57</v>
      </c>
      <c r="C586" s="15">
        <v>2410</v>
      </c>
      <c r="D586" s="243">
        <v>255</v>
      </c>
      <c r="E586" s="243">
        <v>252</v>
      </c>
      <c r="F586" s="243">
        <v>187</v>
      </c>
      <c r="G586" s="243">
        <v>207</v>
      </c>
      <c r="H586" s="243">
        <v>185</v>
      </c>
      <c r="I586" s="243">
        <v>184</v>
      </c>
      <c r="J586" s="243">
        <v>188</v>
      </c>
      <c r="K586" s="243">
        <v>184</v>
      </c>
      <c r="L586" s="243">
        <v>168</v>
      </c>
      <c r="M586" s="243">
        <v>143</v>
      </c>
      <c r="N586" s="243">
        <v>196</v>
      </c>
      <c r="O586" s="253">
        <v>261</v>
      </c>
    </row>
    <row r="587" spans="1:15">
      <c r="A587" s="240" t="s">
        <v>66</v>
      </c>
      <c r="B587" s="47" t="s">
        <v>59</v>
      </c>
      <c r="C587" s="15">
        <v>436</v>
      </c>
      <c r="D587" s="243">
        <v>48</v>
      </c>
      <c r="E587" s="243">
        <v>28</v>
      </c>
      <c r="F587" s="243">
        <v>16</v>
      </c>
      <c r="G587" s="243">
        <v>23</v>
      </c>
      <c r="H587" s="243">
        <v>44</v>
      </c>
      <c r="I587" s="243">
        <v>41</v>
      </c>
      <c r="J587" s="243">
        <v>31</v>
      </c>
      <c r="K587" s="243">
        <v>36</v>
      </c>
      <c r="L587" s="243">
        <v>36</v>
      </c>
      <c r="M587" s="243">
        <v>32</v>
      </c>
      <c r="N587" s="243">
        <v>45</v>
      </c>
      <c r="O587" s="253">
        <v>56</v>
      </c>
    </row>
    <row r="588" spans="1:15">
      <c r="A588" s="242" t="s">
        <v>66</v>
      </c>
      <c r="B588" s="43" t="s">
        <v>4</v>
      </c>
      <c r="C588" s="15">
        <v>36</v>
      </c>
      <c r="D588" s="244">
        <v>3</v>
      </c>
      <c r="E588" s="244">
        <v>2</v>
      </c>
      <c r="F588" s="244">
        <v>1</v>
      </c>
      <c r="G588" s="244">
        <v>0</v>
      </c>
      <c r="H588" s="244">
        <v>2</v>
      </c>
      <c r="I588" s="244">
        <v>4</v>
      </c>
      <c r="J588" s="244">
        <v>4</v>
      </c>
      <c r="K588" s="244">
        <v>3</v>
      </c>
      <c r="L588" s="244">
        <v>6</v>
      </c>
      <c r="M588" s="244">
        <v>4</v>
      </c>
      <c r="N588" s="244">
        <v>3</v>
      </c>
      <c r="O588" s="254">
        <v>4</v>
      </c>
    </row>
    <row r="589" spans="1:15">
      <c r="A589" s="240" t="s">
        <v>66</v>
      </c>
      <c r="B589" s="47" t="s">
        <v>5</v>
      </c>
      <c r="C589" s="12">
        <v>0.0817976323877189</v>
      </c>
      <c r="D589" s="241">
        <v>0.0625</v>
      </c>
      <c r="E589" s="241">
        <v>0.0714285714285714</v>
      </c>
      <c r="F589" s="241">
        <v>0.0625</v>
      </c>
      <c r="G589" s="241">
        <v>0</v>
      </c>
      <c r="H589" s="241">
        <v>0.0454545454545455</v>
      </c>
      <c r="I589" s="241">
        <v>0.0975609756097561</v>
      </c>
      <c r="J589" s="241">
        <v>0.129032258064516</v>
      </c>
      <c r="K589" s="241">
        <v>0.0833333333333333</v>
      </c>
      <c r="L589" s="241">
        <v>0.166666666666667</v>
      </c>
      <c r="M589" s="241">
        <v>0.125</v>
      </c>
      <c r="N589" s="241">
        <v>0.0666666666666667</v>
      </c>
      <c r="O589" s="252">
        <v>0.0714285714285714</v>
      </c>
    </row>
    <row r="590" spans="1:15">
      <c r="A590" s="242" t="s">
        <v>66</v>
      </c>
      <c r="B590" s="43" t="s">
        <v>6</v>
      </c>
      <c r="C590" s="15">
        <v>13</v>
      </c>
      <c r="D590" s="244">
        <v>0</v>
      </c>
      <c r="E590" s="244">
        <v>1</v>
      </c>
      <c r="F590" s="244">
        <v>1</v>
      </c>
      <c r="G590" s="244">
        <v>0</v>
      </c>
      <c r="H590" s="244">
        <v>0</v>
      </c>
      <c r="I590" s="244">
        <v>2</v>
      </c>
      <c r="J590" s="244">
        <v>2</v>
      </c>
      <c r="K590" s="244">
        <v>1</v>
      </c>
      <c r="L590" s="244">
        <v>4</v>
      </c>
      <c r="M590" s="244">
        <v>0</v>
      </c>
      <c r="N590" s="244">
        <v>1</v>
      </c>
      <c r="O590" s="254">
        <v>1</v>
      </c>
    </row>
    <row r="591" ht="14.25" spans="1:15">
      <c r="A591" s="245" t="s">
        <v>66</v>
      </c>
      <c r="B591" s="52" t="s">
        <v>64</v>
      </c>
      <c r="C591" s="19">
        <v>0.361111111111111</v>
      </c>
      <c r="D591" s="246">
        <v>0</v>
      </c>
      <c r="E591" s="246">
        <v>0.5</v>
      </c>
      <c r="F591" s="246">
        <v>1</v>
      </c>
      <c r="G591" s="246">
        <v>0</v>
      </c>
      <c r="H591" s="246">
        <v>0</v>
      </c>
      <c r="I591" s="246">
        <v>0.5</v>
      </c>
      <c r="J591" s="246">
        <v>0.5</v>
      </c>
      <c r="K591" s="246">
        <v>0.333333333333333</v>
      </c>
      <c r="L591" s="246">
        <v>0.666666666666667</v>
      </c>
      <c r="M591" s="246">
        <v>0</v>
      </c>
      <c r="N591" s="246">
        <v>0.333333333333333</v>
      </c>
      <c r="O591" s="255">
        <v>0.25</v>
      </c>
    </row>
    <row r="592" spans="1:15">
      <c r="A592" s="240" t="s">
        <v>67</v>
      </c>
      <c r="B592" s="47" t="s">
        <v>55</v>
      </c>
      <c r="C592" s="12">
        <v>0.443730303317592</v>
      </c>
      <c r="D592" s="241">
        <v>0.58695652173913</v>
      </c>
      <c r="E592" s="241">
        <v>0.413793103448276</v>
      </c>
      <c r="F592" s="241">
        <v>0.3</v>
      </c>
      <c r="G592" s="241">
        <v>0.5</v>
      </c>
      <c r="H592" s="241">
        <v>0.460526315789474</v>
      </c>
      <c r="I592" s="241">
        <v>0.606060606060606</v>
      </c>
      <c r="J592" s="241">
        <v>0.385714285714286</v>
      </c>
      <c r="K592" s="241">
        <v>0.464285714285714</v>
      </c>
      <c r="L592" s="241">
        <v>0.564102564102564</v>
      </c>
      <c r="M592" s="241">
        <v>0.401960784313726</v>
      </c>
      <c r="N592" s="241">
        <v>0.297101449275362</v>
      </c>
      <c r="O592" s="252">
        <v>0.344262295081967</v>
      </c>
    </row>
    <row r="593" spans="1:15">
      <c r="A593" s="242" t="s">
        <v>67</v>
      </c>
      <c r="B593" s="43" t="s">
        <v>57</v>
      </c>
      <c r="C593" s="15">
        <v>982</v>
      </c>
      <c r="D593" s="243">
        <v>92</v>
      </c>
      <c r="E593" s="243">
        <v>58</v>
      </c>
      <c r="F593" s="243">
        <v>40</v>
      </c>
      <c r="G593" s="243">
        <v>56</v>
      </c>
      <c r="H593" s="243">
        <v>76</v>
      </c>
      <c r="I593" s="243">
        <v>66</v>
      </c>
      <c r="J593" s="243">
        <v>70</v>
      </c>
      <c r="K593" s="243">
        <v>84</v>
      </c>
      <c r="L593" s="243">
        <v>78</v>
      </c>
      <c r="M593" s="243">
        <v>102</v>
      </c>
      <c r="N593" s="243">
        <v>138</v>
      </c>
      <c r="O593" s="253">
        <v>122</v>
      </c>
    </row>
    <row r="594" spans="1:15">
      <c r="A594" s="240" t="s">
        <v>67</v>
      </c>
      <c r="B594" s="47" t="s">
        <v>59</v>
      </c>
      <c r="C594" s="15">
        <v>427</v>
      </c>
      <c r="D594" s="243">
        <v>54</v>
      </c>
      <c r="E594" s="243">
        <v>24</v>
      </c>
      <c r="F594" s="243">
        <v>12</v>
      </c>
      <c r="G594" s="243">
        <v>28</v>
      </c>
      <c r="H594" s="243">
        <v>35</v>
      </c>
      <c r="I594" s="243">
        <v>40</v>
      </c>
      <c r="J594" s="243">
        <v>27</v>
      </c>
      <c r="K594" s="243">
        <v>39</v>
      </c>
      <c r="L594" s="243">
        <v>44</v>
      </c>
      <c r="M594" s="243">
        <v>41</v>
      </c>
      <c r="N594" s="243">
        <v>41</v>
      </c>
      <c r="O594" s="253">
        <v>42</v>
      </c>
    </row>
    <row r="595" spans="1:15">
      <c r="A595" s="242" t="s">
        <v>67</v>
      </c>
      <c r="B595" s="43" t="s">
        <v>4</v>
      </c>
      <c r="C595" s="15">
        <v>14</v>
      </c>
      <c r="D595" s="244">
        <v>2</v>
      </c>
      <c r="E595" s="244">
        <v>1</v>
      </c>
      <c r="F595" s="244">
        <v>2</v>
      </c>
      <c r="G595" s="244">
        <v>0</v>
      </c>
      <c r="H595" s="244">
        <v>1</v>
      </c>
      <c r="I595" s="244">
        <v>1</v>
      </c>
      <c r="J595" s="244">
        <v>1</v>
      </c>
      <c r="K595" s="244">
        <v>1</v>
      </c>
      <c r="L595" s="244">
        <v>1</v>
      </c>
      <c r="M595" s="244">
        <v>3</v>
      </c>
      <c r="N595" s="244">
        <v>0</v>
      </c>
      <c r="O595" s="254">
        <v>1</v>
      </c>
    </row>
    <row r="596" spans="1:15">
      <c r="A596" s="240" t="s">
        <v>67</v>
      </c>
      <c r="B596" s="47" t="s">
        <v>5</v>
      </c>
      <c r="C596" s="12">
        <v>0.0401106158219979</v>
      </c>
      <c r="D596" s="241">
        <v>0.037037037037037</v>
      </c>
      <c r="E596" s="241">
        <v>0.0416666666666667</v>
      </c>
      <c r="F596" s="241">
        <v>0.166666666666667</v>
      </c>
      <c r="G596" s="241">
        <v>0</v>
      </c>
      <c r="H596" s="241">
        <v>0.0285714285714286</v>
      </c>
      <c r="I596" s="241">
        <v>0.025</v>
      </c>
      <c r="J596" s="241">
        <v>0.037037037037037</v>
      </c>
      <c r="K596" s="241">
        <v>0.0256410256410256</v>
      </c>
      <c r="L596" s="241">
        <v>0.0227272727272727</v>
      </c>
      <c r="M596" s="241">
        <v>0.0731707317073171</v>
      </c>
      <c r="N596" s="241">
        <v>0</v>
      </c>
      <c r="O596" s="252">
        <v>0.0238095238095238</v>
      </c>
    </row>
    <row r="597" spans="1:15">
      <c r="A597" s="242" t="s">
        <v>67</v>
      </c>
      <c r="B597" s="43" t="s">
        <v>6</v>
      </c>
      <c r="C597" s="15">
        <v>8</v>
      </c>
      <c r="D597" s="244">
        <v>2</v>
      </c>
      <c r="E597" s="244">
        <v>1</v>
      </c>
      <c r="F597" s="244">
        <v>1</v>
      </c>
      <c r="G597" s="244">
        <v>0</v>
      </c>
      <c r="H597" s="244">
        <v>1</v>
      </c>
      <c r="I597" s="244">
        <v>1</v>
      </c>
      <c r="J597" s="244">
        <v>0</v>
      </c>
      <c r="K597" s="244">
        <v>0</v>
      </c>
      <c r="L597" s="244">
        <v>1</v>
      </c>
      <c r="M597" s="244">
        <v>1</v>
      </c>
      <c r="N597" s="244">
        <v>0</v>
      </c>
      <c r="O597" s="254">
        <v>0</v>
      </c>
    </row>
    <row r="598" ht="14.25" spans="1:15">
      <c r="A598" s="245" t="s">
        <v>67</v>
      </c>
      <c r="B598" s="52" t="s">
        <v>64</v>
      </c>
      <c r="C598" s="19">
        <v>0.571428571428571</v>
      </c>
      <c r="D598" s="246">
        <v>1</v>
      </c>
      <c r="E598" s="246">
        <v>1</v>
      </c>
      <c r="F598" s="246">
        <v>0.5</v>
      </c>
      <c r="G598" s="246">
        <v>0</v>
      </c>
      <c r="H598" s="246">
        <v>1</v>
      </c>
      <c r="I598" s="246">
        <v>1</v>
      </c>
      <c r="J598" s="246">
        <v>0</v>
      </c>
      <c r="K598" s="246">
        <v>0</v>
      </c>
      <c r="L598" s="246">
        <v>1</v>
      </c>
      <c r="M598" s="246">
        <v>0.333333333333333</v>
      </c>
      <c r="N598" s="246">
        <v>0</v>
      </c>
      <c r="O598" s="255">
        <v>0</v>
      </c>
    </row>
    <row r="599" spans="1:15">
      <c r="A599" s="240" t="s">
        <v>68</v>
      </c>
      <c r="B599" s="47" t="s">
        <v>55</v>
      </c>
      <c r="C599" s="12">
        <v>0.0902717538407419</v>
      </c>
      <c r="D599" s="241">
        <v>0.158878504672897</v>
      </c>
      <c r="E599" s="241">
        <v>0.151162790697674</v>
      </c>
      <c r="F599" s="241">
        <v>0.176190476190476</v>
      </c>
      <c r="G599" s="241">
        <v>0.0759803921568627</v>
      </c>
      <c r="H599" s="241">
        <v>0.0796915167095116</v>
      </c>
      <c r="I599" s="241">
        <v>0.0942184154175589</v>
      </c>
      <c r="J599" s="241">
        <v>0.0542406311637081</v>
      </c>
      <c r="K599" s="241">
        <v>0.0707964601769911</v>
      </c>
      <c r="L599" s="241">
        <v>0.0607476635514019</v>
      </c>
      <c r="M599" s="241">
        <v>0.0658747300215983</v>
      </c>
      <c r="N599" s="241">
        <v>0.0490367775831874</v>
      </c>
      <c r="O599" s="252">
        <v>0.0464426877470356</v>
      </c>
    </row>
    <row r="600" spans="1:15">
      <c r="A600" s="242" t="s">
        <v>68</v>
      </c>
      <c r="B600" s="43" t="s">
        <v>57</v>
      </c>
      <c r="C600" s="15">
        <v>8784</v>
      </c>
      <c r="D600" s="243">
        <v>428</v>
      </c>
      <c r="E600" s="243">
        <v>172</v>
      </c>
      <c r="F600" s="243">
        <v>210</v>
      </c>
      <c r="G600" s="243">
        <v>408</v>
      </c>
      <c r="H600" s="243">
        <v>778</v>
      </c>
      <c r="I600" s="243">
        <v>934</v>
      </c>
      <c r="J600" s="243">
        <v>1014</v>
      </c>
      <c r="K600" s="243">
        <v>904</v>
      </c>
      <c r="L600" s="243">
        <v>856</v>
      </c>
      <c r="M600" s="243">
        <v>926</v>
      </c>
      <c r="N600" s="243">
        <v>1142</v>
      </c>
      <c r="O600" s="253">
        <v>1012</v>
      </c>
    </row>
    <row r="601" spans="1:15">
      <c r="A601" s="240" t="s">
        <v>68</v>
      </c>
      <c r="B601" s="47" t="s">
        <v>59</v>
      </c>
      <c r="C601" s="15">
        <v>647</v>
      </c>
      <c r="D601" s="243">
        <v>68</v>
      </c>
      <c r="E601" s="243">
        <v>26</v>
      </c>
      <c r="F601" s="243">
        <v>37</v>
      </c>
      <c r="G601" s="243">
        <v>31</v>
      </c>
      <c r="H601" s="243">
        <v>62</v>
      </c>
      <c r="I601" s="243">
        <v>88</v>
      </c>
      <c r="J601" s="243">
        <v>55</v>
      </c>
      <c r="K601" s="243">
        <v>64</v>
      </c>
      <c r="L601" s="243">
        <v>52</v>
      </c>
      <c r="M601" s="243">
        <v>61</v>
      </c>
      <c r="N601" s="243">
        <v>56</v>
      </c>
      <c r="O601" s="253">
        <v>47</v>
      </c>
    </row>
    <row r="602" spans="1:15">
      <c r="A602" s="242" t="s">
        <v>68</v>
      </c>
      <c r="B602" s="43" t="s">
        <v>4</v>
      </c>
      <c r="C602" s="15">
        <v>36</v>
      </c>
      <c r="D602" s="244">
        <v>6</v>
      </c>
      <c r="E602" s="244">
        <v>3</v>
      </c>
      <c r="F602" s="244">
        <v>0</v>
      </c>
      <c r="G602" s="244">
        <v>0</v>
      </c>
      <c r="H602" s="244">
        <v>3</v>
      </c>
      <c r="I602" s="244">
        <v>2</v>
      </c>
      <c r="J602" s="244">
        <v>2</v>
      </c>
      <c r="K602" s="244">
        <v>3</v>
      </c>
      <c r="L602" s="244">
        <v>5</v>
      </c>
      <c r="M602" s="244">
        <v>3</v>
      </c>
      <c r="N602" s="244">
        <v>3</v>
      </c>
      <c r="O602" s="254">
        <v>6</v>
      </c>
    </row>
    <row r="603" spans="1:15">
      <c r="A603" s="240" t="s">
        <v>68</v>
      </c>
      <c r="B603" s="47" t="s">
        <v>5</v>
      </c>
      <c r="C603" s="12">
        <v>0.0570448410357981</v>
      </c>
      <c r="D603" s="241">
        <v>0.0882352941176471</v>
      </c>
      <c r="E603" s="241">
        <v>0.115384615384615</v>
      </c>
      <c r="F603" s="241">
        <v>0</v>
      </c>
      <c r="G603" s="241">
        <v>0</v>
      </c>
      <c r="H603" s="241">
        <v>0.0483870967741935</v>
      </c>
      <c r="I603" s="241">
        <v>0.0227272727272727</v>
      </c>
      <c r="J603" s="241">
        <v>0.0363636363636364</v>
      </c>
      <c r="K603" s="241">
        <v>0.046875</v>
      </c>
      <c r="L603" s="241">
        <v>0.0961538461538462</v>
      </c>
      <c r="M603" s="241">
        <v>0.0491803278688525</v>
      </c>
      <c r="N603" s="241">
        <v>0.0535714285714286</v>
      </c>
      <c r="O603" s="252">
        <v>0.127659574468085</v>
      </c>
    </row>
    <row r="604" spans="1:15">
      <c r="A604" s="242" t="s">
        <v>68</v>
      </c>
      <c r="B604" s="43" t="s">
        <v>6</v>
      </c>
      <c r="C604" s="15">
        <v>17</v>
      </c>
      <c r="D604" s="244">
        <v>0</v>
      </c>
      <c r="E604" s="244">
        <v>2</v>
      </c>
      <c r="F604" s="244">
        <v>0</v>
      </c>
      <c r="G604" s="244">
        <v>0</v>
      </c>
      <c r="H604" s="244">
        <v>2</v>
      </c>
      <c r="I604" s="244">
        <v>1</v>
      </c>
      <c r="J604" s="244">
        <v>1</v>
      </c>
      <c r="K604" s="244">
        <v>3</v>
      </c>
      <c r="L604" s="244">
        <v>1</v>
      </c>
      <c r="M604" s="244">
        <v>2</v>
      </c>
      <c r="N604" s="244">
        <v>2</v>
      </c>
      <c r="O604" s="254">
        <v>3</v>
      </c>
    </row>
    <row r="605" ht="14.25" spans="1:15">
      <c r="A605" s="245" t="s">
        <v>68</v>
      </c>
      <c r="B605" s="52" t="s">
        <v>64</v>
      </c>
      <c r="C605" s="19">
        <v>0.472222222222222</v>
      </c>
      <c r="D605" s="246">
        <v>0</v>
      </c>
      <c r="E605" s="246">
        <v>0.666666666666667</v>
      </c>
      <c r="F605" s="246">
        <v>0</v>
      </c>
      <c r="G605" s="246">
        <v>0</v>
      </c>
      <c r="H605" s="246">
        <v>0.666666666666667</v>
      </c>
      <c r="I605" s="246">
        <v>0.5</v>
      </c>
      <c r="J605" s="246">
        <v>0.5</v>
      </c>
      <c r="K605" s="246">
        <v>1</v>
      </c>
      <c r="L605" s="246">
        <v>0.2</v>
      </c>
      <c r="M605" s="246">
        <v>0.666666666666667</v>
      </c>
      <c r="N605" s="246">
        <v>0.666666666666667</v>
      </c>
      <c r="O605" s="255">
        <v>0.5</v>
      </c>
    </row>
    <row r="606" spans="1:15">
      <c r="A606" s="240" t="s">
        <v>69</v>
      </c>
      <c r="B606" s="47" t="s">
        <v>55</v>
      </c>
      <c r="C606" s="12">
        <v>1.55329190075238</v>
      </c>
      <c r="D606" s="241">
        <v>1.30188679245283</v>
      </c>
      <c r="E606" s="241">
        <v>1.03225806451613</v>
      </c>
      <c r="F606" s="241">
        <v>0.888888888888889</v>
      </c>
      <c r="G606" s="241">
        <v>2.84615384615385</v>
      </c>
      <c r="H606" s="241">
        <v>2.04347826086957</v>
      </c>
      <c r="I606" s="241">
        <v>1.72727272727273</v>
      </c>
      <c r="J606" s="241">
        <v>1.5</v>
      </c>
      <c r="K606" s="241">
        <v>1.30769230769231</v>
      </c>
      <c r="L606" s="241">
        <v>1.62068965517241</v>
      </c>
      <c r="M606" s="241">
        <v>1.96428571428571</v>
      </c>
      <c r="N606" s="241">
        <v>1.20689655172414</v>
      </c>
      <c r="O606" s="252">
        <v>1.2</v>
      </c>
    </row>
    <row r="607" spans="1:15">
      <c r="A607" s="242" t="s">
        <v>69</v>
      </c>
      <c r="B607" s="43" t="s">
        <v>57</v>
      </c>
      <c r="C607" s="15">
        <v>409</v>
      </c>
      <c r="D607" s="243">
        <v>53</v>
      </c>
      <c r="E607" s="243">
        <v>31</v>
      </c>
      <c r="F607" s="243">
        <v>9</v>
      </c>
      <c r="G607" s="243">
        <v>13</v>
      </c>
      <c r="H607" s="243">
        <v>23</v>
      </c>
      <c r="I607" s="243">
        <v>33</v>
      </c>
      <c r="J607" s="243">
        <v>38</v>
      </c>
      <c r="K607" s="243">
        <v>39</v>
      </c>
      <c r="L607" s="243">
        <v>29</v>
      </c>
      <c r="M607" s="243">
        <v>28</v>
      </c>
      <c r="N607" s="243">
        <v>58</v>
      </c>
      <c r="O607" s="253">
        <v>55</v>
      </c>
    </row>
    <row r="608" spans="1:15">
      <c r="A608" s="240" t="s">
        <v>69</v>
      </c>
      <c r="B608" s="47" t="s">
        <v>59</v>
      </c>
      <c r="C608" s="15">
        <v>596</v>
      </c>
      <c r="D608" s="243">
        <v>69</v>
      </c>
      <c r="E608" s="243">
        <v>32</v>
      </c>
      <c r="F608" s="243">
        <v>8</v>
      </c>
      <c r="G608" s="243">
        <v>37</v>
      </c>
      <c r="H608" s="243">
        <v>47</v>
      </c>
      <c r="I608" s="243">
        <v>57</v>
      </c>
      <c r="J608" s="243">
        <v>57</v>
      </c>
      <c r="K608" s="243">
        <v>51</v>
      </c>
      <c r="L608" s="243">
        <v>47</v>
      </c>
      <c r="M608" s="243">
        <v>55</v>
      </c>
      <c r="N608" s="243">
        <v>70</v>
      </c>
      <c r="O608" s="253">
        <v>66</v>
      </c>
    </row>
    <row r="609" spans="1:15">
      <c r="A609" s="242" t="s">
        <v>69</v>
      </c>
      <c r="B609" s="43" t="s">
        <v>4</v>
      </c>
      <c r="C609" s="15">
        <v>22</v>
      </c>
      <c r="D609" s="244">
        <v>1</v>
      </c>
      <c r="E609" s="244">
        <v>1</v>
      </c>
      <c r="F609" s="244">
        <v>0</v>
      </c>
      <c r="G609" s="244">
        <v>0</v>
      </c>
      <c r="H609" s="244">
        <v>1</v>
      </c>
      <c r="I609" s="244">
        <v>3</v>
      </c>
      <c r="J609" s="244">
        <v>4</v>
      </c>
      <c r="K609" s="244">
        <v>2</v>
      </c>
      <c r="L609" s="244">
        <v>1</v>
      </c>
      <c r="M609" s="244">
        <v>4</v>
      </c>
      <c r="N609" s="244">
        <v>3</v>
      </c>
      <c r="O609" s="254">
        <v>2</v>
      </c>
    </row>
    <row r="610" spans="1:15">
      <c r="A610" s="240" t="s">
        <v>69</v>
      </c>
      <c r="B610" s="47" t="s">
        <v>5</v>
      </c>
      <c r="C610" s="12">
        <v>0.0330171745681971</v>
      </c>
      <c r="D610" s="241">
        <v>0.0144927536231884</v>
      </c>
      <c r="E610" s="241">
        <v>0.03125</v>
      </c>
      <c r="F610" s="241">
        <v>0</v>
      </c>
      <c r="G610" s="241">
        <v>0</v>
      </c>
      <c r="H610" s="241">
        <v>0.0212765957446809</v>
      </c>
      <c r="I610" s="241">
        <v>0.0526315789473684</v>
      </c>
      <c r="J610" s="241">
        <v>0.0701754385964912</v>
      </c>
      <c r="K610" s="241">
        <v>0.0392156862745098</v>
      </c>
      <c r="L610" s="241">
        <v>0.0212765957446809</v>
      </c>
      <c r="M610" s="241">
        <v>0.0727272727272727</v>
      </c>
      <c r="N610" s="241">
        <v>0.0428571428571429</v>
      </c>
      <c r="O610" s="252">
        <v>0.0303030303030303</v>
      </c>
    </row>
    <row r="611" spans="1:15">
      <c r="A611" s="242" t="s">
        <v>69</v>
      </c>
      <c r="B611" s="43" t="s">
        <v>6</v>
      </c>
      <c r="C611" s="15">
        <v>9</v>
      </c>
      <c r="D611" s="244">
        <v>1</v>
      </c>
      <c r="E611" s="244">
        <v>2</v>
      </c>
      <c r="F611" s="244">
        <v>0</v>
      </c>
      <c r="G611" s="244">
        <v>0</v>
      </c>
      <c r="H611" s="244">
        <v>0</v>
      </c>
      <c r="I611" s="244">
        <v>1</v>
      </c>
      <c r="J611" s="244">
        <v>0</v>
      </c>
      <c r="K611" s="244">
        <v>1</v>
      </c>
      <c r="L611" s="244">
        <v>0</v>
      </c>
      <c r="M611" s="244">
        <v>2</v>
      </c>
      <c r="N611" s="244">
        <v>1</v>
      </c>
      <c r="O611" s="254">
        <v>1</v>
      </c>
    </row>
    <row r="612" ht="14.25" spans="1:15">
      <c r="A612" s="245" t="s">
        <v>69</v>
      </c>
      <c r="B612" s="52" t="s">
        <v>64</v>
      </c>
      <c r="C612" s="19">
        <v>0.409090909090909</v>
      </c>
      <c r="D612" s="246">
        <v>1</v>
      </c>
      <c r="E612" s="246">
        <v>2</v>
      </c>
      <c r="F612" s="246">
        <v>0</v>
      </c>
      <c r="G612" s="246">
        <v>0</v>
      </c>
      <c r="H612" s="246">
        <v>0</v>
      </c>
      <c r="I612" s="246">
        <v>0.333333333333333</v>
      </c>
      <c r="J612" s="246">
        <v>0</v>
      </c>
      <c r="K612" s="246">
        <v>0.5</v>
      </c>
      <c r="L612" s="246">
        <v>0</v>
      </c>
      <c r="M612" s="246">
        <v>0.5</v>
      </c>
      <c r="N612" s="246">
        <v>0.333333333333333</v>
      </c>
      <c r="O612" s="255">
        <v>0.5</v>
      </c>
    </row>
    <row r="613" spans="1:15">
      <c r="A613" s="240" t="s">
        <v>70</v>
      </c>
      <c r="B613" s="47" t="s">
        <v>55</v>
      </c>
      <c r="C613" s="12">
        <v>0.98975968814898</v>
      </c>
      <c r="D613" s="241">
        <v>1.15789473684211</v>
      </c>
      <c r="E613" s="241">
        <v>0.866666666666667</v>
      </c>
      <c r="F613" s="241">
        <v>1</v>
      </c>
      <c r="G613" s="241">
        <v>1.23076923076923</v>
      </c>
      <c r="H613" s="241">
        <v>0.954545454545455</v>
      </c>
      <c r="I613" s="241">
        <v>1.175</v>
      </c>
      <c r="J613" s="241">
        <v>0.945945945945946</v>
      </c>
      <c r="K613" s="241">
        <v>0.95</v>
      </c>
      <c r="L613" s="241">
        <v>0.952380952380952</v>
      </c>
      <c r="M613" s="241">
        <v>0.925</v>
      </c>
      <c r="N613" s="241">
        <v>0.787878787878788</v>
      </c>
      <c r="O613" s="252">
        <v>0.931034482758621</v>
      </c>
    </row>
    <row r="614" spans="1:15">
      <c r="A614" s="242" t="s">
        <v>70</v>
      </c>
      <c r="B614" s="43" t="s">
        <v>57</v>
      </c>
      <c r="C614" s="15">
        <v>438</v>
      </c>
      <c r="D614" s="243">
        <v>38</v>
      </c>
      <c r="E614" s="243">
        <v>15</v>
      </c>
      <c r="F614" s="243">
        <v>5</v>
      </c>
      <c r="G614" s="243">
        <v>13</v>
      </c>
      <c r="H614" s="243">
        <v>44</v>
      </c>
      <c r="I614" s="243">
        <v>40</v>
      </c>
      <c r="J614" s="243">
        <v>37</v>
      </c>
      <c r="K614" s="243">
        <v>40</v>
      </c>
      <c r="L614" s="243">
        <v>42</v>
      </c>
      <c r="M614" s="243">
        <v>40</v>
      </c>
      <c r="N614" s="243">
        <v>66</v>
      </c>
      <c r="O614" s="253">
        <v>58</v>
      </c>
    </row>
    <row r="615" spans="1:15">
      <c r="A615" s="240" t="s">
        <v>70</v>
      </c>
      <c r="B615" s="47" t="s">
        <v>59</v>
      </c>
      <c r="C615" s="15">
        <v>423</v>
      </c>
      <c r="D615" s="243">
        <v>44</v>
      </c>
      <c r="E615" s="243">
        <v>13</v>
      </c>
      <c r="F615" s="243">
        <v>5</v>
      </c>
      <c r="G615" s="243">
        <v>16</v>
      </c>
      <c r="H615" s="243">
        <v>42</v>
      </c>
      <c r="I615" s="243">
        <v>47</v>
      </c>
      <c r="J615" s="243">
        <v>35</v>
      </c>
      <c r="K615" s="243">
        <v>38</v>
      </c>
      <c r="L615" s="243">
        <v>40</v>
      </c>
      <c r="M615" s="243">
        <v>37</v>
      </c>
      <c r="N615" s="243">
        <v>52</v>
      </c>
      <c r="O615" s="253">
        <v>54</v>
      </c>
    </row>
    <row r="616" spans="1:15">
      <c r="A616" s="242" t="s">
        <v>70</v>
      </c>
      <c r="B616" s="43" t="s">
        <v>4</v>
      </c>
      <c r="C616" s="15">
        <v>6</v>
      </c>
      <c r="D616" s="244">
        <v>0</v>
      </c>
      <c r="E616" s="244">
        <v>0</v>
      </c>
      <c r="F616" s="244">
        <v>0</v>
      </c>
      <c r="G616" s="244">
        <v>1</v>
      </c>
      <c r="H616" s="244">
        <v>0</v>
      </c>
      <c r="I616" s="244">
        <v>1</v>
      </c>
      <c r="J616" s="244">
        <v>1</v>
      </c>
      <c r="K616" s="244">
        <v>0</v>
      </c>
      <c r="L616" s="244">
        <v>3</v>
      </c>
      <c r="M616" s="244">
        <v>0</v>
      </c>
      <c r="N616" s="244">
        <v>0</v>
      </c>
      <c r="O616" s="254">
        <v>0</v>
      </c>
    </row>
    <row r="617" spans="1:15">
      <c r="A617" s="240" t="s">
        <v>70</v>
      </c>
      <c r="B617" s="47" t="s">
        <v>5</v>
      </c>
      <c r="C617" s="12">
        <v>0.0156123353596758</v>
      </c>
      <c r="D617" s="241">
        <v>0</v>
      </c>
      <c r="E617" s="241">
        <v>0</v>
      </c>
      <c r="F617" s="241">
        <v>0</v>
      </c>
      <c r="G617" s="241">
        <v>0.0625</v>
      </c>
      <c r="H617" s="241">
        <v>0</v>
      </c>
      <c r="I617" s="241">
        <v>0.0212765957446809</v>
      </c>
      <c r="J617" s="241">
        <v>0.0285714285714286</v>
      </c>
      <c r="K617" s="241">
        <v>0</v>
      </c>
      <c r="L617" s="241">
        <v>0.075</v>
      </c>
      <c r="M617" s="241">
        <v>0</v>
      </c>
      <c r="N617" s="241">
        <v>0</v>
      </c>
      <c r="O617" s="252">
        <v>0</v>
      </c>
    </row>
    <row r="618" spans="1:15">
      <c r="A618" s="242" t="s">
        <v>70</v>
      </c>
      <c r="B618" s="43" t="s">
        <v>6</v>
      </c>
      <c r="C618" s="15">
        <v>2</v>
      </c>
      <c r="D618" s="244">
        <v>0</v>
      </c>
      <c r="E618" s="244">
        <v>0</v>
      </c>
      <c r="F618" s="244">
        <v>0</v>
      </c>
      <c r="G618" s="244">
        <v>0</v>
      </c>
      <c r="H618" s="244">
        <v>1</v>
      </c>
      <c r="I618" s="244">
        <v>0</v>
      </c>
      <c r="J618" s="244">
        <v>0</v>
      </c>
      <c r="K618" s="244">
        <v>0</v>
      </c>
      <c r="L618" s="244">
        <v>1</v>
      </c>
      <c r="M618" s="244">
        <v>0</v>
      </c>
      <c r="N618" s="244">
        <v>0</v>
      </c>
      <c r="O618" s="254">
        <v>0</v>
      </c>
    </row>
    <row r="619" ht="14.25" spans="1:15">
      <c r="A619" s="245" t="s">
        <v>70</v>
      </c>
      <c r="B619" s="52" t="s">
        <v>64</v>
      </c>
      <c r="C619" s="19">
        <v>0.333333333333333</v>
      </c>
      <c r="D619" s="246">
        <v>0</v>
      </c>
      <c r="E619" s="246">
        <v>0</v>
      </c>
      <c r="F619" s="246">
        <v>0</v>
      </c>
      <c r="G619" s="246">
        <v>0</v>
      </c>
      <c r="H619" s="246">
        <v>0</v>
      </c>
      <c r="I619" s="246">
        <v>0</v>
      </c>
      <c r="J619" s="246">
        <v>0</v>
      </c>
      <c r="K619" s="246">
        <v>0</v>
      </c>
      <c r="L619" s="246">
        <v>0.333333333333333</v>
      </c>
      <c r="M619" s="246">
        <v>0</v>
      </c>
      <c r="N619" s="246">
        <v>0</v>
      </c>
      <c r="O619" s="255">
        <v>0</v>
      </c>
    </row>
    <row r="620" spans="1:15">
      <c r="A620" s="240" t="s">
        <v>26</v>
      </c>
      <c r="B620" s="47" t="s">
        <v>55</v>
      </c>
      <c r="C620" s="12">
        <v>0.334227404086733</v>
      </c>
      <c r="D620" s="241">
        <v>0.491803278688525</v>
      </c>
      <c r="E620" s="241">
        <v>0.5</v>
      </c>
      <c r="F620" s="241">
        <v>0.532051282051282</v>
      </c>
      <c r="G620" s="241">
        <v>0.594936708860759</v>
      </c>
      <c r="H620" s="241">
        <v>0.265454545454545</v>
      </c>
      <c r="I620" s="241">
        <v>0.252542372881356</v>
      </c>
      <c r="J620" s="241">
        <v>0.136963696369637</v>
      </c>
      <c r="K620" s="241">
        <v>0.266881028938907</v>
      </c>
      <c r="L620" s="241">
        <v>0.221611721611722</v>
      </c>
      <c r="M620" s="241">
        <v>0.19589552238806</v>
      </c>
      <c r="N620" s="241">
        <v>0.227134146341463</v>
      </c>
      <c r="O620" s="252">
        <v>0.325454545454545</v>
      </c>
    </row>
    <row r="621" spans="1:15">
      <c r="A621" s="242" t="s">
        <v>26</v>
      </c>
      <c r="B621" s="43" t="s">
        <v>57</v>
      </c>
      <c r="C621" s="15">
        <v>5556</v>
      </c>
      <c r="D621" s="243">
        <v>366</v>
      </c>
      <c r="E621" s="243">
        <v>220</v>
      </c>
      <c r="F621" s="243">
        <v>156</v>
      </c>
      <c r="G621" s="243">
        <v>158</v>
      </c>
      <c r="H621" s="243">
        <v>550</v>
      </c>
      <c r="I621" s="243">
        <v>590</v>
      </c>
      <c r="J621" s="243">
        <v>606</v>
      </c>
      <c r="K621" s="243">
        <v>622</v>
      </c>
      <c r="L621" s="243">
        <v>546</v>
      </c>
      <c r="M621" s="243">
        <v>536</v>
      </c>
      <c r="N621" s="243">
        <v>656</v>
      </c>
      <c r="O621" s="253">
        <v>550</v>
      </c>
    </row>
    <row r="622" spans="1:15">
      <c r="A622" s="240" t="s">
        <v>26</v>
      </c>
      <c r="B622" s="47" t="s">
        <v>59</v>
      </c>
      <c r="C622" s="15">
        <v>1565</v>
      </c>
      <c r="D622" s="243">
        <v>180</v>
      </c>
      <c r="E622" s="243">
        <v>110</v>
      </c>
      <c r="F622" s="243">
        <v>83</v>
      </c>
      <c r="G622" s="243">
        <v>94</v>
      </c>
      <c r="H622" s="243">
        <v>146</v>
      </c>
      <c r="I622" s="243">
        <v>149</v>
      </c>
      <c r="J622" s="243">
        <v>83</v>
      </c>
      <c r="K622" s="243">
        <v>166</v>
      </c>
      <c r="L622" s="243">
        <v>121</v>
      </c>
      <c r="M622" s="243">
        <v>105</v>
      </c>
      <c r="N622" s="243">
        <v>149</v>
      </c>
      <c r="O622" s="253">
        <v>179</v>
      </c>
    </row>
    <row r="623" spans="1:15">
      <c r="A623" s="242" t="s">
        <v>26</v>
      </c>
      <c r="B623" s="43" t="s">
        <v>4</v>
      </c>
      <c r="C623" s="15">
        <v>49</v>
      </c>
      <c r="D623" s="244">
        <v>7</v>
      </c>
      <c r="E623" s="244">
        <v>1</v>
      </c>
      <c r="F623" s="244">
        <v>1</v>
      </c>
      <c r="G623" s="244">
        <v>1</v>
      </c>
      <c r="H623" s="244">
        <v>5</v>
      </c>
      <c r="I623" s="244">
        <v>6</v>
      </c>
      <c r="J623" s="244">
        <v>7</v>
      </c>
      <c r="K623" s="244">
        <v>4</v>
      </c>
      <c r="L623" s="244">
        <v>2</v>
      </c>
      <c r="M623" s="244">
        <v>3</v>
      </c>
      <c r="N623" s="244">
        <v>7</v>
      </c>
      <c r="O623" s="254">
        <v>5</v>
      </c>
    </row>
    <row r="624" spans="1:15">
      <c r="A624" s="240" t="s">
        <v>26</v>
      </c>
      <c r="B624" s="47" t="s">
        <v>5</v>
      </c>
      <c r="C624" s="12">
        <v>0.0311356863448514</v>
      </c>
      <c r="D624" s="241">
        <v>0.0388888888888889</v>
      </c>
      <c r="E624" s="241">
        <v>0.00909090909090909</v>
      </c>
      <c r="F624" s="241">
        <v>0.0120481927710843</v>
      </c>
      <c r="G624" s="241">
        <v>0.0106382978723404</v>
      </c>
      <c r="H624" s="241">
        <v>0.0342465753424658</v>
      </c>
      <c r="I624" s="241">
        <v>0.0402684563758389</v>
      </c>
      <c r="J624" s="241">
        <v>0.0843373493975904</v>
      </c>
      <c r="K624" s="241">
        <v>0.0240963855421687</v>
      </c>
      <c r="L624" s="241">
        <v>0.0165289256198347</v>
      </c>
      <c r="M624" s="241">
        <v>0.0285714285714286</v>
      </c>
      <c r="N624" s="241">
        <v>0.0469798657718121</v>
      </c>
      <c r="O624" s="252">
        <v>0.0279329608938547</v>
      </c>
    </row>
    <row r="625" spans="1:15">
      <c r="A625" s="242" t="s">
        <v>26</v>
      </c>
      <c r="B625" s="43" t="s">
        <v>6</v>
      </c>
      <c r="C625" s="15">
        <v>17</v>
      </c>
      <c r="D625" s="244">
        <v>0</v>
      </c>
      <c r="E625" s="244">
        <v>1</v>
      </c>
      <c r="F625" s="244">
        <v>0</v>
      </c>
      <c r="G625" s="244">
        <v>1</v>
      </c>
      <c r="H625" s="244">
        <v>0</v>
      </c>
      <c r="I625" s="244">
        <v>1</v>
      </c>
      <c r="J625" s="244">
        <v>0</v>
      </c>
      <c r="K625" s="244">
        <v>0</v>
      </c>
      <c r="L625" s="244">
        <v>7</v>
      </c>
      <c r="M625" s="244">
        <v>0</v>
      </c>
      <c r="N625" s="244">
        <v>3</v>
      </c>
      <c r="O625" s="254">
        <v>4</v>
      </c>
    </row>
    <row r="626" ht="14.25" spans="1:15">
      <c r="A626" s="245" t="s">
        <v>26</v>
      </c>
      <c r="B626" s="52" t="s">
        <v>64</v>
      </c>
      <c r="C626" s="19">
        <v>0.346938775510204</v>
      </c>
      <c r="D626" s="250">
        <v>0</v>
      </c>
      <c r="E626" s="250">
        <v>1</v>
      </c>
      <c r="F626" s="250">
        <v>0</v>
      </c>
      <c r="G626" s="250">
        <v>1</v>
      </c>
      <c r="H626" s="250">
        <v>0</v>
      </c>
      <c r="I626" s="250">
        <v>1</v>
      </c>
      <c r="J626" s="250">
        <v>0</v>
      </c>
      <c r="K626" s="250">
        <v>0</v>
      </c>
      <c r="L626" s="250">
        <v>7</v>
      </c>
      <c r="M626" s="250">
        <v>0</v>
      </c>
      <c r="N626" s="250">
        <v>3</v>
      </c>
      <c r="O626" s="257">
        <v>4</v>
      </c>
    </row>
    <row r="627" spans="1:15">
      <c r="A627" s="240" t="s">
        <v>71</v>
      </c>
      <c r="B627" s="47" t="s">
        <v>55</v>
      </c>
      <c r="C627" s="12">
        <v>0.0294642857142857</v>
      </c>
      <c r="D627" s="241">
        <v>0</v>
      </c>
      <c r="E627" s="241">
        <v>0</v>
      </c>
      <c r="F627" s="241">
        <v>0</v>
      </c>
      <c r="G627" s="241">
        <v>0</v>
      </c>
      <c r="H627" s="241">
        <v>0</v>
      </c>
      <c r="I627" s="241">
        <v>0.0857142857142857</v>
      </c>
      <c r="J627" s="241">
        <v>0</v>
      </c>
      <c r="K627" s="241">
        <v>0.0357142857142857</v>
      </c>
      <c r="L627" s="241">
        <v>0</v>
      </c>
      <c r="M627" s="241">
        <v>0.125</v>
      </c>
      <c r="N627" s="241">
        <v>0.0357142857142857</v>
      </c>
      <c r="O627" s="252">
        <v>0.0714285714285714</v>
      </c>
    </row>
    <row r="628" spans="1:15">
      <c r="A628" s="242" t="s">
        <v>71</v>
      </c>
      <c r="B628" s="43" t="s">
        <v>57</v>
      </c>
      <c r="C628" s="15">
        <v>248</v>
      </c>
      <c r="D628" s="243">
        <v>20</v>
      </c>
      <c r="E628" s="243">
        <v>14</v>
      </c>
      <c r="F628" s="243">
        <v>4</v>
      </c>
      <c r="G628" s="243">
        <v>14</v>
      </c>
      <c r="H628" s="243">
        <v>26</v>
      </c>
      <c r="I628" s="243">
        <v>35</v>
      </c>
      <c r="J628" s="243">
        <v>16</v>
      </c>
      <c r="K628" s="243">
        <v>28</v>
      </c>
      <c r="L628" s="243">
        <v>19</v>
      </c>
      <c r="M628" s="243">
        <v>16</v>
      </c>
      <c r="N628" s="243">
        <v>28</v>
      </c>
      <c r="O628" s="253">
        <v>28</v>
      </c>
    </row>
    <row r="629" spans="1:15">
      <c r="A629" s="240" t="s">
        <v>71</v>
      </c>
      <c r="B629" s="47" t="s">
        <v>59</v>
      </c>
      <c r="C629" s="15">
        <v>9</v>
      </c>
      <c r="D629" s="243">
        <v>0</v>
      </c>
      <c r="E629" s="243">
        <v>0</v>
      </c>
      <c r="F629" s="243">
        <v>0</v>
      </c>
      <c r="G629" s="243">
        <v>0</v>
      </c>
      <c r="H629" s="243">
        <v>0</v>
      </c>
      <c r="I629" s="243">
        <v>3</v>
      </c>
      <c r="J629" s="243">
        <v>0</v>
      </c>
      <c r="K629" s="243">
        <v>1</v>
      </c>
      <c r="L629" s="243">
        <v>0</v>
      </c>
      <c r="M629" s="243">
        <v>2</v>
      </c>
      <c r="N629" s="243">
        <v>1</v>
      </c>
      <c r="O629" s="253">
        <v>2</v>
      </c>
    </row>
    <row r="630" spans="1:15">
      <c r="A630" s="242" t="s">
        <v>71</v>
      </c>
      <c r="B630" s="43" t="s">
        <v>4</v>
      </c>
      <c r="C630" s="15">
        <v>48</v>
      </c>
      <c r="D630" s="244">
        <v>5</v>
      </c>
      <c r="E630" s="244">
        <v>0</v>
      </c>
      <c r="F630" s="244">
        <v>2</v>
      </c>
      <c r="G630" s="244">
        <v>4</v>
      </c>
      <c r="H630" s="244">
        <v>3</v>
      </c>
      <c r="I630" s="244">
        <v>11</v>
      </c>
      <c r="J630" s="244">
        <v>5</v>
      </c>
      <c r="K630" s="244">
        <v>3</v>
      </c>
      <c r="L630" s="244">
        <v>2</v>
      </c>
      <c r="M630" s="244">
        <v>4</v>
      </c>
      <c r="N630" s="244">
        <v>3</v>
      </c>
      <c r="O630" s="254">
        <v>6</v>
      </c>
    </row>
    <row r="631" spans="1:15">
      <c r="A631" s="240" t="s">
        <v>71</v>
      </c>
      <c r="B631" s="47" t="s">
        <v>5</v>
      </c>
      <c r="C631" s="12">
        <v>1.22222222222222</v>
      </c>
      <c r="D631" s="241">
        <v>0</v>
      </c>
      <c r="E631" s="241">
        <v>0</v>
      </c>
      <c r="F631" s="241">
        <v>0</v>
      </c>
      <c r="G631" s="241">
        <v>0</v>
      </c>
      <c r="H631" s="241">
        <v>0</v>
      </c>
      <c r="I631" s="241">
        <v>3.66666666666667</v>
      </c>
      <c r="J631" s="241">
        <v>0</v>
      </c>
      <c r="K631" s="241">
        <v>3</v>
      </c>
      <c r="L631" s="241">
        <v>0</v>
      </c>
      <c r="M631" s="241">
        <v>2</v>
      </c>
      <c r="N631" s="241">
        <v>3</v>
      </c>
      <c r="O631" s="252">
        <v>3</v>
      </c>
    </row>
    <row r="632" spans="1:15">
      <c r="A632" s="242" t="s">
        <v>71</v>
      </c>
      <c r="B632" s="43" t="s">
        <v>6</v>
      </c>
      <c r="C632" s="15">
        <v>10</v>
      </c>
      <c r="D632" s="244">
        <v>1</v>
      </c>
      <c r="E632" s="244">
        <v>1</v>
      </c>
      <c r="F632" s="244">
        <v>0</v>
      </c>
      <c r="G632" s="244">
        <v>2</v>
      </c>
      <c r="H632" s="244">
        <v>0</v>
      </c>
      <c r="I632" s="244">
        <v>0</v>
      </c>
      <c r="J632" s="244">
        <v>1</v>
      </c>
      <c r="K632" s="244">
        <v>0</v>
      </c>
      <c r="L632" s="244">
        <v>1</v>
      </c>
      <c r="M632" s="244">
        <v>1</v>
      </c>
      <c r="N632" s="244">
        <v>3</v>
      </c>
      <c r="O632" s="254">
        <v>0</v>
      </c>
    </row>
    <row r="633" ht="14.25" spans="1:15">
      <c r="A633" s="245" t="s">
        <v>71</v>
      </c>
      <c r="B633" s="52" t="s">
        <v>64</v>
      </c>
      <c r="C633" s="19">
        <v>0.208333333333333</v>
      </c>
      <c r="D633" s="250">
        <v>1</v>
      </c>
      <c r="E633" s="250">
        <v>1</v>
      </c>
      <c r="F633" s="250">
        <v>0</v>
      </c>
      <c r="G633" s="250">
        <v>2</v>
      </c>
      <c r="H633" s="250">
        <v>0</v>
      </c>
      <c r="I633" s="250">
        <v>0</v>
      </c>
      <c r="J633" s="250">
        <v>1</v>
      </c>
      <c r="K633" s="250">
        <v>0</v>
      </c>
      <c r="L633" s="250">
        <v>1</v>
      </c>
      <c r="M633" s="250">
        <v>1</v>
      </c>
      <c r="N633" s="250">
        <v>3</v>
      </c>
      <c r="O633" s="257">
        <v>0</v>
      </c>
    </row>
    <row r="634" spans="1:15">
      <c r="A634" s="240" t="s">
        <v>72</v>
      </c>
      <c r="B634" s="47" t="s">
        <v>55</v>
      </c>
      <c r="C634" s="12">
        <v>0.203581144123907</v>
      </c>
      <c r="D634" s="241">
        <v>0.210526315789474</v>
      </c>
      <c r="E634" s="241">
        <v>0.222222222222222</v>
      </c>
      <c r="F634" s="241">
        <v>0.2</v>
      </c>
      <c r="G634" s="241">
        <v>0.0714285714285714</v>
      </c>
      <c r="H634" s="241">
        <v>0.423076923076923</v>
      </c>
      <c r="I634" s="241">
        <v>0.34375</v>
      </c>
      <c r="J634" s="241">
        <v>0.136363636363636</v>
      </c>
      <c r="K634" s="241">
        <v>0.25</v>
      </c>
      <c r="L634" s="241">
        <v>0.227272727272727</v>
      </c>
      <c r="M634" s="241">
        <v>0.133333333333333</v>
      </c>
      <c r="N634" s="241">
        <v>0.1</v>
      </c>
      <c r="O634" s="252">
        <v>0.125</v>
      </c>
    </row>
    <row r="635" spans="1:15">
      <c r="A635" s="242" t="s">
        <v>72</v>
      </c>
      <c r="B635" s="43" t="s">
        <v>57</v>
      </c>
      <c r="C635" s="15">
        <v>332</v>
      </c>
      <c r="D635" s="243">
        <v>38</v>
      </c>
      <c r="E635" s="243">
        <v>18</v>
      </c>
      <c r="F635" s="243">
        <v>10</v>
      </c>
      <c r="G635" s="243">
        <v>14</v>
      </c>
      <c r="H635" s="243">
        <v>26</v>
      </c>
      <c r="I635" s="243">
        <v>32</v>
      </c>
      <c r="J635" s="243">
        <v>22</v>
      </c>
      <c r="K635" s="243">
        <v>24</v>
      </c>
      <c r="L635" s="243">
        <v>22</v>
      </c>
      <c r="M635" s="243">
        <v>30</v>
      </c>
      <c r="N635" s="243">
        <v>40</v>
      </c>
      <c r="O635" s="253">
        <v>56</v>
      </c>
    </row>
    <row r="636" spans="1:15">
      <c r="A636" s="240" t="s">
        <v>72</v>
      </c>
      <c r="B636" s="47" t="s">
        <v>59</v>
      </c>
      <c r="C636" s="15">
        <v>66</v>
      </c>
      <c r="D636" s="243">
        <v>8</v>
      </c>
      <c r="E636" s="243">
        <v>4</v>
      </c>
      <c r="F636" s="243">
        <v>2</v>
      </c>
      <c r="G636" s="243">
        <v>1</v>
      </c>
      <c r="H636" s="243">
        <v>11</v>
      </c>
      <c r="I636" s="243">
        <v>11</v>
      </c>
      <c r="J636" s="243">
        <v>3</v>
      </c>
      <c r="K636" s="243">
        <v>6</v>
      </c>
      <c r="L636" s="243">
        <v>5</v>
      </c>
      <c r="M636" s="243">
        <v>4</v>
      </c>
      <c r="N636" s="243">
        <v>4</v>
      </c>
      <c r="O636" s="253">
        <v>7</v>
      </c>
    </row>
    <row r="637" spans="1:15">
      <c r="A637" s="242" t="s">
        <v>72</v>
      </c>
      <c r="B637" s="43" t="s">
        <v>4</v>
      </c>
      <c r="C637" s="15">
        <v>3</v>
      </c>
      <c r="D637" s="244">
        <v>0</v>
      </c>
      <c r="E637" s="244">
        <v>0</v>
      </c>
      <c r="F637" s="244">
        <v>0</v>
      </c>
      <c r="G637" s="244">
        <v>0</v>
      </c>
      <c r="H637" s="244">
        <v>0</v>
      </c>
      <c r="I637" s="244">
        <v>2</v>
      </c>
      <c r="J637" s="244">
        <v>0</v>
      </c>
      <c r="K637" s="244">
        <v>0</v>
      </c>
      <c r="L637" s="244">
        <v>0</v>
      </c>
      <c r="M637" s="244">
        <v>1</v>
      </c>
      <c r="N637" s="244">
        <v>0</v>
      </c>
      <c r="O637" s="254">
        <v>0</v>
      </c>
    </row>
    <row r="638" spans="1:15">
      <c r="A638" s="240" t="s">
        <v>72</v>
      </c>
      <c r="B638" s="47" t="s">
        <v>5</v>
      </c>
      <c r="C638" s="12">
        <v>0.0359848484848485</v>
      </c>
      <c r="D638" s="241">
        <v>0</v>
      </c>
      <c r="E638" s="241">
        <v>0</v>
      </c>
      <c r="F638" s="241">
        <v>0</v>
      </c>
      <c r="G638" s="241">
        <v>0</v>
      </c>
      <c r="H638" s="241">
        <v>0</v>
      </c>
      <c r="I638" s="241">
        <v>0.181818181818182</v>
      </c>
      <c r="J638" s="241">
        <v>0</v>
      </c>
      <c r="K638" s="241">
        <v>0</v>
      </c>
      <c r="L638" s="241">
        <v>0</v>
      </c>
      <c r="M638" s="241">
        <v>0.25</v>
      </c>
      <c r="N638" s="241">
        <v>0</v>
      </c>
      <c r="O638" s="252">
        <v>0</v>
      </c>
    </row>
    <row r="639" spans="1:15">
      <c r="A639" s="242" t="s">
        <v>72</v>
      </c>
      <c r="B639" s="43" t="s">
        <v>6</v>
      </c>
      <c r="C639" s="15">
        <v>1</v>
      </c>
      <c r="D639" s="244">
        <v>0</v>
      </c>
      <c r="E639" s="244">
        <v>0</v>
      </c>
      <c r="F639" s="244">
        <v>0</v>
      </c>
      <c r="G639" s="244">
        <v>0</v>
      </c>
      <c r="H639" s="244">
        <v>0</v>
      </c>
      <c r="I639" s="244">
        <v>0</v>
      </c>
      <c r="J639" s="244">
        <v>0</v>
      </c>
      <c r="K639" s="244">
        <v>0</v>
      </c>
      <c r="L639" s="244">
        <v>0</v>
      </c>
      <c r="M639" s="244">
        <v>1</v>
      </c>
      <c r="N639" s="244">
        <v>0</v>
      </c>
      <c r="O639" s="254">
        <v>0</v>
      </c>
    </row>
    <row r="640" ht="14.25" spans="1:15">
      <c r="A640" s="245" t="s">
        <v>72</v>
      </c>
      <c r="B640" s="52" t="s">
        <v>64</v>
      </c>
      <c r="C640" s="19">
        <v>0.333333333333333</v>
      </c>
      <c r="D640" s="250">
        <v>0</v>
      </c>
      <c r="E640" s="250">
        <v>0</v>
      </c>
      <c r="F640" s="250">
        <v>0</v>
      </c>
      <c r="G640" s="250">
        <v>0</v>
      </c>
      <c r="H640" s="250">
        <v>0</v>
      </c>
      <c r="I640" s="250">
        <v>0</v>
      </c>
      <c r="J640" s="250">
        <v>0</v>
      </c>
      <c r="K640" s="250">
        <v>0</v>
      </c>
      <c r="L640" s="250">
        <v>0</v>
      </c>
      <c r="M640" s="250">
        <v>1</v>
      </c>
      <c r="N640" s="250">
        <v>0</v>
      </c>
      <c r="O640" s="257">
        <v>0</v>
      </c>
    </row>
    <row r="641" ht="14.25" spans="1:15">
      <c r="A641" s="237">
        <v>45029</v>
      </c>
      <c r="B641" s="237"/>
      <c r="C641" s="237"/>
      <c r="D641" s="237"/>
      <c r="E641" s="237"/>
      <c r="F641" s="237"/>
      <c r="G641" s="237"/>
      <c r="H641" s="237"/>
      <c r="I641" s="237"/>
      <c r="J641" s="237"/>
      <c r="K641" s="237"/>
      <c r="L641" s="237"/>
      <c r="M641" s="237"/>
      <c r="N641" s="237"/>
      <c r="O641" s="237"/>
    </row>
    <row r="642" spans="1:15">
      <c r="A642" s="56" t="s">
        <v>1</v>
      </c>
      <c r="B642" s="238"/>
      <c r="C642" s="8" t="s">
        <v>42</v>
      </c>
      <c r="D642" s="239" t="s">
        <v>43</v>
      </c>
      <c r="E642" s="239" t="s">
        <v>44</v>
      </c>
      <c r="F642" s="239" t="s">
        <v>45</v>
      </c>
      <c r="G642" s="239" t="s">
        <v>46</v>
      </c>
      <c r="H642" s="239" t="s">
        <v>47</v>
      </c>
      <c r="I642" s="239" t="s">
        <v>48</v>
      </c>
      <c r="J642" s="239" t="s">
        <v>49</v>
      </c>
      <c r="K642" s="239" t="s">
        <v>50</v>
      </c>
      <c r="L642" s="239" t="s">
        <v>51</v>
      </c>
      <c r="M642" s="239" t="s">
        <v>52</v>
      </c>
      <c r="N642" s="239" t="s">
        <v>53</v>
      </c>
      <c r="O642" s="251" t="s">
        <v>54</v>
      </c>
    </row>
    <row r="643" spans="1:15">
      <c r="A643" s="240" t="s">
        <v>22</v>
      </c>
      <c r="B643" s="47" t="s">
        <v>55</v>
      </c>
      <c r="C643" s="12">
        <v>0.264960725278963</v>
      </c>
      <c r="D643" s="241">
        <v>0.186666666666667</v>
      </c>
      <c r="E643" s="241">
        <v>0.120658135283364</v>
      </c>
      <c r="F643" s="241">
        <v>0.0990712074303406</v>
      </c>
      <c r="G643" s="241">
        <v>0.139784946236559</v>
      </c>
      <c r="H643" s="241">
        <v>0.264900662251656</v>
      </c>
      <c r="I643" s="241">
        <v>0.337448559670782</v>
      </c>
      <c r="J643" s="241">
        <v>0.28125</v>
      </c>
      <c r="K643" s="241">
        <v>0.365930599369085</v>
      </c>
      <c r="L643" s="241">
        <v>0.43956043956044</v>
      </c>
      <c r="M643" s="241">
        <v>0.392405063291139</v>
      </c>
      <c r="N643" s="241">
        <v>0.300632911392405</v>
      </c>
      <c r="O643" s="252">
        <v>0.251219512195122</v>
      </c>
    </row>
    <row r="644" spans="1:15">
      <c r="A644" s="242" t="s">
        <v>22</v>
      </c>
      <c r="B644" s="43" t="s">
        <v>57</v>
      </c>
      <c r="C644" s="15">
        <v>4135</v>
      </c>
      <c r="D644" s="243">
        <v>600</v>
      </c>
      <c r="E644" s="243">
        <v>547</v>
      </c>
      <c r="F644" s="243">
        <v>323</v>
      </c>
      <c r="G644" s="243">
        <v>279</v>
      </c>
      <c r="H644" s="243">
        <v>302</v>
      </c>
      <c r="I644" s="243">
        <v>243</v>
      </c>
      <c r="J644" s="243">
        <v>288</v>
      </c>
      <c r="K644" s="243">
        <v>317</v>
      </c>
      <c r="L644" s="243">
        <v>273</v>
      </c>
      <c r="M644" s="243">
        <v>237</v>
      </c>
      <c r="N644" s="243">
        <v>316</v>
      </c>
      <c r="O644" s="253">
        <v>410</v>
      </c>
    </row>
    <row r="645" spans="1:15">
      <c r="A645" s="240" t="s">
        <v>22</v>
      </c>
      <c r="B645" s="47" t="s">
        <v>59</v>
      </c>
      <c r="C645" s="15">
        <v>1019</v>
      </c>
      <c r="D645" s="243">
        <v>112</v>
      </c>
      <c r="E645" s="243">
        <v>66</v>
      </c>
      <c r="F645" s="243">
        <v>32</v>
      </c>
      <c r="G645" s="243">
        <v>39</v>
      </c>
      <c r="H645" s="243">
        <v>80</v>
      </c>
      <c r="I645" s="243">
        <v>82</v>
      </c>
      <c r="J645" s="243">
        <v>81</v>
      </c>
      <c r="K645" s="243">
        <v>116</v>
      </c>
      <c r="L645" s="243">
        <v>120</v>
      </c>
      <c r="M645" s="243">
        <v>93</v>
      </c>
      <c r="N645" s="243">
        <v>95</v>
      </c>
      <c r="O645" s="253">
        <v>103</v>
      </c>
    </row>
    <row r="646" spans="1:15">
      <c r="A646" s="242" t="s">
        <v>22</v>
      </c>
      <c r="B646" s="43" t="s">
        <v>4</v>
      </c>
      <c r="C646" s="15">
        <v>93</v>
      </c>
      <c r="D646" s="244">
        <v>7</v>
      </c>
      <c r="E646" s="244">
        <v>7</v>
      </c>
      <c r="F646" s="244">
        <v>2</v>
      </c>
      <c r="G646" s="244">
        <v>4</v>
      </c>
      <c r="H646" s="244">
        <v>4</v>
      </c>
      <c r="I646" s="244">
        <v>11</v>
      </c>
      <c r="J646" s="244">
        <v>16</v>
      </c>
      <c r="K646" s="244">
        <v>3</v>
      </c>
      <c r="L646" s="244">
        <v>6</v>
      </c>
      <c r="M646" s="244">
        <v>10</v>
      </c>
      <c r="N646" s="244">
        <v>14</v>
      </c>
      <c r="O646" s="254">
        <v>9</v>
      </c>
    </row>
    <row r="647" spans="1:15">
      <c r="A647" s="240" t="s">
        <v>22</v>
      </c>
      <c r="B647" s="47" t="s">
        <v>5</v>
      </c>
      <c r="C647" s="12">
        <v>0.0944531605667443</v>
      </c>
      <c r="D647" s="241">
        <v>0.0625</v>
      </c>
      <c r="E647" s="241">
        <v>0.106060606060606</v>
      </c>
      <c r="F647" s="241">
        <v>0.0625</v>
      </c>
      <c r="G647" s="241">
        <v>0.102564102564103</v>
      </c>
      <c r="H647" s="241">
        <v>0.05</v>
      </c>
      <c r="I647" s="241">
        <v>0.134146341463415</v>
      </c>
      <c r="J647" s="241">
        <v>0.197530864197531</v>
      </c>
      <c r="K647" s="241">
        <v>0.0258620689655172</v>
      </c>
      <c r="L647" s="241">
        <v>0.05</v>
      </c>
      <c r="M647" s="241">
        <v>0.10752688172043</v>
      </c>
      <c r="N647" s="241">
        <v>0.147368421052632</v>
      </c>
      <c r="O647" s="252">
        <v>0.087378640776699</v>
      </c>
    </row>
    <row r="648" spans="1:15">
      <c r="A648" s="242" t="s">
        <v>22</v>
      </c>
      <c r="B648" s="43" t="s">
        <v>6</v>
      </c>
      <c r="C648" s="15">
        <v>37</v>
      </c>
      <c r="D648" s="244">
        <v>3</v>
      </c>
      <c r="E648" s="244">
        <v>4</v>
      </c>
      <c r="F648" s="244">
        <v>2</v>
      </c>
      <c r="G648" s="244">
        <v>1</v>
      </c>
      <c r="H648" s="244">
        <v>1</v>
      </c>
      <c r="I648" s="244">
        <v>2</v>
      </c>
      <c r="J648" s="244">
        <v>5</v>
      </c>
      <c r="K648" s="244">
        <v>1</v>
      </c>
      <c r="L648" s="244">
        <v>3</v>
      </c>
      <c r="M648" s="244">
        <v>5</v>
      </c>
      <c r="N648" s="244">
        <v>7</v>
      </c>
      <c r="O648" s="254">
        <v>3</v>
      </c>
    </row>
    <row r="649" ht="14.25" spans="1:15">
      <c r="A649" s="245" t="s">
        <v>22</v>
      </c>
      <c r="B649" s="52" t="s">
        <v>64</v>
      </c>
      <c r="C649" s="19">
        <v>0.397849462365591</v>
      </c>
      <c r="D649" s="246">
        <v>0.428571428571429</v>
      </c>
      <c r="E649" s="246">
        <v>0.571428571428571</v>
      </c>
      <c r="F649" s="246">
        <v>1</v>
      </c>
      <c r="G649" s="246">
        <v>0.25</v>
      </c>
      <c r="H649" s="246">
        <v>0.25</v>
      </c>
      <c r="I649" s="246">
        <v>0.181818181818182</v>
      </c>
      <c r="J649" s="246">
        <v>0.3125</v>
      </c>
      <c r="K649" s="246">
        <v>0.333333333333333</v>
      </c>
      <c r="L649" s="246">
        <v>0.5</v>
      </c>
      <c r="M649" s="246">
        <v>0.5</v>
      </c>
      <c r="N649" s="246">
        <v>0.5</v>
      </c>
      <c r="O649" s="255">
        <v>0.333333333333333</v>
      </c>
    </row>
    <row r="650" spans="1:15">
      <c r="A650" s="247" t="s">
        <v>66</v>
      </c>
      <c r="B650" s="248" t="s">
        <v>55</v>
      </c>
      <c r="C650" s="12">
        <v>0.317584823515095</v>
      </c>
      <c r="D650" s="249">
        <v>0.191176470588235</v>
      </c>
      <c r="E650" s="249">
        <v>0.121212121212121</v>
      </c>
      <c r="F650" s="249">
        <v>0.119760479041916</v>
      </c>
      <c r="G650" s="249">
        <v>0.0930232558139535</v>
      </c>
      <c r="H650" s="249">
        <v>0.196629213483146</v>
      </c>
      <c r="I650" s="249">
        <v>0.252941176470588</v>
      </c>
      <c r="J650" s="249">
        <v>0.539772727272727</v>
      </c>
      <c r="K650" s="249">
        <v>0.586854460093897</v>
      </c>
      <c r="L650" s="249">
        <v>0.708333333333333</v>
      </c>
      <c r="M650" s="249">
        <v>0.26775956284153</v>
      </c>
      <c r="N650" s="249">
        <v>0.272300469483568</v>
      </c>
      <c r="O650" s="256">
        <v>0.461254612546125</v>
      </c>
    </row>
    <row r="651" spans="1:15">
      <c r="A651" s="242" t="s">
        <v>66</v>
      </c>
      <c r="B651" s="43" t="s">
        <v>57</v>
      </c>
      <c r="C651" s="15">
        <v>2381</v>
      </c>
      <c r="D651" s="243">
        <v>272</v>
      </c>
      <c r="E651" s="243">
        <v>198</v>
      </c>
      <c r="F651" s="243">
        <v>167</v>
      </c>
      <c r="G651" s="243">
        <v>172</v>
      </c>
      <c r="H651" s="243">
        <v>178</v>
      </c>
      <c r="I651" s="243">
        <v>170</v>
      </c>
      <c r="J651" s="243">
        <v>176</v>
      </c>
      <c r="K651" s="243">
        <v>213</v>
      </c>
      <c r="L651" s="243">
        <v>168</v>
      </c>
      <c r="M651" s="243">
        <v>183</v>
      </c>
      <c r="N651" s="243">
        <v>213</v>
      </c>
      <c r="O651" s="253">
        <v>271</v>
      </c>
    </row>
    <row r="652" spans="1:15">
      <c r="A652" s="240" t="s">
        <v>66</v>
      </c>
      <c r="B652" s="47" t="s">
        <v>59</v>
      </c>
      <c r="C652" s="15">
        <v>761</v>
      </c>
      <c r="D652" s="243">
        <v>52</v>
      </c>
      <c r="E652" s="243">
        <v>24</v>
      </c>
      <c r="F652" s="243">
        <v>20</v>
      </c>
      <c r="G652" s="243">
        <v>16</v>
      </c>
      <c r="H652" s="243">
        <v>35</v>
      </c>
      <c r="I652" s="243">
        <v>43</v>
      </c>
      <c r="J652" s="243">
        <v>95</v>
      </c>
      <c r="K652" s="243">
        <v>125</v>
      </c>
      <c r="L652" s="243">
        <v>119</v>
      </c>
      <c r="M652" s="243">
        <v>49</v>
      </c>
      <c r="N652" s="243">
        <v>58</v>
      </c>
      <c r="O652" s="253">
        <v>125</v>
      </c>
    </row>
    <row r="653" spans="1:15">
      <c r="A653" s="242" t="s">
        <v>66</v>
      </c>
      <c r="B653" s="43" t="s">
        <v>4</v>
      </c>
      <c r="C653" s="15">
        <v>27</v>
      </c>
      <c r="D653" s="244">
        <v>3</v>
      </c>
      <c r="E653" s="244">
        <v>1</v>
      </c>
      <c r="F653" s="244">
        <v>0</v>
      </c>
      <c r="G653" s="244">
        <v>0</v>
      </c>
      <c r="H653" s="244">
        <v>5</v>
      </c>
      <c r="I653" s="244">
        <v>4</v>
      </c>
      <c r="J653" s="244">
        <v>1</v>
      </c>
      <c r="K653" s="244">
        <v>2</v>
      </c>
      <c r="L653" s="244">
        <v>2</v>
      </c>
      <c r="M653" s="244">
        <v>2</v>
      </c>
      <c r="N653" s="244">
        <v>2</v>
      </c>
      <c r="O653" s="254">
        <v>5</v>
      </c>
    </row>
    <row r="654" spans="1:15">
      <c r="A654" s="240" t="s">
        <v>66</v>
      </c>
      <c r="B654" s="47" t="s">
        <v>5</v>
      </c>
      <c r="C654" s="12">
        <v>0.0411559580549935</v>
      </c>
      <c r="D654" s="241">
        <v>0.0576923076923077</v>
      </c>
      <c r="E654" s="241">
        <v>0.0416666666666667</v>
      </c>
      <c r="F654" s="241">
        <v>0</v>
      </c>
      <c r="G654" s="241">
        <v>0</v>
      </c>
      <c r="H654" s="241">
        <v>0.142857142857143</v>
      </c>
      <c r="I654" s="241">
        <v>0.0930232558139535</v>
      </c>
      <c r="J654" s="241">
        <v>0.0105263157894737</v>
      </c>
      <c r="K654" s="241">
        <v>0.016</v>
      </c>
      <c r="L654" s="241">
        <v>0.0168067226890756</v>
      </c>
      <c r="M654" s="241">
        <v>0.0408163265306122</v>
      </c>
      <c r="N654" s="241">
        <v>0.0344827586206897</v>
      </c>
      <c r="O654" s="252">
        <v>0.04</v>
      </c>
    </row>
    <row r="655" spans="1:15">
      <c r="A655" s="242" t="s">
        <v>66</v>
      </c>
      <c r="B655" s="43" t="s">
        <v>6</v>
      </c>
      <c r="C655" s="15">
        <v>9</v>
      </c>
      <c r="D655" s="244">
        <v>1</v>
      </c>
      <c r="E655" s="244">
        <v>1</v>
      </c>
      <c r="F655" s="244">
        <v>0</v>
      </c>
      <c r="G655" s="244">
        <v>0</v>
      </c>
      <c r="H655" s="244">
        <v>2</v>
      </c>
      <c r="I655" s="244">
        <v>0</v>
      </c>
      <c r="J655" s="244">
        <v>1</v>
      </c>
      <c r="K655" s="244">
        <v>0</v>
      </c>
      <c r="L655" s="244">
        <v>1</v>
      </c>
      <c r="M655" s="244">
        <v>1</v>
      </c>
      <c r="N655" s="244">
        <v>1</v>
      </c>
      <c r="O655" s="254">
        <v>1</v>
      </c>
    </row>
    <row r="656" ht="14.25" spans="1:15">
      <c r="A656" s="245" t="s">
        <v>66</v>
      </c>
      <c r="B656" s="52" t="s">
        <v>64</v>
      </c>
      <c r="C656" s="19">
        <v>0.333333333333333</v>
      </c>
      <c r="D656" s="246">
        <v>0.333333333333333</v>
      </c>
      <c r="E656" s="246">
        <v>1</v>
      </c>
      <c r="F656" s="246">
        <v>0</v>
      </c>
      <c r="G656" s="246">
        <v>0</v>
      </c>
      <c r="H656" s="246">
        <v>0.4</v>
      </c>
      <c r="I656" s="246">
        <v>0</v>
      </c>
      <c r="J656" s="246">
        <v>1</v>
      </c>
      <c r="K656" s="246">
        <v>0</v>
      </c>
      <c r="L656" s="246">
        <v>0.5</v>
      </c>
      <c r="M656" s="246">
        <v>0.5</v>
      </c>
      <c r="N656" s="246">
        <v>0.5</v>
      </c>
      <c r="O656" s="255">
        <v>0.2</v>
      </c>
    </row>
    <row r="657" spans="1:15">
      <c r="A657" s="240" t="s">
        <v>67</v>
      </c>
      <c r="B657" s="47" t="s">
        <v>55</v>
      </c>
      <c r="C657" s="12">
        <v>0.451750964779621</v>
      </c>
      <c r="D657" s="241">
        <v>0.5</v>
      </c>
      <c r="E657" s="241">
        <v>0.384615384615385</v>
      </c>
      <c r="F657" s="241">
        <v>0.65</v>
      </c>
      <c r="G657" s="241">
        <v>0.526315789473684</v>
      </c>
      <c r="H657" s="241">
        <v>0.329268292682927</v>
      </c>
      <c r="I657" s="241">
        <v>0.365853658536585</v>
      </c>
      <c r="J657" s="241">
        <v>0.461538461538462</v>
      </c>
      <c r="K657" s="241">
        <v>0.362745098039216</v>
      </c>
      <c r="L657" s="241">
        <v>0.453488372093023</v>
      </c>
      <c r="M657" s="241">
        <v>0.6125</v>
      </c>
      <c r="N657" s="241">
        <v>0.352272727272727</v>
      </c>
      <c r="O657" s="252">
        <v>0.422413793103448</v>
      </c>
    </row>
    <row r="658" spans="1:15">
      <c r="A658" s="242" t="s">
        <v>67</v>
      </c>
      <c r="B658" s="43" t="s">
        <v>57</v>
      </c>
      <c r="C658" s="15">
        <v>900</v>
      </c>
      <c r="D658" s="243">
        <v>76</v>
      </c>
      <c r="E658" s="243">
        <v>52</v>
      </c>
      <c r="F658" s="243">
        <v>20</v>
      </c>
      <c r="G658" s="243">
        <v>38</v>
      </c>
      <c r="H658" s="243">
        <v>82</v>
      </c>
      <c r="I658" s="243">
        <v>82</v>
      </c>
      <c r="J658" s="243">
        <v>78</v>
      </c>
      <c r="K658" s="243">
        <v>102</v>
      </c>
      <c r="L658" s="243">
        <v>86</v>
      </c>
      <c r="M658" s="243">
        <v>80</v>
      </c>
      <c r="N658" s="243">
        <v>88</v>
      </c>
      <c r="O658" s="253">
        <v>116</v>
      </c>
    </row>
    <row r="659" spans="1:15">
      <c r="A659" s="240" t="s">
        <v>67</v>
      </c>
      <c r="B659" s="47" t="s">
        <v>59</v>
      </c>
      <c r="C659" s="15">
        <v>389</v>
      </c>
      <c r="D659" s="243">
        <v>38</v>
      </c>
      <c r="E659" s="243">
        <v>20</v>
      </c>
      <c r="F659" s="243">
        <v>13</v>
      </c>
      <c r="G659" s="243">
        <v>20</v>
      </c>
      <c r="H659" s="243">
        <v>27</v>
      </c>
      <c r="I659" s="243">
        <v>30</v>
      </c>
      <c r="J659" s="243">
        <v>36</v>
      </c>
      <c r="K659" s="243">
        <v>37</v>
      </c>
      <c r="L659" s="243">
        <v>39</v>
      </c>
      <c r="M659" s="243">
        <v>49</v>
      </c>
      <c r="N659" s="243">
        <v>31</v>
      </c>
      <c r="O659" s="253">
        <v>49</v>
      </c>
    </row>
    <row r="660" spans="1:15">
      <c r="A660" s="242" t="s">
        <v>67</v>
      </c>
      <c r="B660" s="43" t="s">
        <v>4</v>
      </c>
      <c r="C660" s="15">
        <v>18</v>
      </c>
      <c r="D660" s="244">
        <v>1</v>
      </c>
      <c r="E660" s="244">
        <v>1</v>
      </c>
      <c r="F660" s="244">
        <v>2</v>
      </c>
      <c r="G660" s="244">
        <v>0</v>
      </c>
      <c r="H660" s="244">
        <v>0</v>
      </c>
      <c r="I660" s="244">
        <v>4</v>
      </c>
      <c r="J660" s="244">
        <v>0</v>
      </c>
      <c r="K660" s="244">
        <v>2</v>
      </c>
      <c r="L660" s="244">
        <v>1</v>
      </c>
      <c r="M660" s="244">
        <v>2</v>
      </c>
      <c r="N660" s="244">
        <v>3</v>
      </c>
      <c r="O660" s="254">
        <v>2</v>
      </c>
    </row>
    <row r="661" spans="1:15">
      <c r="A661" s="240" t="s">
        <v>67</v>
      </c>
      <c r="B661" s="47" t="s">
        <v>5</v>
      </c>
      <c r="C661" s="12">
        <v>0.0517997669131552</v>
      </c>
      <c r="D661" s="241">
        <v>0.0263157894736842</v>
      </c>
      <c r="E661" s="241">
        <v>0.05</v>
      </c>
      <c r="F661" s="241">
        <v>0.153846153846154</v>
      </c>
      <c r="G661" s="241">
        <v>0</v>
      </c>
      <c r="H661" s="241">
        <v>0</v>
      </c>
      <c r="I661" s="241">
        <v>0.133333333333333</v>
      </c>
      <c r="J661" s="241">
        <v>0</v>
      </c>
      <c r="K661" s="241">
        <v>0.0540540540540541</v>
      </c>
      <c r="L661" s="241">
        <v>0.0256410256410256</v>
      </c>
      <c r="M661" s="241">
        <v>0.0408163265306122</v>
      </c>
      <c r="N661" s="241">
        <v>0.0967741935483871</v>
      </c>
      <c r="O661" s="252">
        <v>0.0408163265306122</v>
      </c>
    </row>
    <row r="662" spans="1:15">
      <c r="A662" s="242" t="s">
        <v>67</v>
      </c>
      <c r="B662" s="43" t="s">
        <v>6</v>
      </c>
      <c r="C662" s="15">
        <v>7</v>
      </c>
      <c r="D662" s="244">
        <v>1</v>
      </c>
      <c r="E662" s="244">
        <v>0</v>
      </c>
      <c r="F662" s="244">
        <v>1</v>
      </c>
      <c r="G662" s="244">
        <v>0</v>
      </c>
      <c r="H662" s="244">
        <v>0</v>
      </c>
      <c r="I662" s="244">
        <v>2</v>
      </c>
      <c r="J662" s="244">
        <v>0</v>
      </c>
      <c r="K662" s="244">
        <v>1</v>
      </c>
      <c r="L662" s="244">
        <v>0</v>
      </c>
      <c r="M662" s="244">
        <v>2</v>
      </c>
      <c r="N662" s="244">
        <v>0</v>
      </c>
      <c r="O662" s="254">
        <v>0</v>
      </c>
    </row>
    <row r="663" ht="14.25" spans="1:15">
      <c r="A663" s="245" t="s">
        <v>67</v>
      </c>
      <c r="B663" s="52" t="s">
        <v>64</v>
      </c>
      <c r="C663" s="19">
        <v>0.388888888888889</v>
      </c>
      <c r="D663" s="246">
        <v>1</v>
      </c>
      <c r="E663" s="246">
        <v>0</v>
      </c>
      <c r="F663" s="246">
        <v>0.5</v>
      </c>
      <c r="G663" s="246">
        <v>0</v>
      </c>
      <c r="H663" s="246">
        <v>0</v>
      </c>
      <c r="I663" s="246">
        <v>0.5</v>
      </c>
      <c r="J663" s="246">
        <v>0</v>
      </c>
      <c r="K663" s="246">
        <v>0.5</v>
      </c>
      <c r="L663" s="246">
        <v>0</v>
      </c>
      <c r="M663" s="246">
        <v>1</v>
      </c>
      <c r="N663" s="246">
        <v>0</v>
      </c>
      <c r="O663" s="255">
        <v>0</v>
      </c>
    </row>
    <row r="664" spans="1:15">
      <c r="A664" s="240" t="s">
        <v>68</v>
      </c>
      <c r="B664" s="47" t="s">
        <v>55</v>
      </c>
      <c r="C664" s="12">
        <v>0.0666981277307126</v>
      </c>
      <c r="D664" s="241">
        <v>0.13953488372093</v>
      </c>
      <c r="E664" s="241">
        <v>0.0789473684210526</v>
      </c>
      <c r="F664" s="241">
        <v>0.0815602836879433</v>
      </c>
      <c r="G664" s="241">
        <v>0.040453074433657</v>
      </c>
      <c r="H664" s="241">
        <v>0.0427631578947368</v>
      </c>
      <c r="I664" s="241">
        <v>0.0556872037914692</v>
      </c>
      <c r="J664" s="241">
        <v>0.0435267857142857</v>
      </c>
      <c r="K664" s="241">
        <v>0.0494623655913978</v>
      </c>
      <c r="L664" s="241">
        <v>0.058679706601467</v>
      </c>
      <c r="M664" s="241">
        <v>0.0573630136986301</v>
      </c>
      <c r="N664" s="241">
        <v>0.066006600660066</v>
      </c>
      <c r="O664" s="252">
        <v>0.0863930885529158</v>
      </c>
    </row>
    <row r="665" spans="1:15">
      <c r="A665" s="242" t="s">
        <v>68</v>
      </c>
      <c r="B665" s="43" t="s">
        <v>57</v>
      </c>
      <c r="C665" s="15">
        <v>9340</v>
      </c>
      <c r="D665" s="243">
        <v>430</v>
      </c>
      <c r="E665" s="243">
        <v>304</v>
      </c>
      <c r="F665" s="243">
        <v>282</v>
      </c>
      <c r="G665" s="243">
        <v>618</v>
      </c>
      <c r="H665" s="243">
        <v>912</v>
      </c>
      <c r="I665" s="243">
        <v>844</v>
      </c>
      <c r="J665" s="243">
        <v>896</v>
      </c>
      <c r="K665" s="243">
        <v>930</v>
      </c>
      <c r="L665" s="243">
        <v>818</v>
      </c>
      <c r="M665" s="243">
        <v>1168</v>
      </c>
      <c r="N665" s="243">
        <v>1212</v>
      </c>
      <c r="O665" s="253">
        <v>926</v>
      </c>
    </row>
    <row r="666" spans="1:15">
      <c r="A666" s="240" t="s">
        <v>68</v>
      </c>
      <c r="B666" s="47" t="s">
        <v>59</v>
      </c>
      <c r="C666" s="15">
        <v>578</v>
      </c>
      <c r="D666" s="243">
        <v>60</v>
      </c>
      <c r="E666" s="243">
        <v>24</v>
      </c>
      <c r="F666" s="243">
        <v>23</v>
      </c>
      <c r="G666" s="243">
        <v>25</v>
      </c>
      <c r="H666" s="243">
        <v>39</v>
      </c>
      <c r="I666" s="243">
        <v>47</v>
      </c>
      <c r="J666" s="243">
        <v>39</v>
      </c>
      <c r="K666" s="243">
        <v>46</v>
      </c>
      <c r="L666" s="243">
        <v>48</v>
      </c>
      <c r="M666" s="243">
        <v>67</v>
      </c>
      <c r="N666" s="243">
        <v>80</v>
      </c>
      <c r="O666" s="253">
        <v>80</v>
      </c>
    </row>
    <row r="667" spans="1:15">
      <c r="A667" s="242" t="s">
        <v>68</v>
      </c>
      <c r="B667" s="43" t="s">
        <v>4</v>
      </c>
      <c r="C667" s="15">
        <v>35</v>
      </c>
      <c r="D667" s="244">
        <v>4</v>
      </c>
      <c r="E667" s="244">
        <v>2</v>
      </c>
      <c r="F667" s="244">
        <v>2</v>
      </c>
      <c r="G667" s="244">
        <v>1</v>
      </c>
      <c r="H667" s="244">
        <v>2</v>
      </c>
      <c r="I667" s="244">
        <v>4</v>
      </c>
      <c r="J667" s="244">
        <v>3</v>
      </c>
      <c r="K667" s="244">
        <v>3</v>
      </c>
      <c r="L667" s="244">
        <v>2</v>
      </c>
      <c r="M667" s="244">
        <v>6</v>
      </c>
      <c r="N667" s="244">
        <v>4</v>
      </c>
      <c r="O667" s="254">
        <v>2</v>
      </c>
    </row>
    <row r="668" spans="1:15">
      <c r="A668" s="240" t="s">
        <v>68</v>
      </c>
      <c r="B668" s="47" t="s">
        <v>5</v>
      </c>
      <c r="C668" s="12">
        <v>0.0634753608083306</v>
      </c>
      <c r="D668" s="241">
        <v>0.0666666666666667</v>
      </c>
      <c r="E668" s="241">
        <v>0.0833333333333333</v>
      </c>
      <c r="F668" s="241">
        <v>0.0869565217391304</v>
      </c>
      <c r="G668" s="241">
        <v>0.04</v>
      </c>
      <c r="H668" s="241">
        <v>0.0512820512820513</v>
      </c>
      <c r="I668" s="241">
        <v>0.0851063829787234</v>
      </c>
      <c r="J668" s="241">
        <v>0.0769230769230769</v>
      </c>
      <c r="K668" s="241">
        <v>0.0652173913043478</v>
      </c>
      <c r="L668" s="241">
        <v>0.0416666666666667</v>
      </c>
      <c r="M668" s="241">
        <v>0.0895522388059701</v>
      </c>
      <c r="N668" s="241">
        <v>0.05</v>
      </c>
      <c r="O668" s="252">
        <v>0.025</v>
      </c>
    </row>
    <row r="669" spans="1:15">
      <c r="A669" s="242" t="s">
        <v>68</v>
      </c>
      <c r="B669" s="43" t="s">
        <v>6</v>
      </c>
      <c r="C669" s="15">
        <v>11</v>
      </c>
      <c r="D669" s="244">
        <v>2</v>
      </c>
      <c r="E669" s="244">
        <v>0</v>
      </c>
      <c r="F669" s="244">
        <v>1</v>
      </c>
      <c r="G669" s="244">
        <v>0</v>
      </c>
      <c r="H669" s="244">
        <v>1</v>
      </c>
      <c r="I669" s="244">
        <v>0</v>
      </c>
      <c r="J669" s="244">
        <v>0</v>
      </c>
      <c r="K669" s="244">
        <v>1</v>
      </c>
      <c r="L669" s="244">
        <v>1</v>
      </c>
      <c r="M669" s="244">
        <v>1</v>
      </c>
      <c r="N669" s="244">
        <v>3</v>
      </c>
      <c r="O669" s="254">
        <v>1</v>
      </c>
    </row>
    <row r="670" ht="14.25" spans="1:15">
      <c r="A670" s="245" t="s">
        <v>68</v>
      </c>
      <c r="B670" s="52" t="s">
        <v>64</v>
      </c>
      <c r="C670" s="19">
        <v>0.314285714285714</v>
      </c>
      <c r="D670" s="246">
        <v>0.5</v>
      </c>
      <c r="E670" s="246">
        <v>0</v>
      </c>
      <c r="F670" s="246">
        <v>0.5</v>
      </c>
      <c r="G670" s="246">
        <v>0</v>
      </c>
      <c r="H670" s="246">
        <v>0.5</v>
      </c>
      <c r="I670" s="246">
        <v>0</v>
      </c>
      <c r="J670" s="246">
        <v>0</v>
      </c>
      <c r="K670" s="246">
        <v>0.333333333333333</v>
      </c>
      <c r="L670" s="246">
        <v>0.5</v>
      </c>
      <c r="M670" s="246">
        <v>0.166666666666667</v>
      </c>
      <c r="N670" s="246">
        <v>0.75</v>
      </c>
      <c r="O670" s="255">
        <v>0.5</v>
      </c>
    </row>
    <row r="671" spans="1:15">
      <c r="A671" s="240" t="s">
        <v>69</v>
      </c>
      <c r="B671" s="47" t="s">
        <v>55</v>
      </c>
      <c r="C671" s="12">
        <v>1.82599946042039</v>
      </c>
      <c r="D671" s="241">
        <v>1.31372549019608</v>
      </c>
      <c r="E671" s="241">
        <v>1.7</v>
      </c>
      <c r="F671" s="241">
        <v>1.29411764705882</v>
      </c>
      <c r="G671" s="241">
        <v>4.4</v>
      </c>
      <c r="H671" s="241">
        <v>2.31578947368421</v>
      </c>
      <c r="I671" s="241">
        <v>1.89285714285714</v>
      </c>
      <c r="J671" s="241">
        <v>2</v>
      </c>
      <c r="K671" s="241">
        <v>1.55555555555556</v>
      </c>
      <c r="L671" s="241">
        <v>1.92</v>
      </c>
      <c r="M671" s="241">
        <v>1.25714285714286</v>
      </c>
      <c r="N671" s="241">
        <v>1.09259259259259</v>
      </c>
      <c r="O671" s="252">
        <v>1.17021276595745</v>
      </c>
    </row>
    <row r="672" spans="1:15">
      <c r="A672" s="242" t="s">
        <v>69</v>
      </c>
      <c r="B672" s="43" t="s">
        <v>57</v>
      </c>
      <c r="C672" s="15">
        <v>369</v>
      </c>
      <c r="D672" s="243">
        <v>51</v>
      </c>
      <c r="E672" s="243">
        <v>20</v>
      </c>
      <c r="F672" s="243">
        <v>17</v>
      </c>
      <c r="G672" s="243">
        <v>5</v>
      </c>
      <c r="H672" s="243">
        <v>19</v>
      </c>
      <c r="I672" s="243">
        <v>28</v>
      </c>
      <c r="J672" s="243">
        <v>32</v>
      </c>
      <c r="K672" s="243">
        <v>36</v>
      </c>
      <c r="L672" s="243">
        <v>25</v>
      </c>
      <c r="M672" s="243">
        <v>35</v>
      </c>
      <c r="N672" s="243">
        <v>54</v>
      </c>
      <c r="O672" s="253">
        <v>47</v>
      </c>
    </row>
    <row r="673" spans="1:15">
      <c r="A673" s="240" t="s">
        <v>69</v>
      </c>
      <c r="B673" s="47" t="s">
        <v>59</v>
      </c>
      <c r="C673" s="15">
        <v>568</v>
      </c>
      <c r="D673" s="243">
        <v>67</v>
      </c>
      <c r="E673" s="243">
        <v>34</v>
      </c>
      <c r="F673" s="243">
        <v>22</v>
      </c>
      <c r="G673" s="243">
        <v>22</v>
      </c>
      <c r="H673" s="243">
        <v>44</v>
      </c>
      <c r="I673" s="243">
        <v>53</v>
      </c>
      <c r="J673" s="243">
        <v>64</v>
      </c>
      <c r="K673" s="243">
        <v>56</v>
      </c>
      <c r="L673" s="243">
        <v>48</v>
      </c>
      <c r="M673" s="243">
        <v>44</v>
      </c>
      <c r="N673" s="243">
        <v>59</v>
      </c>
      <c r="O673" s="253">
        <v>55</v>
      </c>
    </row>
    <row r="674" spans="1:15">
      <c r="A674" s="242" t="s">
        <v>69</v>
      </c>
      <c r="B674" s="43" t="s">
        <v>4</v>
      </c>
      <c r="C674" s="15">
        <v>27</v>
      </c>
      <c r="D674" s="244">
        <v>3</v>
      </c>
      <c r="E674" s="244">
        <v>0</v>
      </c>
      <c r="F674" s="244">
        <v>0</v>
      </c>
      <c r="G674" s="244">
        <v>0</v>
      </c>
      <c r="H674" s="244">
        <v>4</v>
      </c>
      <c r="I674" s="244">
        <v>3</v>
      </c>
      <c r="J674" s="244">
        <v>3</v>
      </c>
      <c r="K674" s="244">
        <v>3</v>
      </c>
      <c r="L674" s="244">
        <v>2</v>
      </c>
      <c r="M674" s="244">
        <v>5</v>
      </c>
      <c r="N674" s="244">
        <v>2</v>
      </c>
      <c r="O674" s="254">
        <v>2</v>
      </c>
    </row>
    <row r="675" spans="1:15">
      <c r="A675" s="240" t="s">
        <v>69</v>
      </c>
      <c r="B675" s="47" t="s">
        <v>5</v>
      </c>
      <c r="C675" s="12">
        <v>0.0431916986849852</v>
      </c>
      <c r="D675" s="241">
        <v>0.0447761194029851</v>
      </c>
      <c r="E675" s="241">
        <v>0</v>
      </c>
      <c r="F675" s="241">
        <v>0</v>
      </c>
      <c r="G675" s="241">
        <v>0</v>
      </c>
      <c r="H675" s="241">
        <v>0.0909090909090909</v>
      </c>
      <c r="I675" s="241">
        <v>0.0566037735849057</v>
      </c>
      <c r="J675" s="241">
        <v>0.046875</v>
      </c>
      <c r="K675" s="241">
        <v>0.0535714285714286</v>
      </c>
      <c r="L675" s="241">
        <v>0.0416666666666667</v>
      </c>
      <c r="M675" s="241">
        <v>0.113636363636364</v>
      </c>
      <c r="N675" s="241">
        <v>0.0338983050847458</v>
      </c>
      <c r="O675" s="252">
        <v>0.0363636363636364</v>
      </c>
    </row>
    <row r="676" spans="1:15">
      <c r="A676" s="242" t="s">
        <v>69</v>
      </c>
      <c r="B676" s="43" t="s">
        <v>6</v>
      </c>
      <c r="C676" s="15">
        <v>8</v>
      </c>
      <c r="D676" s="244">
        <v>2</v>
      </c>
      <c r="E676" s="244">
        <v>0</v>
      </c>
      <c r="F676" s="244">
        <v>0</v>
      </c>
      <c r="G676" s="244">
        <v>0</v>
      </c>
      <c r="H676" s="244">
        <v>0</v>
      </c>
      <c r="I676" s="244">
        <v>1</v>
      </c>
      <c r="J676" s="244">
        <v>0</v>
      </c>
      <c r="K676" s="244">
        <v>1</v>
      </c>
      <c r="L676" s="244">
        <v>1</v>
      </c>
      <c r="M676" s="244">
        <v>1</v>
      </c>
      <c r="N676" s="244">
        <v>1</v>
      </c>
      <c r="O676" s="254">
        <v>1</v>
      </c>
    </row>
    <row r="677" ht="14.25" spans="1:15">
      <c r="A677" s="245" t="s">
        <v>69</v>
      </c>
      <c r="B677" s="52" t="s">
        <v>64</v>
      </c>
      <c r="C677" s="19">
        <v>0.296296296296296</v>
      </c>
      <c r="D677" s="246">
        <v>0.666666666666667</v>
      </c>
      <c r="E677" s="246">
        <v>0</v>
      </c>
      <c r="F677" s="246">
        <v>0</v>
      </c>
      <c r="G677" s="246">
        <v>0</v>
      </c>
      <c r="H677" s="246">
        <v>0</v>
      </c>
      <c r="I677" s="246">
        <v>0.333333333333333</v>
      </c>
      <c r="J677" s="246">
        <v>0</v>
      </c>
      <c r="K677" s="246">
        <v>0.333333333333333</v>
      </c>
      <c r="L677" s="246">
        <v>0.5</v>
      </c>
      <c r="M677" s="246">
        <v>0.2</v>
      </c>
      <c r="N677" s="246">
        <v>0.5</v>
      </c>
      <c r="O677" s="255">
        <v>0.5</v>
      </c>
    </row>
    <row r="678" spans="1:15">
      <c r="A678" s="240" t="s">
        <v>70</v>
      </c>
      <c r="B678" s="47" t="s">
        <v>55</v>
      </c>
      <c r="C678" s="12">
        <v>1.0242586795647</v>
      </c>
      <c r="D678" s="241">
        <v>0.957446808510638</v>
      </c>
      <c r="E678" s="241">
        <v>1.29411764705882</v>
      </c>
      <c r="F678" s="241">
        <v>0.9375</v>
      </c>
      <c r="G678" s="241">
        <v>1.18181818181818</v>
      </c>
      <c r="H678" s="241">
        <v>1.07692307692308</v>
      </c>
      <c r="I678" s="241">
        <v>0.939393939393939</v>
      </c>
      <c r="J678" s="241">
        <v>1.10526315789474</v>
      </c>
      <c r="K678" s="241">
        <v>0.907894736842105</v>
      </c>
      <c r="L678" s="241">
        <v>1.05882352941176</v>
      </c>
      <c r="M678" s="241">
        <v>0.875</v>
      </c>
      <c r="N678" s="241">
        <v>0.88</v>
      </c>
      <c r="O678" s="252">
        <v>1.07692307692308</v>
      </c>
    </row>
    <row r="679" spans="1:15">
      <c r="A679" s="242" t="s">
        <v>70</v>
      </c>
      <c r="B679" s="43" t="s">
        <v>57</v>
      </c>
      <c r="C679" s="15">
        <v>485</v>
      </c>
      <c r="D679" s="243">
        <v>47</v>
      </c>
      <c r="E679" s="243">
        <v>17</v>
      </c>
      <c r="F679" s="243">
        <v>16</v>
      </c>
      <c r="G679" s="243">
        <v>22</v>
      </c>
      <c r="H679" s="243">
        <v>39</v>
      </c>
      <c r="I679" s="243">
        <v>33</v>
      </c>
      <c r="J679" s="243">
        <v>38</v>
      </c>
      <c r="K679" s="243">
        <v>76</v>
      </c>
      <c r="L679" s="243">
        <v>68</v>
      </c>
      <c r="M679" s="243">
        <v>40</v>
      </c>
      <c r="N679" s="243">
        <v>50</v>
      </c>
      <c r="O679" s="253">
        <v>39</v>
      </c>
    </row>
    <row r="680" spans="1:15">
      <c r="A680" s="240" t="s">
        <v>70</v>
      </c>
      <c r="B680" s="47" t="s">
        <v>59</v>
      </c>
      <c r="C680" s="15">
        <v>485</v>
      </c>
      <c r="D680" s="243">
        <v>45</v>
      </c>
      <c r="E680" s="243">
        <v>22</v>
      </c>
      <c r="F680" s="243">
        <v>15</v>
      </c>
      <c r="G680" s="243">
        <v>26</v>
      </c>
      <c r="H680" s="243">
        <v>42</v>
      </c>
      <c r="I680" s="243">
        <v>31</v>
      </c>
      <c r="J680" s="243">
        <v>42</v>
      </c>
      <c r="K680" s="243">
        <v>69</v>
      </c>
      <c r="L680" s="243">
        <v>72</v>
      </c>
      <c r="M680" s="243">
        <v>35</v>
      </c>
      <c r="N680" s="243">
        <v>44</v>
      </c>
      <c r="O680" s="253">
        <v>42</v>
      </c>
    </row>
    <row r="681" spans="1:15">
      <c r="A681" s="242" t="s">
        <v>70</v>
      </c>
      <c r="B681" s="43" t="s">
        <v>4</v>
      </c>
      <c r="C681" s="15">
        <v>7</v>
      </c>
      <c r="D681" s="244">
        <v>1</v>
      </c>
      <c r="E681" s="244">
        <v>0</v>
      </c>
      <c r="F681" s="244">
        <v>0</v>
      </c>
      <c r="G681" s="244">
        <v>0</v>
      </c>
      <c r="H681" s="244">
        <v>1</v>
      </c>
      <c r="I681" s="244">
        <v>3</v>
      </c>
      <c r="J681" s="244">
        <v>0</v>
      </c>
      <c r="K681" s="244">
        <v>1</v>
      </c>
      <c r="L681" s="244">
        <v>0</v>
      </c>
      <c r="M681" s="244">
        <v>0</v>
      </c>
      <c r="N681" s="244">
        <v>1</v>
      </c>
      <c r="O681" s="254">
        <v>0</v>
      </c>
    </row>
    <row r="682" spans="1:15">
      <c r="A682" s="240" t="s">
        <v>70</v>
      </c>
      <c r="B682" s="47" t="s">
        <v>5</v>
      </c>
      <c r="C682" s="12">
        <v>0.0150021638275495</v>
      </c>
      <c r="D682" s="241">
        <v>0.0222222222222222</v>
      </c>
      <c r="E682" s="241">
        <v>0</v>
      </c>
      <c r="F682" s="241">
        <v>0</v>
      </c>
      <c r="G682" s="241">
        <v>0</v>
      </c>
      <c r="H682" s="241">
        <v>0.0238095238095238</v>
      </c>
      <c r="I682" s="241">
        <v>0.0967741935483871</v>
      </c>
      <c r="J682" s="241">
        <v>0</v>
      </c>
      <c r="K682" s="241">
        <v>0.0144927536231884</v>
      </c>
      <c r="L682" s="241">
        <v>0</v>
      </c>
      <c r="M682" s="241">
        <v>0</v>
      </c>
      <c r="N682" s="241">
        <v>0.0227272727272727</v>
      </c>
      <c r="O682" s="252">
        <v>0</v>
      </c>
    </row>
    <row r="683" spans="1:15">
      <c r="A683" s="242" t="s">
        <v>70</v>
      </c>
      <c r="B683" s="43" t="s">
        <v>6</v>
      </c>
      <c r="C683" s="15">
        <v>2</v>
      </c>
      <c r="D683" s="244">
        <v>1</v>
      </c>
      <c r="E683" s="244">
        <v>0</v>
      </c>
      <c r="F683" s="244">
        <v>0</v>
      </c>
      <c r="G683" s="244">
        <v>0</v>
      </c>
      <c r="H683" s="244">
        <v>0</v>
      </c>
      <c r="I683" s="244">
        <v>0</v>
      </c>
      <c r="J683" s="244">
        <v>0</v>
      </c>
      <c r="K683" s="244">
        <v>0</v>
      </c>
      <c r="L683" s="244">
        <v>0</v>
      </c>
      <c r="M683" s="244">
        <v>0</v>
      </c>
      <c r="N683" s="244">
        <v>1</v>
      </c>
      <c r="O683" s="254">
        <v>0</v>
      </c>
    </row>
    <row r="684" ht="14.25" spans="1:15">
      <c r="A684" s="245" t="s">
        <v>70</v>
      </c>
      <c r="B684" s="52" t="s">
        <v>64</v>
      </c>
      <c r="C684" s="19">
        <v>0.285714285714286</v>
      </c>
      <c r="D684" s="246">
        <v>1</v>
      </c>
      <c r="E684" s="246">
        <v>0</v>
      </c>
      <c r="F684" s="246">
        <v>0</v>
      </c>
      <c r="G684" s="246">
        <v>0</v>
      </c>
      <c r="H684" s="246">
        <v>0</v>
      </c>
      <c r="I684" s="246">
        <v>0</v>
      </c>
      <c r="J684" s="246">
        <v>0</v>
      </c>
      <c r="K684" s="246">
        <v>0</v>
      </c>
      <c r="L684" s="246">
        <v>0</v>
      </c>
      <c r="M684" s="246">
        <v>0</v>
      </c>
      <c r="N684" s="246">
        <v>1</v>
      </c>
      <c r="O684" s="255">
        <v>0</v>
      </c>
    </row>
    <row r="685" spans="1:15">
      <c r="A685" s="240" t="s">
        <v>26</v>
      </c>
      <c r="B685" s="47" t="s">
        <v>55</v>
      </c>
      <c r="C685" s="12">
        <v>0.213402351266711</v>
      </c>
      <c r="D685" s="241">
        <v>0.329646017699115</v>
      </c>
      <c r="E685" s="241">
        <v>0.363247863247863</v>
      </c>
      <c r="F685" s="241">
        <v>0.353260869565217</v>
      </c>
      <c r="G685" s="241">
        <v>0.288194444444444</v>
      </c>
      <c r="H685" s="241">
        <v>0.217021276595745</v>
      </c>
      <c r="I685" s="241">
        <v>0.1875</v>
      </c>
      <c r="J685" s="241">
        <v>0.0894736842105263</v>
      </c>
      <c r="K685" s="241">
        <v>0.0846153846153846</v>
      </c>
      <c r="L685" s="241">
        <v>0.0546875</v>
      </c>
      <c r="M685" s="241">
        <v>0.194545454545455</v>
      </c>
      <c r="N685" s="241">
        <v>0.225328947368421</v>
      </c>
      <c r="O685" s="252">
        <v>0.173306772908367</v>
      </c>
    </row>
    <row r="686" spans="1:15">
      <c r="A686" s="242" t="s">
        <v>26</v>
      </c>
      <c r="B686" s="43" t="s">
        <v>57</v>
      </c>
      <c r="C686" s="15">
        <v>5756</v>
      </c>
      <c r="D686" s="243">
        <v>452</v>
      </c>
      <c r="E686" s="243">
        <v>234</v>
      </c>
      <c r="F686" s="243">
        <v>184</v>
      </c>
      <c r="G686" s="243">
        <v>288</v>
      </c>
      <c r="H686" s="243">
        <v>470</v>
      </c>
      <c r="I686" s="243">
        <v>608</v>
      </c>
      <c r="J686" s="243">
        <v>570</v>
      </c>
      <c r="K686" s="243">
        <v>650</v>
      </c>
      <c r="L686" s="243">
        <v>640</v>
      </c>
      <c r="M686" s="243">
        <v>550</v>
      </c>
      <c r="N686" s="243">
        <v>608</v>
      </c>
      <c r="O686" s="253">
        <v>502</v>
      </c>
    </row>
    <row r="687" spans="1:15">
      <c r="A687" s="240" t="s">
        <v>26</v>
      </c>
      <c r="B687" s="47" t="s">
        <v>59</v>
      </c>
      <c r="C687" s="15">
        <v>1070</v>
      </c>
      <c r="D687" s="243">
        <v>149</v>
      </c>
      <c r="E687" s="243">
        <v>85</v>
      </c>
      <c r="F687" s="243">
        <v>65</v>
      </c>
      <c r="G687" s="243">
        <v>83</v>
      </c>
      <c r="H687" s="243">
        <v>102</v>
      </c>
      <c r="I687" s="243">
        <v>114</v>
      </c>
      <c r="J687" s="243">
        <v>51</v>
      </c>
      <c r="K687" s="243">
        <v>55</v>
      </c>
      <c r="L687" s="243">
        <v>35</v>
      </c>
      <c r="M687" s="243">
        <v>107</v>
      </c>
      <c r="N687" s="243">
        <v>137</v>
      </c>
      <c r="O687" s="253">
        <v>87</v>
      </c>
    </row>
    <row r="688" spans="1:15">
      <c r="A688" s="242" t="s">
        <v>26</v>
      </c>
      <c r="B688" s="43" t="s">
        <v>4</v>
      </c>
      <c r="C688" s="15">
        <v>31</v>
      </c>
      <c r="D688" s="244">
        <v>3</v>
      </c>
      <c r="E688" s="244">
        <v>2</v>
      </c>
      <c r="F688" s="244">
        <v>3</v>
      </c>
      <c r="G688" s="244">
        <v>1</v>
      </c>
      <c r="H688" s="244">
        <v>3</v>
      </c>
      <c r="I688" s="244">
        <v>4</v>
      </c>
      <c r="J688" s="244">
        <v>2</v>
      </c>
      <c r="K688" s="244">
        <v>0</v>
      </c>
      <c r="L688" s="244">
        <v>4</v>
      </c>
      <c r="M688" s="244">
        <v>5</v>
      </c>
      <c r="N688" s="244">
        <v>3</v>
      </c>
      <c r="O688" s="254">
        <v>1</v>
      </c>
    </row>
    <row r="689" spans="1:15">
      <c r="A689" s="240" t="s">
        <v>26</v>
      </c>
      <c r="B689" s="47" t="s">
        <v>5</v>
      </c>
      <c r="C689" s="12">
        <v>0.0333322998747555</v>
      </c>
      <c r="D689" s="241">
        <v>0.0201342281879195</v>
      </c>
      <c r="E689" s="241">
        <v>0.0235294117647059</v>
      </c>
      <c r="F689" s="241">
        <v>0.0461538461538462</v>
      </c>
      <c r="G689" s="241">
        <v>0.0120481927710843</v>
      </c>
      <c r="H689" s="241">
        <v>0.0294117647058824</v>
      </c>
      <c r="I689" s="241">
        <v>0.0350877192982456</v>
      </c>
      <c r="J689" s="241">
        <v>0.0392156862745098</v>
      </c>
      <c r="K689" s="241">
        <v>0</v>
      </c>
      <c r="L689" s="241">
        <v>0.114285714285714</v>
      </c>
      <c r="M689" s="241">
        <v>0.0467289719626168</v>
      </c>
      <c r="N689" s="241">
        <v>0.0218978102189781</v>
      </c>
      <c r="O689" s="252">
        <v>0.0114942528735632</v>
      </c>
    </row>
    <row r="690" spans="1:15">
      <c r="A690" s="242" t="s">
        <v>26</v>
      </c>
      <c r="B690" s="43" t="s">
        <v>6</v>
      </c>
      <c r="C690" s="15">
        <v>14</v>
      </c>
      <c r="D690" s="244">
        <v>2</v>
      </c>
      <c r="E690" s="244">
        <v>2</v>
      </c>
      <c r="F690" s="244">
        <v>1</v>
      </c>
      <c r="G690" s="244">
        <v>1</v>
      </c>
      <c r="H690" s="244">
        <v>0</v>
      </c>
      <c r="I690" s="244">
        <v>1</v>
      </c>
      <c r="J690" s="244">
        <v>0</v>
      </c>
      <c r="K690" s="244">
        <v>1</v>
      </c>
      <c r="L690" s="244">
        <v>2</v>
      </c>
      <c r="M690" s="244">
        <v>1</v>
      </c>
      <c r="N690" s="244">
        <v>2</v>
      </c>
      <c r="O690" s="254">
        <v>1</v>
      </c>
    </row>
    <row r="691" ht="14.25" spans="1:15">
      <c r="A691" s="245" t="s">
        <v>26</v>
      </c>
      <c r="B691" s="52" t="s">
        <v>64</v>
      </c>
      <c r="C691" s="19">
        <v>0.451612903225806</v>
      </c>
      <c r="D691" s="250">
        <v>2</v>
      </c>
      <c r="E691" s="250">
        <v>2</v>
      </c>
      <c r="F691" s="250">
        <v>1</v>
      </c>
      <c r="G691" s="250">
        <v>1</v>
      </c>
      <c r="H691" s="250">
        <v>0</v>
      </c>
      <c r="I691" s="250">
        <v>1</v>
      </c>
      <c r="J691" s="250">
        <v>0</v>
      </c>
      <c r="K691" s="250">
        <v>1</v>
      </c>
      <c r="L691" s="250">
        <v>2</v>
      </c>
      <c r="M691" s="250">
        <v>1</v>
      </c>
      <c r="N691" s="250">
        <v>2</v>
      </c>
      <c r="O691" s="257">
        <v>1</v>
      </c>
    </row>
    <row r="692" spans="1:15">
      <c r="A692" s="240" t="s">
        <v>71</v>
      </c>
      <c r="B692" s="47" t="s">
        <v>55</v>
      </c>
      <c r="C692" s="12">
        <v>0.0944388262529521</v>
      </c>
      <c r="D692" s="241">
        <v>0.0714285714285714</v>
      </c>
      <c r="E692" s="241">
        <v>0</v>
      </c>
      <c r="F692" s="241">
        <v>0</v>
      </c>
      <c r="G692" s="241">
        <v>0.0909090909090909</v>
      </c>
      <c r="H692" s="241">
        <v>0.105263157894737</v>
      </c>
      <c r="I692" s="241">
        <v>0.375</v>
      </c>
      <c r="J692" s="241">
        <v>0.0769230769230769</v>
      </c>
      <c r="K692" s="241">
        <v>0.0344827586206897</v>
      </c>
      <c r="L692" s="241">
        <v>0.111111111111111</v>
      </c>
      <c r="M692" s="241">
        <v>0.111111111111111</v>
      </c>
      <c r="N692" s="241">
        <v>0.037037037037037</v>
      </c>
      <c r="O692" s="252">
        <v>0.12</v>
      </c>
    </row>
    <row r="693" spans="1:15">
      <c r="A693" s="242" t="s">
        <v>71</v>
      </c>
      <c r="B693" s="43" t="s">
        <v>57</v>
      </c>
      <c r="C693" s="15">
        <v>234</v>
      </c>
      <c r="D693" s="243">
        <v>28</v>
      </c>
      <c r="E693" s="243">
        <v>9</v>
      </c>
      <c r="F693" s="243">
        <v>8</v>
      </c>
      <c r="G693" s="243">
        <v>11</v>
      </c>
      <c r="H693" s="243">
        <v>19</v>
      </c>
      <c r="I693" s="243">
        <v>16</v>
      </c>
      <c r="J693" s="243">
        <v>26</v>
      </c>
      <c r="K693" s="243">
        <v>29</v>
      </c>
      <c r="L693" s="243">
        <v>18</v>
      </c>
      <c r="M693" s="243">
        <v>18</v>
      </c>
      <c r="N693" s="243">
        <v>27</v>
      </c>
      <c r="O693" s="253">
        <v>25</v>
      </c>
    </row>
    <row r="694" spans="1:15">
      <c r="A694" s="240" t="s">
        <v>71</v>
      </c>
      <c r="B694" s="47" t="s">
        <v>59</v>
      </c>
      <c r="C694" s="15">
        <v>22</v>
      </c>
      <c r="D694" s="243">
        <v>2</v>
      </c>
      <c r="E694" s="243">
        <v>0</v>
      </c>
      <c r="F694" s="243">
        <v>0</v>
      </c>
      <c r="G694" s="243">
        <v>1</v>
      </c>
      <c r="H694" s="243">
        <v>2</v>
      </c>
      <c r="I694" s="243">
        <v>6</v>
      </c>
      <c r="J694" s="243">
        <v>2</v>
      </c>
      <c r="K694" s="243">
        <v>1</v>
      </c>
      <c r="L694" s="243">
        <v>2</v>
      </c>
      <c r="M694" s="243">
        <v>2</v>
      </c>
      <c r="N694" s="243">
        <v>1</v>
      </c>
      <c r="O694" s="253">
        <v>3</v>
      </c>
    </row>
    <row r="695" spans="1:15">
      <c r="A695" s="242" t="s">
        <v>71</v>
      </c>
      <c r="B695" s="43" t="s">
        <v>4</v>
      </c>
      <c r="C695" s="15">
        <v>31</v>
      </c>
      <c r="D695" s="244">
        <v>5</v>
      </c>
      <c r="E695" s="244">
        <v>2</v>
      </c>
      <c r="F695" s="244">
        <v>1</v>
      </c>
      <c r="G695" s="244">
        <v>2</v>
      </c>
      <c r="H695" s="244">
        <v>2</v>
      </c>
      <c r="I695" s="244">
        <v>8</v>
      </c>
      <c r="J695" s="244">
        <v>3</v>
      </c>
      <c r="K695" s="244">
        <v>2</v>
      </c>
      <c r="L695" s="244">
        <v>1</v>
      </c>
      <c r="M695" s="244">
        <v>0</v>
      </c>
      <c r="N695" s="244">
        <v>1</v>
      </c>
      <c r="O695" s="254">
        <v>4</v>
      </c>
    </row>
    <row r="696" spans="1:15">
      <c r="A696" s="240" t="s">
        <v>71</v>
      </c>
      <c r="B696" s="47" t="s">
        <v>5</v>
      </c>
      <c r="C696" s="12">
        <v>1.09722222222222</v>
      </c>
      <c r="D696" s="241">
        <v>2.5</v>
      </c>
      <c r="E696" s="241">
        <v>0</v>
      </c>
      <c r="F696" s="241">
        <v>0</v>
      </c>
      <c r="G696" s="241">
        <v>2</v>
      </c>
      <c r="H696" s="241">
        <v>1</v>
      </c>
      <c r="I696" s="241">
        <v>1.33333333333333</v>
      </c>
      <c r="J696" s="241">
        <v>1.5</v>
      </c>
      <c r="K696" s="241">
        <v>2</v>
      </c>
      <c r="L696" s="241">
        <v>0.5</v>
      </c>
      <c r="M696" s="241">
        <v>0</v>
      </c>
      <c r="N696" s="241">
        <v>1</v>
      </c>
      <c r="O696" s="252">
        <v>1.33333333333333</v>
      </c>
    </row>
    <row r="697" spans="1:15">
      <c r="A697" s="242" t="s">
        <v>71</v>
      </c>
      <c r="B697" s="43" t="s">
        <v>6</v>
      </c>
      <c r="C697" s="15">
        <v>6</v>
      </c>
      <c r="D697" s="244">
        <v>0</v>
      </c>
      <c r="E697" s="244">
        <v>1</v>
      </c>
      <c r="F697" s="244">
        <v>0</v>
      </c>
      <c r="G697" s="244">
        <v>0</v>
      </c>
      <c r="H697" s="244">
        <v>1</v>
      </c>
      <c r="I697" s="244">
        <v>0</v>
      </c>
      <c r="J697" s="244">
        <v>1</v>
      </c>
      <c r="K697" s="244">
        <v>1</v>
      </c>
      <c r="L697" s="244">
        <v>0</v>
      </c>
      <c r="M697" s="244">
        <v>0</v>
      </c>
      <c r="N697" s="244">
        <v>0</v>
      </c>
      <c r="O697" s="254">
        <v>2</v>
      </c>
    </row>
    <row r="698" ht="14.25" spans="1:15">
      <c r="A698" s="245" t="s">
        <v>71</v>
      </c>
      <c r="B698" s="52" t="s">
        <v>64</v>
      </c>
      <c r="C698" s="19">
        <v>0.193548387096774</v>
      </c>
      <c r="D698" s="250">
        <v>0</v>
      </c>
      <c r="E698" s="250">
        <v>1</v>
      </c>
      <c r="F698" s="250">
        <v>0</v>
      </c>
      <c r="G698" s="250">
        <v>0</v>
      </c>
      <c r="H698" s="250">
        <v>1</v>
      </c>
      <c r="I698" s="250">
        <v>0</v>
      </c>
      <c r="J698" s="250">
        <v>1</v>
      </c>
      <c r="K698" s="250">
        <v>1</v>
      </c>
      <c r="L698" s="250">
        <v>0</v>
      </c>
      <c r="M698" s="250">
        <v>0</v>
      </c>
      <c r="N698" s="250">
        <v>0</v>
      </c>
      <c r="O698" s="257">
        <v>2</v>
      </c>
    </row>
    <row r="699" spans="1:15">
      <c r="A699" s="240" t="s">
        <v>72</v>
      </c>
      <c r="B699" s="47" t="s">
        <v>55</v>
      </c>
      <c r="C699" s="12">
        <v>0.268882926487093</v>
      </c>
      <c r="D699" s="241">
        <v>0.148148148148148</v>
      </c>
      <c r="E699" s="241">
        <v>0.0625</v>
      </c>
      <c r="F699" s="241">
        <v>0.0833333333333333</v>
      </c>
      <c r="G699" s="241">
        <v>0.272727272727273</v>
      </c>
      <c r="H699" s="241">
        <v>0.2</v>
      </c>
      <c r="I699" s="241">
        <v>0.409090909090909</v>
      </c>
      <c r="J699" s="241">
        <v>0.272727272727273</v>
      </c>
      <c r="K699" s="241">
        <v>0.0625</v>
      </c>
      <c r="L699" s="241">
        <v>0.136363636363636</v>
      </c>
      <c r="M699" s="241">
        <v>0.545454545454545</v>
      </c>
      <c r="N699" s="241">
        <v>0.44</v>
      </c>
      <c r="O699" s="252">
        <v>0.59375</v>
      </c>
    </row>
    <row r="700" spans="1:15">
      <c r="A700" s="242" t="s">
        <v>72</v>
      </c>
      <c r="B700" s="43" t="s">
        <v>57</v>
      </c>
      <c r="C700" s="15">
        <v>380</v>
      </c>
      <c r="D700" s="243">
        <v>54</v>
      </c>
      <c r="E700" s="243">
        <v>32</v>
      </c>
      <c r="F700" s="243">
        <v>12</v>
      </c>
      <c r="G700" s="243">
        <v>22</v>
      </c>
      <c r="H700" s="243">
        <v>20</v>
      </c>
      <c r="I700" s="243">
        <v>22</v>
      </c>
      <c r="J700" s="243">
        <v>22</v>
      </c>
      <c r="K700" s="243">
        <v>48</v>
      </c>
      <c r="L700" s="243">
        <v>44</v>
      </c>
      <c r="M700" s="243">
        <v>22</v>
      </c>
      <c r="N700" s="243">
        <v>50</v>
      </c>
      <c r="O700" s="253">
        <v>32</v>
      </c>
    </row>
    <row r="701" spans="1:15">
      <c r="A701" s="240" t="s">
        <v>72</v>
      </c>
      <c r="B701" s="47" t="s">
        <v>59</v>
      </c>
      <c r="C701" s="15">
        <v>98</v>
      </c>
      <c r="D701" s="243">
        <v>8</v>
      </c>
      <c r="E701" s="243">
        <v>2</v>
      </c>
      <c r="F701" s="243">
        <v>1</v>
      </c>
      <c r="G701" s="243">
        <v>6</v>
      </c>
      <c r="H701" s="243">
        <v>4</v>
      </c>
      <c r="I701" s="243">
        <v>9</v>
      </c>
      <c r="J701" s="243">
        <v>6</v>
      </c>
      <c r="K701" s="243">
        <v>3</v>
      </c>
      <c r="L701" s="243">
        <v>6</v>
      </c>
      <c r="M701" s="243">
        <v>12</v>
      </c>
      <c r="N701" s="243">
        <v>22</v>
      </c>
      <c r="O701" s="253">
        <v>19</v>
      </c>
    </row>
    <row r="702" spans="1:15">
      <c r="A702" s="242" t="s">
        <v>72</v>
      </c>
      <c r="B702" s="43" t="s">
        <v>4</v>
      </c>
      <c r="C702" s="15">
        <v>6</v>
      </c>
      <c r="D702" s="244">
        <v>0</v>
      </c>
      <c r="E702" s="244">
        <v>0</v>
      </c>
      <c r="F702" s="244">
        <v>0</v>
      </c>
      <c r="G702" s="244">
        <v>0</v>
      </c>
      <c r="H702" s="244">
        <v>0</v>
      </c>
      <c r="I702" s="244">
        <v>3</v>
      </c>
      <c r="J702" s="244">
        <v>0</v>
      </c>
      <c r="K702" s="244">
        <v>0</v>
      </c>
      <c r="L702" s="244">
        <v>0</v>
      </c>
      <c r="M702" s="244">
        <v>0</v>
      </c>
      <c r="N702" s="244">
        <v>0</v>
      </c>
      <c r="O702" s="254">
        <v>3</v>
      </c>
    </row>
    <row r="703" spans="1:15">
      <c r="A703" s="240" t="s">
        <v>72</v>
      </c>
      <c r="B703" s="47" t="s">
        <v>5</v>
      </c>
      <c r="C703" s="12">
        <v>0.0409356725146199</v>
      </c>
      <c r="D703" s="241">
        <v>0</v>
      </c>
      <c r="E703" s="241">
        <v>0</v>
      </c>
      <c r="F703" s="241">
        <v>0</v>
      </c>
      <c r="G703" s="241">
        <v>0</v>
      </c>
      <c r="H703" s="241">
        <v>0</v>
      </c>
      <c r="I703" s="241">
        <v>0.333333333333333</v>
      </c>
      <c r="J703" s="241">
        <v>0</v>
      </c>
      <c r="K703" s="241">
        <v>0</v>
      </c>
      <c r="L703" s="241">
        <v>0</v>
      </c>
      <c r="M703" s="241">
        <v>0</v>
      </c>
      <c r="N703" s="241">
        <v>0</v>
      </c>
      <c r="O703" s="252">
        <v>0.157894736842105</v>
      </c>
    </row>
    <row r="704" spans="1:15">
      <c r="A704" s="242" t="s">
        <v>72</v>
      </c>
      <c r="B704" s="43" t="s">
        <v>6</v>
      </c>
      <c r="C704" s="15">
        <v>0</v>
      </c>
      <c r="D704" s="244">
        <v>0</v>
      </c>
      <c r="E704" s="244">
        <v>0</v>
      </c>
      <c r="F704" s="244">
        <v>0</v>
      </c>
      <c r="G704" s="244">
        <v>0</v>
      </c>
      <c r="H704" s="244">
        <v>0</v>
      </c>
      <c r="I704" s="244">
        <v>0</v>
      </c>
      <c r="J704" s="244">
        <v>0</v>
      </c>
      <c r="K704" s="244">
        <v>0</v>
      </c>
      <c r="L704" s="244">
        <v>0</v>
      </c>
      <c r="M704" s="244">
        <v>0</v>
      </c>
      <c r="N704" s="244">
        <v>0</v>
      </c>
      <c r="O704" s="254">
        <v>0</v>
      </c>
    </row>
    <row r="705" ht="14.25" spans="1:15">
      <c r="A705" s="245" t="s">
        <v>72</v>
      </c>
      <c r="B705" s="52" t="s">
        <v>64</v>
      </c>
      <c r="C705" s="19">
        <v>0</v>
      </c>
      <c r="D705" s="250">
        <v>0</v>
      </c>
      <c r="E705" s="250">
        <v>0</v>
      </c>
      <c r="F705" s="250">
        <v>0</v>
      </c>
      <c r="G705" s="250">
        <v>0</v>
      </c>
      <c r="H705" s="250">
        <v>0</v>
      </c>
      <c r="I705" s="250">
        <v>0</v>
      </c>
      <c r="J705" s="250">
        <v>0</v>
      </c>
      <c r="K705" s="250">
        <v>0</v>
      </c>
      <c r="L705" s="250">
        <v>0</v>
      </c>
      <c r="M705" s="250">
        <v>0</v>
      </c>
      <c r="N705" s="250">
        <v>0</v>
      </c>
      <c r="O705" s="257">
        <v>0</v>
      </c>
    </row>
    <row r="706" ht="14.25" spans="1:15">
      <c r="A706" s="237">
        <v>45030</v>
      </c>
      <c r="B706" s="237"/>
      <c r="C706" s="237"/>
      <c r="D706" s="237"/>
      <c r="E706" s="237"/>
      <c r="F706" s="237"/>
      <c r="G706" s="237"/>
      <c r="H706" s="237"/>
      <c r="I706" s="237"/>
      <c r="J706" s="237"/>
      <c r="K706" s="237"/>
      <c r="L706" s="237"/>
      <c r="M706" s="237"/>
      <c r="N706" s="237"/>
      <c r="O706" s="237"/>
    </row>
    <row r="707" spans="1:15">
      <c r="A707" s="56" t="s">
        <v>1</v>
      </c>
      <c r="B707" s="238"/>
      <c r="C707" s="8" t="s">
        <v>42</v>
      </c>
      <c r="D707" s="239" t="s">
        <v>43</v>
      </c>
      <c r="E707" s="239" t="s">
        <v>44</v>
      </c>
      <c r="F707" s="239" t="s">
        <v>45</v>
      </c>
      <c r="G707" s="239" t="s">
        <v>46</v>
      </c>
      <c r="H707" s="239" t="s">
        <v>47</v>
      </c>
      <c r="I707" s="239" t="s">
        <v>48</v>
      </c>
      <c r="J707" s="239" t="s">
        <v>49</v>
      </c>
      <c r="K707" s="239" t="s">
        <v>50</v>
      </c>
      <c r="L707" s="239" t="s">
        <v>51</v>
      </c>
      <c r="M707" s="239" t="s">
        <v>52</v>
      </c>
      <c r="N707" s="239" t="s">
        <v>53</v>
      </c>
      <c r="O707" s="251" t="s">
        <v>54</v>
      </c>
    </row>
    <row r="708" spans="1:15">
      <c r="A708" s="240" t="s">
        <v>22</v>
      </c>
      <c r="B708" s="47" t="s">
        <v>55</v>
      </c>
      <c r="C708" s="12">
        <v>0.183292531443147</v>
      </c>
      <c r="D708" s="241">
        <v>0.14576802507837</v>
      </c>
      <c r="E708" s="241">
        <v>0.0749063670411985</v>
      </c>
      <c r="F708" s="241">
        <v>0.088145896656535</v>
      </c>
      <c r="G708" s="241">
        <v>0.124528301886792</v>
      </c>
      <c r="H708" s="241">
        <v>0.165540540540541</v>
      </c>
      <c r="I708" s="241">
        <v>0.273722627737226</v>
      </c>
      <c r="J708" s="241">
        <v>0.20820189274448</v>
      </c>
      <c r="K708" s="241">
        <v>0.260416666666667</v>
      </c>
      <c r="L708" s="241">
        <v>0.263537906137184</v>
      </c>
      <c r="M708" s="241">
        <v>0.232824427480916</v>
      </c>
      <c r="N708" s="241">
        <v>0.204022988505747</v>
      </c>
      <c r="O708" s="252">
        <v>0.157894736842105</v>
      </c>
    </row>
    <row r="709" spans="1:15">
      <c r="A709" s="242" t="s">
        <v>22</v>
      </c>
      <c r="B709" s="43" t="s">
        <v>57</v>
      </c>
      <c r="C709" s="15">
        <v>4246</v>
      </c>
      <c r="D709" s="243">
        <v>638</v>
      </c>
      <c r="E709" s="243">
        <v>534</v>
      </c>
      <c r="F709" s="243">
        <v>329</v>
      </c>
      <c r="G709" s="243">
        <v>265</v>
      </c>
      <c r="H709" s="243">
        <v>296</v>
      </c>
      <c r="I709" s="243">
        <v>274</v>
      </c>
      <c r="J709" s="243">
        <v>317</v>
      </c>
      <c r="K709" s="243">
        <v>288</v>
      </c>
      <c r="L709" s="243">
        <v>277</v>
      </c>
      <c r="M709" s="243">
        <v>262</v>
      </c>
      <c r="N709" s="243">
        <v>348</v>
      </c>
      <c r="O709" s="253">
        <v>418</v>
      </c>
    </row>
    <row r="710" spans="1:15">
      <c r="A710" s="240" t="s">
        <v>22</v>
      </c>
      <c r="B710" s="47" t="s">
        <v>59</v>
      </c>
      <c r="C710" s="15">
        <v>731</v>
      </c>
      <c r="D710" s="243">
        <v>93</v>
      </c>
      <c r="E710" s="243">
        <v>40</v>
      </c>
      <c r="F710" s="243">
        <v>29</v>
      </c>
      <c r="G710" s="243">
        <v>33</v>
      </c>
      <c r="H710" s="243">
        <v>49</v>
      </c>
      <c r="I710" s="243">
        <v>75</v>
      </c>
      <c r="J710" s="243">
        <v>66</v>
      </c>
      <c r="K710" s="243">
        <v>75</v>
      </c>
      <c r="L710" s="243">
        <v>73</v>
      </c>
      <c r="M710" s="243">
        <v>61</v>
      </c>
      <c r="N710" s="243">
        <v>71</v>
      </c>
      <c r="O710" s="253">
        <v>66</v>
      </c>
    </row>
    <row r="711" spans="1:15">
      <c r="A711" s="242" t="s">
        <v>22</v>
      </c>
      <c r="B711" s="43" t="s">
        <v>4</v>
      </c>
      <c r="C711" s="15">
        <v>92</v>
      </c>
      <c r="D711" s="244">
        <v>12</v>
      </c>
      <c r="E711" s="244">
        <v>7</v>
      </c>
      <c r="F711" s="244">
        <v>5</v>
      </c>
      <c r="G711" s="244">
        <v>3</v>
      </c>
      <c r="H711" s="244">
        <v>1</v>
      </c>
      <c r="I711" s="244">
        <v>10</v>
      </c>
      <c r="J711" s="244">
        <v>8</v>
      </c>
      <c r="K711" s="244">
        <v>8</v>
      </c>
      <c r="L711" s="244">
        <v>6</v>
      </c>
      <c r="M711" s="244">
        <v>13</v>
      </c>
      <c r="N711" s="244">
        <v>11</v>
      </c>
      <c r="O711" s="254">
        <v>8</v>
      </c>
    </row>
    <row r="712" spans="1:15">
      <c r="A712" s="240" t="s">
        <v>22</v>
      </c>
      <c r="B712" s="47" t="s">
        <v>5</v>
      </c>
      <c r="C712" s="12">
        <v>0.126701971679306</v>
      </c>
      <c r="D712" s="241">
        <v>0.129032258064516</v>
      </c>
      <c r="E712" s="241">
        <v>0.175</v>
      </c>
      <c r="F712" s="241">
        <v>0.172413793103448</v>
      </c>
      <c r="G712" s="241">
        <v>0.0909090909090909</v>
      </c>
      <c r="H712" s="241">
        <v>0.0204081632653061</v>
      </c>
      <c r="I712" s="241">
        <v>0.133333333333333</v>
      </c>
      <c r="J712" s="241">
        <v>0.121212121212121</v>
      </c>
      <c r="K712" s="241">
        <v>0.106666666666667</v>
      </c>
      <c r="L712" s="241">
        <v>0.0821917808219178</v>
      </c>
      <c r="M712" s="241">
        <v>0.213114754098361</v>
      </c>
      <c r="N712" s="241">
        <v>0.154929577464789</v>
      </c>
      <c r="O712" s="252">
        <v>0.121212121212121</v>
      </c>
    </row>
    <row r="713" spans="1:15">
      <c r="A713" s="242" t="s">
        <v>22</v>
      </c>
      <c r="B713" s="43" t="s">
        <v>6</v>
      </c>
      <c r="C713" s="15">
        <v>36</v>
      </c>
      <c r="D713" s="244">
        <v>3</v>
      </c>
      <c r="E713" s="244">
        <v>3</v>
      </c>
      <c r="F713" s="244">
        <v>2</v>
      </c>
      <c r="G713" s="244">
        <v>1</v>
      </c>
      <c r="H713" s="244">
        <v>3</v>
      </c>
      <c r="I713" s="244">
        <v>3</v>
      </c>
      <c r="J713" s="244">
        <v>4</v>
      </c>
      <c r="K713" s="244">
        <v>3</v>
      </c>
      <c r="L713" s="244">
        <v>5</v>
      </c>
      <c r="M713" s="244">
        <v>3</v>
      </c>
      <c r="N713" s="244">
        <v>4</v>
      </c>
      <c r="O713" s="254">
        <v>2</v>
      </c>
    </row>
    <row r="714" ht="14.25" spans="1:15">
      <c r="A714" s="245" t="s">
        <v>22</v>
      </c>
      <c r="B714" s="52" t="s">
        <v>64</v>
      </c>
      <c r="C714" s="19">
        <v>0.391304347826087</v>
      </c>
      <c r="D714" s="246">
        <v>0.25</v>
      </c>
      <c r="E714" s="246">
        <v>0.428571428571429</v>
      </c>
      <c r="F714" s="246">
        <v>0.4</v>
      </c>
      <c r="G714" s="246">
        <v>0.333333333333333</v>
      </c>
      <c r="H714" s="246">
        <v>3</v>
      </c>
      <c r="I714" s="246">
        <v>0.3</v>
      </c>
      <c r="J714" s="246">
        <v>0.5</v>
      </c>
      <c r="K714" s="246">
        <v>0.375</v>
      </c>
      <c r="L714" s="246">
        <v>0.833333333333333</v>
      </c>
      <c r="M714" s="246">
        <v>0.230769230769231</v>
      </c>
      <c r="N714" s="246">
        <v>0.363636363636364</v>
      </c>
      <c r="O714" s="255">
        <v>0.25</v>
      </c>
    </row>
    <row r="715" spans="1:15">
      <c r="A715" s="247" t="s">
        <v>66</v>
      </c>
      <c r="B715" s="248" t="s">
        <v>55</v>
      </c>
      <c r="C715" s="12">
        <v>0.556154543722008</v>
      </c>
      <c r="D715" s="249">
        <v>0.52059925093633</v>
      </c>
      <c r="E715" s="249">
        <v>0.381974248927039</v>
      </c>
      <c r="F715" s="249">
        <v>0.369791666666667</v>
      </c>
      <c r="G715" s="249">
        <v>0.27683615819209</v>
      </c>
      <c r="H715" s="249">
        <v>0.420560747663551</v>
      </c>
      <c r="I715" s="249">
        <v>0.523316062176166</v>
      </c>
      <c r="J715" s="249">
        <v>0.587939698492462</v>
      </c>
      <c r="K715" s="249">
        <v>0.688172043010753</v>
      </c>
      <c r="L715" s="249">
        <v>0.678391959798995</v>
      </c>
      <c r="M715" s="249">
        <v>0.895027624309392</v>
      </c>
      <c r="N715" s="249">
        <v>0.645038167938931</v>
      </c>
      <c r="O715" s="256">
        <v>0.686206896551724</v>
      </c>
    </row>
    <row r="716" spans="1:15">
      <c r="A716" s="242" t="s">
        <v>66</v>
      </c>
      <c r="B716" s="43" t="s">
        <v>57</v>
      </c>
      <c r="C716" s="15">
        <v>2593</v>
      </c>
      <c r="D716" s="243">
        <v>267</v>
      </c>
      <c r="E716" s="243">
        <v>233</v>
      </c>
      <c r="F716" s="243">
        <v>192</v>
      </c>
      <c r="G716" s="243">
        <v>177</v>
      </c>
      <c r="H716" s="243">
        <v>214</v>
      </c>
      <c r="I716" s="243">
        <v>193</v>
      </c>
      <c r="J716" s="243">
        <v>199</v>
      </c>
      <c r="K716" s="243">
        <v>186</v>
      </c>
      <c r="L716" s="243">
        <v>199</v>
      </c>
      <c r="M716" s="243">
        <v>181</v>
      </c>
      <c r="N716" s="243">
        <v>262</v>
      </c>
      <c r="O716" s="253">
        <v>290</v>
      </c>
    </row>
    <row r="717" spans="1:15">
      <c r="A717" s="240" t="s">
        <v>66</v>
      </c>
      <c r="B717" s="47" t="s">
        <v>59</v>
      </c>
      <c r="C717" s="15">
        <v>1449</v>
      </c>
      <c r="D717" s="243">
        <v>139</v>
      </c>
      <c r="E717" s="243">
        <v>89</v>
      </c>
      <c r="F717" s="243">
        <v>71</v>
      </c>
      <c r="G717" s="243">
        <v>49</v>
      </c>
      <c r="H717" s="243">
        <v>90</v>
      </c>
      <c r="I717" s="243">
        <v>101</v>
      </c>
      <c r="J717" s="243">
        <v>117</v>
      </c>
      <c r="K717" s="243">
        <v>128</v>
      </c>
      <c r="L717" s="243">
        <v>135</v>
      </c>
      <c r="M717" s="243">
        <v>162</v>
      </c>
      <c r="N717" s="243">
        <v>169</v>
      </c>
      <c r="O717" s="253">
        <v>199</v>
      </c>
    </row>
    <row r="718" spans="1:15">
      <c r="A718" s="242" t="s">
        <v>66</v>
      </c>
      <c r="B718" s="43" t="s">
        <v>4</v>
      </c>
      <c r="C718" s="15">
        <v>27</v>
      </c>
      <c r="D718" s="244">
        <v>6</v>
      </c>
      <c r="E718" s="244">
        <v>1</v>
      </c>
      <c r="F718" s="244">
        <v>2</v>
      </c>
      <c r="G718" s="244">
        <v>1</v>
      </c>
      <c r="H718" s="244">
        <v>1</v>
      </c>
      <c r="I718" s="244">
        <v>2</v>
      </c>
      <c r="J718" s="244">
        <v>2</v>
      </c>
      <c r="K718" s="244">
        <v>4</v>
      </c>
      <c r="L718" s="244">
        <v>1</v>
      </c>
      <c r="M718" s="244">
        <v>1</v>
      </c>
      <c r="N718" s="244">
        <v>2</v>
      </c>
      <c r="O718" s="254">
        <v>4</v>
      </c>
    </row>
    <row r="719" spans="1:15">
      <c r="A719" s="240" t="s">
        <v>66</v>
      </c>
      <c r="B719" s="47" t="s">
        <v>5</v>
      </c>
      <c r="C719" s="12">
        <v>0.0189792314489842</v>
      </c>
      <c r="D719" s="241">
        <v>0.0431654676258993</v>
      </c>
      <c r="E719" s="241">
        <v>0.0112359550561798</v>
      </c>
      <c r="F719" s="241">
        <v>0.028169014084507</v>
      </c>
      <c r="G719" s="241">
        <v>0.0204081632653061</v>
      </c>
      <c r="H719" s="241">
        <v>0.0111111111111111</v>
      </c>
      <c r="I719" s="241">
        <v>0.0198019801980198</v>
      </c>
      <c r="J719" s="241">
        <v>0.0170940170940171</v>
      </c>
      <c r="K719" s="241">
        <v>0.03125</v>
      </c>
      <c r="L719" s="241">
        <v>0.00740740740740741</v>
      </c>
      <c r="M719" s="241">
        <v>0.00617283950617284</v>
      </c>
      <c r="N719" s="241">
        <v>0.0118343195266272</v>
      </c>
      <c r="O719" s="252">
        <v>0.0201005025125628</v>
      </c>
    </row>
    <row r="720" spans="1:15">
      <c r="A720" s="242" t="s">
        <v>66</v>
      </c>
      <c r="B720" s="43" t="s">
        <v>6</v>
      </c>
      <c r="C720" s="15">
        <v>6</v>
      </c>
      <c r="D720" s="244">
        <v>1</v>
      </c>
      <c r="E720" s="244">
        <v>0</v>
      </c>
      <c r="F720" s="244">
        <v>0</v>
      </c>
      <c r="G720" s="244">
        <v>2</v>
      </c>
      <c r="H720" s="244">
        <v>0</v>
      </c>
      <c r="I720" s="244">
        <v>1</v>
      </c>
      <c r="J720" s="244">
        <v>1</v>
      </c>
      <c r="K720" s="244">
        <v>0</v>
      </c>
      <c r="L720" s="244">
        <v>0</v>
      </c>
      <c r="M720" s="244">
        <v>0</v>
      </c>
      <c r="N720" s="244">
        <v>0</v>
      </c>
      <c r="O720" s="254">
        <v>1</v>
      </c>
    </row>
    <row r="721" ht="14.25" spans="1:15">
      <c r="A721" s="245" t="s">
        <v>66</v>
      </c>
      <c r="B721" s="52" t="s">
        <v>64</v>
      </c>
      <c r="C721" s="19">
        <v>0.222222222222222</v>
      </c>
      <c r="D721" s="246">
        <v>0.166666666666667</v>
      </c>
      <c r="E721" s="246">
        <v>0</v>
      </c>
      <c r="F721" s="246">
        <v>0</v>
      </c>
      <c r="G721" s="246">
        <v>2</v>
      </c>
      <c r="H721" s="246">
        <v>0</v>
      </c>
      <c r="I721" s="246">
        <v>0.5</v>
      </c>
      <c r="J721" s="246">
        <v>0.5</v>
      </c>
      <c r="K721" s="246">
        <v>0</v>
      </c>
      <c r="L721" s="246">
        <v>0</v>
      </c>
      <c r="M721" s="246">
        <v>0</v>
      </c>
      <c r="N721" s="246">
        <v>0</v>
      </c>
      <c r="O721" s="255">
        <v>0.25</v>
      </c>
    </row>
    <row r="722" spans="1:15">
      <c r="A722" s="240" t="s">
        <v>67</v>
      </c>
      <c r="B722" s="47" t="s">
        <v>55</v>
      </c>
      <c r="C722" s="12">
        <v>0.456272769983472</v>
      </c>
      <c r="D722" s="241">
        <v>0.616279069767442</v>
      </c>
      <c r="E722" s="241">
        <v>0.54</v>
      </c>
      <c r="F722" s="241">
        <v>0.48</v>
      </c>
      <c r="G722" s="241">
        <v>0.325</v>
      </c>
      <c r="H722" s="241">
        <v>0.464285714285714</v>
      </c>
      <c r="I722" s="241">
        <v>0.473684210526316</v>
      </c>
      <c r="J722" s="241">
        <v>0.511627906976744</v>
      </c>
      <c r="K722" s="241">
        <v>0.5</v>
      </c>
      <c r="L722" s="241">
        <v>0.411111111111111</v>
      </c>
      <c r="M722" s="241">
        <v>0.433823529411765</v>
      </c>
      <c r="N722" s="241">
        <v>0.36231884057971</v>
      </c>
      <c r="O722" s="252">
        <v>0.357142857142857</v>
      </c>
    </row>
    <row r="723" spans="1:15">
      <c r="A723" s="242" t="s">
        <v>67</v>
      </c>
      <c r="B723" s="43" t="s">
        <v>57</v>
      </c>
      <c r="C723" s="15">
        <v>1044</v>
      </c>
      <c r="D723" s="243">
        <v>86</v>
      </c>
      <c r="E723" s="243">
        <v>50</v>
      </c>
      <c r="F723" s="243">
        <v>50</v>
      </c>
      <c r="G723" s="243">
        <v>40</v>
      </c>
      <c r="H723" s="243">
        <v>56</v>
      </c>
      <c r="I723" s="243">
        <v>76</v>
      </c>
      <c r="J723" s="243">
        <v>86</v>
      </c>
      <c r="K723" s="243">
        <v>96</v>
      </c>
      <c r="L723" s="243">
        <v>90</v>
      </c>
      <c r="M723" s="243">
        <v>136</v>
      </c>
      <c r="N723" s="243">
        <v>138</v>
      </c>
      <c r="O723" s="253">
        <v>140</v>
      </c>
    </row>
    <row r="724" spans="1:15">
      <c r="A724" s="240" t="s">
        <v>67</v>
      </c>
      <c r="B724" s="47" t="s">
        <v>59</v>
      </c>
      <c r="C724" s="15">
        <v>467</v>
      </c>
      <c r="D724" s="243">
        <v>53</v>
      </c>
      <c r="E724" s="243">
        <v>27</v>
      </c>
      <c r="F724" s="243">
        <v>24</v>
      </c>
      <c r="G724" s="243">
        <v>13</v>
      </c>
      <c r="H724" s="243">
        <v>26</v>
      </c>
      <c r="I724" s="243">
        <v>36</v>
      </c>
      <c r="J724" s="243">
        <v>44</v>
      </c>
      <c r="K724" s="243">
        <v>48</v>
      </c>
      <c r="L724" s="243">
        <v>37</v>
      </c>
      <c r="M724" s="243">
        <v>59</v>
      </c>
      <c r="N724" s="243">
        <v>50</v>
      </c>
      <c r="O724" s="253">
        <v>50</v>
      </c>
    </row>
    <row r="725" spans="1:15">
      <c r="A725" s="242" t="s">
        <v>67</v>
      </c>
      <c r="B725" s="43" t="s">
        <v>4</v>
      </c>
      <c r="C725" s="15">
        <v>24</v>
      </c>
      <c r="D725" s="244">
        <v>3</v>
      </c>
      <c r="E725" s="244">
        <v>0</v>
      </c>
      <c r="F725" s="244">
        <v>3</v>
      </c>
      <c r="G725" s="244">
        <v>0</v>
      </c>
      <c r="H725" s="244">
        <v>0</v>
      </c>
      <c r="I725" s="244">
        <v>2</v>
      </c>
      <c r="J725" s="244">
        <v>0</v>
      </c>
      <c r="K725" s="244">
        <v>3</v>
      </c>
      <c r="L725" s="244">
        <v>4</v>
      </c>
      <c r="M725" s="244">
        <v>4</v>
      </c>
      <c r="N725" s="244">
        <v>2</v>
      </c>
      <c r="O725" s="254">
        <v>3</v>
      </c>
    </row>
    <row r="726" spans="1:15">
      <c r="A726" s="240" t="s">
        <v>67</v>
      </c>
      <c r="B726" s="47" t="s">
        <v>5</v>
      </c>
      <c r="C726" s="12">
        <v>0.0479636706181717</v>
      </c>
      <c r="D726" s="241">
        <v>0.0566037735849057</v>
      </c>
      <c r="E726" s="241">
        <v>0</v>
      </c>
      <c r="F726" s="241">
        <v>0.125</v>
      </c>
      <c r="G726" s="241">
        <v>0</v>
      </c>
      <c r="H726" s="241">
        <v>0</v>
      </c>
      <c r="I726" s="241">
        <v>0.0555555555555556</v>
      </c>
      <c r="J726" s="241">
        <v>0</v>
      </c>
      <c r="K726" s="241">
        <v>0.0625</v>
      </c>
      <c r="L726" s="241">
        <v>0.108108108108108</v>
      </c>
      <c r="M726" s="241">
        <v>0.0677966101694915</v>
      </c>
      <c r="N726" s="241">
        <v>0.04</v>
      </c>
      <c r="O726" s="252">
        <v>0.06</v>
      </c>
    </row>
    <row r="727" spans="1:15">
      <c r="A727" s="242" t="s">
        <v>67</v>
      </c>
      <c r="B727" s="43" t="s">
        <v>6</v>
      </c>
      <c r="C727" s="15">
        <v>8</v>
      </c>
      <c r="D727" s="244">
        <v>2</v>
      </c>
      <c r="E727" s="244">
        <v>0</v>
      </c>
      <c r="F727" s="244">
        <v>1</v>
      </c>
      <c r="G727" s="244">
        <v>0</v>
      </c>
      <c r="H727" s="244">
        <v>0</v>
      </c>
      <c r="I727" s="244">
        <v>0</v>
      </c>
      <c r="J727" s="244">
        <v>0</v>
      </c>
      <c r="K727" s="244">
        <v>0</v>
      </c>
      <c r="L727" s="244">
        <v>1</v>
      </c>
      <c r="M727" s="244">
        <v>1</v>
      </c>
      <c r="N727" s="244">
        <v>1</v>
      </c>
      <c r="O727" s="254">
        <v>2</v>
      </c>
    </row>
    <row r="728" ht="14.25" spans="1:15">
      <c r="A728" s="245" t="s">
        <v>67</v>
      </c>
      <c r="B728" s="52" t="s">
        <v>64</v>
      </c>
      <c r="C728" s="19">
        <v>0.333333333333333</v>
      </c>
      <c r="D728" s="246">
        <v>0.666666666666667</v>
      </c>
      <c r="E728" s="246">
        <v>0</v>
      </c>
      <c r="F728" s="246">
        <v>0.333333333333333</v>
      </c>
      <c r="G728" s="246">
        <v>0</v>
      </c>
      <c r="H728" s="246">
        <v>0</v>
      </c>
      <c r="I728" s="246">
        <v>0</v>
      </c>
      <c r="J728" s="246">
        <v>0</v>
      </c>
      <c r="K728" s="246">
        <v>0</v>
      </c>
      <c r="L728" s="246">
        <v>0.25</v>
      </c>
      <c r="M728" s="246">
        <v>0.25</v>
      </c>
      <c r="N728" s="246">
        <v>0.5</v>
      </c>
      <c r="O728" s="255">
        <v>0.666666666666667</v>
      </c>
    </row>
    <row r="729" spans="1:15">
      <c r="A729" s="240" t="s">
        <v>68</v>
      </c>
      <c r="B729" s="47" t="s">
        <v>55</v>
      </c>
      <c r="C729" s="12">
        <v>0.0811263947496036</v>
      </c>
      <c r="D729" s="241">
        <v>0.136015325670498</v>
      </c>
      <c r="E729" s="241">
        <v>0.168478260869565</v>
      </c>
      <c r="F729" s="241">
        <v>0.18</v>
      </c>
      <c r="G729" s="241">
        <v>0.0652173913043478</v>
      </c>
      <c r="H729" s="241">
        <v>0.0594594594594595</v>
      </c>
      <c r="I729" s="241">
        <v>0.0729847494553377</v>
      </c>
      <c r="J729" s="241">
        <v>0.0602409638554217</v>
      </c>
      <c r="K729" s="241">
        <v>0.0687361419068736</v>
      </c>
      <c r="L729" s="241">
        <v>0.0647410358565737</v>
      </c>
      <c r="M729" s="241">
        <v>0.0328525641025641</v>
      </c>
      <c r="N729" s="241">
        <v>0.0269337016574586</v>
      </c>
      <c r="O729" s="252">
        <v>0.0378571428571429</v>
      </c>
    </row>
    <row r="730" spans="1:15">
      <c r="A730" s="242" t="s">
        <v>68</v>
      </c>
      <c r="B730" s="43" t="s">
        <v>57</v>
      </c>
      <c r="C730" s="15">
        <v>9880</v>
      </c>
      <c r="D730" s="243">
        <v>522</v>
      </c>
      <c r="E730" s="243">
        <v>184</v>
      </c>
      <c r="F730" s="243">
        <v>150</v>
      </c>
      <c r="G730" s="243">
        <v>368</v>
      </c>
      <c r="H730" s="243">
        <v>740</v>
      </c>
      <c r="I730" s="243">
        <v>918</v>
      </c>
      <c r="J730" s="243">
        <v>996</v>
      </c>
      <c r="K730" s="243">
        <v>902</v>
      </c>
      <c r="L730" s="243">
        <v>1004</v>
      </c>
      <c r="M730" s="243">
        <v>1248</v>
      </c>
      <c r="N730" s="243">
        <v>1448</v>
      </c>
      <c r="O730" s="253">
        <v>1400</v>
      </c>
    </row>
    <row r="731" spans="1:15">
      <c r="A731" s="240" t="s">
        <v>68</v>
      </c>
      <c r="B731" s="47" t="s">
        <v>59</v>
      </c>
      <c r="C731" s="15">
        <v>584</v>
      </c>
      <c r="D731" s="243">
        <v>71</v>
      </c>
      <c r="E731" s="243">
        <v>31</v>
      </c>
      <c r="F731" s="243">
        <v>27</v>
      </c>
      <c r="G731" s="243">
        <v>24</v>
      </c>
      <c r="H731" s="243">
        <v>44</v>
      </c>
      <c r="I731" s="243">
        <v>67</v>
      </c>
      <c r="J731" s="243">
        <v>60</v>
      </c>
      <c r="K731" s="243">
        <v>62</v>
      </c>
      <c r="L731" s="243">
        <v>65</v>
      </c>
      <c r="M731" s="243">
        <v>41</v>
      </c>
      <c r="N731" s="243">
        <v>39</v>
      </c>
      <c r="O731" s="253">
        <v>53</v>
      </c>
    </row>
    <row r="732" spans="1:15">
      <c r="A732" s="242" t="s">
        <v>68</v>
      </c>
      <c r="B732" s="43" t="s">
        <v>4</v>
      </c>
      <c r="C732" s="15">
        <v>34</v>
      </c>
      <c r="D732" s="244">
        <v>3</v>
      </c>
      <c r="E732" s="244">
        <v>5</v>
      </c>
      <c r="F732" s="244">
        <v>0</v>
      </c>
      <c r="G732" s="244">
        <v>1</v>
      </c>
      <c r="H732" s="244">
        <v>0</v>
      </c>
      <c r="I732" s="244">
        <v>3</v>
      </c>
      <c r="J732" s="244">
        <v>4</v>
      </c>
      <c r="K732" s="244">
        <v>1</v>
      </c>
      <c r="L732" s="244">
        <v>6</v>
      </c>
      <c r="M732" s="244">
        <v>0</v>
      </c>
      <c r="N732" s="244">
        <v>6</v>
      </c>
      <c r="O732" s="254">
        <v>5</v>
      </c>
    </row>
    <row r="733" spans="1:15">
      <c r="A733" s="240" t="s">
        <v>68</v>
      </c>
      <c r="B733" s="47" t="s">
        <v>5</v>
      </c>
      <c r="C733" s="12">
        <v>0.0594396497914287</v>
      </c>
      <c r="D733" s="241">
        <v>0.0422535211267606</v>
      </c>
      <c r="E733" s="241">
        <v>0.161290322580645</v>
      </c>
      <c r="F733" s="241">
        <v>0</v>
      </c>
      <c r="G733" s="241">
        <v>0.0416666666666667</v>
      </c>
      <c r="H733" s="241">
        <v>0</v>
      </c>
      <c r="I733" s="241">
        <v>0.0447761194029851</v>
      </c>
      <c r="J733" s="241">
        <v>0.0666666666666667</v>
      </c>
      <c r="K733" s="241">
        <v>0.0161290322580645</v>
      </c>
      <c r="L733" s="241">
        <v>0.0923076923076923</v>
      </c>
      <c r="M733" s="241">
        <v>0</v>
      </c>
      <c r="N733" s="241">
        <v>0.153846153846154</v>
      </c>
      <c r="O733" s="252">
        <v>0.0943396226415094</v>
      </c>
    </row>
    <row r="734" spans="1:15">
      <c r="A734" s="242" t="s">
        <v>68</v>
      </c>
      <c r="B734" s="43" t="s">
        <v>6</v>
      </c>
      <c r="C734" s="15">
        <v>14</v>
      </c>
      <c r="D734" s="244">
        <v>1</v>
      </c>
      <c r="E734" s="244">
        <v>1</v>
      </c>
      <c r="F734" s="244">
        <v>1</v>
      </c>
      <c r="G734" s="244">
        <v>0</v>
      </c>
      <c r="H734" s="244">
        <v>2</v>
      </c>
      <c r="I734" s="244">
        <v>2</v>
      </c>
      <c r="J734" s="244">
        <v>3</v>
      </c>
      <c r="K734" s="244">
        <v>1</v>
      </c>
      <c r="L734" s="244">
        <v>0</v>
      </c>
      <c r="M734" s="244">
        <v>0</v>
      </c>
      <c r="N734" s="244">
        <v>2</v>
      </c>
      <c r="O734" s="254">
        <v>1</v>
      </c>
    </row>
    <row r="735" ht="14.25" spans="1:15">
      <c r="A735" s="245" t="s">
        <v>68</v>
      </c>
      <c r="B735" s="52" t="s">
        <v>64</v>
      </c>
      <c r="C735" s="19">
        <v>0.411764705882353</v>
      </c>
      <c r="D735" s="246">
        <v>0.333333333333333</v>
      </c>
      <c r="E735" s="246">
        <v>0.2</v>
      </c>
      <c r="F735" s="246">
        <v>0</v>
      </c>
      <c r="G735" s="246">
        <v>0</v>
      </c>
      <c r="H735" s="246">
        <v>0</v>
      </c>
      <c r="I735" s="246">
        <v>0.666666666666667</v>
      </c>
      <c r="J735" s="246">
        <v>0.75</v>
      </c>
      <c r="K735" s="246">
        <v>1</v>
      </c>
      <c r="L735" s="246">
        <v>0</v>
      </c>
      <c r="M735" s="246">
        <v>0</v>
      </c>
      <c r="N735" s="246">
        <v>0.333333333333333</v>
      </c>
      <c r="O735" s="255">
        <v>0.2</v>
      </c>
    </row>
    <row r="736" spans="1:15">
      <c r="A736" s="240" t="s">
        <v>69</v>
      </c>
      <c r="B736" s="47" t="s">
        <v>55</v>
      </c>
      <c r="C736" s="12">
        <v>1.359778840424</v>
      </c>
      <c r="D736" s="241">
        <v>1.4</v>
      </c>
      <c r="E736" s="241">
        <v>1.4</v>
      </c>
      <c r="F736" s="241">
        <v>0.95</v>
      </c>
      <c r="G736" s="241">
        <v>1.38888888888889</v>
      </c>
      <c r="H736" s="241">
        <v>1.40740740740741</v>
      </c>
      <c r="I736" s="241">
        <v>1.45161290322581</v>
      </c>
      <c r="J736" s="241">
        <v>1.51612903225806</v>
      </c>
      <c r="K736" s="241">
        <v>1.60606060606061</v>
      </c>
      <c r="L736" s="241">
        <v>1.33333333333333</v>
      </c>
      <c r="M736" s="241">
        <v>1.43243243243243</v>
      </c>
      <c r="N736" s="241">
        <v>1.14814814814815</v>
      </c>
      <c r="O736" s="252">
        <v>1.28333333333333</v>
      </c>
    </row>
    <row r="737" spans="1:15">
      <c r="A737" s="242" t="s">
        <v>69</v>
      </c>
      <c r="B737" s="43" t="s">
        <v>57</v>
      </c>
      <c r="C737" s="15">
        <v>406</v>
      </c>
      <c r="D737" s="243">
        <v>50</v>
      </c>
      <c r="E737" s="243">
        <v>15</v>
      </c>
      <c r="F737" s="243">
        <v>20</v>
      </c>
      <c r="G737" s="243">
        <v>18</v>
      </c>
      <c r="H737" s="243">
        <v>27</v>
      </c>
      <c r="I737" s="243">
        <v>31</v>
      </c>
      <c r="J737" s="243">
        <v>31</v>
      </c>
      <c r="K737" s="243">
        <v>33</v>
      </c>
      <c r="L737" s="243">
        <v>30</v>
      </c>
      <c r="M737" s="243">
        <v>37</v>
      </c>
      <c r="N737" s="243">
        <v>54</v>
      </c>
      <c r="O737" s="253">
        <v>60</v>
      </c>
    </row>
    <row r="738" spans="1:15">
      <c r="A738" s="240" t="s">
        <v>69</v>
      </c>
      <c r="B738" s="47" t="s">
        <v>59</v>
      </c>
      <c r="C738" s="15">
        <v>550</v>
      </c>
      <c r="D738" s="243">
        <v>70</v>
      </c>
      <c r="E738" s="243">
        <v>21</v>
      </c>
      <c r="F738" s="243">
        <v>19</v>
      </c>
      <c r="G738" s="243">
        <v>25</v>
      </c>
      <c r="H738" s="243">
        <v>38</v>
      </c>
      <c r="I738" s="243">
        <v>45</v>
      </c>
      <c r="J738" s="243">
        <v>47</v>
      </c>
      <c r="K738" s="243">
        <v>53</v>
      </c>
      <c r="L738" s="243">
        <v>40</v>
      </c>
      <c r="M738" s="243">
        <v>53</v>
      </c>
      <c r="N738" s="243">
        <v>62</v>
      </c>
      <c r="O738" s="253">
        <v>77</v>
      </c>
    </row>
    <row r="739" spans="1:15">
      <c r="A739" s="242" t="s">
        <v>69</v>
      </c>
      <c r="B739" s="43" t="s">
        <v>4</v>
      </c>
      <c r="C739" s="15">
        <v>28</v>
      </c>
      <c r="D739" s="244">
        <v>1</v>
      </c>
      <c r="E739" s="244">
        <v>1</v>
      </c>
      <c r="F739" s="244">
        <v>0</v>
      </c>
      <c r="G739" s="244">
        <v>1</v>
      </c>
      <c r="H739" s="244">
        <v>3</v>
      </c>
      <c r="I739" s="244">
        <v>2</v>
      </c>
      <c r="J739" s="244">
        <v>2</v>
      </c>
      <c r="K739" s="244">
        <v>7</v>
      </c>
      <c r="L739" s="244">
        <v>4</v>
      </c>
      <c r="M739" s="244">
        <v>3</v>
      </c>
      <c r="N739" s="244">
        <v>2</v>
      </c>
      <c r="O739" s="254">
        <v>2</v>
      </c>
    </row>
    <row r="740" spans="1:15">
      <c r="A740" s="240" t="s">
        <v>69</v>
      </c>
      <c r="B740" s="47" t="s">
        <v>5</v>
      </c>
      <c r="C740" s="12">
        <v>0.0512300918360662</v>
      </c>
      <c r="D740" s="241">
        <v>0.0142857142857143</v>
      </c>
      <c r="E740" s="241">
        <v>0.0476190476190476</v>
      </c>
      <c r="F740" s="241">
        <v>0</v>
      </c>
      <c r="G740" s="241">
        <v>0.04</v>
      </c>
      <c r="H740" s="241">
        <v>0.0789473684210526</v>
      </c>
      <c r="I740" s="241">
        <v>0.0444444444444444</v>
      </c>
      <c r="J740" s="241">
        <v>0.0425531914893617</v>
      </c>
      <c r="K740" s="241">
        <v>0.132075471698113</v>
      </c>
      <c r="L740" s="241">
        <v>0.1</v>
      </c>
      <c r="M740" s="241">
        <v>0.0566037735849057</v>
      </c>
      <c r="N740" s="241">
        <v>0.032258064516129</v>
      </c>
      <c r="O740" s="252">
        <v>0.025974025974026</v>
      </c>
    </row>
    <row r="741" spans="1:15">
      <c r="A741" s="242" t="s">
        <v>69</v>
      </c>
      <c r="B741" s="43" t="s">
        <v>6</v>
      </c>
      <c r="C741" s="15">
        <v>9</v>
      </c>
      <c r="D741" s="244">
        <v>0</v>
      </c>
      <c r="E741" s="244">
        <v>0</v>
      </c>
      <c r="F741" s="244">
        <v>0</v>
      </c>
      <c r="G741" s="244">
        <v>1</v>
      </c>
      <c r="H741" s="244">
        <v>1</v>
      </c>
      <c r="I741" s="244">
        <v>1</v>
      </c>
      <c r="J741" s="244">
        <v>1</v>
      </c>
      <c r="K741" s="244">
        <v>2</v>
      </c>
      <c r="L741" s="244">
        <v>0</v>
      </c>
      <c r="M741" s="244">
        <v>1</v>
      </c>
      <c r="N741" s="244">
        <v>1</v>
      </c>
      <c r="O741" s="254">
        <v>1</v>
      </c>
    </row>
    <row r="742" ht="14.25" spans="1:15">
      <c r="A742" s="245" t="s">
        <v>69</v>
      </c>
      <c r="B742" s="52" t="s">
        <v>64</v>
      </c>
      <c r="C742" s="19">
        <v>0.321428571428571</v>
      </c>
      <c r="D742" s="246">
        <v>0</v>
      </c>
      <c r="E742" s="246">
        <v>0</v>
      </c>
      <c r="F742" s="246">
        <v>0</v>
      </c>
      <c r="G742" s="246">
        <v>1</v>
      </c>
      <c r="H742" s="246">
        <v>0.333333333333333</v>
      </c>
      <c r="I742" s="246">
        <v>0.5</v>
      </c>
      <c r="J742" s="246">
        <v>0.5</v>
      </c>
      <c r="K742" s="246">
        <v>0.285714285714286</v>
      </c>
      <c r="L742" s="246">
        <v>0</v>
      </c>
      <c r="M742" s="246">
        <v>0.333333333333333</v>
      </c>
      <c r="N742" s="246">
        <v>0.5</v>
      </c>
      <c r="O742" s="255">
        <v>0.5</v>
      </c>
    </row>
    <row r="743" spans="1:15">
      <c r="A743" s="240" t="s">
        <v>70</v>
      </c>
      <c r="B743" s="47" t="s">
        <v>55</v>
      </c>
      <c r="C743" s="12">
        <v>1.03111389667096</v>
      </c>
      <c r="D743" s="241">
        <v>1.19230769230769</v>
      </c>
      <c r="E743" s="241">
        <v>1</v>
      </c>
      <c r="F743" s="241">
        <v>2.5</v>
      </c>
      <c r="G743" s="241">
        <v>1.66666666666667</v>
      </c>
      <c r="H743" s="241">
        <v>1</v>
      </c>
      <c r="I743" s="241">
        <v>0.956521739130435</v>
      </c>
      <c r="J743" s="241">
        <v>0.869565217391304</v>
      </c>
      <c r="K743" s="241">
        <v>1.26923076923077</v>
      </c>
      <c r="L743" s="241">
        <v>0.318181818181818</v>
      </c>
      <c r="M743" s="241">
        <v>0.5</v>
      </c>
      <c r="N743" s="241">
        <v>0.257142857142857</v>
      </c>
      <c r="O743" s="252">
        <v>0.84375</v>
      </c>
    </row>
    <row r="744" spans="1:15">
      <c r="A744" s="242" t="s">
        <v>70</v>
      </c>
      <c r="B744" s="43" t="s">
        <v>57</v>
      </c>
      <c r="C744" s="15">
        <v>266</v>
      </c>
      <c r="D744" s="243">
        <v>26</v>
      </c>
      <c r="E744" s="243">
        <v>7</v>
      </c>
      <c r="F744" s="243">
        <v>6</v>
      </c>
      <c r="G744" s="243">
        <v>6</v>
      </c>
      <c r="H744" s="243">
        <v>30</v>
      </c>
      <c r="I744" s="243">
        <v>23</v>
      </c>
      <c r="J744" s="243">
        <v>23</v>
      </c>
      <c r="K744" s="243">
        <v>26</v>
      </c>
      <c r="L744" s="243">
        <v>22</v>
      </c>
      <c r="M744" s="243">
        <v>30</v>
      </c>
      <c r="N744" s="243">
        <v>35</v>
      </c>
      <c r="O744" s="253">
        <v>32</v>
      </c>
    </row>
    <row r="745" spans="1:15">
      <c r="A745" s="240" t="s">
        <v>70</v>
      </c>
      <c r="B745" s="47" t="s">
        <v>59</v>
      </c>
      <c r="C745" s="15">
        <v>226</v>
      </c>
      <c r="D745" s="243">
        <v>31</v>
      </c>
      <c r="E745" s="243">
        <v>7</v>
      </c>
      <c r="F745" s="243">
        <v>15</v>
      </c>
      <c r="G745" s="243">
        <v>10</v>
      </c>
      <c r="H745" s="243">
        <v>30</v>
      </c>
      <c r="I745" s="243">
        <v>22</v>
      </c>
      <c r="J745" s="243">
        <v>20</v>
      </c>
      <c r="K745" s="243">
        <v>33</v>
      </c>
      <c r="L745" s="243">
        <v>7</v>
      </c>
      <c r="M745" s="243">
        <v>15</v>
      </c>
      <c r="N745" s="243">
        <v>9</v>
      </c>
      <c r="O745" s="253">
        <v>27</v>
      </c>
    </row>
    <row r="746" spans="1:15">
      <c r="A746" s="242" t="s">
        <v>70</v>
      </c>
      <c r="B746" s="43" t="s">
        <v>4</v>
      </c>
      <c r="C746" s="15">
        <v>5</v>
      </c>
      <c r="D746" s="244">
        <v>0</v>
      </c>
      <c r="E746" s="244">
        <v>0</v>
      </c>
      <c r="F746" s="244">
        <v>0</v>
      </c>
      <c r="G746" s="244">
        <v>0</v>
      </c>
      <c r="H746" s="244">
        <v>0</v>
      </c>
      <c r="I746" s="244">
        <v>1</v>
      </c>
      <c r="J746" s="244">
        <v>1</v>
      </c>
      <c r="K746" s="244">
        <v>3</v>
      </c>
      <c r="L746" s="244">
        <v>0</v>
      </c>
      <c r="M746" s="244">
        <v>0</v>
      </c>
      <c r="N746" s="244">
        <v>0</v>
      </c>
      <c r="O746" s="254">
        <v>0</v>
      </c>
    </row>
    <row r="747" spans="1:15">
      <c r="A747" s="240" t="s">
        <v>70</v>
      </c>
      <c r="B747" s="47" t="s">
        <v>5</v>
      </c>
      <c r="C747" s="12">
        <v>0.015530303030303</v>
      </c>
      <c r="D747" s="241">
        <v>0</v>
      </c>
      <c r="E747" s="241">
        <v>0</v>
      </c>
      <c r="F747" s="241">
        <v>0</v>
      </c>
      <c r="G747" s="241">
        <v>0</v>
      </c>
      <c r="H747" s="241">
        <v>0</v>
      </c>
      <c r="I747" s="241">
        <v>0.0454545454545455</v>
      </c>
      <c r="J747" s="241">
        <v>0.05</v>
      </c>
      <c r="K747" s="241">
        <v>0.0909090909090909</v>
      </c>
      <c r="L747" s="241">
        <v>0</v>
      </c>
      <c r="M747" s="241">
        <v>0</v>
      </c>
      <c r="N747" s="241">
        <v>0</v>
      </c>
      <c r="O747" s="252">
        <v>0</v>
      </c>
    </row>
    <row r="748" spans="1:15">
      <c r="A748" s="242" t="s">
        <v>70</v>
      </c>
      <c r="B748" s="43" t="s">
        <v>6</v>
      </c>
      <c r="C748" s="15">
        <v>1</v>
      </c>
      <c r="D748" s="244">
        <v>0</v>
      </c>
      <c r="E748" s="244">
        <v>0</v>
      </c>
      <c r="F748" s="244">
        <v>0</v>
      </c>
      <c r="G748" s="244">
        <v>0</v>
      </c>
      <c r="H748" s="244">
        <v>0</v>
      </c>
      <c r="I748" s="244">
        <v>1</v>
      </c>
      <c r="J748" s="244">
        <v>0</v>
      </c>
      <c r="K748" s="244">
        <v>0</v>
      </c>
      <c r="L748" s="244">
        <v>0</v>
      </c>
      <c r="M748" s="244">
        <v>0</v>
      </c>
      <c r="N748" s="244">
        <v>0</v>
      </c>
      <c r="O748" s="254">
        <v>0</v>
      </c>
    </row>
    <row r="749" ht="14.25" spans="1:15">
      <c r="A749" s="245" t="s">
        <v>70</v>
      </c>
      <c r="B749" s="52" t="s">
        <v>64</v>
      </c>
      <c r="C749" s="19">
        <v>0.2</v>
      </c>
      <c r="D749" s="246">
        <v>0</v>
      </c>
      <c r="E749" s="246">
        <v>0</v>
      </c>
      <c r="F749" s="246">
        <v>0</v>
      </c>
      <c r="G749" s="246">
        <v>0</v>
      </c>
      <c r="H749" s="246">
        <v>0</v>
      </c>
      <c r="I749" s="246">
        <v>1</v>
      </c>
      <c r="J749" s="246">
        <v>0</v>
      </c>
      <c r="K749" s="246">
        <v>0</v>
      </c>
      <c r="L749" s="246">
        <v>0</v>
      </c>
      <c r="M749" s="246">
        <v>0</v>
      </c>
      <c r="N749" s="246">
        <v>0</v>
      </c>
      <c r="O749" s="255">
        <v>0</v>
      </c>
    </row>
    <row r="750" spans="1:15">
      <c r="A750" s="240" t="s">
        <v>26</v>
      </c>
      <c r="B750" s="47" t="s">
        <v>55</v>
      </c>
      <c r="C750" s="12">
        <v>0.0755676259784092</v>
      </c>
      <c r="D750" s="241">
        <v>0.105990783410138</v>
      </c>
      <c r="E750" s="241">
        <v>0.145161290322581</v>
      </c>
      <c r="F750" s="241">
        <v>0.119047619047619</v>
      </c>
      <c r="G750" s="241">
        <v>0.072</v>
      </c>
      <c r="H750" s="241">
        <v>0.0765765765765766</v>
      </c>
      <c r="I750" s="241">
        <v>0.0446428571428571</v>
      </c>
      <c r="J750" s="241">
        <v>0.0391156462585034</v>
      </c>
      <c r="K750" s="241">
        <v>0.083617747440273</v>
      </c>
      <c r="L750" s="241">
        <v>0.0595611285266458</v>
      </c>
      <c r="M750" s="241">
        <v>0.0518731988472622</v>
      </c>
      <c r="N750" s="241">
        <v>0.053314121037464</v>
      </c>
      <c r="O750" s="252">
        <v>0.0559105431309904</v>
      </c>
    </row>
    <row r="751" spans="1:15">
      <c r="A751" s="242" t="s">
        <v>26</v>
      </c>
      <c r="B751" s="43" t="s">
        <v>57</v>
      </c>
      <c r="C751" s="15">
        <v>5868</v>
      </c>
      <c r="D751" s="243">
        <v>434</v>
      </c>
      <c r="E751" s="243">
        <v>186</v>
      </c>
      <c r="F751" s="243">
        <v>168</v>
      </c>
      <c r="G751" s="243">
        <v>250</v>
      </c>
      <c r="H751" s="243">
        <v>444</v>
      </c>
      <c r="I751" s="243">
        <v>560</v>
      </c>
      <c r="J751" s="243">
        <v>588</v>
      </c>
      <c r="K751" s="243">
        <v>586</v>
      </c>
      <c r="L751" s="243">
        <v>638</v>
      </c>
      <c r="M751" s="243">
        <v>694</v>
      </c>
      <c r="N751" s="243">
        <v>694</v>
      </c>
      <c r="O751" s="253">
        <v>626</v>
      </c>
    </row>
    <row r="752" spans="1:15">
      <c r="A752" s="240" t="s">
        <v>26</v>
      </c>
      <c r="B752" s="47" t="s">
        <v>59</v>
      </c>
      <c r="C752" s="15">
        <v>388</v>
      </c>
      <c r="D752" s="243">
        <v>46</v>
      </c>
      <c r="E752" s="243">
        <v>27</v>
      </c>
      <c r="F752" s="243">
        <v>20</v>
      </c>
      <c r="G752" s="243">
        <v>18</v>
      </c>
      <c r="H752" s="243">
        <v>34</v>
      </c>
      <c r="I752" s="243">
        <v>25</v>
      </c>
      <c r="J752" s="243">
        <v>23</v>
      </c>
      <c r="K752" s="243">
        <v>49</v>
      </c>
      <c r="L752" s="243">
        <v>38</v>
      </c>
      <c r="M752" s="243">
        <v>36</v>
      </c>
      <c r="N752" s="243">
        <v>37</v>
      </c>
      <c r="O752" s="253">
        <v>35</v>
      </c>
    </row>
    <row r="753" spans="1:15">
      <c r="A753" s="242" t="s">
        <v>26</v>
      </c>
      <c r="B753" s="43" t="s">
        <v>4</v>
      </c>
      <c r="C753" s="15">
        <v>32</v>
      </c>
      <c r="D753" s="244">
        <v>1</v>
      </c>
      <c r="E753" s="244">
        <v>2</v>
      </c>
      <c r="F753" s="244">
        <v>1</v>
      </c>
      <c r="G753" s="244">
        <v>0</v>
      </c>
      <c r="H753" s="244">
        <v>4</v>
      </c>
      <c r="I753" s="244">
        <v>4</v>
      </c>
      <c r="J753" s="244">
        <v>0</v>
      </c>
      <c r="K753" s="244">
        <v>8</v>
      </c>
      <c r="L753" s="244">
        <v>2</v>
      </c>
      <c r="M753" s="244">
        <v>3</v>
      </c>
      <c r="N753" s="244">
        <v>4</v>
      </c>
      <c r="O753" s="254">
        <v>3</v>
      </c>
    </row>
    <row r="754" spans="1:15">
      <c r="A754" s="240" t="s">
        <v>26</v>
      </c>
      <c r="B754" s="47" t="s">
        <v>5</v>
      </c>
      <c r="C754" s="12">
        <v>0.0763760729631609</v>
      </c>
      <c r="D754" s="241">
        <v>0.0217391304347826</v>
      </c>
      <c r="E754" s="241">
        <v>0.0740740740740741</v>
      </c>
      <c r="F754" s="241">
        <v>0.05</v>
      </c>
      <c r="G754" s="241">
        <v>0</v>
      </c>
      <c r="H754" s="241">
        <v>0.117647058823529</v>
      </c>
      <c r="I754" s="241">
        <v>0.16</v>
      </c>
      <c r="J754" s="241">
        <v>0</v>
      </c>
      <c r="K754" s="241">
        <v>0.163265306122449</v>
      </c>
      <c r="L754" s="241">
        <v>0.0526315789473684</v>
      </c>
      <c r="M754" s="241">
        <v>0.0833333333333333</v>
      </c>
      <c r="N754" s="241">
        <v>0.108108108108108</v>
      </c>
      <c r="O754" s="252">
        <v>0.0857142857142857</v>
      </c>
    </row>
    <row r="755" spans="1:15">
      <c r="A755" s="242" t="s">
        <v>26</v>
      </c>
      <c r="B755" s="43" t="s">
        <v>6</v>
      </c>
      <c r="C755" s="15">
        <v>11</v>
      </c>
      <c r="D755" s="244">
        <v>0</v>
      </c>
      <c r="E755" s="244">
        <v>0</v>
      </c>
      <c r="F755" s="244">
        <v>0</v>
      </c>
      <c r="G755" s="244">
        <v>1</v>
      </c>
      <c r="H755" s="244">
        <v>0</v>
      </c>
      <c r="I755" s="244">
        <v>1</v>
      </c>
      <c r="J755" s="244">
        <v>0</v>
      </c>
      <c r="K755" s="244">
        <v>1</v>
      </c>
      <c r="L755" s="244">
        <v>2</v>
      </c>
      <c r="M755" s="244">
        <v>3</v>
      </c>
      <c r="N755" s="244">
        <v>3</v>
      </c>
      <c r="O755" s="254">
        <v>0</v>
      </c>
    </row>
    <row r="756" ht="14.25" spans="1:15">
      <c r="A756" s="245" t="s">
        <v>26</v>
      </c>
      <c r="B756" s="52" t="s">
        <v>64</v>
      </c>
      <c r="C756" s="19">
        <v>0.34375</v>
      </c>
      <c r="D756" s="250">
        <v>0</v>
      </c>
      <c r="E756" s="250">
        <v>0</v>
      </c>
      <c r="F756" s="250">
        <v>0</v>
      </c>
      <c r="G756" s="250">
        <v>1</v>
      </c>
      <c r="H756" s="250">
        <v>0</v>
      </c>
      <c r="I756" s="250">
        <v>1</v>
      </c>
      <c r="J756" s="250">
        <v>0</v>
      </c>
      <c r="K756" s="250">
        <v>1</v>
      </c>
      <c r="L756" s="250">
        <v>2</v>
      </c>
      <c r="M756" s="250">
        <v>3</v>
      </c>
      <c r="N756" s="250">
        <v>3</v>
      </c>
      <c r="O756" s="257">
        <v>0</v>
      </c>
    </row>
    <row r="757" spans="1:15">
      <c r="A757" s="240" t="s">
        <v>71</v>
      </c>
      <c r="B757" s="47" t="s">
        <v>55</v>
      </c>
      <c r="C757" s="12">
        <v>0.0679044834307992</v>
      </c>
      <c r="D757" s="241">
        <v>0.222222222222222</v>
      </c>
      <c r="E757" s="241">
        <v>0</v>
      </c>
      <c r="F757" s="241">
        <v>0</v>
      </c>
      <c r="G757" s="241">
        <v>0</v>
      </c>
      <c r="H757" s="241">
        <v>0.5</v>
      </c>
      <c r="I757" s="241">
        <v>0</v>
      </c>
      <c r="J757" s="241">
        <v>0.0526315789473684</v>
      </c>
      <c r="K757" s="241">
        <v>0</v>
      </c>
      <c r="L757" s="241">
        <v>0</v>
      </c>
      <c r="M757" s="241">
        <v>0</v>
      </c>
      <c r="N757" s="241">
        <v>0</v>
      </c>
      <c r="O757" s="252">
        <v>0.04</v>
      </c>
    </row>
    <row r="758" spans="1:15">
      <c r="A758" s="242" t="s">
        <v>71</v>
      </c>
      <c r="B758" s="43" t="s">
        <v>57</v>
      </c>
      <c r="C758" s="15">
        <v>156</v>
      </c>
      <c r="D758" s="243">
        <v>9</v>
      </c>
      <c r="E758" s="243">
        <v>6</v>
      </c>
      <c r="F758" s="243">
        <v>7</v>
      </c>
      <c r="G758" s="243">
        <v>8</v>
      </c>
      <c r="H758" s="243">
        <v>10</v>
      </c>
      <c r="I758" s="243">
        <v>11</v>
      </c>
      <c r="J758" s="243">
        <v>19</v>
      </c>
      <c r="K758" s="243">
        <v>15</v>
      </c>
      <c r="L758" s="243">
        <v>16</v>
      </c>
      <c r="M758" s="243">
        <v>10</v>
      </c>
      <c r="N758" s="243">
        <v>20</v>
      </c>
      <c r="O758" s="253">
        <v>25</v>
      </c>
    </row>
    <row r="759" spans="1:15">
      <c r="A759" s="240" t="s">
        <v>71</v>
      </c>
      <c r="B759" s="47" t="s">
        <v>59</v>
      </c>
      <c r="C759" s="15">
        <v>9</v>
      </c>
      <c r="D759" s="243">
        <v>2</v>
      </c>
      <c r="E759" s="243">
        <v>0</v>
      </c>
      <c r="F759" s="243">
        <v>0</v>
      </c>
      <c r="G759" s="243">
        <v>0</v>
      </c>
      <c r="H759" s="243">
        <v>5</v>
      </c>
      <c r="I759" s="243">
        <v>0</v>
      </c>
      <c r="J759" s="243">
        <v>1</v>
      </c>
      <c r="K759" s="243">
        <v>0</v>
      </c>
      <c r="L759" s="243">
        <v>0</v>
      </c>
      <c r="M759" s="243">
        <v>0</v>
      </c>
      <c r="N759" s="243">
        <v>0</v>
      </c>
      <c r="O759" s="253">
        <v>1</v>
      </c>
    </row>
    <row r="760" spans="1:15">
      <c r="A760" s="242" t="s">
        <v>71</v>
      </c>
      <c r="B760" s="43" t="s">
        <v>4</v>
      </c>
      <c r="C760" s="15">
        <v>27</v>
      </c>
      <c r="D760" s="244">
        <v>2</v>
      </c>
      <c r="E760" s="244">
        <v>2</v>
      </c>
      <c r="F760" s="244">
        <v>0</v>
      </c>
      <c r="G760" s="244">
        <v>1</v>
      </c>
      <c r="H760" s="244">
        <v>1</v>
      </c>
      <c r="I760" s="244">
        <v>3</v>
      </c>
      <c r="J760" s="244">
        <v>2</v>
      </c>
      <c r="K760" s="244">
        <v>8</v>
      </c>
      <c r="L760" s="244">
        <v>2</v>
      </c>
      <c r="M760" s="244">
        <v>3</v>
      </c>
      <c r="N760" s="244">
        <v>1</v>
      </c>
      <c r="O760" s="254">
        <v>2</v>
      </c>
    </row>
    <row r="761" spans="1:15">
      <c r="A761" s="240" t="s">
        <v>71</v>
      </c>
      <c r="B761" s="47" t="s">
        <v>5</v>
      </c>
      <c r="C761" s="12">
        <v>0.433333333333333</v>
      </c>
      <c r="D761" s="241">
        <v>1</v>
      </c>
      <c r="E761" s="241">
        <v>0</v>
      </c>
      <c r="F761" s="241">
        <v>0</v>
      </c>
      <c r="G761" s="241">
        <v>0</v>
      </c>
      <c r="H761" s="241">
        <v>0.2</v>
      </c>
      <c r="I761" s="241">
        <v>0</v>
      </c>
      <c r="J761" s="241">
        <v>2</v>
      </c>
      <c r="K761" s="241">
        <v>0</v>
      </c>
      <c r="L761" s="241">
        <v>0</v>
      </c>
      <c r="M761" s="241">
        <v>0</v>
      </c>
      <c r="N761" s="241">
        <v>0</v>
      </c>
      <c r="O761" s="252">
        <v>2</v>
      </c>
    </row>
    <row r="762" spans="1:15">
      <c r="A762" s="242" t="s">
        <v>71</v>
      </c>
      <c r="B762" s="43" t="s">
        <v>6</v>
      </c>
      <c r="C762" s="15">
        <v>4</v>
      </c>
      <c r="D762" s="244">
        <v>1</v>
      </c>
      <c r="E762" s="244">
        <v>0</v>
      </c>
      <c r="F762" s="244">
        <v>0</v>
      </c>
      <c r="G762" s="244">
        <v>1</v>
      </c>
      <c r="H762" s="244">
        <v>0</v>
      </c>
      <c r="I762" s="244">
        <v>1</v>
      </c>
      <c r="J762" s="244">
        <v>0</v>
      </c>
      <c r="K762" s="244">
        <v>1</v>
      </c>
      <c r="L762" s="244">
        <v>0</v>
      </c>
      <c r="M762" s="244">
        <v>0</v>
      </c>
      <c r="N762" s="244">
        <v>0</v>
      </c>
      <c r="O762" s="254">
        <v>0</v>
      </c>
    </row>
    <row r="763" ht="14.25" spans="1:15">
      <c r="A763" s="245" t="s">
        <v>71</v>
      </c>
      <c r="B763" s="52" t="s">
        <v>64</v>
      </c>
      <c r="C763" s="19">
        <v>0.148148148148148</v>
      </c>
      <c r="D763" s="250">
        <v>1</v>
      </c>
      <c r="E763" s="250">
        <v>0</v>
      </c>
      <c r="F763" s="250">
        <v>0</v>
      </c>
      <c r="G763" s="250">
        <v>1</v>
      </c>
      <c r="H763" s="250">
        <v>0</v>
      </c>
      <c r="I763" s="250">
        <v>1</v>
      </c>
      <c r="J763" s="250">
        <v>0</v>
      </c>
      <c r="K763" s="250">
        <v>1</v>
      </c>
      <c r="L763" s="250">
        <v>0</v>
      </c>
      <c r="M763" s="250">
        <v>0</v>
      </c>
      <c r="N763" s="250">
        <v>0</v>
      </c>
      <c r="O763" s="257">
        <v>0</v>
      </c>
    </row>
    <row r="764" spans="1:15">
      <c r="A764" s="240" t="s">
        <v>72</v>
      </c>
      <c r="B764" s="47" t="s">
        <v>55</v>
      </c>
      <c r="C764" s="12">
        <v>0.397677827776512</v>
      </c>
      <c r="D764" s="241">
        <v>0.452380952380952</v>
      </c>
      <c r="E764" s="241">
        <v>0.4375</v>
      </c>
      <c r="F764" s="241">
        <v>0.375</v>
      </c>
      <c r="G764" s="241">
        <v>0.75</v>
      </c>
      <c r="H764" s="241">
        <v>0.5</v>
      </c>
      <c r="I764" s="241">
        <v>0.472222222222222</v>
      </c>
      <c r="J764" s="241">
        <v>0.447368421052632</v>
      </c>
      <c r="K764" s="241">
        <v>0.428571428571429</v>
      </c>
      <c r="L764" s="241">
        <v>0.227272727272727</v>
      </c>
      <c r="M764" s="241">
        <v>0.25</v>
      </c>
      <c r="N764" s="241">
        <v>0.272727272727273</v>
      </c>
      <c r="O764" s="252">
        <v>0.159090909090909</v>
      </c>
    </row>
    <row r="765" spans="1:15">
      <c r="A765" s="242" t="s">
        <v>72</v>
      </c>
      <c r="B765" s="43" t="s">
        <v>57</v>
      </c>
      <c r="C765" s="15">
        <v>338</v>
      </c>
      <c r="D765" s="243">
        <v>42</v>
      </c>
      <c r="E765" s="243">
        <v>16</v>
      </c>
      <c r="F765" s="243">
        <v>16</v>
      </c>
      <c r="G765" s="243">
        <v>8</v>
      </c>
      <c r="H765" s="243">
        <v>16</v>
      </c>
      <c r="I765" s="243">
        <v>36</v>
      </c>
      <c r="J765" s="243">
        <v>38</v>
      </c>
      <c r="K765" s="243">
        <v>28</v>
      </c>
      <c r="L765" s="243">
        <v>22</v>
      </c>
      <c r="M765" s="243">
        <v>28</v>
      </c>
      <c r="N765" s="243">
        <v>44</v>
      </c>
      <c r="O765" s="253">
        <v>44</v>
      </c>
    </row>
    <row r="766" spans="1:15">
      <c r="A766" s="240" t="s">
        <v>72</v>
      </c>
      <c r="B766" s="47" t="s">
        <v>59</v>
      </c>
      <c r="C766" s="15">
        <v>123</v>
      </c>
      <c r="D766" s="243">
        <v>19</v>
      </c>
      <c r="E766" s="243">
        <v>7</v>
      </c>
      <c r="F766" s="243">
        <v>6</v>
      </c>
      <c r="G766" s="243">
        <v>6</v>
      </c>
      <c r="H766" s="243">
        <v>8</v>
      </c>
      <c r="I766" s="243">
        <v>17</v>
      </c>
      <c r="J766" s="243">
        <v>17</v>
      </c>
      <c r="K766" s="243">
        <v>12</v>
      </c>
      <c r="L766" s="243">
        <v>5</v>
      </c>
      <c r="M766" s="243">
        <v>7</v>
      </c>
      <c r="N766" s="243">
        <v>12</v>
      </c>
      <c r="O766" s="253">
        <v>7</v>
      </c>
    </row>
    <row r="767" spans="1:15">
      <c r="A767" s="242" t="s">
        <v>72</v>
      </c>
      <c r="B767" s="43" t="s">
        <v>4</v>
      </c>
      <c r="C767" s="15">
        <v>6</v>
      </c>
      <c r="D767" s="244">
        <v>1</v>
      </c>
      <c r="E767" s="244">
        <v>0</v>
      </c>
      <c r="F767" s="244">
        <v>0</v>
      </c>
      <c r="G767" s="244">
        <v>0</v>
      </c>
      <c r="H767" s="244">
        <v>0</v>
      </c>
      <c r="I767" s="244">
        <v>0</v>
      </c>
      <c r="J767" s="244">
        <v>0</v>
      </c>
      <c r="K767" s="244">
        <v>3</v>
      </c>
      <c r="L767" s="244">
        <v>1</v>
      </c>
      <c r="M767" s="244">
        <v>0</v>
      </c>
      <c r="N767" s="244">
        <v>1</v>
      </c>
      <c r="O767" s="254">
        <v>0</v>
      </c>
    </row>
    <row r="768" spans="1:15">
      <c r="A768" s="240" t="s">
        <v>72</v>
      </c>
      <c r="B768" s="47" t="s">
        <v>5</v>
      </c>
      <c r="C768" s="12">
        <v>0.0488304093567251</v>
      </c>
      <c r="D768" s="241">
        <v>0.0526315789473684</v>
      </c>
      <c r="E768" s="241">
        <v>0</v>
      </c>
      <c r="F768" s="241">
        <v>0</v>
      </c>
      <c r="G768" s="241">
        <v>0</v>
      </c>
      <c r="H768" s="241">
        <v>0</v>
      </c>
      <c r="I768" s="241">
        <v>0</v>
      </c>
      <c r="J768" s="241">
        <v>0</v>
      </c>
      <c r="K768" s="241">
        <v>0.25</v>
      </c>
      <c r="L768" s="241">
        <v>0.2</v>
      </c>
      <c r="M768" s="241">
        <v>0</v>
      </c>
      <c r="N768" s="241">
        <v>0.0833333333333333</v>
      </c>
      <c r="O768" s="252">
        <v>0</v>
      </c>
    </row>
    <row r="769" spans="1:15">
      <c r="A769" s="242" t="s">
        <v>72</v>
      </c>
      <c r="B769" s="43" t="s">
        <v>6</v>
      </c>
      <c r="C769" s="15">
        <v>1</v>
      </c>
      <c r="D769" s="244">
        <v>0</v>
      </c>
      <c r="E769" s="244">
        <v>0</v>
      </c>
      <c r="F769" s="244">
        <v>0</v>
      </c>
      <c r="G769" s="244">
        <v>0</v>
      </c>
      <c r="H769" s="244">
        <v>0</v>
      </c>
      <c r="I769" s="244">
        <v>0</v>
      </c>
      <c r="J769" s="244">
        <v>0</v>
      </c>
      <c r="K769" s="244">
        <v>0</v>
      </c>
      <c r="L769" s="244">
        <v>0</v>
      </c>
      <c r="M769" s="244">
        <v>0</v>
      </c>
      <c r="N769" s="244">
        <v>1</v>
      </c>
      <c r="O769" s="254">
        <v>0</v>
      </c>
    </row>
    <row r="770" ht="14.25" spans="1:15">
      <c r="A770" s="245" t="s">
        <v>72</v>
      </c>
      <c r="B770" s="52" t="s">
        <v>64</v>
      </c>
      <c r="C770" s="19">
        <v>0.166666666666667</v>
      </c>
      <c r="D770" s="250">
        <v>0</v>
      </c>
      <c r="E770" s="250">
        <v>0</v>
      </c>
      <c r="F770" s="250">
        <v>0</v>
      </c>
      <c r="G770" s="250">
        <v>0</v>
      </c>
      <c r="H770" s="250">
        <v>0</v>
      </c>
      <c r="I770" s="250">
        <v>0</v>
      </c>
      <c r="J770" s="250">
        <v>0</v>
      </c>
      <c r="K770" s="250">
        <v>0</v>
      </c>
      <c r="L770" s="250">
        <v>0</v>
      </c>
      <c r="M770" s="250">
        <v>0</v>
      </c>
      <c r="N770" s="250">
        <v>1</v>
      </c>
      <c r="O770" s="257">
        <v>0</v>
      </c>
    </row>
    <row r="771" ht="14.25" spans="1:15">
      <c r="A771" s="237">
        <v>45031</v>
      </c>
      <c r="B771" s="237"/>
      <c r="C771" s="237"/>
      <c r="D771" s="237"/>
      <c r="E771" s="237"/>
      <c r="F771" s="237"/>
      <c r="G771" s="237"/>
      <c r="H771" s="237"/>
      <c r="I771" s="237"/>
      <c r="J771" s="237"/>
      <c r="K771" s="237"/>
      <c r="L771" s="237"/>
      <c r="M771" s="237"/>
      <c r="N771" s="237"/>
      <c r="O771" s="237"/>
    </row>
    <row r="772" spans="1:15">
      <c r="A772" s="56" t="s">
        <v>1</v>
      </c>
      <c r="B772" s="238"/>
      <c r="C772" s="8" t="s">
        <v>42</v>
      </c>
      <c r="D772" s="239" t="s">
        <v>43</v>
      </c>
      <c r="E772" s="239" t="s">
        <v>44</v>
      </c>
      <c r="F772" s="239" t="s">
        <v>45</v>
      </c>
      <c r="G772" s="239" t="s">
        <v>46</v>
      </c>
      <c r="H772" s="239" t="s">
        <v>47</v>
      </c>
      <c r="I772" s="239" t="s">
        <v>48</v>
      </c>
      <c r="J772" s="239" t="s">
        <v>49</v>
      </c>
      <c r="K772" s="239" t="s">
        <v>50</v>
      </c>
      <c r="L772" s="239" t="s">
        <v>51</v>
      </c>
      <c r="M772" s="239" t="s">
        <v>52</v>
      </c>
      <c r="N772" s="239" t="s">
        <v>53</v>
      </c>
      <c r="O772" s="251" t="s">
        <v>54</v>
      </c>
    </row>
    <row r="773" spans="1:15">
      <c r="A773" s="240" t="s">
        <v>22</v>
      </c>
      <c r="B773" s="47" t="s">
        <v>55</v>
      </c>
      <c r="C773" s="12">
        <v>0.190304396843292</v>
      </c>
      <c r="D773" s="241">
        <v>0.126027397260274</v>
      </c>
      <c r="E773" s="241">
        <v>0.0967153284671533</v>
      </c>
      <c r="F773" s="241">
        <v>0.0591397849462366</v>
      </c>
      <c r="G773" s="241">
        <v>0.135064935064935</v>
      </c>
      <c r="H773" s="241">
        <v>0.214545454545455</v>
      </c>
      <c r="I773" s="241">
        <v>0.277580071174377</v>
      </c>
      <c r="J773" s="241">
        <v>0.271428571428571</v>
      </c>
      <c r="K773" s="241">
        <v>0.27972027972028</v>
      </c>
      <c r="L773" s="241">
        <v>0.244444444444444</v>
      </c>
      <c r="M773" s="241">
        <v>0.326359832635983</v>
      </c>
      <c r="N773" s="241">
        <v>0.313846153846154</v>
      </c>
      <c r="O773" s="252">
        <v>0.18796992481203</v>
      </c>
    </row>
    <row r="774" spans="1:15">
      <c r="A774" s="242" t="s">
        <v>22</v>
      </c>
      <c r="B774" s="43" t="s">
        <v>57</v>
      </c>
      <c r="C774" s="15">
        <v>4435</v>
      </c>
      <c r="D774" s="243">
        <v>730</v>
      </c>
      <c r="E774" s="243">
        <v>548</v>
      </c>
      <c r="F774" s="243">
        <v>372</v>
      </c>
      <c r="G774" s="243">
        <v>385</v>
      </c>
      <c r="H774" s="243">
        <v>275</v>
      </c>
      <c r="I774" s="243">
        <v>281</v>
      </c>
      <c r="J774" s="243">
        <v>280</v>
      </c>
      <c r="K774" s="243">
        <v>286</v>
      </c>
      <c r="L774" s="243">
        <v>315</v>
      </c>
      <c r="M774" s="243">
        <v>239</v>
      </c>
      <c r="N774" s="243">
        <v>325</v>
      </c>
      <c r="O774" s="253">
        <v>399</v>
      </c>
    </row>
    <row r="775" spans="1:15">
      <c r="A775" s="240" t="s">
        <v>22</v>
      </c>
      <c r="B775" s="47" t="s">
        <v>59</v>
      </c>
      <c r="C775" s="15">
        <v>844</v>
      </c>
      <c r="D775" s="243">
        <v>92</v>
      </c>
      <c r="E775" s="243">
        <v>53</v>
      </c>
      <c r="F775" s="243">
        <v>22</v>
      </c>
      <c r="G775" s="243">
        <v>52</v>
      </c>
      <c r="H775" s="243">
        <v>59</v>
      </c>
      <c r="I775" s="243">
        <v>78</v>
      </c>
      <c r="J775" s="243">
        <v>76</v>
      </c>
      <c r="K775" s="243">
        <v>80</v>
      </c>
      <c r="L775" s="243">
        <v>77</v>
      </c>
      <c r="M775" s="243">
        <v>78</v>
      </c>
      <c r="N775" s="243">
        <v>102</v>
      </c>
      <c r="O775" s="253">
        <v>75</v>
      </c>
    </row>
    <row r="776" spans="1:15">
      <c r="A776" s="242" t="s">
        <v>22</v>
      </c>
      <c r="B776" s="43" t="s">
        <v>4</v>
      </c>
      <c r="C776" s="15">
        <v>106</v>
      </c>
      <c r="D776" s="244">
        <v>14</v>
      </c>
      <c r="E776" s="244">
        <v>4</v>
      </c>
      <c r="F776" s="244">
        <v>7</v>
      </c>
      <c r="G776" s="244">
        <v>5</v>
      </c>
      <c r="H776" s="244">
        <v>10</v>
      </c>
      <c r="I776" s="244">
        <v>7</v>
      </c>
      <c r="J776" s="244">
        <v>6</v>
      </c>
      <c r="K776" s="244">
        <v>12</v>
      </c>
      <c r="L776" s="244">
        <v>13</v>
      </c>
      <c r="M776" s="244">
        <v>7</v>
      </c>
      <c r="N776" s="244">
        <v>10</v>
      </c>
      <c r="O776" s="254">
        <v>11</v>
      </c>
    </row>
    <row r="777" spans="1:15">
      <c r="A777" s="240" t="s">
        <v>22</v>
      </c>
      <c r="B777" s="47" t="s">
        <v>5</v>
      </c>
      <c r="C777" s="12">
        <v>0.125592417061611</v>
      </c>
      <c r="D777" s="241">
        <v>0.152173913043478</v>
      </c>
      <c r="E777" s="241">
        <v>0.0754716981132075</v>
      </c>
      <c r="F777" s="241">
        <v>0.318181818181818</v>
      </c>
      <c r="G777" s="241">
        <v>0.0961538461538462</v>
      </c>
      <c r="H777" s="241">
        <v>0.169491525423729</v>
      </c>
      <c r="I777" s="241">
        <v>0.0897435897435897</v>
      </c>
      <c r="J777" s="241">
        <v>0.0789473684210526</v>
      </c>
      <c r="K777" s="241">
        <v>0.15</v>
      </c>
      <c r="L777" s="241">
        <v>0.168831168831169</v>
      </c>
      <c r="M777" s="241">
        <v>0.0897435897435897</v>
      </c>
      <c r="N777" s="241">
        <v>0.0980392156862745</v>
      </c>
      <c r="O777" s="252">
        <v>0.146666666666667</v>
      </c>
    </row>
    <row r="778" spans="1:15">
      <c r="A778" s="242" t="s">
        <v>22</v>
      </c>
      <c r="B778" s="43" t="s">
        <v>6</v>
      </c>
      <c r="C778" s="15">
        <v>37</v>
      </c>
      <c r="D778" s="244">
        <v>4</v>
      </c>
      <c r="E778" s="244">
        <v>4</v>
      </c>
      <c r="F778" s="244">
        <v>3</v>
      </c>
      <c r="G778" s="244">
        <v>3</v>
      </c>
      <c r="H778" s="244">
        <v>4</v>
      </c>
      <c r="I778" s="244">
        <v>1</v>
      </c>
      <c r="J778" s="244">
        <v>1</v>
      </c>
      <c r="K778" s="244">
        <v>2</v>
      </c>
      <c r="L778" s="244">
        <v>7</v>
      </c>
      <c r="M778" s="244">
        <v>4</v>
      </c>
      <c r="N778" s="244">
        <v>2</v>
      </c>
      <c r="O778" s="254">
        <v>2</v>
      </c>
    </row>
    <row r="779" ht="14.25" spans="1:15">
      <c r="A779" s="245" t="s">
        <v>22</v>
      </c>
      <c r="B779" s="52" t="s">
        <v>64</v>
      </c>
      <c r="C779" s="19">
        <v>0.349056603773585</v>
      </c>
      <c r="D779" s="246">
        <v>0.285714285714286</v>
      </c>
      <c r="E779" s="246">
        <v>1</v>
      </c>
      <c r="F779" s="246">
        <v>0.428571428571429</v>
      </c>
      <c r="G779" s="246">
        <v>0.6</v>
      </c>
      <c r="H779" s="246">
        <v>0.4</v>
      </c>
      <c r="I779" s="246">
        <v>0.142857142857143</v>
      </c>
      <c r="J779" s="246">
        <v>0.166666666666667</v>
      </c>
      <c r="K779" s="246">
        <v>0.166666666666667</v>
      </c>
      <c r="L779" s="246">
        <v>0.538461538461538</v>
      </c>
      <c r="M779" s="246">
        <v>0.571428571428571</v>
      </c>
      <c r="N779" s="246">
        <v>0.2</v>
      </c>
      <c r="O779" s="255">
        <v>0.181818181818182</v>
      </c>
    </row>
    <row r="780" spans="1:15">
      <c r="A780" s="247" t="s">
        <v>66</v>
      </c>
      <c r="B780" s="248" t="s">
        <v>55</v>
      </c>
      <c r="C780" s="12">
        <v>0.333970194879633</v>
      </c>
      <c r="D780" s="249">
        <v>0.447447447447447</v>
      </c>
      <c r="E780" s="249">
        <v>0.328220858895706</v>
      </c>
      <c r="F780" s="249">
        <v>0.221052631578947</v>
      </c>
      <c r="G780" s="249">
        <v>0.291428571428571</v>
      </c>
      <c r="H780" s="249">
        <v>0.535911602209945</v>
      </c>
      <c r="I780" s="249">
        <v>0.60952380952381</v>
      </c>
      <c r="J780" s="249">
        <v>0.533333333333333</v>
      </c>
      <c r="K780" s="249">
        <v>0.215311004784689</v>
      </c>
      <c r="L780" s="249">
        <v>0.243421052631579</v>
      </c>
      <c r="M780" s="249">
        <v>0.134615384615385</v>
      </c>
      <c r="N780" s="249">
        <v>0.235294117647059</v>
      </c>
      <c r="O780" s="256">
        <v>0.0871369294605809</v>
      </c>
    </row>
    <row r="781" spans="1:15">
      <c r="A781" s="242" t="s">
        <v>66</v>
      </c>
      <c r="B781" s="43" t="s">
        <v>57</v>
      </c>
      <c r="C781" s="15">
        <v>2617</v>
      </c>
      <c r="D781" s="243">
        <v>333</v>
      </c>
      <c r="E781" s="243">
        <v>326</v>
      </c>
      <c r="F781" s="243">
        <v>190</v>
      </c>
      <c r="G781" s="243">
        <v>175</v>
      </c>
      <c r="H781" s="243">
        <v>181</v>
      </c>
      <c r="I781" s="243">
        <v>210</v>
      </c>
      <c r="J781" s="243">
        <v>240</v>
      </c>
      <c r="K781" s="243">
        <v>209</v>
      </c>
      <c r="L781" s="243">
        <v>152</v>
      </c>
      <c r="M781" s="243">
        <v>156</v>
      </c>
      <c r="N781" s="243">
        <v>204</v>
      </c>
      <c r="O781" s="253">
        <v>241</v>
      </c>
    </row>
    <row r="782" spans="1:15">
      <c r="A782" s="240" t="s">
        <v>66</v>
      </c>
      <c r="B782" s="47" t="s">
        <v>59</v>
      </c>
      <c r="C782" s="15">
        <v>874</v>
      </c>
      <c r="D782" s="243">
        <v>149</v>
      </c>
      <c r="E782" s="243">
        <v>107</v>
      </c>
      <c r="F782" s="243">
        <v>42</v>
      </c>
      <c r="G782" s="243">
        <v>51</v>
      </c>
      <c r="H782" s="243">
        <v>97</v>
      </c>
      <c r="I782" s="243">
        <v>128</v>
      </c>
      <c r="J782" s="243">
        <v>128</v>
      </c>
      <c r="K782" s="243">
        <v>45</v>
      </c>
      <c r="L782" s="243">
        <v>37</v>
      </c>
      <c r="M782" s="243">
        <v>21</v>
      </c>
      <c r="N782" s="243">
        <v>48</v>
      </c>
      <c r="O782" s="253">
        <v>21</v>
      </c>
    </row>
    <row r="783" spans="1:15">
      <c r="A783" s="242" t="s">
        <v>66</v>
      </c>
      <c r="B783" s="43" t="s">
        <v>4</v>
      </c>
      <c r="C783" s="15">
        <v>19</v>
      </c>
      <c r="D783" s="244">
        <v>5</v>
      </c>
      <c r="E783" s="244">
        <v>1</v>
      </c>
      <c r="F783" s="244">
        <v>0</v>
      </c>
      <c r="G783" s="244">
        <v>0</v>
      </c>
      <c r="H783" s="244">
        <v>0</v>
      </c>
      <c r="I783" s="244">
        <v>2</v>
      </c>
      <c r="J783" s="244">
        <v>1</v>
      </c>
      <c r="K783" s="244">
        <v>1</v>
      </c>
      <c r="L783" s="244">
        <v>1</v>
      </c>
      <c r="M783" s="244">
        <v>1</v>
      </c>
      <c r="N783" s="244">
        <v>6</v>
      </c>
      <c r="O783" s="254">
        <v>1</v>
      </c>
    </row>
    <row r="784" spans="1:15">
      <c r="A784" s="240" t="s">
        <v>66</v>
      </c>
      <c r="B784" s="47" t="s">
        <v>5</v>
      </c>
      <c r="C784" s="12">
        <v>0.0217391304347826</v>
      </c>
      <c r="D784" s="241">
        <v>0.0335570469798658</v>
      </c>
      <c r="E784" s="241">
        <v>0.00934579439252336</v>
      </c>
      <c r="F784" s="241">
        <v>0</v>
      </c>
      <c r="G784" s="241">
        <v>0</v>
      </c>
      <c r="H784" s="241">
        <v>0</v>
      </c>
      <c r="I784" s="241">
        <v>0.015625</v>
      </c>
      <c r="J784" s="241">
        <v>0.0078125</v>
      </c>
      <c r="K784" s="241">
        <v>0.0222222222222222</v>
      </c>
      <c r="L784" s="241">
        <v>0.027027027027027</v>
      </c>
      <c r="M784" s="241">
        <v>0.0476190476190476</v>
      </c>
      <c r="N784" s="241">
        <v>0.125</v>
      </c>
      <c r="O784" s="252">
        <v>0.0476190476190476</v>
      </c>
    </row>
    <row r="785" spans="1:15">
      <c r="A785" s="242" t="s">
        <v>66</v>
      </c>
      <c r="B785" s="43" t="s">
        <v>6</v>
      </c>
      <c r="C785" s="15">
        <v>13</v>
      </c>
      <c r="D785" s="244">
        <v>6</v>
      </c>
      <c r="E785" s="244">
        <v>0</v>
      </c>
      <c r="F785" s="244">
        <v>0</v>
      </c>
      <c r="G785" s="244">
        <v>0</v>
      </c>
      <c r="H785" s="244">
        <v>1</v>
      </c>
      <c r="I785" s="244">
        <v>1</v>
      </c>
      <c r="J785" s="244">
        <v>1</v>
      </c>
      <c r="K785" s="244">
        <v>1</v>
      </c>
      <c r="L785" s="244">
        <v>1</v>
      </c>
      <c r="M785" s="244">
        <v>0</v>
      </c>
      <c r="N785" s="244">
        <v>2</v>
      </c>
      <c r="O785" s="254">
        <v>0</v>
      </c>
    </row>
    <row r="786" ht="14.25" spans="1:15">
      <c r="A786" s="245" t="s">
        <v>66</v>
      </c>
      <c r="B786" s="52" t="s">
        <v>64</v>
      </c>
      <c r="C786" s="19">
        <v>0.684210526315789</v>
      </c>
      <c r="D786" s="246">
        <v>1.2</v>
      </c>
      <c r="E786" s="246">
        <v>0</v>
      </c>
      <c r="F786" s="246">
        <v>0</v>
      </c>
      <c r="G786" s="246">
        <v>0</v>
      </c>
      <c r="H786" s="246">
        <v>0</v>
      </c>
      <c r="I786" s="246">
        <v>0.5</v>
      </c>
      <c r="J786" s="246">
        <v>1</v>
      </c>
      <c r="K786" s="246">
        <v>1</v>
      </c>
      <c r="L786" s="246">
        <v>1</v>
      </c>
      <c r="M786" s="246">
        <v>0</v>
      </c>
      <c r="N786" s="246">
        <v>0.333333333333333</v>
      </c>
      <c r="O786" s="255">
        <v>0</v>
      </c>
    </row>
    <row r="787" spans="1:15">
      <c r="A787" s="240" t="s">
        <v>67</v>
      </c>
      <c r="B787" s="47" t="s">
        <v>55</v>
      </c>
      <c r="C787" s="12">
        <v>0.326351351351351</v>
      </c>
      <c r="D787" s="241">
        <v>0.559322033898305</v>
      </c>
      <c r="E787" s="241">
        <v>0.457142857142857</v>
      </c>
      <c r="F787" s="241">
        <v>0.423076923076923</v>
      </c>
      <c r="G787" s="241">
        <v>0.338709677419355</v>
      </c>
      <c r="H787" s="241">
        <v>0.346153846153846</v>
      </c>
      <c r="I787" s="241">
        <v>0.305970149253731</v>
      </c>
      <c r="J787" s="241">
        <v>0.581395348837209</v>
      </c>
      <c r="K787" s="241">
        <v>0.529850746268657</v>
      </c>
      <c r="L787" s="241">
        <v>0.210526315789474</v>
      </c>
      <c r="M787" s="241">
        <v>0.181818181818182</v>
      </c>
      <c r="N787" s="241">
        <v>0.230769230769231</v>
      </c>
      <c r="O787" s="252">
        <v>0.185185185185185</v>
      </c>
    </row>
    <row r="788" spans="1:15">
      <c r="A788" s="242" t="s">
        <v>67</v>
      </c>
      <c r="B788" s="43" t="s">
        <v>57</v>
      </c>
      <c r="C788" s="15">
        <v>1480</v>
      </c>
      <c r="D788" s="243">
        <v>118</v>
      </c>
      <c r="E788" s="243">
        <v>70</v>
      </c>
      <c r="F788" s="243">
        <v>52</v>
      </c>
      <c r="G788" s="243">
        <v>62</v>
      </c>
      <c r="H788" s="243">
        <v>104</v>
      </c>
      <c r="I788" s="243">
        <v>134</v>
      </c>
      <c r="J788" s="243">
        <v>86</v>
      </c>
      <c r="K788" s="243">
        <v>134</v>
      </c>
      <c r="L788" s="243">
        <v>114</v>
      </c>
      <c r="M788" s="243">
        <v>154</v>
      </c>
      <c r="N788" s="243">
        <v>182</v>
      </c>
      <c r="O788" s="253">
        <v>270</v>
      </c>
    </row>
    <row r="789" spans="1:15">
      <c r="A789" s="240" t="s">
        <v>67</v>
      </c>
      <c r="B789" s="47" t="s">
        <v>59</v>
      </c>
      <c r="C789" s="15">
        <v>483</v>
      </c>
      <c r="D789" s="243">
        <v>66</v>
      </c>
      <c r="E789" s="243">
        <v>32</v>
      </c>
      <c r="F789" s="243">
        <v>22</v>
      </c>
      <c r="G789" s="243">
        <v>21</v>
      </c>
      <c r="H789" s="243">
        <v>36</v>
      </c>
      <c r="I789" s="243">
        <v>41</v>
      </c>
      <c r="J789" s="243">
        <v>50</v>
      </c>
      <c r="K789" s="243">
        <v>71</v>
      </c>
      <c r="L789" s="243">
        <v>24</v>
      </c>
      <c r="M789" s="243">
        <v>28</v>
      </c>
      <c r="N789" s="243">
        <v>42</v>
      </c>
      <c r="O789" s="253">
        <v>50</v>
      </c>
    </row>
    <row r="790" spans="1:15">
      <c r="A790" s="242" t="s">
        <v>67</v>
      </c>
      <c r="B790" s="43" t="s">
        <v>4</v>
      </c>
      <c r="C790" s="15">
        <v>37</v>
      </c>
      <c r="D790" s="244">
        <v>1</v>
      </c>
      <c r="E790" s="244">
        <v>1</v>
      </c>
      <c r="F790" s="244">
        <v>0</v>
      </c>
      <c r="G790" s="244">
        <v>1</v>
      </c>
      <c r="H790" s="244">
        <v>3</v>
      </c>
      <c r="I790" s="244">
        <v>1</v>
      </c>
      <c r="J790" s="244">
        <v>3</v>
      </c>
      <c r="K790" s="244">
        <v>2</v>
      </c>
      <c r="L790" s="244">
        <v>4</v>
      </c>
      <c r="M790" s="244">
        <v>7</v>
      </c>
      <c r="N790" s="244">
        <v>3</v>
      </c>
      <c r="O790" s="254">
        <v>11</v>
      </c>
    </row>
    <row r="791" spans="1:15">
      <c r="A791" s="240" t="s">
        <v>67</v>
      </c>
      <c r="B791" s="47" t="s">
        <v>5</v>
      </c>
      <c r="C791" s="12">
        <v>0.0766045548654244</v>
      </c>
      <c r="D791" s="241">
        <v>0.0151515151515152</v>
      </c>
      <c r="E791" s="241">
        <v>0.03125</v>
      </c>
      <c r="F791" s="241">
        <v>0</v>
      </c>
      <c r="G791" s="241">
        <v>0.0476190476190476</v>
      </c>
      <c r="H791" s="241">
        <v>0.0833333333333333</v>
      </c>
      <c r="I791" s="241">
        <v>0.024390243902439</v>
      </c>
      <c r="J791" s="241">
        <v>0.06</v>
      </c>
      <c r="K791" s="241">
        <v>0.028169014084507</v>
      </c>
      <c r="L791" s="241">
        <v>0.166666666666667</v>
      </c>
      <c r="M791" s="241">
        <v>0.25</v>
      </c>
      <c r="N791" s="241">
        <v>0.0714285714285714</v>
      </c>
      <c r="O791" s="252">
        <v>0.22</v>
      </c>
    </row>
    <row r="792" spans="1:15">
      <c r="A792" s="242" t="s">
        <v>67</v>
      </c>
      <c r="B792" s="43" t="s">
        <v>6</v>
      </c>
      <c r="C792" s="15">
        <v>11</v>
      </c>
      <c r="D792" s="244">
        <v>0</v>
      </c>
      <c r="E792" s="244">
        <v>1</v>
      </c>
      <c r="F792" s="244">
        <v>0</v>
      </c>
      <c r="G792" s="244">
        <v>0</v>
      </c>
      <c r="H792" s="244">
        <v>2</v>
      </c>
      <c r="I792" s="244">
        <v>0</v>
      </c>
      <c r="J792" s="244">
        <v>0</v>
      </c>
      <c r="K792" s="244">
        <v>1</v>
      </c>
      <c r="L792" s="244">
        <v>2</v>
      </c>
      <c r="M792" s="244">
        <v>4</v>
      </c>
      <c r="N792" s="244">
        <v>1</v>
      </c>
      <c r="O792" s="254">
        <v>0</v>
      </c>
    </row>
    <row r="793" ht="14.25" spans="1:15">
      <c r="A793" s="245" t="s">
        <v>67</v>
      </c>
      <c r="B793" s="52" t="s">
        <v>64</v>
      </c>
      <c r="C793" s="19">
        <v>0.297297297297297</v>
      </c>
      <c r="D793" s="246">
        <v>0</v>
      </c>
      <c r="E793" s="246">
        <v>1</v>
      </c>
      <c r="F793" s="246">
        <v>0</v>
      </c>
      <c r="G793" s="246">
        <v>0</v>
      </c>
      <c r="H793" s="246">
        <v>0.666666666666667</v>
      </c>
      <c r="I793" s="246">
        <v>0</v>
      </c>
      <c r="J793" s="246">
        <v>0</v>
      </c>
      <c r="K793" s="246">
        <v>0.5</v>
      </c>
      <c r="L793" s="246">
        <v>0.5</v>
      </c>
      <c r="M793" s="246">
        <v>0.571428571428571</v>
      </c>
      <c r="N793" s="246">
        <v>0.333333333333333</v>
      </c>
      <c r="O793" s="255">
        <v>0</v>
      </c>
    </row>
    <row r="794" spans="1:15">
      <c r="A794" s="240" t="s">
        <v>68</v>
      </c>
      <c r="B794" s="47" t="s">
        <v>55</v>
      </c>
      <c r="C794" s="12">
        <v>0.0430568499534017</v>
      </c>
      <c r="D794" s="241">
        <v>0.033175355450237</v>
      </c>
      <c r="E794" s="241">
        <v>0.0786516853932584</v>
      </c>
      <c r="F794" s="241">
        <v>0.0612745098039216</v>
      </c>
      <c r="G794" s="241">
        <v>0.0209677419354839</v>
      </c>
      <c r="H794" s="241">
        <v>0.0376884422110553</v>
      </c>
      <c r="I794" s="241">
        <v>0.05</v>
      </c>
      <c r="J794" s="241">
        <v>0.0351966873706004</v>
      </c>
      <c r="K794" s="241">
        <v>0.0491949910554562</v>
      </c>
      <c r="L794" s="241">
        <v>0.0466019417475728</v>
      </c>
      <c r="M794" s="241">
        <v>0.0398886827458256</v>
      </c>
      <c r="N794" s="241">
        <v>0.0483870967741935</v>
      </c>
      <c r="O794" s="252">
        <v>0.0373983739837398</v>
      </c>
    </row>
    <row r="795" spans="1:15">
      <c r="A795" s="242" t="s">
        <v>68</v>
      </c>
      <c r="B795" s="43" t="s">
        <v>57</v>
      </c>
      <c r="C795" s="15">
        <v>10730</v>
      </c>
      <c r="D795" s="243">
        <v>844</v>
      </c>
      <c r="E795" s="243">
        <v>356</v>
      </c>
      <c r="F795" s="243">
        <v>408</v>
      </c>
      <c r="G795" s="243">
        <v>620</v>
      </c>
      <c r="H795" s="243">
        <v>796</v>
      </c>
      <c r="I795" s="243">
        <v>920</v>
      </c>
      <c r="J795" s="243">
        <v>966</v>
      </c>
      <c r="K795" s="243">
        <v>1118</v>
      </c>
      <c r="L795" s="243">
        <v>1030</v>
      </c>
      <c r="M795" s="243">
        <v>1078</v>
      </c>
      <c r="N795" s="243">
        <v>1364</v>
      </c>
      <c r="O795" s="253">
        <v>1230</v>
      </c>
    </row>
    <row r="796" spans="1:15">
      <c r="A796" s="240" t="s">
        <v>68</v>
      </c>
      <c r="B796" s="47" t="s">
        <v>59</v>
      </c>
      <c r="C796" s="15">
        <v>462</v>
      </c>
      <c r="D796" s="243">
        <v>28</v>
      </c>
      <c r="E796" s="243">
        <v>28</v>
      </c>
      <c r="F796" s="243">
        <v>25</v>
      </c>
      <c r="G796" s="243">
        <v>13</v>
      </c>
      <c r="H796" s="243">
        <v>30</v>
      </c>
      <c r="I796" s="243">
        <v>46</v>
      </c>
      <c r="J796" s="243">
        <v>34</v>
      </c>
      <c r="K796" s="243">
        <v>55</v>
      </c>
      <c r="L796" s="243">
        <v>48</v>
      </c>
      <c r="M796" s="243">
        <v>43</v>
      </c>
      <c r="N796" s="243">
        <v>66</v>
      </c>
      <c r="O796" s="253">
        <v>46</v>
      </c>
    </row>
    <row r="797" spans="1:15">
      <c r="A797" s="242" t="s">
        <v>68</v>
      </c>
      <c r="B797" s="43" t="s">
        <v>4</v>
      </c>
      <c r="C797" s="15">
        <v>28</v>
      </c>
      <c r="D797" s="244">
        <v>0</v>
      </c>
      <c r="E797" s="244">
        <v>2</v>
      </c>
      <c r="F797" s="244">
        <v>1</v>
      </c>
      <c r="G797" s="244">
        <v>2</v>
      </c>
      <c r="H797" s="244">
        <v>0</v>
      </c>
      <c r="I797" s="244">
        <v>2</v>
      </c>
      <c r="J797" s="244">
        <v>1</v>
      </c>
      <c r="K797" s="244">
        <v>4</v>
      </c>
      <c r="L797" s="244">
        <v>2</v>
      </c>
      <c r="M797" s="244">
        <v>3</v>
      </c>
      <c r="N797" s="244">
        <v>7</v>
      </c>
      <c r="O797" s="254">
        <v>4</v>
      </c>
    </row>
    <row r="798" spans="1:15">
      <c r="A798" s="240" t="s">
        <v>68</v>
      </c>
      <c r="B798" s="47" t="s">
        <v>5</v>
      </c>
      <c r="C798" s="12">
        <v>0.0606060606060606</v>
      </c>
      <c r="D798" s="241">
        <v>0</v>
      </c>
      <c r="E798" s="241">
        <v>0.0714285714285714</v>
      </c>
      <c r="F798" s="241">
        <v>0.04</v>
      </c>
      <c r="G798" s="241">
        <v>0.153846153846154</v>
      </c>
      <c r="H798" s="241">
        <v>0</v>
      </c>
      <c r="I798" s="241">
        <v>0.0434782608695652</v>
      </c>
      <c r="J798" s="241">
        <v>0.0294117647058824</v>
      </c>
      <c r="K798" s="241">
        <v>0.0727272727272727</v>
      </c>
      <c r="L798" s="241">
        <v>0.0416666666666667</v>
      </c>
      <c r="M798" s="241">
        <v>0.0697674418604651</v>
      </c>
      <c r="N798" s="241">
        <v>0.106060606060606</v>
      </c>
      <c r="O798" s="252">
        <v>0.0869565217391304</v>
      </c>
    </row>
    <row r="799" spans="1:15">
      <c r="A799" s="242" t="s">
        <v>68</v>
      </c>
      <c r="B799" s="43" t="s">
        <v>6</v>
      </c>
      <c r="C799" s="15">
        <v>12</v>
      </c>
      <c r="D799" s="244">
        <v>1</v>
      </c>
      <c r="E799" s="244">
        <v>1</v>
      </c>
      <c r="F799" s="244">
        <v>0</v>
      </c>
      <c r="G799" s="244">
        <v>2</v>
      </c>
      <c r="H799" s="244">
        <v>0</v>
      </c>
      <c r="I799" s="244">
        <v>1</v>
      </c>
      <c r="J799" s="244">
        <v>0</v>
      </c>
      <c r="K799" s="244">
        <v>2</v>
      </c>
      <c r="L799" s="244">
        <v>0</v>
      </c>
      <c r="M799" s="244">
        <v>2</v>
      </c>
      <c r="N799" s="244">
        <v>0</v>
      </c>
      <c r="O799" s="254">
        <v>3</v>
      </c>
    </row>
    <row r="800" ht="14.25" spans="1:15">
      <c r="A800" s="245" t="s">
        <v>68</v>
      </c>
      <c r="B800" s="52" t="s">
        <v>64</v>
      </c>
      <c r="C800" s="19">
        <v>0.428571428571429</v>
      </c>
      <c r="D800" s="246">
        <v>0</v>
      </c>
      <c r="E800" s="246">
        <v>0.5</v>
      </c>
      <c r="F800" s="246">
        <v>0</v>
      </c>
      <c r="G800" s="246">
        <v>1</v>
      </c>
      <c r="H800" s="246">
        <v>0</v>
      </c>
      <c r="I800" s="246">
        <v>0.5</v>
      </c>
      <c r="J800" s="246">
        <v>0</v>
      </c>
      <c r="K800" s="246">
        <v>0.5</v>
      </c>
      <c r="L800" s="246">
        <v>0</v>
      </c>
      <c r="M800" s="246">
        <v>0.666666666666667</v>
      </c>
      <c r="N800" s="246">
        <v>0</v>
      </c>
      <c r="O800" s="255">
        <v>0.75</v>
      </c>
    </row>
    <row r="801" spans="1:15">
      <c r="A801" s="240" t="s">
        <v>69</v>
      </c>
      <c r="B801" s="47" t="s">
        <v>55</v>
      </c>
      <c r="C801" s="12">
        <v>1.33653846153846</v>
      </c>
      <c r="D801" s="241">
        <v>1.55555555555556</v>
      </c>
      <c r="E801" s="241">
        <v>1.44444444444444</v>
      </c>
      <c r="F801" s="241">
        <v>1.06666666666667</v>
      </c>
      <c r="G801" s="241">
        <v>1.5</v>
      </c>
      <c r="H801" s="241">
        <v>1.37931034482759</v>
      </c>
      <c r="I801" s="241">
        <v>1.54285714285714</v>
      </c>
      <c r="J801" s="241">
        <v>1.36842105263158</v>
      </c>
      <c r="K801" s="241">
        <v>1.83783783783784</v>
      </c>
      <c r="L801" s="241">
        <v>1.54545454545455</v>
      </c>
      <c r="M801" s="241">
        <v>1.13513513513514</v>
      </c>
      <c r="N801" s="241">
        <v>1</v>
      </c>
      <c r="O801" s="252">
        <v>1.11666666666667</v>
      </c>
    </row>
    <row r="802" spans="1:15">
      <c r="A802" s="242" t="s">
        <v>69</v>
      </c>
      <c r="B802" s="43" t="s">
        <v>57</v>
      </c>
      <c r="C802" s="15">
        <v>416</v>
      </c>
      <c r="D802" s="243">
        <v>27</v>
      </c>
      <c r="E802" s="243">
        <v>36</v>
      </c>
      <c r="F802" s="243">
        <v>15</v>
      </c>
      <c r="G802" s="243">
        <v>18</v>
      </c>
      <c r="H802" s="243">
        <v>29</v>
      </c>
      <c r="I802" s="243">
        <v>35</v>
      </c>
      <c r="J802" s="243">
        <v>38</v>
      </c>
      <c r="K802" s="243">
        <v>37</v>
      </c>
      <c r="L802" s="243">
        <v>22</v>
      </c>
      <c r="M802" s="243">
        <v>37</v>
      </c>
      <c r="N802" s="243">
        <v>62</v>
      </c>
      <c r="O802" s="253">
        <v>60</v>
      </c>
    </row>
    <row r="803" spans="1:15">
      <c r="A803" s="240" t="s">
        <v>69</v>
      </c>
      <c r="B803" s="47" t="s">
        <v>59</v>
      </c>
      <c r="C803" s="15">
        <v>556</v>
      </c>
      <c r="D803" s="243">
        <v>42</v>
      </c>
      <c r="E803" s="243">
        <v>52</v>
      </c>
      <c r="F803" s="243">
        <v>16</v>
      </c>
      <c r="G803" s="243">
        <v>27</v>
      </c>
      <c r="H803" s="243">
        <v>40</v>
      </c>
      <c r="I803" s="243">
        <v>54</v>
      </c>
      <c r="J803" s="243">
        <v>52</v>
      </c>
      <c r="K803" s="243">
        <v>68</v>
      </c>
      <c r="L803" s="243">
        <v>34</v>
      </c>
      <c r="M803" s="243">
        <v>42</v>
      </c>
      <c r="N803" s="243">
        <v>62</v>
      </c>
      <c r="O803" s="253">
        <v>67</v>
      </c>
    </row>
    <row r="804" spans="1:15">
      <c r="A804" s="242" t="s">
        <v>69</v>
      </c>
      <c r="B804" s="43" t="s">
        <v>4</v>
      </c>
      <c r="C804" s="15">
        <v>21</v>
      </c>
      <c r="D804" s="244">
        <v>0</v>
      </c>
      <c r="E804" s="244">
        <v>1</v>
      </c>
      <c r="F804" s="244">
        <v>0</v>
      </c>
      <c r="G804" s="244">
        <v>0</v>
      </c>
      <c r="H804" s="244">
        <v>1</v>
      </c>
      <c r="I804" s="244">
        <v>4</v>
      </c>
      <c r="J804" s="244">
        <v>1</v>
      </c>
      <c r="K804" s="244">
        <v>3</v>
      </c>
      <c r="L804" s="244">
        <v>4</v>
      </c>
      <c r="M804" s="244">
        <v>2</v>
      </c>
      <c r="N804" s="244">
        <v>5</v>
      </c>
      <c r="O804" s="254">
        <v>0</v>
      </c>
    </row>
    <row r="805" spans="1:15">
      <c r="A805" s="240" t="s">
        <v>69</v>
      </c>
      <c r="B805" s="47" t="s">
        <v>5</v>
      </c>
      <c r="C805" s="12">
        <v>0.0377697841726619</v>
      </c>
      <c r="D805" s="241">
        <v>0</v>
      </c>
      <c r="E805" s="241">
        <v>0.0192307692307692</v>
      </c>
      <c r="F805" s="241">
        <v>0</v>
      </c>
      <c r="G805" s="241">
        <v>0</v>
      </c>
      <c r="H805" s="241">
        <v>0.025</v>
      </c>
      <c r="I805" s="241">
        <v>0.0740740740740741</v>
      </c>
      <c r="J805" s="241">
        <v>0.0192307692307692</v>
      </c>
      <c r="K805" s="241">
        <v>0.0441176470588235</v>
      </c>
      <c r="L805" s="241">
        <v>0.117647058823529</v>
      </c>
      <c r="M805" s="241">
        <v>0.0476190476190476</v>
      </c>
      <c r="N805" s="241">
        <v>0.0806451612903226</v>
      </c>
      <c r="O805" s="252">
        <v>0</v>
      </c>
    </row>
    <row r="806" spans="1:15">
      <c r="A806" s="242" t="s">
        <v>69</v>
      </c>
      <c r="B806" s="43" t="s">
        <v>6</v>
      </c>
      <c r="C806" s="15">
        <v>11</v>
      </c>
      <c r="D806" s="244">
        <v>1</v>
      </c>
      <c r="E806" s="244">
        <v>1</v>
      </c>
      <c r="F806" s="244">
        <v>0</v>
      </c>
      <c r="G806" s="244">
        <v>0</v>
      </c>
      <c r="H806" s="244">
        <v>0</v>
      </c>
      <c r="I806" s="244">
        <v>3</v>
      </c>
      <c r="J806" s="244">
        <v>0</v>
      </c>
      <c r="K806" s="244">
        <v>1</v>
      </c>
      <c r="L806" s="244">
        <v>2</v>
      </c>
      <c r="M806" s="244">
        <v>0</v>
      </c>
      <c r="N806" s="244">
        <v>3</v>
      </c>
      <c r="O806" s="254">
        <v>0</v>
      </c>
    </row>
    <row r="807" ht="14.25" spans="1:15">
      <c r="A807" s="245" t="s">
        <v>69</v>
      </c>
      <c r="B807" s="52" t="s">
        <v>64</v>
      </c>
      <c r="C807" s="19">
        <v>0.523809523809524</v>
      </c>
      <c r="D807" s="246">
        <v>0</v>
      </c>
      <c r="E807" s="246">
        <v>1</v>
      </c>
      <c r="F807" s="246">
        <v>0</v>
      </c>
      <c r="G807" s="246">
        <v>0</v>
      </c>
      <c r="H807" s="246">
        <v>0</v>
      </c>
      <c r="I807" s="246">
        <v>0.75</v>
      </c>
      <c r="J807" s="246">
        <v>0</v>
      </c>
      <c r="K807" s="246">
        <v>0.333333333333333</v>
      </c>
      <c r="L807" s="246">
        <v>0.5</v>
      </c>
      <c r="M807" s="246">
        <v>0</v>
      </c>
      <c r="N807" s="246">
        <v>0.6</v>
      </c>
      <c r="O807" s="255">
        <v>0</v>
      </c>
    </row>
    <row r="808" spans="1:15">
      <c r="A808" s="240" t="s">
        <v>70</v>
      </c>
      <c r="B808" s="47" t="s">
        <v>55</v>
      </c>
      <c r="C808" s="12">
        <v>0.61218836565097</v>
      </c>
      <c r="D808" s="241">
        <v>1.21052631578947</v>
      </c>
      <c r="E808" s="241">
        <v>2.2</v>
      </c>
      <c r="F808" s="241">
        <v>1.22222222222222</v>
      </c>
      <c r="G808" s="241">
        <v>0.857142857142857</v>
      </c>
      <c r="H808" s="241">
        <v>0.421052631578947</v>
      </c>
      <c r="I808" s="241">
        <v>0.625</v>
      </c>
      <c r="J808" s="241">
        <v>0.5</v>
      </c>
      <c r="K808" s="241">
        <v>0.4</v>
      </c>
      <c r="L808" s="241">
        <v>0.473684210526316</v>
      </c>
      <c r="M808" s="241">
        <v>0.513513513513513</v>
      </c>
      <c r="N808" s="241">
        <v>0.413793103448276</v>
      </c>
      <c r="O808" s="252">
        <v>0.673913043478261</v>
      </c>
    </row>
    <row r="809" spans="1:15">
      <c r="A809" s="242" t="s">
        <v>70</v>
      </c>
      <c r="B809" s="43" t="s">
        <v>57</v>
      </c>
      <c r="C809" s="15">
        <v>361</v>
      </c>
      <c r="D809" s="243">
        <v>19</v>
      </c>
      <c r="E809" s="243">
        <v>5</v>
      </c>
      <c r="F809" s="243">
        <v>9</v>
      </c>
      <c r="G809" s="243">
        <v>7</v>
      </c>
      <c r="H809" s="243">
        <v>19</v>
      </c>
      <c r="I809" s="243">
        <v>24</v>
      </c>
      <c r="J809" s="243">
        <v>28</v>
      </c>
      <c r="K809" s="243">
        <v>25</v>
      </c>
      <c r="L809" s="243">
        <v>38</v>
      </c>
      <c r="M809" s="243">
        <v>37</v>
      </c>
      <c r="N809" s="243">
        <v>58</v>
      </c>
      <c r="O809" s="253">
        <v>92</v>
      </c>
    </row>
    <row r="810" spans="1:15">
      <c r="A810" s="240" t="s">
        <v>70</v>
      </c>
      <c r="B810" s="47" t="s">
        <v>59</v>
      </c>
      <c r="C810" s="15">
        <v>221</v>
      </c>
      <c r="D810" s="243">
        <v>23</v>
      </c>
      <c r="E810" s="243">
        <v>11</v>
      </c>
      <c r="F810" s="243">
        <v>11</v>
      </c>
      <c r="G810" s="243">
        <v>6</v>
      </c>
      <c r="H810" s="243">
        <v>8</v>
      </c>
      <c r="I810" s="243">
        <v>15</v>
      </c>
      <c r="J810" s="243">
        <v>14</v>
      </c>
      <c r="K810" s="243">
        <v>10</v>
      </c>
      <c r="L810" s="243">
        <v>18</v>
      </c>
      <c r="M810" s="243">
        <v>19</v>
      </c>
      <c r="N810" s="243">
        <v>24</v>
      </c>
      <c r="O810" s="253">
        <v>62</v>
      </c>
    </row>
    <row r="811" spans="1:15">
      <c r="A811" s="242" t="s">
        <v>70</v>
      </c>
      <c r="B811" s="43" t="s">
        <v>4</v>
      </c>
      <c r="C811" s="15">
        <v>2</v>
      </c>
      <c r="D811" s="244">
        <v>0</v>
      </c>
      <c r="E811" s="244">
        <v>1</v>
      </c>
      <c r="F811" s="244">
        <v>0</v>
      </c>
      <c r="G811" s="244">
        <v>0</v>
      </c>
      <c r="H811" s="244">
        <v>1</v>
      </c>
      <c r="I811" s="244">
        <v>0</v>
      </c>
      <c r="J811" s="244">
        <v>0</v>
      </c>
      <c r="K811" s="244">
        <v>0</v>
      </c>
      <c r="L811" s="244">
        <v>0</v>
      </c>
      <c r="M811" s="244">
        <v>0</v>
      </c>
      <c r="N811" s="244">
        <v>0</v>
      </c>
      <c r="O811" s="254">
        <v>0</v>
      </c>
    </row>
    <row r="812" spans="1:15">
      <c r="A812" s="240" t="s">
        <v>70</v>
      </c>
      <c r="B812" s="47" t="s">
        <v>5</v>
      </c>
      <c r="C812" s="12">
        <v>0.00904977375565611</v>
      </c>
      <c r="D812" s="241">
        <v>0</v>
      </c>
      <c r="E812" s="241">
        <v>0.0909090909090909</v>
      </c>
      <c r="F812" s="241">
        <v>0</v>
      </c>
      <c r="G812" s="241">
        <v>0</v>
      </c>
      <c r="H812" s="241">
        <v>0.125</v>
      </c>
      <c r="I812" s="241">
        <v>0</v>
      </c>
      <c r="J812" s="241">
        <v>0</v>
      </c>
      <c r="K812" s="241">
        <v>0</v>
      </c>
      <c r="L812" s="241">
        <v>0</v>
      </c>
      <c r="M812" s="241">
        <v>0</v>
      </c>
      <c r="N812" s="241">
        <v>0</v>
      </c>
      <c r="O812" s="252">
        <v>0</v>
      </c>
    </row>
    <row r="813" spans="1:15">
      <c r="A813" s="242" t="s">
        <v>70</v>
      </c>
      <c r="B813" s="43" t="s">
        <v>6</v>
      </c>
      <c r="C813" s="15">
        <v>2</v>
      </c>
      <c r="D813" s="244">
        <v>0</v>
      </c>
      <c r="E813" s="244">
        <v>1</v>
      </c>
      <c r="F813" s="244">
        <v>0</v>
      </c>
      <c r="G813" s="244">
        <v>0</v>
      </c>
      <c r="H813" s="244">
        <v>0</v>
      </c>
      <c r="I813" s="244">
        <v>0</v>
      </c>
      <c r="J813" s="244">
        <v>0</v>
      </c>
      <c r="K813" s="244">
        <v>0</v>
      </c>
      <c r="L813" s="244">
        <v>0</v>
      </c>
      <c r="M813" s="244">
        <v>1</v>
      </c>
      <c r="N813" s="244">
        <v>0</v>
      </c>
      <c r="O813" s="254">
        <v>0</v>
      </c>
    </row>
    <row r="814" ht="14.25" spans="1:15">
      <c r="A814" s="245" t="s">
        <v>70</v>
      </c>
      <c r="B814" s="52" t="s">
        <v>64</v>
      </c>
      <c r="C814" s="19">
        <v>1</v>
      </c>
      <c r="D814" s="246">
        <v>0</v>
      </c>
      <c r="E814" s="246">
        <v>1</v>
      </c>
      <c r="F814" s="246">
        <v>0</v>
      </c>
      <c r="G814" s="246">
        <v>0</v>
      </c>
      <c r="H814" s="246">
        <v>0</v>
      </c>
      <c r="I814" s="246">
        <v>0</v>
      </c>
      <c r="J814" s="246">
        <v>0</v>
      </c>
      <c r="K814" s="246">
        <v>0</v>
      </c>
      <c r="L814" s="246">
        <v>0</v>
      </c>
      <c r="M814" s="246">
        <v>0</v>
      </c>
      <c r="N814" s="246">
        <v>0</v>
      </c>
      <c r="O814" s="255">
        <v>0</v>
      </c>
    </row>
    <row r="815" spans="1:15">
      <c r="A815" s="240" t="s">
        <v>26</v>
      </c>
      <c r="B815" s="47" t="s">
        <v>55</v>
      </c>
      <c r="C815" s="12">
        <v>0.254198031268095</v>
      </c>
      <c r="D815" s="241">
        <v>0.0932203389830508</v>
      </c>
      <c r="E815" s="241">
        <v>0.102678571428571</v>
      </c>
      <c r="F815" s="241">
        <v>0.08</v>
      </c>
      <c r="G815" s="241">
        <v>0.0775193798449612</v>
      </c>
      <c r="H815" s="241">
        <v>0.119834710743802</v>
      </c>
      <c r="I815" s="241">
        <v>0.133064516129032</v>
      </c>
      <c r="J815" s="241">
        <v>0.113333333333333</v>
      </c>
      <c r="K815" s="241">
        <v>0.48</v>
      </c>
      <c r="L815" s="241">
        <v>0.411184210526316</v>
      </c>
      <c r="M815" s="241">
        <v>0.432539682539683</v>
      </c>
      <c r="N815" s="241">
        <v>0.462837837837838</v>
      </c>
      <c r="O815" s="252">
        <v>0.411764705882353</v>
      </c>
    </row>
    <row r="816" spans="1:15">
      <c r="A816" s="242" t="s">
        <v>26</v>
      </c>
      <c r="B816" s="43" t="s">
        <v>57</v>
      </c>
      <c r="C816" s="15">
        <v>3454</v>
      </c>
      <c r="D816" s="243">
        <v>472</v>
      </c>
      <c r="E816" s="243">
        <v>224</v>
      </c>
      <c r="F816" s="243">
        <v>150</v>
      </c>
      <c r="G816" s="243">
        <v>258</v>
      </c>
      <c r="H816" s="243">
        <v>242</v>
      </c>
      <c r="I816" s="243">
        <v>248</v>
      </c>
      <c r="J816" s="243">
        <v>300</v>
      </c>
      <c r="K816" s="243">
        <v>300</v>
      </c>
      <c r="L816" s="243">
        <v>304</v>
      </c>
      <c r="M816" s="243">
        <v>252</v>
      </c>
      <c r="N816" s="243">
        <v>296</v>
      </c>
      <c r="O816" s="253">
        <v>408</v>
      </c>
    </row>
    <row r="817" spans="1:15">
      <c r="A817" s="240" t="s">
        <v>26</v>
      </c>
      <c r="B817" s="47" t="s">
        <v>59</v>
      </c>
      <c r="C817" s="15">
        <v>878</v>
      </c>
      <c r="D817" s="243">
        <v>44</v>
      </c>
      <c r="E817" s="243">
        <v>23</v>
      </c>
      <c r="F817" s="243">
        <v>12</v>
      </c>
      <c r="G817" s="243">
        <v>20</v>
      </c>
      <c r="H817" s="243">
        <v>29</v>
      </c>
      <c r="I817" s="243">
        <v>33</v>
      </c>
      <c r="J817" s="243">
        <v>34</v>
      </c>
      <c r="K817" s="243">
        <v>144</v>
      </c>
      <c r="L817" s="243">
        <v>125</v>
      </c>
      <c r="M817" s="243">
        <v>109</v>
      </c>
      <c r="N817" s="243">
        <v>137</v>
      </c>
      <c r="O817" s="253">
        <v>168</v>
      </c>
    </row>
    <row r="818" spans="1:15">
      <c r="A818" s="242" t="s">
        <v>26</v>
      </c>
      <c r="B818" s="43" t="s">
        <v>4</v>
      </c>
      <c r="C818" s="15">
        <v>20</v>
      </c>
      <c r="D818" s="244">
        <v>3</v>
      </c>
      <c r="E818" s="244">
        <v>1</v>
      </c>
      <c r="F818" s="244">
        <v>1</v>
      </c>
      <c r="G818" s="244">
        <v>2</v>
      </c>
      <c r="H818" s="244">
        <v>1</v>
      </c>
      <c r="I818" s="244">
        <v>2</v>
      </c>
      <c r="J818" s="244">
        <v>2</v>
      </c>
      <c r="K818" s="244">
        <v>3</v>
      </c>
      <c r="L818" s="244">
        <v>2</v>
      </c>
      <c r="M818" s="244">
        <v>0</v>
      </c>
      <c r="N818" s="244">
        <v>3</v>
      </c>
      <c r="O818" s="254">
        <v>0</v>
      </c>
    </row>
    <row r="819" spans="1:15">
      <c r="A819" s="240" t="s">
        <v>26</v>
      </c>
      <c r="B819" s="47" t="s">
        <v>5</v>
      </c>
      <c r="C819" s="12">
        <v>0.0227790432801822</v>
      </c>
      <c r="D819" s="241">
        <v>0.0681818181818182</v>
      </c>
      <c r="E819" s="241">
        <v>0.0434782608695652</v>
      </c>
      <c r="F819" s="241">
        <v>0.0833333333333333</v>
      </c>
      <c r="G819" s="241">
        <v>0.1</v>
      </c>
      <c r="H819" s="241">
        <v>0.0344827586206897</v>
      </c>
      <c r="I819" s="241">
        <v>0.0606060606060606</v>
      </c>
      <c r="J819" s="241">
        <v>0.0588235294117647</v>
      </c>
      <c r="K819" s="241">
        <v>0.0208333333333333</v>
      </c>
      <c r="L819" s="241">
        <v>0.016</v>
      </c>
      <c r="M819" s="241">
        <v>0</v>
      </c>
      <c r="N819" s="241">
        <v>0.0218978102189781</v>
      </c>
      <c r="O819" s="252">
        <v>0</v>
      </c>
    </row>
    <row r="820" spans="1:15">
      <c r="A820" s="242" t="s">
        <v>26</v>
      </c>
      <c r="B820" s="43" t="s">
        <v>6</v>
      </c>
      <c r="C820" s="15">
        <v>16</v>
      </c>
      <c r="D820" s="244">
        <v>2</v>
      </c>
      <c r="E820" s="244">
        <v>0</v>
      </c>
      <c r="F820" s="244">
        <v>0</v>
      </c>
      <c r="G820" s="244">
        <v>0</v>
      </c>
      <c r="H820" s="244">
        <v>1</v>
      </c>
      <c r="I820" s="244">
        <v>2</v>
      </c>
      <c r="J820" s="244">
        <v>1</v>
      </c>
      <c r="K820" s="244">
        <v>1</v>
      </c>
      <c r="L820" s="244">
        <v>4</v>
      </c>
      <c r="M820" s="244">
        <v>3</v>
      </c>
      <c r="N820" s="244">
        <v>1</v>
      </c>
      <c r="O820" s="254">
        <v>1</v>
      </c>
    </row>
    <row r="821" ht="14.25" spans="1:15">
      <c r="A821" s="245" t="s">
        <v>26</v>
      </c>
      <c r="B821" s="52" t="s">
        <v>64</v>
      </c>
      <c r="C821" s="19">
        <v>0.8</v>
      </c>
      <c r="D821" s="250">
        <v>2</v>
      </c>
      <c r="E821" s="250">
        <v>0</v>
      </c>
      <c r="F821" s="250">
        <v>0</v>
      </c>
      <c r="G821" s="250">
        <v>0</v>
      </c>
      <c r="H821" s="250">
        <v>1</v>
      </c>
      <c r="I821" s="250">
        <v>2</v>
      </c>
      <c r="J821" s="250">
        <v>1</v>
      </c>
      <c r="K821" s="250">
        <v>1</v>
      </c>
      <c r="L821" s="250">
        <v>4</v>
      </c>
      <c r="M821" s="250">
        <v>3</v>
      </c>
      <c r="N821" s="250">
        <v>1</v>
      </c>
      <c r="O821" s="257">
        <v>1</v>
      </c>
    </row>
    <row r="822" spans="1:15">
      <c r="A822" s="240" t="s">
        <v>71</v>
      </c>
      <c r="B822" s="47" t="s">
        <v>55</v>
      </c>
      <c r="C822" s="12">
        <v>0.0568181818181818</v>
      </c>
      <c r="D822" s="241">
        <v>0</v>
      </c>
      <c r="E822" s="241">
        <v>0</v>
      </c>
      <c r="F822" s="241">
        <v>0</v>
      </c>
      <c r="G822" s="241">
        <v>0</v>
      </c>
      <c r="H822" s="241">
        <v>0</v>
      </c>
      <c r="I822" s="241">
        <v>0.133333333333333</v>
      </c>
      <c r="J822" s="241">
        <v>0</v>
      </c>
      <c r="K822" s="241">
        <v>0.0769230769230769</v>
      </c>
      <c r="L822" s="241">
        <v>0</v>
      </c>
      <c r="M822" s="241">
        <v>0</v>
      </c>
      <c r="N822" s="241">
        <v>0.153846153846154</v>
      </c>
      <c r="O822" s="252">
        <v>0.0909090909090909</v>
      </c>
    </row>
    <row r="823" spans="1:15">
      <c r="A823" s="242" t="s">
        <v>71</v>
      </c>
      <c r="B823" s="43" t="s">
        <v>57</v>
      </c>
      <c r="C823" s="15">
        <v>176</v>
      </c>
      <c r="D823" s="243">
        <v>19</v>
      </c>
      <c r="E823" s="243">
        <v>5</v>
      </c>
      <c r="F823" s="243">
        <v>4</v>
      </c>
      <c r="G823" s="243">
        <v>3</v>
      </c>
      <c r="H823" s="243">
        <v>19</v>
      </c>
      <c r="I823" s="243">
        <v>15</v>
      </c>
      <c r="J823" s="243">
        <v>11</v>
      </c>
      <c r="K823" s="243">
        <v>13</v>
      </c>
      <c r="L823" s="243">
        <v>15</v>
      </c>
      <c r="M823" s="243">
        <v>13</v>
      </c>
      <c r="N823" s="243">
        <v>26</v>
      </c>
      <c r="O823" s="253">
        <v>33</v>
      </c>
    </row>
    <row r="824" spans="1:15">
      <c r="A824" s="240" t="s">
        <v>71</v>
      </c>
      <c r="B824" s="47" t="s">
        <v>59</v>
      </c>
      <c r="C824" s="15">
        <v>10</v>
      </c>
      <c r="D824" s="243">
        <v>0</v>
      </c>
      <c r="E824" s="243">
        <v>0</v>
      </c>
      <c r="F824" s="243">
        <v>0</v>
      </c>
      <c r="G824" s="243">
        <v>0</v>
      </c>
      <c r="H824" s="243">
        <v>0</v>
      </c>
      <c r="I824" s="243">
        <v>2</v>
      </c>
      <c r="J824" s="243">
        <v>0</v>
      </c>
      <c r="K824" s="243">
        <v>1</v>
      </c>
      <c r="L824" s="243">
        <v>0</v>
      </c>
      <c r="M824" s="243">
        <v>0</v>
      </c>
      <c r="N824" s="243">
        <v>4</v>
      </c>
      <c r="O824" s="253">
        <v>3</v>
      </c>
    </row>
    <row r="825" spans="1:15">
      <c r="A825" s="242" t="s">
        <v>71</v>
      </c>
      <c r="B825" s="43" t="s">
        <v>4</v>
      </c>
      <c r="C825" s="15">
        <v>29</v>
      </c>
      <c r="D825" s="244">
        <v>5</v>
      </c>
      <c r="E825" s="244">
        <v>1</v>
      </c>
      <c r="F825" s="244">
        <v>0</v>
      </c>
      <c r="G825" s="244">
        <v>0</v>
      </c>
      <c r="H825" s="244">
        <v>5</v>
      </c>
      <c r="I825" s="244">
        <v>1</v>
      </c>
      <c r="J825" s="244">
        <v>2</v>
      </c>
      <c r="K825" s="244">
        <v>0</v>
      </c>
      <c r="L825" s="244">
        <v>3</v>
      </c>
      <c r="M825" s="244">
        <v>6</v>
      </c>
      <c r="N825" s="244">
        <v>1</v>
      </c>
      <c r="O825" s="254">
        <v>5</v>
      </c>
    </row>
    <row r="826" spans="1:15">
      <c r="A826" s="240" t="s">
        <v>71</v>
      </c>
      <c r="B826" s="47" t="s">
        <v>5</v>
      </c>
      <c r="C826" s="12">
        <v>2.9</v>
      </c>
      <c r="D826" s="241">
        <v>0</v>
      </c>
      <c r="E826" s="241">
        <v>0</v>
      </c>
      <c r="F826" s="241">
        <v>0</v>
      </c>
      <c r="G826" s="241">
        <v>0</v>
      </c>
      <c r="H826" s="241">
        <v>0</v>
      </c>
      <c r="I826" s="241">
        <v>0.5</v>
      </c>
      <c r="J826" s="241">
        <v>0</v>
      </c>
      <c r="K826" s="241">
        <v>0</v>
      </c>
      <c r="L826" s="241">
        <v>0</v>
      </c>
      <c r="M826" s="241">
        <v>0</v>
      </c>
      <c r="N826" s="241">
        <v>0.25</v>
      </c>
      <c r="O826" s="252">
        <v>1.66666666666667</v>
      </c>
    </row>
    <row r="827" spans="1:15">
      <c r="A827" s="242" t="s">
        <v>71</v>
      </c>
      <c r="B827" s="43" t="s">
        <v>6</v>
      </c>
      <c r="C827" s="15">
        <v>5</v>
      </c>
      <c r="D827" s="244">
        <v>1</v>
      </c>
      <c r="E827" s="244">
        <v>0</v>
      </c>
      <c r="F827" s="244">
        <v>0</v>
      </c>
      <c r="G827" s="244">
        <v>0</v>
      </c>
      <c r="H827" s="244">
        <v>1</v>
      </c>
      <c r="I827" s="244">
        <v>1</v>
      </c>
      <c r="J827" s="244">
        <v>1</v>
      </c>
      <c r="K827" s="244">
        <v>0</v>
      </c>
      <c r="L827" s="244">
        <v>0</v>
      </c>
      <c r="M827" s="244">
        <v>0</v>
      </c>
      <c r="N827" s="244">
        <v>1</v>
      </c>
      <c r="O827" s="254">
        <v>0</v>
      </c>
    </row>
    <row r="828" ht="14.25" spans="1:15">
      <c r="A828" s="245" t="s">
        <v>71</v>
      </c>
      <c r="B828" s="52" t="s">
        <v>64</v>
      </c>
      <c r="C828" s="19">
        <v>0.172413793103448</v>
      </c>
      <c r="D828" s="250">
        <v>1</v>
      </c>
      <c r="E828" s="250">
        <v>0</v>
      </c>
      <c r="F828" s="250">
        <v>0</v>
      </c>
      <c r="G828" s="250">
        <v>0</v>
      </c>
      <c r="H828" s="250">
        <v>1</v>
      </c>
      <c r="I828" s="250">
        <v>1</v>
      </c>
      <c r="J828" s="250">
        <v>1</v>
      </c>
      <c r="K828" s="250">
        <v>0</v>
      </c>
      <c r="L828" s="250">
        <v>0</v>
      </c>
      <c r="M828" s="250">
        <v>0</v>
      </c>
      <c r="N828" s="250">
        <v>1</v>
      </c>
      <c r="O828" s="257">
        <v>0</v>
      </c>
    </row>
    <row r="829" spans="1:15">
      <c r="A829" s="240" t="s">
        <v>72</v>
      </c>
      <c r="B829" s="47" t="s">
        <v>55</v>
      </c>
      <c r="C829" s="12">
        <v>0.358024691358025</v>
      </c>
      <c r="D829" s="241">
        <v>0.272727272727273</v>
      </c>
      <c r="E829" s="241">
        <v>0.375</v>
      </c>
      <c r="F829" s="241">
        <v>0.25</v>
      </c>
      <c r="G829" s="241">
        <v>0.5</v>
      </c>
      <c r="H829" s="241">
        <v>0.346153846153846</v>
      </c>
      <c r="I829" s="241">
        <v>0.307692307692308</v>
      </c>
      <c r="J829" s="241">
        <v>0.333333333333333</v>
      </c>
      <c r="K829" s="241">
        <v>0.295454545454545</v>
      </c>
      <c r="L829" s="241">
        <v>0.361111111111111</v>
      </c>
      <c r="M829" s="241">
        <v>0.333333333333333</v>
      </c>
      <c r="N829" s="241">
        <v>0.5</v>
      </c>
      <c r="O829" s="252">
        <v>0.5</v>
      </c>
    </row>
    <row r="830" spans="1:15">
      <c r="A830" s="242" t="s">
        <v>72</v>
      </c>
      <c r="B830" s="43" t="s">
        <v>57</v>
      </c>
      <c r="C830" s="15">
        <v>324</v>
      </c>
      <c r="D830" s="243">
        <v>22</v>
      </c>
      <c r="E830" s="243">
        <v>16</v>
      </c>
      <c r="F830" s="243">
        <v>16</v>
      </c>
      <c r="G830" s="243">
        <v>6</v>
      </c>
      <c r="H830" s="243">
        <v>26</v>
      </c>
      <c r="I830" s="243">
        <v>26</v>
      </c>
      <c r="J830" s="243">
        <v>30</v>
      </c>
      <c r="K830" s="243">
        <v>44</v>
      </c>
      <c r="L830" s="243">
        <v>36</v>
      </c>
      <c r="M830" s="243">
        <v>42</v>
      </c>
      <c r="N830" s="243">
        <v>22</v>
      </c>
      <c r="O830" s="253">
        <v>38</v>
      </c>
    </row>
    <row r="831" spans="1:15">
      <c r="A831" s="240" t="s">
        <v>72</v>
      </c>
      <c r="B831" s="47" t="s">
        <v>59</v>
      </c>
      <c r="C831" s="15">
        <v>116</v>
      </c>
      <c r="D831" s="243">
        <v>6</v>
      </c>
      <c r="E831" s="243">
        <v>6</v>
      </c>
      <c r="F831" s="243">
        <v>4</v>
      </c>
      <c r="G831" s="243">
        <v>3</v>
      </c>
      <c r="H831" s="243">
        <v>9</v>
      </c>
      <c r="I831" s="243">
        <v>8</v>
      </c>
      <c r="J831" s="243">
        <v>10</v>
      </c>
      <c r="K831" s="243">
        <v>13</v>
      </c>
      <c r="L831" s="243">
        <v>13</v>
      </c>
      <c r="M831" s="243">
        <v>14</v>
      </c>
      <c r="N831" s="243">
        <v>11</v>
      </c>
      <c r="O831" s="253">
        <v>19</v>
      </c>
    </row>
    <row r="832" spans="1:15">
      <c r="A832" s="242" t="s">
        <v>72</v>
      </c>
      <c r="B832" s="43" t="s">
        <v>4</v>
      </c>
      <c r="C832" s="15">
        <v>0</v>
      </c>
      <c r="D832" s="244">
        <v>0</v>
      </c>
      <c r="E832" s="244">
        <v>0</v>
      </c>
      <c r="F832" s="244">
        <v>0</v>
      </c>
      <c r="G832" s="244">
        <v>0</v>
      </c>
      <c r="H832" s="244">
        <v>0</v>
      </c>
      <c r="I832" s="244">
        <v>0</v>
      </c>
      <c r="J832" s="244">
        <v>0</v>
      </c>
      <c r="K832" s="244">
        <v>0</v>
      </c>
      <c r="L832" s="244">
        <v>0</v>
      </c>
      <c r="M832" s="244">
        <v>0</v>
      </c>
      <c r="N832" s="244">
        <v>0</v>
      </c>
      <c r="O832" s="254">
        <v>0</v>
      </c>
    </row>
    <row r="833" spans="1:15">
      <c r="A833" s="240" t="s">
        <v>72</v>
      </c>
      <c r="B833" s="47" t="s">
        <v>5</v>
      </c>
      <c r="C833" s="12">
        <v>0</v>
      </c>
      <c r="D833" s="241">
        <v>0</v>
      </c>
      <c r="E833" s="241">
        <v>0</v>
      </c>
      <c r="F833" s="241">
        <v>0</v>
      </c>
      <c r="G833" s="241">
        <v>0</v>
      </c>
      <c r="H833" s="241">
        <v>0</v>
      </c>
      <c r="I833" s="241">
        <v>0</v>
      </c>
      <c r="J833" s="241">
        <v>0</v>
      </c>
      <c r="K833" s="241">
        <v>0</v>
      </c>
      <c r="L833" s="241">
        <v>0</v>
      </c>
      <c r="M833" s="241">
        <v>0</v>
      </c>
      <c r="N833" s="241">
        <v>0</v>
      </c>
      <c r="O833" s="252">
        <v>0</v>
      </c>
    </row>
    <row r="834" spans="1:15">
      <c r="A834" s="242" t="s">
        <v>72</v>
      </c>
      <c r="B834" s="43" t="s">
        <v>6</v>
      </c>
      <c r="C834" s="15">
        <v>0</v>
      </c>
      <c r="D834" s="244">
        <v>0</v>
      </c>
      <c r="E834" s="244">
        <v>0</v>
      </c>
      <c r="F834" s="244">
        <v>0</v>
      </c>
      <c r="G834" s="244">
        <v>0</v>
      </c>
      <c r="H834" s="244">
        <v>0</v>
      </c>
      <c r="I834" s="244">
        <v>0</v>
      </c>
      <c r="J834" s="244">
        <v>0</v>
      </c>
      <c r="K834" s="244">
        <v>0</v>
      </c>
      <c r="L834" s="244">
        <v>0</v>
      </c>
      <c r="M834" s="244">
        <v>0</v>
      </c>
      <c r="N834" s="244">
        <v>0</v>
      </c>
      <c r="O834" s="254">
        <v>0</v>
      </c>
    </row>
    <row r="835" ht="14.25" spans="1:15">
      <c r="A835" s="245" t="s">
        <v>72</v>
      </c>
      <c r="B835" s="52" t="s">
        <v>64</v>
      </c>
      <c r="C835" s="19">
        <v>0</v>
      </c>
      <c r="D835" s="250">
        <v>0</v>
      </c>
      <c r="E835" s="250">
        <v>0</v>
      </c>
      <c r="F835" s="250">
        <v>0</v>
      </c>
      <c r="G835" s="250">
        <v>0</v>
      </c>
      <c r="H835" s="250">
        <v>0</v>
      </c>
      <c r="I835" s="250">
        <v>0</v>
      </c>
      <c r="J835" s="250">
        <v>0</v>
      </c>
      <c r="K835" s="250">
        <v>0</v>
      </c>
      <c r="L835" s="250">
        <v>0</v>
      </c>
      <c r="M835" s="250">
        <v>0</v>
      </c>
      <c r="N835" s="250">
        <v>0</v>
      </c>
      <c r="O835" s="257">
        <v>0</v>
      </c>
    </row>
    <row r="836" ht="14.25" spans="1:15">
      <c r="A836" s="237">
        <v>45032</v>
      </c>
      <c r="B836" s="237"/>
      <c r="C836" s="237"/>
      <c r="D836" s="237"/>
      <c r="E836" s="237"/>
      <c r="F836" s="237"/>
      <c r="G836" s="237"/>
      <c r="H836" s="237"/>
      <c r="I836" s="237"/>
      <c r="J836" s="237"/>
      <c r="K836" s="237"/>
      <c r="L836" s="237"/>
      <c r="M836" s="237"/>
      <c r="N836" s="237"/>
      <c r="O836" s="237"/>
    </row>
    <row r="837" spans="1:15">
      <c r="A837" s="56" t="s">
        <v>1</v>
      </c>
      <c r="B837" s="238"/>
      <c r="C837" s="8" t="s">
        <v>42</v>
      </c>
      <c r="D837" s="239" t="s">
        <v>43</v>
      </c>
      <c r="E837" s="239" t="s">
        <v>44</v>
      </c>
      <c r="F837" s="239" t="s">
        <v>45</v>
      </c>
      <c r="G837" s="239" t="s">
        <v>46</v>
      </c>
      <c r="H837" s="239" t="s">
        <v>47</v>
      </c>
      <c r="I837" s="239" t="s">
        <v>48</v>
      </c>
      <c r="J837" s="239" t="s">
        <v>49</v>
      </c>
      <c r="K837" s="239" t="s">
        <v>50</v>
      </c>
      <c r="L837" s="239" t="s">
        <v>51</v>
      </c>
      <c r="M837" s="239" t="s">
        <v>52</v>
      </c>
      <c r="N837" s="239" t="s">
        <v>53</v>
      </c>
      <c r="O837" s="251" t="s">
        <v>54</v>
      </c>
    </row>
    <row r="838" spans="1:15">
      <c r="A838" s="240" t="s">
        <v>22</v>
      </c>
      <c r="B838" s="47" t="s">
        <v>55</v>
      </c>
      <c r="C838" s="12">
        <v>0.188878883385862</v>
      </c>
      <c r="D838" s="241">
        <v>0.174535050071531</v>
      </c>
      <c r="E838" s="241">
        <v>0.0797636632200886</v>
      </c>
      <c r="F838" s="241">
        <v>0.0618279569892473</v>
      </c>
      <c r="G838" s="241">
        <v>0.124260355029586</v>
      </c>
      <c r="H838" s="241">
        <v>0.269896193771626</v>
      </c>
      <c r="I838" s="241">
        <v>0.2508038585209</v>
      </c>
      <c r="J838" s="241">
        <v>0.276872964169381</v>
      </c>
      <c r="K838" s="241">
        <v>0.253623188405797</v>
      </c>
      <c r="L838" s="241">
        <v>0.209302325581395</v>
      </c>
      <c r="M838" s="241">
        <v>0.314410480349345</v>
      </c>
      <c r="N838" s="241">
        <v>0.255102040816327</v>
      </c>
      <c r="O838" s="252">
        <v>0.219387755102041</v>
      </c>
    </row>
    <row r="839" spans="1:15">
      <c r="A839" s="242" t="s">
        <v>22</v>
      </c>
      <c r="B839" s="43" t="s">
        <v>57</v>
      </c>
      <c r="C839" s="15">
        <v>4442</v>
      </c>
      <c r="D839" s="243">
        <v>699</v>
      </c>
      <c r="E839" s="243">
        <v>677</v>
      </c>
      <c r="F839" s="243">
        <v>372</v>
      </c>
      <c r="G839" s="243">
        <v>338</v>
      </c>
      <c r="H839" s="243">
        <v>289</v>
      </c>
      <c r="I839" s="243">
        <v>311</v>
      </c>
      <c r="J839" s="243">
        <v>307</v>
      </c>
      <c r="K839" s="243">
        <v>276</v>
      </c>
      <c r="L839" s="243">
        <v>258</v>
      </c>
      <c r="M839" s="243">
        <v>229</v>
      </c>
      <c r="N839" s="243">
        <v>294</v>
      </c>
      <c r="O839" s="253">
        <v>392</v>
      </c>
    </row>
    <row r="840" spans="1:15">
      <c r="A840" s="240" t="s">
        <v>22</v>
      </c>
      <c r="B840" s="47" t="s">
        <v>59</v>
      </c>
      <c r="C840" s="15">
        <v>839</v>
      </c>
      <c r="D840" s="243">
        <v>122</v>
      </c>
      <c r="E840" s="243">
        <v>54</v>
      </c>
      <c r="F840" s="243">
        <v>23</v>
      </c>
      <c r="G840" s="243">
        <v>42</v>
      </c>
      <c r="H840" s="243">
        <v>78</v>
      </c>
      <c r="I840" s="243">
        <v>78</v>
      </c>
      <c r="J840" s="243">
        <v>85</v>
      </c>
      <c r="K840" s="243">
        <v>70</v>
      </c>
      <c r="L840" s="243">
        <v>54</v>
      </c>
      <c r="M840" s="243">
        <v>72</v>
      </c>
      <c r="N840" s="243">
        <v>75</v>
      </c>
      <c r="O840" s="253">
        <v>86</v>
      </c>
    </row>
    <row r="841" spans="1:15">
      <c r="A841" s="242" t="s">
        <v>22</v>
      </c>
      <c r="B841" s="43" t="s">
        <v>4</v>
      </c>
      <c r="C841" s="15">
        <v>105</v>
      </c>
      <c r="D841" s="244">
        <v>7</v>
      </c>
      <c r="E841" s="244">
        <v>18</v>
      </c>
      <c r="F841" s="244">
        <v>6</v>
      </c>
      <c r="G841" s="244">
        <v>7</v>
      </c>
      <c r="H841" s="244">
        <v>8</v>
      </c>
      <c r="I841" s="244">
        <v>10</v>
      </c>
      <c r="J841" s="244">
        <v>7</v>
      </c>
      <c r="K841" s="244">
        <v>7</v>
      </c>
      <c r="L841" s="244">
        <v>8</v>
      </c>
      <c r="M841" s="244">
        <v>4</v>
      </c>
      <c r="N841" s="244">
        <v>6</v>
      </c>
      <c r="O841" s="254">
        <v>17</v>
      </c>
    </row>
    <row r="842" spans="1:15">
      <c r="A842" s="240" t="s">
        <v>22</v>
      </c>
      <c r="B842" s="47" t="s">
        <v>5</v>
      </c>
      <c r="C842" s="12">
        <v>0.125148986889154</v>
      </c>
      <c r="D842" s="241">
        <v>0.0573770491803279</v>
      </c>
      <c r="E842" s="241">
        <v>0.333333333333333</v>
      </c>
      <c r="F842" s="241">
        <v>0.260869565217391</v>
      </c>
      <c r="G842" s="241">
        <v>0.166666666666667</v>
      </c>
      <c r="H842" s="241">
        <v>0.102564102564103</v>
      </c>
      <c r="I842" s="241">
        <v>0.128205128205128</v>
      </c>
      <c r="J842" s="241">
        <v>0.0823529411764706</v>
      </c>
      <c r="K842" s="241">
        <v>0.1</v>
      </c>
      <c r="L842" s="241">
        <v>0.148148148148148</v>
      </c>
      <c r="M842" s="241">
        <v>0.0555555555555556</v>
      </c>
      <c r="N842" s="241">
        <v>0.08</v>
      </c>
      <c r="O842" s="252">
        <v>0.197674418604651</v>
      </c>
    </row>
    <row r="843" spans="1:15">
      <c r="A843" s="242" t="s">
        <v>22</v>
      </c>
      <c r="B843" s="43" t="s">
        <v>6</v>
      </c>
      <c r="C843" s="15">
        <v>39</v>
      </c>
      <c r="D843" s="244">
        <v>2</v>
      </c>
      <c r="E843" s="244">
        <v>4</v>
      </c>
      <c r="F843" s="244">
        <v>3</v>
      </c>
      <c r="G843" s="244">
        <v>1</v>
      </c>
      <c r="H843" s="244">
        <v>5</v>
      </c>
      <c r="I843" s="244">
        <v>2</v>
      </c>
      <c r="J843" s="244">
        <v>3</v>
      </c>
      <c r="K843" s="244">
        <v>2</v>
      </c>
      <c r="L843" s="244">
        <v>2</v>
      </c>
      <c r="M843" s="244">
        <v>4</v>
      </c>
      <c r="N843" s="244">
        <v>4</v>
      </c>
      <c r="O843" s="254">
        <v>7</v>
      </c>
    </row>
    <row r="844" ht="14.25" spans="1:15">
      <c r="A844" s="245" t="s">
        <v>22</v>
      </c>
      <c r="B844" s="52" t="s">
        <v>64</v>
      </c>
      <c r="C844" s="19">
        <v>0.371428571428571</v>
      </c>
      <c r="D844" s="246">
        <v>0.285714285714286</v>
      </c>
      <c r="E844" s="246">
        <v>0.222222222222222</v>
      </c>
      <c r="F844" s="246">
        <v>0.5</v>
      </c>
      <c r="G844" s="246">
        <v>0.142857142857143</v>
      </c>
      <c r="H844" s="246">
        <v>0.625</v>
      </c>
      <c r="I844" s="246">
        <v>0.2</v>
      </c>
      <c r="J844" s="246">
        <v>0.428571428571429</v>
      </c>
      <c r="K844" s="246">
        <v>0.285714285714286</v>
      </c>
      <c r="L844" s="246">
        <v>0.25</v>
      </c>
      <c r="M844" s="246">
        <v>1</v>
      </c>
      <c r="N844" s="246">
        <v>0.666666666666667</v>
      </c>
      <c r="O844" s="255">
        <v>0.411764705882353</v>
      </c>
    </row>
    <row r="845" spans="1:15">
      <c r="A845" s="247" t="s">
        <v>66</v>
      </c>
      <c r="B845" s="248" t="s">
        <v>55</v>
      </c>
      <c r="C845" s="12">
        <v>0.0650319829424307</v>
      </c>
      <c r="D845" s="249">
        <v>0.0655339805825243</v>
      </c>
      <c r="E845" s="249">
        <v>0.0209125475285171</v>
      </c>
      <c r="F845" s="249">
        <v>0.034375</v>
      </c>
      <c r="G845" s="249">
        <v>0.0330578512396694</v>
      </c>
      <c r="H845" s="249">
        <v>0.0566037735849057</v>
      </c>
      <c r="I845" s="249">
        <v>0.112994350282486</v>
      </c>
      <c r="J845" s="249">
        <v>0.12</v>
      </c>
      <c r="K845" s="249">
        <v>0.114093959731544</v>
      </c>
      <c r="L845" s="249">
        <v>0.089171974522293</v>
      </c>
      <c r="M845" s="249">
        <v>0.0789473684210526</v>
      </c>
      <c r="N845" s="249">
        <v>0.112582781456954</v>
      </c>
      <c r="O845" s="256">
        <v>0.0931372549019608</v>
      </c>
    </row>
    <row r="846" spans="1:15">
      <c r="A846" s="242" t="s">
        <v>66</v>
      </c>
      <c r="B846" s="43" t="s">
        <v>57</v>
      </c>
      <c r="C846" s="15">
        <v>2814</v>
      </c>
      <c r="D846" s="243">
        <v>412</v>
      </c>
      <c r="E846" s="243">
        <v>526</v>
      </c>
      <c r="F846" s="243">
        <v>320</v>
      </c>
      <c r="G846" s="243">
        <v>242</v>
      </c>
      <c r="H846" s="243">
        <v>212</v>
      </c>
      <c r="I846" s="243">
        <v>177</v>
      </c>
      <c r="J846" s="243">
        <v>150</v>
      </c>
      <c r="K846" s="243">
        <v>149</v>
      </c>
      <c r="L846" s="243">
        <v>157</v>
      </c>
      <c r="M846" s="243">
        <v>114</v>
      </c>
      <c r="N846" s="243">
        <v>151</v>
      </c>
      <c r="O846" s="253">
        <v>204</v>
      </c>
    </row>
    <row r="847" spans="1:15">
      <c r="A847" s="240" t="s">
        <v>66</v>
      </c>
      <c r="B847" s="47" t="s">
        <v>59</v>
      </c>
      <c r="C847" s="15">
        <v>183</v>
      </c>
      <c r="D847" s="243">
        <v>27</v>
      </c>
      <c r="E847" s="243">
        <v>11</v>
      </c>
      <c r="F847" s="243">
        <v>11</v>
      </c>
      <c r="G847" s="243">
        <v>8</v>
      </c>
      <c r="H847" s="243">
        <v>12</v>
      </c>
      <c r="I847" s="243">
        <v>20</v>
      </c>
      <c r="J847" s="243">
        <v>18</v>
      </c>
      <c r="K847" s="243">
        <v>17</v>
      </c>
      <c r="L847" s="243">
        <v>14</v>
      </c>
      <c r="M847" s="243">
        <v>9</v>
      </c>
      <c r="N847" s="243">
        <v>17</v>
      </c>
      <c r="O847" s="253">
        <v>19</v>
      </c>
    </row>
    <row r="848" spans="1:15">
      <c r="A848" s="242" t="s">
        <v>66</v>
      </c>
      <c r="B848" s="43" t="s">
        <v>4</v>
      </c>
      <c r="C848" s="15">
        <v>35</v>
      </c>
      <c r="D848" s="244">
        <v>9</v>
      </c>
      <c r="E848" s="244">
        <v>3</v>
      </c>
      <c r="F848" s="244">
        <v>4</v>
      </c>
      <c r="G848" s="244">
        <v>0</v>
      </c>
      <c r="H848" s="244">
        <v>3</v>
      </c>
      <c r="I848" s="244">
        <v>2</v>
      </c>
      <c r="J848" s="244">
        <v>1</v>
      </c>
      <c r="K848" s="244">
        <v>4</v>
      </c>
      <c r="L848" s="244">
        <v>2</v>
      </c>
      <c r="M848" s="244">
        <v>1</v>
      </c>
      <c r="N848" s="244">
        <v>2</v>
      </c>
      <c r="O848" s="254">
        <v>4</v>
      </c>
    </row>
    <row r="849" spans="1:15">
      <c r="A849" s="240" t="s">
        <v>66</v>
      </c>
      <c r="B849" s="47" t="s">
        <v>5</v>
      </c>
      <c r="C849" s="12">
        <v>0.191256830601093</v>
      </c>
      <c r="D849" s="241">
        <v>0.333333333333333</v>
      </c>
      <c r="E849" s="241">
        <v>0.272727272727273</v>
      </c>
      <c r="F849" s="241">
        <v>0.363636363636364</v>
      </c>
      <c r="G849" s="241">
        <v>0</v>
      </c>
      <c r="H849" s="241">
        <v>0.25</v>
      </c>
      <c r="I849" s="241">
        <v>0.1</v>
      </c>
      <c r="J849" s="241">
        <v>0.0555555555555556</v>
      </c>
      <c r="K849" s="241">
        <v>0.235294117647059</v>
      </c>
      <c r="L849" s="241">
        <v>0.142857142857143</v>
      </c>
      <c r="M849" s="241">
        <v>0.111111111111111</v>
      </c>
      <c r="N849" s="241">
        <v>0.117647058823529</v>
      </c>
      <c r="O849" s="252">
        <v>0.210526315789474</v>
      </c>
    </row>
    <row r="850" spans="1:15">
      <c r="A850" s="242" t="s">
        <v>66</v>
      </c>
      <c r="B850" s="43" t="s">
        <v>6</v>
      </c>
      <c r="C850" s="15">
        <v>12</v>
      </c>
      <c r="D850" s="244">
        <v>0</v>
      </c>
      <c r="E850" s="244">
        <v>2</v>
      </c>
      <c r="F850" s="244">
        <v>0</v>
      </c>
      <c r="G850" s="244">
        <v>0</v>
      </c>
      <c r="H850" s="244">
        <v>1</v>
      </c>
      <c r="I850" s="244">
        <v>2</v>
      </c>
      <c r="J850" s="244">
        <v>1</v>
      </c>
      <c r="K850" s="244">
        <v>2</v>
      </c>
      <c r="L850" s="244">
        <v>1</v>
      </c>
      <c r="M850" s="244">
        <v>0</v>
      </c>
      <c r="N850" s="244">
        <v>0</v>
      </c>
      <c r="O850" s="254">
        <v>3</v>
      </c>
    </row>
    <row r="851" ht="14.25" spans="1:15">
      <c r="A851" s="245" t="s">
        <v>66</v>
      </c>
      <c r="B851" s="52" t="s">
        <v>64</v>
      </c>
      <c r="C851" s="19">
        <v>0.342857142857143</v>
      </c>
      <c r="D851" s="246">
        <v>0</v>
      </c>
      <c r="E851" s="246">
        <v>0.666666666666667</v>
      </c>
      <c r="F851" s="246">
        <v>0</v>
      </c>
      <c r="G851" s="246">
        <v>0</v>
      </c>
      <c r="H851" s="246">
        <v>0.333333333333333</v>
      </c>
      <c r="I851" s="246">
        <v>1</v>
      </c>
      <c r="J851" s="246">
        <v>1</v>
      </c>
      <c r="K851" s="246">
        <v>0.5</v>
      </c>
      <c r="L851" s="246">
        <v>0.5</v>
      </c>
      <c r="M851" s="246">
        <v>0</v>
      </c>
      <c r="N851" s="246">
        <v>0</v>
      </c>
      <c r="O851" s="255">
        <v>0.75</v>
      </c>
    </row>
    <row r="852" spans="1:15">
      <c r="A852" s="240" t="s">
        <v>67</v>
      </c>
      <c r="B852" s="47" t="s">
        <v>55</v>
      </c>
      <c r="C852" s="12">
        <v>0.223611111111111</v>
      </c>
      <c r="D852" s="241">
        <v>0.234375</v>
      </c>
      <c r="E852" s="241">
        <v>0.192857142857143</v>
      </c>
      <c r="F852" s="241">
        <v>0.106060606060606</v>
      </c>
      <c r="G852" s="241">
        <v>0.148648648648649</v>
      </c>
      <c r="H852" s="241">
        <v>0.271929824561404</v>
      </c>
      <c r="I852" s="241">
        <v>0.32</v>
      </c>
      <c r="J852" s="241">
        <v>0.236842105263158</v>
      </c>
      <c r="K852" s="241">
        <v>0.193877551020408</v>
      </c>
      <c r="L852" s="241">
        <v>0.214285714285714</v>
      </c>
      <c r="M852" s="241">
        <v>0.266666666666667</v>
      </c>
      <c r="N852" s="241">
        <v>0.169354838709677</v>
      </c>
      <c r="O852" s="252">
        <v>0.266129032258065</v>
      </c>
    </row>
    <row r="853" spans="1:15">
      <c r="A853" s="242" t="s">
        <v>67</v>
      </c>
      <c r="B853" s="43" t="s">
        <v>57</v>
      </c>
      <c r="C853" s="15">
        <v>1440</v>
      </c>
      <c r="D853" s="243">
        <v>256</v>
      </c>
      <c r="E853" s="243">
        <v>140</v>
      </c>
      <c r="F853" s="243">
        <v>66</v>
      </c>
      <c r="G853" s="243">
        <v>74</v>
      </c>
      <c r="H853" s="243">
        <v>114</v>
      </c>
      <c r="I853" s="243">
        <v>100</v>
      </c>
      <c r="J853" s="243">
        <v>114</v>
      </c>
      <c r="K853" s="243">
        <v>98</v>
      </c>
      <c r="L853" s="243">
        <v>140</v>
      </c>
      <c r="M853" s="243">
        <v>90</v>
      </c>
      <c r="N853" s="243">
        <v>124</v>
      </c>
      <c r="O853" s="253">
        <v>124</v>
      </c>
    </row>
    <row r="854" spans="1:15">
      <c r="A854" s="240" t="s">
        <v>67</v>
      </c>
      <c r="B854" s="47" t="s">
        <v>59</v>
      </c>
      <c r="C854" s="15">
        <v>322</v>
      </c>
      <c r="D854" s="243">
        <v>60</v>
      </c>
      <c r="E854" s="243">
        <v>27</v>
      </c>
      <c r="F854" s="243">
        <v>7</v>
      </c>
      <c r="G854" s="243">
        <v>11</v>
      </c>
      <c r="H854" s="243">
        <v>31</v>
      </c>
      <c r="I854" s="243">
        <v>32</v>
      </c>
      <c r="J854" s="243">
        <v>27</v>
      </c>
      <c r="K854" s="243">
        <v>19</v>
      </c>
      <c r="L854" s="243">
        <v>30</v>
      </c>
      <c r="M854" s="243">
        <v>24</v>
      </c>
      <c r="N854" s="243">
        <v>21</v>
      </c>
      <c r="O854" s="253">
        <v>33</v>
      </c>
    </row>
    <row r="855" spans="1:15">
      <c r="A855" s="242" t="s">
        <v>67</v>
      </c>
      <c r="B855" s="43" t="s">
        <v>4</v>
      </c>
      <c r="C855" s="15">
        <v>39</v>
      </c>
      <c r="D855" s="244">
        <v>11</v>
      </c>
      <c r="E855" s="244">
        <v>9</v>
      </c>
      <c r="F855" s="244">
        <v>5</v>
      </c>
      <c r="G855" s="244">
        <v>2</v>
      </c>
      <c r="H855" s="244">
        <v>1</v>
      </c>
      <c r="I855" s="244">
        <v>2</v>
      </c>
      <c r="J855" s="244">
        <v>2</v>
      </c>
      <c r="K855" s="244">
        <v>0</v>
      </c>
      <c r="L855" s="244">
        <v>1</v>
      </c>
      <c r="M855" s="244">
        <v>1</v>
      </c>
      <c r="N855" s="244">
        <v>2</v>
      </c>
      <c r="O855" s="254">
        <v>3</v>
      </c>
    </row>
    <row r="856" spans="1:15">
      <c r="A856" s="240" t="s">
        <v>67</v>
      </c>
      <c r="B856" s="47" t="s">
        <v>5</v>
      </c>
      <c r="C856" s="12">
        <v>0.12111801242236</v>
      </c>
      <c r="D856" s="241">
        <v>0.183333333333333</v>
      </c>
      <c r="E856" s="241">
        <v>0.333333333333333</v>
      </c>
      <c r="F856" s="241">
        <v>0.714285714285714</v>
      </c>
      <c r="G856" s="241">
        <v>0.181818181818182</v>
      </c>
      <c r="H856" s="241">
        <v>0.032258064516129</v>
      </c>
      <c r="I856" s="241">
        <v>0.0625</v>
      </c>
      <c r="J856" s="241">
        <v>0.0740740740740741</v>
      </c>
      <c r="K856" s="241">
        <v>0</v>
      </c>
      <c r="L856" s="241">
        <v>0.0333333333333333</v>
      </c>
      <c r="M856" s="241">
        <v>0.0416666666666667</v>
      </c>
      <c r="N856" s="241">
        <v>0.0952380952380952</v>
      </c>
      <c r="O856" s="252">
        <v>0.0909090909090909</v>
      </c>
    </row>
    <row r="857" spans="1:15">
      <c r="A857" s="242" t="s">
        <v>67</v>
      </c>
      <c r="B857" s="43" t="s">
        <v>6</v>
      </c>
      <c r="C857" s="15">
        <v>14</v>
      </c>
      <c r="D857" s="244">
        <v>7</v>
      </c>
      <c r="E857" s="244">
        <v>3</v>
      </c>
      <c r="F857" s="244">
        <v>0</v>
      </c>
      <c r="G857" s="244">
        <v>0</v>
      </c>
      <c r="H857" s="244">
        <v>2</v>
      </c>
      <c r="I857" s="244">
        <v>1</v>
      </c>
      <c r="J857" s="244">
        <v>1</v>
      </c>
      <c r="K857" s="244">
        <v>0</v>
      </c>
      <c r="L857" s="244">
        <v>0</v>
      </c>
      <c r="M857" s="244">
        <v>0</v>
      </c>
      <c r="N857" s="244">
        <v>0</v>
      </c>
      <c r="O857" s="254">
        <v>0</v>
      </c>
    </row>
    <row r="858" ht="14.25" spans="1:15">
      <c r="A858" s="245" t="s">
        <v>67</v>
      </c>
      <c r="B858" s="52" t="s">
        <v>64</v>
      </c>
      <c r="C858" s="19">
        <v>0.358974358974359</v>
      </c>
      <c r="D858" s="246">
        <v>0.636363636363636</v>
      </c>
      <c r="E858" s="246">
        <v>0.333333333333333</v>
      </c>
      <c r="F858" s="246">
        <v>0</v>
      </c>
      <c r="G858" s="246">
        <v>0</v>
      </c>
      <c r="H858" s="246">
        <v>2</v>
      </c>
      <c r="I858" s="246">
        <v>0.5</v>
      </c>
      <c r="J858" s="246">
        <v>0.5</v>
      </c>
      <c r="K858" s="246">
        <v>0</v>
      </c>
      <c r="L858" s="246">
        <v>0</v>
      </c>
      <c r="M858" s="246">
        <v>0</v>
      </c>
      <c r="N858" s="246">
        <v>0</v>
      </c>
      <c r="O858" s="255">
        <v>0</v>
      </c>
    </row>
    <row r="859" spans="1:15">
      <c r="A859" s="240" t="s">
        <v>68</v>
      </c>
      <c r="B859" s="47" t="s">
        <v>55</v>
      </c>
      <c r="C859" s="12">
        <v>0.0379965457685665</v>
      </c>
      <c r="D859" s="241">
        <v>0.100282485875706</v>
      </c>
      <c r="E859" s="241">
        <v>0.107142857142857</v>
      </c>
      <c r="F859" s="241">
        <v>0.0912408759124088</v>
      </c>
      <c r="G859" s="241">
        <v>0.0328947368421053</v>
      </c>
      <c r="H859" s="241">
        <v>0.0631578947368421</v>
      </c>
      <c r="I859" s="241">
        <v>0.0504807692307692</v>
      </c>
      <c r="J859" s="241">
        <v>0.0299850074962519</v>
      </c>
      <c r="K859" s="241">
        <v>0.0242914979757085</v>
      </c>
      <c r="L859" s="241">
        <v>0.0304709141274238</v>
      </c>
      <c r="M859" s="241">
        <v>0.0185185185185185</v>
      </c>
      <c r="N859" s="241">
        <v>0.0244755244755245</v>
      </c>
      <c r="O859" s="252">
        <v>0.0322147651006711</v>
      </c>
    </row>
    <row r="860" spans="1:15">
      <c r="A860" s="242" t="s">
        <v>68</v>
      </c>
      <c r="B860" s="43" t="s">
        <v>57</v>
      </c>
      <c r="C860" s="15">
        <v>12738</v>
      </c>
      <c r="D860" s="243">
        <v>708</v>
      </c>
      <c r="E860" s="243">
        <v>336</v>
      </c>
      <c r="F860" s="243">
        <v>274</v>
      </c>
      <c r="G860" s="243">
        <v>456</v>
      </c>
      <c r="H860" s="243">
        <v>760</v>
      </c>
      <c r="I860" s="243">
        <v>832</v>
      </c>
      <c r="J860" s="243">
        <v>1334</v>
      </c>
      <c r="K860" s="243">
        <v>1482</v>
      </c>
      <c r="L860" s="243">
        <v>1444</v>
      </c>
      <c r="M860" s="243">
        <v>1620</v>
      </c>
      <c r="N860" s="243">
        <v>2002</v>
      </c>
      <c r="O860" s="253">
        <v>1490</v>
      </c>
    </row>
    <row r="861" spans="1:15">
      <c r="A861" s="240" t="s">
        <v>68</v>
      </c>
      <c r="B861" s="47" t="s">
        <v>59</v>
      </c>
      <c r="C861" s="15">
        <v>484</v>
      </c>
      <c r="D861" s="243">
        <v>71</v>
      </c>
      <c r="E861" s="243">
        <v>36</v>
      </c>
      <c r="F861" s="243">
        <v>25</v>
      </c>
      <c r="G861" s="243">
        <v>15</v>
      </c>
      <c r="H861" s="243">
        <v>48</v>
      </c>
      <c r="I861" s="243">
        <v>42</v>
      </c>
      <c r="J861" s="243">
        <v>40</v>
      </c>
      <c r="K861" s="243">
        <v>36</v>
      </c>
      <c r="L861" s="243">
        <v>44</v>
      </c>
      <c r="M861" s="243">
        <v>30</v>
      </c>
      <c r="N861" s="243">
        <v>49</v>
      </c>
      <c r="O861" s="253">
        <v>48</v>
      </c>
    </row>
    <row r="862" spans="1:15">
      <c r="A862" s="242" t="s">
        <v>68</v>
      </c>
      <c r="B862" s="43" t="s">
        <v>4</v>
      </c>
      <c r="C862" s="15">
        <v>54</v>
      </c>
      <c r="D862" s="244">
        <v>5</v>
      </c>
      <c r="E862" s="244">
        <v>4</v>
      </c>
      <c r="F862" s="244">
        <v>0</v>
      </c>
      <c r="G862" s="244">
        <v>0</v>
      </c>
      <c r="H862" s="244">
        <v>1</v>
      </c>
      <c r="I862" s="244">
        <v>4</v>
      </c>
      <c r="J862" s="244">
        <v>4</v>
      </c>
      <c r="K862" s="244">
        <v>6</v>
      </c>
      <c r="L862" s="244">
        <v>7</v>
      </c>
      <c r="M862" s="244">
        <v>6</v>
      </c>
      <c r="N862" s="244">
        <v>8</v>
      </c>
      <c r="O862" s="254">
        <v>9</v>
      </c>
    </row>
    <row r="863" spans="1:15">
      <c r="A863" s="240" t="s">
        <v>68</v>
      </c>
      <c r="B863" s="47" t="s">
        <v>5</v>
      </c>
      <c r="C863" s="12">
        <v>0.111570247933884</v>
      </c>
      <c r="D863" s="241">
        <v>0.0704225352112676</v>
      </c>
      <c r="E863" s="241">
        <v>0.111111111111111</v>
      </c>
      <c r="F863" s="241">
        <v>0</v>
      </c>
      <c r="G863" s="241">
        <v>0</v>
      </c>
      <c r="H863" s="241">
        <v>0.0208333333333333</v>
      </c>
      <c r="I863" s="241">
        <v>0.0952380952380952</v>
      </c>
      <c r="J863" s="241">
        <v>0.1</v>
      </c>
      <c r="K863" s="241">
        <v>0.166666666666667</v>
      </c>
      <c r="L863" s="241">
        <v>0.159090909090909</v>
      </c>
      <c r="M863" s="241">
        <v>0.2</v>
      </c>
      <c r="N863" s="241">
        <v>0.163265306122449</v>
      </c>
      <c r="O863" s="252">
        <v>0.1875</v>
      </c>
    </row>
    <row r="864" spans="1:15">
      <c r="A864" s="242" t="s">
        <v>68</v>
      </c>
      <c r="B864" s="43" t="s">
        <v>6</v>
      </c>
      <c r="C864" s="15">
        <v>25</v>
      </c>
      <c r="D864" s="244">
        <v>3</v>
      </c>
      <c r="E864" s="244">
        <v>1</v>
      </c>
      <c r="F864" s="244">
        <v>0</v>
      </c>
      <c r="G864" s="244">
        <v>0</v>
      </c>
      <c r="H864" s="244">
        <v>2</v>
      </c>
      <c r="I864" s="244">
        <v>1</v>
      </c>
      <c r="J864" s="244">
        <v>4</v>
      </c>
      <c r="K864" s="244">
        <v>2</v>
      </c>
      <c r="L864" s="244">
        <v>2</v>
      </c>
      <c r="M864" s="244">
        <v>4</v>
      </c>
      <c r="N864" s="244">
        <v>1</v>
      </c>
      <c r="O864" s="254">
        <v>5</v>
      </c>
    </row>
    <row r="865" ht="14.25" spans="1:15">
      <c r="A865" s="245" t="s">
        <v>68</v>
      </c>
      <c r="B865" s="52" t="s">
        <v>64</v>
      </c>
      <c r="C865" s="19">
        <v>0.462962962962963</v>
      </c>
      <c r="D865" s="246">
        <v>0.6</v>
      </c>
      <c r="E865" s="246">
        <v>0.25</v>
      </c>
      <c r="F865" s="246">
        <v>0</v>
      </c>
      <c r="G865" s="246">
        <v>0</v>
      </c>
      <c r="H865" s="246">
        <v>2</v>
      </c>
      <c r="I865" s="246">
        <v>0.25</v>
      </c>
      <c r="J865" s="246">
        <v>1</v>
      </c>
      <c r="K865" s="246">
        <v>0.333333333333333</v>
      </c>
      <c r="L865" s="246">
        <v>0.285714285714286</v>
      </c>
      <c r="M865" s="246">
        <v>0.666666666666667</v>
      </c>
      <c r="N865" s="246">
        <v>0.125</v>
      </c>
      <c r="O865" s="255">
        <v>0.555555555555556</v>
      </c>
    </row>
    <row r="866" spans="1:15">
      <c r="A866" s="240" t="s">
        <v>69</v>
      </c>
      <c r="B866" s="47" t="s">
        <v>55</v>
      </c>
      <c r="C866" s="12">
        <v>1.10831721470019</v>
      </c>
      <c r="D866" s="241">
        <v>1.375</v>
      </c>
      <c r="E866" s="241">
        <v>1.10714285714286</v>
      </c>
      <c r="F866" s="241">
        <v>1.66666666666667</v>
      </c>
      <c r="G866" s="241">
        <v>1.11538461538462</v>
      </c>
      <c r="H866" s="241">
        <v>1.28205128205128</v>
      </c>
      <c r="I866" s="241">
        <v>1.05882352941176</v>
      </c>
      <c r="J866" s="241">
        <v>1</v>
      </c>
      <c r="K866" s="241">
        <v>1.08333333333333</v>
      </c>
      <c r="L866" s="241">
        <v>0.896551724137931</v>
      </c>
      <c r="M866" s="241">
        <v>1.02173913043478</v>
      </c>
      <c r="N866" s="241">
        <v>1.078125</v>
      </c>
      <c r="O866" s="252">
        <v>1.125</v>
      </c>
    </row>
    <row r="867" spans="1:15">
      <c r="A867" s="242" t="s">
        <v>69</v>
      </c>
      <c r="B867" s="43" t="s">
        <v>57</v>
      </c>
      <c r="C867" s="15">
        <v>517</v>
      </c>
      <c r="D867" s="243">
        <v>48</v>
      </c>
      <c r="E867" s="243">
        <v>28</v>
      </c>
      <c r="F867" s="243">
        <v>12</v>
      </c>
      <c r="G867" s="243">
        <v>26</v>
      </c>
      <c r="H867" s="243">
        <v>39</v>
      </c>
      <c r="I867" s="243">
        <v>51</v>
      </c>
      <c r="J867" s="243">
        <v>49</v>
      </c>
      <c r="K867" s="243">
        <v>48</v>
      </c>
      <c r="L867" s="243">
        <v>58</v>
      </c>
      <c r="M867" s="243">
        <v>46</v>
      </c>
      <c r="N867" s="243">
        <v>64</v>
      </c>
      <c r="O867" s="253">
        <v>48</v>
      </c>
    </row>
    <row r="868" spans="1:15">
      <c r="A868" s="240" t="s">
        <v>69</v>
      </c>
      <c r="B868" s="47" t="s">
        <v>59</v>
      </c>
      <c r="C868" s="15">
        <v>573</v>
      </c>
      <c r="D868" s="243">
        <v>66</v>
      </c>
      <c r="E868" s="243">
        <v>31</v>
      </c>
      <c r="F868" s="243">
        <v>20</v>
      </c>
      <c r="G868" s="243">
        <v>29</v>
      </c>
      <c r="H868" s="243">
        <v>50</v>
      </c>
      <c r="I868" s="243">
        <v>54</v>
      </c>
      <c r="J868" s="243">
        <v>49</v>
      </c>
      <c r="K868" s="243">
        <v>52</v>
      </c>
      <c r="L868" s="243">
        <v>52</v>
      </c>
      <c r="M868" s="243">
        <v>47</v>
      </c>
      <c r="N868" s="243">
        <v>69</v>
      </c>
      <c r="O868" s="253">
        <v>54</v>
      </c>
    </row>
    <row r="869" spans="1:15">
      <c r="A869" s="242" t="s">
        <v>69</v>
      </c>
      <c r="B869" s="43" t="s">
        <v>4</v>
      </c>
      <c r="C869" s="15">
        <v>23</v>
      </c>
      <c r="D869" s="244">
        <v>4</v>
      </c>
      <c r="E869" s="244">
        <v>0</v>
      </c>
      <c r="F869" s="244">
        <v>0</v>
      </c>
      <c r="G869" s="244">
        <v>0</v>
      </c>
      <c r="H869" s="244">
        <v>1</v>
      </c>
      <c r="I869" s="244">
        <v>3</v>
      </c>
      <c r="J869" s="244">
        <v>1</v>
      </c>
      <c r="K869" s="244">
        <v>2</v>
      </c>
      <c r="L869" s="244">
        <v>5</v>
      </c>
      <c r="M869" s="244">
        <v>1</v>
      </c>
      <c r="N869" s="244">
        <v>5</v>
      </c>
      <c r="O869" s="254">
        <v>1</v>
      </c>
    </row>
    <row r="870" spans="1:15">
      <c r="A870" s="240" t="s">
        <v>69</v>
      </c>
      <c r="B870" s="47" t="s">
        <v>5</v>
      </c>
      <c r="C870" s="12">
        <v>0.0401396160558464</v>
      </c>
      <c r="D870" s="241">
        <v>0.0606060606060606</v>
      </c>
      <c r="E870" s="241">
        <v>0</v>
      </c>
      <c r="F870" s="241">
        <v>0</v>
      </c>
      <c r="G870" s="241">
        <v>0</v>
      </c>
      <c r="H870" s="241">
        <v>0.02</v>
      </c>
      <c r="I870" s="241">
        <v>0.0555555555555556</v>
      </c>
      <c r="J870" s="241">
        <v>0.0204081632653061</v>
      </c>
      <c r="K870" s="241">
        <v>0.0384615384615385</v>
      </c>
      <c r="L870" s="241">
        <v>0.0961538461538462</v>
      </c>
      <c r="M870" s="241">
        <v>0.0212765957446809</v>
      </c>
      <c r="N870" s="241">
        <v>0.072463768115942</v>
      </c>
      <c r="O870" s="252">
        <v>0.0185185185185185</v>
      </c>
    </row>
    <row r="871" spans="1:15">
      <c r="A871" s="242" t="s">
        <v>69</v>
      </c>
      <c r="B871" s="43" t="s">
        <v>6</v>
      </c>
      <c r="C871" s="15">
        <v>6</v>
      </c>
      <c r="D871" s="244">
        <v>1</v>
      </c>
      <c r="E871" s="244">
        <v>0</v>
      </c>
      <c r="F871" s="244">
        <v>0</v>
      </c>
      <c r="G871" s="244">
        <v>0</v>
      </c>
      <c r="H871" s="244">
        <v>0</v>
      </c>
      <c r="I871" s="244">
        <v>0</v>
      </c>
      <c r="J871" s="244">
        <v>0</v>
      </c>
      <c r="K871" s="244">
        <v>1</v>
      </c>
      <c r="L871" s="244">
        <v>1</v>
      </c>
      <c r="M871" s="244">
        <v>2</v>
      </c>
      <c r="N871" s="244">
        <v>1</v>
      </c>
      <c r="O871" s="254">
        <v>0</v>
      </c>
    </row>
    <row r="872" ht="14.25" spans="1:15">
      <c r="A872" s="245" t="s">
        <v>69</v>
      </c>
      <c r="B872" s="52" t="s">
        <v>64</v>
      </c>
      <c r="C872" s="19">
        <v>0.260869565217391</v>
      </c>
      <c r="D872" s="246">
        <v>0.25</v>
      </c>
      <c r="E872" s="246">
        <v>0</v>
      </c>
      <c r="F872" s="246">
        <v>0</v>
      </c>
      <c r="G872" s="246">
        <v>0</v>
      </c>
      <c r="H872" s="246">
        <v>0</v>
      </c>
      <c r="I872" s="246">
        <v>0</v>
      </c>
      <c r="J872" s="246">
        <v>0</v>
      </c>
      <c r="K872" s="246">
        <v>0.5</v>
      </c>
      <c r="L872" s="246">
        <v>0.2</v>
      </c>
      <c r="M872" s="246">
        <v>2</v>
      </c>
      <c r="N872" s="246">
        <v>0.2</v>
      </c>
      <c r="O872" s="255">
        <v>0</v>
      </c>
    </row>
    <row r="873" spans="1:15">
      <c r="A873" s="240" t="s">
        <v>70</v>
      </c>
      <c r="B873" s="47" t="s">
        <v>55</v>
      </c>
      <c r="C873" s="12">
        <v>0.648760330578512</v>
      </c>
      <c r="D873" s="241">
        <v>0.764705882352941</v>
      </c>
      <c r="E873" s="241">
        <v>0.928571428571429</v>
      </c>
      <c r="F873" s="241">
        <v>0.916666666666667</v>
      </c>
      <c r="G873" s="241">
        <v>0.727272727272727</v>
      </c>
      <c r="H873" s="241">
        <v>0.709090909090909</v>
      </c>
      <c r="I873" s="241">
        <v>0.55</v>
      </c>
      <c r="J873" s="241">
        <v>0.65</v>
      </c>
      <c r="K873" s="241">
        <v>0.433962264150943</v>
      </c>
      <c r="L873" s="241">
        <v>0.5</v>
      </c>
      <c r="M873" s="241">
        <v>0.461538461538462</v>
      </c>
      <c r="N873" s="241">
        <v>0.583333333333333</v>
      </c>
      <c r="O873" s="252">
        <v>0.887096774193548</v>
      </c>
    </row>
    <row r="874" spans="1:15">
      <c r="A874" s="242" t="s">
        <v>70</v>
      </c>
      <c r="B874" s="43" t="s">
        <v>57</v>
      </c>
      <c r="C874" s="15">
        <v>484</v>
      </c>
      <c r="D874" s="243">
        <v>51</v>
      </c>
      <c r="E874" s="243">
        <v>14</v>
      </c>
      <c r="F874" s="243">
        <v>12</v>
      </c>
      <c r="G874" s="243">
        <v>22</v>
      </c>
      <c r="H874" s="243">
        <v>55</v>
      </c>
      <c r="I874" s="243">
        <v>40</v>
      </c>
      <c r="J874" s="243">
        <v>40</v>
      </c>
      <c r="K874" s="243">
        <v>53</v>
      </c>
      <c r="L874" s="243">
        <v>48</v>
      </c>
      <c r="M874" s="243">
        <v>39</v>
      </c>
      <c r="N874" s="243">
        <v>48</v>
      </c>
      <c r="O874" s="253">
        <v>62</v>
      </c>
    </row>
    <row r="875" spans="1:15">
      <c r="A875" s="240" t="s">
        <v>70</v>
      </c>
      <c r="B875" s="47" t="s">
        <v>59</v>
      </c>
      <c r="C875" s="15">
        <v>314</v>
      </c>
      <c r="D875" s="243">
        <v>39</v>
      </c>
      <c r="E875" s="243">
        <v>13</v>
      </c>
      <c r="F875" s="243">
        <v>11</v>
      </c>
      <c r="G875" s="243">
        <v>16</v>
      </c>
      <c r="H875" s="243">
        <v>39</v>
      </c>
      <c r="I875" s="243">
        <v>22</v>
      </c>
      <c r="J875" s="243">
        <v>26</v>
      </c>
      <c r="K875" s="243">
        <v>23</v>
      </c>
      <c r="L875" s="243">
        <v>24</v>
      </c>
      <c r="M875" s="243">
        <v>18</v>
      </c>
      <c r="N875" s="243">
        <v>28</v>
      </c>
      <c r="O875" s="253">
        <v>55</v>
      </c>
    </row>
    <row r="876" spans="1:15">
      <c r="A876" s="242" t="s">
        <v>70</v>
      </c>
      <c r="B876" s="43" t="s">
        <v>4</v>
      </c>
      <c r="C876" s="15">
        <v>3</v>
      </c>
      <c r="D876" s="244">
        <v>0</v>
      </c>
      <c r="E876" s="244">
        <v>0</v>
      </c>
      <c r="F876" s="244">
        <v>0</v>
      </c>
      <c r="G876" s="244">
        <v>0</v>
      </c>
      <c r="H876" s="244">
        <v>0</v>
      </c>
      <c r="I876" s="244">
        <v>1</v>
      </c>
      <c r="J876" s="244">
        <v>1</v>
      </c>
      <c r="K876" s="244">
        <v>1</v>
      </c>
      <c r="L876" s="244">
        <v>0</v>
      </c>
      <c r="M876" s="244">
        <v>0</v>
      </c>
      <c r="N876" s="244">
        <v>0</v>
      </c>
      <c r="O876" s="254">
        <v>0</v>
      </c>
    </row>
    <row r="877" spans="1:15">
      <c r="A877" s="240" t="s">
        <v>70</v>
      </c>
      <c r="B877" s="47" t="s">
        <v>5</v>
      </c>
      <c r="C877" s="12">
        <v>0.00955414012738853</v>
      </c>
      <c r="D877" s="241">
        <v>0</v>
      </c>
      <c r="E877" s="241">
        <v>0</v>
      </c>
      <c r="F877" s="241">
        <v>0</v>
      </c>
      <c r="G877" s="241">
        <v>0</v>
      </c>
      <c r="H877" s="241">
        <v>0</v>
      </c>
      <c r="I877" s="241">
        <v>0.0454545454545455</v>
      </c>
      <c r="J877" s="241">
        <v>0.0384615384615385</v>
      </c>
      <c r="K877" s="241">
        <v>0.0434782608695652</v>
      </c>
      <c r="L877" s="241">
        <v>0</v>
      </c>
      <c r="M877" s="241">
        <v>0</v>
      </c>
      <c r="N877" s="241">
        <v>0</v>
      </c>
      <c r="O877" s="252">
        <v>0</v>
      </c>
    </row>
    <row r="878" spans="1:15">
      <c r="A878" s="242" t="s">
        <v>70</v>
      </c>
      <c r="B878" s="43" t="s">
        <v>6</v>
      </c>
      <c r="C878" s="15">
        <v>4</v>
      </c>
      <c r="D878" s="244">
        <v>0</v>
      </c>
      <c r="E878" s="244">
        <v>0</v>
      </c>
      <c r="F878" s="244">
        <v>0</v>
      </c>
      <c r="G878" s="244">
        <v>0</v>
      </c>
      <c r="H878" s="244">
        <v>0</v>
      </c>
      <c r="I878" s="244">
        <v>1</v>
      </c>
      <c r="J878" s="244">
        <v>1</v>
      </c>
      <c r="K878" s="244">
        <v>1</v>
      </c>
      <c r="L878" s="244">
        <v>1</v>
      </c>
      <c r="M878" s="244">
        <v>0</v>
      </c>
      <c r="N878" s="244">
        <v>0</v>
      </c>
      <c r="O878" s="254">
        <v>0</v>
      </c>
    </row>
    <row r="879" ht="14.25" spans="1:15">
      <c r="A879" s="245" t="s">
        <v>70</v>
      </c>
      <c r="B879" s="52" t="s">
        <v>64</v>
      </c>
      <c r="C879" s="19">
        <v>1.33333333333333</v>
      </c>
      <c r="D879" s="246">
        <v>0</v>
      </c>
      <c r="E879" s="246">
        <v>0</v>
      </c>
      <c r="F879" s="246">
        <v>0</v>
      </c>
      <c r="G879" s="246">
        <v>0</v>
      </c>
      <c r="H879" s="246">
        <v>0</v>
      </c>
      <c r="I879" s="246">
        <v>1</v>
      </c>
      <c r="J879" s="246">
        <v>1</v>
      </c>
      <c r="K879" s="246">
        <v>1</v>
      </c>
      <c r="L879" s="246">
        <v>0</v>
      </c>
      <c r="M879" s="246">
        <v>0</v>
      </c>
      <c r="N879" s="246">
        <v>0</v>
      </c>
      <c r="O879" s="255">
        <v>0</v>
      </c>
    </row>
    <row r="880" spans="1:15">
      <c r="A880" s="240" t="s">
        <v>26</v>
      </c>
      <c r="B880" s="47" t="s">
        <v>55</v>
      </c>
      <c r="C880" s="12">
        <v>0.4713400464756</v>
      </c>
      <c r="D880" s="241">
        <v>0.5</v>
      </c>
      <c r="E880" s="241">
        <v>0.504761904761905</v>
      </c>
      <c r="F880" s="241">
        <v>0.415254237288136</v>
      </c>
      <c r="G880" s="241">
        <v>0.59375</v>
      </c>
      <c r="H880" s="241">
        <v>0.481818181818182</v>
      </c>
      <c r="I880" s="241">
        <v>0.467032967032967</v>
      </c>
      <c r="J880" s="241">
        <v>0.476415094339623</v>
      </c>
      <c r="K880" s="241">
        <v>0.468468468468468</v>
      </c>
      <c r="L880" s="241">
        <v>0.453125</v>
      </c>
      <c r="M880" s="241">
        <v>0.470338983050847</v>
      </c>
      <c r="N880" s="241">
        <v>0.443661971830986</v>
      </c>
      <c r="O880" s="252">
        <v>0.41869918699187</v>
      </c>
    </row>
    <row r="881" spans="1:15">
      <c r="A881" s="242" t="s">
        <v>26</v>
      </c>
      <c r="B881" s="43" t="s">
        <v>57</v>
      </c>
      <c r="C881" s="15">
        <v>2582</v>
      </c>
      <c r="D881" s="243">
        <v>364</v>
      </c>
      <c r="E881" s="243">
        <v>210</v>
      </c>
      <c r="F881" s="243">
        <v>118</v>
      </c>
      <c r="G881" s="243">
        <v>96</v>
      </c>
      <c r="H881" s="243">
        <v>220</v>
      </c>
      <c r="I881" s="243">
        <v>182</v>
      </c>
      <c r="J881" s="243">
        <v>212</v>
      </c>
      <c r="K881" s="243">
        <v>222</v>
      </c>
      <c r="L881" s="243">
        <v>192</v>
      </c>
      <c r="M881" s="243">
        <v>236</v>
      </c>
      <c r="N881" s="243">
        <v>284</v>
      </c>
      <c r="O881" s="253">
        <v>246</v>
      </c>
    </row>
    <row r="882" spans="1:15">
      <c r="A882" s="240" t="s">
        <v>26</v>
      </c>
      <c r="B882" s="47" t="s">
        <v>59</v>
      </c>
      <c r="C882" s="15">
        <v>1217</v>
      </c>
      <c r="D882" s="243">
        <v>182</v>
      </c>
      <c r="E882" s="243">
        <v>106</v>
      </c>
      <c r="F882" s="243">
        <v>49</v>
      </c>
      <c r="G882" s="243">
        <v>57</v>
      </c>
      <c r="H882" s="243">
        <v>106</v>
      </c>
      <c r="I882" s="243">
        <v>85</v>
      </c>
      <c r="J882" s="243">
        <v>101</v>
      </c>
      <c r="K882" s="243">
        <v>104</v>
      </c>
      <c r="L882" s="243">
        <v>87</v>
      </c>
      <c r="M882" s="243">
        <v>111</v>
      </c>
      <c r="N882" s="243">
        <v>126</v>
      </c>
      <c r="O882" s="253">
        <v>103</v>
      </c>
    </row>
    <row r="883" spans="1:15">
      <c r="A883" s="242" t="s">
        <v>26</v>
      </c>
      <c r="B883" s="43" t="s">
        <v>4</v>
      </c>
      <c r="C883" s="15">
        <v>38</v>
      </c>
      <c r="D883" s="244">
        <v>8</v>
      </c>
      <c r="E883" s="244">
        <v>6</v>
      </c>
      <c r="F883" s="244">
        <v>0</v>
      </c>
      <c r="G883" s="244">
        <v>1</v>
      </c>
      <c r="H883" s="244">
        <v>3</v>
      </c>
      <c r="I883" s="244">
        <v>5</v>
      </c>
      <c r="J883" s="244">
        <v>4</v>
      </c>
      <c r="K883" s="244">
        <v>5</v>
      </c>
      <c r="L883" s="244">
        <v>1</v>
      </c>
      <c r="M883" s="244">
        <v>2</v>
      </c>
      <c r="N883" s="244">
        <v>1</v>
      </c>
      <c r="O883" s="254">
        <v>2</v>
      </c>
    </row>
    <row r="884" spans="1:15">
      <c r="A884" s="240" t="s">
        <v>26</v>
      </c>
      <c r="B884" s="47" t="s">
        <v>5</v>
      </c>
      <c r="C884" s="12">
        <v>0.0312243221035333</v>
      </c>
      <c r="D884" s="241">
        <v>0.043956043956044</v>
      </c>
      <c r="E884" s="241">
        <v>0.0566037735849057</v>
      </c>
      <c r="F884" s="241">
        <v>0</v>
      </c>
      <c r="G884" s="241">
        <v>0.0175438596491228</v>
      </c>
      <c r="H884" s="241">
        <v>0.0283018867924528</v>
      </c>
      <c r="I884" s="241">
        <v>0.0588235294117647</v>
      </c>
      <c r="J884" s="241">
        <v>0.0396039603960396</v>
      </c>
      <c r="K884" s="241">
        <v>0.0480769230769231</v>
      </c>
      <c r="L884" s="241">
        <v>0.0114942528735632</v>
      </c>
      <c r="M884" s="241">
        <v>0.018018018018018</v>
      </c>
      <c r="N884" s="241">
        <v>0.00793650793650794</v>
      </c>
      <c r="O884" s="252">
        <v>0.0194174757281553</v>
      </c>
    </row>
    <row r="885" spans="1:15">
      <c r="A885" s="242" t="s">
        <v>26</v>
      </c>
      <c r="B885" s="43" t="s">
        <v>6</v>
      </c>
      <c r="C885" s="15">
        <v>10</v>
      </c>
      <c r="D885" s="244">
        <v>1</v>
      </c>
      <c r="E885" s="244">
        <v>1</v>
      </c>
      <c r="F885" s="244">
        <v>0</v>
      </c>
      <c r="G885" s="244">
        <v>1</v>
      </c>
      <c r="H885" s="244">
        <v>1</v>
      </c>
      <c r="I885" s="244">
        <v>1</v>
      </c>
      <c r="J885" s="244">
        <v>0</v>
      </c>
      <c r="K885" s="244">
        <v>1</v>
      </c>
      <c r="L885" s="244">
        <v>2</v>
      </c>
      <c r="M885" s="244">
        <v>0</v>
      </c>
      <c r="N885" s="244">
        <v>0</v>
      </c>
      <c r="O885" s="254">
        <v>2</v>
      </c>
    </row>
    <row r="886" ht="14.25" spans="1:15">
      <c r="A886" s="245" t="s">
        <v>26</v>
      </c>
      <c r="B886" s="52" t="s">
        <v>64</v>
      </c>
      <c r="C886" s="19">
        <v>0.263157894736842</v>
      </c>
      <c r="D886" s="250">
        <v>1</v>
      </c>
      <c r="E886" s="250">
        <v>1</v>
      </c>
      <c r="F886" s="250">
        <v>0</v>
      </c>
      <c r="G886" s="250">
        <v>1</v>
      </c>
      <c r="H886" s="250">
        <v>1</v>
      </c>
      <c r="I886" s="250">
        <v>1</v>
      </c>
      <c r="J886" s="250">
        <v>0</v>
      </c>
      <c r="K886" s="250">
        <v>1</v>
      </c>
      <c r="L886" s="250">
        <v>2</v>
      </c>
      <c r="M886" s="250">
        <v>0</v>
      </c>
      <c r="N886" s="250">
        <v>0</v>
      </c>
      <c r="O886" s="257">
        <v>2</v>
      </c>
    </row>
    <row r="887" spans="1:15">
      <c r="A887" s="240" t="s">
        <v>71</v>
      </c>
      <c r="B887" s="47" t="s">
        <v>55</v>
      </c>
      <c r="C887" s="12">
        <v>0.00716332378223496</v>
      </c>
      <c r="D887" s="241">
        <v>0</v>
      </c>
      <c r="E887" s="241">
        <v>0</v>
      </c>
      <c r="F887" s="241">
        <v>0.0625</v>
      </c>
      <c r="G887" s="241">
        <v>0</v>
      </c>
      <c r="H887" s="241">
        <v>0.0153846153846154</v>
      </c>
      <c r="I887" s="241">
        <v>0</v>
      </c>
      <c r="J887" s="241">
        <v>0</v>
      </c>
      <c r="K887" s="241">
        <v>0</v>
      </c>
      <c r="L887" s="241">
        <v>0.0163934426229508</v>
      </c>
      <c r="M887" s="241">
        <v>0</v>
      </c>
      <c r="N887" s="241">
        <v>0.0131578947368421</v>
      </c>
      <c r="O887" s="252">
        <v>0.0113636363636364</v>
      </c>
    </row>
    <row r="888" spans="1:15">
      <c r="A888" s="242" t="s">
        <v>71</v>
      </c>
      <c r="B888" s="43" t="s">
        <v>57</v>
      </c>
      <c r="C888" s="15">
        <v>698</v>
      </c>
      <c r="D888" s="243">
        <v>106</v>
      </c>
      <c r="E888" s="243">
        <v>44</v>
      </c>
      <c r="F888" s="243">
        <v>16</v>
      </c>
      <c r="G888" s="243">
        <v>52</v>
      </c>
      <c r="H888" s="243">
        <v>65</v>
      </c>
      <c r="I888" s="243">
        <v>46</v>
      </c>
      <c r="J888" s="243">
        <v>28</v>
      </c>
      <c r="K888" s="243">
        <v>51</v>
      </c>
      <c r="L888" s="243">
        <v>61</v>
      </c>
      <c r="M888" s="243">
        <v>65</v>
      </c>
      <c r="N888" s="243">
        <v>76</v>
      </c>
      <c r="O888" s="253">
        <v>88</v>
      </c>
    </row>
    <row r="889" spans="1:15">
      <c r="A889" s="240" t="s">
        <v>71</v>
      </c>
      <c r="B889" s="47" t="s">
        <v>59</v>
      </c>
      <c r="C889" s="15">
        <v>5</v>
      </c>
      <c r="D889" s="243">
        <v>0</v>
      </c>
      <c r="E889" s="243">
        <v>0</v>
      </c>
      <c r="F889" s="243">
        <v>1</v>
      </c>
      <c r="G889" s="243">
        <v>0</v>
      </c>
      <c r="H889" s="243">
        <v>1</v>
      </c>
      <c r="I889" s="243">
        <v>0</v>
      </c>
      <c r="J889" s="243">
        <v>0</v>
      </c>
      <c r="K889" s="243">
        <v>0</v>
      </c>
      <c r="L889" s="243">
        <v>1</v>
      </c>
      <c r="M889" s="243">
        <v>0</v>
      </c>
      <c r="N889" s="243">
        <v>1</v>
      </c>
      <c r="O889" s="253">
        <v>1</v>
      </c>
    </row>
    <row r="890" spans="1:15">
      <c r="A890" s="242" t="s">
        <v>71</v>
      </c>
      <c r="B890" s="43" t="s">
        <v>4</v>
      </c>
      <c r="C890" s="15">
        <v>30</v>
      </c>
      <c r="D890" s="244">
        <v>10</v>
      </c>
      <c r="E890" s="244">
        <v>4</v>
      </c>
      <c r="F890" s="244">
        <v>2</v>
      </c>
      <c r="G890" s="244">
        <v>0</v>
      </c>
      <c r="H890" s="244">
        <v>3</v>
      </c>
      <c r="I890" s="244">
        <v>1</v>
      </c>
      <c r="J890" s="244">
        <v>2</v>
      </c>
      <c r="K890" s="244">
        <v>1</v>
      </c>
      <c r="L890" s="244">
        <v>1</v>
      </c>
      <c r="M890" s="244">
        <v>0</v>
      </c>
      <c r="N890" s="244">
        <v>4</v>
      </c>
      <c r="O890" s="254">
        <v>2</v>
      </c>
    </row>
    <row r="891" spans="1:15">
      <c r="A891" s="240" t="s">
        <v>71</v>
      </c>
      <c r="B891" s="47" t="s">
        <v>5</v>
      </c>
      <c r="C891" s="12">
        <v>6</v>
      </c>
      <c r="D891" s="241">
        <v>0</v>
      </c>
      <c r="E891" s="241">
        <v>0</v>
      </c>
      <c r="F891" s="241">
        <v>2</v>
      </c>
      <c r="G891" s="241">
        <v>0</v>
      </c>
      <c r="H891" s="241">
        <v>3</v>
      </c>
      <c r="I891" s="241">
        <v>0</v>
      </c>
      <c r="J891" s="241">
        <v>0</v>
      </c>
      <c r="K891" s="241">
        <v>0</v>
      </c>
      <c r="L891" s="241">
        <v>1</v>
      </c>
      <c r="M891" s="241">
        <v>0</v>
      </c>
      <c r="N891" s="241">
        <v>4</v>
      </c>
      <c r="O891" s="252">
        <v>2</v>
      </c>
    </row>
    <row r="892" spans="1:15">
      <c r="A892" s="242" t="s">
        <v>71</v>
      </c>
      <c r="B892" s="43" t="s">
        <v>6</v>
      </c>
      <c r="C892" s="15">
        <v>9</v>
      </c>
      <c r="D892" s="244">
        <v>1</v>
      </c>
      <c r="E892" s="244">
        <v>1</v>
      </c>
      <c r="F892" s="244">
        <v>0</v>
      </c>
      <c r="G892" s="244">
        <v>0</v>
      </c>
      <c r="H892" s="244">
        <v>3</v>
      </c>
      <c r="I892" s="244">
        <v>0</v>
      </c>
      <c r="J892" s="244">
        <v>0</v>
      </c>
      <c r="K892" s="244">
        <v>0</v>
      </c>
      <c r="L892" s="244">
        <v>1</v>
      </c>
      <c r="M892" s="244">
        <v>0</v>
      </c>
      <c r="N892" s="244">
        <v>3</v>
      </c>
      <c r="O892" s="254">
        <v>0</v>
      </c>
    </row>
    <row r="893" ht="14.25" spans="1:15">
      <c r="A893" s="245" t="s">
        <v>71</v>
      </c>
      <c r="B893" s="52" t="s">
        <v>64</v>
      </c>
      <c r="C893" s="19">
        <v>0.3</v>
      </c>
      <c r="D893" s="250">
        <v>1</v>
      </c>
      <c r="E893" s="250">
        <v>1</v>
      </c>
      <c r="F893" s="250">
        <v>0</v>
      </c>
      <c r="G893" s="250">
        <v>0</v>
      </c>
      <c r="H893" s="250">
        <v>3</v>
      </c>
      <c r="I893" s="250">
        <v>0</v>
      </c>
      <c r="J893" s="250">
        <v>0</v>
      </c>
      <c r="K893" s="250">
        <v>0</v>
      </c>
      <c r="L893" s="250">
        <v>1</v>
      </c>
      <c r="M893" s="250">
        <v>0</v>
      </c>
      <c r="N893" s="250">
        <v>3</v>
      </c>
      <c r="O893" s="257">
        <v>0</v>
      </c>
    </row>
    <row r="894" spans="1:15">
      <c r="A894" s="240" t="s">
        <v>72</v>
      </c>
      <c r="B894" s="47" t="s">
        <v>55</v>
      </c>
      <c r="C894" s="12">
        <v>0.460431654676259</v>
      </c>
      <c r="D894" s="241">
        <v>0.366666666666667</v>
      </c>
      <c r="E894" s="241">
        <v>0.5</v>
      </c>
      <c r="F894" s="241">
        <v>0.5</v>
      </c>
      <c r="G894" s="241">
        <v>0.5</v>
      </c>
      <c r="H894" s="241">
        <v>0.45</v>
      </c>
      <c r="I894" s="241">
        <v>0.5</v>
      </c>
      <c r="J894" s="241">
        <v>0.5</v>
      </c>
      <c r="K894" s="241">
        <v>0.321428571428571</v>
      </c>
      <c r="L894" s="241">
        <v>0.53125</v>
      </c>
      <c r="M894" s="241">
        <v>0.5</v>
      </c>
      <c r="N894" s="241">
        <v>0.34375</v>
      </c>
      <c r="O894" s="252">
        <v>0.615384615384615</v>
      </c>
    </row>
    <row r="895" spans="1:15">
      <c r="A895" s="242" t="s">
        <v>72</v>
      </c>
      <c r="B895" s="43" t="s">
        <v>57</v>
      </c>
      <c r="C895" s="15">
        <v>278</v>
      </c>
      <c r="D895" s="243">
        <v>30</v>
      </c>
      <c r="E895" s="243">
        <v>32</v>
      </c>
      <c r="F895" s="243">
        <v>4</v>
      </c>
      <c r="G895" s="243">
        <v>10</v>
      </c>
      <c r="H895" s="243">
        <v>20</v>
      </c>
      <c r="I895" s="243">
        <v>28</v>
      </c>
      <c r="J895" s="243">
        <v>24</v>
      </c>
      <c r="K895" s="243">
        <v>28</v>
      </c>
      <c r="L895" s="243">
        <v>32</v>
      </c>
      <c r="M895" s="243">
        <v>12</v>
      </c>
      <c r="N895" s="243">
        <v>32</v>
      </c>
      <c r="O895" s="253">
        <v>26</v>
      </c>
    </row>
    <row r="896" spans="1:15">
      <c r="A896" s="240" t="s">
        <v>72</v>
      </c>
      <c r="B896" s="47" t="s">
        <v>59</v>
      </c>
      <c r="C896" s="15">
        <v>128</v>
      </c>
      <c r="D896" s="243">
        <v>11</v>
      </c>
      <c r="E896" s="243">
        <v>16</v>
      </c>
      <c r="F896" s="243">
        <v>2</v>
      </c>
      <c r="G896" s="243">
        <v>5</v>
      </c>
      <c r="H896" s="243">
        <v>9</v>
      </c>
      <c r="I896" s="243">
        <v>14</v>
      </c>
      <c r="J896" s="243">
        <v>12</v>
      </c>
      <c r="K896" s="243">
        <v>9</v>
      </c>
      <c r="L896" s="243">
        <v>17</v>
      </c>
      <c r="M896" s="243">
        <v>6</v>
      </c>
      <c r="N896" s="243">
        <v>11</v>
      </c>
      <c r="O896" s="253">
        <v>16</v>
      </c>
    </row>
    <row r="897" spans="1:15">
      <c r="A897" s="242" t="s">
        <v>72</v>
      </c>
      <c r="B897" s="43" t="s">
        <v>4</v>
      </c>
      <c r="C897" s="15">
        <v>5</v>
      </c>
      <c r="D897" s="244">
        <v>1</v>
      </c>
      <c r="E897" s="244">
        <v>1</v>
      </c>
      <c r="F897" s="244">
        <v>0</v>
      </c>
      <c r="G897" s="244">
        <v>1</v>
      </c>
      <c r="H897" s="244">
        <v>1</v>
      </c>
      <c r="I897" s="244">
        <v>0</v>
      </c>
      <c r="J897" s="244">
        <v>0</v>
      </c>
      <c r="K897" s="244">
        <v>0</v>
      </c>
      <c r="L897" s="244">
        <v>0</v>
      </c>
      <c r="M897" s="244">
        <v>1</v>
      </c>
      <c r="N897" s="244">
        <v>0</v>
      </c>
      <c r="O897" s="254">
        <v>0</v>
      </c>
    </row>
    <row r="898" spans="1:15">
      <c r="A898" s="240" t="s">
        <v>72</v>
      </c>
      <c r="B898" s="47" t="s">
        <v>5</v>
      </c>
      <c r="C898" s="12">
        <v>0.0390625</v>
      </c>
      <c r="D898" s="241">
        <v>0.0909090909090909</v>
      </c>
      <c r="E898" s="241">
        <v>0.0625</v>
      </c>
      <c r="F898" s="241">
        <v>0</v>
      </c>
      <c r="G898" s="241">
        <v>0.2</v>
      </c>
      <c r="H898" s="241">
        <v>0.111111111111111</v>
      </c>
      <c r="I898" s="241">
        <v>0</v>
      </c>
      <c r="J898" s="241">
        <v>0</v>
      </c>
      <c r="K898" s="241">
        <v>0</v>
      </c>
      <c r="L898" s="241">
        <v>0</v>
      </c>
      <c r="M898" s="241">
        <v>0.166666666666667</v>
      </c>
      <c r="N898" s="241">
        <v>0</v>
      </c>
      <c r="O898" s="252">
        <v>0</v>
      </c>
    </row>
    <row r="899" spans="1:15">
      <c r="A899" s="242" t="s">
        <v>72</v>
      </c>
      <c r="B899" s="43" t="s">
        <v>6</v>
      </c>
      <c r="C899" s="15">
        <v>2</v>
      </c>
      <c r="D899" s="244">
        <v>0</v>
      </c>
      <c r="E899" s="244">
        <v>0</v>
      </c>
      <c r="F899" s="244">
        <v>0</v>
      </c>
      <c r="G899" s="244">
        <v>0</v>
      </c>
      <c r="H899" s="244">
        <v>1</v>
      </c>
      <c r="I899" s="244">
        <v>0</v>
      </c>
      <c r="J899" s="244">
        <v>0</v>
      </c>
      <c r="K899" s="244">
        <v>0</v>
      </c>
      <c r="L899" s="244">
        <v>0</v>
      </c>
      <c r="M899" s="244">
        <v>0</v>
      </c>
      <c r="N899" s="244">
        <v>1</v>
      </c>
      <c r="O899" s="254">
        <v>0</v>
      </c>
    </row>
    <row r="900" ht="14.25" spans="1:15">
      <c r="A900" s="245" t="s">
        <v>72</v>
      </c>
      <c r="B900" s="52" t="s">
        <v>64</v>
      </c>
      <c r="C900" s="19">
        <v>0.4</v>
      </c>
      <c r="D900" s="250">
        <v>0</v>
      </c>
      <c r="E900" s="250">
        <v>0</v>
      </c>
      <c r="F900" s="250">
        <v>0</v>
      </c>
      <c r="G900" s="250">
        <v>0</v>
      </c>
      <c r="H900" s="250">
        <v>1</v>
      </c>
      <c r="I900" s="250">
        <v>0</v>
      </c>
      <c r="J900" s="250">
        <v>0</v>
      </c>
      <c r="K900" s="250">
        <v>0</v>
      </c>
      <c r="L900" s="250">
        <v>0</v>
      </c>
      <c r="M900" s="250">
        <v>0</v>
      </c>
      <c r="N900" s="250">
        <v>1</v>
      </c>
      <c r="O900" s="257">
        <v>0</v>
      </c>
    </row>
    <row r="901" ht="14.25" spans="1:15">
      <c r="A901" s="237">
        <v>45033</v>
      </c>
      <c r="B901" s="237"/>
      <c r="C901" s="237"/>
      <c r="D901" s="237"/>
      <c r="E901" s="237"/>
      <c r="F901" s="237"/>
      <c r="G901" s="237"/>
      <c r="H901" s="237"/>
      <c r="I901" s="237"/>
      <c r="J901" s="237"/>
      <c r="K901" s="237"/>
      <c r="L901" s="237"/>
      <c r="M901" s="237"/>
      <c r="N901" s="237"/>
      <c r="O901" s="237"/>
    </row>
    <row r="902" spans="1:15">
      <c r="A902" s="56" t="s">
        <v>1</v>
      </c>
      <c r="B902" s="238"/>
      <c r="C902" s="8" t="s">
        <v>42</v>
      </c>
      <c r="D902" s="239" t="s">
        <v>43</v>
      </c>
      <c r="E902" s="239" t="s">
        <v>44</v>
      </c>
      <c r="F902" s="239" t="s">
        <v>45</v>
      </c>
      <c r="G902" s="239" t="s">
        <v>46</v>
      </c>
      <c r="H902" s="239" t="s">
        <v>47</v>
      </c>
      <c r="I902" s="239" t="s">
        <v>48</v>
      </c>
      <c r="J902" s="239" t="s">
        <v>49</v>
      </c>
      <c r="K902" s="239" t="s">
        <v>50</v>
      </c>
      <c r="L902" s="239" t="s">
        <v>51</v>
      </c>
      <c r="M902" s="239" t="s">
        <v>52</v>
      </c>
      <c r="N902" s="239" t="s">
        <v>53</v>
      </c>
      <c r="O902" s="251" t="s">
        <v>54</v>
      </c>
    </row>
    <row r="903" spans="1:15">
      <c r="A903" s="240" t="s">
        <v>22</v>
      </c>
      <c r="B903" s="47" t="s">
        <v>55</v>
      </c>
      <c r="C903" s="12">
        <v>0.283534334235786</v>
      </c>
      <c r="D903" s="241">
        <v>0.140822784810127</v>
      </c>
      <c r="E903" s="241">
        <v>0.116141732283465</v>
      </c>
      <c r="F903" s="241">
        <v>0.0662460567823344</v>
      </c>
      <c r="G903" s="241">
        <v>0.142028985507246</v>
      </c>
      <c r="H903" s="241">
        <v>0.271777003484321</v>
      </c>
      <c r="I903" s="241">
        <v>0.25764192139738</v>
      </c>
      <c r="J903" s="241">
        <v>0.424920127795527</v>
      </c>
      <c r="K903" s="241">
        <v>0.521172638436482</v>
      </c>
      <c r="L903" s="241">
        <v>0.483333333333333</v>
      </c>
      <c r="M903" s="241">
        <v>0.552742616033755</v>
      </c>
      <c r="N903" s="241">
        <v>0.446601941747573</v>
      </c>
      <c r="O903" s="252">
        <v>0.351032448377581</v>
      </c>
    </row>
    <row r="904" spans="1:15">
      <c r="A904" s="242" t="s">
        <v>22</v>
      </c>
      <c r="B904" s="43" t="s">
        <v>57</v>
      </c>
      <c r="C904" s="15">
        <v>4063</v>
      </c>
      <c r="D904" s="243">
        <v>632</v>
      </c>
      <c r="E904" s="243">
        <v>508</v>
      </c>
      <c r="F904" s="243">
        <v>317</v>
      </c>
      <c r="G904" s="243">
        <v>345</v>
      </c>
      <c r="H904" s="243">
        <v>287</v>
      </c>
      <c r="I904" s="243">
        <v>229</v>
      </c>
      <c r="J904" s="243">
        <v>313</v>
      </c>
      <c r="K904" s="243">
        <v>307</v>
      </c>
      <c r="L904" s="243">
        <v>240</v>
      </c>
      <c r="M904" s="243">
        <v>237</v>
      </c>
      <c r="N904" s="243">
        <v>309</v>
      </c>
      <c r="O904" s="253">
        <v>339</v>
      </c>
    </row>
    <row r="905" spans="1:15">
      <c r="A905" s="240" t="s">
        <v>22</v>
      </c>
      <c r="B905" s="47" t="s">
        <v>59</v>
      </c>
      <c r="C905" s="15">
        <v>1152</v>
      </c>
      <c r="D905" s="243">
        <v>89</v>
      </c>
      <c r="E905" s="243">
        <v>59</v>
      </c>
      <c r="F905" s="243">
        <v>21</v>
      </c>
      <c r="G905" s="243">
        <v>49</v>
      </c>
      <c r="H905" s="243">
        <v>78</v>
      </c>
      <c r="I905" s="243">
        <v>59</v>
      </c>
      <c r="J905" s="243">
        <v>133</v>
      </c>
      <c r="K905" s="243">
        <v>160</v>
      </c>
      <c r="L905" s="243">
        <v>116</v>
      </c>
      <c r="M905" s="243">
        <v>131</v>
      </c>
      <c r="N905" s="243">
        <v>138</v>
      </c>
      <c r="O905" s="253">
        <v>119</v>
      </c>
    </row>
    <row r="906" spans="1:15">
      <c r="A906" s="242" t="s">
        <v>22</v>
      </c>
      <c r="B906" s="43" t="s">
        <v>4</v>
      </c>
      <c r="C906" s="15">
        <v>85</v>
      </c>
      <c r="D906" s="244">
        <v>20</v>
      </c>
      <c r="E906" s="244">
        <v>8</v>
      </c>
      <c r="F906" s="244">
        <v>3</v>
      </c>
      <c r="G906" s="244">
        <v>3</v>
      </c>
      <c r="H906" s="244">
        <v>2</v>
      </c>
      <c r="I906" s="244">
        <v>2</v>
      </c>
      <c r="J906" s="244">
        <v>7</v>
      </c>
      <c r="K906" s="244">
        <v>16</v>
      </c>
      <c r="L906" s="244">
        <v>9</v>
      </c>
      <c r="M906" s="244">
        <v>4</v>
      </c>
      <c r="N906" s="244">
        <v>7</v>
      </c>
      <c r="O906" s="254">
        <v>4</v>
      </c>
    </row>
    <row r="907" spans="1:15">
      <c r="A907" s="240" t="s">
        <v>22</v>
      </c>
      <c r="B907" s="47" t="s">
        <v>5</v>
      </c>
      <c r="C907" s="12">
        <v>0.0737847222222222</v>
      </c>
      <c r="D907" s="241">
        <v>0.224719101123595</v>
      </c>
      <c r="E907" s="241">
        <v>0.135593220338983</v>
      </c>
      <c r="F907" s="241">
        <v>0.142857142857143</v>
      </c>
      <c r="G907" s="241">
        <v>0.0612244897959184</v>
      </c>
      <c r="H907" s="241">
        <v>0.0256410256410256</v>
      </c>
      <c r="I907" s="241">
        <v>0.0338983050847458</v>
      </c>
      <c r="J907" s="241">
        <v>0.0526315789473684</v>
      </c>
      <c r="K907" s="241">
        <v>0.1</v>
      </c>
      <c r="L907" s="241">
        <v>0.0775862068965517</v>
      </c>
      <c r="M907" s="241">
        <v>0.0305343511450382</v>
      </c>
      <c r="N907" s="241">
        <v>0.0507246376811594</v>
      </c>
      <c r="O907" s="252">
        <v>0.0336134453781513</v>
      </c>
    </row>
    <row r="908" spans="1:15">
      <c r="A908" s="242" t="s">
        <v>22</v>
      </c>
      <c r="B908" s="43" t="s">
        <v>6</v>
      </c>
      <c r="C908" s="15">
        <v>30</v>
      </c>
      <c r="D908" s="244">
        <v>5</v>
      </c>
      <c r="E908" s="244">
        <v>2</v>
      </c>
      <c r="F908" s="244">
        <v>0</v>
      </c>
      <c r="G908" s="244">
        <v>1</v>
      </c>
      <c r="H908" s="244">
        <v>1</v>
      </c>
      <c r="I908" s="244">
        <v>0</v>
      </c>
      <c r="J908" s="244">
        <v>2</v>
      </c>
      <c r="K908" s="244">
        <v>5</v>
      </c>
      <c r="L908" s="244">
        <v>7</v>
      </c>
      <c r="M908" s="244">
        <v>2</v>
      </c>
      <c r="N908" s="244">
        <v>2</v>
      </c>
      <c r="O908" s="254">
        <v>3</v>
      </c>
    </row>
    <row r="909" ht="14.25" spans="1:15">
      <c r="A909" s="245" t="s">
        <v>22</v>
      </c>
      <c r="B909" s="52" t="s">
        <v>64</v>
      </c>
      <c r="C909" s="19">
        <v>0.352941176470588</v>
      </c>
      <c r="D909" s="246">
        <v>0.25</v>
      </c>
      <c r="E909" s="246">
        <v>0.25</v>
      </c>
      <c r="F909" s="246">
        <v>0</v>
      </c>
      <c r="G909" s="246">
        <v>0.333333333333333</v>
      </c>
      <c r="H909" s="246">
        <v>0.5</v>
      </c>
      <c r="I909" s="246">
        <v>0</v>
      </c>
      <c r="J909" s="246">
        <v>0.285714285714286</v>
      </c>
      <c r="K909" s="246">
        <v>0.3125</v>
      </c>
      <c r="L909" s="246">
        <v>0.777777777777778</v>
      </c>
      <c r="M909" s="246">
        <v>0.5</v>
      </c>
      <c r="N909" s="246">
        <v>0.285714285714286</v>
      </c>
      <c r="O909" s="255">
        <v>0.75</v>
      </c>
    </row>
    <row r="910" spans="1:15">
      <c r="A910" s="247" t="s">
        <v>66</v>
      </c>
      <c r="B910" s="248" t="s">
        <v>55</v>
      </c>
      <c r="C910" s="12">
        <v>0.111068111455108</v>
      </c>
      <c r="D910" s="249">
        <v>0.051980198019802</v>
      </c>
      <c r="E910" s="249">
        <v>0.0273348519362187</v>
      </c>
      <c r="F910" s="249">
        <v>0.0283018867924528</v>
      </c>
      <c r="G910" s="249">
        <v>0.0291666666666667</v>
      </c>
      <c r="H910" s="249">
        <v>0.0714285714285714</v>
      </c>
      <c r="I910" s="249">
        <v>0.0628930817610063</v>
      </c>
      <c r="J910" s="249">
        <v>0.218934911242604</v>
      </c>
      <c r="K910" s="249">
        <v>0.275862068965517</v>
      </c>
      <c r="L910" s="249">
        <v>0.252173913043478</v>
      </c>
      <c r="M910" s="249">
        <v>0.364406779661017</v>
      </c>
      <c r="N910" s="249">
        <v>0.17910447761194</v>
      </c>
      <c r="O910" s="256">
        <v>0.245714285714286</v>
      </c>
    </row>
    <row r="911" spans="1:15">
      <c r="A911" s="242" t="s">
        <v>66</v>
      </c>
      <c r="B911" s="43" t="s">
        <v>57</v>
      </c>
      <c r="C911" s="15">
        <v>2584</v>
      </c>
      <c r="D911" s="243">
        <v>404</v>
      </c>
      <c r="E911" s="243">
        <v>439</v>
      </c>
      <c r="F911" s="243">
        <v>318</v>
      </c>
      <c r="G911" s="243">
        <v>240</v>
      </c>
      <c r="H911" s="243">
        <v>168</v>
      </c>
      <c r="I911" s="243">
        <v>159</v>
      </c>
      <c r="J911" s="243">
        <v>169</v>
      </c>
      <c r="K911" s="243">
        <v>145</v>
      </c>
      <c r="L911" s="243">
        <v>115</v>
      </c>
      <c r="M911" s="243">
        <v>118</v>
      </c>
      <c r="N911" s="243">
        <v>134</v>
      </c>
      <c r="O911" s="253">
        <v>175</v>
      </c>
    </row>
    <row r="912" spans="1:15">
      <c r="A912" s="240" t="s">
        <v>66</v>
      </c>
      <c r="B912" s="47" t="s">
        <v>59</v>
      </c>
      <c r="C912" s="15">
        <v>287</v>
      </c>
      <c r="D912" s="243">
        <v>21</v>
      </c>
      <c r="E912" s="243">
        <v>12</v>
      </c>
      <c r="F912" s="243">
        <v>9</v>
      </c>
      <c r="G912" s="243">
        <v>7</v>
      </c>
      <c r="H912" s="243">
        <v>12</v>
      </c>
      <c r="I912" s="243">
        <v>10</v>
      </c>
      <c r="J912" s="243">
        <v>37</v>
      </c>
      <c r="K912" s="243">
        <v>40</v>
      </c>
      <c r="L912" s="243">
        <v>29</v>
      </c>
      <c r="M912" s="243">
        <v>43</v>
      </c>
      <c r="N912" s="243">
        <v>24</v>
      </c>
      <c r="O912" s="253">
        <v>43</v>
      </c>
    </row>
    <row r="913" spans="1:15">
      <c r="A913" s="242" t="s">
        <v>66</v>
      </c>
      <c r="B913" s="43" t="s">
        <v>4</v>
      </c>
      <c r="C913" s="15">
        <v>35</v>
      </c>
      <c r="D913" s="244">
        <v>4</v>
      </c>
      <c r="E913" s="244">
        <v>0</v>
      </c>
      <c r="F913" s="244">
        <v>0</v>
      </c>
      <c r="G913" s="244">
        <v>1</v>
      </c>
      <c r="H913" s="244">
        <v>2</v>
      </c>
      <c r="I913" s="244">
        <v>3</v>
      </c>
      <c r="J913" s="244">
        <v>6</v>
      </c>
      <c r="K913" s="244">
        <v>1</v>
      </c>
      <c r="L913" s="244">
        <v>2</v>
      </c>
      <c r="M913" s="244">
        <v>5</v>
      </c>
      <c r="N913" s="244">
        <v>2</v>
      </c>
      <c r="O913" s="254">
        <v>9</v>
      </c>
    </row>
    <row r="914" spans="1:15">
      <c r="A914" s="240" t="s">
        <v>66</v>
      </c>
      <c r="B914" s="47" t="s">
        <v>5</v>
      </c>
      <c r="C914" s="12">
        <v>0.121951219512195</v>
      </c>
      <c r="D914" s="241">
        <v>0.19047619047619</v>
      </c>
      <c r="E914" s="241">
        <v>0</v>
      </c>
      <c r="F914" s="241">
        <v>0</v>
      </c>
      <c r="G914" s="241">
        <v>0.142857142857143</v>
      </c>
      <c r="H914" s="241">
        <v>0.166666666666667</v>
      </c>
      <c r="I914" s="241">
        <v>0.3</v>
      </c>
      <c r="J914" s="241">
        <v>0.162162162162162</v>
      </c>
      <c r="K914" s="241">
        <v>0.025</v>
      </c>
      <c r="L914" s="241">
        <v>0.0689655172413793</v>
      </c>
      <c r="M914" s="241">
        <v>0.116279069767442</v>
      </c>
      <c r="N914" s="241">
        <v>0.0833333333333333</v>
      </c>
      <c r="O914" s="252">
        <v>0.209302325581395</v>
      </c>
    </row>
    <row r="915" spans="1:15">
      <c r="A915" s="242" t="s">
        <v>66</v>
      </c>
      <c r="B915" s="43" t="s">
        <v>6</v>
      </c>
      <c r="C915" s="15">
        <v>13</v>
      </c>
      <c r="D915" s="244">
        <v>1</v>
      </c>
      <c r="E915" s="244">
        <v>0</v>
      </c>
      <c r="F915" s="244">
        <v>0</v>
      </c>
      <c r="G915" s="244">
        <v>0</v>
      </c>
      <c r="H915" s="244">
        <v>1</v>
      </c>
      <c r="I915" s="244">
        <v>1</v>
      </c>
      <c r="J915" s="244">
        <v>1</v>
      </c>
      <c r="K915" s="244">
        <v>1</v>
      </c>
      <c r="L915" s="244">
        <v>1</v>
      </c>
      <c r="M915" s="244">
        <v>2</v>
      </c>
      <c r="N915" s="244">
        <v>0</v>
      </c>
      <c r="O915" s="254">
        <v>5</v>
      </c>
    </row>
    <row r="916" ht="14.25" spans="1:15">
      <c r="A916" s="245" t="s">
        <v>66</v>
      </c>
      <c r="B916" s="52" t="s">
        <v>64</v>
      </c>
      <c r="C916" s="19">
        <v>0.371428571428571</v>
      </c>
      <c r="D916" s="246">
        <v>0.25</v>
      </c>
      <c r="E916" s="246">
        <v>0</v>
      </c>
      <c r="F916" s="246">
        <v>0</v>
      </c>
      <c r="G916" s="246">
        <v>0</v>
      </c>
      <c r="H916" s="246">
        <v>0.5</v>
      </c>
      <c r="I916" s="246">
        <v>0.333333333333333</v>
      </c>
      <c r="J916" s="246">
        <v>0.166666666666667</v>
      </c>
      <c r="K916" s="246">
        <v>1</v>
      </c>
      <c r="L916" s="246">
        <v>0.5</v>
      </c>
      <c r="M916" s="246">
        <v>0.4</v>
      </c>
      <c r="N916" s="246">
        <v>0</v>
      </c>
      <c r="O916" s="255">
        <v>0.555555555555556</v>
      </c>
    </row>
    <row r="917" spans="1:15">
      <c r="A917" s="240" t="s">
        <v>67</v>
      </c>
      <c r="B917" s="47" t="s">
        <v>55</v>
      </c>
      <c r="C917" s="12">
        <v>0.307266982622433</v>
      </c>
      <c r="D917" s="241">
        <v>0.305084745762712</v>
      </c>
      <c r="E917" s="241">
        <v>0.186046511627907</v>
      </c>
      <c r="F917" s="241">
        <v>0.152173913043478</v>
      </c>
      <c r="G917" s="241">
        <v>0.264705882352941</v>
      </c>
      <c r="H917" s="241">
        <v>0.361111111111111</v>
      </c>
      <c r="I917" s="241">
        <v>0.244897959183673</v>
      </c>
      <c r="J917" s="241">
        <v>0.320754716981132</v>
      </c>
      <c r="K917" s="241">
        <v>0.405660377358491</v>
      </c>
      <c r="L917" s="241">
        <v>0.375</v>
      </c>
      <c r="M917" s="241">
        <v>0.464285714285714</v>
      </c>
      <c r="N917" s="241">
        <v>0.338235294117647</v>
      </c>
      <c r="O917" s="252">
        <v>0.188235294117647</v>
      </c>
    </row>
    <row r="918" spans="1:15">
      <c r="A918" s="242" t="s">
        <v>67</v>
      </c>
      <c r="B918" s="43" t="s">
        <v>57</v>
      </c>
      <c r="C918" s="15">
        <v>1266</v>
      </c>
      <c r="D918" s="243">
        <v>118</v>
      </c>
      <c r="E918" s="243">
        <v>86</v>
      </c>
      <c r="F918" s="243">
        <v>46</v>
      </c>
      <c r="G918" s="243">
        <v>68</v>
      </c>
      <c r="H918" s="243">
        <v>108</v>
      </c>
      <c r="I918" s="243">
        <v>98</v>
      </c>
      <c r="J918" s="243">
        <v>106</v>
      </c>
      <c r="K918" s="243">
        <v>106</v>
      </c>
      <c r="L918" s="243">
        <v>112</v>
      </c>
      <c r="M918" s="243">
        <v>112</v>
      </c>
      <c r="N918" s="243">
        <v>136</v>
      </c>
      <c r="O918" s="253">
        <v>170</v>
      </c>
    </row>
    <row r="919" spans="1:15">
      <c r="A919" s="240" t="s">
        <v>67</v>
      </c>
      <c r="B919" s="47" t="s">
        <v>59</v>
      </c>
      <c r="C919" s="15">
        <v>389</v>
      </c>
      <c r="D919" s="243">
        <v>36</v>
      </c>
      <c r="E919" s="243">
        <v>16</v>
      </c>
      <c r="F919" s="243">
        <v>7</v>
      </c>
      <c r="G919" s="243">
        <v>18</v>
      </c>
      <c r="H919" s="243">
        <v>39</v>
      </c>
      <c r="I919" s="243">
        <v>24</v>
      </c>
      <c r="J919" s="243">
        <v>34</v>
      </c>
      <c r="K919" s="243">
        <v>43</v>
      </c>
      <c r="L919" s="243">
        <v>42</v>
      </c>
      <c r="M919" s="243">
        <v>52</v>
      </c>
      <c r="N919" s="243">
        <v>46</v>
      </c>
      <c r="O919" s="253">
        <v>32</v>
      </c>
    </row>
    <row r="920" spans="1:15">
      <c r="A920" s="242" t="s">
        <v>67</v>
      </c>
      <c r="B920" s="43" t="s">
        <v>4</v>
      </c>
      <c r="C920" s="15">
        <v>25</v>
      </c>
      <c r="D920" s="244">
        <v>3</v>
      </c>
      <c r="E920" s="244">
        <v>3</v>
      </c>
      <c r="F920" s="244">
        <v>2</v>
      </c>
      <c r="G920" s="244">
        <v>2</v>
      </c>
      <c r="H920" s="244">
        <v>1</v>
      </c>
      <c r="I920" s="244">
        <v>0</v>
      </c>
      <c r="J920" s="244">
        <v>1</v>
      </c>
      <c r="K920" s="244">
        <v>4</v>
      </c>
      <c r="L920" s="244">
        <v>1</v>
      </c>
      <c r="M920" s="244">
        <v>1</v>
      </c>
      <c r="N920" s="244">
        <v>5</v>
      </c>
      <c r="O920" s="254">
        <v>2</v>
      </c>
    </row>
    <row r="921" spans="1:15">
      <c r="A921" s="240" t="s">
        <v>67</v>
      </c>
      <c r="B921" s="47" t="s">
        <v>5</v>
      </c>
      <c r="C921" s="12">
        <v>0.06426735218509</v>
      </c>
      <c r="D921" s="241">
        <v>0.0833333333333333</v>
      </c>
      <c r="E921" s="241">
        <v>0.1875</v>
      </c>
      <c r="F921" s="241">
        <v>0.285714285714286</v>
      </c>
      <c r="G921" s="241">
        <v>0.111111111111111</v>
      </c>
      <c r="H921" s="241">
        <v>0.0256410256410256</v>
      </c>
      <c r="I921" s="241">
        <v>0</v>
      </c>
      <c r="J921" s="241">
        <v>0.0294117647058824</v>
      </c>
      <c r="K921" s="241">
        <v>0.0930232558139535</v>
      </c>
      <c r="L921" s="241">
        <v>0.0238095238095238</v>
      </c>
      <c r="M921" s="241">
        <v>0.0192307692307692</v>
      </c>
      <c r="N921" s="241">
        <v>0.108695652173913</v>
      </c>
      <c r="O921" s="252">
        <v>0.0625</v>
      </c>
    </row>
    <row r="922" spans="1:15">
      <c r="A922" s="242" t="s">
        <v>67</v>
      </c>
      <c r="B922" s="43" t="s">
        <v>6</v>
      </c>
      <c r="C922" s="15">
        <v>11</v>
      </c>
      <c r="D922" s="244">
        <v>0</v>
      </c>
      <c r="E922" s="244">
        <v>1</v>
      </c>
      <c r="F922" s="244">
        <v>1</v>
      </c>
      <c r="G922" s="244">
        <v>1</v>
      </c>
      <c r="H922" s="244">
        <v>1</v>
      </c>
      <c r="I922" s="244">
        <v>1</v>
      </c>
      <c r="J922" s="244">
        <v>0</v>
      </c>
      <c r="K922" s="244">
        <v>1</v>
      </c>
      <c r="L922" s="244">
        <v>2</v>
      </c>
      <c r="M922" s="244">
        <v>1</v>
      </c>
      <c r="N922" s="244">
        <v>1</v>
      </c>
      <c r="O922" s="254">
        <v>1</v>
      </c>
    </row>
    <row r="923" ht="14.25" spans="1:15">
      <c r="A923" s="245" t="s">
        <v>67</v>
      </c>
      <c r="B923" s="52" t="s">
        <v>64</v>
      </c>
      <c r="C923" s="19">
        <v>0.44</v>
      </c>
      <c r="D923" s="246">
        <v>0</v>
      </c>
      <c r="E923" s="246">
        <v>0.333333333333333</v>
      </c>
      <c r="F923" s="246">
        <v>0.5</v>
      </c>
      <c r="G923" s="246">
        <v>0.5</v>
      </c>
      <c r="H923" s="246">
        <v>1</v>
      </c>
      <c r="I923" s="246">
        <v>0</v>
      </c>
      <c r="J923" s="246">
        <v>0</v>
      </c>
      <c r="K923" s="246">
        <v>0.25</v>
      </c>
      <c r="L923" s="246">
        <v>2</v>
      </c>
      <c r="M923" s="246">
        <v>1</v>
      </c>
      <c r="N923" s="246">
        <v>0.2</v>
      </c>
      <c r="O923" s="255">
        <v>0.5</v>
      </c>
    </row>
    <row r="924" spans="1:15">
      <c r="A924" s="240" t="s">
        <v>68</v>
      </c>
      <c r="B924" s="47" t="s">
        <v>55</v>
      </c>
      <c r="C924" s="12">
        <v>0.047134786117837</v>
      </c>
      <c r="D924" s="241">
        <v>0.1</v>
      </c>
      <c r="E924" s="241">
        <v>0.0771428571428571</v>
      </c>
      <c r="F924" s="241">
        <v>0.0424028268551237</v>
      </c>
      <c r="G924" s="241">
        <v>0.0369318181818182</v>
      </c>
      <c r="H924" s="241">
        <v>0.0309477756286267</v>
      </c>
      <c r="I924" s="241">
        <v>0.0285451197053407</v>
      </c>
      <c r="J924" s="241">
        <v>0.0415821501014199</v>
      </c>
      <c r="K924" s="241">
        <v>0.0501968503937008</v>
      </c>
      <c r="L924" s="241">
        <v>0.0689338235294118</v>
      </c>
      <c r="M924" s="241">
        <v>0.0399429386590585</v>
      </c>
      <c r="N924" s="241">
        <v>0.04583835946924</v>
      </c>
      <c r="O924" s="252">
        <v>0.0488257107540173</v>
      </c>
    </row>
    <row r="925" spans="1:15">
      <c r="A925" s="242" t="s">
        <v>68</v>
      </c>
      <c r="B925" s="43" t="s">
        <v>57</v>
      </c>
      <c r="C925" s="15">
        <v>12390</v>
      </c>
      <c r="D925" s="243">
        <v>530</v>
      </c>
      <c r="E925" s="243">
        <v>350</v>
      </c>
      <c r="F925" s="243">
        <v>566</v>
      </c>
      <c r="G925" s="243">
        <v>1056</v>
      </c>
      <c r="H925" s="243">
        <v>1034</v>
      </c>
      <c r="I925" s="243">
        <v>1086</v>
      </c>
      <c r="J925" s="243">
        <v>986</v>
      </c>
      <c r="K925" s="243">
        <v>1016</v>
      </c>
      <c r="L925" s="243">
        <v>1088</v>
      </c>
      <c r="M925" s="243">
        <v>1402</v>
      </c>
      <c r="N925" s="243">
        <v>1658</v>
      </c>
      <c r="O925" s="253">
        <v>1618</v>
      </c>
    </row>
    <row r="926" spans="1:15">
      <c r="A926" s="240" t="s">
        <v>68</v>
      </c>
      <c r="B926" s="47" t="s">
        <v>59</v>
      </c>
      <c r="C926" s="15">
        <v>584</v>
      </c>
      <c r="D926" s="243">
        <v>53</v>
      </c>
      <c r="E926" s="243">
        <v>27</v>
      </c>
      <c r="F926" s="243">
        <v>24</v>
      </c>
      <c r="G926" s="243">
        <v>39</v>
      </c>
      <c r="H926" s="243">
        <v>32</v>
      </c>
      <c r="I926" s="243">
        <v>31</v>
      </c>
      <c r="J926" s="243">
        <v>41</v>
      </c>
      <c r="K926" s="243">
        <v>51</v>
      </c>
      <c r="L926" s="243">
        <v>75</v>
      </c>
      <c r="M926" s="243">
        <v>56</v>
      </c>
      <c r="N926" s="243">
        <v>76</v>
      </c>
      <c r="O926" s="253">
        <v>79</v>
      </c>
    </row>
    <row r="927" spans="1:15">
      <c r="A927" s="242" t="s">
        <v>68</v>
      </c>
      <c r="B927" s="43" t="s">
        <v>4</v>
      </c>
      <c r="C927" s="15">
        <v>39</v>
      </c>
      <c r="D927" s="244">
        <v>4</v>
      </c>
      <c r="E927" s="244">
        <v>3</v>
      </c>
      <c r="F927" s="244">
        <v>3</v>
      </c>
      <c r="G927" s="244">
        <v>2</v>
      </c>
      <c r="H927" s="244">
        <v>5</v>
      </c>
      <c r="I927" s="244">
        <v>1</v>
      </c>
      <c r="J927" s="244">
        <v>6</v>
      </c>
      <c r="K927" s="244">
        <v>1</v>
      </c>
      <c r="L927" s="244">
        <v>2</v>
      </c>
      <c r="M927" s="244">
        <v>3</v>
      </c>
      <c r="N927" s="244">
        <v>6</v>
      </c>
      <c r="O927" s="254">
        <v>3</v>
      </c>
    </row>
    <row r="928" spans="1:15">
      <c r="A928" s="240" t="s">
        <v>68</v>
      </c>
      <c r="B928" s="47" t="s">
        <v>5</v>
      </c>
      <c r="C928" s="12">
        <v>0.0667808219178082</v>
      </c>
      <c r="D928" s="241">
        <v>0.0754716981132075</v>
      </c>
      <c r="E928" s="241">
        <v>0.111111111111111</v>
      </c>
      <c r="F928" s="241">
        <v>0.125</v>
      </c>
      <c r="G928" s="241">
        <v>0.0512820512820513</v>
      </c>
      <c r="H928" s="241">
        <v>0.15625</v>
      </c>
      <c r="I928" s="241">
        <v>0.032258064516129</v>
      </c>
      <c r="J928" s="241">
        <v>0.146341463414634</v>
      </c>
      <c r="K928" s="241">
        <v>0.0196078431372549</v>
      </c>
      <c r="L928" s="241">
        <v>0.0266666666666667</v>
      </c>
      <c r="M928" s="241">
        <v>0.0535714285714286</v>
      </c>
      <c r="N928" s="241">
        <v>0.0789473684210526</v>
      </c>
      <c r="O928" s="252">
        <v>0.0379746835443038</v>
      </c>
    </row>
    <row r="929" spans="1:15">
      <c r="A929" s="242" t="s">
        <v>68</v>
      </c>
      <c r="B929" s="43" t="s">
        <v>6</v>
      </c>
      <c r="C929" s="15">
        <v>6</v>
      </c>
      <c r="D929" s="244">
        <v>1</v>
      </c>
      <c r="E929" s="244">
        <v>1</v>
      </c>
      <c r="F929" s="244">
        <v>1</v>
      </c>
      <c r="G929" s="244">
        <v>0</v>
      </c>
      <c r="H929" s="244">
        <v>0</v>
      </c>
      <c r="I929" s="244">
        <v>0</v>
      </c>
      <c r="J929" s="244">
        <v>0</v>
      </c>
      <c r="K929" s="244">
        <v>1</v>
      </c>
      <c r="L929" s="244">
        <v>1</v>
      </c>
      <c r="M929" s="244">
        <v>0</v>
      </c>
      <c r="N929" s="244">
        <v>1</v>
      </c>
      <c r="O929" s="254">
        <v>0</v>
      </c>
    </row>
    <row r="930" ht="14.25" spans="1:15">
      <c r="A930" s="245" t="s">
        <v>68</v>
      </c>
      <c r="B930" s="52" t="s">
        <v>64</v>
      </c>
      <c r="C930" s="19">
        <v>0.153846153846154</v>
      </c>
      <c r="D930" s="246">
        <v>0.25</v>
      </c>
      <c r="E930" s="246">
        <v>0.333333333333333</v>
      </c>
      <c r="F930" s="246">
        <v>0.333333333333333</v>
      </c>
      <c r="G930" s="246">
        <v>0</v>
      </c>
      <c r="H930" s="246">
        <v>0</v>
      </c>
      <c r="I930" s="246">
        <v>0</v>
      </c>
      <c r="J930" s="246">
        <v>0</v>
      </c>
      <c r="K930" s="246">
        <v>1</v>
      </c>
      <c r="L930" s="246">
        <v>0.5</v>
      </c>
      <c r="M930" s="246">
        <v>0</v>
      </c>
      <c r="N930" s="246">
        <v>0.166666666666667</v>
      </c>
      <c r="O930" s="255">
        <v>0</v>
      </c>
    </row>
    <row r="931" spans="1:15">
      <c r="A931" s="240" t="s">
        <v>69</v>
      </c>
      <c r="B931" s="47" t="s">
        <v>55</v>
      </c>
      <c r="C931" s="12">
        <v>1.06081081081081</v>
      </c>
      <c r="D931" s="241">
        <v>1.29787234042553</v>
      </c>
      <c r="E931" s="241">
        <v>1</v>
      </c>
      <c r="F931" s="241">
        <v>1.13333333333333</v>
      </c>
      <c r="G931" s="241">
        <v>0.884615384615385</v>
      </c>
      <c r="H931" s="241">
        <v>0.897959183673469</v>
      </c>
      <c r="I931" s="241">
        <v>0.977272727272727</v>
      </c>
      <c r="J931" s="241">
        <v>1.18518518518519</v>
      </c>
      <c r="K931" s="241">
        <v>0.986301369863014</v>
      </c>
      <c r="L931" s="241">
        <v>1.05172413793103</v>
      </c>
      <c r="M931" s="241">
        <v>1.23728813559322</v>
      </c>
      <c r="N931" s="241">
        <v>1</v>
      </c>
      <c r="O931" s="252">
        <v>1.05</v>
      </c>
    </row>
    <row r="932" spans="1:15">
      <c r="A932" s="242" t="s">
        <v>69</v>
      </c>
      <c r="B932" s="43" t="s">
        <v>57</v>
      </c>
      <c r="C932" s="15">
        <v>592</v>
      </c>
      <c r="D932" s="243">
        <v>47</v>
      </c>
      <c r="E932" s="243">
        <v>22</v>
      </c>
      <c r="F932" s="243">
        <v>15</v>
      </c>
      <c r="G932" s="243">
        <v>26</v>
      </c>
      <c r="H932" s="243">
        <v>49</v>
      </c>
      <c r="I932" s="243">
        <v>44</v>
      </c>
      <c r="J932" s="243">
        <v>54</v>
      </c>
      <c r="K932" s="243">
        <v>73</v>
      </c>
      <c r="L932" s="243">
        <v>58</v>
      </c>
      <c r="M932" s="243">
        <v>59</v>
      </c>
      <c r="N932" s="243">
        <v>85</v>
      </c>
      <c r="O932" s="253">
        <v>60</v>
      </c>
    </row>
    <row r="933" spans="1:15">
      <c r="A933" s="240" t="s">
        <v>69</v>
      </c>
      <c r="B933" s="47" t="s">
        <v>59</v>
      </c>
      <c r="C933" s="15">
        <v>628</v>
      </c>
      <c r="D933" s="243">
        <v>61</v>
      </c>
      <c r="E933" s="243">
        <v>22</v>
      </c>
      <c r="F933" s="243">
        <v>17</v>
      </c>
      <c r="G933" s="243">
        <v>23</v>
      </c>
      <c r="H933" s="243">
        <v>44</v>
      </c>
      <c r="I933" s="243">
        <v>43</v>
      </c>
      <c r="J933" s="243">
        <v>64</v>
      </c>
      <c r="K933" s="243">
        <v>72</v>
      </c>
      <c r="L933" s="243">
        <v>61</v>
      </c>
      <c r="M933" s="243">
        <v>73</v>
      </c>
      <c r="N933" s="243">
        <v>85</v>
      </c>
      <c r="O933" s="253">
        <v>63</v>
      </c>
    </row>
    <row r="934" spans="1:15">
      <c r="A934" s="242" t="s">
        <v>69</v>
      </c>
      <c r="B934" s="43" t="s">
        <v>4</v>
      </c>
      <c r="C934" s="15">
        <v>33</v>
      </c>
      <c r="D934" s="244">
        <v>2</v>
      </c>
      <c r="E934" s="244">
        <v>1</v>
      </c>
      <c r="F934" s="244">
        <v>0</v>
      </c>
      <c r="G934" s="244">
        <v>1</v>
      </c>
      <c r="H934" s="244">
        <v>1</v>
      </c>
      <c r="I934" s="244">
        <v>2</v>
      </c>
      <c r="J934" s="244">
        <v>3</v>
      </c>
      <c r="K934" s="244">
        <v>11</v>
      </c>
      <c r="L934" s="244">
        <v>3</v>
      </c>
      <c r="M934" s="244">
        <v>4</v>
      </c>
      <c r="N934" s="244">
        <v>4</v>
      </c>
      <c r="O934" s="254">
        <v>1</v>
      </c>
    </row>
    <row r="935" spans="1:15">
      <c r="A935" s="240" t="s">
        <v>69</v>
      </c>
      <c r="B935" s="47" t="s">
        <v>5</v>
      </c>
      <c r="C935" s="12">
        <v>0.0525477707006369</v>
      </c>
      <c r="D935" s="241">
        <v>0.0327868852459016</v>
      </c>
      <c r="E935" s="241">
        <v>0.0454545454545455</v>
      </c>
      <c r="F935" s="241">
        <v>0</v>
      </c>
      <c r="G935" s="241">
        <v>0.0434782608695652</v>
      </c>
      <c r="H935" s="241">
        <v>0.0227272727272727</v>
      </c>
      <c r="I935" s="241">
        <v>0.0465116279069767</v>
      </c>
      <c r="J935" s="241">
        <v>0.046875</v>
      </c>
      <c r="K935" s="241">
        <v>0.152777777777778</v>
      </c>
      <c r="L935" s="241">
        <v>0.0491803278688525</v>
      </c>
      <c r="M935" s="241">
        <v>0.0547945205479452</v>
      </c>
      <c r="N935" s="241">
        <v>0.0470588235294118</v>
      </c>
      <c r="O935" s="252">
        <v>0.0158730158730159</v>
      </c>
    </row>
    <row r="936" spans="1:15">
      <c r="A936" s="242" t="s">
        <v>69</v>
      </c>
      <c r="B936" s="43" t="s">
        <v>6</v>
      </c>
      <c r="C936" s="15">
        <v>11</v>
      </c>
      <c r="D936" s="244">
        <v>0</v>
      </c>
      <c r="E936" s="244">
        <v>1</v>
      </c>
      <c r="F936" s="244">
        <v>1</v>
      </c>
      <c r="G936" s="244">
        <v>1</v>
      </c>
      <c r="H936" s="244">
        <v>0</v>
      </c>
      <c r="I936" s="244">
        <v>1</v>
      </c>
      <c r="J936" s="244">
        <v>1</v>
      </c>
      <c r="K936" s="244">
        <v>1</v>
      </c>
      <c r="L936" s="244">
        <v>2</v>
      </c>
      <c r="M936" s="244">
        <v>0</v>
      </c>
      <c r="N936" s="244">
        <v>3</v>
      </c>
      <c r="O936" s="254">
        <v>0</v>
      </c>
    </row>
    <row r="937" ht="14.25" spans="1:15">
      <c r="A937" s="245" t="s">
        <v>69</v>
      </c>
      <c r="B937" s="52" t="s">
        <v>64</v>
      </c>
      <c r="C937" s="19">
        <v>0.333333333333333</v>
      </c>
      <c r="D937" s="246">
        <v>0</v>
      </c>
      <c r="E937" s="246">
        <v>1</v>
      </c>
      <c r="F937" s="246">
        <v>0</v>
      </c>
      <c r="G937" s="246">
        <v>1</v>
      </c>
      <c r="H937" s="246">
        <v>0</v>
      </c>
      <c r="I937" s="246">
        <v>0.5</v>
      </c>
      <c r="J937" s="246">
        <v>0.333333333333333</v>
      </c>
      <c r="K937" s="246">
        <v>0.0909090909090909</v>
      </c>
      <c r="L937" s="246">
        <v>0.666666666666667</v>
      </c>
      <c r="M937" s="246">
        <v>0</v>
      </c>
      <c r="N937" s="246">
        <v>0.75</v>
      </c>
      <c r="O937" s="255">
        <v>0</v>
      </c>
    </row>
    <row r="938" spans="1:15">
      <c r="A938" s="240" t="s">
        <v>70</v>
      </c>
      <c r="B938" s="47" t="s">
        <v>55</v>
      </c>
      <c r="C938" s="12">
        <v>0.602880658436214</v>
      </c>
      <c r="D938" s="241">
        <v>1</v>
      </c>
      <c r="E938" s="241">
        <v>1.9</v>
      </c>
      <c r="F938" s="241">
        <v>0.8125</v>
      </c>
      <c r="G938" s="241">
        <v>0.75</v>
      </c>
      <c r="H938" s="241">
        <v>0.697674418604651</v>
      </c>
      <c r="I938" s="241">
        <v>0.5</v>
      </c>
      <c r="J938" s="241">
        <v>0.431818181818182</v>
      </c>
      <c r="K938" s="241">
        <v>0.425925925925926</v>
      </c>
      <c r="L938" s="241">
        <v>0.313725490196078</v>
      </c>
      <c r="M938" s="241">
        <v>0.472222222222222</v>
      </c>
      <c r="N938" s="241">
        <v>0.301587301587302</v>
      </c>
      <c r="O938" s="252">
        <v>0.876712328767123</v>
      </c>
    </row>
    <row r="939" spans="1:15">
      <c r="A939" s="242" t="s">
        <v>70</v>
      </c>
      <c r="B939" s="43" t="s">
        <v>57</v>
      </c>
      <c r="C939" s="15">
        <v>486</v>
      </c>
      <c r="D939" s="243">
        <v>38</v>
      </c>
      <c r="E939" s="243">
        <v>10</v>
      </c>
      <c r="F939" s="243">
        <v>16</v>
      </c>
      <c r="G939" s="243">
        <v>24</v>
      </c>
      <c r="H939" s="243">
        <v>43</v>
      </c>
      <c r="I939" s="243">
        <v>34</v>
      </c>
      <c r="J939" s="243">
        <v>44</v>
      </c>
      <c r="K939" s="243">
        <v>54</v>
      </c>
      <c r="L939" s="243">
        <v>51</v>
      </c>
      <c r="M939" s="243">
        <v>36</v>
      </c>
      <c r="N939" s="243">
        <v>63</v>
      </c>
      <c r="O939" s="253">
        <v>73</v>
      </c>
    </row>
    <row r="940" spans="1:15">
      <c r="A940" s="240" t="s">
        <v>70</v>
      </c>
      <c r="B940" s="47" t="s">
        <v>59</v>
      </c>
      <c r="C940" s="15">
        <v>293</v>
      </c>
      <c r="D940" s="243">
        <v>38</v>
      </c>
      <c r="E940" s="243">
        <v>19</v>
      </c>
      <c r="F940" s="243">
        <v>13</v>
      </c>
      <c r="G940" s="243">
        <v>18</v>
      </c>
      <c r="H940" s="243">
        <v>30</v>
      </c>
      <c r="I940" s="243">
        <v>17</v>
      </c>
      <c r="J940" s="243">
        <v>19</v>
      </c>
      <c r="K940" s="243">
        <v>23</v>
      </c>
      <c r="L940" s="243">
        <v>16</v>
      </c>
      <c r="M940" s="243">
        <v>17</v>
      </c>
      <c r="N940" s="243">
        <v>19</v>
      </c>
      <c r="O940" s="253">
        <v>64</v>
      </c>
    </row>
    <row r="941" spans="1:15">
      <c r="A941" s="242" t="s">
        <v>70</v>
      </c>
      <c r="B941" s="43" t="s">
        <v>4</v>
      </c>
      <c r="C941" s="15">
        <v>11</v>
      </c>
      <c r="D941" s="244">
        <v>1</v>
      </c>
      <c r="E941" s="244">
        <v>0</v>
      </c>
      <c r="F941" s="244">
        <v>0</v>
      </c>
      <c r="G941" s="244">
        <v>0</v>
      </c>
      <c r="H941" s="244">
        <v>1</v>
      </c>
      <c r="I941" s="244">
        <v>1</v>
      </c>
      <c r="J941" s="244">
        <v>0</v>
      </c>
      <c r="K941" s="244">
        <v>3</v>
      </c>
      <c r="L941" s="244">
        <v>1</v>
      </c>
      <c r="M941" s="244">
        <v>1</v>
      </c>
      <c r="N941" s="244">
        <v>0</v>
      </c>
      <c r="O941" s="254">
        <v>3</v>
      </c>
    </row>
    <row r="942" spans="1:15">
      <c r="A942" s="240" t="s">
        <v>70</v>
      </c>
      <c r="B942" s="47" t="s">
        <v>5</v>
      </c>
      <c r="C942" s="12">
        <v>0.037542662116041</v>
      </c>
      <c r="D942" s="241">
        <v>0.0263157894736842</v>
      </c>
      <c r="E942" s="241">
        <v>0</v>
      </c>
      <c r="F942" s="241">
        <v>0</v>
      </c>
      <c r="G942" s="241">
        <v>0</v>
      </c>
      <c r="H942" s="241">
        <v>0.0333333333333333</v>
      </c>
      <c r="I942" s="241">
        <v>0.0588235294117647</v>
      </c>
      <c r="J942" s="241">
        <v>0</v>
      </c>
      <c r="K942" s="241">
        <v>0.130434782608696</v>
      </c>
      <c r="L942" s="241">
        <v>0.0625</v>
      </c>
      <c r="M942" s="241">
        <v>0.0588235294117647</v>
      </c>
      <c r="N942" s="241">
        <v>0</v>
      </c>
      <c r="O942" s="252">
        <v>0.046875</v>
      </c>
    </row>
    <row r="943" spans="1:15">
      <c r="A943" s="242" t="s">
        <v>70</v>
      </c>
      <c r="B943" s="43" t="s">
        <v>6</v>
      </c>
      <c r="C943" s="15">
        <v>3</v>
      </c>
      <c r="D943" s="244">
        <v>0</v>
      </c>
      <c r="E943" s="244">
        <v>0</v>
      </c>
      <c r="F943" s="244">
        <v>0</v>
      </c>
      <c r="G943" s="244">
        <v>0</v>
      </c>
      <c r="H943" s="244">
        <v>1</v>
      </c>
      <c r="I943" s="244">
        <v>0</v>
      </c>
      <c r="J943" s="244">
        <v>0</v>
      </c>
      <c r="K943" s="244">
        <v>0</v>
      </c>
      <c r="L943" s="244">
        <v>1</v>
      </c>
      <c r="M943" s="244">
        <v>0</v>
      </c>
      <c r="N943" s="244">
        <v>0</v>
      </c>
      <c r="O943" s="254">
        <v>1</v>
      </c>
    </row>
    <row r="944" ht="14.25" spans="1:15">
      <c r="A944" s="245" t="s">
        <v>70</v>
      </c>
      <c r="B944" s="52" t="s">
        <v>64</v>
      </c>
      <c r="C944" s="19">
        <v>0.272727272727273</v>
      </c>
      <c r="D944" s="246">
        <v>0</v>
      </c>
      <c r="E944" s="246">
        <v>0</v>
      </c>
      <c r="F944" s="246">
        <v>0</v>
      </c>
      <c r="G944" s="246">
        <v>0</v>
      </c>
      <c r="H944" s="246">
        <v>1</v>
      </c>
      <c r="I944" s="246">
        <v>0</v>
      </c>
      <c r="J944" s="246">
        <v>0</v>
      </c>
      <c r="K944" s="246">
        <v>0</v>
      </c>
      <c r="L944" s="246">
        <v>1</v>
      </c>
      <c r="M944" s="246">
        <v>0</v>
      </c>
      <c r="N944" s="246">
        <v>0</v>
      </c>
      <c r="O944" s="255">
        <v>0.333333333333333</v>
      </c>
    </row>
    <row r="945" spans="1:15">
      <c r="A945" s="240" t="s">
        <v>26</v>
      </c>
      <c r="B945" s="47" t="s">
        <v>55</v>
      </c>
      <c r="C945" s="12">
        <v>0.516160626836435</v>
      </c>
      <c r="D945" s="241">
        <v>0.583333333333333</v>
      </c>
      <c r="E945" s="241">
        <v>0.572727272727273</v>
      </c>
      <c r="F945" s="241">
        <v>0.453488372093023</v>
      </c>
      <c r="G945" s="241">
        <v>0.69047619047619</v>
      </c>
      <c r="H945" s="241">
        <v>0.58974358974359</v>
      </c>
      <c r="I945" s="241">
        <v>0.47029702970297</v>
      </c>
      <c r="J945" s="241">
        <v>0.544642857142857</v>
      </c>
      <c r="K945" s="241">
        <v>0.51980198019802</v>
      </c>
      <c r="L945" s="241">
        <v>0.43125</v>
      </c>
      <c r="M945" s="241">
        <v>0.5</v>
      </c>
      <c r="N945" s="241">
        <v>0.483050847457627</v>
      </c>
      <c r="O945" s="252">
        <v>0.467741935483871</v>
      </c>
    </row>
    <row r="946" spans="1:15">
      <c r="A946" s="242" t="s">
        <v>26</v>
      </c>
      <c r="B946" s="43" t="s">
        <v>57</v>
      </c>
      <c r="C946" s="15">
        <v>2042</v>
      </c>
      <c r="D946" s="243">
        <v>168</v>
      </c>
      <c r="E946" s="243">
        <v>110</v>
      </c>
      <c r="F946" s="243">
        <v>86</v>
      </c>
      <c r="G946" s="243">
        <v>84</v>
      </c>
      <c r="H946" s="243">
        <v>156</v>
      </c>
      <c r="I946" s="243">
        <v>202</v>
      </c>
      <c r="J946" s="243">
        <v>224</v>
      </c>
      <c r="K946" s="243">
        <v>202</v>
      </c>
      <c r="L946" s="243">
        <v>160</v>
      </c>
      <c r="M946" s="243">
        <v>166</v>
      </c>
      <c r="N946" s="243">
        <v>236</v>
      </c>
      <c r="O946" s="253">
        <v>248</v>
      </c>
    </row>
    <row r="947" spans="1:15">
      <c r="A947" s="240" t="s">
        <v>26</v>
      </c>
      <c r="B947" s="47" t="s">
        <v>59</v>
      </c>
      <c r="C947" s="15">
        <v>1054</v>
      </c>
      <c r="D947" s="243">
        <v>98</v>
      </c>
      <c r="E947" s="243">
        <v>63</v>
      </c>
      <c r="F947" s="243">
        <v>39</v>
      </c>
      <c r="G947" s="243">
        <v>58</v>
      </c>
      <c r="H947" s="243">
        <v>92</v>
      </c>
      <c r="I947" s="243">
        <v>95</v>
      </c>
      <c r="J947" s="243">
        <v>122</v>
      </c>
      <c r="K947" s="243">
        <v>105</v>
      </c>
      <c r="L947" s="243">
        <v>69</v>
      </c>
      <c r="M947" s="243">
        <v>83</v>
      </c>
      <c r="N947" s="243">
        <v>114</v>
      </c>
      <c r="O947" s="253">
        <v>116</v>
      </c>
    </row>
    <row r="948" spans="1:15">
      <c r="A948" s="242" t="s">
        <v>26</v>
      </c>
      <c r="B948" s="43" t="s">
        <v>4</v>
      </c>
      <c r="C948" s="15">
        <v>30</v>
      </c>
      <c r="D948" s="244">
        <v>3</v>
      </c>
      <c r="E948" s="244">
        <v>3</v>
      </c>
      <c r="F948" s="244">
        <v>1</v>
      </c>
      <c r="G948" s="244">
        <v>0</v>
      </c>
      <c r="H948" s="244">
        <v>1</v>
      </c>
      <c r="I948" s="244">
        <v>4</v>
      </c>
      <c r="J948" s="244">
        <v>5</v>
      </c>
      <c r="K948" s="244">
        <v>3</v>
      </c>
      <c r="L948" s="244">
        <v>2</v>
      </c>
      <c r="M948" s="244">
        <v>0</v>
      </c>
      <c r="N948" s="244">
        <v>4</v>
      </c>
      <c r="O948" s="254">
        <v>4</v>
      </c>
    </row>
    <row r="949" spans="1:15">
      <c r="A949" s="240" t="s">
        <v>26</v>
      </c>
      <c r="B949" s="47" t="s">
        <v>5</v>
      </c>
      <c r="C949" s="12">
        <v>0.0284629981024668</v>
      </c>
      <c r="D949" s="241">
        <v>0.0306122448979592</v>
      </c>
      <c r="E949" s="241">
        <v>0.0476190476190476</v>
      </c>
      <c r="F949" s="241">
        <v>0.0256410256410256</v>
      </c>
      <c r="G949" s="241">
        <v>0</v>
      </c>
      <c r="H949" s="241">
        <v>0.0108695652173913</v>
      </c>
      <c r="I949" s="241">
        <v>0.0421052631578947</v>
      </c>
      <c r="J949" s="241">
        <v>0.040983606557377</v>
      </c>
      <c r="K949" s="241">
        <v>0.0285714285714286</v>
      </c>
      <c r="L949" s="241">
        <v>0.0289855072463768</v>
      </c>
      <c r="M949" s="241">
        <v>0</v>
      </c>
      <c r="N949" s="241">
        <v>0.0350877192982456</v>
      </c>
      <c r="O949" s="252">
        <v>0.0344827586206897</v>
      </c>
    </row>
    <row r="950" spans="1:15">
      <c r="A950" s="242" t="s">
        <v>26</v>
      </c>
      <c r="B950" s="43" t="s">
        <v>6</v>
      </c>
      <c r="C950" s="15">
        <v>9</v>
      </c>
      <c r="D950" s="244">
        <v>1</v>
      </c>
      <c r="E950" s="244">
        <v>2</v>
      </c>
      <c r="F950" s="244">
        <v>0</v>
      </c>
      <c r="G950" s="244">
        <v>0</v>
      </c>
      <c r="H950" s="244">
        <v>1</v>
      </c>
      <c r="I950" s="244">
        <v>2</v>
      </c>
      <c r="J950" s="244">
        <v>1</v>
      </c>
      <c r="K950" s="244">
        <v>0</v>
      </c>
      <c r="L950" s="244">
        <v>2</v>
      </c>
      <c r="M950" s="244">
        <v>0</v>
      </c>
      <c r="N950" s="244">
        <v>0</v>
      </c>
      <c r="O950" s="254">
        <v>0</v>
      </c>
    </row>
    <row r="951" ht="14.25" spans="1:15">
      <c r="A951" s="245" t="s">
        <v>26</v>
      </c>
      <c r="B951" s="52" t="s">
        <v>64</v>
      </c>
      <c r="C951" s="19">
        <v>0.3</v>
      </c>
      <c r="D951" s="250">
        <v>1</v>
      </c>
      <c r="E951" s="250">
        <v>2</v>
      </c>
      <c r="F951" s="250">
        <v>0</v>
      </c>
      <c r="G951" s="250">
        <v>0</v>
      </c>
      <c r="H951" s="250">
        <v>1</v>
      </c>
      <c r="I951" s="250">
        <v>2</v>
      </c>
      <c r="J951" s="250">
        <v>1</v>
      </c>
      <c r="K951" s="250">
        <v>0</v>
      </c>
      <c r="L951" s="250">
        <v>2</v>
      </c>
      <c r="M951" s="250">
        <v>0</v>
      </c>
      <c r="N951" s="250">
        <v>0</v>
      </c>
      <c r="O951" s="257">
        <v>0</v>
      </c>
    </row>
    <row r="952" spans="1:15">
      <c r="A952" s="240" t="s">
        <v>71</v>
      </c>
      <c r="B952" s="47" t="s">
        <v>55</v>
      </c>
      <c r="C952" s="12">
        <v>0.0122282608695652</v>
      </c>
      <c r="D952" s="241">
        <v>0</v>
      </c>
      <c r="E952" s="241">
        <v>0</v>
      </c>
      <c r="F952" s="241">
        <v>0</v>
      </c>
      <c r="G952" s="241">
        <v>0.032258064516129</v>
      </c>
      <c r="H952" s="241">
        <v>0</v>
      </c>
      <c r="I952" s="241">
        <v>0</v>
      </c>
      <c r="J952" s="241">
        <v>0.0294117647058824</v>
      </c>
      <c r="K952" s="241">
        <v>0.015625</v>
      </c>
      <c r="L952" s="241">
        <v>0.0196078431372549</v>
      </c>
      <c r="M952" s="241">
        <v>0.0576923076923077</v>
      </c>
      <c r="N952" s="241">
        <v>0.0138888888888889</v>
      </c>
      <c r="O952" s="252">
        <v>0</v>
      </c>
    </row>
    <row r="953" spans="1:15">
      <c r="A953" s="242" t="s">
        <v>71</v>
      </c>
      <c r="B953" s="43" t="s">
        <v>57</v>
      </c>
      <c r="C953" s="15">
        <v>736</v>
      </c>
      <c r="D953" s="243">
        <v>67</v>
      </c>
      <c r="E953" s="243">
        <v>47</v>
      </c>
      <c r="F953" s="243">
        <v>32</v>
      </c>
      <c r="G953" s="243">
        <v>31</v>
      </c>
      <c r="H953" s="243">
        <v>81</v>
      </c>
      <c r="I953" s="243">
        <v>78</v>
      </c>
      <c r="J953" s="243">
        <v>68</v>
      </c>
      <c r="K953" s="243">
        <v>64</v>
      </c>
      <c r="L953" s="243">
        <v>51</v>
      </c>
      <c r="M953" s="243">
        <v>52</v>
      </c>
      <c r="N953" s="243">
        <v>72</v>
      </c>
      <c r="O953" s="253">
        <v>93</v>
      </c>
    </row>
    <row r="954" spans="1:15">
      <c r="A954" s="240" t="s">
        <v>71</v>
      </c>
      <c r="B954" s="47" t="s">
        <v>59</v>
      </c>
      <c r="C954" s="15">
        <v>9</v>
      </c>
      <c r="D954" s="243">
        <v>0</v>
      </c>
      <c r="E954" s="243">
        <v>0</v>
      </c>
      <c r="F954" s="243">
        <v>0</v>
      </c>
      <c r="G954" s="243">
        <v>1</v>
      </c>
      <c r="H954" s="243">
        <v>0</v>
      </c>
      <c r="I954" s="243">
        <v>0</v>
      </c>
      <c r="J954" s="243">
        <v>2</v>
      </c>
      <c r="K954" s="243">
        <v>1</v>
      </c>
      <c r="L954" s="243">
        <v>1</v>
      </c>
      <c r="M954" s="243">
        <v>3</v>
      </c>
      <c r="N954" s="243">
        <v>1</v>
      </c>
      <c r="O954" s="253">
        <v>0</v>
      </c>
    </row>
    <row r="955" spans="1:15">
      <c r="A955" s="242" t="s">
        <v>71</v>
      </c>
      <c r="B955" s="43" t="s">
        <v>4</v>
      </c>
      <c r="C955" s="15">
        <v>25</v>
      </c>
      <c r="D955" s="244">
        <v>1</v>
      </c>
      <c r="E955" s="244">
        <v>1</v>
      </c>
      <c r="F955" s="244">
        <v>2</v>
      </c>
      <c r="G955" s="244">
        <v>1</v>
      </c>
      <c r="H955" s="244">
        <v>2</v>
      </c>
      <c r="I955" s="244">
        <v>2</v>
      </c>
      <c r="J955" s="244">
        <v>1</v>
      </c>
      <c r="K955" s="244">
        <v>4</v>
      </c>
      <c r="L955" s="244">
        <v>2</v>
      </c>
      <c r="M955" s="244">
        <v>3</v>
      </c>
      <c r="N955" s="244">
        <v>3</v>
      </c>
      <c r="O955" s="254">
        <v>3</v>
      </c>
    </row>
    <row r="956" spans="1:15">
      <c r="A956" s="240" t="s">
        <v>71</v>
      </c>
      <c r="B956" s="47" t="s">
        <v>5</v>
      </c>
      <c r="C956" s="12">
        <v>2.77777777777778</v>
      </c>
      <c r="D956" s="241">
        <v>0</v>
      </c>
      <c r="E956" s="241">
        <v>0</v>
      </c>
      <c r="F956" s="241">
        <v>0</v>
      </c>
      <c r="G956" s="241">
        <v>1</v>
      </c>
      <c r="H956" s="241">
        <v>0</v>
      </c>
      <c r="I956" s="241">
        <v>0</v>
      </c>
      <c r="J956" s="241">
        <v>0.5</v>
      </c>
      <c r="K956" s="241">
        <v>4</v>
      </c>
      <c r="L956" s="241">
        <v>2</v>
      </c>
      <c r="M956" s="241">
        <v>1</v>
      </c>
      <c r="N956" s="241">
        <v>3</v>
      </c>
      <c r="O956" s="252">
        <v>0</v>
      </c>
    </row>
    <row r="957" spans="1:15">
      <c r="A957" s="242" t="s">
        <v>71</v>
      </c>
      <c r="B957" s="43" t="s">
        <v>6</v>
      </c>
      <c r="C957" s="15">
        <v>8</v>
      </c>
      <c r="D957" s="244">
        <v>0</v>
      </c>
      <c r="E957" s="244">
        <v>0</v>
      </c>
      <c r="F957" s="244">
        <v>1</v>
      </c>
      <c r="G957" s="244">
        <v>1</v>
      </c>
      <c r="H957" s="244">
        <v>0</v>
      </c>
      <c r="I957" s="244">
        <v>1</v>
      </c>
      <c r="J957" s="244">
        <v>1</v>
      </c>
      <c r="K957" s="244">
        <v>2</v>
      </c>
      <c r="L957" s="244">
        <v>0</v>
      </c>
      <c r="M957" s="244">
        <v>0</v>
      </c>
      <c r="N957" s="244">
        <v>0</v>
      </c>
      <c r="O957" s="254">
        <v>2</v>
      </c>
    </row>
    <row r="958" ht="14.25" spans="1:15">
      <c r="A958" s="245" t="s">
        <v>71</v>
      </c>
      <c r="B958" s="52" t="s">
        <v>64</v>
      </c>
      <c r="C958" s="19">
        <v>0.32</v>
      </c>
      <c r="D958" s="250">
        <v>0</v>
      </c>
      <c r="E958" s="250">
        <v>0</v>
      </c>
      <c r="F958" s="250">
        <v>1</v>
      </c>
      <c r="G958" s="250">
        <v>1</v>
      </c>
      <c r="H958" s="250">
        <v>0</v>
      </c>
      <c r="I958" s="250">
        <v>1</v>
      </c>
      <c r="J958" s="250">
        <v>1</v>
      </c>
      <c r="K958" s="250">
        <v>2</v>
      </c>
      <c r="L958" s="250">
        <v>0</v>
      </c>
      <c r="M958" s="250">
        <v>0</v>
      </c>
      <c r="N958" s="250">
        <v>0</v>
      </c>
      <c r="O958" s="257">
        <v>2</v>
      </c>
    </row>
    <row r="959" spans="1:15">
      <c r="A959" s="240" t="s">
        <v>72</v>
      </c>
      <c r="B959" s="47" t="s">
        <v>55</v>
      </c>
      <c r="C959" s="12">
        <v>0.445205479452055</v>
      </c>
      <c r="D959" s="241">
        <v>0.472222222222222</v>
      </c>
      <c r="E959" s="241">
        <v>0.5</v>
      </c>
      <c r="F959" s="241">
        <v>0.5</v>
      </c>
      <c r="G959" s="241">
        <v>0.5</v>
      </c>
      <c r="H959" s="241">
        <v>0.5</v>
      </c>
      <c r="I959" s="241">
        <v>0.272727272727273</v>
      </c>
      <c r="J959" s="241">
        <v>0.5</v>
      </c>
      <c r="K959" s="241">
        <v>0.46875</v>
      </c>
      <c r="L959" s="241">
        <v>0.428571428571429</v>
      </c>
      <c r="M959" s="241">
        <v>0.590909090909091</v>
      </c>
      <c r="N959" s="241">
        <v>0.368421052631579</v>
      </c>
      <c r="O959" s="252">
        <v>0.388888888888889</v>
      </c>
    </row>
    <row r="960" spans="1:15">
      <c r="A960" s="242" t="s">
        <v>72</v>
      </c>
      <c r="B960" s="43" t="s">
        <v>57</v>
      </c>
      <c r="C960" s="15">
        <v>292</v>
      </c>
      <c r="D960" s="243">
        <v>36</v>
      </c>
      <c r="E960" s="243">
        <v>14</v>
      </c>
      <c r="F960" s="243">
        <v>12</v>
      </c>
      <c r="G960" s="243">
        <v>12</v>
      </c>
      <c r="H960" s="243">
        <v>12</v>
      </c>
      <c r="I960" s="243">
        <v>22</v>
      </c>
      <c r="J960" s="243">
        <v>28</v>
      </c>
      <c r="K960" s="243">
        <v>32</v>
      </c>
      <c r="L960" s="243">
        <v>28</v>
      </c>
      <c r="M960" s="243">
        <v>22</v>
      </c>
      <c r="N960" s="243">
        <v>38</v>
      </c>
      <c r="O960" s="253">
        <v>36</v>
      </c>
    </row>
    <row r="961" spans="1:15">
      <c r="A961" s="240" t="s">
        <v>72</v>
      </c>
      <c r="B961" s="47" t="s">
        <v>59</v>
      </c>
      <c r="C961" s="15">
        <v>130</v>
      </c>
      <c r="D961" s="243">
        <v>17</v>
      </c>
      <c r="E961" s="243">
        <v>7</v>
      </c>
      <c r="F961" s="243">
        <v>6</v>
      </c>
      <c r="G961" s="243">
        <v>6</v>
      </c>
      <c r="H961" s="243">
        <v>6</v>
      </c>
      <c r="I961" s="243">
        <v>6</v>
      </c>
      <c r="J961" s="243">
        <v>14</v>
      </c>
      <c r="K961" s="243">
        <v>15</v>
      </c>
      <c r="L961" s="243">
        <v>12</v>
      </c>
      <c r="M961" s="243">
        <v>13</v>
      </c>
      <c r="N961" s="243">
        <v>14</v>
      </c>
      <c r="O961" s="253">
        <v>14</v>
      </c>
    </row>
    <row r="962" spans="1:15">
      <c r="A962" s="242" t="s">
        <v>72</v>
      </c>
      <c r="B962" s="43" t="s">
        <v>4</v>
      </c>
      <c r="C962" s="15">
        <v>8</v>
      </c>
      <c r="D962" s="244">
        <v>1</v>
      </c>
      <c r="E962" s="244">
        <v>1</v>
      </c>
      <c r="F962" s="244">
        <v>0</v>
      </c>
      <c r="G962" s="244">
        <v>0</v>
      </c>
      <c r="H962" s="244">
        <v>0</v>
      </c>
      <c r="I962" s="244">
        <v>0</v>
      </c>
      <c r="J962" s="244">
        <v>0</v>
      </c>
      <c r="K962" s="244">
        <v>4</v>
      </c>
      <c r="L962" s="244">
        <v>0</v>
      </c>
      <c r="M962" s="244">
        <v>1</v>
      </c>
      <c r="N962" s="244">
        <v>1</v>
      </c>
      <c r="O962" s="254">
        <v>0</v>
      </c>
    </row>
    <row r="963" spans="1:15">
      <c r="A963" s="240" t="s">
        <v>72</v>
      </c>
      <c r="B963" s="47" t="s">
        <v>5</v>
      </c>
      <c r="C963" s="12">
        <v>0.0615384615384615</v>
      </c>
      <c r="D963" s="241">
        <v>0.0588235294117647</v>
      </c>
      <c r="E963" s="241">
        <v>0.142857142857143</v>
      </c>
      <c r="F963" s="241">
        <v>0</v>
      </c>
      <c r="G963" s="241">
        <v>0</v>
      </c>
      <c r="H963" s="241">
        <v>0</v>
      </c>
      <c r="I963" s="241">
        <v>0</v>
      </c>
      <c r="J963" s="241">
        <v>0</v>
      </c>
      <c r="K963" s="241">
        <v>0.266666666666667</v>
      </c>
      <c r="L963" s="241">
        <v>0</v>
      </c>
      <c r="M963" s="241">
        <v>0.0769230769230769</v>
      </c>
      <c r="N963" s="241">
        <v>0.0714285714285714</v>
      </c>
      <c r="O963" s="252">
        <v>0</v>
      </c>
    </row>
    <row r="964" spans="1:15">
      <c r="A964" s="242" t="s">
        <v>72</v>
      </c>
      <c r="B964" s="43" t="s">
        <v>6</v>
      </c>
      <c r="C964" s="15">
        <v>3</v>
      </c>
      <c r="D964" s="244">
        <v>0</v>
      </c>
      <c r="E964" s="244">
        <v>1</v>
      </c>
      <c r="F964" s="244">
        <v>0</v>
      </c>
      <c r="G964" s="244">
        <v>0</v>
      </c>
      <c r="H964" s="244">
        <v>0</v>
      </c>
      <c r="I964" s="244">
        <v>0</v>
      </c>
      <c r="J964" s="244">
        <v>0</v>
      </c>
      <c r="K964" s="244">
        <v>1</v>
      </c>
      <c r="L964" s="244">
        <v>0</v>
      </c>
      <c r="M964" s="244">
        <v>0</v>
      </c>
      <c r="N964" s="244">
        <v>1</v>
      </c>
      <c r="O964" s="254">
        <v>0</v>
      </c>
    </row>
    <row r="965" ht="14.25" spans="1:15">
      <c r="A965" s="245" t="s">
        <v>72</v>
      </c>
      <c r="B965" s="52" t="s">
        <v>64</v>
      </c>
      <c r="C965" s="19">
        <v>0.375</v>
      </c>
      <c r="D965" s="250">
        <v>0</v>
      </c>
      <c r="E965" s="250">
        <v>1</v>
      </c>
      <c r="F965" s="250">
        <v>0</v>
      </c>
      <c r="G965" s="250">
        <v>0</v>
      </c>
      <c r="H965" s="250">
        <v>0</v>
      </c>
      <c r="I965" s="250">
        <v>0</v>
      </c>
      <c r="J965" s="250">
        <v>0</v>
      </c>
      <c r="K965" s="250">
        <v>1</v>
      </c>
      <c r="L965" s="250">
        <v>0</v>
      </c>
      <c r="M965" s="250">
        <v>0</v>
      </c>
      <c r="N965" s="250">
        <v>1</v>
      </c>
      <c r="O965" s="257">
        <v>0</v>
      </c>
    </row>
    <row r="966" ht="14.25" spans="1:15">
      <c r="A966" s="237">
        <v>45034</v>
      </c>
      <c r="B966" s="237"/>
      <c r="C966" s="237"/>
      <c r="D966" s="237"/>
      <c r="E966" s="237"/>
      <c r="F966" s="237"/>
      <c r="G966" s="237"/>
      <c r="H966" s="237"/>
      <c r="I966" s="237"/>
      <c r="J966" s="237"/>
      <c r="K966" s="237"/>
      <c r="L966" s="237"/>
      <c r="M966" s="237"/>
      <c r="N966" s="237"/>
      <c r="O966" s="237"/>
    </row>
    <row r="967" spans="1:15">
      <c r="A967" s="56" t="s">
        <v>1</v>
      </c>
      <c r="B967" s="238"/>
      <c r="C967" s="8" t="s">
        <v>42</v>
      </c>
      <c r="D967" s="239" t="s">
        <v>43</v>
      </c>
      <c r="E967" s="239" t="s">
        <v>44</v>
      </c>
      <c r="F967" s="239" t="s">
        <v>45</v>
      </c>
      <c r="G967" s="239" t="s">
        <v>46</v>
      </c>
      <c r="H967" s="239" t="s">
        <v>47</v>
      </c>
      <c r="I967" s="239" t="s">
        <v>48</v>
      </c>
      <c r="J967" s="239" t="s">
        <v>49</v>
      </c>
      <c r="K967" s="239" t="s">
        <v>50</v>
      </c>
      <c r="L967" s="239" t="s">
        <v>51</v>
      </c>
      <c r="M967" s="239" t="s">
        <v>52</v>
      </c>
      <c r="N967" s="239" t="s">
        <v>53</v>
      </c>
      <c r="O967" s="251" t="s">
        <v>54</v>
      </c>
    </row>
    <row r="968" spans="1:15">
      <c r="A968" s="240" t="s">
        <v>22</v>
      </c>
      <c r="B968" s="47" t="s">
        <v>55</v>
      </c>
      <c r="C968" s="12">
        <v>0.349423437919013</v>
      </c>
      <c r="D968" s="241">
        <v>0.25</v>
      </c>
      <c r="E968" s="241">
        <v>0.176767676767677</v>
      </c>
      <c r="F968" s="241">
        <v>0.207006369426752</v>
      </c>
      <c r="G968" s="241">
        <v>0.272357723577236</v>
      </c>
      <c r="H968" s="241">
        <v>0.431506849315068</v>
      </c>
      <c r="I968" s="241">
        <v>0.44106463878327</v>
      </c>
      <c r="J968" s="241">
        <v>0.507575757575758</v>
      </c>
      <c r="K968" s="241">
        <v>0.44</v>
      </c>
      <c r="L968" s="241">
        <v>0.546728971962617</v>
      </c>
      <c r="M968" s="241">
        <v>0.4149377593361</v>
      </c>
      <c r="N968" s="241">
        <v>0.454861111111111</v>
      </c>
      <c r="O968" s="252">
        <v>0.322493224932249</v>
      </c>
    </row>
    <row r="969" spans="1:15">
      <c r="A969" s="242" t="s">
        <v>22</v>
      </c>
      <c r="B969" s="43" t="s">
        <v>57</v>
      </c>
      <c r="C969" s="15">
        <v>3729</v>
      </c>
      <c r="D969" s="243">
        <v>592</v>
      </c>
      <c r="E969" s="243">
        <v>396</v>
      </c>
      <c r="F969" s="243">
        <v>314</v>
      </c>
      <c r="G969" s="243">
        <v>246</v>
      </c>
      <c r="H969" s="243">
        <v>292</v>
      </c>
      <c r="I969" s="243">
        <v>263</v>
      </c>
      <c r="J969" s="243">
        <v>264</v>
      </c>
      <c r="K969" s="243">
        <v>250</v>
      </c>
      <c r="L969" s="243">
        <v>214</v>
      </c>
      <c r="M969" s="243">
        <v>241</v>
      </c>
      <c r="N969" s="243">
        <v>288</v>
      </c>
      <c r="O969" s="253">
        <v>369</v>
      </c>
    </row>
    <row r="970" spans="1:15">
      <c r="A970" s="240" t="s">
        <v>22</v>
      </c>
      <c r="B970" s="47" t="s">
        <v>59</v>
      </c>
      <c r="C970" s="15">
        <v>1303</v>
      </c>
      <c r="D970" s="243">
        <v>148</v>
      </c>
      <c r="E970" s="243">
        <v>70</v>
      </c>
      <c r="F970" s="243">
        <v>65</v>
      </c>
      <c r="G970" s="243">
        <v>67</v>
      </c>
      <c r="H970" s="243">
        <v>126</v>
      </c>
      <c r="I970" s="243">
        <v>116</v>
      </c>
      <c r="J970" s="243">
        <v>134</v>
      </c>
      <c r="K970" s="243">
        <v>110</v>
      </c>
      <c r="L970" s="243">
        <v>117</v>
      </c>
      <c r="M970" s="243">
        <v>100</v>
      </c>
      <c r="N970" s="243">
        <v>131</v>
      </c>
      <c r="O970" s="253">
        <v>119</v>
      </c>
    </row>
    <row r="971" spans="1:15">
      <c r="A971" s="242" t="s">
        <v>22</v>
      </c>
      <c r="B971" s="43" t="s">
        <v>4</v>
      </c>
      <c r="C971" s="15">
        <v>73</v>
      </c>
      <c r="D971" s="244">
        <v>6</v>
      </c>
      <c r="E971" s="244">
        <v>11</v>
      </c>
      <c r="F971" s="244">
        <v>4</v>
      </c>
      <c r="G971" s="244">
        <v>4</v>
      </c>
      <c r="H971" s="244">
        <v>2</v>
      </c>
      <c r="I971" s="244">
        <v>8</v>
      </c>
      <c r="J971" s="244">
        <v>8</v>
      </c>
      <c r="K971" s="244">
        <v>5</v>
      </c>
      <c r="L971" s="244">
        <v>5</v>
      </c>
      <c r="M971" s="244">
        <v>2</v>
      </c>
      <c r="N971" s="244">
        <v>7</v>
      </c>
      <c r="O971" s="254">
        <v>11</v>
      </c>
    </row>
    <row r="972" spans="1:15">
      <c r="A972" s="240" t="s">
        <v>22</v>
      </c>
      <c r="B972" s="47" t="s">
        <v>5</v>
      </c>
      <c r="C972" s="12">
        <v>0.0560245587106677</v>
      </c>
      <c r="D972" s="241">
        <v>0.0405405405405405</v>
      </c>
      <c r="E972" s="241">
        <v>0.157142857142857</v>
      </c>
      <c r="F972" s="241">
        <v>0.0615384615384615</v>
      </c>
      <c r="G972" s="241">
        <v>0.0597014925373134</v>
      </c>
      <c r="H972" s="241">
        <v>0.0158730158730159</v>
      </c>
      <c r="I972" s="241">
        <v>0.0689655172413793</v>
      </c>
      <c r="J972" s="241">
        <v>0.0597014925373134</v>
      </c>
      <c r="K972" s="241">
        <v>0.0454545454545455</v>
      </c>
      <c r="L972" s="241">
        <v>0.0427350427350427</v>
      </c>
      <c r="M972" s="241">
        <v>0.02</v>
      </c>
      <c r="N972" s="241">
        <v>0.0534351145038168</v>
      </c>
      <c r="O972" s="252">
        <v>0.092436974789916</v>
      </c>
    </row>
    <row r="973" spans="1:15">
      <c r="A973" s="242" t="s">
        <v>22</v>
      </c>
      <c r="B973" s="43" t="s">
        <v>6</v>
      </c>
      <c r="C973" s="15">
        <v>22</v>
      </c>
      <c r="D973" s="244">
        <v>0</v>
      </c>
      <c r="E973" s="244">
        <v>2</v>
      </c>
      <c r="F973" s="244">
        <v>1</v>
      </c>
      <c r="G973" s="244">
        <v>2</v>
      </c>
      <c r="H973" s="244">
        <v>1</v>
      </c>
      <c r="I973" s="244">
        <v>3</v>
      </c>
      <c r="J973" s="244">
        <v>0</v>
      </c>
      <c r="K973" s="244">
        <v>1</v>
      </c>
      <c r="L973" s="244">
        <v>6</v>
      </c>
      <c r="M973" s="244">
        <v>1</v>
      </c>
      <c r="N973" s="244">
        <v>2</v>
      </c>
      <c r="O973" s="254">
        <v>3</v>
      </c>
    </row>
    <row r="974" ht="14.25" spans="1:15">
      <c r="A974" s="245" t="s">
        <v>22</v>
      </c>
      <c r="B974" s="52" t="s">
        <v>64</v>
      </c>
      <c r="C974" s="19">
        <v>0.301369863013699</v>
      </c>
      <c r="D974" s="246">
        <v>0</v>
      </c>
      <c r="E974" s="246">
        <v>0.181818181818182</v>
      </c>
      <c r="F974" s="246">
        <v>0.25</v>
      </c>
      <c r="G974" s="246">
        <v>0.5</v>
      </c>
      <c r="H974" s="246">
        <v>0.5</v>
      </c>
      <c r="I974" s="246">
        <v>0.375</v>
      </c>
      <c r="J974" s="246">
        <v>0</v>
      </c>
      <c r="K974" s="246">
        <v>0.2</v>
      </c>
      <c r="L974" s="246">
        <v>1.2</v>
      </c>
      <c r="M974" s="246">
        <v>0.5</v>
      </c>
      <c r="N974" s="246">
        <v>0.285714285714286</v>
      </c>
      <c r="O974" s="255">
        <v>0.272727272727273</v>
      </c>
    </row>
    <row r="975" spans="1:15">
      <c r="A975" s="247" t="s">
        <v>66</v>
      </c>
      <c r="B975" s="248" t="s">
        <v>55</v>
      </c>
      <c r="C975" s="12">
        <v>0.153426791277259</v>
      </c>
      <c r="D975" s="249">
        <v>0.0945378151260504</v>
      </c>
      <c r="E975" s="249">
        <v>0.0604026845637584</v>
      </c>
      <c r="F975" s="249">
        <v>0.0897435897435897</v>
      </c>
      <c r="G975" s="249">
        <v>0.0617760617760618</v>
      </c>
      <c r="H975" s="249">
        <v>0.206451612903226</v>
      </c>
      <c r="I975" s="249">
        <v>0.23134328358209</v>
      </c>
      <c r="J975" s="249">
        <v>0.204724409448819</v>
      </c>
      <c r="K975" s="249">
        <v>0.34375</v>
      </c>
      <c r="L975" s="249">
        <v>0.248062015503876</v>
      </c>
      <c r="M975" s="249">
        <v>0.349056603773585</v>
      </c>
      <c r="N975" s="249">
        <v>0.264900662251656</v>
      </c>
      <c r="O975" s="256">
        <v>0.193693693693694</v>
      </c>
    </row>
    <row r="976" spans="1:15">
      <c r="A976" s="242" t="s">
        <v>66</v>
      </c>
      <c r="B976" s="43" t="s">
        <v>57</v>
      </c>
      <c r="C976" s="15">
        <v>2568</v>
      </c>
      <c r="D976" s="243">
        <v>476</v>
      </c>
      <c r="E976" s="243">
        <v>447</v>
      </c>
      <c r="F976" s="243">
        <v>234</v>
      </c>
      <c r="G976" s="243">
        <v>259</v>
      </c>
      <c r="H976" s="243">
        <v>155</v>
      </c>
      <c r="I976" s="243">
        <v>134</v>
      </c>
      <c r="J976" s="243">
        <v>127</v>
      </c>
      <c r="K976" s="243">
        <v>128</v>
      </c>
      <c r="L976" s="243">
        <v>129</v>
      </c>
      <c r="M976" s="243">
        <v>106</v>
      </c>
      <c r="N976" s="243">
        <v>151</v>
      </c>
      <c r="O976" s="253">
        <v>222</v>
      </c>
    </row>
    <row r="977" spans="1:15">
      <c r="A977" s="240" t="s">
        <v>66</v>
      </c>
      <c r="B977" s="47" t="s">
        <v>59</v>
      </c>
      <c r="C977" s="15">
        <v>394</v>
      </c>
      <c r="D977" s="243">
        <v>45</v>
      </c>
      <c r="E977" s="243">
        <v>27</v>
      </c>
      <c r="F977" s="243">
        <v>21</v>
      </c>
      <c r="G977" s="243">
        <v>16</v>
      </c>
      <c r="H977" s="243">
        <v>32</v>
      </c>
      <c r="I977" s="243">
        <v>31</v>
      </c>
      <c r="J977" s="243">
        <v>26</v>
      </c>
      <c r="K977" s="243">
        <v>44</v>
      </c>
      <c r="L977" s="243">
        <v>32</v>
      </c>
      <c r="M977" s="243">
        <v>37</v>
      </c>
      <c r="N977" s="243">
        <v>40</v>
      </c>
      <c r="O977" s="253">
        <v>43</v>
      </c>
    </row>
    <row r="978" spans="1:15">
      <c r="A978" s="242" t="s">
        <v>66</v>
      </c>
      <c r="B978" s="43" t="s">
        <v>4</v>
      </c>
      <c r="C978" s="15">
        <v>19</v>
      </c>
      <c r="D978" s="244">
        <v>4</v>
      </c>
      <c r="E978" s="244">
        <v>1</v>
      </c>
      <c r="F978" s="244">
        <v>3</v>
      </c>
      <c r="G978" s="244">
        <v>1</v>
      </c>
      <c r="H978" s="244">
        <v>0</v>
      </c>
      <c r="I978" s="244">
        <v>1</v>
      </c>
      <c r="J978" s="244">
        <v>1</v>
      </c>
      <c r="K978" s="244">
        <v>1</v>
      </c>
      <c r="L978" s="244">
        <v>0</v>
      </c>
      <c r="M978" s="244">
        <v>2</v>
      </c>
      <c r="N978" s="244">
        <v>2</v>
      </c>
      <c r="O978" s="254">
        <v>3</v>
      </c>
    </row>
    <row r="979" spans="1:15">
      <c r="A979" s="240" t="s">
        <v>66</v>
      </c>
      <c r="B979" s="47" t="s">
        <v>5</v>
      </c>
      <c r="C979" s="12">
        <v>0.0482233502538071</v>
      </c>
      <c r="D979" s="241">
        <v>0.0888888888888889</v>
      </c>
      <c r="E979" s="241">
        <v>0.037037037037037</v>
      </c>
      <c r="F979" s="241">
        <v>0.142857142857143</v>
      </c>
      <c r="G979" s="241">
        <v>0.0625</v>
      </c>
      <c r="H979" s="241">
        <v>0</v>
      </c>
      <c r="I979" s="241">
        <v>0.032258064516129</v>
      </c>
      <c r="J979" s="241">
        <v>0.0384615384615385</v>
      </c>
      <c r="K979" s="241">
        <v>0.0227272727272727</v>
      </c>
      <c r="L979" s="241">
        <v>0</v>
      </c>
      <c r="M979" s="241">
        <v>0.0540540540540541</v>
      </c>
      <c r="N979" s="241">
        <v>0.05</v>
      </c>
      <c r="O979" s="252">
        <v>0.0697674418604651</v>
      </c>
    </row>
    <row r="980" spans="1:15">
      <c r="A980" s="242" t="s">
        <v>66</v>
      </c>
      <c r="B980" s="43" t="s">
        <v>6</v>
      </c>
      <c r="C980" s="15">
        <v>2</v>
      </c>
      <c r="D980" s="244">
        <v>0</v>
      </c>
      <c r="E980" s="244">
        <v>0</v>
      </c>
      <c r="F980" s="244">
        <v>0</v>
      </c>
      <c r="G980" s="244">
        <v>0</v>
      </c>
      <c r="H980" s="244">
        <v>0</v>
      </c>
      <c r="I980" s="244">
        <v>2</v>
      </c>
      <c r="J980" s="244">
        <v>0</v>
      </c>
      <c r="K980" s="244">
        <v>0</v>
      </c>
      <c r="L980" s="244">
        <v>0</v>
      </c>
      <c r="M980" s="244">
        <v>0</v>
      </c>
      <c r="N980" s="244">
        <v>0</v>
      </c>
      <c r="O980" s="254">
        <v>0</v>
      </c>
    </row>
    <row r="981" ht="14.25" spans="1:15">
      <c r="A981" s="245" t="s">
        <v>66</v>
      </c>
      <c r="B981" s="52" t="s">
        <v>64</v>
      </c>
      <c r="C981" s="19">
        <v>0.105263157894737</v>
      </c>
      <c r="D981" s="246">
        <v>0</v>
      </c>
      <c r="E981" s="246">
        <v>0</v>
      </c>
      <c r="F981" s="246">
        <v>0</v>
      </c>
      <c r="G981" s="246">
        <v>0</v>
      </c>
      <c r="H981" s="246">
        <v>0</v>
      </c>
      <c r="I981" s="246">
        <v>2</v>
      </c>
      <c r="J981" s="246">
        <v>0</v>
      </c>
      <c r="K981" s="246">
        <v>0</v>
      </c>
      <c r="L981" s="246">
        <v>0</v>
      </c>
      <c r="M981" s="246">
        <v>0</v>
      </c>
      <c r="N981" s="246">
        <v>0</v>
      </c>
      <c r="O981" s="255">
        <v>0</v>
      </c>
    </row>
    <row r="982" spans="1:15">
      <c r="A982" s="240" t="s">
        <v>67</v>
      </c>
      <c r="B982" s="47" t="s">
        <v>55</v>
      </c>
      <c r="C982" s="12">
        <v>0.341954022988506</v>
      </c>
      <c r="D982" s="241">
        <v>0.3828125</v>
      </c>
      <c r="E982" s="241">
        <v>0.426829268292683</v>
      </c>
      <c r="F982" s="241">
        <v>0.293103448275862</v>
      </c>
      <c r="G982" s="241">
        <v>0.466666666666667</v>
      </c>
      <c r="H982" s="241">
        <v>0.382352941176471</v>
      </c>
      <c r="I982" s="241">
        <v>0.37719298245614</v>
      </c>
      <c r="J982" s="241">
        <v>0.415384615384615</v>
      </c>
      <c r="K982" s="241">
        <v>0.385964912280702</v>
      </c>
      <c r="L982" s="241">
        <v>0.441666666666667</v>
      </c>
      <c r="M982" s="241">
        <v>0.3</v>
      </c>
      <c r="N982" s="241">
        <v>0.197530864197531</v>
      </c>
      <c r="O982" s="252">
        <v>0.215116279069767</v>
      </c>
    </row>
    <row r="983" spans="1:15">
      <c r="A983" s="242" t="s">
        <v>67</v>
      </c>
      <c r="B983" s="43" t="s">
        <v>57</v>
      </c>
      <c r="C983" s="15">
        <v>1392</v>
      </c>
      <c r="D983" s="243">
        <v>128</v>
      </c>
      <c r="E983" s="243">
        <v>82</v>
      </c>
      <c r="F983" s="243">
        <v>58</v>
      </c>
      <c r="G983" s="243">
        <v>60</v>
      </c>
      <c r="H983" s="243">
        <v>102</v>
      </c>
      <c r="I983" s="243">
        <v>114</v>
      </c>
      <c r="J983" s="243">
        <v>130</v>
      </c>
      <c r="K983" s="243">
        <v>114</v>
      </c>
      <c r="L983" s="243">
        <v>120</v>
      </c>
      <c r="M983" s="243">
        <v>150</v>
      </c>
      <c r="N983" s="243">
        <v>162</v>
      </c>
      <c r="O983" s="253">
        <v>172</v>
      </c>
    </row>
    <row r="984" spans="1:15">
      <c r="A984" s="240" t="s">
        <v>67</v>
      </c>
      <c r="B984" s="47" t="s">
        <v>59</v>
      </c>
      <c r="C984" s="15">
        <v>476</v>
      </c>
      <c r="D984" s="243">
        <v>49</v>
      </c>
      <c r="E984" s="243">
        <v>35</v>
      </c>
      <c r="F984" s="243">
        <v>17</v>
      </c>
      <c r="G984" s="243">
        <v>28</v>
      </c>
      <c r="H984" s="243">
        <v>39</v>
      </c>
      <c r="I984" s="243">
        <v>43</v>
      </c>
      <c r="J984" s="243">
        <v>54</v>
      </c>
      <c r="K984" s="243">
        <v>44</v>
      </c>
      <c r="L984" s="243">
        <v>53</v>
      </c>
      <c r="M984" s="243">
        <v>45</v>
      </c>
      <c r="N984" s="243">
        <v>32</v>
      </c>
      <c r="O984" s="253">
        <v>37</v>
      </c>
    </row>
    <row r="985" spans="1:15">
      <c r="A985" s="242" t="s">
        <v>67</v>
      </c>
      <c r="B985" s="43" t="s">
        <v>4</v>
      </c>
      <c r="C985" s="15">
        <v>24</v>
      </c>
      <c r="D985" s="244">
        <v>5</v>
      </c>
      <c r="E985" s="244">
        <v>2</v>
      </c>
      <c r="F985" s="244">
        <v>3</v>
      </c>
      <c r="G985" s="244">
        <v>0</v>
      </c>
      <c r="H985" s="244">
        <v>0</v>
      </c>
      <c r="I985" s="244">
        <v>2</v>
      </c>
      <c r="J985" s="244">
        <v>5</v>
      </c>
      <c r="K985" s="244">
        <v>0</v>
      </c>
      <c r="L985" s="244">
        <v>1</v>
      </c>
      <c r="M985" s="244">
        <v>2</v>
      </c>
      <c r="N985" s="244">
        <v>2</v>
      </c>
      <c r="O985" s="254">
        <v>2</v>
      </c>
    </row>
    <row r="986" spans="1:15">
      <c r="A986" s="240" t="s">
        <v>67</v>
      </c>
      <c r="B986" s="47" t="s">
        <v>5</v>
      </c>
      <c r="C986" s="12">
        <v>0.0504201680672269</v>
      </c>
      <c r="D986" s="241">
        <v>0.102040816326531</v>
      </c>
      <c r="E986" s="241">
        <v>0.0571428571428571</v>
      </c>
      <c r="F986" s="241">
        <v>0.176470588235294</v>
      </c>
      <c r="G986" s="241">
        <v>0</v>
      </c>
      <c r="H986" s="241">
        <v>0</v>
      </c>
      <c r="I986" s="241">
        <v>0.0465116279069767</v>
      </c>
      <c r="J986" s="241">
        <v>0.0925925925925926</v>
      </c>
      <c r="K986" s="241">
        <v>0</v>
      </c>
      <c r="L986" s="241">
        <v>0.0188679245283019</v>
      </c>
      <c r="M986" s="241">
        <v>0.0444444444444444</v>
      </c>
      <c r="N986" s="241">
        <v>0.0625</v>
      </c>
      <c r="O986" s="252">
        <v>0.0540540540540541</v>
      </c>
    </row>
    <row r="987" spans="1:15">
      <c r="A987" s="242" t="s">
        <v>67</v>
      </c>
      <c r="B987" s="43" t="s">
        <v>6</v>
      </c>
      <c r="C987" s="15">
        <v>11</v>
      </c>
      <c r="D987" s="244">
        <v>2</v>
      </c>
      <c r="E987" s="244">
        <v>1</v>
      </c>
      <c r="F987" s="244">
        <v>2</v>
      </c>
      <c r="G987" s="244">
        <v>1</v>
      </c>
      <c r="H987" s="244">
        <v>0</v>
      </c>
      <c r="I987" s="244">
        <v>0</v>
      </c>
      <c r="J987" s="244">
        <v>1</v>
      </c>
      <c r="K987" s="244">
        <v>1</v>
      </c>
      <c r="L987" s="244">
        <v>1</v>
      </c>
      <c r="M987" s="244">
        <v>0</v>
      </c>
      <c r="N987" s="244">
        <v>0</v>
      </c>
      <c r="O987" s="254">
        <v>2</v>
      </c>
    </row>
    <row r="988" ht="14.25" spans="1:15">
      <c r="A988" s="245" t="s">
        <v>67</v>
      </c>
      <c r="B988" s="52" t="s">
        <v>64</v>
      </c>
      <c r="C988" s="19">
        <v>0.458333333333333</v>
      </c>
      <c r="D988" s="246">
        <v>0.4</v>
      </c>
      <c r="E988" s="246">
        <v>0.5</v>
      </c>
      <c r="F988" s="246">
        <v>0.666666666666667</v>
      </c>
      <c r="G988" s="246">
        <v>0</v>
      </c>
      <c r="H988" s="246">
        <v>0</v>
      </c>
      <c r="I988" s="246">
        <v>0</v>
      </c>
      <c r="J988" s="246">
        <v>0.2</v>
      </c>
      <c r="K988" s="246">
        <v>0</v>
      </c>
      <c r="L988" s="246">
        <v>1</v>
      </c>
      <c r="M988" s="246">
        <v>0</v>
      </c>
      <c r="N988" s="246">
        <v>0</v>
      </c>
      <c r="O988" s="255">
        <v>1</v>
      </c>
    </row>
    <row r="989" spans="1:15">
      <c r="A989" s="240" t="s">
        <v>68</v>
      </c>
      <c r="B989" s="47" t="s">
        <v>55</v>
      </c>
      <c r="C989" s="12">
        <v>0.0567516362383741</v>
      </c>
      <c r="D989" s="241">
        <v>0.0945945945945946</v>
      </c>
      <c r="E989" s="241">
        <v>0.0935483870967742</v>
      </c>
      <c r="F989" s="241">
        <v>0.0829268292682927</v>
      </c>
      <c r="G989" s="241">
        <v>0.033596837944664</v>
      </c>
      <c r="H989" s="241">
        <v>0.0897009966777409</v>
      </c>
      <c r="I989" s="241">
        <v>0.0588822355289421</v>
      </c>
      <c r="J989" s="241">
        <v>0.0450581395348837</v>
      </c>
      <c r="K989" s="241">
        <v>0.0487394957983193</v>
      </c>
      <c r="L989" s="241">
        <v>0.0569744597249509</v>
      </c>
      <c r="M989" s="241">
        <v>0.0590631364562118</v>
      </c>
      <c r="N989" s="241">
        <v>0.0423122765196663</v>
      </c>
      <c r="O989" s="252">
        <v>0.0557275541795666</v>
      </c>
    </row>
    <row r="990" spans="1:15">
      <c r="A990" s="242" t="s">
        <v>68</v>
      </c>
      <c r="B990" s="43" t="s">
        <v>57</v>
      </c>
      <c r="C990" s="15">
        <v>11612</v>
      </c>
      <c r="D990" s="243">
        <v>740</v>
      </c>
      <c r="E990" s="243">
        <v>310</v>
      </c>
      <c r="F990" s="243">
        <v>410</v>
      </c>
      <c r="G990" s="243">
        <v>1012</v>
      </c>
      <c r="H990" s="243">
        <v>602</v>
      </c>
      <c r="I990" s="243">
        <v>1002</v>
      </c>
      <c r="J990" s="243">
        <v>1376</v>
      </c>
      <c r="K990" s="243">
        <v>1190</v>
      </c>
      <c r="L990" s="243">
        <v>1018</v>
      </c>
      <c r="M990" s="243">
        <v>982</v>
      </c>
      <c r="N990" s="243">
        <v>1678</v>
      </c>
      <c r="O990" s="253">
        <v>1292</v>
      </c>
    </row>
    <row r="991" spans="1:15">
      <c r="A991" s="240" t="s">
        <v>68</v>
      </c>
      <c r="B991" s="47" t="s">
        <v>59</v>
      </c>
      <c r="C991" s="15">
        <v>659</v>
      </c>
      <c r="D991" s="243">
        <v>70</v>
      </c>
      <c r="E991" s="243">
        <v>29</v>
      </c>
      <c r="F991" s="243">
        <v>34</v>
      </c>
      <c r="G991" s="243">
        <v>34</v>
      </c>
      <c r="H991" s="243">
        <v>54</v>
      </c>
      <c r="I991" s="243">
        <v>59</v>
      </c>
      <c r="J991" s="243">
        <v>62</v>
      </c>
      <c r="K991" s="243">
        <v>58</v>
      </c>
      <c r="L991" s="243">
        <v>58</v>
      </c>
      <c r="M991" s="243">
        <v>58</v>
      </c>
      <c r="N991" s="243">
        <v>71</v>
      </c>
      <c r="O991" s="253">
        <v>72</v>
      </c>
    </row>
    <row r="992" spans="1:15">
      <c r="A992" s="242" t="s">
        <v>68</v>
      </c>
      <c r="B992" s="43" t="s">
        <v>4</v>
      </c>
      <c r="C992" s="15">
        <v>38</v>
      </c>
      <c r="D992" s="244">
        <v>6</v>
      </c>
      <c r="E992" s="244">
        <v>1</v>
      </c>
      <c r="F992" s="244">
        <v>1</v>
      </c>
      <c r="G992" s="244">
        <v>1</v>
      </c>
      <c r="H992" s="244">
        <v>5</v>
      </c>
      <c r="I992" s="244">
        <v>4</v>
      </c>
      <c r="J992" s="244">
        <v>2</v>
      </c>
      <c r="K992" s="244">
        <v>2</v>
      </c>
      <c r="L992" s="244">
        <v>2</v>
      </c>
      <c r="M992" s="244">
        <v>3</v>
      </c>
      <c r="N992" s="244">
        <v>5</v>
      </c>
      <c r="O992" s="254">
        <v>6</v>
      </c>
    </row>
    <row r="993" spans="1:15">
      <c r="A993" s="240" t="s">
        <v>68</v>
      </c>
      <c r="B993" s="47" t="s">
        <v>5</v>
      </c>
      <c r="C993" s="12">
        <v>0.0576631259484067</v>
      </c>
      <c r="D993" s="241">
        <v>0.0857142857142857</v>
      </c>
      <c r="E993" s="241">
        <v>0.0344827586206897</v>
      </c>
      <c r="F993" s="241">
        <v>0.0294117647058824</v>
      </c>
      <c r="G993" s="241">
        <v>0.0294117647058824</v>
      </c>
      <c r="H993" s="241">
        <v>0.0925925925925926</v>
      </c>
      <c r="I993" s="241">
        <v>0.0677966101694915</v>
      </c>
      <c r="J993" s="241">
        <v>0.032258064516129</v>
      </c>
      <c r="K993" s="241">
        <v>0.0344827586206897</v>
      </c>
      <c r="L993" s="241">
        <v>0.0344827586206897</v>
      </c>
      <c r="M993" s="241">
        <v>0.0517241379310345</v>
      </c>
      <c r="N993" s="241">
        <v>0.0704225352112676</v>
      </c>
      <c r="O993" s="252">
        <v>0.0833333333333333</v>
      </c>
    </row>
    <row r="994" spans="1:15">
      <c r="A994" s="242" t="s">
        <v>68</v>
      </c>
      <c r="B994" s="43" t="s">
        <v>6</v>
      </c>
      <c r="C994" s="15">
        <v>12</v>
      </c>
      <c r="D994" s="244">
        <v>1</v>
      </c>
      <c r="E994" s="244">
        <v>0</v>
      </c>
      <c r="F994" s="244">
        <v>0</v>
      </c>
      <c r="G994" s="244">
        <v>1</v>
      </c>
      <c r="H994" s="244">
        <v>1</v>
      </c>
      <c r="I994" s="244">
        <v>3</v>
      </c>
      <c r="J994" s="244">
        <v>1</v>
      </c>
      <c r="K994" s="244">
        <v>1</v>
      </c>
      <c r="L994" s="244">
        <v>1</v>
      </c>
      <c r="M994" s="244">
        <v>1</v>
      </c>
      <c r="N994" s="244">
        <v>2</v>
      </c>
      <c r="O994" s="254">
        <v>0</v>
      </c>
    </row>
    <row r="995" ht="14.25" spans="1:15">
      <c r="A995" s="245" t="s">
        <v>68</v>
      </c>
      <c r="B995" s="52" t="s">
        <v>64</v>
      </c>
      <c r="C995" s="19">
        <v>0.315789473684211</v>
      </c>
      <c r="D995" s="246">
        <v>0.166666666666667</v>
      </c>
      <c r="E995" s="246">
        <v>0</v>
      </c>
      <c r="F995" s="246">
        <v>0</v>
      </c>
      <c r="G995" s="246">
        <v>1</v>
      </c>
      <c r="H995" s="246">
        <v>0.2</v>
      </c>
      <c r="I995" s="246">
        <v>0.75</v>
      </c>
      <c r="J995" s="246">
        <v>0.5</v>
      </c>
      <c r="K995" s="246">
        <v>0.5</v>
      </c>
      <c r="L995" s="246">
        <v>0.5</v>
      </c>
      <c r="M995" s="246">
        <v>0.333333333333333</v>
      </c>
      <c r="N995" s="246">
        <v>0.4</v>
      </c>
      <c r="O995" s="255">
        <v>0</v>
      </c>
    </row>
    <row r="996" spans="1:15">
      <c r="A996" s="240" t="s">
        <v>69</v>
      </c>
      <c r="B996" s="47" t="s">
        <v>55</v>
      </c>
      <c r="C996" s="12">
        <v>1.10223048327138</v>
      </c>
      <c r="D996" s="241">
        <v>1.64516129032258</v>
      </c>
      <c r="E996" s="241">
        <v>1.16</v>
      </c>
      <c r="F996" s="241">
        <v>0.9</v>
      </c>
      <c r="G996" s="241">
        <v>1.24</v>
      </c>
      <c r="H996" s="241">
        <v>1.13333333333333</v>
      </c>
      <c r="I996" s="241">
        <v>1.27777777777778</v>
      </c>
      <c r="J996" s="241">
        <v>1.15909090909091</v>
      </c>
      <c r="K996" s="241">
        <v>1</v>
      </c>
      <c r="L996" s="241">
        <v>0.981818181818182</v>
      </c>
      <c r="M996" s="241">
        <v>1.01612903225806</v>
      </c>
      <c r="N996" s="241">
        <v>0.947368421052632</v>
      </c>
      <c r="O996" s="252">
        <v>1.06122448979592</v>
      </c>
    </row>
    <row r="997" spans="1:15">
      <c r="A997" s="242" t="s">
        <v>69</v>
      </c>
      <c r="B997" s="43" t="s">
        <v>57</v>
      </c>
      <c r="C997" s="15">
        <v>538</v>
      </c>
      <c r="D997" s="243">
        <v>31</v>
      </c>
      <c r="E997" s="243">
        <v>25</v>
      </c>
      <c r="F997" s="243">
        <v>20</v>
      </c>
      <c r="G997" s="243">
        <v>25</v>
      </c>
      <c r="H997" s="243">
        <v>45</v>
      </c>
      <c r="I997" s="243">
        <v>54</v>
      </c>
      <c r="J997" s="243">
        <v>44</v>
      </c>
      <c r="K997" s="243">
        <v>52</v>
      </c>
      <c r="L997" s="243">
        <v>55</v>
      </c>
      <c r="M997" s="243">
        <v>62</v>
      </c>
      <c r="N997" s="243">
        <v>76</v>
      </c>
      <c r="O997" s="253">
        <v>49</v>
      </c>
    </row>
    <row r="998" spans="1:15">
      <c r="A998" s="240" t="s">
        <v>69</v>
      </c>
      <c r="B998" s="47" t="s">
        <v>59</v>
      </c>
      <c r="C998" s="15">
        <v>593</v>
      </c>
      <c r="D998" s="243">
        <v>51</v>
      </c>
      <c r="E998" s="243">
        <v>29</v>
      </c>
      <c r="F998" s="243">
        <v>18</v>
      </c>
      <c r="G998" s="243">
        <v>31</v>
      </c>
      <c r="H998" s="243">
        <v>51</v>
      </c>
      <c r="I998" s="243">
        <v>69</v>
      </c>
      <c r="J998" s="243">
        <v>51</v>
      </c>
      <c r="K998" s="243">
        <v>52</v>
      </c>
      <c r="L998" s="243">
        <v>54</v>
      </c>
      <c r="M998" s="243">
        <v>63</v>
      </c>
      <c r="N998" s="243">
        <v>72</v>
      </c>
      <c r="O998" s="253">
        <v>52</v>
      </c>
    </row>
    <row r="999" spans="1:15">
      <c r="A999" s="242" t="s">
        <v>69</v>
      </c>
      <c r="B999" s="43" t="s">
        <v>4</v>
      </c>
      <c r="C999" s="15">
        <v>33</v>
      </c>
      <c r="D999" s="244">
        <v>0</v>
      </c>
      <c r="E999" s="244">
        <v>1</v>
      </c>
      <c r="F999" s="244">
        <v>2</v>
      </c>
      <c r="G999" s="244">
        <v>0</v>
      </c>
      <c r="H999" s="244">
        <v>7</v>
      </c>
      <c r="I999" s="244">
        <v>3</v>
      </c>
      <c r="J999" s="244">
        <v>3</v>
      </c>
      <c r="K999" s="244">
        <v>6</v>
      </c>
      <c r="L999" s="244">
        <v>4</v>
      </c>
      <c r="M999" s="244">
        <v>1</v>
      </c>
      <c r="N999" s="244">
        <v>4</v>
      </c>
      <c r="O999" s="254">
        <v>2</v>
      </c>
    </row>
    <row r="1000" spans="1:15">
      <c r="A1000" s="240" t="s">
        <v>69</v>
      </c>
      <c r="B1000" s="47" t="s">
        <v>5</v>
      </c>
      <c r="C1000" s="12">
        <v>0.0556492411467116</v>
      </c>
      <c r="D1000" s="241">
        <v>0</v>
      </c>
      <c r="E1000" s="241">
        <v>0.0344827586206897</v>
      </c>
      <c r="F1000" s="241">
        <v>0.111111111111111</v>
      </c>
      <c r="G1000" s="241">
        <v>0</v>
      </c>
      <c r="H1000" s="241">
        <v>0.137254901960784</v>
      </c>
      <c r="I1000" s="241">
        <v>0.0434782608695652</v>
      </c>
      <c r="J1000" s="241">
        <v>0.0588235294117647</v>
      </c>
      <c r="K1000" s="241">
        <v>0.115384615384615</v>
      </c>
      <c r="L1000" s="241">
        <v>0.0740740740740741</v>
      </c>
      <c r="M1000" s="241">
        <v>0.0158730158730159</v>
      </c>
      <c r="N1000" s="241">
        <v>0.0555555555555556</v>
      </c>
      <c r="O1000" s="252">
        <v>0.0384615384615385</v>
      </c>
    </row>
    <row r="1001" spans="1:15">
      <c r="A1001" s="242" t="s">
        <v>69</v>
      </c>
      <c r="B1001" s="43" t="s">
        <v>6</v>
      </c>
      <c r="C1001" s="15">
        <v>14</v>
      </c>
      <c r="D1001" s="244">
        <v>0</v>
      </c>
      <c r="E1001" s="244">
        <v>0</v>
      </c>
      <c r="F1001" s="244">
        <v>0</v>
      </c>
      <c r="G1001" s="244">
        <v>0</v>
      </c>
      <c r="H1001" s="244">
        <v>2</v>
      </c>
      <c r="I1001" s="244">
        <v>3</v>
      </c>
      <c r="J1001" s="244">
        <v>1</v>
      </c>
      <c r="K1001" s="244">
        <v>4</v>
      </c>
      <c r="L1001" s="244">
        <v>2</v>
      </c>
      <c r="M1001" s="244">
        <v>0</v>
      </c>
      <c r="N1001" s="244">
        <v>2</v>
      </c>
      <c r="O1001" s="254">
        <v>0</v>
      </c>
    </row>
    <row r="1002" ht="14.25" spans="1:15">
      <c r="A1002" s="245" t="s">
        <v>69</v>
      </c>
      <c r="B1002" s="52" t="s">
        <v>64</v>
      </c>
      <c r="C1002" s="19">
        <v>0.424242424242424</v>
      </c>
      <c r="D1002" s="246">
        <v>0</v>
      </c>
      <c r="E1002" s="246">
        <v>0</v>
      </c>
      <c r="F1002" s="246">
        <v>0</v>
      </c>
      <c r="G1002" s="246">
        <v>0</v>
      </c>
      <c r="H1002" s="246">
        <v>0.285714285714286</v>
      </c>
      <c r="I1002" s="246">
        <v>1</v>
      </c>
      <c r="J1002" s="246">
        <v>0.333333333333333</v>
      </c>
      <c r="K1002" s="246">
        <v>0.666666666666667</v>
      </c>
      <c r="L1002" s="246">
        <v>0.5</v>
      </c>
      <c r="M1002" s="246">
        <v>0</v>
      </c>
      <c r="N1002" s="246">
        <v>0.5</v>
      </c>
      <c r="O1002" s="255">
        <v>0</v>
      </c>
    </row>
    <row r="1003" spans="1:15">
      <c r="A1003" s="240" t="s">
        <v>70</v>
      </c>
      <c r="B1003" s="47" t="s">
        <v>55</v>
      </c>
      <c r="C1003" s="12">
        <v>0.415954415954416</v>
      </c>
      <c r="D1003" s="241">
        <v>0.954545454545455</v>
      </c>
      <c r="E1003" s="241">
        <v>1.1</v>
      </c>
      <c r="F1003" s="241">
        <v>2</v>
      </c>
      <c r="G1003" s="241">
        <v>0.769230769230769</v>
      </c>
      <c r="H1003" s="241">
        <v>0.424242424242424</v>
      </c>
      <c r="I1003" s="241">
        <v>0.448979591836735</v>
      </c>
      <c r="J1003" s="241">
        <v>0.533333333333333</v>
      </c>
      <c r="K1003" s="241">
        <v>0.442307692307692</v>
      </c>
      <c r="L1003" s="241">
        <v>0.290322580645161</v>
      </c>
      <c r="M1003" s="241">
        <v>0.133858267716535</v>
      </c>
      <c r="N1003" s="241">
        <v>0.242774566473988</v>
      </c>
      <c r="O1003" s="252">
        <v>0.918032786885246</v>
      </c>
    </row>
    <row r="1004" spans="1:15">
      <c r="A1004" s="242" t="s">
        <v>70</v>
      </c>
      <c r="B1004" s="43" t="s">
        <v>57</v>
      </c>
      <c r="C1004" s="15">
        <v>702</v>
      </c>
      <c r="D1004" s="243">
        <v>44</v>
      </c>
      <c r="E1004" s="243">
        <v>10</v>
      </c>
      <c r="F1004" s="243">
        <v>2</v>
      </c>
      <c r="G1004" s="243">
        <v>13</v>
      </c>
      <c r="H1004" s="243">
        <v>33</v>
      </c>
      <c r="I1004" s="243">
        <v>49</v>
      </c>
      <c r="J1004" s="243">
        <v>45</v>
      </c>
      <c r="K1004" s="243">
        <v>52</v>
      </c>
      <c r="L1004" s="243">
        <v>93</v>
      </c>
      <c r="M1004" s="243">
        <v>127</v>
      </c>
      <c r="N1004" s="243">
        <v>173</v>
      </c>
      <c r="O1004" s="253">
        <v>61</v>
      </c>
    </row>
    <row r="1005" spans="1:15">
      <c r="A1005" s="240" t="s">
        <v>70</v>
      </c>
      <c r="B1005" s="47" t="s">
        <v>59</v>
      </c>
      <c r="C1005" s="15">
        <v>292</v>
      </c>
      <c r="D1005" s="243">
        <v>42</v>
      </c>
      <c r="E1005" s="243">
        <v>11</v>
      </c>
      <c r="F1005" s="243">
        <v>4</v>
      </c>
      <c r="G1005" s="243">
        <v>10</v>
      </c>
      <c r="H1005" s="243">
        <v>14</v>
      </c>
      <c r="I1005" s="243">
        <v>22</v>
      </c>
      <c r="J1005" s="243">
        <v>24</v>
      </c>
      <c r="K1005" s="243">
        <v>23</v>
      </c>
      <c r="L1005" s="243">
        <v>27</v>
      </c>
      <c r="M1005" s="243">
        <v>17</v>
      </c>
      <c r="N1005" s="243">
        <v>42</v>
      </c>
      <c r="O1005" s="253">
        <v>56</v>
      </c>
    </row>
    <row r="1006" spans="1:15">
      <c r="A1006" s="242" t="s">
        <v>70</v>
      </c>
      <c r="B1006" s="43" t="s">
        <v>4</v>
      </c>
      <c r="C1006" s="15">
        <v>2</v>
      </c>
      <c r="D1006" s="244">
        <v>1</v>
      </c>
      <c r="E1006" s="244">
        <v>0</v>
      </c>
      <c r="F1006" s="244">
        <v>0</v>
      </c>
      <c r="G1006" s="244">
        <v>0</v>
      </c>
      <c r="H1006" s="244">
        <v>0</v>
      </c>
      <c r="I1006" s="244">
        <v>1</v>
      </c>
      <c r="J1006" s="244">
        <v>0</v>
      </c>
      <c r="K1006" s="244">
        <v>0</v>
      </c>
      <c r="L1006" s="244">
        <v>0</v>
      </c>
      <c r="M1006" s="244">
        <v>0</v>
      </c>
      <c r="N1006" s="244">
        <v>0</v>
      </c>
      <c r="O1006" s="254">
        <v>0</v>
      </c>
    </row>
    <row r="1007" spans="1:15">
      <c r="A1007" s="240" t="s">
        <v>70</v>
      </c>
      <c r="B1007" s="47" t="s">
        <v>5</v>
      </c>
      <c r="C1007" s="12">
        <v>0.00684931506849315</v>
      </c>
      <c r="D1007" s="241">
        <v>0.0238095238095238</v>
      </c>
      <c r="E1007" s="241">
        <v>0</v>
      </c>
      <c r="F1007" s="241">
        <v>0</v>
      </c>
      <c r="G1007" s="241">
        <v>0</v>
      </c>
      <c r="H1007" s="241">
        <v>0</v>
      </c>
      <c r="I1007" s="241">
        <v>0.0454545454545455</v>
      </c>
      <c r="J1007" s="241">
        <v>0</v>
      </c>
      <c r="K1007" s="241">
        <v>0</v>
      </c>
      <c r="L1007" s="241">
        <v>0</v>
      </c>
      <c r="M1007" s="241">
        <v>0</v>
      </c>
      <c r="N1007" s="241">
        <v>0</v>
      </c>
      <c r="O1007" s="252">
        <v>0</v>
      </c>
    </row>
    <row r="1008" spans="1:15">
      <c r="A1008" s="242" t="s">
        <v>70</v>
      </c>
      <c r="B1008" s="43" t="s">
        <v>6</v>
      </c>
      <c r="C1008" s="15">
        <v>1</v>
      </c>
      <c r="D1008" s="244">
        <v>0</v>
      </c>
      <c r="E1008" s="244">
        <v>0</v>
      </c>
      <c r="F1008" s="244">
        <v>0</v>
      </c>
      <c r="G1008" s="244">
        <v>0</v>
      </c>
      <c r="H1008" s="244">
        <v>0</v>
      </c>
      <c r="I1008" s="244">
        <v>1</v>
      </c>
      <c r="J1008" s="244">
        <v>0</v>
      </c>
      <c r="K1008" s="244">
        <v>0</v>
      </c>
      <c r="L1008" s="244">
        <v>0</v>
      </c>
      <c r="M1008" s="244">
        <v>0</v>
      </c>
      <c r="N1008" s="244">
        <v>0</v>
      </c>
      <c r="O1008" s="254">
        <v>0</v>
      </c>
    </row>
    <row r="1009" ht="14.25" spans="1:15">
      <c r="A1009" s="245" t="s">
        <v>70</v>
      </c>
      <c r="B1009" s="52" t="s">
        <v>64</v>
      </c>
      <c r="C1009" s="19">
        <v>0.5</v>
      </c>
      <c r="D1009" s="246">
        <v>0</v>
      </c>
      <c r="E1009" s="246">
        <v>0</v>
      </c>
      <c r="F1009" s="246">
        <v>0</v>
      </c>
      <c r="G1009" s="246">
        <v>0</v>
      </c>
      <c r="H1009" s="246">
        <v>0</v>
      </c>
      <c r="I1009" s="246">
        <v>1</v>
      </c>
      <c r="J1009" s="246">
        <v>0</v>
      </c>
      <c r="K1009" s="246">
        <v>0</v>
      </c>
      <c r="L1009" s="246">
        <v>0</v>
      </c>
      <c r="M1009" s="246">
        <v>0</v>
      </c>
      <c r="N1009" s="246">
        <v>0</v>
      </c>
      <c r="O1009" s="255">
        <v>0</v>
      </c>
    </row>
    <row r="1010" spans="1:15">
      <c r="A1010" s="240" t="s">
        <v>26</v>
      </c>
      <c r="B1010" s="47" t="s">
        <v>55</v>
      </c>
      <c r="C1010" s="12">
        <v>0.54203056768559</v>
      </c>
      <c r="D1010" s="241">
        <v>0.661111111111111</v>
      </c>
      <c r="E1010" s="241">
        <v>0.619047619047619</v>
      </c>
      <c r="F1010" s="241">
        <v>0.635135135135135</v>
      </c>
      <c r="G1010" s="241">
        <v>0.670731707317073</v>
      </c>
      <c r="H1010" s="241">
        <v>0.677777777777778</v>
      </c>
      <c r="I1010" s="241">
        <v>0.622950819672131</v>
      </c>
      <c r="J1010" s="241">
        <v>0.984848484848485</v>
      </c>
      <c r="K1010" s="241">
        <v>0.506024096385542</v>
      </c>
      <c r="L1010" s="241">
        <v>0.460526315789474</v>
      </c>
      <c r="M1010" s="241">
        <v>0.479381443298969</v>
      </c>
      <c r="N1010" s="241">
        <v>0.439102564102564</v>
      </c>
      <c r="O1010" s="252">
        <v>0.432258064516129</v>
      </c>
    </row>
    <row r="1011" spans="1:15">
      <c r="A1011" s="242" t="s">
        <v>26</v>
      </c>
      <c r="B1011" s="43" t="s">
        <v>57</v>
      </c>
      <c r="C1011" s="15">
        <v>1832</v>
      </c>
      <c r="D1011" s="243">
        <v>180</v>
      </c>
      <c r="E1011" s="243">
        <v>84</v>
      </c>
      <c r="F1011" s="243">
        <v>74</v>
      </c>
      <c r="G1011" s="243">
        <v>82</v>
      </c>
      <c r="H1011" s="243">
        <v>90</v>
      </c>
      <c r="I1011" s="243">
        <v>122</v>
      </c>
      <c r="J1011" s="243">
        <v>66</v>
      </c>
      <c r="K1011" s="243">
        <v>166</v>
      </c>
      <c r="L1011" s="243">
        <v>152</v>
      </c>
      <c r="M1011" s="243">
        <v>194</v>
      </c>
      <c r="N1011" s="243">
        <v>312</v>
      </c>
      <c r="O1011" s="253">
        <v>310</v>
      </c>
    </row>
    <row r="1012" spans="1:15">
      <c r="A1012" s="240" t="s">
        <v>26</v>
      </c>
      <c r="B1012" s="47" t="s">
        <v>59</v>
      </c>
      <c r="C1012" s="15">
        <v>993</v>
      </c>
      <c r="D1012" s="243">
        <v>119</v>
      </c>
      <c r="E1012" s="243">
        <v>52</v>
      </c>
      <c r="F1012" s="243">
        <v>47</v>
      </c>
      <c r="G1012" s="243">
        <v>55</v>
      </c>
      <c r="H1012" s="243">
        <v>61</v>
      </c>
      <c r="I1012" s="243">
        <v>76</v>
      </c>
      <c r="J1012" s="243">
        <v>65</v>
      </c>
      <c r="K1012" s="243">
        <v>84</v>
      </c>
      <c r="L1012" s="243">
        <v>70</v>
      </c>
      <c r="M1012" s="243">
        <v>93</v>
      </c>
      <c r="N1012" s="243">
        <v>137</v>
      </c>
      <c r="O1012" s="253">
        <v>134</v>
      </c>
    </row>
    <row r="1013" spans="1:15">
      <c r="A1013" s="242" t="s">
        <v>26</v>
      </c>
      <c r="B1013" s="43" t="s">
        <v>4</v>
      </c>
      <c r="C1013" s="15">
        <v>19</v>
      </c>
      <c r="D1013" s="244">
        <v>1</v>
      </c>
      <c r="E1013" s="244">
        <v>0</v>
      </c>
      <c r="F1013" s="244">
        <v>0</v>
      </c>
      <c r="G1013" s="244">
        <v>1</v>
      </c>
      <c r="H1013" s="244">
        <v>2</v>
      </c>
      <c r="I1013" s="244">
        <v>0</v>
      </c>
      <c r="J1013" s="244">
        <v>1</v>
      </c>
      <c r="K1013" s="244">
        <v>4</v>
      </c>
      <c r="L1013" s="244">
        <v>1</v>
      </c>
      <c r="M1013" s="244">
        <v>3</v>
      </c>
      <c r="N1013" s="244">
        <v>2</v>
      </c>
      <c r="O1013" s="254">
        <v>4</v>
      </c>
    </row>
    <row r="1014" spans="1:15">
      <c r="A1014" s="240" t="s">
        <v>26</v>
      </c>
      <c r="B1014" s="47" t="s">
        <v>5</v>
      </c>
      <c r="C1014" s="12">
        <v>0.0191339375629406</v>
      </c>
      <c r="D1014" s="241">
        <v>0.00840336134453781</v>
      </c>
      <c r="E1014" s="241">
        <v>0</v>
      </c>
      <c r="F1014" s="241">
        <v>0</v>
      </c>
      <c r="G1014" s="241">
        <v>0.0181818181818182</v>
      </c>
      <c r="H1014" s="241">
        <v>0.0327868852459016</v>
      </c>
      <c r="I1014" s="241">
        <v>0</v>
      </c>
      <c r="J1014" s="241">
        <v>0.0153846153846154</v>
      </c>
      <c r="K1014" s="241">
        <v>0.0476190476190476</v>
      </c>
      <c r="L1014" s="241">
        <v>0.0142857142857143</v>
      </c>
      <c r="M1014" s="241">
        <v>0.032258064516129</v>
      </c>
      <c r="N1014" s="241">
        <v>0.0145985401459854</v>
      </c>
      <c r="O1014" s="252">
        <v>0.0298507462686567</v>
      </c>
    </row>
    <row r="1015" spans="1:15">
      <c r="A1015" s="242" t="s">
        <v>26</v>
      </c>
      <c r="B1015" s="43" t="s">
        <v>6</v>
      </c>
      <c r="C1015" s="15">
        <v>4</v>
      </c>
      <c r="D1015" s="244">
        <v>0</v>
      </c>
      <c r="E1015" s="244">
        <v>0</v>
      </c>
      <c r="F1015" s="244">
        <v>0</v>
      </c>
      <c r="G1015" s="244">
        <v>0</v>
      </c>
      <c r="H1015" s="244">
        <v>1</v>
      </c>
      <c r="I1015" s="244">
        <v>0</v>
      </c>
      <c r="J1015" s="244">
        <v>0</v>
      </c>
      <c r="K1015" s="244">
        <v>0</v>
      </c>
      <c r="L1015" s="244">
        <v>0</v>
      </c>
      <c r="M1015" s="244">
        <v>2</v>
      </c>
      <c r="N1015" s="244">
        <v>0</v>
      </c>
      <c r="O1015" s="254">
        <v>1</v>
      </c>
    </row>
    <row r="1016" ht="14.25" spans="1:15">
      <c r="A1016" s="245" t="s">
        <v>26</v>
      </c>
      <c r="B1016" s="52" t="s">
        <v>64</v>
      </c>
      <c r="C1016" s="19">
        <v>0.210526315789474</v>
      </c>
      <c r="D1016" s="250">
        <v>0</v>
      </c>
      <c r="E1016" s="250">
        <v>0</v>
      </c>
      <c r="F1016" s="250">
        <v>0</v>
      </c>
      <c r="G1016" s="250">
        <v>0</v>
      </c>
      <c r="H1016" s="250">
        <v>1</v>
      </c>
      <c r="I1016" s="250">
        <v>0</v>
      </c>
      <c r="J1016" s="250">
        <v>0</v>
      </c>
      <c r="K1016" s="250">
        <v>0</v>
      </c>
      <c r="L1016" s="250">
        <v>0</v>
      </c>
      <c r="M1016" s="250">
        <v>2</v>
      </c>
      <c r="N1016" s="250">
        <v>0</v>
      </c>
      <c r="O1016" s="257">
        <v>1</v>
      </c>
    </row>
    <row r="1017" spans="1:15">
      <c r="A1017" s="240" t="s">
        <v>71</v>
      </c>
      <c r="B1017" s="47" t="s">
        <v>55</v>
      </c>
      <c r="C1017" s="12">
        <v>0.0167597765363128</v>
      </c>
      <c r="D1017" s="241">
        <v>0.0357142857142857</v>
      </c>
      <c r="E1017" s="241">
        <v>0.0333333333333333</v>
      </c>
      <c r="F1017" s="241">
        <v>0.0588235294117647</v>
      </c>
      <c r="G1017" s="241">
        <v>0.027027027027027</v>
      </c>
      <c r="H1017" s="241">
        <v>0.0701754385964912</v>
      </c>
      <c r="I1017" s="241">
        <v>0.0206185567010309</v>
      </c>
      <c r="J1017" s="241">
        <v>0</v>
      </c>
      <c r="K1017" s="241">
        <v>0</v>
      </c>
      <c r="L1017" s="241">
        <v>0.0178571428571429</v>
      </c>
      <c r="M1017" s="241">
        <v>0</v>
      </c>
      <c r="N1017" s="241">
        <v>0</v>
      </c>
      <c r="O1017" s="252">
        <v>0</v>
      </c>
    </row>
    <row r="1018" spans="1:15">
      <c r="A1018" s="242" t="s">
        <v>71</v>
      </c>
      <c r="B1018" s="43" t="s">
        <v>57</v>
      </c>
      <c r="C1018" s="15">
        <v>716</v>
      </c>
      <c r="D1018" s="243">
        <v>56</v>
      </c>
      <c r="E1018" s="243">
        <v>30</v>
      </c>
      <c r="F1018" s="243">
        <v>17</v>
      </c>
      <c r="G1018" s="243">
        <v>37</v>
      </c>
      <c r="H1018" s="243">
        <v>57</v>
      </c>
      <c r="I1018" s="243">
        <v>97</v>
      </c>
      <c r="J1018" s="243">
        <v>85</v>
      </c>
      <c r="K1018" s="243">
        <v>47</v>
      </c>
      <c r="L1018" s="243">
        <v>56</v>
      </c>
      <c r="M1018" s="243">
        <v>56</v>
      </c>
      <c r="N1018" s="243">
        <v>78</v>
      </c>
      <c r="O1018" s="253">
        <v>100</v>
      </c>
    </row>
    <row r="1019" spans="1:15">
      <c r="A1019" s="240" t="s">
        <v>71</v>
      </c>
      <c r="B1019" s="47" t="s">
        <v>59</v>
      </c>
      <c r="C1019" s="15">
        <v>12</v>
      </c>
      <c r="D1019" s="243">
        <v>2</v>
      </c>
      <c r="E1019" s="243">
        <v>1</v>
      </c>
      <c r="F1019" s="243">
        <v>1</v>
      </c>
      <c r="G1019" s="243">
        <v>1</v>
      </c>
      <c r="H1019" s="243">
        <v>4</v>
      </c>
      <c r="I1019" s="243">
        <v>2</v>
      </c>
      <c r="J1019" s="243">
        <v>0</v>
      </c>
      <c r="K1019" s="243">
        <v>0</v>
      </c>
      <c r="L1019" s="243">
        <v>1</v>
      </c>
      <c r="M1019" s="243">
        <v>0</v>
      </c>
      <c r="N1019" s="243">
        <v>0</v>
      </c>
      <c r="O1019" s="253">
        <v>0</v>
      </c>
    </row>
    <row r="1020" spans="1:15">
      <c r="A1020" s="242" t="s">
        <v>71</v>
      </c>
      <c r="B1020" s="43" t="s">
        <v>4</v>
      </c>
      <c r="C1020" s="15">
        <v>27</v>
      </c>
      <c r="D1020" s="244">
        <v>3</v>
      </c>
      <c r="E1020" s="244">
        <v>0</v>
      </c>
      <c r="F1020" s="244">
        <v>1</v>
      </c>
      <c r="G1020" s="244">
        <v>1</v>
      </c>
      <c r="H1020" s="244">
        <v>5</v>
      </c>
      <c r="I1020" s="244">
        <v>2</v>
      </c>
      <c r="J1020" s="244">
        <v>5</v>
      </c>
      <c r="K1020" s="244">
        <v>4</v>
      </c>
      <c r="L1020" s="244">
        <v>0</v>
      </c>
      <c r="M1020" s="244">
        <v>3</v>
      </c>
      <c r="N1020" s="244">
        <v>1</v>
      </c>
      <c r="O1020" s="254">
        <v>2</v>
      </c>
    </row>
    <row r="1021" spans="1:15">
      <c r="A1021" s="240" t="s">
        <v>71</v>
      </c>
      <c r="B1021" s="47" t="s">
        <v>5</v>
      </c>
      <c r="C1021" s="12">
        <v>2.25</v>
      </c>
      <c r="D1021" s="241">
        <v>1.5</v>
      </c>
      <c r="E1021" s="241">
        <v>0</v>
      </c>
      <c r="F1021" s="241">
        <v>1</v>
      </c>
      <c r="G1021" s="241">
        <v>1</v>
      </c>
      <c r="H1021" s="241">
        <v>1.25</v>
      </c>
      <c r="I1021" s="241">
        <v>1</v>
      </c>
      <c r="J1021" s="241">
        <v>0</v>
      </c>
      <c r="K1021" s="241">
        <v>0</v>
      </c>
      <c r="L1021" s="241">
        <v>0</v>
      </c>
      <c r="M1021" s="241">
        <v>0</v>
      </c>
      <c r="N1021" s="241">
        <v>0</v>
      </c>
      <c r="O1021" s="252">
        <v>0</v>
      </c>
    </row>
    <row r="1022" spans="1:15">
      <c r="A1022" s="242" t="s">
        <v>71</v>
      </c>
      <c r="B1022" s="43" t="s">
        <v>6</v>
      </c>
      <c r="C1022" s="15">
        <v>6</v>
      </c>
      <c r="D1022" s="244">
        <v>0</v>
      </c>
      <c r="E1022" s="244">
        <v>0</v>
      </c>
      <c r="F1022" s="244">
        <v>0</v>
      </c>
      <c r="G1022" s="244">
        <v>0</v>
      </c>
      <c r="H1022" s="244">
        <v>1</v>
      </c>
      <c r="I1022" s="244">
        <v>0</v>
      </c>
      <c r="J1022" s="244">
        <v>1</v>
      </c>
      <c r="K1022" s="244">
        <v>0</v>
      </c>
      <c r="L1022" s="244">
        <v>2</v>
      </c>
      <c r="M1022" s="244">
        <v>1</v>
      </c>
      <c r="N1022" s="244">
        <v>1</v>
      </c>
      <c r="O1022" s="254">
        <v>0</v>
      </c>
    </row>
    <row r="1023" ht="14.25" spans="1:15">
      <c r="A1023" s="245" t="s">
        <v>71</v>
      </c>
      <c r="B1023" s="52" t="s">
        <v>64</v>
      </c>
      <c r="C1023" s="19">
        <v>0.222222222222222</v>
      </c>
      <c r="D1023" s="250">
        <v>0</v>
      </c>
      <c r="E1023" s="250">
        <v>0</v>
      </c>
      <c r="F1023" s="250">
        <v>0</v>
      </c>
      <c r="G1023" s="250">
        <v>0</v>
      </c>
      <c r="H1023" s="250">
        <v>1</v>
      </c>
      <c r="I1023" s="250">
        <v>0</v>
      </c>
      <c r="J1023" s="250">
        <v>1</v>
      </c>
      <c r="K1023" s="250">
        <v>0</v>
      </c>
      <c r="L1023" s="250">
        <v>2</v>
      </c>
      <c r="M1023" s="250">
        <v>1</v>
      </c>
      <c r="N1023" s="250">
        <v>1</v>
      </c>
      <c r="O1023" s="257">
        <v>0</v>
      </c>
    </row>
    <row r="1024" spans="1:15">
      <c r="A1024" s="240" t="s">
        <v>72</v>
      </c>
      <c r="B1024" s="47" t="s">
        <v>55</v>
      </c>
      <c r="C1024" s="12">
        <v>0.452380952380952</v>
      </c>
      <c r="D1024" s="241">
        <v>0.5</v>
      </c>
      <c r="E1024" s="241">
        <v>0.571428571428571</v>
      </c>
      <c r="F1024" s="241">
        <v>0.5</v>
      </c>
      <c r="G1024" s="241">
        <v>0.875</v>
      </c>
      <c r="H1024" s="241">
        <v>0.4375</v>
      </c>
      <c r="I1024" s="241">
        <v>0.541666666666667</v>
      </c>
      <c r="J1024" s="241">
        <v>0.611111111111111</v>
      </c>
      <c r="K1024" s="241">
        <v>0.4375</v>
      </c>
      <c r="L1024" s="241">
        <v>0.304347826086957</v>
      </c>
      <c r="M1024" s="241">
        <v>0.45</v>
      </c>
      <c r="N1024" s="241">
        <v>0.368421052631579</v>
      </c>
      <c r="O1024" s="252">
        <v>0.425</v>
      </c>
    </row>
    <row r="1025" spans="1:15">
      <c r="A1025" s="242" t="s">
        <v>72</v>
      </c>
      <c r="B1025" s="43" t="s">
        <v>57</v>
      </c>
      <c r="C1025" s="15">
        <v>294</v>
      </c>
      <c r="D1025" s="243">
        <v>36</v>
      </c>
      <c r="E1025" s="243">
        <v>14</v>
      </c>
      <c r="F1025" s="243">
        <v>2</v>
      </c>
      <c r="G1025" s="243">
        <v>8</v>
      </c>
      <c r="H1025" s="243">
        <v>16</v>
      </c>
      <c r="I1025" s="243">
        <v>24</v>
      </c>
      <c r="J1025" s="243">
        <v>18</v>
      </c>
      <c r="K1025" s="243">
        <v>32</v>
      </c>
      <c r="L1025" s="243">
        <v>46</v>
      </c>
      <c r="M1025" s="243">
        <v>20</v>
      </c>
      <c r="N1025" s="243">
        <v>38</v>
      </c>
      <c r="O1025" s="253">
        <v>40</v>
      </c>
    </row>
    <row r="1026" spans="1:15">
      <c r="A1026" s="240" t="s">
        <v>72</v>
      </c>
      <c r="B1026" s="47" t="s">
        <v>59</v>
      </c>
      <c r="C1026" s="15">
        <v>133</v>
      </c>
      <c r="D1026" s="243">
        <v>18</v>
      </c>
      <c r="E1026" s="243">
        <v>8</v>
      </c>
      <c r="F1026" s="243">
        <v>1</v>
      </c>
      <c r="G1026" s="243">
        <v>7</v>
      </c>
      <c r="H1026" s="243">
        <v>7</v>
      </c>
      <c r="I1026" s="243">
        <v>13</v>
      </c>
      <c r="J1026" s="243">
        <v>11</v>
      </c>
      <c r="K1026" s="243">
        <v>14</v>
      </c>
      <c r="L1026" s="243">
        <v>14</v>
      </c>
      <c r="M1026" s="243">
        <v>9</v>
      </c>
      <c r="N1026" s="243">
        <v>14</v>
      </c>
      <c r="O1026" s="253">
        <v>17</v>
      </c>
    </row>
    <row r="1027" spans="1:15">
      <c r="A1027" s="242" t="s">
        <v>72</v>
      </c>
      <c r="B1027" s="43" t="s">
        <v>4</v>
      </c>
      <c r="C1027" s="15">
        <v>4</v>
      </c>
      <c r="D1027" s="244">
        <v>0</v>
      </c>
      <c r="E1027" s="244">
        <v>0</v>
      </c>
      <c r="F1027" s="244">
        <v>1</v>
      </c>
      <c r="G1027" s="244">
        <v>0</v>
      </c>
      <c r="H1027" s="244">
        <v>0</v>
      </c>
      <c r="I1027" s="244">
        <v>1</v>
      </c>
      <c r="J1027" s="244">
        <v>1</v>
      </c>
      <c r="K1027" s="244">
        <v>0</v>
      </c>
      <c r="L1027" s="244">
        <v>0</v>
      </c>
      <c r="M1027" s="244">
        <v>0</v>
      </c>
      <c r="N1027" s="244">
        <v>0</v>
      </c>
      <c r="O1027" s="254">
        <v>1</v>
      </c>
    </row>
    <row r="1028" spans="1:15">
      <c r="A1028" s="240" t="s">
        <v>72</v>
      </c>
      <c r="B1028" s="47" t="s">
        <v>5</v>
      </c>
      <c r="C1028" s="12">
        <v>0.0300751879699248</v>
      </c>
      <c r="D1028" s="241">
        <v>0</v>
      </c>
      <c r="E1028" s="241">
        <v>0</v>
      </c>
      <c r="F1028" s="241">
        <v>1</v>
      </c>
      <c r="G1028" s="241">
        <v>0</v>
      </c>
      <c r="H1028" s="241">
        <v>0</v>
      </c>
      <c r="I1028" s="241">
        <v>0.0769230769230769</v>
      </c>
      <c r="J1028" s="241">
        <v>0.0909090909090909</v>
      </c>
      <c r="K1028" s="241">
        <v>0</v>
      </c>
      <c r="L1028" s="241">
        <v>0</v>
      </c>
      <c r="M1028" s="241">
        <v>0</v>
      </c>
      <c r="N1028" s="241">
        <v>0</v>
      </c>
      <c r="O1028" s="252">
        <v>0.0588235294117647</v>
      </c>
    </row>
    <row r="1029" spans="1:15">
      <c r="A1029" s="242" t="s">
        <v>72</v>
      </c>
      <c r="B1029" s="43" t="s">
        <v>6</v>
      </c>
      <c r="C1029" s="15">
        <v>0</v>
      </c>
      <c r="D1029" s="244">
        <v>0</v>
      </c>
      <c r="E1029" s="244">
        <v>0</v>
      </c>
      <c r="F1029" s="244">
        <v>0</v>
      </c>
      <c r="G1029" s="244">
        <v>0</v>
      </c>
      <c r="H1029" s="244">
        <v>0</v>
      </c>
      <c r="I1029" s="244">
        <v>0</v>
      </c>
      <c r="J1029" s="244">
        <v>0</v>
      </c>
      <c r="K1029" s="244">
        <v>0</v>
      </c>
      <c r="L1029" s="244">
        <v>0</v>
      </c>
      <c r="M1029" s="244">
        <v>0</v>
      </c>
      <c r="N1029" s="244">
        <v>0</v>
      </c>
      <c r="O1029" s="254">
        <v>0</v>
      </c>
    </row>
    <row r="1030" ht="14.25" spans="1:15">
      <c r="A1030" s="245" t="s">
        <v>72</v>
      </c>
      <c r="B1030" s="52" t="s">
        <v>64</v>
      </c>
      <c r="C1030" s="19">
        <v>0</v>
      </c>
      <c r="D1030" s="250">
        <v>0</v>
      </c>
      <c r="E1030" s="250">
        <v>0</v>
      </c>
      <c r="F1030" s="250">
        <v>0</v>
      </c>
      <c r="G1030" s="250">
        <v>0</v>
      </c>
      <c r="H1030" s="250">
        <v>0</v>
      </c>
      <c r="I1030" s="250">
        <v>0</v>
      </c>
      <c r="J1030" s="250">
        <v>0</v>
      </c>
      <c r="K1030" s="250">
        <v>0</v>
      </c>
      <c r="L1030" s="250">
        <v>0</v>
      </c>
      <c r="M1030" s="250">
        <v>0</v>
      </c>
      <c r="N1030" s="250">
        <v>0</v>
      </c>
      <c r="O1030" s="257">
        <v>0</v>
      </c>
    </row>
    <row r="1031" ht="14.25" spans="1:15">
      <c r="A1031" s="237">
        <v>45035</v>
      </c>
      <c r="B1031" s="237"/>
      <c r="C1031" s="237"/>
      <c r="D1031" s="237"/>
      <c r="E1031" s="237"/>
      <c r="F1031" s="237"/>
      <c r="G1031" s="237"/>
      <c r="H1031" s="237"/>
      <c r="I1031" s="237"/>
      <c r="J1031" s="237"/>
      <c r="K1031" s="237"/>
      <c r="L1031" s="237"/>
      <c r="M1031" s="237"/>
      <c r="N1031" s="237"/>
      <c r="O1031" s="237"/>
    </row>
    <row r="1032" spans="1:15">
      <c r="A1032" s="56" t="s">
        <v>1</v>
      </c>
      <c r="B1032" s="238"/>
      <c r="C1032" s="8" t="s">
        <v>42</v>
      </c>
      <c r="D1032" s="239" t="s">
        <v>43</v>
      </c>
      <c r="E1032" s="239" t="s">
        <v>44</v>
      </c>
      <c r="F1032" s="239" t="s">
        <v>45</v>
      </c>
      <c r="G1032" s="239" t="s">
        <v>46</v>
      </c>
      <c r="H1032" s="239" t="s">
        <v>47</v>
      </c>
      <c r="I1032" s="239" t="s">
        <v>48</v>
      </c>
      <c r="J1032" s="239" t="s">
        <v>49</v>
      </c>
      <c r="K1032" s="239" t="s">
        <v>50</v>
      </c>
      <c r="L1032" s="239" t="s">
        <v>51</v>
      </c>
      <c r="M1032" s="239" t="s">
        <v>52</v>
      </c>
      <c r="N1032" s="239" t="s">
        <v>53</v>
      </c>
      <c r="O1032" s="251" t="s">
        <v>54</v>
      </c>
    </row>
    <row r="1033" spans="1:15">
      <c r="A1033" s="240" t="s">
        <v>22</v>
      </c>
      <c r="B1033" s="47" t="s">
        <v>55</v>
      </c>
      <c r="C1033" s="12">
        <v>0.348171701112878</v>
      </c>
      <c r="D1033" s="241">
        <v>0.31328320802005</v>
      </c>
      <c r="E1033" s="241">
        <v>0.26031746031746</v>
      </c>
      <c r="F1033" s="241">
        <v>0.23046875</v>
      </c>
      <c r="G1033" s="241">
        <v>0.345381526104418</v>
      </c>
      <c r="H1033" s="241">
        <v>0.552742616033755</v>
      </c>
      <c r="I1033" s="241">
        <v>0.375</v>
      </c>
      <c r="J1033" s="241">
        <v>0.29144385026738</v>
      </c>
      <c r="K1033" s="241">
        <v>0.294554455445545</v>
      </c>
      <c r="L1033" s="241">
        <v>0.400673400673401</v>
      </c>
      <c r="M1033" s="241">
        <v>0.504132231404959</v>
      </c>
      <c r="N1033" s="241">
        <v>0.397923875432526</v>
      </c>
      <c r="O1033" s="252">
        <v>0.320652173913043</v>
      </c>
    </row>
    <row r="1034" spans="1:15">
      <c r="A1034" s="242" t="s">
        <v>22</v>
      </c>
      <c r="B1034" s="43" t="s">
        <v>57</v>
      </c>
      <c r="C1034" s="15">
        <v>3774</v>
      </c>
      <c r="D1034" s="243">
        <v>399</v>
      </c>
      <c r="E1034" s="243">
        <v>315</v>
      </c>
      <c r="F1034" s="243">
        <v>256</v>
      </c>
      <c r="G1034" s="243">
        <v>249</v>
      </c>
      <c r="H1034" s="243">
        <v>237</v>
      </c>
      <c r="I1034" s="243">
        <v>344</v>
      </c>
      <c r="J1034" s="243">
        <v>374</v>
      </c>
      <c r="K1034" s="243">
        <v>404</v>
      </c>
      <c r="L1034" s="243">
        <v>297</v>
      </c>
      <c r="M1034" s="243">
        <v>242</v>
      </c>
      <c r="N1034" s="243">
        <v>289</v>
      </c>
      <c r="O1034" s="253">
        <v>368</v>
      </c>
    </row>
    <row r="1035" spans="1:15">
      <c r="A1035" s="240" t="s">
        <v>22</v>
      </c>
      <c r="B1035" s="47" t="s">
        <v>59</v>
      </c>
      <c r="C1035" s="15">
        <v>1314</v>
      </c>
      <c r="D1035" s="243">
        <v>125</v>
      </c>
      <c r="E1035" s="243">
        <v>82</v>
      </c>
      <c r="F1035" s="243">
        <v>59</v>
      </c>
      <c r="G1035" s="243">
        <v>86</v>
      </c>
      <c r="H1035" s="243">
        <v>131</v>
      </c>
      <c r="I1035" s="243">
        <v>129</v>
      </c>
      <c r="J1035" s="243">
        <v>109</v>
      </c>
      <c r="K1035" s="243">
        <v>119</v>
      </c>
      <c r="L1035" s="243">
        <v>119</v>
      </c>
      <c r="M1035" s="243">
        <v>122</v>
      </c>
      <c r="N1035" s="243">
        <v>115</v>
      </c>
      <c r="O1035" s="253">
        <v>118</v>
      </c>
    </row>
    <row r="1036" spans="1:15">
      <c r="A1036" s="242" t="s">
        <v>22</v>
      </c>
      <c r="B1036" s="43" t="s">
        <v>4</v>
      </c>
      <c r="C1036" s="15">
        <v>91</v>
      </c>
      <c r="D1036" s="244">
        <v>11</v>
      </c>
      <c r="E1036" s="244">
        <v>4</v>
      </c>
      <c r="F1036" s="244">
        <v>6</v>
      </c>
      <c r="G1036" s="244">
        <v>9</v>
      </c>
      <c r="H1036" s="244">
        <v>3</v>
      </c>
      <c r="I1036" s="244">
        <v>3</v>
      </c>
      <c r="J1036" s="244">
        <v>6</v>
      </c>
      <c r="K1036" s="244">
        <v>9</v>
      </c>
      <c r="L1036" s="244">
        <v>11</v>
      </c>
      <c r="M1036" s="244">
        <v>12</v>
      </c>
      <c r="N1036" s="244">
        <v>9</v>
      </c>
      <c r="O1036" s="254">
        <v>8</v>
      </c>
    </row>
    <row r="1037" spans="1:15">
      <c r="A1037" s="240" t="s">
        <v>22</v>
      </c>
      <c r="B1037" s="47" t="s">
        <v>5</v>
      </c>
      <c r="C1037" s="12">
        <v>0.0692541856925419</v>
      </c>
      <c r="D1037" s="241">
        <v>0.088</v>
      </c>
      <c r="E1037" s="241">
        <v>0.0487804878048781</v>
      </c>
      <c r="F1037" s="241">
        <v>0.101694915254237</v>
      </c>
      <c r="G1037" s="241">
        <v>0.104651162790698</v>
      </c>
      <c r="H1037" s="241">
        <v>0.0229007633587786</v>
      </c>
      <c r="I1037" s="241">
        <v>0.0232558139534884</v>
      </c>
      <c r="J1037" s="241">
        <v>0.055045871559633</v>
      </c>
      <c r="K1037" s="241">
        <v>0.0756302521008403</v>
      </c>
      <c r="L1037" s="241">
        <v>0.092436974789916</v>
      </c>
      <c r="M1037" s="241">
        <v>0.0983606557377049</v>
      </c>
      <c r="N1037" s="241">
        <v>0.0782608695652174</v>
      </c>
      <c r="O1037" s="252">
        <v>0.0677966101694915</v>
      </c>
    </row>
    <row r="1038" spans="1:15">
      <c r="A1038" s="242" t="s">
        <v>22</v>
      </c>
      <c r="B1038" s="43" t="s">
        <v>6</v>
      </c>
      <c r="C1038" s="15">
        <v>35</v>
      </c>
      <c r="D1038" s="244">
        <v>3</v>
      </c>
      <c r="E1038" s="244">
        <v>1</v>
      </c>
      <c r="F1038" s="244">
        <v>3</v>
      </c>
      <c r="G1038" s="244">
        <v>0</v>
      </c>
      <c r="H1038" s="244">
        <v>1</v>
      </c>
      <c r="I1038" s="244">
        <v>1</v>
      </c>
      <c r="J1038" s="244">
        <v>5</v>
      </c>
      <c r="K1038" s="244">
        <v>4</v>
      </c>
      <c r="L1038" s="244">
        <v>4</v>
      </c>
      <c r="M1038" s="244">
        <v>5</v>
      </c>
      <c r="N1038" s="244">
        <v>3</v>
      </c>
      <c r="O1038" s="254">
        <v>5</v>
      </c>
    </row>
    <row r="1039" ht="14.25" spans="1:15">
      <c r="A1039" s="245" t="s">
        <v>22</v>
      </c>
      <c r="B1039" s="52" t="s">
        <v>64</v>
      </c>
      <c r="C1039" s="19">
        <v>0.384615384615385</v>
      </c>
      <c r="D1039" s="246">
        <v>0.272727272727273</v>
      </c>
      <c r="E1039" s="246">
        <v>0.25</v>
      </c>
      <c r="F1039" s="246">
        <v>0.5</v>
      </c>
      <c r="G1039" s="246">
        <v>0</v>
      </c>
      <c r="H1039" s="246">
        <v>0.333333333333333</v>
      </c>
      <c r="I1039" s="246">
        <v>0.333333333333333</v>
      </c>
      <c r="J1039" s="246">
        <v>0.833333333333333</v>
      </c>
      <c r="K1039" s="246">
        <v>0.444444444444444</v>
      </c>
      <c r="L1039" s="246">
        <v>0.363636363636364</v>
      </c>
      <c r="M1039" s="246">
        <v>0.416666666666667</v>
      </c>
      <c r="N1039" s="246">
        <v>0.333333333333333</v>
      </c>
      <c r="O1039" s="255">
        <v>0.625</v>
      </c>
    </row>
    <row r="1040" spans="1:15">
      <c r="A1040" s="247" t="s">
        <v>66</v>
      </c>
      <c r="B1040" s="248" t="s">
        <v>55</v>
      </c>
      <c r="C1040" s="12">
        <v>0.150647312671636</v>
      </c>
      <c r="D1040" s="249">
        <v>0.117962466487936</v>
      </c>
      <c r="E1040" s="249">
        <v>0.0950704225352113</v>
      </c>
      <c r="F1040" s="249">
        <v>0.146551724137931</v>
      </c>
      <c r="G1040" s="249">
        <v>0.298850574712644</v>
      </c>
      <c r="H1040" s="249">
        <v>0.328125</v>
      </c>
      <c r="I1040" s="249">
        <v>0.341176470588235</v>
      </c>
      <c r="J1040" s="249">
        <v>0.28</v>
      </c>
      <c r="K1040" s="249">
        <v>0.0673267326732673</v>
      </c>
      <c r="L1040" s="249">
        <v>0.122302158273381</v>
      </c>
      <c r="M1040" s="249">
        <v>0.181818181818182</v>
      </c>
      <c r="N1040" s="249">
        <v>0.197916666666667</v>
      </c>
      <c r="O1040" s="256">
        <v>0.132701421800948</v>
      </c>
    </row>
    <row r="1041" spans="1:15">
      <c r="A1041" s="242" t="s">
        <v>66</v>
      </c>
      <c r="B1041" s="43" t="s">
        <v>57</v>
      </c>
      <c r="C1041" s="15">
        <v>2549</v>
      </c>
      <c r="D1041" s="243">
        <v>373</v>
      </c>
      <c r="E1041" s="243">
        <v>284</v>
      </c>
      <c r="F1041" s="243">
        <v>116</v>
      </c>
      <c r="G1041" s="243">
        <v>87</v>
      </c>
      <c r="H1041" s="243">
        <v>128</v>
      </c>
      <c r="I1041" s="243">
        <v>85</v>
      </c>
      <c r="J1041" s="243">
        <v>125</v>
      </c>
      <c r="K1041" s="243">
        <v>505</v>
      </c>
      <c r="L1041" s="243">
        <v>278</v>
      </c>
      <c r="M1041" s="243">
        <v>165</v>
      </c>
      <c r="N1041" s="243">
        <v>192</v>
      </c>
      <c r="O1041" s="253">
        <v>211</v>
      </c>
    </row>
    <row r="1042" spans="1:15">
      <c r="A1042" s="240" t="s">
        <v>66</v>
      </c>
      <c r="B1042" s="47" t="s">
        <v>59</v>
      </c>
      <c r="C1042" s="15">
        <v>384</v>
      </c>
      <c r="D1042" s="243">
        <v>44</v>
      </c>
      <c r="E1042" s="243">
        <v>27</v>
      </c>
      <c r="F1042" s="243">
        <v>17</v>
      </c>
      <c r="G1042" s="243">
        <v>26</v>
      </c>
      <c r="H1042" s="243">
        <v>42</v>
      </c>
      <c r="I1042" s="243">
        <v>29</v>
      </c>
      <c r="J1042" s="243">
        <v>35</v>
      </c>
      <c r="K1042" s="243">
        <v>34</v>
      </c>
      <c r="L1042" s="243">
        <v>34</v>
      </c>
      <c r="M1042" s="243">
        <v>30</v>
      </c>
      <c r="N1042" s="243">
        <v>38</v>
      </c>
      <c r="O1042" s="253">
        <v>28</v>
      </c>
    </row>
    <row r="1043" spans="1:15">
      <c r="A1043" s="242" t="s">
        <v>66</v>
      </c>
      <c r="B1043" s="43" t="s">
        <v>4</v>
      </c>
      <c r="C1043" s="15">
        <v>25</v>
      </c>
      <c r="D1043" s="244">
        <v>0</v>
      </c>
      <c r="E1043" s="244">
        <v>3</v>
      </c>
      <c r="F1043" s="244">
        <v>0</v>
      </c>
      <c r="G1043" s="244">
        <v>2</v>
      </c>
      <c r="H1043" s="244">
        <v>1</v>
      </c>
      <c r="I1043" s="244">
        <v>2</v>
      </c>
      <c r="J1043" s="244">
        <v>1</v>
      </c>
      <c r="K1043" s="244">
        <v>3</v>
      </c>
      <c r="L1043" s="244">
        <v>4</v>
      </c>
      <c r="M1043" s="244">
        <v>3</v>
      </c>
      <c r="N1043" s="244">
        <v>3</v>
      </c>
      <c r="O1043" s="254">
        <v>3</v>
      </c>
    </row>
    <row r="1044" spans="1:15">
      <c r="A1044" s="240" t="s">
        <v>66</v>
      </c>
      <c r="B1044" s="47" t="s">
        <v>5</v>
      </c>
      <c r="C1044" s="12">
        <v>0.0651041666666667</v>
      </c>
      <c r="D1044" s="241">
        <v>0</v>
      </c>
      <c r="E1044" s="241">
        <v>0.111111111111111</v>
      </c>
      <c r="F1044" s="241">
        <v>0</v>
      </c>
      <c r="G1044" s="241">
        <v>0.0769230769230769</v>
      </c>
      <c r="H1044" s="241">
        <v>0.0238095238095238</v>
      </c>
      <c r="I1044" s="241">
        <v>0.0689655172413793</v>
      </c>
      <c r="J1044" s="241">
        <v>0.0285714285714286</v>
      </c>
      <c r="K1044" s="241">
        <v>0.0882352941176471</v>
      </c>
      <c r="L1044" s="241">
        <v>0.117647058823529</v>
      </c>
      <c r="M1044" s="241">
        <v>0.1</v>
      </c>
      <c r="N1044" s="241">
        <v>0.0789473684210526</v>
      </c>
      <c r="O1044" s="252">
        <v>0.107142857142857</v>
      </c>
    </row>
    <row r="1045" spans="1:15">
      <c r="A1045" s="242" t="s">
        <v>66</v>
      </c>
      <c r="B1045" s="43" t="s">
        <v>6</v>
      </c>
      <c r="C1045" s="15">
        <v>11</v>
      </c>
      <c r="D1045" s="244">
        <v>2</v>
      </c>
      <c r="E1045" s="244">
        <v>0</v>
      </c>
      <c r="F1045" s="244">
        <v>0</v>
      </c>
      <c r="G1045" s="244">
        <v>0</v>
      </c>
      <c r="H1045" s="244">
        <v>3</v>
      </c>
      <c r="I1045" s="244">
        <v>1</v>
      </c>
      <c r="J1045" s="244">
        <v>0</v>
      </c>
      <c r="K1045" s="244">
        <v>0</v>
      </c>
      <c r="L1045" s="244">
        <v>1</v>
      </c>
      <c r="M1045" s="244">
        <v>1</v>
      </c>
      <c r="N1045" s="244">
        <v>1</v>
      </c>
      <c r="O1045" s="254">
        <v>2</v>
      </c>
    </row>
    <row r="1046" ht="14.25" spans="1:15">
      <c r="A1046" s="245" t="s">
        <v>66</v>
      </c>
      <c r="B1046" s="52" t="s">
        <v>64</v>
      </c>
      <c r="C1046" s="19">
        <v>0.44</v>
      </c>
      <c r="D1046" s="246">
        <v>0</v>
      </c>
      <c r="E1046" s="246">
        <v>0</v>
      </c>
      <c r="F1046" s="246">
        <v>0</v>
      </c>
      <c r="G1046" s="246">
        <v>0</v>
      </c>
      <c r="H1046" s="246">
        <v>3</v>
      </c>
      <c r="I1046" s="246">
        <v>0.5</v>
      </c>
      <c r="J1046" s="246">
        <v>0</v>
      </c>
      <c r="K1046" s="246">
        <v>0</v>
      </c>
      <c r="L1046" s="246">
        <v>0.25</v>
      </c>
      <c r="M1046" s="246">
        <v>0.333333333333333</v>
      </c>
      <c r="N1046" s="246">
        <v>0.333333333333333</v>
      </c>
      <c r="O1046" s="255">
        <v>0.666666666666667</v>
      </c>
    </row>
    <row r="1047" spans="1:15">
      <c r="A1047" s="240" t="s">
        <v>67</v>
      </c>
      <c r="B1047" s="47" t="s">
        <v>55</v>
      </c>
      <c r="C1047" s="12">
        <v>0.29010989010989</v>
      </c>
      <c r="D1047" s="241">
        <v>0.335365853658537</v>
      </c>
      <c r="E1047" s="241">
        <v>0.303571428571429</v>
      </c>
      <c r="F1047" s="241">
        <v>0.257142857142857</v>
      </c>
      <c r="G1047" s="241">
        <v>0.342105263157895</v>
      </c>
      <c r="H1047" s="241">
        <v>0.375</v>
      </c>
      <c r="I1047" s="241">
        <v>0.385964912280702</v>
      </c>
      <c r="J1047" s="241">
        <v>0.324324324324324</v>
      </c>
      <c r="K1047" s="241">
        <v>0.269230769230769</v>
      </c>
      <c r="L1047" s="241">
        <v>0.247058823529412</v>
      </c>
      <c r="M1047" s="241">
        <v>0.361111111111111</v>
      </c>
      <c r="N1047" s="241">
        <v>0.301980198019802</v>
      </c>
      <c r="O1047" s="252">
        <v>0.172619047619048</v>
      </c>
    </row>
    <row r="1048" spans="1:15">
      <c r="A1048" s="242" t="s">
        <v>67</v>
      </c>
      <c r="B1048" s="43" t="s">
        <v>57</v>
      </c>
      <c r="C1048" s="15">
        <v>1820</v>
      </c>
      <c r="D1048" s="243">
        <v>164</v>
      </c>
      <c r="E1048" s="243">
        <v>112</v>
      </c>
      <c r="F1048" s="243">
        <v>70</v>
      </c>
      <c r="G1048" s="243">
        <v>76</v>
      </c>
      <c r="H1048" s="243">
        <v>128</v>
      </c>
      <c r="I1048" s="243">
        <v>114</v>
      </c>
      <c r="J1048" s="243">
        <v>148</v>
      </c>
      <c r="K1048" s="243">
        <v>156</v>
      </c>
      <c r="L1048" s="243">
        <v>170</v>
      </c>
      <c r="M1048" s="243">
        <v>144</v>
      </c>
      <c r="N1048" s="243">
        <v>202</v>
      </c>
      <c r="O1048" s="253">
        <v>336</v>
      </c>
    </row>
    <row r="1049" spans="1:15">
      <c r="A1049" s="240" t="s">
        <v>67</v>
      </c>
      <c r="B1049" s="47" t="s">
        <v>59</v>
      </c>
      <c r="C1049" s="15">
        <v>528</v>
      </c>
      <c r="D1049" s="243">
        <v>55</v>
      </c>
      <c r="E1049" s="243">
        <v>34</v>
      </c>
      <c r="F1049" s="243">
        <v>18</v>
      </c>
      <c r="G1049" s="243">
        <v>26</v>
      </c>
      <c r="H1049" s="243">
        <v>48</v>
      </c>
      <c r="I1049" s="243">
        <v>44</v>
      </c>
      <c r="J1049" s="243">
        <v>48</v>
      </c>
      <c r="K1049" s="243">
        <v>42</v>
      </c>
      <c r="L1049" s="243">
        <v>42</v>
      </c>
      <c r="M1049" s="243">
        <v>52</v>
      </c>
      <c r="N1049" s="243">
        <v>61</v>
      </c>
      <c r="O1049" s="253">
        <v>58</v>
      </c>
    </row>
    <row r="1050" spans="1:15">
      <c r="A1050" s="242" t="s">
        <v>67</v>
      </c>
      <c r="B1050" s="43" t="s">
        <v>4</v>
      </c>
      <c r="C1050" s="15">
        <v>38</v>
      </c>
      <c r="D1050" s="244">
        <v>5</v>
      </c>
      <c r="E1050" s="244">
        <v>5</v>
      </c>
      <c r="F1050" s="244">
        <v>2</v>
      </c>
      <c r="G1050" s="244">
        <v>0</v>
      </c>
      <c r="H1050" s="244">
        <v>2</v>
      </c>
      <c r="I1050" s="244">
        <v>1</v>
      </c>
      <c r="J1050" s="244">
        <v>3</v>
      </c>
      <c r="K1050" s="244">
        <v>3</v>
      </c>
      <c r="L1050" s="244">
        <v>4</v>
      </c>
      <c r="M1050" s="244">
        <v>2</v>
      </c>
      <c r="N1050" s="244">
        <v>3</v>
      </c>
      <c r="O1050" s="254">
        <v>8</v>
      </c>
    </row>
    <row r="1051" spans="1:15">
      <c r="A1051" s="240" t="s">
        <v>67</v>
      </c>
      <c r="B1051" s="47" t="s">
        <v>5</v>
      </c>
      <c r="C1051" s="12">
        <v>0.071969696969697</v>
      </c>
      <c r="D1051" s="241">
        <v>0.0909090909090909</v>
      </c>
      <c r="E1051" s="241">
        <v>0.147058823529412</v>
      </c>
      <c r="F1051" s="241">
        <v>0.111111111111111</v>
      </c>
      <c r="G1051" s="241">
        <v>0</v>
      </c>
      <c r="H1051" s="241">
        <v>0.0416666666666667</v>
      </c>
      <c r="I1051" s="241">
        <v>0.0227272727272727</v>
      </c>
      <c r="J1051" s="241">
        <v>0.0625</v>
      </c>
      <c r="K1051" s="241">
        <v>0.0714285714285714</v>
      </c>
      <c r="L1051" s="241">
        <v>0.0952380952380952</v>
      </c>
      <c r="M1051" s="241">
        <v>0.0384615384615385</v>
      </c>
      <c r="N1051" s="241">
        <v>0.0491803278688525</v>
      </c>
      <c r="O1051" s="252">
        <v>0.137931034482759</v>
      </c>
    </row>
    <row r="1052" spans="1:15">
      <c r="A1052" s="242" t="s">
        <v>67</v>
      </c>
      <c r="B1052" s="43" t="s">
        <v>6</v>
      </c>
      <c r="C1052" s="15">
        <v>16</v>
      </c>
      <c r="D1052" s="244">
        <v>2</v>
      </c>
      <c r="E1052" s="244">
        <v>1</v>
      </c>
      <c r="F1052" s="244">
        <v>1</v>
      </c>
      <c r="G1052" s="244">
        <v>0</v>
      </c>
      <c r="H1052" s="244">
        <v>0</v>
      </c>
      <c r="I1052" s="244">
        <v>0</v>
      </c>
      <c r="J1052" s="244">
        <v>0</v>
      </c>
      <c r="K1052" s="244">
        <v>2</v>
      </c>
      <c r="L1052" s="244">
        <v>1</v>
      </c>
      <c r="M1052" s="244">
        <v>3</v>
      </c>
      <c r="N1052" s="244">
        <v>4</v>
      </c>
      <c r="O1052" s="254">
        <v>2</v>
      </c>
    </row>
    <row r="1053" ht="14.25" spans="1:15">
      <c r="A1053" s="245" t="s">
        <v>67</v>
      </c>
      <c r="B1053" s="52" t="s">
        <v>64</v>
      </c>
      <c r="C1053" s="19">
        <v>0.421052631578947</v>
      </c>
      <c r="D1053" s="246">
        <v>0.4</v>
      </c>
      <c r="E1053" s="246">
        <v>0.2</v>
      </c>
      <c r="F1053" s="246">
        <v>0.5</v>
      </c>
      <c r="G1053" s="246">
        <v>0</v>
      </c>
      <c r="H1053" s="246">
        <v>0</v>
      </c>
      <c r="I1053" s="246">
        <v>0</v>
      </c>
      <c r="J1053" s="246">
        <v>0</v>
      </c>
      <c r="K1053" s="246">
        <v>0.666666666666667</v>
      </c>
      <c r="L1053" s="246">
        <v>0.25</v>
      </c>
      <c r="M1053" s="246">
        <v>1.5</v>
      </c>
      <c r="N1053" s="246">
        <v>1.33333333333333</v>
      </c>
      <c r="O1053" s="255">
        <v>0.25</v>
      </c>
    </row>
    <row r="1054" spans="1:15">
      <c r="A1054" s="240" t="s">
        <v>68</v>
      </c>
      <c r="B1054" s="47" t="s">
        <v>55</v>
      </c>
      <c r="C1054" s="12">
        <v>0.0471140736252083</v>
      </c>
      <c r="D1054" s="241">
        <v>0.121451104100946</v>
      </c>
      <c r="E1054" s="241">
        <v>0.0915841584158416</v>
      </c>
      <c r="F1054" s="241">
        <v>0.0584415584415584</v>
      </c>
      <c r="G1054" s="241">
        <v>0.0374331550802139</v>
      </c>
      <c r="H1054" s="241">
        <v>0.0411290322580645</v>
      </c>
      <c r="I1054" s="241">
        <v>0.0550595238095238</v>
      </c>
      <c r="J1054" s="241">
        <v>0.0304606240713224</v>
      </c>
      <c r="K1054" s="241">
        <v>0.0544554455445545</v>
      </c>
      <c r="L1054" s="241">
        <v>0.0394736842105263</v>
      </c>
      <c r="M1054" s="241">
        <v>0.0348297213622291</v>
      </c>
      <c r="N1054" s="241">
        <v>0.036783042394015</v>
      </c>
      <c r="O1054" s="252">
        <v>0.0431937172774869</v>
      </c>
    </row>
    <row r="1055" spans="1:15">
      <c r="A1055" s="242" t="s">
        <v>68</v>
      </c>
      <c r="B1055" s="43" t="s">
        <v>57</v>
      </c>
      <c r="C1055" s="15">
        <v>13202</v>
      </c>
      <c r="D1055" s="243">
        <v>634</v>
      </c>
      <c r="E1055" s="243">
        <v>404</v>
      </c>
      <c r="F1055" s="243">
        <v>462</v>
      </c>
      <c r="G1055" s="243">
        <v>1122</v>
      </c>
      <c r="H1055" s="243">
        <v>1240</v>
      </c>
      <c r="I1055" s="243">
        <v>1344</v>
      </c>
      <c r="J1055" s="243">
        <v>1346</v>
      </c>
      <c r="K1055" s="243">
        <v>1010</v>
      </c>
      <c r="L1055" s="243">
        <v>1216</v>
      </c>
      <c r="M1055" s="243">
        <v>1292</v>
      </c>
      <c r="N1055" s="243">
        <v>1604</v>
      </c>
      <c r="O1055" s="253">
        <v>1528</v>
      </c>
    </row>
    <row r="1056" spans="1:15">
      <c r="A1056" s="240" t="s">
        <v>68</v>
      </c>
      <c r="B1056" s="47" t="s">
        <v>59</v>
      </c>
      <c r="C1056" s="15">
        <v>622</v>
      </c>
      <c r="D1056" s="243">
        <v>77</v>
      </c>
      <c r="E1056" s="243">
        <v>37</v>
      </c>
      <c r="F1056" s="243">
        <v>27</v>
      </c>
      <c r="G1056" s="243">
        <v>42</v>
      </c>
      <c r="H1056" s="243">
        <v>51</v>
      </c>
      <c r="I1056" s="243">
        <v>74</v>
      </c>
      <c r="J1056" s="243">
        <v>41</v>
      </c>
      <c r="K1056" s="243">
        <v>55</v>
      </c>
      <c r="L1056" s="243">
        <v>48</v>
      </c>
      <c r="M1056" s="243">
        <v>45</v>
      </c>
      <c r="N1056" s="243">
        <v>59</v>
      </c>
      <c r="O1056" s="253">
        <v>66</v>
      </c>
    </row>
    <row r="1057" spans="1:15">
      <c r="A1057" s="242" t="s">
        <v>68</v>
      </c>
      <c r="B1057" s="43" t="s">
        <v>4</v>
      </c>
      <c r="C1057" s="15">
        <v>38</v>
      </c>
      <c r="D1057" s="244">
        <v>10</v>
      </c>
      <c r="E1057" s="244">
        <v>3</v>
      </c>
      <c r="F1057" s="244">
        <v>1</v>
      </c>
      <c r="G1057" s="244">
        <v>1</v>
      </c>
      <c r="H1057" s="244">
        <v>2</v>
      </c>
      <c r="I1057" s="244">
        <v>2</v>
      </c>
      <c r="J1057" s="244">
        <v>3</v>
      </c>
      <c r="K1057" s="244">
        <v>2</v>
      </c>
      <c r="L1057" s="244">
        <v>2</v>
      </c>
      <c r="M1057" s="244">
        <v>3</v>
      </c>
      <c r="N1057" s="244">
        <v>2</v>
      </c>
      <c r="O1057" s="254">
        <v>7</v>
      </c>
    </row>
    <row r="1058" spans="1:15">
      <c r="A1058" s="240" t="s">
        <v>68</v>
      </c>
      <c r="B1058" s="47" t="s">
        <v>5</v>
      </c>
      <c r="C1058" s="12">
        <v>0.0610932475884244</v>
      </c>
      <c r="D1058" s="241">
        <v>0.12987012987013</v>
      </c>
      <c r="E1058" s="241">
        <v>0.0810810810810811</v>
      </c>
      <c r="F1058" s="241">
        <v>0.037037037037037</v>
      </c>
      <c r="G1058" s="241">
        <v>0.0238095238095238</v>
      </c>
      <c r="H1058" s="241">
        <v>0.0392156862745098</v>
      </c>
      <c r="I1058" s="241">
        <v>0.027027027027027</v>
      </c>
      <c r="J1058" s="241">
        <v>0.0731707317073171</v>
      </c>
      <c r="K1058" s="241">
        <v>0.0363636363636364</v>
      </c>
      <c r="L1058" s="241">
        <v>0.0416666666666667</v>
      </c>
      <c r="M1058" s="241">
        <v>0.0666666666666667</v>
      </c>
      <c r="N1058" s="241">
        <v>0.0338983050847458</v>
      </c>
      <c r="O1058" s="252">
        <v>0.106060606060606</v>
      </c>
    </row>
    <row r="1059" spans="1:15">
      <c r="A1059" s="242" t="s">
        <v>68</v>
      </c>
      <c r="B1059" s="43" t="s">
        <v>6</v>
      </c>
      <c r="C1059" s="15">
        <v>16</v>
      </c>
      <c r="D1059" s="244">
        <v>2</v>
      </c>
      <c r="E1059" s="244">
        <v>1</v>
      </c>
      <c r="F1059" s="244">
        <v>1</v>
      </c>
      <c r="G1059" s="244">
        <v>0</v>
      </c>
      <c r="H1059" s="244">
        <v>3</v>
      </c>
      <c r="I1059" s="244">
        <v>2</v>
      </c>
      <c r="J1059" s="244">
        <v>2</v>
      </c>
      <c r="K1059" s="244">
        <v>1</v>
      </c>
      <c r="L1059" s="244">
        <v>1</v>
      </c>
      <c r="M1059" s="244">
        <v>1</v>
      </c>
      <c r="N1059" s="244">
        <v>1</v>
      </c>
      <c r="O1059" s="254">
        <v>1</v>
      </c>
    </row>
    <row r="1060" ht="14.25" spans="1:15">
      <c r="A1060" s="245" t="s">
        <v>68</v>
      </c>
      <c r="B1060" s="52" t="s">
        <v>64</v>
      </c>
      <c r="C1060" s="19">
        <v>0.421052631578947</v>
      </c>
      <c r="D1060" s="246">
        <v>0.2</v>
      </c>
      <c r="E1060" s="246">
        <v>0.333333333333333</v>
      </c>
      <c r="F1060" s="246">
        <v>1</v>
      </c>
      <c r="G1060" s="246">
        <v>0</v>
      </c>
      <c r="H1060" s="246">
        <v>1.5</v>
      </c>
      <c r="I1060" s="246">
        <v>1</v>
      </c>
      <c r="J1060" s="246">
        <v>0.666666666666667</v>
      </c>
      <c r="K1060" s="246">
        <v>0.5</v>
      </c>
      <c r="L1060" s="246">
        <v>0.5</v>
      </c>
      <c r="M1060" s="246">
        <v>0.333333333333333</v>
      </c>
      <c r="N1060" s="246">
        <v>0.5</v>
      </c>
      <c r="O1060" s="255">
        <v>0.142857142857143</v>
      </c>
    </row>
    <row r="1061" spans="1:15">
      <c r="A1061" s="240" t="s">
        <v>69</v>
      </c>
      <c r="B1061" s="47" t="s">
        <v>55</v>
      </c>
      <c r="C1061" s="12">
        <v>1.04293381037567</v>
      </c>
      <c r="D1061" s="241">
        <v>1.15555555555556</v>
      </c>
      <c r="E1061" s="241">
        <v>1.40740740740741</v>
      </c>
      <c r="F1061" s="241">
        <v>1.75</v>
      </c>
      <c r="G1061" s="241">
        <v>1.35714285714286</v>
      </c>
      <c r="H1061" s="241">
        <v>1.13157894736842</v>
      </c>
      <c r="I1061" s="241">
        <v>0.836734693877551</v>
      </c>
      <c r="J1061" s="241">
        <v>1.0327868852459</v>
      </c>
      <c r="K1061" s="241">
        <v>0.898305084745763</v>
      </c>
      <c r="L1061" s="241">
        <v>0.830508474576271</v>
      </c>
      <c r="M1061" s="241">
        <v>1.03846153846154</v>
      </c>
      <c r="N1061" s="241">
        <v>0.891891891891892</v>
      </c>
      <c r="O1061" s="252">
        <v>1.18181818181818</v>
      </c>
    </row>
    <row r="1062" spans="1:15">
      <c r="A1062" s="242" t="s">
        <v>69</v>
      </c>
      <c r="B1062" s="43" t="s">
        <v>57</v>
      </c>
      <c r="C1062" s="15">
        <v>559</v>
      </c>
      <c r="D1062" s="243">
        <v>45</v>
      </c>
      <c r="E1062" s="243">
        <v>27</v>
      </c>
      <c r="F1062" s="243">
        <v>12</v>
      </c>
      <c r="G1062" s="243">
        <v>28</v>
      </c>
      <c r="H1062" s="243">
        <v>38</v>
      </c>
      <c r="I1062" s="243">
        <v>49</v>
      </c>
      <c r="J1062" s="243">
        <v>61</v>
      </c>
      <c r="K1062" s="243">
        <v>59</v>
      </c>
      <c r="L1062" s="243">
        <v>59</v>
      </c>
      <c r="M1062" s="243">
        <v>52</v>
      </c>
      <c r="N1062" s="243">
        <v>74</v>
      </c>
      <c r="O1062" s="253">
        <v>55</v>
      </c>
    </row>
    <row r="1063" spans="1:15">
      <c r="A1063" s="240" t="s">
        <v>69</v>
      </c>
      <c r="B1063" s="47" t="s">
        <v>59</v>
      </c>
      <c r="C1063" s="15">
        <v>583</v>
      </c>
      <c r="D1063" s="243">
        <v>52</v>
      </c>
      <c r="E1063" s="243">
        <v>38</v>
      </c>
      <c r="F1063" s="243">
        <v>21</v>
      </c>
      <c r="G1063" s="243">
        <v>38</v>
      </c>
      <c r="H1063" s="243">
        <v>43</v>
      </c>
      <c r="I1063" s="243">
        <v>41</v>
      </c>
      <c r="J1063" s="243">
        <v>63</v>
      </c>
      <c r="K1063" s="243">
        <v>53</v>
      </c>
      <c r="L1063" s="243">
        <v>49</v>
      </c>
      <c r="M1063" s="243">
        <v>54</v>
      </c>
      <c r="N1063" s="243">
        <v>66</v>
      </c>
      <c r="O1063" s="253">
        <v>65</v>
      </c>
    </row>
    <row r="1064" spans="1:15">
      <c r="A1064" s="242" t="s">
        <v>69</v>
      </c>
      <c r="B1064" s="43" t="s">
        <v>4</v>
      </c>
      <c r="C1064" s="15">
        <v>30</v>
      </c>
      <c r="D1064" s="244">
        <v>2</v>
      </c>
      <c r="E1064" s="244">
        <v>0</v>
      </c>
      <c r="F1064" s="244">
        <v>1</v>
      </c>
      <c r="G1064" s="244">
        <v>1</v>
      </c>
      <c r="H1064" s="244">
        <v>1</v>
      </c>
      <c r="I1064" s="244">
        <v>2</v>
      </c>
      <c r="J1064" s="244">
        <v>3</v>
      </c>
      <c r="K1064" s="244">
        <v>5</v>
      </c>
      <c r="L1064" s="244">
        <v>0</v>
      </c>
      <c r="M1064" s="244">
        <v>6</v>
      </c>
      <c r="N1064" s="244">
        <v>5</v>
      </c>
      <c r="O1064" s="254">
        <v>4</v>
      </c>
    </row>
    <row r="1065" spans="1:15">
      <c r="A1065" s="240" t="s">
        <v>69</v>
      </c>
      <c r="B1065" s="47" t="s">
        <v>5</v>
      </c>
      <c r="C1065" s="12">
        <v>0.0514579759862779</v>
      </c>
      <c r="D1065" s="241">
        <v>0.0384615384615385</v>
      </c>
      <c r="E1065" s="241">
        <v>0</v>
      </c>
      <c r="F1065" s="241">
        <v>0.0476190476190476</v>
      </c>
      <c r="G1065" s="241">
        <v>0.0263157894736842</v>
      </c>
      <c r="H1065" s="241">
        <v>0.0232558139534884</v>
      </c>
      <c r="I1065" s="241">
        <v>0.0487804878048781</v>
      </c>
      <c r="J1065" s="241">
        <v>0.0476190476190476</v>
      </c>
      <c r="K1065" s="241">
        <v>0.0943396226415094</v>
      </c>
      <c r="L1065" s="241">
        <v>0</v>
      </c>
      <c r="M1065" s="241">
        <v>0.111111111111111</v>
      </c>
      <c r="N1065" s="241">
        <v>0.0757575757575758</v>
      </c>
      <c r="O1065" s="252">
        <v>0.0615384615384615</v>
      </c>
    </row>
    <row r="1066" spans="1:15">
      <c r="A1066" s="242" t="s">
        <v>69</v>
      </c>
      <c r="B1066" s="43" t="s">
        <v>6</v>
      </c>
      <c r="C1066" s="15">
        <v>7</v>
      </c>
      <c r="D1066" s="244">
        <v>0</v>
      </c>
      <c r="E1066" s="244">
        <v>1</v>
      </c>
      <c r="F1066" s="244">
        <v>0</v>
      </c>
      <c r="G1066" s="244">
        <v>0</v>
      </c>
      <c r="H1066" s="244">
        <v>0</v>
      </c>
      <c r="I1066" s="244">
        <v>1</v>
      </c>
      <c r="J1066" s="244">
        <v>1</v>
      </c>
      <c r="K1066" s="244">
        <v>1</v>
      </c>
      <c r="L1066" s="244">
        <v>0</v>
      </c>
      <c r="M1066" s="244">
        <v>0</v>
      </c>
      <c r="N1066" s="244">
        <v>1</v>
      </c>
      <c r="O1066" s="254">
        <v>2</v>
      </c>
    </row>
    <row r="1067" ht="14.25" spans="1:15">
      <c r="A1067" s="245" t="s">
        <v>69</v>
      </c>
      <c r="B1067" s="52" t="s">
        <v>64</v>
      </c>
      <c r="C1067" s="19">
        <v>0.233333333333333</v>
      </c>
      <c r="D1067" s="246">
        <v>0</v>
      </c>
      <c r="E1067" s="246">
        <v>0</v>
      </c>
      <c r="F1067" s="246">
        <v>0</v>
      </c>
      <c r="G1067" s="246">
        <v>0</v>
      </c>
      <c r="H1067" s="246">
        <v>0</v>
      </c>
      <c r="I1067" s="246">
        <v>0.5</v>
      </c>
      <c r="J1067" s="246">
        <v>0.333333333333333</v>
      </c>
      <c r="K1067" s="246">
        <v>0.2</v>
      </c>
      <c r="L1067" s="246">
        <v>0</v>
      </c>
      <c r="M1067" s="246">
        <v>0</v>
      </c>
      <c r="N1067" s="246">
        <v>0.2</v>
      </c>
      <c r="O1067" s="255">
        <v>0.5</v>
      </c>
    </row>
    <row r="1068" spans="1:15">
      <c r="A1068" s="240" t="s">
        <v>70</v>
      </c>
      <c r="B1068" s="47" t="s">
        <v>55</v>
      </c>
      <c r="C1068" s="12">
        <v>0.659770114942529</v>
      </c>
      <c r="D1068" s="241">
        <v>0.842105263157895</v>
      </c>
      <c r="E1068" s="241">
        <v>1.05555555555556</v>
      </c>
      <c r="F1068" s="241">
        <v>1.22222222222222</v>
      </c>
      <c r="G1068" s="241">
        <v>0.869565217391304</v>
      </c>
      <c r="H1068" s="241">
        <v>0.8</v>
      </c>
      <c r="I1068" s="241">
        <v>0.388888888888889</v>
      </c>
      <c r="J1068" s="241">
        <v>0.6875</v>
      </c>
      <c r="K1068" s="241">
        <v>0.526315789473684</v>
      </c>
      <c r="L1068" s="241">
        <v>0.545454545454545</v>
      </c>
      <c r="M1068" s="241">
        <v>0.382352941176471</v>
      </c>
      <c r="N1068" s="241">
        <v>0.420289855072464</v>
      </c>
      <c r="O1068" s="252">
        <v>0.876923076923077</v>
      </c>
    </row>
    <row r="1069" spans="1:15">
      <c r="A1069" s="242" t="s">
        <v>70</v>
      </c>
      <c r="B1069" s="43" t="s">
        <v>57</v>
      </c>
      <c r="C1069" s="15">
        <v>435</v>
      </c>
      <c r="D1069" s="243">
        <v>38</v>
      </c>
      <c r="E1069" s="243">
        <v>18</v>
      </c>
      <c r="F1069" s="243">
        <v>9</v>
      </c>
      <c r="G1069" s="243">
        <v>23</v>
      </c>
      <c r="H1069" s="243">
        <v>40</v>
      </c>
      <c r="I1069" s="243">
        <v>36</v>
      </c>
      <c r="J1069" s="243">
        <v>32</v>
      </c>
      <c r="K1069" s="243">
        <v>38</v>
      </c>
      <c r="L1069" s="243">
        <v>33</v>
      </c>
      <c r="M1069" s="243">
        <v>34</v>
      </c>
      <c r="N1069" s="243">
        <v>69</v>
      </c>
      <c r="O1069" s="253">
        <v>65</v>
      </c>
    </row>
    <row r="1070" spans="1:15">
      <c r="A1070" s="240" t="s">
        <v>70</v>
      </c>
      <c r="B1070" s="47" t="s">
        <v>59</v>
      </c>
      <c r="C1070" s="15">
        <v>287</v>
      </c>
      <c r="D1070" s="243">
        <v>32</v>
      </c>
      <c r="E1070" s="243">
        <v>19</v>
      </c>
      <c r="F1070" s="243">
        <v>11</v>
      </c>
      <c r="G1070" s="243">
        <v>20</v>
      </c>
      <c r="H1070" s="243">
        <v>32</v>
      </c>
      <c r="I1070" s="243">
        <v>14</v>
      </c>
      <c r="J1070" s="243">
        <v>22</v>
      </c>
      <c r="K1070" s="243">
        <v>20</v>
      </c>
      <c r="L1070" s="243">
        <v>18</v>
      </c>
      <c r="M1070" s="243">
        <v>13</v>
      </c>
      <c r="N1070" s="243">
        <v>29</v>
      </c>
      <c r="O1070" s="253">
        <v>57</v>
      </c>
    </row>
    <row r="1071" spans="1:15">
      <c r="A1071" s="242" t="s">
        <v>70</v>
      </c>
      <c r="B1071" s="43" t="s">
        <v>4</v>
      </c>
      <c r="C1071" s="15">
        <v>4</v>
      </c>
      <c r="D1071" s="244">
        <v>2</v>
      </c>
      <c r="E1071" s="244">
        <v>1</v>
      </c>
      <c r="F1071" s="244">
        <v>0</v>
      </c>
      <c r="G1071" s="244">
        <v>0</v>
      </c>
      <c r="H1071" s="244">
        <v>0</v>
      </c>
      <c r="I1071" s="244">
        <v>1</v>
      </c>
      <c r="J1071" s="244">
        <v>0</v>
      </c>
      <c r="K1071" s="244">
        <v>0</v>
      </c>
      <c r="L1071" s="244">
        <v>0</v>
      </c>
      <c r="M1071" s="244">
        <v>0</v>
      </c>
      <c r="N1071" s="244">
        <v>0</v>
      </c>
      <c r="O1071" s="254">
        <v>0</v>
      </c>
    </row>
    <row r="1072" spans="1:15">
      <c r="A1072" s="240" t="s">
        <v>70</v>
      </c>
      <c r="B1072" s="47" t="s">
        <v>5</v>
      </c>
      <c r="C1072" s="12">
        <v>0.0139372822299652</v>
      </c>
      <c r="D1072" s="241">
        <v>0.0625</v>
      </c>
      <c r="E1072" s="241">
        <v>0.0526315789473684</v>
      </c>
      <c r="F1072" s="241">
        <v>0</v>
      </c>
      <c r="G1072" s="241">
        <v>0</v>
      </c>
      <c r="H1072" s="241">
        <v>0</v>
      </c>
      <c r="I1072" s="241">
        <v>0.0714285714285714</v>
      </c>
      <c r="J1072" s="241">
        <v>0</v>
      </c>
      <c r="K1072" s="241">
        <v>0</v>
      </c>
      <c r="L1072" s="241">
        <v>0</v>
      </c>
      <c r="M1072" s="241">
        <v>0</v>
      </c>
      <c r="N1072" s="241">
        <v>0</v>
      </c>
      <c r="O1072" s="252">
        <v>0</v>
      </c>
    </row>
    <row r="1073" spans="1:15">
      <c r="A1073" s="242" t="s">
        <v>70</v>
      </c>
      <c r="B1073" s="43" t="s">
        <v>6</v>
      </c>
      <c r="C1073" s="15">
        <v>5</v>
      </c>
      <c r="D1073" s="244">
        <v>1</v>
      </c>
      <c r="E1073" s="244">
        <v>1</v>
      </c>
      <c r="F1073" s="244">
        <v>1</v>
      </c>
      <c r="G1073" s="244">
        <v>0</v>
      </c>
      <c r="H1073" s="244">
        <v>0</v>
      </c>
      <c r="I1073" s="244">
        <v>0</v>
      </c>
      <c r="J1073" s="244">
        <v>0</v>
      </c>
      <c r="K1073" s="244">
        <v>0</v>
      </c>
      <c r="L1073" s="244">
        <v>0</v>
      </c>
      <c r="M1073" s="244">
        <v>0</v>
      </c>
      <c r="N1073" s="244">
        <v>0</v>
      </c>
      <c r="O1073" s="254">
        <v>2</v>
      </c>
    </row>
    <row r="1074" ht="14.25" spans="1:15">
      <c r="A1074" s="245" t="s">
        <v>70</v>
      </c>
      <c r="B1074" s="52" t="s">
        <v>64</v>
      </c>
      <c r="C1074" s="19">
        <v>1.25</v>
      </c>
      <c r="D1074" s="246">
        <v>0.5</v>
      </c>
      <c r="E1074" s="246">
        <v>1</v>
      </c>
      <c r="F1074" s="246">
        <v>0</v>
      </c>
      <c r="G1074" s="246">
        <v>0</v>
      </c>
      <c r="H1074" s="246">
        <v>0</v>
      </c>
      <c r="I1074" s="246">
        <v>0</v>
      </c>
      <c r="J1074" s="246">
        <v>0</v>
      </c>
      <c r="K1074" s="246">
        <v>0</v>
      </c>
      <c r="L1074" s="246">
        <v>0</v>
      </c>
      <c r="M1074" s="246">
        <v>0</v>
      </c>
      <c r="N1074" s="246">
        <v>0</v>
      </c>
      <c r="O1074" s="255">
        <v>0</v>
      </c>
    </row>
    <row r="1075" spans="1:15">
      <c r="A1075" s="240" t="s">
        <v>26</v>
      </c>
      <c r="B1075" s="47" t="s">
        <v>55</v>
      </c>
      <c r="C1075" s="12">
        <v>0.521505376344086</v>
      </c>
      <c r="D1075" s="241">
        <v>0.490291262135922</v>
      </c>
      <c r="E1075" s="241">
        <v>0.518181818181818</v>
      </c>
      <c r="F1075" s="241">
        <v>0.390909090909091</v>
      </c>
      <c r="G1075" s="241">
        <v>0.642857142857143</v>
      </c>
      <c r="H1075" s="241">
        <v>0.560810810810811</v>
      </c>
      <c r="I1075" s="241">
        <v>0.570093457943925</v>
      </c>
      <c r="J1075" s="241">
        <v>0.485</v>
      </c>
      <c r="K1075" s="241">
        <v>0.565656565656566</v>
      </c>
      <c r="L1075" s="241">
        <v>0.489473684210526</v>
      </c>
      <c r="M1075" s="241">
        <v>0.563953488372093</v>
      </c>
      <c r="N1075" s="241">
        <v>0.510416666666667</v>
      </c>
      <c r="O1075" s="252">
        <v>0.485576923076923</v>
      </c>
    </row>
    <row r="1076" spans="1:15">
      <c r="A1076" s="242" t="s">
        <v>26</v>
      </c>
      <c r="B1076" s="43" t="s">
        <v>57</v>
      </c>
      <c r="C1076" s="15">
        <v>2046</v>
      </c>
      <c r="D1076" s="243">
        <v>206</v>
      </c>
      <c r="E1076" s="243">
        <v>110</v>
      </c>
      <c r="F1076" s="243">
        <v>110</v>
      </c>
      <c r="G1076" s="243">
        <v>98</v>
      </c>
      <c r="H1076" s="243">
        <v>148</v>
      </c>
      <c r="I1076" s="243">
        <v>214</v>
      </c>
      <c r="J1076" s="243">
        <v>200</v>
      </c>
      <c r="K1076" s="243">
        <v>198</v>
      </c>
      <c r="L1076" s="243">
        <v>190</v>
      </c>
      <c r="M1076" s="243">
        <v>172</v>
      </c>
      <c r="N1076" s="243">
        <v>192</v>
      </c>
      <c r="O1076" s="253">
        <v>208</v>
      </c>
    </row>
    <row r="1077" spans="1:15">
      <c r="A1077" s="240" t="s">
        <v>26</v>
      </c>
      <c r="B1077" s="47" t="s">
        <v>59</v>
      </c>
      <c r="C1077" s="15">
        <v>1067</v>
      </c>
      <c r="D1077" s="243">
        <v>101</v>
      </c>
      <c r="E1077" s="243">
        <v>57</v>
      </c>
      <c r="F1077" s="243">
        <v>43</v>
      </c>
      <c r="G1077" s="243">
        <v>63</v>
      </c>
      <c r="H1077" s="243">
        <v>83</v>
      </c>
      <c r="I1077" s="243">
        <v>122</v>
      </c>
      <c r="J1077" s="243">
        <v>97</v>
      </c>
      <c r="K1077" s="243">
        <v>112</v>
      </c>
      <c r="L1077" s="243">
        <v>93</v>
      </c>
      <c r="M1077" s="243">
        <v>97</v>
      </c>
      <c r="N1077" s="243">
        <v>98</v>
      </c>
      <c r="O1077" s="253">
        <v>101</v>
      </c>
    </row>
    <row r="1078" spans="1:15">
      <c r="A1078" s="242" t="s">
        <v>26</v>
      </c>
      <c r="B1078" s="43" t="s">
        <v>4</v>
      </c>
      <c r="C1078" s="15">
        <v>15</v>
      </c>
      <c r="D1078" s="244">
        <v>0</v>
      </c>
      <c r="E1078" s="244">
        <v>0</v>
      </c>
      <c r="F1078" s="244">
        <v>0</v>
      </c>
      <c r="G1078" s="244">
        <v>1</v>
      </c>
      <c r="H1078" s="244">
        <v>2</v>
      </c>
      <c r="I1078" s="244">
        <v>1</v>
      </c>
      <c r="J1078" s="244">
        <v>0</v>
      </c>
      <c r="K1078" s="244">
        <v>3</v>
      </c>
      <c r="L1078" s="244">
        <v>3</v>
      </c>
      <c r="M1078" s="244">
        <v>1</v>
      </c>
      <c r="N1078" s="244">
        <v>0</v>
      </c>
      <c r="O1078" s="254">
        <v>4</v>
      </c>
    </row>
    <row r="1079" spans="1:15">
      <c r="A1079" s="240" t="s">
        <v>26</v>
      </c>
      <c r="B1079" s="47" t="s">
        <v>5</v>
      </c>
      <c r="C1079" s="12">
        <v>0.014058106841612</v>
      </c>
      <c r="D1079" s="241">
        <v>0</v>
      </c>
      <c r="E1079" s="241">
        <v>0</v>
      </c>
      <c r="F1079" s="241">
        <v>0</v>
      </c>
      <c r="G1079" s="241">
        <v>0.0158730158730159</v>
      </c>
      <c r="H1079" s="241">
        <v>0.0240963855421687</v>
      </c>
      <c r="I1079" s="241">
        <v>0.00819672131147541</v>
      </c>
      <c r="J1079" s="241">
        <v>0</v>
      </c>
      <c r="K1079" s="241">
        <v>0.0267857142857143</v>
      </c>
      <c r="L1079" s="241">
        <v>0.032258064516129</v>
      </c>
      <c r="M1079" s="241">
        <v>0.0103092783505155</v>
      </c>
      <c r="N1079" s="241">
        <v>0</v>
      </c>
      <c r="O1079" s="252">
        <v>0.0396039603960396</v>
      </c>
    </row>
    <row r="1080" spans="1:15">
      <c r="A1080" s="242" t="s">
        <v>26</v>
      </c>
      <c r="B1080" s="43" t="s">
        <v>6</v>
      </c>
      <c r="C1080" s="15">
        <v>4</v>
      </c>
      <c r="D1080" s="244">
        <v>2</v>
      </c>
      <c r="E1080" s="244">
        <v>0</v>
      </c>
      <c r="F1080" s="244">
        <v>0</v>
      </c>
      <c r="G1080" s="244">
        <v>0</v>
      </c>
      <c r="H1080" s="244">
        <v>0</v>
      </c>
      <c r="I1080" s="244">
        <v>0</v>
      </c>
      <c r="J1080" s="244">
        <v>0</v>
      </c>
      <c r="K1080" s="244">
        <v>1</v>
      </c>
      <c r="L1080" s="244">
        <v>0</v>
      </c>
      <c r="M1080" s="244">
        <v>0</v>
      </c>
      <c r="N1080" s="244">
        <v>0</v>
      </c>
      <c r="O1080" s="254">
        <v>1</v>
      </c>
    </row>
    <row r="1081" ht="14.25" spans="1:15">
      <c r="A1081" s="245" t="s">
        <v>26</v>
      </c>
      <c r="B1081" s="52" t="s">
        <v>64</v>
      </c>
      <c r="C1081" s="19">
        <v>0.266666666666667</v>
      </c>
      <c r="D1081" s="250">
        <v>2</v>
      </c>
      <c r="E1081" s="250">
        <v>0</v>
      </c>
      <c r="F1081" s="250">
        <v>0</v>
      </c>
      <c r="G1081" s="250">
        <v>0</v>
      </c>
      <c r="H1081" s="250">
        <v>0</v>
      </c>
      <c r="I1081" s="250">
        <v>0</v>
      </c>
      <c r="J1081" s="250">
        <v>0</v>
      </c>
      <c r="K1081" s="250">
        <v>1</v>
      </c>
      <c r="L1081" s="250">
        <v>0</v>
      </c>
      <c r="M1081" s="250">
        <v>0</v>
      </c>
      <c r="N1081" s="250">
        <v>0</v>
      </c>
      <c r="O1081" s="257">
        <v>1</v>
      </c>
    </row>
    <row r="1082" spans="1:15">
      <c r="A1082" s="240" t="s">
        <v>71</v>
      </c>
      <c r="B1082" s="47" t="s">
        <v>55</v>
      </c>
      <c r="C1082" s="12">
        <v>0.0334928229665072</v>
      </c>
      <c r="D1082" s="241">
        <v>0.0212765957446809</v>
      </c>
      <c r="E1082" s="241">
        <v>0</v>
      </c>
      <c r="F1082" s="241">
        <v>0</v>
      </c>
      <c r="G1082" s="241">
        <v>0.117647058823529</v>
      </c>
      <c r="H1082" s="241">
        <v>0.0535714285714286</v>
      </c>
      <c r="I1082" s="241">
        <v>0.0491803278688525</v>
      </c>
      <c r="J1082" s="241">
        <v>0.0526315789473684</v>
      </c>
      <c r="K1082" s="241">
        <v>0.0158730158730159</v>
      </c>
      <c r="L1082" s="241">
        <v>0.0377358490566038</v>
      </c>
      <c r="M1082" s="241">
        <v>0.0142857142857143</v>
      </c>
      <c r="N1082" s="241">
        <v>0.0410958904109589</v>
      </c>
      <c r="O1082" s="252">
        <v>0.025</v>
      </c>
    </row>
    <row r="1083" spans="1:15">
      <c r="A1083" s="242" t="s">
        <v>71</v>
      </c>
      <c r="B1083" s="43" t="s">
        <v>57</v>
      </c>
      <c r="C1083" s="15">
        <v>627</v>
      </c>
      <c r="D1083" s="243">
        <v>47</v>
      </c>
      <c r="E1083" s="243">
        <v>33</v>
      </c>
      <c r="F1083" s="243">
        <v>17</v>
      </c>
      <c r="G1083" s="243">
        <v>17</v>
      </c>
      <c r="H1083" s="243">
        <v>56</v>
      </c>
      <c r="I1083" s="243">
        <v>61</v>
      </c>
      <c r="J1083" s="243">
        <v>57</v>
      </c>
      <c r="K1083" s="243">
        <v>63</v>
      </c>
      <c r="L1083" s="243">
        <v>53</v>
      </c>
      <c r="M1083" s="243">
        <v>70</v>
      </c>
      <c r="N1083" s="243">
        <v>73</v>
      </c>
      <c r="O1083" s="253">
        <v>80</v>
      </c>
    </row>
    <row r="1084" spans="1:15">
      <c r="A1084" s="240" t="s">
        <v>71</v>
      </c>
      <c r="B1084" s="47" t="s">
        <v>59</v>
      </c>
      <c r="C1084" s="15">
        <v>21</v>
      </c>
      <c r="D1084" s="243">
        <v>1</v>
      </c>
      <c r="E1084" s="243">
        <v>0</v>
      </c>
      <c r="F1084" s="243">
        <v>0</v>
      </c>
      <c r="G1084" s="243">
        <v>2</v>
      </c>
      <c r="H1084" s="243">
        <v>3</v>
      </c>
      <c r="I1084" s="243">
        <v>3</v>
      </c>
      <c r="J1084" s="243">
        <v>3</v>
      </c>
      <c r="K1084" s="243">
        <v>1</v>
      </c>
      <c r="L1084" s="243">
        <v>2</v>
      </c>
      <c r="M1084" s="243">
        <v>1</v>
      </c>
      <c r="N1084" s="243">
        <v>3</v>
      </c>
      <c r="O1084" s="253">
        <v>2</v>
      </c>
    </row>
    <row r="1085" spans="1:15">
      <c r="A1085" s="242" t="s">
        <v>71</v>
      </c>
      <c r="B1085" s="43" t="s">
        <v>4</v>
      </c>
      <c r="C1085" s="15">
        <v>20</v>
      </c>
      <c r="D1085" s="244">
        <v>2</v>
      </c>
      <c r="E1085" s="244">
        <v>0</v>
      </c>
      <c r="F1085" s="244">
        <v>0</v>
      </c>
      <c r="G1085" s="244">
        <v>0</v>
      </c>
      <c r="H1085" s="244">
        <v>2</v>
      </c>
      <c r="I1085" s="244">
        <v>3</v>
      </c>
      <c r="J1085" s="244">
        <v>3</v>
      </c>
      <c r="K1085" s="244">
        <v>1</v>
      </c>
      <c r="L1085" s="244">
        <v>1</v>
      </c>
      <c r="M1085" s="244">
        <v>3</v>
      </c>
      <c r="N1085" s="244">
        <v>3</v>
      </c>
      <c r="O1085" s="254">
        <v>2</v>
      </c>
    </row>
    <row r="1086" spans="1:15">
      <c r="A1086" s="240" t="s">
        <v>71</v>
      </c>
      <c r="B1086" s="47" t="s">
        <v>5</v>
      </c>
      <c r="C1086" s="12">
        <v>0.952380952380952</v>
      </c>
      <c r="D1086" s="241">
        <v>2</v>
      </c>
      <c r="E1086" s="241">
        <v>0</v>
      </c>
      <c r="F1086" s="241">
        <v>0</v>
      </c>
      <c r="G1086" s="241">
        <v>0</v>
      </c>
      <c r="H1086" s="241">
        <v>0.666666666666667</v>
      </c>
      <c r="I1086" s="241">
        <v>1</v>
      </c>
      <c r="J1086" s="241">
        <v>1</v>
      </c>
      <c r="K1086" s="241">
        <v>1</v>
      </c>
      <c r="L1086" s="241">
        <v>0.5</v>
      </c>
      <c r="M1086" s="241">
        <v>3</v>
      </c>
      <c r="N1086" s="241">
        <v>1</v>
      </c>
      <c r="O1086" s="252">
        <v>1</v>
      </c>
    </row>
    <row r="1087" spans="1:15">
      <c r="A1087" s="242" t="s">
        <v>71</v>
      </c>
      <c r="B1087" s="43" t="s">
        <v>6</v>
      </c>
      <c r="C1087" s="15">
        <v>8</v>
      </c>
      <c r="D1087" s="244">
        <v>1</v>
      </c>
      <c r="E1087" s="244">
        <v>0</v>
      </c>
      <c r="F1087" s="244">
        <v>0</v>
      </c>
      <c r="G1087" s="244">
        <v>1</v>
      </c>
      <c r="H1087" s="244">
        <v>0</v>
      </c>
      <c r="I1087" s="244">
        <v>1</v>
      </c>
      <c r="J1087" s="244">
        <v>1</v>
      </c>
      <c r="K1087" s="244">
        <v>1</v>
      </c>
      <c r="L1087" s="244">
        <v>0</v>
      </c>
      <c r="M1087" s="244">
        <v>0</v>
      </c>
      <c r="N1087" s="244">
        <v>1</v>
      </c>
      <c r="O1087" s="254">
        <v>2</v>
      </c>
    </row>
    <row r="1088" ht="14.25" spans="1:15">
      <c r="A1088" s="245" t="s">
        <v>71</v>
      </c>
      <c r="B1088" s="52" t="s">
        <v>64</v>
      </c>
      <c r="C1088" s="19">
        <v>0.4</v>
      </c>
      <c r="D1088" s="250">
        <v>1</v>
      </c>
      <c r="E1088" s="250">
        <v>0</v>
      </c>
      <c r="F1088" s="250">
        <v>0</v>
      </c>
      <c r="G1088" s="250">
        <v>1</v>
      </c>
      <c r="H1088" s="250">
        <v>0</v>
      </c>
      <c r="I1088" s="250">
        <v>1</v>
      </c>
      <c r="J1088" s="250">
        <v>1</v>
      </c>
      <c r="K1088" s="250">
        <v>1</v>
      </c>
      <c r="L1088" s="250">
        <v>0</v>
      </c>
      <c r="M1088" s="250">
        <v>0</v>
      </c>
      <c r="N1088" s="250">
        <v>1</v>
      </c>
      <c r="O1088" s="257">
        <v>2</v>
      </c>
    </row>
    <row r="1089" spans="1:15">
      <c r="A1089" s="240" t="s">
        <v>72</v>
      </c>
      <c r="B1089" s="47" t="s">
        <v>55</v>
      </c>
      <c r="C1089" s="12">
        <v>0.385572139303483</v>
      </c>
      <c r="D1089" s="241">
        <v>0.458333333333333</v>
      </c>
      <c r="E1089" s="241">
        <v>0.5</v>
      </c>
      <c r="F1089" s="241">
        <v>0.333333333333333</v>
      </c>
      <c r="G1089" s="241">
        <v>0.5</v>
      </c>
      <c r="H1089" s="241">
        <v>0.529411764705882</v>
      </c>
      <c r="I1089" s="241">
        <v>0.347826086956522</v>
      </c>
      <c r="J1089" s="241">
        <v>0.261904761904762</v>
      </c>
      <c r="K1089" s="241">
        <v>0.346153846153846</v>
      </c>
      <c r="L1089" s="241">
        <v>0.342105263157895</v>
      </c>
      <c r="M1089" s="241">
        <v>0.318181818181818</v>
      </c>
      <c r="N1089" s="241">
        <v>0.387096774193548</v>
      </c>
      <c r="O1089" s="252">
        <v>0.441176470588235</v>
      </c>
    </row>
    <row r="1090" spans="1:15">
      <c r="A1090" s="242" t="s">
        <v>72</v>
      </c>
      <c r="B1090" s="43" t="s">
        <v>57</v>
      </c>
      <c r="C1090" s="15">
        <v>402</v>
      </c>
      <c r="D1090" s="243">
        <v>24</v>
      </c>
      <c r="E1090" s="243">
        <v>18</v>
      </c>
      <c r="F1090" s="243">
        <v>12</v>
      </c>
      <c r="G1090" s="243">
        <v>18</v>
      </c>
      <c r="H1090" s="243">
        <v>34</v>
      </c>
      <c r="I1090" s="243">
        <v>46</v>
      </c>
      <c r="J1090" s="243">
        <v>42</v>
      </c>
      <c r="K1090" s="243">
        <v>52</v>
      </c>
      <c r="L1090" s="243">
        <v>38</v>
      </c>
      <c r="M1090" s="243">
        <v>22</v>
      </c>
      <c r="N1090" s="243">
        <v>62</v>
      </c>
      <c r="O1090" s="253">
        <v>34</v>
      </c>
    </row>
    <row r="1091" spans="1:15">
      <c r="A1091" s="240" t="s">
        <v>72</v>
      </c>
      <c r="B1091" s="47" t="s">
        <v>59</v>
      </c>
      <c r="C1091" s="15">
        <v>155</v>
      </c>
      <c r="D1091" s="243">
        <v>11</v>
      </c>
      <c r="E1091" s="243">
        <v>9</v>
      </c>
      <c r="F1091" s="243">
        <v>4</v>
      </c>
      <c r="G1091" s="243">
        <v>9</v>
      </c>
      <c r="H1091" s="243">
        <v>18</v>
      </c>
      <c r="I1091" s="243">
        <v>16</v>
      </c>
      <c r="J1091" s="243">
        <v>11</v>
      </c>
      <c r="K1091" s="243">
        <v>18</v>
      </c>
      <c r="L1091" s="243">
        <v>13</v>
      </c>
      <c r="M1091" s="243">
        <v>7</v>
      </c>
      <c r="N1091" s="243">
        <v>24</v>
      </c>
      <c r="O1091" s="253">
        <v>15</v>
      </c>
    </row>
    <row r="1092" spans="1:15">
      <c r="A1092" s="242" t="s">
        <v>72</v>
      </c>
      <c r="B1092" s="43" t="s">
        <v>4</v>
      </c>
      <c r="C1092" s="15">
        <v>0</v>
      </c>
      <c r="D1092" s="244">
        <v>0</v>
      </c>
      <c r="E1092" s="244">
        <v>0</v>
      </c>
      <c r="F1092" s="244">
        <v>0</v>
      </c>
      <c r="G1092" s="244">
        <v>0</v>
      </c>
      <c r="H1092" s="244">
        <v>0</v>
      </c>
      <c r="I1092" s="244">
        <v>0</v>
      </c>
      <c r="J1092" s="244">
        <v>0</v>
      </c>
      <c r="K1092" s="244">
        <v>0</v>
      </c>
      <c r="L1092" s="244">
        <v>0</v>
      </c>
      <c r="M1092" s="244">
        <v>0</v>
      </c>
      <c r="N1092" s="244">
        <v>0</v>
      </c>
      <c r="O1092" s="254">
        <v>0</v>
      </c>
    </row>
    <row r="1093" spans="1:15">
      <c r="A1093" s="240" t="s">
        <v>72</v>
      </c>
      <c r="B1093" s="47" t="s">
        <v>5</v>
      </c>
      <c r="C1093" s="12">
        <v>0</v>
      </c>
      <c r="D1093" s="241">
        <v>0</v>
      </c>
      <c r="E1093" s="241">
        <v>0</v>
      </c>
      <c r="F1093" s="241">
        <v>0</v>
      </c>
      <c r="G1093" s="241">
        <v>0</v>
      </c>
      <c r="H1093" s="241">
        <v>0</v>
      </c>
      <c r="I1093" s="241">
        <v>0</v>
      </c>
      <c r="J1093" s="241">
        <v>0</v>
      </c>
      <c r="K1093" s="241">
        <v>0</v>
      </c>
      <c r="L1093" s="241">
        <v>0</v>
      </c>
      <c r="M1093" s="241">
        <v>0</v>
      </c>
      <c r="N1093" s="241">
        <v>0</v>
      </c>
      <c r="O1093" s="252">
        <v>0</v>
      </c>
    </row>
    <row r="1094" spans="1:15">
      <c r="A1094" s="242" t="s">
        <v>72</v>
      </c>
      <c r="B1094" s="43" t="s">
        <v>6</v>
      </c>
      <c r="C1094" s="15">
        <v>0</v>
      </c>
      <c r="D1094" s="244">
        <v>0</v>
      </c>
      <c r="E1094" s="244">
        <v>0</v>
      </c>
      <c r="F1094" s="244">
        <v>0</v>
      </c>
      <c r="G1094" s="244">
        <v>0</v>
      </c>
      <c r="H1094" s="244">
        <v>0</v>
      </c>
      <c r="I1094" s="244">
        <v>0</v>
      </c>
      <c r="J1094" s="244">
        <v>0</v>
      </c>
      <c r="K1094" s="244">
        <v>0</v>
      </c>
      <c r="L1094" s="244">
        <v>0</v>
      </c>
      <c r="M1094" s="244">
        <v>0</v>
      </c>
      <c r="N1094" s="244">
        <v>0</v>
      </c>
      <c r="O1094" s="254">
        <v>0</v>
      </c>
    </row>
    <row r="1095" ht="14.25" spans="1:15">
      <c r="A1095" s="245" t="s">
        <v>72</v>
      </c>
      <c r="B1095" s="52" t="s">
        <v>64</v>
      </c>
      <c r="C1095" s="19">
        <v>0</v>
      </c>
      <c r="D1095" s="250">
        <v>0</v>
      </c>
      <c r="E1095" s="250">
        <v>0</v>
      </c>
      <c r="F1095" s="250">
        <v>0</v>
      </c>
      <c r="G1095" s="250">
        <v>0</v>
      </c>
      <c r="H1095" s="250">
        <v>0</v>
      </c>
      <c r="I1095" s="250">
        <v>0</v>
      </c>
      <c r="J1095" s="250">
        <v>0</v>
      </c>
      <c r="K1095" s="250">
        <v>0</v>
      </c>
      <c r="L1095" s="250">
        <v>0</v>
      </c>
      <c r="M1095" s="250">
        <v>0</v>
      </c>
      <c r="N1095" s="250">
        <v>0</v>
      </c>
      <c r="O1095" s="257">
        <v>0</v>
      </c>
    </row>
    <row r="1096" ht="14.25" spans="1:15">
      <c r="A1096" s="237">
        <v>45036</v>
      </c>
      <c r="B1096" s="237"/>
      <c r="C1096" s="237"/>
      <c r="D1096" s="237"/>
      <c r="E1096" s="237"/>
      <c r="F1096" s="237"/>
      <c r="G1096" s="237"/>
      <c r="H1096" s="237"/>
      <c r="I1096" s="237"/>
      <c r="J1096" s="237"/>
      <c r="K1096" s="237"/>
      <c r="L1096" s="237"/>
      <c r="M1096" s="237"/>
      <c r="N1096" s="237"/>
      <c r="O1096" s="237"/>
    </row>
    <row r="1097" spans="1:15">
      <c r="A1097" s="56" t="s">
        <v>1</v>
      </c>
      <c r="B1097" s="238"/>
      <c r="C1097" s="8" t="s">
        <v>42</v>
      </c>
      <c r="D1097" s="239" t="s">
        <v>43</v>
      </c>
      <c r="E1097" s="239" t="s">
        <v>44</v>
      </c>
      <c r="F1097" s="239" t="s">
        <v>45</v>
      </c>
      <c r="G1097" s="239" t="s">
        <v>46</v>
      </c>
      <c r="H1097" s="239" t="s">
        <v>47</v>
      </c>
      <c r="I1097" s="239" t="s">
        <v>48</v>
      </c>
      <c r="J1097" s="239" t="s">
        <v>49</v>
      </c>
      <c r="K1097" s="239" t="s">
        <v>50</v>
      </c>
      <c r="L1097" s="239" t="s">
        <v>51</v>
      </c>
      <c r="M1097" s="239" t="s">
        <v>52</v>
      </c>
      <c r="N1097" s="239" t="s">
        <v>53</v>
      </c>
      <c r="O1097" s="251" t="s">
        <v>54</v>
      </c>
    </row>
    <row r="1098" spans="1:15">
      <c r="A1098" s="240" t="s">
        <v>22</v>
      </c>
      <c r="B1098" s="47" t="s">
        <v>55</v>
      </c>
      <c r="C1098" s="12">
        <v>0.324147339699864</v>
      </c>
      <c r="D1098" s="241">
        <v>0.308056872037915</v>
      </c>
      <c r="E1098" s="241">
        <v>0.282467532467532</v>
      </c>
      <c r="F1098" s="241">
        <v>0.142259414225941</v>
      </c>
      <c r="G1098" s="241">
        <v>0.329059829059829</v>
      </c>
      <c r="H1098" s="241">
        <v>0.236907730673317</v>
      </c>
      <c r="I1098" s="241">
        <v>0.457547169811321</v>
      </c>
      <c r="J1098" s="241">
        <v>0.483568075117371</v>
      </c>
      <c r="K1098" s="241">
        <v>0.363957597173145</v>
      </c>
      <c r="L1098" s="241">
        <v>0.389830508474576</v>
      </c>
      <c r="M1098" s="241">
        <v>0.369281045751634</v>
      </c>
      <c r="N1098" s="241">
        <v>0.338666666666667</v>
      </c>
      <c r="O1098" s="252">
        <v>0.283819628647215</v>
      </c>
    </row>
    <row r="1099" spans="1:15">
      <c r="A1099" s="242" t="s">
        <v>22</v>
      </c>
      <c r="B1099" s="43" t="s">
        <v>57</v>
      </c>
      <c r="C1099" s="15">
        <v>3665</v>
      </c>
      <c r="D1099" s="243">
        <v>422</v>
      </c>
      <c r="E1099" s="243">
        <v>308</v>
      </c>
      <c r="F1099" s="243">
        <v>239</v>
      </c>
      <c r="G1099" s="243">
        <v>234</v>
      </c>
      <c r="H1099" s="243">
        <v>401</v>
      </c>
      <c r="I1099" s="243">
        <v>212</v>
      </c>
      <c r="J1099" s="243">
        <v>213</v>
      </c>
      <c r="K1099" s="243">
        <v>283</v>
      </c>
      <c r="L1099" s="243">
        <v>295</v>
      </c>
      <c r="M1099" s="243">
        <v>306</v>
      </c>
      <c r="N1099" s="243">
        <v>375</v>
      </c>
      <c r="O1099" s="253">
        <v>377</v>
      </c>
    </row>
    <row r="1100" spans="1:15">
      <c r="A1100" s="240" t="s">
        <v>22</v>
      </c>
      <c r="B1100" s="47" t="s">
        <v>59</v>
      </c>
      <c r="C1100" s="15">
        <v>1188</v>
      </c>
      <c r="D1100" s="243">
        <v>130</v>
      </c>
      <c r="E1100" s="243">
        <v>87</v>
      </c>
      <c r="F1100" s="243">
        <v>34</v>
      </c>
      <c r="G1100" s="243">
        <v>77</v>
      </c>
      <c r="H1100" s="243">
        <v>95</v>
      </c>
      <c r="I1100" s="243">
        <v>97</v>
      </c>
      <c r="J1100" s="243">
        <v>103</v>
      </c>
      <c r="K1100" s="243">
        <v>103</v>
      </c>
      <c r="L1100" s="243">
        <v>115</v>
      </c>
      <c r="M1100" s="243">
        <v>113</v>
      </c>
      <c r="N1100" s="243">
        <v>127</v>
      </c>
      <c r="O1100" s="253">
        <v>107</v>
      </c>
    </row>
    <row r="1101" spans="1:15">
      <c r="A1101" s="242" t="s">
        <v>22</v>
      </c>
      <c r="B1101" s="43" t="s">
        <v>4</v>
      </c>
      <c r="C1101" s="15">
        <v>60</v>
      </c>
      <c r="D1101" s="244">
        <v>9</v>
      </c>
      <c r="E1101" s="244">
        <v>7</v>
      </c>
      <c r="F1101" s="244">
        <v>4</v>
      </c>
      <c r="G1101" s="244">
        <v>2</v>
      </c>
      <c r="H1101" s="244">
        <v>2</v>
      </c>
      <c r="I1101" s="244">
        <v>4</v>
      </c>
      <c r="J1101" s="244">
        <v>0</v>
      </c>
      <c r="K1101" s="244">
        <v>3</v>
      </c>
      <c r="L1101" s="244">
        <v>8</v>
      </c>
      <c r="M1101" s="244">
        <v>7</v>
      </c>
      <c r="N1101" s="244">
        <v>9</v>
      </c>
      <c r="O1101" s="254">
        <v>5</v>
      </c>
    </row>
    <row r="1102" spans="1:15">
      <c r="A1102" s="240" t="s">
        <v>22</v>
      </c>
      <c r="B1102" s="47" t="s">
        <v>5</v>
      </c>
      <c r="C1102" s="12">
        <v>0.0505050505050505</v>
      </c>
      <c r="D1102" s="241">
        <v>0.0692307692307692</v>
      </c>
      <c r="E1102" s="241">
        <v>0.0804597701149425</v>
      </c>
      <c r="F1102" s="241">
        <v>0.117647058823529</v>
      </c>
      <c r="G1102" s="241">
        <v>0.025974025974026</v>
      </c>
      <c r="H1102" s="241">
        <v>0.0210526315789474</v>
      </c>
      <c r="I1102" s="241">
        <v>0.0412371134020619</v>
      </c>
      <c r="J1102" s="241">
        <v>0</v>
      </c>
      <c r="K1102" s="241">
        <v>0.029126213592233</v>
      </c>
      <c r="L1102" s="241">
        <v>0.0695652173913043</v>
      </c>
      <c r="M1102" s="241">
        <v>0.0619469026548673</v>
      </c>
      <c r="N1102" s="241">
        <v>0.0708661417322835</v>
      </c>
      <c r="O1102" s="252">
        <v>0.0467289719626168</v>
      </c>
    </row>
    <row r="1103" spans="1:15">
      <c r="A1103" s="242" t="s">
        <v>22</v>
      </c>
      <c r="B1103" s="43" t="s">
        <v>6</v>
      </c>
      <c r="C1103" s="15">
        <v>27</v>
      </c>
      <c r="D1103" s="244">
        <v>7</v>
      </c>
      <c r="E1103" s="244">
        <v>3</v>
      </c>
      <c r="F1103" s="244">
        <v>0</v>
      </c>
      <c r="G1103" s="244">
        <v>0</v>
      </c>
      <c r="H1103" s="244">
        <v>2</v>
      </c>
      <c r="I1103" s="244">
        <v>2</v>
      </c>
      <c r="J1103" s="244">
        <v>1</v>
      </c>
      <c r="K1103" s="244">
        <v>1</v>
      </c>
      <c r="L1103" s="244">
        <v>3</v>
      </c>
      <c r="M1103" s="244">
        <v>4</v>
      </c>
      <c r="N1103" s="244">
        <v>3</v>
      </c>
      <c r="O1103" s="254">
        <v>1</v>
      </c>
    </row>
    <row r="1104" ht="14.25" spans="1:15">
      <c r="A1104" s="245" t="s">
        <v>22</v>
      </c>
      <c r="B1104" s="52" t="s">
        <v>64</v>
      </c>
      <c r="C1104" s="19">
        <v>0.45</v>
      </c>
      <c r="D1104" s="246">
        <v>0.777777777777778</v>
      </c>
      <c r="E1104" s="246">
        <v>0.428571428571429</v>
      </c>
      <c r="F1104" s="246">
        <v>0</v>
      </c>
      <c r="G1104" s="246">
        <v>0</v>
      </c>
      <c r="H1104" s="246">
        <v>1</v>
      </c>
      <c r="I1104" s="246">
        <v>0.5</v>
      </c>
      <c r="J1104" s="246">
        <v>0</v>
      </c>
      <c r="K1104" s="246">
        <v>0.333333333333333</v>
      </c>
      <c r="L1104" s="246">
        <v>0.375</v>
      </c>
      <c r="M1104" s="246">
        <v>0.571428571428571</v>
      </c>
      <c r="N1104" s="246">
        <v>0.333333333333333</v>
      </c>
      <c r="O1104" s="255">
        <v>0.2</v>
      </c>
    </row>
    <row r="1105" spans="1:15">
      <c r="A1105" s="247" t="s">
        <v>66</v>
      </c>
      <c r="B1105" s="248" t="s">
        <v>55</v>
      </c>
      <c r="C1105" s="12">
        <v>0.14876660341556</v>
      </c>
      <c r="D1105" s="249">
        <v>0.107798165137615</v>
      </c>
      <c r="E1105" s="249">
        <v>0.0517241379310345</v>
      </c>
      <c r="F1105" s="249">
        <v>0.0883977900552486</v>
      </c>
      <c r="G1105" s="249">
        <v>0.22962962962963</v>
      </c>
      <c r="H1105" s="249">
        <v>0.206422018348624</v>
      </c>
      <c r="I1105" s="249">
        <v>0.0790513833992095</v>
      </c>
      <c r="J1105" s="249">
        <v>0.284722222222222</v>
      </c>
      <c r="K1105" s="249">
        <v>0.223529411764706</v>
      </c>
      <c r="L1105" s="249">
        <v>0.26984126984127</v>
      </c>
      <c r="M1105" s="249">
        <v>0.162393162393162</v>
      </c>
      <c r="N1105" s="249">
        <v>0.228187919463087</v>
      </c>
      <c r="O1105" s="256">
        <v>0.217391304347826</v>
      </c>
    </row>
    <row r="1106" spans="1:15">
      <c r="A1106" s="242" t="s">
        <v>66</v>
      </c>
      <c r="B1106" s="43" t="s">
        <v>57</v>
      </c>
      <c r="C1106" s="15">
        <v>2635</v>
      </c>
      <c r="D1106" s="243">
        <v>436</v>
      </c>
      <c r="E1106" s="243">
        <v>522</v>
      </c>
      <c r="F1106" s="243">
        <v>181</v>
      </c>
      <c r="G1106" s="243">
        <v>135</v>
      </c>
      <c r="H1106" s="243">
        <v>218</v>
      </c>
      <c r="I1106" s="243">
        <v>253</v>
      </c>
      <c r="J1106" s="243">
        <v>144</v>
      </c>
      <c r="K1106" s="243">
        <v>170</v>
      </c>
      <c r="L1106" s="243">
        <v>126</v>
      </c>
      <c r="M1106" s="243">
        <v>117</v>
      </c>
      <c r="N1106" s="243">
        <v>149</v>
      </c>
      <c r="O1106" s="253">
        <v>184</v>
      </c>
    </row>
    <row r="1107" spans="1:15">
      <c r="A1107" s="240" t="s">
        <v>66</v>
      </c>
      <c r="B1107" s="47" t="s">
        <v>59</v>
      </c>
      <c r="C1107" s="15">
        <v>392</v>
      </c>
      <c r="D1107" s="243">
        <v>47</v>
      </c>
      <c r="E1107" s="243">
        <v>27</v>
      </c>
      <c r="F1107" s="243">
        <v>16</v>
      </c>
      <c r="G1107" s="243">
        <v>31</v>
      </c>
      <c r="H1107" s="243">
        <v>45</v>
      </c>
      <c r="I1107" s="243">
        <v>20</v>
      </c>
      <c r="J1107" s="243">
        <v>41</v>
      </c>
      <c r="K1107" s="243">
        <v>38</v>
      </c>
      <c r="L1107" s="243">
        <v>34</v>
      </c>
      <c r="M1107" s="243">
        <v>19</v>
      </c>
      <c r="N1107" s="243">
        <v>34</v>
      </c>
      <c r="O1107" s="253">
        <v>40</v>
      </c>
    </row>
    <row r="1108" spans="1:15">
      <c r="A1108" s="242" t="s">
        <v>66</v>
      </c>
      <c r="B1108" s="43" t="s">
        <v>4</v>
      </c>
      <c r="C1108" s="15">
        <v>32</v>
      </c>
      <c r="D1108" s="244">
        <v>4</v>
      </c>
      <c r="E1108" s="244">
        <v>5</v>
      </c>
      <c r="F1108" s="244">
        <v>2</v>
      </c>
      <c r="G1108" s="244">
        <v>2</v>
      </c>
      <c r="H1108" s="244">
        <v>2</v>
      </c>
      <c r="I1108" s="244">
        <v>2</v>
      </c>
      <c r="J1108" s="244">
        <v>3</v>
      </c>
      <c r="K1108" s="244">
        <v>4</v>
      </c>
      <c r="L1108" s="244">
        <v>3</v>
      </c>
      <c r="M1108" s="244">
        <v>1</v>
      </c>
      <c r="N1108" s="244">
        <v>2</v>
      </c>
      <c r="O1108" s="254">
        <v>2</v>
      </c>
    </row>
    <row r="1109" spans="1:15">
      <c r="A1109" s="240" t="s">
        <v>66</v>
      </c>
      <c r="B1109" s="47" t="s">
        <v>5</v>
      </c>
      <c r="C1109" s="12">
        <v>0.0816326530612245</v>
      </c>
      <c r="D1109" s="241">
        <v>0.0851063829787234</v>
      </c>
      <c r="E1109" s="241">
        <v>0.185185185185185</v>
      </c>
      <c r="F1109" s="241">
        <v>0.125</v>
      </c>
      <c r="G1109" s="241">
        <v>0.0645161290322581</v>
      </c>
      <c r="H1109" s="241">
        <v>0.0444444444444444</v>
      </c>
      <c r="I1109" s="241">
        <v>0.1</v>
      </c>
      <c r="J1109" s="241">
        <v>0.0731707317073171</v>
      </c>
      <c r="K1109" s="241">
        <v>0.105263157894737</v>
      </c>
      <c r="L1109" s="241">
        <v>0.0882352941176471</v>
      </c>
      <c r="M1109" s="241">
        <v>0.0526315789473684</v>
      </c>
      <c r="N1109" s="241">
        <v>0.0588235294117647</v>
      </c>
      <c r="O1109" s="252">
        <v>0.05</v>
      </c>
    </row>
    <row r="1110" spans="1:15">
      <c r="A1110" s="242" t="s">
        <v>66</v>
      </c>
      <c r="B1110" s="43" t="s">
        <v>6</v>
      </c>
      <c r="C1110" s="15">
        <v>9</v>
      </c>
      <c r="D1110" s="244">
        <v>2</v>
      </c>
      <c r="E1110" s="244">
        <v>1</v>
      </c>
      <c r="F1110" s="244">
        <v>1</v>
      </c>
      <c r="G1110" s="244">
        <v>1</v>
      </c>
      <c r="H1110" s="244">
        <v>0</v>
      </c>
      <c r="I1110" s="244">
        <v>0</v>
      </c>
      <c r="J1110" s="244">
        <v>0</v>
      </c>
      <c r="K1110" s="244">
        <v>1</v>
      </c>
      <c r="L1110" s="244">
        <v>1</v>
      </c>
      <c r="M1110" s="244">
        <v>0</v>
      </c>
      <c r="N1110" s="244">
        <v>1</v>
      </c>
      <c r="O1110" s="254">
        <v>1</v>
      </c>
    </row>
    <row r="1111" ht="14.25" spans="1:15">
      <c r="A1111" s="245" t="s">
        <v>66</v>
      </c>
      <c r="B1111" s="52" t="s">
        <v>64</v>
      </c>
      <c r="C1111" s="19">
        <v>0.28125</v>
      </c>
      <c r="D1111" s="246">
        <v>0.5</v>
      </c>
      <c r="E1111" s="246">
        <v>0.2</v>
      </c>
      <c r="F1111" s="246">
        <v>0.5</v>
      </c>
      <c r="G1111" s="246">
        <v>0.5</v>
      </c>
      <c r="H1111" s="246">
        <v>0</v>
      </c>
      <c r="I1111" s="246">
        <v>0</v>
      </c>
      <c r="J1111" s="246">
        <v>0</v>
      </c>
      <c r="K1111" s="246">
        <v>0.25</v>
      </c>
      <c r="L1111" s="246">
        <v>0.333333333333333</v>
      </c>
      <c r="M1111" s="246">
        <v>0</v>
      </c>
      <c r="N1111" s="246">
        <v>0.5</v>
      </c>
      <c r="O1111" s="255">
        <v>0.5</v>
      </c>
    </row>
    <row r="1112" spans="1:15">
      <c r="A1112" s="240" t="s">
        <v>67</v>
      </c>
      <c r="B1112" s="47" t="s">
        <v>55</v>
      </c>
      <c r="C1112" s="12">
        <v>0.248275862068966</v>
      </c>
      <c r="D1112" s="241">
        <v>0.279661016949153</v>
      </c>
      <c r="E1112" s="241">
        <v>0.279661016949153</v>
      </c>
      <c r="F1112" s="241">
        <v>0.405405405405405</v>
      </c>
      <c r="G1112" s="241">
        <v>0.293478260869565</v>
      </c>
      <c r="H1112" s="241">
        <v>0.401785714285714</v>
      </c>
      <c r="I1112" s="241">
        <v>0.38961038961039</v>
      </c>
      <c r="J1112" s="241">
        <v>0.269230769230769</v>
      </c>
      <c r="K1112" s="241">
        <v>0.226744186046512</v>
      </c>
      <c r="L1112" s="241">
        <v>0.357142857142857</v>
      </c>
      <c r="M1112" s="241">
        <v>0.202127659574468</v>
      </c>
      <c r="N1112" s="241">
        <v>0.182432432432432</v>
      </c>
      <c r="O1112" s="252">
        <v>0.136160714285714</v>
      </c>
    </row>
    <row r="1113" spans="1:15">
      <c r="A1113" s="242" t="s">
        <v>67</v>
      </c>
      <c r="B1113" s="43" t="s">
        <v>57</v>
      </c>
      <c r="C1113" s="15">
        <v>2320</v>
      </c>
      <c r="D1113" s="243">
        <v>236</v>
      </c>
      <c r="E1113" s="243">
        <v>118</v>
      </c>
      <c r="F1113" s="243">
        <v>74</v>
      </c>
      <c r="G1113" s="243">
        <v>92</v>
      </c>
      <c r="H1113" s="243">
        <v>112</v>
      </c>
      <c r="I1113" s="243">
        <v>154</v>
      </c>
      <c r="J1113" s="243">
        <v>182</v>
      </c>
      <c r="K1113" s="243">
        <v>172</v>
      </c>
      <c r="L1113" s="243">
        <v>154</v>
      </c>
      <c r="M1113" s="243">
        <v>282</v>
      </c>
      <c r="N1113" s="243">
        <v>296</v>
      </c>
      <c r="O1113" s="253">
        <v>448</v>
      </c>
    </row>
    <row r="1114" spans="1:15">
      <c r="A1114" s="240" t="s">
        <v>67</v>
      </c>
      <c r="B1114" s="47" t="s">
        <v>59</v>
      </c>
      <c r="C1114" s="15">
        <v>576</v>
      </c>
      <c r="D1114" s="243">
        <v>66</v>
      </c>
      <c r="E1114" s="243">
        <v>33</v>
      </c>
      <c r="F1114" s="243">
        <v>30</v>
      </c>
      <c r="G1114" s="243">
        <v>27</v>
      </c>
      <c r="H1114" s="243">
        <v>45</v>
      </c>
      <c r="I1114" s="243">
        <v>60</v>
      </c>
      <c r="J1114" s="243">
        <v>49</v>
      </c>
      <c r="K1114" s="243">
        <v>39</v>
      </c>
      <c r="L1114" s="243">
        <v>55</v>
      </c>
      <c r="M1114" s="243">
        <v>57</v>
      </c>
      <c r="N1114" s="243">
        <v>54</v>
      </c>
      <c r="O1114" s="253">
        <v>61</v>
      </c>
    </row>
    <row r="1115" spans="1:15">
      <c r="A1115" s="242" t="s">
        <v>67</v>
      </c>
      <c r="B1115" s="43" t="s">
        <v>4</v>
      </c>
      <c r="C1115" s="15">
        <v>37</v>
      </c>
      <c r="D1115" s="244">
        <v>3</v>
      </c>
      <c r="E1115" s="244">
        <v>6</v>
      </c>
      <c r="F1115" s="244">
        <v>2</v>
      </c>
      <c r="G1115" s="244">
        <v>0</v>
      </c>
      <c r="H1115" s="244">
        <v>2</v>
      </c>
      <c r="I1115" s="244">
        <v>3</v>
      </c>
      <c r="J1115" s="244">
        <v>5</v>
      </c>
      <c r="K1115" s="244">
        <v>3</v>
      </c>
      <c r="L1115" s="244">
        <v>3</v>
      </c>
      <c r="M1115" s="244">
        <v>2</v>
      </c>
      <c r="N1115" s="244">
        <v>3</v>
      </c>
      <c r="O1115" s="254">
        <v>5</v>
      </c>
    </row>
    <row r="1116" spans="1:15">
      <c r="A1116" s="240" t="s">
        <v>67</v>
      </c>
      <c r="B1116" s="47" t="s">
        <v>5</v>
      </c>
      <c r="C1116" s="12">
        <v>0.0642361111111111</v>
      </c>
      <c r="D1116" s="241">
        <v>0.0454545454545455</v>
      </c>
      <c r="E1116" s="241">
        <v>0.181818181818182</v>
      </c>
      <c r="F1116" s="241">
        <v>0.0666666666666667</v>
      </c>
      <c r="G1116" s="241">
        <v>0</v>
      </c>
      <c r="H1116" s="241">
        <v>0.0444444444444444</v>
      </c>
      <c r="I1116" s="241">
        <v>0.05</v>
      </c>
      <c r="J1116" s="241">
        <v>0.102040816326531</v>
      </c>
      <c r="K1116" s="241">
        <v>0.0769230769230769</v>
      </c>
      <c r="L1116" s="241">
        <v>0.0545454545454545</v>
      </c>
      <c r="M1116" s="241">
        <v>0.0350877192982456</v>
      </c>
      <c r="N1116" s="241">
        <v>0.0555555555555556</v>
      </c>
      <c r="O1116" s="252">
        <v>0.0819672131147541</v>
      </c>
    </row>
    <row r="1117" spans="1:15">
      <c r="A1117" s="242" t="s">
        <v>67</v>
      </c>
      <c r="B1117" s="43" t="s">
        <v>6</v>
      </c>
      <c r="C1117" s="15">
        <v>21</v>
      </c>
      <c r="D1117" s="244">
        <v>4</v>
      </c>
      <c r="E1117" s="244">
        <v>5</v>
      </c>
      <c r="F1117" s="244">
        <v>1</v>
      </c>
      <c r="G1117" s="244">
        <v>0</v>
      </c>
      <c r="H1117" s="244">
        <v>0</v>
      </c>
      <c r="I1117" s="244">
        <v>2</v>
      </c>
      <c r="J1117" s="244">
        <v>1</v>
      </c>
      <c r="K1117" s="244">
        <v>1</v>
      </c>
      <c r="L1117" s="244">
        <v>2</v>
      </c>
      <c r="M1117" s="244">
        <v>2</v>
      </c>
      <c r="N1117" s="244">
        <v>2</v>
      </c>
      <c r="O1117" s="254">
        <v>1</v>
      </c>
    </row>
    <row r="1118" ht="14.25" spans="1:15">
      <c r="A1118" s="245" t="s">
        <v>67</v>
      </c>
      <c r="B1118" s="52" t="s">
        <v>64</v>
      </c>
      <c r="C1118" s="19">
        <v>0.567567567567568</v>
      </c>
      <c r="D1118" s="246">
        <v>1.33333333333333</v>
      </c>
      <c r="E1118" s="246">
        <v>0.833333333333333</v>
      </c>
      <c r="F1118" s="246">
        <v>0.5</v>
      </c>
      <c r="G1118" s="246">
        <v>0</v>
      </c>
      <c r="H1118" s="246">
        <v>0</v>
      </c>
      <c r="I1118" s="246">
        <v>0.666666666666667</v>
      </c>
      <c r="J1118" s="246">
        <v>0.2</v>
      </c>
      <c r="K1118" s="246">
        <v>0.333333333333333</v>
      </c>
      <c r="L1118" s="246">
        <v>0.666666666666667</v>
      </c>
      <c r="M1118" s="246">
        <v>1</v>
      </c>
      <c r="N1118" s="246">
        <v>0.666666666666667</v>
      </c>
      <c r="O1118" s="255">
        <v>0.2</v>
      </c>
    </row>
    <row r="1119" spans="1:15">
      <c r="A1119" s="240" t="s">
        <v>68</v>
      </c>
      <c r="B1119" s="47" t="s">
        <v>55</v>
      </c>
      <c r="C1119" s="12">
        <v>0.0422657952069717</v>
      </c>
      <c r="D1119" s="241">
        <v>0.0802139037433155</v>
      </c>
      <c r="E1119" s="241">
        <v>0.093984962406015</v>
      </c>
      <c r="F1119" s="241">
        <v>0.0584795321637427</v>
      </c>
      <c r="G1119" s="241">
        <v>0.0428571428571429</v>
      </c>
      <c r="H1119" s="241">
        <v>0.0396959459459459</v>
      </c>
      <c r="I1119" s="241">
        <v>0.0488505747126437</v>
      </c>
      <c r="J1119" s="241">
        <v>0.0284167794316644</v>
      </c>
      <c r="K1119" s="241">
        <v>0.0383580080753701</v>
      </c>
      <c r="L1119" s="241">
        <v>0.0397058823529412</v>
      </c>
      <c r="M1119" s="241">
        <v>0.0269337016574586</v>
      </c>
      <c r="N1119" s="241">
        <v>0.0434530706836616</v>
      </c>
      <c r="O1119" s="252">
        <v>0.0391608391608392</v>
      </c>
    </row>
    <row r="1120" spans="1:15">
      <c r="A1120" s="242" t="s">
        <v>68</v>
      </c>
      <c r="B1120" s="43" t="s">
        <v>57</v>
      </c>
      <c r="C1120" s="15">
        <v>13770</v>
      </c>
      <c r="D1120" s="243">
        <v>748</v>
      </c>
      <c r="E1120" s="243">
        <v>266</v>
      </c>
      <c r="F1120" s="243">
        <v>342</v>
      </c>
      <c r="G1120" s="243">
        <v>910</v>
      </c>
      <c r="H1120" s="243">
        <v>1184</v>
      </c>
      <c r="I1120" s="243">
        <v>1392</v>
      </c>
      <c r="J1120" s="243">
        <v>1478</v>
      </c>
      <c r="K1120" s="243">
        <v>1486</v>
      </c>
      <c r="L1120" s="243">
        <v>1360</v>
      </c>
      <c r="M1120" s="243">
        <v>1448</v>
      </c>
      <c r="N1120" s="243">
        <v>1726</v>
      </c>
      <c r="O1120" s="253">
        <v>1430</v>
      </c>
    </row>
    <row r="1121" spans="1:15">
      <c r="A1121" s="240" t="s">
        <v>68</v>
      </c>
      <c r="B1121" s="47" t="s">
        <v>59</v>
      </c>
      <c r="C1121" s="15">
        <v>582</v>
      </c>
      <c r="D1121" s="243">
        <v>60</v>
      </c>
      <c r="E1121" s="243">
        <v>25</v>
      </c>
      <c r="F1121" s="243">
        <v>20</v>
      </c>
      <c r="G1121" s="243">
        <v>39</v>
      </c>
      <c r="H1121" s="243">
        <v>47</v>
      </c>
      <c r="I1121" s="243">
        <v>68</v>
      </c>
      <c r="J1121" s="243">
        <v>42</v>
      </c>
      <c r="K1121" s="243">
        <v>57</v>
      </c>
      <c r="L1121" s="243">
        <v>54</v>
      </c>
      <c r="M1121" s="243">
        <v>39</v>
      </c>
      <c r="N1121" s="243">
        <v>75</v>
      </c>
      <c r="O1121" s="253">
        <v>56</v>
      </c>
    </row>
    <row r="1122" spans="1:15">
      <c r="A1122" s="242" t="s">
        <v>68</v>
      </c>
      <c r="B1122" s="43" t="s">
        <v>4</v>
      </c>
      <c r="C1122" s="15">
        <v>27</v>
      </c>
      <c r="D1122" s="244">
        <v>3</v>
      </c>
      <c r="E1122" s="244">
        <v>0</v>
      </c>
      <c r="F1122" s="244">
        <v>2</v>
      </c>
      <c r="G1122" s="244">
        <v>1</v>
      </c>
      <c r="H1122" s="244">
        <v>1</v>
      </c>
      <c r="I1122" s="244">
        <v>2</v>
      </c>
      <c r="J1122" s="244">
        <v>1</v>
      </c>
      <c r="K1122" s="244">
        <v>3</v>
      </c>
      <c r="L1122" s="244">
        <v>5</v>
      </c>
      <c r="M1122" s="244">
        <v>1</v>
      </c>
      <c r="N1122" s="244">
        <v>5</v>
      </c>
      <c r="O1122" s="254">
        <v>3</v>
      </c>
    </row>
    <row r="1123" spans="1:15">
      <c r="A1123" s="240" t="s">
        <v>68</v>
      </c>
      <c r="B1123" s="47" t="s">
        <v>5</v>
      </c>
      <c r="C1123" s="12">
        <v>0.0463917525773196</v>
      </c>
      <c r="D1123" s="241">
        <v>0.05</v>
      </c>
      <c r="E1123" s="241">
        <v>0</v>
      </c>
      <c r="F1123" s="241">
        <v>0.1</v>
      </c>
      <c r="G1123" s="241">
        <v>0.0256410256410256</v>
      </c>
      <c r="H1123" s="241">
        <v>0.0212765957446809</v>
      </c>
      <c r="I1123" s="241">
        <v>0.0294117647058824</v>
      </c>
      <c r="J1123" s="241">
        <v>0.0238095238095238</v>
      </c>
      <c r="K1123" s="241">
        <v>0.0526315789473684</v>
      </c>
      <c r="L1123" s="241">
        <v>0.0925925925925926</v>
      </c>
      <c r="M1123" s="241">
        <v>0.0256410256410256</v>
      </c>
      <c r="N1123" s="241">
        <v>0.0666666666666667</v>
      </c>
      <c r="O1123" s="252">
        <v>0.0535714285714286</v>
      </c>
    </row>
    <row r="1124" spans="1:15">
      <c r="A1124" s="242" t="s">
        <v>68</v>
      </c>
      <c r="B1124" s="43" t="s">
        <v>6</v>
      </c>
      <c r="C1124" s="15">
        <v>15</v>
      </c>
      <c r="D1124" s="244">
        <v>3</v>
      </c>
      <c r="E1124" s="244">
        <v>0</v>
      </c>
      <c r="F1124" s="244">
        <v>0</v>
      </c>
      <c r="G1124" s="244">
        <v>1</v>
      </c>
      <c r="H1124" s="244">
        <v>2</v>
      </c>
      <c r="I1124" s="244">
        <v>0</v>
      </c>
      <c r="J1124" s="244">
        <v>0</v>
      </c>
      <c r="K1124" s="244">
        <v>2</v>
      </c>
      <c r="L1124" s="244">
        <v>2</v>
      </c>
      <c r="M1124" s="244">
        <v>1</v>
      </c>
      <c r="N1124" s="244">
        <v>2</v>
      </c>
      <c r="O1124" s="254">
        <v>2</v>
      </c>
    </row>
    <row r="1125" ht="14.25" spans="1:15">
      <c r="A1125" s="245" t="s">
        <v>68</v>
      </c>
      <c r="B1125" s="52" t="s">
        <v>64</v>
      </c>
      <c r="C1125" s="19">
        <v>0.555555555555556</v>
      </c>
      <c r="D1125" s="246">
        <v>1</v>
      </c>
      <c r="E1125" s="246">
        <v>0</v>
      </c>
      <c r="F1125" s="246">
        <v>0</v>
      </c>
      <c r="G1125" s="246">
        <v>1</v>
      </c>
      <c r="H1125" s="246">
        <v>2</v>
      </c>
      <c r="I1125" s="246">
        <v>0</v>
      </c>
      <c r="J1125" s="246">
        <v>0</v>
      </c>
      <c r="K1125" s="246">
        <v>0.666666666666667</v>
      </c>
      <c r="L1125" s="246">
        <v>0.4</v>
      </c>
      <c r="M1125" s="246">
        <v>1</v>
      </c>
      <c r="N1125" s="246">
        <v>0.4</v>
      </c>
      <c r="O1125" s="255">
        <v>0.666666666666667</v>
      </c>
    </row>
    <row r="1126" spans="1:15">
      <c r="A1126" s="240" t="s">
        <v>69</v>
      </c>
      <c r="B1126" s="47" t="s">
        <v>55</v>
      </c>
      <c r="C1126" s="12">
        <v>1.09333333333333</v>
      </c>
      <c r="D1126" s="241">
        <v>1.13953488372093</v>
      </c>
      <c r="E1126" s="241">
        <v>1.71428571428571</v>
      </c>
      <c r="F1126" s="241">
        <v>1.5</v>
      </c>
      <c r="G1126" s="241">
        <v>1.16666666666667</v>
      </c>
      <c r="H1126" s="241">
        <v>1</v>
      </c>
      <c r="I1126" s="241">
        <v>1.20754716981132</v>
      </c>
      <c r="J1126" s="241">
        <v>1.06818181818182</v>
      </c>
      <c r="K1126" s="241">
        <v>1</v>
      </c>
      <c r="L1126" s="241">
        <v>0.914893617021277</v>
      </c>
      <c r="M1126" s="241">
        <v>1.06</v>
      </c>
      <c r="N1126" s="241">
        <v>0.970149253731343</v>
      </c>
      <c r="O1126" s="252">
        <v>1.11111111111111</v>
      </c>
    </row>
    <row r="1127" spans="1:15">
      <c r="A1127" s="242" t="s">
        <v>69</v>
      </c>
      <c r="B1127" s="43" t="s">
        <v>57</v>
      </c>
      <c r="C1127" s="15">
        <v>525</v>
      </c>
      <c r="D1127" s="243">
        <v>43</v>
      </c>
      <c r="E1127" s="243">
        <v>21</v>
      </c>
      <c r="F1127" s="243">
        <v>10</v>
      </c>
      <c r="G1127" s="243">
        <v>30</v>
      </c>
      <c r="H1127" s="243">
        <v>47</v>
      </c>
      <c r="I1127" s="243">
        <v>53</v>
      </c>
      <c r="J1127" s="243">
        <v>44</v>
      </c>
      <c r="K1127" s="243">
        <v>50</v>
      </c>
      <c r="L1127" s="243">
        <v>47</v>
      </c>
      <c r="M1127" s="243">
        <v>50</v>
      </c>
      <c r="N1127" s="243">
        <v>67</v>
      </c>
      <c r="O1127" s="253">
        <v>63</v>
      </c>
    </row>
    <row r="1128" spans="1:15">
      <c r="A1128" s="240" t="s">
        <v>69</v>
      </c>
      <c r="B1128" s="47" t="s">
        <v>59</v>
      </c>
      <c r="C1128" s="15">
        <v>574</v>
      </c>
      <c r="D1128" s="243">
        <v>49</v>
      </c>
      <c r="E1128" s="243">
        <v>36</v>
      </c>
      <c r="F1128" s="243">
        <v>15</v>
      </c>
      <c r="G1128" s="243">
        <v>35</v>
      </c>
      <c r="H1128" s="243">
        <v>47</v>
      </c>
      <c r="I1128" s="243">
        <v>64</v>
      </c>
      <c r="J1128" s="243">
        <v>47</v>
      </c>
      <c r="K1128" s="243">
        <v>50</v>
      </c>
      <c r="L1128" s="243">
        <v>43</v>
      </c>
      <c r="M1128" s="243">
        <v>53</v>
      </c>
      <c r="N1128" s="243">
        <v>65</v>
      </c>
      <c r="O1128" s="253">
        <v>70</v>
      </c>
    </row>
    <row r="1129" spans="1:15">
      <c r="A1129" s="242" t="s">
        <v>69</v>
      </c>
      <c r="B1129" s="43" t="s">
        <v>4</v>
      </c>
      <c r="C1129" s="15">
        <v>24</v>
      </c>
      <c r="D1129" s="244">
        <v>0</v>
      </c>
      <c r="E1129" s="244">
        <v>1</v>
      </c>
      <c r="F1129" s="244">
        <v>0</v>
      </c>
      <c r="G1129" s="244">
        <v>1</v>
      </c>
      <c r="H1129" s="244">
        <v>0</v>
      </c>
      <c r="I1129" s="244">
        <v>5</v>
      </c>
      <c r="J1129" s="244">
        <v>5</v>
      </c>
      <c r="K1129" s="244">
        <v>1</v>
      </c>
      <c r="L1129" s="244">
        <v>2</v>
      </c>
      <c r="M1129" s="244">
        <v>3</v>
      </c>
      <c r="N1129" s="244">
        <v>4</v>
      </c>
      <c r="O1129" s="254">
        <v>2</v>
      </c>
    </row>
    <row r="1130" spans="1:15">
      <c r="A1130" s="240" t="s">
        <v>69</v>
      </c>
      <c r="B1130" s="47" t="s">
        <v>5</v>
      </c>
      <c r="C1130" s="12">
        <v>0.0418118466898955</v>
      </c>
      <c r="D1130" s="241">
        <v>0</v>
      </c>
      <c r="E1130" s="241">
        <v>0.0277777777777778</v>
      </c>
      <c r="F1130" s="241">
        <v>0</v>
      </c>
      <c r="G1130" s="241">
        <v>0.0285714285714286</v>
      </c>
      <c r="H1130" s="241">
        <v>0</v>
      </c>
      <c r="I1130" s="241">
        <v>0.078125</v>
      </c>
      <c r="J1130" s="241">
        <v>0.106382978723404</v>
      </c>
      <c r="K1130" s="241">
        <v>0.02</v>
      </c>
      <c r="L1130" s="241">
        <v>0.0465116279069767</v>
      </c>
      <c r="M1130" s="241">
        <v>0.0566037735849057</v>
      </c>
      <c r="N1130" s="241">
        <v>0.0615384615384615</v>
      </c>
      <c r="O1130" s="252">
        <v>0.0285714285714286</v>
      </c>
    </row>
    <row r="1131" spans="1:15">
      <c r="A1131" s="242" t="s">
        <v>69</v>
      </c>
      <c r="B1131" s="43" t="s">
        <v>6</v>
      </c>
      <c r="C1131" s="15">
        <v>10</v>
      </c>
      <c r="D1131" s="244">
        <v>1</v>
      </c>
      <c r="E1131" s="244">
        <v>0</v>
      </c>
      <c r="F1131" s="244">
        <v>0</v>
      </c>
      <c r="G1131" s="244">
        <v>1</v>
      </c>
      <c r="H1131" s="244">
        <v>0</v>
      </c>
      <c r="I1131" s="244">
        <v>2</v>
      </c>
      <c r="J1131" s="244">
        <v>1</v>
      </c>
      <c r="K1131" s="244">
        <v>1</v>
      </c>
      <c r="L1131" s="244">
        <v>0</v>
      </c>
      <c r="M1131" s="244">
        <v>0</v>
      </c>
      <c r="N1131" s="244">
        <v>3</v>
      </c>
      <c r="O1131" s="254">
        <v>1</v>
      </c>
    </row>
    <row r="1132" ht="14.25" spans="1:15">
      <c r="A1132" s="245" t="s">
        <v>69</v>
      </c>
      <c r="B1132" s="52" t="s">
        <v>64</v>
      </c>
      <c r="C1132" s="19">
        <v>0.416666666666667</v>
      </c>
      <c r="D1132" s="246">
        <v>0</v>
      </c>
      <c r="E1132" s="246">
        <v>0</v>
      </c>
      <c r="F1132" s="246">
        <v>0</v>
      </c>
      <c r="G1132" s="246">
        <v>1</v>
      </c>
      <c r="H1132" s="246">
        <v>0</v>
      </c>
      <c r="I1132" s="246">
        <v>0.4</v>
      </c>
      <c r="J1132" s="246">
        <v>0.2</v>
      </c>
      <c r="K1132" s="246">
        <v>1</v>
      </c>
      <c r="L1132" s="246">
        <v>0</v>
      </c>
      <c r="M1132" s="246">
        <v>0</v>
      </c>
      <c r="N1132" s="246">
        <v>0.75</v>
      </c>
      <c r="O1132" s="255">
        <v>0.5</v>
      </c>
    </row>
    <row r="1133" spans="1:15">
      <c r="A1133" s="240" t="s">
        <v>70</v>
      </c>
      <c r="B1133" s="47" t="s">
        <v>55</v>
      </c>
      <c r="C1133" s="12">
        <v>0.651685393258427</v>
      </c>
      <c r="D1133" s="241">
        <v>0.96</v>
      </c>
      <c r="E1133" s="241">
        <v>1.125</v>
      </c>
      <c r="F1133" s="241">
        <v>0.782608695652174</v>
      </c>
      <c r="G1133" s="241">
        <v>0.8</v>
      </c>
      <c r="H1133" s="241">
        <v>0.551724137931034</v>
      </c>
      <c r="I1133" s="241">
        <v>0.731707317073171</v>
      </c>
      <c r="J1133" s="241">
        <v>0.567567567567568</v>
      </c>
      <c r="K1133" s="241">
        <v>0.294117647058824</v>
      </c>
      <c r="L1133" s="241">
        <v>0.6</v>
      </c>
      <c r="M1133" s="241">
        <v>0.459459459459459</v>
      </c>
      <c r="N1133" s="241">
        <v>0.446808510638298</v>
      </c>
      <c r="O1133" s="252">
        <v>0.760869565217391</v>
      </c>
    </row>
    <row r="1134" spans="1:15">
      <c r="A1134" s="242" t="s">
        <v>70</v>
      </c>
      <c r="B1134" s="43" t="s">
        <v>57</v>
      </c>
      <c r="C1134" s="15">
        <v>445</v>
      </c>
      <c r="D1134" s="243">
        <v>50</v>
      </c>
      <c r="E1134" s="243">
        <v>24</v>
      </c>
      <c r="F1134" s="243">
        <v>23</v>
      </c>
      <c r="G1134" s="243">
        <v>30</v>
      </c>
      <c r="H1134" s="243">
        <v>29</v>
      </c>
      <c r="I1134" s="243">
        <v>41</v>
      </c>
      <c r="J1134" s="243">
        <v>37</v>
      </c>
      <c r="K1134" s="243">
        <v>51</v>
      </c>
      <c r="L1134" s="243">
        <v>30</v>
      </c>
      <c r="M1134" s="243">
        <v>37</v>
      </c>
      <c r="N1134" s="243">
        <v>47</v>
      </c>
      <c r="O1134" s="253">
        <v>46</v>
      </c>
    </row>
    <row r="1135" spans="1:15">
      <c r="A1135" s="240" t="s">
        <v>70</v>
      </c>
      <c r="B1135" s="47" t="s">
        <v>59</v>
      </c>
      <c r="C1135" s="15">
        <v>290</v>
      </c>
      <c r="D1135" s="243">
        <v>48</v>
      </c>
      <c r="E1135" s="243">
        <v>27</v>
      </c>
      <c r="F1135" s="243">
        <v>18</v>
      </c>
      <c r="G1135" s="243">
        <v>24</v>
      </c>
      <c r="H1135" s="243">
        <v>16</v>
      </c>
      <c r="I1135" s="243">
        <v>30</v>
      </c>
      <c r="J1135" s="243">
        <v>21</v>
      </c>
      <c r="K1135" s="243">
        <v>15</v>
      </c>
      <c r="L1135" s="243">
        <v>18</v>
      </c>
      <c r="M1135" s="243">
        <v>17</v>
      </c>
      <c r="N1135" s="243">
        <v>21</v>
      </c>
      <c r="O1135" s="253">
        <v>35</v>
      </c>
    </row>
    <row r="1136" spans="1:15">
      <c r="A1136" s="242" t="s">
        <v>70</v>
      </c>
      <c r="B1136" s="43" t="s">
        <v>4</v>
      </c>
      <c r="C1136" s="15">
        <v>3</v>
      </c>
      <c r="D1136" s="244">
        <v>0</v>
      </c>
      <c r="E1136" s="244">
        <v>0</v>
      </c>
      <c r="F1136" s="244">
        <v>1</v>
      </c>
      <c r="G1136" s="244">
        <v>0</v>
      </c>
      <c r="H1136" s="244">
        <v>0</v>
      </c>
      <c r="I1136" s="244">
        <v>0</v>
      </c>
      <c r="J1136" s="244">
        <v>0</v>
      </c>
      <c r="K1136" s="244">
        <v>0</v>
      </c>
      <c r="L1136" s="244">
        <v>0</v>
      </c>
      <c r="M1136" s="244">
        <v>0</v>
      </c>
      <c r="N1136" s="244">
        <v>1</v>
      </c>
      <c r="O1136" s="254">
        <v>1</v>
      </c>
    </row>
    <row r="1137" spans="1:15">
      <c r="A1137" s="240" t="s">
        <v>70</v>
      </c>
      <c r="B1137" s="47" t="s">
        <v>5</v>
      </c>
      <c r="C1137" s="12">
        <v>0.0103448275862069</v>
      </c>
      <c r="D1137" s="241">
        <v>0</v>
      </c>
      <c r="E1137" s="241">
        <v>0</v>
      </c>
      <c r="F1137" s="241">
        <v>0.0555555555555556</v>
      </c>
      <c r="G1137" s="241">
        <v>0</v>
      </c>
      <c r="H1137" s="241">
        <v>0</v>
      </c>
      <c r="I1137" s="241">
        <v>0</v>
      </c>
      <c r="J1137" s="241">
        <v>0</v>
      </c>
      <c r="K1137" s="241">
        <v>0</v>
      </c>
      <c r="L1137" s="241">
        <v>0</v>
      </c>
      <c r="M1137" s="241">
        <v>0</v>
      </c>
      <c r="N1137" s="241">
        <v>0.0476190476190476</v>
      </c>
      <c r="O1137" s="252">
        <v>0.0285714285714286</v>
      </c>
    </row>
    <row r="1138" spans="1:15">
      <c r="A1138" s="242" t="s">
        <v>70</v>
      </c>
      <c r="B1138" s="43" t="s">
        <v>6</v>
      </c>
      <c r="C1138" s="15">
        <v>2</v>
      </c>
      <c r="D1138" s="244">
        <v>0</v>
      </c>
      <c r="E1138" s="244">
        <v>0</v>
      </c>
      <c r="F1138" s="244">
        <v>0</v>
      </c>
      <c r="G1138" s="244">
        <v>0</v>
      </c>
      <c r="H1138" s="244">
        <v>0</v>
      </c>
      <c r="I1138" s="244">
        <v>1</v>
      </c>
      <c r="J1138" s="244">
        <v>0</v>
      </c>
      <c r="K1138" s="244">
        <v>0</v>
      </c>
      <c r="L1138" s="244">
        <v>0</v>
      </c>
      <c r="M1138" s="244">
        <v>1</v>
      </c>
      <c r="N1138" s="244">
        <v>0</v>
      </c>
      <c r="O1138" s="254">
        <v>0</v>
      </c>
    </row>
    <row r="1139" ht="14.25" spans="1:15">
      <c r="A1139" s="245" t="s">
        <v>70</v>
      </c>
      <c r="B1139" s="52" t="s">
        <v>64</v>
      </c>
      <c r="C1139" s="19">
        <v>0.666666666666667</v>
      </c>
      <c r="D1139" s="246">
        <v>0</v>
      </c>
      <c r="E1139" s="246">
        <v>0</v>
      </c>
      <c r="F1139" s="246">
        <v>0</v>
      </c>
      <c r="G1139" s="246">
        <v>0</v>
      </c>
      <c r="H1139" s="246">
        <v>0</v>
      </c>
      <c r="I1139" s="246">
        <v>0</v>
      </c>
      <c r="J1139" s="246">
        <v>0</v>
      </c>
      <c r="K1139" s="246">
        <v>0</v>
      </c>
      <c r="L1139" s="246">
        <v>0</v>
      </c>
      <c r="M1139" s="246">
        <v>0</v>
      </c>
      <c r="N1139" s="246">
        <v>0</v>
      </c>
      <c r="O1139" s="255">
        <v>0</v>
      </c>
    </row>
    <row r="1140" spans="1:15">
      <c r="A1140" s="240" t="s">
        <v>26</v>
      </c>
      <c r="B1140" s="47" t="s">
        <v>55</v>
      </c>
      <c r="C1140" s="12">
        <v>0.48951048951049</v>
      </c>
      <c r="D1140" s="241">
        <v>0.5</v>
      </c>
      <c r="E1140" s="241">
        <v>0.655172413793103</v>
      </c>
      <c r="F1140" s="241">
        <v>0.470588235294118</v>
      </c>
      <c r="G1140" s="241">
        <v>0.542372881355932</v>
      </c>
      <c r="H1140" s="241">
        <v>0.565789473684211</v>
      </c>
      <c r="I1140" s="241">
        <v>0.563218390804598</v>
      </c>
      <c r="J1140" s="241">
        <v>0.505263157894737</v>
      </c>
      <c r="K1140" s="241">
        <v>0.5</v>
      </c>
      <c r="L1140" s="241">
        <v>0.487603305785124</v>
      </c>
      <c r="M1140" s="241">
        <v>0.412037037037037</v>
      </c>
      <c r="N1140" s="241">
        <v>0.448818897637795</v>
      </c>
      <c r="O1140" s="252">
        <v>0.371794871794872</v>
      </c>
    </row>
    <row r="1141" spans="1:15">
      <c r="A1141" s="242" t="s">
        <v>26</v>
      </c>
      <c r="B1141" s="43" t="s">
        <v>57</v>
      </c>
      <c r="C1141" s="15">
        <v>2288</v>
      </c>
      <c r="D1141" s="243">
        <v>246</v>
      </c>
      <c r="E1141" s="243">
        <v>116</v>
      </c>
      <c r="F1141" s="243">
        <v>136</v>
      </c>
      <c r="G1141" s="243">
        <v>118</v>
      </c>
      <c r="H1141" s="243">
        <v>152</v>
      </c>
      <c r="I1141" s="243">
        <v>174</v>
      </c>
      <c r="J1141" s="243">
        <v>190</v>
      </c>
      <c r="K1141" s="243">
        <v>210</v>
      </c>
      <c r="L1141" s="243">
        <v>242</v>
      </c>
      <c r="M1141" s="243">
        <v>216</v>
      </c>
      <c r="N1141" s="243">
        <v>254</v>
      </c>
      <c r="O1141" s="253">
        <v>234</v>
      </c>
    </row>
    <row r="1142" spans="1:15">
      <c r="A1142" s="240" t="s">
        <v>26</v>
      </c>
      <c r="B1142" s="47" t="s">
        <v>59</v>
      </c>
      <c r="C1142" s="15">
        <v>1120</v>
      </c>
      <c r="D1142" s="243">
        <v>123</v>
      </c>
      <c r="E1142" s="243">
        <v>76</v>
      </c>
      <c r="F1142" s="243">
        <v>64</v>
      </c>
      <c r="G1142" s="243">
        <v>64</v>
      </c>
      <c r="H1142" s="243">
        <v>86</v>
      </c>
      <c r="I1142" s="243">
        <v>98</v>
      </c>
      <c r="J1142" s="243">
        <v>96</v>
      </c>
      <c r="K1142" s="243">
        <v>105</v>
      </c>
      <c r="L1142" s="243">
        <v>118</v>
      </c>
      <c r="M1142" s="243">
        <v>89</v>
      </c>
      <c r="N1142" s="243">
        <v>114</v>
      </c>
      <c r="O1142" s="253">
        <v>87</v>
      </c>
    </row>
    <row r="1143" spans="1:15">
      <c r="A1143" s="242" t="s">
        <v>26</v>
      </c>
      <c r="B1143" s="43" t="s">
        <v>4</v>
      </c>
      <c r="C1143" s="15">
        <v>27</v>
      </c>
      <c r="D1143" s="244">
        <v>5</v>
      </c>
      <c r="E1143" s="244">
        <v>2</v>
      </c>
      <c r="F1143" s="244">
        <v>1</v>
      </c>
      <c r="G1143" s="244">
        <v>0</v>
      </c>
      <c r="H1143" s="244">
        <v>3</v>
      </c>
      <c r="I1143" s="244">
        <v>2</v>
      </c>
      <c r="J1143" s="244">
        <v>1</v>
      </c>
      <c r="K1143" s="244">
        <v>4</v>
      </c>
      <c r="L1143" s="244">
        <v>1</v>
      </c>
      <c r="M1143" s="244">
        <v>5</v>
      </c>
      <c r="N1143" s="244">
        <v>2</v>
      </c>
      <c r="O1143" s="254">
        <v>1</v>
      </c>
    </row>
    <row r="1144" spans="1:15">
      <c r="A1144" s="240" t="s">
        <v>26</v>
      </c>
      <c r="B1144" s="47" t="s">
        <v>5</v>
      </c>
      <c r="C1144" s="12">
        <v>0.0241071428571429</v>
      </c>
      <c r="D1144" s="241">
        <v>0.040650406504065</v>
      </c>
      <c r="E1144" s="241">
        <v>0.0263157894736842</v>
      </c>
      <c r="F1144" s="241">
        <v>0.015625</v>
      </c>
      <c r="G1144" s="241">
        <v>0</v>
      </c>
      <c r="H1144" s="241">
        <v>0.0348837209302326</v>
      </c>
      <c r="I1144" s="241">
        <v>0.0204081632653061</v>
      </c>
      <c r="J1144" s="241">
        <v>0.0104166666666667</v>
      </c>
      <c r="K1144" s="241">
        <v>0.0380952380952381</v>
      </c>
      <c r="L1144" s="241">
        <v>0.00847457627118644</v>
      </c>
      <c r="M1144" s="241">
        <v>0.0561797752808989</v>
      </c>
      <c r="N1144" s="241">
        <v>0.0175438596491228</v>
      </c>
      <c r="O1144" s="252">
        <v>0.0114942528735632</v>
      </c>
    </row>
    <row r="1145" spans="1:15">
      <c r="A1145" s="242" t="s">
        <v>26</v>
      </c>
      <c r="B1145" s="43" t="s">
        <v>6</v>
      </c>
      <c r="C1145" s="15">
        <v>13</v>
      </c>
      <c r="D1145" s="244">
        <v>3</v>
      </c>
      <c r="E1145" s="244">
        <v>1</v>
      </c>
      <c r="F1145" s="244">
        <v>0</v>
      </c>
      <c r="G1145" s="244">
        <v>2</v>
      </c>
      <c r="H1145" s="244">
        <v>1</v>
      </c>
      <c r="I1145" s="244">
        <v>1</v>
      </c>
      <c r="J1145" s="244">
        <v>1</v>
      </c>
      <c r="K1145" s="244">
        <v>1</v>
      </c>
      <c r="L1145" s="244">
        <v>1</v>
      </c>
      <c r="M1145" s="244">
        <v>0</v>
      </c>
      <c r="N1145" s="244">
        <v>1</v>
      </c>
      <c r="O1145" s="254">
        <v>1</v>
      </c>
    </row>
    <row r="1146" ht="14.25" spans="1:15">
      <c r="A1146" s="245" t="s">
        <v>26</v>
      </c>
      <c r="B1146" s="52" t="s">
        <v>64</v>
      </c>
      <c r="C1146" s="19">
        <v>0.481481481481481</v>
      </c>
      <c r="D1146" s="250">
        <v>3</v>
      </c>
      <c r="E1146" s="250">
        <v>1</v>
      </c>
      <c r="F1146" s="250">
        <v>0</v>
      </c>
      <c r="G1146" s="250">
        <v>2</v>
      </c>
      <c r="H1146" s="250">
        <v>1</v>
      </c>
      <c r="I1146" s="250">
        <v>1</v>
      </c>
      <c r="J1146" s="250">
        <v>1</v>
      </c>
      <c r="K1146" s="250">
        <v>1</v>
      </c>
      <c r="L1146" s="250">
        <v>1</v>
      </c>
      <c r="M1146" s="250">
        <v>0</v>
      </c>
      <c r="N1146" s="250">
        <v>1</v>
      </c>
      <c r="O1146" s="257">
        <v>1</v>
      </c>
    </row>
    <row r="1147" spans="1:15">
      <c r="A1147" s="240" t="s">
        <v>71</v>
      </c>
      <c r="B1147" s="47" t="s">
        <v>55</v>
      </c>
      <c r="C1147" s="12">
        <v>0.0203703703703704</v>
      </c>
      <c r="D1147" s="241">
        <v>0</v>
      </c>
      <c r="E1147" s="241">
        <v>0</v>
      </c>
      <c r="F1147" s="241">
        <v>0</v>
      </c>
      <c r="G1147" s="241">
        <v>0</v>
      </c>
      <c r="H1147" s="241">
        <v>0.0408163265306122</v>
      </c>
      <c r="I1147" s="241">
        <v>0.128205128205128</v>
      </c>
      <c r="J1147" s="241">
        <v>0</v>
      </c>
      <c r="K1147" s="241">
        <v>0.0294117647058824</v>
      </c>
      <c r="L1147" s="241">
        <v>0</v>
      </c>
      <c r="M1147" s="241">
        <v>0.0256410256410256</v>
      </c>
      <c r="N1147" s="241">
        <v>0.0178571428571429</v>
      </c>
      <c r="O1147" s="252">
        <v>0</v>
      </c>
    </row>
    <row r="1148" spans="1:15">
      <c r="A1148" s="242" t="s">
        <v>71</v>
      </c>
      <c r="B1148" s="43" t="s">
        <v>57</v>
      </c>
      <c r="C1148" s="15">
        <v>540</v>
      </c>
      <c r="D1148" s="243">
        <v>52</v>
      </c>
      <c r="E1148" s="243">
        <v>31</v>
      </c>
      <c r="F1148" s="243">
        <v>17</v>
      </c>
      <c r="G1148" s="243">
        <v>28</v>
      </c>
      <c r="H1148" s="243">
        <v>49</v>
      </c>
      <c r="I1148" s="243">
        <v>39</v>
      </c>
      <c r="J1148" s="243">
        <v>50</v>
      </c>
      <c r="K1148" s="243">
        <v>68</v>
      </c>
      <c r="L1148" s="243">
        <v>48</v>
      </c>
      <c r="M1148" s="243">
        <v>39</v>
      </c>
      <c r="N1148" s="243">
        <v>56</v>
      </c>
      <c r="O1148" s="253">
        <v>63</v>
      </c>
    </row>
    <row r="1149" spans="1:15">
      <c r="A1149" s="240" t="s">
        <v>71</v>
      </c>
      <c r="B1149" s="47" t="s">
        <v>59</v>
      </c>
      <c r="C1149" s="15">
        <v>11</v>
      </c>
      <c r="D1149" s="243">
        <v>0</v>
      </c>
      <c r="E1149" s="243">
        <v>0</v>
      </c>
      <c r="F1149" s="243">
        <v>0</v>
      </c>
      <c r="G1149" s="243">
        <v>0</v>
      </c>
      <c r="H1149" s="243">
        <v>2</v>
      </c>
      <c r="I1149" s="243">
        <v>5</v>
      </c>
      <c r="J1149" s="243">
        <v>0</v>
      </c>
      <c r="K1149" s="243">
        <v>2</v>
      </c>
      <c r="L1149" s="243">
        <v>0</v>
      </c>
      <c r="M1149" s="243">
        <v>1</v>
      </c>
      <c r="N1149" s="243">
        <v>1</v>
      </c>
      <c r="O1149" s="253">
        <v>0</v>
      </c>
    </row>
    <row r="1150" spans="1:15">
      <c r="A1150" s="242" t="s">
        <v>71</v>
      </c>
      <c r="B1150" s="43" t="s">
        <v>4</v>
      </c>
      <c r="C1150" s="15">
        <v>15</v>
      </c>
      <c r="D1150" s="244">
        <v>2</v>
      </c>
      <c r="E1150" s="244">
        <v>2</v>
      </c>
      <c r="F1150" s="244">
        <v>0</v>
      </c>
      <c r="G1150" s="244">
        <v>1</v>
      </c>
      <c r="H1150" s="244">
        <v>1</v>
      </c>
      <c r="I1150" s="244">
        <v>2</v>
      </c>
      <c r="J1150" s="244">
        <v>1</v>
      </c>
      <c r="K1150" s="244">
        <v>3</v>
      </c>
      <c r="L1150" s="244">
        <v>2</v>
      </c>
      <c r="M1150" s="244">
        <v>1</v>
      </c>
      <c r="N1150" s="244">
        <v>0</v>
      </c>
      <c r="O1150" s="254">
        <v>0</v>
      </c>
    </row>
    <row r="1151" spans="1:15">
      <c r="A1151" s="240" t="s">
        <v>71</v>
      </c>
      <c r="B1151" s="47" t="s">
        <v>5</v>
      </c>
      <c r="C1151" s="12">
        <v>1.36363636363636</v>
      </c>
      <c r="D1151" s="241">
        <v>0</v>
      </c>
      <c r="E1151" s="241">
        <v>0</v>
      </c>
      <c r="F1151" s="241">
        <v>0</v>
      </c>
      <c r="G1151" s="241">
        <v>0</v>
      </c>
      <c r="H1151" s="241">
        <v>0.5</v>
      </c>
      <c r="I1151" s="241">
        <v>0.4</v>
      </c>
      <c r="J1151" s="241">
        <v>0</v>
      </c>
      <c r="K1151" s="241">
        <v>1.5</v>
      </c>
      <c r="L1151" s="241">
        <v>0</v>
      </c>
      <c r="M1151" s="241">
        <v>1</v>
      </c>
      <c r="N1151" s="241">
        <v>0</v>
      </c>
      <c r="O1151" s="252">
        <v>0</v>
      </c>
    </row>
    <row r="1152" spans="1:15">
      <c r="A1152" s="242" t="s">
        <v>71</v>
      </c>
      <c r="B1152" s="43" t="s">
        <v>6</v>
      </c>
      <c r="C1152" s="15">
        <v>3</v>
      </c>
      <c r="D1152" s="244">
        <v>0</v>
      </c>
      <c r="E1152" s="244">
        <v>1</v>
      </c>
      <c r="F1152" s="244">
        <v>0</v>
      </c>
      <c r="G1152" s="244">
        <v>1</v>
      </c>
      <c r="H1152" s="244">
        <v>1</v>
      </c>
      <c r="I1152" s="244">
        <v>0</v>
      </c>
      <c r="J1152" s="244">
        <v>0</v>
      </c>
      <c r="K1152" s="244">
        <v>0</v>
      </c>
      <c r="L1152" s="244">
        <v>0</v>
      </c>
      <c r="M1152" s="244">
        <v>0</v>
      </c>
      <c r="N1152" s="244">
        <v>0</v>
      </c>
      <c r="O1152" s="254">
        <v>0</v>
      </c>
    </row>
    <row r="1153" ht="14.25" spans="1:15">
      <c r="A1153" s="245" t="s">
        <v>71</v>
      </c>
      <c r="B1153" s="52" t="s">
        <v>64</v>
      </c>
      <c r="C1153" s="19">
        <v>0.2</v>
      </c>
      <c r="D1153" s="250">
        <v>0</v>
      </c>
      <c r="E1153" s="250">
        <v>1</v>
      </c>
      <c r="F1153" s="250">
        <v>0</v>
      </c>
      <c r="G1153" s="250">
        <v>1</v>
      </c>
      <c r="H1153" s="250">
        <v>1</v>
      </c>
      <c r="I1153" s="250">
        <v>0</v>
      </c>
      <c r="J1153" s="250">
        <v>0</v>
      </c>
      <c r="K1153" s="250">
        <v>0</v>
      </c>
      <c r="L1153" s="250">
        <v>0</v>
      </c>
      <c r="M1153" s="250">
        <v>0</v>
      </c>
      <c r="N1153" s="250">
        <v>0</v>
      </c>
      <c r="O1153" s="257">
        <v>0</v>
      </c>
    </row>
    <row r="1154" spans="1:15">
      <c r="A1154" s="240" t="s">
        <v>72</v>
      </c>
      <c r="B1154" s="47" t="s">
        <v>55</v>
      </c>
      <c r="C1154" s="12">
        <v>0.395089285714286</v>
      </c>
      <c r="D1154" s="241">
        <v>0.538461538461538</v>
      </c>
      <c r="E1154" s="241">
        <v>0.5</v>
      </c>
      <c r="F1154" s="241">
        <v>0.571428571428571</v>
      </c>
      <c r="G1154" s="241">
        <v>0.3125</v>
      </c>
      <c r="H1154" s="241">
        <v>0.357142857142857</v>
      </c>
      <c r="I1154" s="241">
        <v>0.428571428571429</v>
      </c>
      <c r="J1154" s="241">
        <v>0.222222222222222</v>
      </c>
      <c r="K1154" s="241">
        <v>0.3</v>
      </c>
      <c r="L1154" s="241">
        <v>0.479166666666667</v>
      </c>
      <c r="M1154" s="241">
        <v>0.5</v>
      </c>
      <c r="N1154" s="241">
        <v>0.5</v>
      </c>
      <c r="O1154" s="252">
        <v>0.355263157894737</v>
      </c>
    </row>
    <row r="1155" spans="1:15">
      <c r="A1155" s="242" t="s">
        <v>72</v>
      </c>
      <c r="B1155" s="43" t="s">
        <v>57</v>
      </c>
      <c r="C1155" s="15">
        <v>448</v>
      </c>
      <c r="D1155" s="243">
        <v>26</v>
      </c>
      <c r="E1155" s="243">
        <v>10</v>
      </c>
      <c r="F1155" s="243">
        <v>14</v>
      </c>
      <c r="G1155" s="243">
        <v>16</v>
      </c>
      <c r="H1155" s="243">
        <v>42</v>
      </c>
      <c r="I1155" s="243">
        <v>42</v>
      </c>
      <c r="J1155" s="243">
        <v>54</v>
      </c>
      <c r="K1155" s="243">
        <v>50</v>
      </c>
      <c r="L1155" s="243">
        <v>48</v>
      </c>
      <c r="M1155" s="243">
        <v>34</v>
      </c>
      <c r="N1155" s="243">
        <v>36</v>
      </c>
      <c r="O1155" s="253">
        <v>76</v>
      </c>
    </row>
    <row r="1156" spans="1:15">
      <c r="A1156" s="240" t="s">
        <v>72</v>
      </c>
      <c r="B1156" s="47" t="s">
        <v>59</v>
      </c>
      <c r="C1156" s="15">
        <v>177</v>
      </c>
      <c r="D1156" s="243">
        <v>14</v>
      </c>
      <c r="E1156" s="243">
        <v>5</v>
      </c>
      <c r="F1156" s="243">
        <v>8</v>
      </c>
      <c r="G1156" s="243">
        <v>5</v>
      </c>
      <c r="H1156" s="243">
        <v>15</v>
      </c>
      <c r="I1156" s="243">
        <v>18</v>
      </c>
      <c r="J1156" s="243">
        <v>12</v>
      </c>
      <c r="K1156" s="243">
        <v>15</v>
      </c>
      <c r="L1156" s="243">
        <v>23</v>
      </c>
      <c r="M1156" s="243">
        <v>17</v>
      </c>
      <c r="N1156" s="243">
        <v>18</v>
      </c>
      <c r="O1156" s="253">
        <v>27</v>
      </c>
    </row>
    <row r="1157" spans="1:15">
      <c r="A1157" s="242" t="s">
        <v>72</v>
      </c>
      <c r="B1157" s="43" t="s">
        <v>4</v>
      </c>
      <c r="C1157" s="15">
        <v>3</v>
      </c>
      <c r="D1157" s="244">
        <v>0</v>
      </c>
      <c r="E1157" s="244">
        <v>0</v>
      </c>
      <c r="F1157" s="244">
        <v>0</v>
      </c>
      <c r="G1157" s="244">
        <v>1</v>
      </c>
      <c r="H1157" s="244">
        <v>0</v>
      </c>
      <c r="I1157" s="244">
        <v>0</v>
      </c>
      <c r="J1157" s="244">
        <v>0</v>
      </c>
      <c r="K1157" s="244">
        <v>1</v>
      </c>
      <c r="L1157" s="244">
        <v>1</v>
      </c>
      <c r="M1157" s="244">
        <v>0</v>
      </c>
      <c r="N1157" s="244">
        <v>0</v>
      </c>
      <c r="O1157" s="254">
        <v>0</v>
      </c>
    </row>
    <row r="1158" spans="1:15">
      <c r="A1158" s="240" t="s">
        <v>72</v>
      </c>
      <c r="B1158" s="47" t="s">
        <v>5</v>
      </c>
      <c r="C1158" s="12">
        <v>0.0169491525423729</v>
      </c>
      <c r="D1158" s="241">
        <v>0</v>
      </c>
      <c r="E1158" s="241">
        <v>0</v>
      </c>
      <c r="F1158" s="241">
        <v>0</v>
      </c>
      <c r="G1158" s="241">
        <v>0.2</v>
      </c>
      <c r="H1158" s="241">
        <v>0</v>
      </c>
      <c r="I1158" s="241">
        <v>0</v>
      </c>
      <c r="J1158" s="241">
        <v>0</v>
      </c>
      <c r="K1158" s="241">
        <v>0.0666666666666667</v>
      </c>
      <c r="L1158" s="241">
        <v>0.0434782608695652</v>
      </c>
      <c r="M1158" s="241">
        <v>0</v>
      </c>
      <c r="N1158" s="241">
        <v>0</v>
      </c>
      <c r="O1158" s="252">
        <v>0</v>
      </c>
    </row>
    <row r="1159" spans="1:15">
      <c r="A1159" s="242" t="s">
        <v>72</v>
      </c>
      <c r="B1159" s="43" t="s">
        <v>6</v>
      </c>
      <c r="C1159" s="15">
        <v>3</v>
      </c>
      <c r="D1159" s="244">
        <v>0</v>
      </c>
      <c r="E1159" s="244">
        <v>1</v>
      </c>
      <c r="F1159" s="244">
        <v>0</v>
      </c>
      <c r="G1159" s="244">
        <v>0</v>
      </c>
      <c r="H1159" s="244">
        <v>1</v>
      </c>
      <c r="I1159" s="244">
        <v>0</v>
      </c>
      <c r="J1159" s="244">
        <v>0</v>
      </c>
      <c r="K1159" s="244">
        <v>0</v>
      </c>
      <c r="L1159" s="244">
        <v>1</v>
      </c>
      <c r="M1159" s="244">
        <v>0</v>
      </c>
      <c r="N1159" s="244">
        <v>0</v>
      </c>
      <c r="O1159" s="254">
        <v>0</v>
      </c>
    </row>
    <row r="1160" ht="14.25" spans="1:15">
      <c r="A1160" s="245" t="s">
        <v>72</v>
      </c>
      <c r="B1160" s="52" t="s">
        <v>64</v>
      </c>
      <c r="C1160" s="19">
        <v>1</v>
      </c>
      <c r="D1160" s="250">
        <v>0</v>
      </c>
      <c r="E1160" s="250">
        <v>1</v>
      </c>
      <c r="F1160" s="250">
        <v>0</v>
      </c>
      <c r="G1160" s="250">
        <v>0</v>
      </c>
      <c r="H1160" s="250">
        <v>1</v>
      </c>
      <c r="I1160" s="250">
        <v>0</v>
      </c>
      <c r="J1160" s="250">
        <v>0</v>
      </c>
      <c r="K1160" s="250">
        <v>0</v>
      </c>
      <c r="L1160" s="250">
        <v>1</v>
      </c>
      <c r="M1160" s="250">
        <v>0</v>
      </c>
      <c r="N1160" s="250">
        <v>0</v>
      </c>
      <c r="O1160" s="257">
        <v>0</v>
      </c>
    </row>
    <row r="1161" ht="14.25" spans="1:15">
      <c r="A1161" s="237">
        <v>45037</v>
      </c>
      <c r="B1161" s="237"/>
      <c r="C1161" s="237"/>
      <c r="D1161" s="237"/>
      <c r="E1161" s="237"/>
      <c r="F1161" s="237"/>
      <c r="G1161" s="237"/>
      <c r="H1161" s="237"/>
      <c r="I1161" s="237"/>
      <c r="J1161" s="237"/>
      <c r="K1161" s="237"/>
      <c r="L1161" s="237"/>
      <c r="M1161" s="237"/>
      <c r="N1161" s="237"/>
      <c r="O1161" s="237"/>
    </row>
    <row r="1162" spans="1:15">
      <c r="A1162" s="56" t="s">
        <v>1</v>
      </c>
      <c r="B1162" s="238"/>
      <c r="C1162" s="8" t="s">
        <v>42</v>
      </c>
      <c r="D1162" s="239" t="s">
        <v>43</v>
      </c>
      <c r="E1162" s="239" t="s">
        <v>44</v>
      </c>
      <c r="F1162" s="239" t="s">
        <v>45</v>
      </c>
      <c r="G1162" s="239" t="s">
        <v>46</v>
      </c>
      <c r="H1162" s="239" t="s">
        <v>47</v>
      </c>
      <c r="I1162" s="239" t="s">
        <v>48</v>
      </c>
      <c r="J1162" s="239" t="s">
        <v>49</v>
      </c>
      <c r="K1162" s="239" t="s">
        <v>50</v>
      </c>
      <c r="L1162" s="239" t="s">
        <v>51</v>
      </c>
      <c r="M1162" s="239" t="s">
        <v>52</v>
      </c>
      <c r="N1162" s="239" t="s">
        <v>53</v>
      </c>
      <c r="O1162" s="251" t="s">
        <v>54</v>
      </c>
    </row>
    <row r="1163" spans="1:15">
      <c r="A1163" s="240" t="s">
        <v>22</v>
      </c>
      <c r="B1163" s="47" t="s">
        <v>55</v>
      </c>
      <c r="C1163" s="12">
        <v>0.321485836451096</v>
      </c>
      <c r="D1163" s="241">
        <v>0.278899082568807</v>
      </c>
      <c r="E1163" s="241">
        <v>0.167464114832536</v>
      </c>
      <c r="F1163" s="241">
        <v>0.140845070422535</v>
      </c>
      <c r="G1163" s="241">
        <v>0.244047619047619</v>
      </c>
      <c r="H1163" s="241">
        <v>0.318318318318318</v>
      </c>
      <c r="I1163" s="241">
        <v>0.384892086330935</v>
      </c>
      <c r="J1163" s="241">
        <v>0.423868312757202</v>
      </c>
      <c r="K1163" s="241">
        <v>0.452830188679245</v>
      </c>
      <c r="L1163" s="241">
        <v>0.436619718309859</v>
      </c>
      <c r="M1163" s="241">
        <v>0.420168067226891</v>
      </c>
      <c r="N1163" s="241">
        <v>0.504310344827586</v>
      </c>
      <c r="O1163" s="252">
        <v>0.36013986013986</v>
      </c>
    </row>
    <row r="1164" spans="1:15">
      <c r="A1164" s="242" t="s">
        <v>22</v>
      </c>
      <c r="B1164" s="43" t="s">
        <v>57</v>
      </c>
      <c r="C1164" s="15">
        <v>3742</v>
      </c>
      <c r="D1164" s="243">
        <v>545</v>
      </c>
      <c r="E1164" s="243">
        <v>418</v>
      </c>
      <c r="F1164" s="243">
        <v>355</v>
      </c>
      <c r="G1164" s="243">
        <v>336</v>
      </c>
      <c r="H1164" s="243">
        <v>333</v>
      </c>
      <c r="I1164" s="243">
        <v>278</v>
      </c>
      <c r="J1164" s="243">
        <v>243</v>
      </c>
      <c r="K1164" s="243">
        <v>265</v>
      </c>
      <c r="L1164" s="243">
        <v>213</v>
      </c>
      <c r="M1164" s="243">
        <v>238</v>
      </c>
      <c r="N1164" s="243">
        <v>232</v>
      </c>
      <c r="O1164" s="253">
        <v>286</v>
      </c>
    </row>
    <row r="1165" spans="1:15">
      <c r="A1165" s="240" t="s">
        <v>22</v>
      </c>
      <c r="B1165" s="47" t="s">
        <v>59</v>
      </c>
      <c r="C1165" s="15">
        <v>1203</v>
      </c>
      <c r="D1165" s="243">
        <v>152</v>
      </c>
      <c r="E1165" s="243">
        <v>70</v>
      </c>
      <c r="F1165" s="243">
        <v>50</v>
      </c>
      <c r="G1165" s="243">
        <v>82</v>
      </c>
      <c r="H1165" s="243">
        <v>106</v>
      </c>
      <c r="I1165" s="243">
        <v>107</v>
      </c>
      <c r="J1165" s="243">
        <v>103</v>
      </c>
      <c r="K1165" s="243">
        <v>120</v>
      </c>
      <c r="L1165" s="243">
        <v>93</v>
      </c>
      <c r="M1165" s="243">
        <v>100</v>
      </c>
      <c r="N1165" s="243">
        <v>117</v>
      </c>
      <c r="O1165" s="253">
        <v>103</v>
      </c>
    </row>
    <row r="1166" spans="1:15">
      <c r="A1166" s="242" t="s">
        <v>22</v>
      </c>
      <c r="B1166" s="43" t="s">
        <v>4</v>
      </c>
      <c r="C1166" s="15">
        <v>70</v>
      </c>
      <c r="D1166" s="244">
        <v>6</v>
      </c>
      <c r="E1166" s="244">
        <v>7</v>
      </c>
      <c r="F1166" s="244">
        <v>5</v>
      </c>
      <c r="G1166" s="244">
        <v>6</v>
      </c>
      <c r="H1166" s="244">
        <v>7</v>
      </c>
      <c r="I1166" s="244">
        <v>3</v>
      </c>
      <c r="J1166" s="244">
        <v>3</v>
      </c>
      <c r="K1166" s="244">
        <v>5</v>
      </c>
      <c r="L1166" s="244">
        <v>6</v>
      </c>
      <c r="M1166" s="244">
        <v>4</v>
      </c>
      <c r="N1166" s="244">
        <v>10</v>
      </c>
      <c r="O1166" s="254">
        <v>8</v>
      </c>
    </row>
    <row r="1167" spans="1:15">
      <c r="A1167" s="240" t="s">
        <v>22</v>
      </c>
      <c r="B1167" s="47" t="s">
        <v>5</v>
      </c>
      <c r="C1167" s="12">
        <v>0.058187863674148</v>
      </c>
      <c r="D1167" s="241">
        <v>0.0394736842105263</v>
      </c>
      <c r="E1167" s="241">
        <v>0.1</v>
      </c>
      <c r="F1167" s="241">
        <v>0.1</v>
      </c>
      <c r="G1167" s="241">
        <v>0.0731707317073171</v>
      </c>
      <c r="H1167" s="241">
        <v>0.0660377358490566</v>
      </c>
      <c r="I1167" s="241">
        <v>0.0280373831775701</v>
      </c>
      <c r="J1167" s="241">
        <v>0.029126213592233</v>
      </c>
      <c r="K1167" s="241">
        <v>0.0416666666666667</v>
      </c>
      <c r="L1167" s="241">
        <v>0.0645161290322581</v>
      </c>
      <c r="M1167" s="241">
        <v>0.04</v>
      </c>
      <c r="N1167" s="241">
        <v>0.0854700854700855</v>
      </c>
      <c r="O1167" s="252">
        <v>0.0776699029126214</v>
      </c>
    </row>
    <row r="1168" spans="1:15">
      <c r="A1168" s="242" t="s">
        <v>22</v>
      </c>
      <c r="B1168" s="43" t="s">
        <v>6</v>
      </c>
      <c r="C1168" s="15">
        <v>25</v>
      </c>
      <c r="D1168" s="244">
        <v>1</v>
      </c>
      <c r="E1168" s="244">
        <v>2</v>
      </c>
      <c r="F1168" s="244">
        <v>0</v>
      </c>
      <c r="G1168" s="244">
        <v>2</v>
      </c>
      <c r="H1168" s="244">
        <v>0</v>
      </c>
      <c r="I1168" s="244">
        <v>2</v>
      </c>
      <c r="J1168" s="244">
        <v>4</v>
      </c>
      <c r="K1168" s="244">
        <v>2</v>
      </c>
      <c r="L1168" s="244">
        <v>1</v>
      </c>
      <c r="M1168" s="244">
        <v>4</v>
      </c>
      <c r="N1168" s="244">
        <v>6</v>
      </c>
      <c r="O1168" s="254">
        <v>1</v>
      </c>
    </row>
    <row r="1169" ht="14.25" spans="1:15">
      <c r="A1169" s="245" t="s">
        <v>22</v>
      </c>
      <c r="B1169" s="52" t="s">
        <v>64</v>
      </c>
      <c r="C1169" s="19">
        <v>0.357142857142857</v>
      </c>
      <c r="D1169" s="246">
        <v>0.166666666666667</v>
      </c>
      <c r="E1169" s="246">
        <v>0.285714285714286</v>
      </c>
      <c r="F1169" s="246">
        <v>0</v>
      </c>
      <c r="G1169" s="246">
        <v>0.333333333333333</v>
      </c>
      <c r="H1169" s="246">
        <v>0</v>
      </c>
      <c r="I1169" s="246">
        <v>0.666666666666667</v>
      </c>
      <c r="J1169" s="246">
        <v>1.33333333333333</v>
      </c>
      <c r="K1169" s="246">
        <v>0.4</v>
      </c>
      <c r="L1169" s="246">
        <v>0.166666666666667</v>
      </c>
      <c r="M1169" s="246">
        <v>1</v>
      </c>
      <c r="N1169" s="246">
        <v>0.6</v>
      </c>
      <c r="O1169" s="255">
        <v>0.125</v>
      </c>
    </row>
    <row r="1170" spans="1:15">
      <c r="A1170" s="247" t="s">
        <v>66</v>
      </c>
      <c r="B1170" s="248" t="s">
        <v>55</v>
      </c>
      <c r="C1170" s="12">
        <v>0.145482388973966</v>
      </c>
      <c r="D1170" s="249">
        <v>0.116591928251121</v>
      </c>
      <c r="E1170" s="249">
        <v>0.0343053173241852</v>
      </c>
      <c r="F1170" s="249">
        <v>0.0842490842490843</v>
      </c>
      <c r="G1170" s="249">
        <v>0.0942028985507246</v>
      </c>
      <c r="H1170" s="249">
        <v>0.221238938053097</v>
      </c>
      <c r="I1170" s="249">
        <v>0.238095238095238</v>
      </c>
      <c r="J1170" s="249">
        <v>0.261538461538462</v>
      </c>
      <c r="K1170" s="249">
        <v>0.267175572519084</v>
      </c>
      <c r="L1170" s="249">
        <v>0.209090909090909</v>
      </c>
      <c r="M1170" s="249">
        <v>0.272727272727273</v>
      </c>
      <c r="N1170" s="249">
        <v>0.272</v>
      </c>
      <c r="O1170" s="256">
        <v>0.252808988764045</v>
      </c>
    </row>
    <row r="1171" spans="1:15">
      <c r="A1171" s="242" t="s">
        <v>66</v>
      </c>
      <c r="B1171" s="43" t="s">
        <v>57</v>
      </c>
      <c r="C1171" s="15">
        <v>2612</v>
      </c>
      <c r="D1171" s="243">
        <v>446</v>
      </c>
      <c r="E1171" s="243">
        <v>583</v>
      </c>
      <c r="F1171" s="243">
        <v>273</v>
      </c>
      <c r="G1171" s="243">
        <v>276</v>
      </c>
      <c r="H1171" s="243">
        <v>113</v>
      </c>
      <c r="I1171" s="243">
        <v>126</v>
      </c>
      <c r="J1171" s="243">
        <v>130</v>
      </c>
      <c r="K1171" s="243">
        <v>131</v>
      </c>
      <c r="L1171" s="243">
        <v>110</v>
      </c>
      <c r="M1171" s="243">
        <v>121</v>
      </c>
      <c r="N1171" s="243">
        <v>125</v>
      </c>
      <c r="O1171" s="253">
        <v>178</v>
      </c>
    </row>
    <row r="1172" spans="1:15">
      <c r="A1172" s="240" t="s">
        <v>66</v>
      </c>
      <c r="B1172" s="47" t="s">
        <v>59</v>
      </c>
      <c r="C1172" s="15">
        <v>380</v>
      </c>
      <c r="D1172" s="243">
        <v>52</v>
      </c>
      <c r="E1172" s="243">
        <v>20</v>
      </c>
      <c r="F1172" s="243">
        <v>23</v>
      </c>
      <c r="G1172" s="243">
        <v>26</v>
      </c>
      <c r="H1172" s="243">
        <v>25</v>
      </c>
      <c r="I1172" s="243">
        <v>30</v>
      </c>
      <c r="J1172" s="243">
        <v>34</v>
      </c>
      <c r="K1172" s="243">
        <v>35</v>
      </c>
      <c r="L1172" s="243">
        <v>23</v>
      </c>
      <c r="M1172" s="243">
        <v>33</v>
      </c>
      <c r="N1172" s="243">
        <v>34</v>
      </c>
      <c r="O1172" s="253">
        <v>45</v>
      </c>
    </row>
    <row r="1173" spans="1:15">
      <c r="A1173" s="242" t="s">
        <v>66</v>
      </c>
      <c r="B1173" s="43" t="s">
        <v>4</v>
      </c>
      <c r="C1173" s="15">
        <v>23</v>
      </c>
      <c r="D1173" s="244">
        <v>4</v>
      </c>
      <c r="E1173" s="244">
        <v>4</v>
      </c>
      <c r="F1173" s="244">
        <v>2</v>
      </c>
      <c r="G1173" s="244">
        <v>0</v>
      </c>
      <c r="H1173" s="244">
        <v>0</v>
      </c>
      <c r="I1173" s="244">
        <v>3</v>
      </c>
      <c r="J1173" s="244">
        <v>0</v>
      </c>
      <c r="K1173" s="244">
        <v>0</v>
      </c>
      <c r="L1173" s="244">
        <v>2</v>
      </c>
      <c r="M1173" s="244">
        <v>2</v>
      </c>
      <c r="N1173" s="244">
        <v>3</v>
      </c>
      <c r="O1173" s="254">
        <v>3</v>
      </c>
    </row>
    <row r="1174" spans="1:15">
      <c r="A1174" s="240" t="s">
        <v>66</v>
      </c>
      <c r="B1174" s="47" t="s">
        <v>5</v>
      </c>
      <c r="C1174" s="12">
        <v>0.0605263157894737</v>
      </c>
      <c r="D1174" s="241">
        <v>0.0769230769230769</v>
      </c>
      <c r="E1174" s="241">
        <v>0.2</v>
      </c>
      <c r="F1174" s="241">
        <v>0.0869565217391304</v>
      </c>
      <c r="G1174" s="241">
        <v>0</v>
      </c>
      <c r="H1174" s="241">
        <v>0</v>
      </c>
      <c r="I1174" s="241">
        <v>0.1</v>
      </c>
      <c r="J1174" s="241">
        <v>0</v>
      </c>
      <c r="K1174" s="241">
        <v>0</v>
      </c>
      <c r="L1174" s="241">
        <v>0.0869565217391304</v>
      </c>
      <c r="M1174" s="241">
        <v>0.0606060606060606</v>
      </c>
      <c r="N1174" s="241">
        <v>0.0882352941176471</v>
      </c>
      <c r="O1174" s="252">
        <v>0.0666666666666667</v>
      </c>
    </row>
    <row r="1175" spans="1:15">
      <c r="A1175" s="242" t="s">
        <v>66</v>
      </c>
      <c r="B1175" s="43" t="s">
        <v>6</v>
      </c>
      <c r="C1175" s="15">
        <v>6</v>
      </c>
      <c r="D1175" s="244">
        <v>1</v>
      </c>
      <c r="E1175" s="244">
        <v>1</v>
      </c>
      <c r="F1175" s="244">
        <v>0</v>
      </c>
      <c r="G1175" s="244">
        <v>0</v>
      </c>
      <c r="H1175" s="244">
        <v>0</v>
      </c>
      <c r="I1175" s="244">
        <v>0</v>
      </c>
      <c r="J1175" s="244">
        <v>0</v>
      </c>
      <c r="K1175" s="244">
        <v>3</v>
      </c>
      <c r="L1175" s="244">
        <v>0</v>
      </c>
      <c r="M1175" s="244">
        <v>0</v>
      </c>
      <c r="N1175" s="244">
        <v>0</v>
      </c>
      <c r="O1175" s="254">
        <v>1</v>
      </c>
    </row>
    <row r="1176" ht="14.25" spans="1:15">
      <c r="A1176" s="245" t="s">
        <v>66</v>
      </c>
      <c r="B1176" s="52" t="s">
        <v>64</v>
      </c>
      <c r="C1176" s="19">
        <v>0.260869565217391</v>
      </c>
      <c r="D1176" s="246">
        <v>0.25</v>
      </c>
      <c r="E1176" s="246">
        <v>0.25</v>
      </c>
      <c r="F1176" s="246">
        <v>0</v>
      </c>
      <c r="G1176" s="246">
        <v>0</v>
      </c>
      <c r="H1176" s="246">
        <v>0</v>
      </c>
      <c r="I1176" s="246">
        <v>0</v>
      </c>
      <c r="J1176" s="246">
        <v>0</v>
      </c>
      <c r="K1176" s="246">
        <v>0</v>
      </c>
      <c r="L1176" s="246">
        <v>0</v>
      </c>
      <c r="M1176" s="246">
        <v>0</v>
      </c>
      <c r="N1176" s="246">
        <v>0</v>
      </c>
      <c r="O1176" s="255">
        <v>0.333333333333333</v>
      </c>
    </row>
    <row r="1177" spans="1:15">
      <c r="A1177" s="240" t="s">
        <v>67</v>
      </c>
      <c r="B1177" s="47" t="s">
        <v>55</v>
      </c>
      <c r="C1177" s="12">
        <v>0.206993006993007</v>
      </c>
      <c r="D1177" s="241">
        <v>0.209459459459459</v>
      </c>
      <c r="E1177" s="241">
        <v>0.225</v>
      </c>
      <c r="F1177" s="241">
        <v>0.244186046511628</v>
      </c>
      <c r="G1177" s="241">
        <v>0.281818181818182</v>
      </c>
      <c r="H1177" s="241">
        <v>0.232142857142857</v>
      </c>
      <c r="I1177" s="241">
        <v>0.236363636363636</v>
      </c>
      <c r="J1177" s="241">
        <v>0.200819672131148</v>
      </c>
      <c r="K1177" s="241">
        <v>0.209302325581395</v>
      </c>
      <c r="L1177" s="241">
        <v>0.234126984126984</v>
      </c>
      <c r="M1177" s="241">
        <v>0.16304347826087</v>
      </c>
      <c r="N1177" s="241">
        <v>0.216216216216216</v>
      </c>
      <c r="O1177" s="252">
        <v>0.15296803652968</v>
      </c>
    </row>
    <row r="1178" spans="1:15">
      <c r="A1178" s="242" t="s">
        <v>67</v>
      </c>
      <c r="B1178" s="43" t="s">
        <v>57</v>
      </c>
      <c r="C1178" s="15">
        <v>2860</v>
      </c>
      <c r="D1178" s="243">
        <v>296</v>
      </c>
      <c r="E1178" s="243">
        <v>160</v>
      </c>
      <c r="F1178" s="243">
        <v>86</v>
      </c>
      <c r="G1178" s="243">
        <v>110</v>
      </c>
      <c r="H1178" s="243">
        <v>224</v>
      </c>
      <c r="I1178" s="243">
        <v>220</v>
      </c>
      <c r="J1178" s="243">
        <v>244</v>
      </c>
      <c r="K1178" s="243">
        <v>258</v>
      </c>
      <c r="L1178" s="243">
        <v>252</v>
      </c>
      <c r="M1178" s="243">
        <v>276</v>
      </c>
      <c r="N1178" s="243">
        <v>296</v>
      </c>
      <c r="O1178" s="253">
        <v>438</v>
      </c>
    </row>
    <row r="1179" spans="1:15">
      <c r="A1179" s="240" t="s">
        <v>67</v>
      </c>
      <c r="B1179" s="47" t="s">
        <v>59</v>
      </c>
      <c r="C1179" s="15">
        <v>592</v>
      </c>
      <c r="D1179" s="243">
        <v>62</v>
      </c>
      <c r="E1179" s="243">
        <v>36</v>
      </c>
      <c r="F1179" s="243">
        <v>21</v>
      </c>
      <c r="G1179" s="243">
        <v>31</v>
      </c>
      <c r="H1179" s="243">
        <v>52</v>
      </c>
      <c r="I1179" s="243">
        <v>52</v>
      </c>
      <c r="J1179" s="243">
        <v>49</v>
      </c>
      <c r="K1179" s="243">
        <v>54</v>
      </c>
      <c r="L1179" s="243">
        <v>59</v>
      </c>
      <c r="M1179" s="243">
        <v>45</v>
      </c>
      <c r="N1179" s="243">
        <v>64</v>
      </c>
      <c r="O1179" s="253">
        <v>67</v>
      </c>
    </row>
    <row r="1180" spans="1:15">
      <c r="A1180" s="242" t="s">
        <v>67</v>
      </c>
      <c r="B1180" s="43" t="s">
        <v>4</v>
      </c>
      <c r="C1180" s="15">
        <v>42</v>
      </c>
      <c r="D1180" s="244">
        <v>5</v>
      </c>
      <c r="E1180" s="244">
        <v>5</v>
      </c>
      <c r="F1180" s="244">
        <v>2</v>
      </c>
      <c r="G1180" s="244">
        <v>2</v>
      </c>
      <c r="H1180" s="244">
        <v>2</v>
      </c>
      <c r="I1180" s="244">
        <v>2</v>
      </c>
      <c r="J1180" s="244">
        <v>3</v>
      </c>
      <c r="K1180" s="244">
        <v>5</v>
      </c>
      <c r="L1180" s="244">
        <v>3</v>
      </c>
      <c r="M1180" s="244">
        <v>3</v>
      </c>
      <c r="N1180" s="244">
        <v>5</v>
      </c>
      <c r="O1180" s="254">
        <v>5</v>
      </c>
    </row>
    <row r="1181" spans="1:15">
      <c r="A1181" s="240" t="s">
        <v>67</v>
      </c>
      <c r="B1181" s="47" t="s">
        <v>5</v>
      </c>
      <c r="C1181" s="12">
        <v>0.0709459459459459</v>
      </c>
      <c r="D1181" s="241">
        <v>0.0806451612903226</v>
      </c>
      <c r="E1181" s="241">
        <v>0.138888888888889</v>
      </c>
      <c r="F1181" s="241">
        <v>0.0952380952380952</v>
      </c>
      <c r="G1181" s="241">
        <v>0.0645161290322581</v>
      </c>
      <c r="H1181" s="241">
        <v>0.0384615384615385</v>
      </c>
      <c r="I1181" s="241">
        <v>0.0384615384615385</v>
      </c>
      <c r="J1181" s="241">
        <v>0.0612244897959184</v>
      </c>
      <c r="K1181" s="241">
        <v>0.0925925925925926</v>
      </c>
      <c r="L1181" s="241">
        <v>0.0508474576271186</v>
      </c>
      <c r="M1181" s="241">
        <v>0.0666666666666667</v>
      </c>
      <c r="N1181" s="241">
        <v>0.078125</v>
      </c>
      <c r="O1181" s="252">
        <v>0.0746268656716418</v>
      </c>
    </row>
    <row r="1182" spans="1:15">
      <c r="A1182" s="242" t="s">
        <v>67</v>
      </c>
      <c r="B1182" s="43" t="s">
        <v>6</v>
      </c>
      <c r="C1182" s="15">
        <v>18</v>
      </c>
      <c r="D1182" s="244">
        <v>2</v>
      </c>
      <c r="E1182" s="244">
        <v>3</v>
      </c>
      <c r="F1182" s="244">
        <v>0</v>
      </c>
      <c r="G1182" s="244">
        <v>1</v>
      </c>
      <c r="H1182" s="244">
        <v>1</v>
      </c>
      <c r="I1182" s="244">
        <v>1</v>
      </c>
      <c r="J1182" s="244">
        <v>1</v>
      </c>
      <c r="K1182" s="244">
        <v>1</v>
      </c>
      <c r="L1182" s="244">
        <v>3</v>
      </c>
      <c r="M1182" s="244">
        <v>2</v>
      </c>
      <c r="N1182" s="244">
        <v>2</v>
      </c>
      <c r="O1182" s="254">
        <v>1</v>
      </c>
    </row>
    <row r="1183" ht="14.25" spans="1:15">
      <c r="A1183" s="245" t="s">
        <v>67</v>
      </c>
      <c r="B1183" s="52" t="s">
        <v>64</v>
      </c>
      <c r="C1183" s="19">
        <v>0.428571428571429</v>
      </c>
      <c r="D1183" s="246">
        <v>0.4</v>
      </c>
      <c r="E1183" s="246">
        <v>0.6</v>
      </c>
      <c r="F1183" s="246">
        <v>0</v>
      </c>
      <c r="G1183" s="246">
        <v>0.5</v>
      </c>
      <c r="H1183" s="246">
        <v>0.5</v>
      </c>
      <c r="I1183" s="246">
        <v>0.5</v>
      </c>
      <c r="J1183" s="246">
        <v>0.333333333333333</v>
      </c>
      <c r="K1183" s="246">
        <v>0.2</v>
      </c>
      <c r="L1183" s="246">
        <v>1</v>
      </c>
      <c r="M1183" s="246">
        <v>0.666666666666667</v>
      </c>
      <c r="N1183" s="246">
        <v>0.4</v>
      </c>
      <c r="O1183" s="255">
        <v>0.2</v>
      </c>
    </row>
    <row r="1184" spans="1:15">
      <c r="A1184" s="240" t="s">
        <v>68</v>
      </c>
      <c r="B1184" s="47" t="s">
        <v>55</v>
      </c>
      <c r="C1184" s="12">
        <v>0.0441155940248499</v>
      </c>
      <c r="D1184" s="241">
        <v>0.071969696969697</v>
      </c>
      <c r="E1184" s="241">
        <v>0.0622710622710623</v>
      </c>
      <c r="F1184" s="241">
        <v>0.0412698412698413</v>
      </c>
      <c r="G1184" s="241">
        <v>0.032590051457976</v>
      </c>
      <c r="H1184" s="241">
        <v>0.0516467065868263</v>
      </c>
      <c r="I1184" s="241">
        <v>0.0390173410404624</v>
      </c>
      <c r="J1184" s="241">
        <v>0.0408</v>
      </c>
      <c r="K1184" s="241">
        <v>0.054635761589404</v>
      </c>
      <c r="L1184" s="241">
        <v>0.0458333333333333</v>
      </c>
      <c r="M1184" s="241">
        <v>0.0365384615384615</v>
      </c>
      <c r="N1184" s="241">
        <v>0.0408045977011494</v>
      </c>
      <c r="O1184" s="252">
        <v>0.035667107001321</v>
      </c>
    </row>
    <row r="1185" spans="1:15">
      <c r="A1185" s="242" t="s">
        <v>68</v>
      </c>
      <c r="B1185" s="43" t="s">
        <v>57</v>
      </c>
      <c r="C1185" s="15">
        <v>14326</v>
      </c>
      <c r="D1185" s="243">
        <v>792</v>
      </c>
      <c r="E1185" s="243">
        <v>546</v>
      </c>
      <c r="F1185" s="243">
        <v>630</v>
      </c>
      <c r="G1185" s="243">
        <v>1166</v>
      </c>
      <c r="H1185" s="243">
        <v>1336</v>
      </c>
      <c r="I1185" s="243">
        <v>1384</v>
      </c>
      <c r="J1185" s="243">
        <v>1250</v>
      </c>
      <c r="K1185" s="243">
        <v>1208</v>
      </c>
      <c r="L1185" s="243">
        <v>1200</v>
      </c>
      <c r="M1185" s="243">
        <v>1560</v>
      </c>
      <c r="N1185" s="243">
        <v>1740</v>
      </c>
      <c r="O1185" s="253">
        <v>1514</v>
      </c>
    </row>
    <row r="1186" spans="1:15">
      <c r="A1186" s="240" t="s">
        <v>68</v>
      </c>
      <c r="B1186" s="47" t="s">
        <v>59</v>
      </c>
      <c r="C1186" s="15">
        <v>632</v>
      </c>
      <c r="D1186" s="243">
        <v>57</v>
      </c>
      <c r="E1186" s="243">
        <v>34</v>
      </c>
      <c r="F1186" s="243">
        <v>26</v>
      </c>
      <c r="G1186" s="243">
        <v>38</v>
      </c>
      <c r="H1186" s="243">
        <v>69</v>
      </c>
      <c r="I1186" s="243">
        <v>54</v>
      </c>
      <c r="J1186" s="243">
        <v>51</v>
      </c>
      <c r="K1186" s="243">
        <v>66</v>
      </c>
      <c r="L1186" s="243">
        <v>55</v>
      </c>
      <c r="M1186" s="243">
        <v>57</v>
      </c>
      <c r="N1186" s="243">
        <v>71</v>
      </c>
      <c r="O1186" s="253">
        <v>54</v>
      </c>
    </row>
    <row r="1187" spans="1:15">
      <c r="A1187" s="242" t="s">
        <v>68</v>
      </c>
      <c r="B1187" s="43" t="s">
        <v>4</v>
      </c>
      <c r="C1187" s="15">
        <v>51</v>
      </c>
      <c r="D1187" s="244">
        <v>5</v>
      </c>
      <c r="E1187" s="244">
        <v>4</v>
      </c>
      <c r="F1187" s="244">
        <v>2</v>
      </c>
      <c r="G1187" s="244">
        <v>3</v>
      </c>
      <c r="H1187" s="244">
        <v>2</v>
      </c>
      <c r="I1187" s="244">
        <v>9</v>
      </c>
      <c r="J1187" s="244">
        <v>4</v>
      </c>
      <c r="K1187" s="244">
        <v>3</v>
      </c>
      <c r="L1187" s="244">
        <v>5</v>
      </c>
      <c r="M1187" s="244">
        <v>6</v>
      </c>
      <c r="N1187" s="244">
        <v>3</v>
      </c>
      <c r="O1187" s="254">
        <v>5</v>
      </c>
    </row>
    <row r="1188" spans="1:15">
      <c r="A1188" s="240" t="s">
        <v>68</v>
      </c>
      <c r="B1188" s="47" t="s">
        <v>5</v>
      </c>
      <c r="C1188" s="12">
        <v>0.0806962025316456</v>
      </c>
      <c r="D1188" s="241">
        <v>0.087719298245614</v>
      </c>
      <c r="E1188" s="241">
        <v>0.117647058823529</v>
      </c>
      <c r="F1188" s="241">
        <v>0.0769230769230769</v>
      </c>
      <c r="G1188" s="241">
        <v>0.0789473684210526</v>
      </c>
      <c r="H1188" s="241">
        <v>0.0289855072463768</v>
      </c>
      <c r="I1188" s="241">
        <v>0.166666666666667</v>
      </c>
      <c r="J1188" s="241">
        <v>0.0784313725490196</v>
      </c>
      <c r="K1188" s="241">
        <v>0.0454545454545455</v>
      </c>
      <c r="L1188" s="241">
        <v>0.0909090909090909</v>
      </c>
      <c r="M1188" s="241">
        <v>0.105263157894737</v>
      </c>
      <c r="N1188" s="241">
        <v>0.0422535211267606</v>
      </c>
      <c r="O1188" s="252">
        <v>0.0925925925925926</v>
      </c>
    </row>
    <row r="1189" spans="1:15">
      <c r="A1189" s="242" t="s">
        <v>68</v>
      </c>
      <c r="B1189" s="43" t="s">
        <v>6</v>
      </c>
      <c r="C1189" s="15">
        <v>15</v>
      </c>
      <c r="D1189" s="244">
        <v>1</v>
      </c>
      <c r="E1189" s="244">
        <v>4</v>
      </c>
      <c r="F1189" s="244">
        <v>0</v>
      </c>
      <c r="G1189" s="244">
        <v>1</v>
      </c>
      <c r="H1189" s="244">
        <v>1</v>
      </c>
      <c r="I1189" s="244">
        <v>4</v>
      </c>
      <c r="J1189" s="244">
        <v>0</v>
      </c>
      <c r="K1189" s="244">
        <v>1</v>
      </c>
      <c r="L1189" s="244">
        <v>0</v>
      </c>
      <c r="M1189" s="244">
        <v>1</v>
      </c>
      <c r="N1189" s="244">
        <v>1</v>
      </c>
      <c r="O1189" s="254">
        <v>1</v>
      </c>
    </row>
    <row r="1190" ht="14.25" spans="1:15">
      <c r="A1190" s="245" t="s">
        <v>68</v>
      </c>
      <c r="B1190" s="52" t="s">
        <v>64</v>
      </c>
      <c r="C1190" s="19">
        <v>0.294117647058824</v>
      </c>
      <c r="D1190" s="246">
        <v>0.2</v>
      </c>
      <c r="E1190" s="246">
        <v>1</v>
      </c>
      <c r="F1190" s="246">
        <v>0</v>
      </c>
      <c r="G1190" s="246">
        <v>0.333333333333333</v>
      </c>
      <c r="H1190" s="246">
        <v>0.5</v>
      </c>
      <c r="I1190" s="246">
        <v>0.444444444444444</v>
      </c>
      <c r="J1190" s="246">
        <v>0</v>
      </c>
      <c r="K1190" s="246">
        <v>0.333333333333333</v>
      </c>
      <c r="L1190" s="246">
        <v>0</v>
      </c>
      <c r="M1190" s="246">
        <v>0.166666666666667</v>
      </c>
      <c r="N1190" s="246">
        <v>0.333333333333333</v>
      </c>
      <c r="O1190" s="255">
        <v>0.2</v>
      </c>
    </row>
    <row r="1191" spans="1:15">
      <c r="A1191" s="240" t="s">
        <v>69</v>
      </c>
      <c r="B1191" s="47" t="s">
        <v>55</v>
      </c>
      <c r="C1191" s="12">
        <v>1.03202846975089</v>
      </c>
      <c r="D1191" s="241">
        <v>1.45</v>
      </c>
      <c r="E1191" s="241">
        <v>1.14814814814815</v>
      </c>
      <c r="F1191" s="241">
        <v>0.807692307692308</v>
      </c>
      <c r="G1191" s="241">
        <v>1.5</v>
      </c>
      <c r="H1191" s="241">
        <v>1.09756097560976</v>
      </c>
      <c r="I1191" s="241">
        <v>1.17777777777778</v>
      </c>
      <c r="J1191" s="241">
        <v>1.01639344262295</v>
      </c>
      <c r="K1191" s="241">
        <v>0.786885245901639</v>
      </c>
      <c r="L1191" s="241">
        <v>0.836363636363636</v>
      </c>
      <c r="M1191" s="241">
        <v>0.983606557377049</v>
      </c>
      <c r="N1191" s="241">
        <v>0.958333333333333</v>
      </c>
      <c r="O1191" s="252">
        <v>1.04081632653061</v>
      </c>
    </row>
    <row r="1192" spans="1:15">
      <c r="A1192" s="242" t="s">
        <v>69</v>
      </c>
      <c r="B1192" s="43" t="s">
        <v>57</v>
      </c>
      <c r="C1192" s="15">
        <v>562</v>
      </c>
      <c r="D1192" s="243">
        <v>40</v>
      </c>
      <c r="E1192" s="243">
        <v>27</v>
      </c>
      <c r="F1192" s="243">
        <v>26</v>
      </c>
      <c r="G1192" s="243">
        <v>24</v>
      </c>
      <c r="H1192" s="243">
        <v>41</v>
      </c>
      <c r="I1192" s="243">
        <v>45</v>
      </c>
      <c r="J1192" s="243">
        <v>61</v>
      </c>
      <c r="K1192" s="243">
        <v>61</v>
      </c>
      <c r="L1192" s="243">
        <v>55</v>
      </c>
      <c r="M1192" s="243">
        <v>61</v>
      </c>
      <c r="N1192" s="243">
        <v>72</v>
      </c>
      <c r="O1192" s="253">
        <v>49</v>
      </c>
    </row>
    <row r="1193" spans="1:15">
      <c r="A1193" s="240" t="s">
        <v>69</v>
      </c>
      <c r="B1193" s="47" t="s">
        <v>59</v>
      </c>
      <c r="C1193" s="15">
        <v>580</v>
      </c>
      <c r="D1193" s="243">
        <v>58</v>
      </c>
      <c r="E1193" s="243">
        <v>31</v>
      </c>
      <c r="F1193" s="243">
        <v>21</v>
      </c>
      <c r="G1193" s="243">
        <v>36</v>
      </c>
      <c r="H1193" s="243">
        <v>45</v>
      </c>
      <c r="I1193" s="243">
        <v>53</v>
      </c>
      <c r="J1193" s="243">
        <v>62</v>
      </c>
      <c r="K1193" s="243">
        <v>48</v>
      </c>
      <c r="L1193" s="243">
        <v>46</v>
      </c>
      <c r="M1193" s="243">
        <v>60</v>
      </c>
      <c r="N1193" s="243">
        <v>69</v>
      </c>
      <c r="O1193" s="253">
        <v>51</v>
      </c>
    </row>
    <row r="1194" spans="1:15">
      <c r="A1194" s="242" t="s">
        <v>69</v>
      </c>
      <c r="B1194" s="43" t="s">
        <v>4</v>
      </c>
      <c r="C1194" s="15">
        <v>24</v>
      </c>
      <c r="D1194" s="244">
        <v>1</v>
      </c>
      <c r="E1194" s="244">
        <v>0</v>
      </c>
      <c r="F1194" s="244">
        <v>1</v>
      </c>
      <c r="G1194" s="244">
        <v>0</v>
      </c>
      <c r="H1194" s="244">
        <v>1</v>
      </c>
      <c r="I1194" s="244">
        <v>3</v>
      </c>
      <c r="J1194" s="244">
        <v>0</v>
      </c>
      <c r="K1194" s="244">
        <v>6</v>
      </c>
      <c r="L1194" s="244">
        <v>1</v>
      </c>
      <c r="M1194" s="244">
        <v>5</v>
      </c>
      <c r="N1194" s="244">
        <v>5</v>
      </c>
      <c r="O1194" s="254">
        <v>1</v>
      </c>
    </row>
    <row r="1195" spans="1:15">
      <c r="A1195" s="240" t="s">
        <v>69</v>
      </c>
      <c r="B1195" s="47" t="s">
        <v>5</v>
      </c>
      <c r="C1195" s="12">
        <v>0.0413793103448276</v>
      </c>
      <c r="D1195" s="241">
        <v>0.0172413793103448</v>
      </c>
      <c r="E1195" s="241">
        <v>0</v>
      </c>
      <c r="F1195" s="241">
        <v>0.0476190476190476</v>
      </c>
      <c r="G1195" s="241">
        <v>0</v>
      </c>
      <c r="H1195" s="241">
        <v>0.0222222222222222</v>
      </c>
      <c r="I1195" s="241">
        <v>0.0566037735849057</v>
      </c>
      <c r="J1195" s="241">
        <v>0</v>
      </c>
      <c r="K1195" s="241">
        <v>0.125</v>
      </c>
      <c r="L1195" s="241">
        <v>0.0217391304347826</v>
      </c>
      <c r="M1195" s="241">
        <v>0.0833333333333333</v>
      </c>
      <c r="N1195" s="241">
        <v>0.072463768115942</v>
      </c>
      <c r="O1195" s="252">
        <v>0.0196078431372549</v>
      </c>
    </row>
    <row r="1196" spans="1:15">
      <c r="A1196" s="242" t="s">
        <v>69</v>
      </c>
      <c r="B1196" s="43" t="s">
        <v>6</v>
      </c>
      <c r="C1196" s="15">
        <v>10</v>
      </c>
      <c r="D1196" s="244">
        <v>0</v>
      </c>
      <c r="E1196" s="244">
        <v>1</v>
      </c>
      <c r="F1196" s="244">
        <v>0</v>
      </c>
      <c r="G1196" s="244">
        <v>0</v>
      </c>
      <c r="H1196" s="244">
        <v>1</v>
      </c>
      <c r="I1196" s="244">
        <v>0</v>
      </c>
      <c r="J1196" s="244">
        <v>0</v>
      </c>
      <c r="K1196" s="244">
        <v>3</v>
      </c>
      <c r="L1196" s="244">
        <v>1</v>
      </c>
      <c r="M1196" s="244">
        <v>1</v>
      </c>
      <c r="N1196" s="244">
        <v>2</v>
      </c>
      <c r="O1196" s="254">
        <v>1</v>
      </c>
    </row>
    <row r="1197" ht="14.25" spans="1:15">
      <c r="A1197" s="245" t="s">
        <v>69</v>
      </c>
      <c r="B1197" s="52" t="s">
        <v>64</v>
      </c>
      <c r="C1197" s="19">
        <v>0.416666666666667</v>
      </c>
      <c r="D1197" s="246">
        <v>0</v>
      </c>
      <c r="E1197" s="246">
        <v>0</v>
      </c>
      <c r="F1197" s="246">
        <v>0</v>
      </c>
      <c r="G1197" s="246">
        <v>0</v>
      </c>
      <c r="H1197" s="246">
        <v>1</v>
      </c>
      <c r="I1197" s="246">
        <v>0</v>
      </c>
      <c r="J1197" s="246">
        <v>0</v>
      </c>
      <c r="K1197" s="246">
        <v>0.5</v>
      </c>
      <c r="L1197" s="246">
        <v>1</v>
      </c>
      <c r="M1197" s="246">
        <v>0.2</v>
      </c>
      <c r="N1197" s="246">
        <v>0.4</v>
      </c>
      <c r="O1197" s="255">
        <v>1</v>
      </c>
    </row>
    <row r="1198" spans="1:15">
      <c r="A1198" s="240" t="s">
        <v>70</v>
      </c>
      <c r="B1198" s="47" t="s">
        <v>55</v>
      </c>
      <c r="C1198" s="12">
        <v>0.728494623655914</v>
      </c>
      <c r="D1198" s="241">
        <v>1.7</v>
      </c>
      <c r="E1198" s="241">
        <v>0.888888888888889</v>
      </c>
      <c r="F1198" s="241">
        <v>1.28571428571429</v>
      </c>
      <c r="G1198" s="241">
        <v>0.7</v>
      </c>
      <c r="H1198" s="241">
        <v>0.848484848484849</v>
      </c>
      <c r="I1198" s="241">
        <v>0.434782608695652</v>
      </c>
      <c r="J1198" s="241">
        <v>0.529411764705882</v>
      </c>
      <c r="K1198" s="241">
        <v>0.628571428571429</v>
      </c>
      <c r="L1198" s="241">
        <v>0.485714285714286</v>
      </c>
      <c r="M1198" s="241">
        <v>0.568181818181818</v>
      </c>
      <c r="N1198" s="241">
        <v>0.666666666666667</v>
      </c>
      <c r="O1198" s="252">
        <v>0.918367346938776</v>
      </c>
    </row>
    <row r="1199" spans="1:15">
      <c r="A1199" s="242" t="s">
        <v>70</v>
      </c>
      <c r="B1199" s="43" t="s">
        <v>57</v>
      </c>
      <c r="C1199" s="15">
        <v>372</v>
      </c>
      <c r="D1199" s="243">
        <v>20</v>
      </c>
      <c r="E1199" s="243">
        <v>9</v>
      </c>
      <c r="F1199" s="243">
        <v>14</v>
      </c>
      <c r="G1199" s="243">
        <v>20</v>
      </c>
      <c r="H1199" s="243">
        <v>33</v>
      </c>
      <c r="I1199" s="243">
        <v>46</v>
      </c>
      <c r="J1199" s="243">
        <v>34</v>
      </c>
      <c r="K1199" s="243">
        <v>35</v>
      </c>
      <c r="L1199" s="243">
        <v>35</v>
      </c>
      <c r="M1199" s="243">
        <v>44</v>
      </c>
      <c r="N1199" s="243">
        <v>33</v>
      </c>
      <c r="O1199" s="253">
        <v>49</v>
      </c>
    </row>
    <row r="1200" spans="1:15">
      <c r="A1200" s="240" t="s">
        <v>70</v>
      </c>
      <c r="B1200" s="47" t="s">
        <v>59</v>
      </c>
      <c r="C1200" s="15">
        <v>271</v>
      </c>
      <c r="D1200" s="243">
        <v>34</v>
      </c>
      <c r="E1200" s="243">
        <v>8</v>
      </c>
      <c r="F1200" s="243">
        <v>18</v>
      </c>
      <c r="G1200" s="243">
        <v>14</v>
      </c>
      <c r="H1200" s="243">
        <v>28</v>
      </c>
      <c r="I1200" s="243">
        <v>20</v>
      </c>
      <c r="J1200" s="243">
        <v>18</v>
      </c>
      <c r="K1200" s="243">
        <v>22</v>
      </c>
      <c r="L1200" s="243">
        <v>17</v>
      </c>
      <c r="M1200" s="243">
        <v>25</v>
      </c>
      <c r="N1200" s="243">
        <v>22</v>
      </c>
      <c r="O1200" s="253">
        <v>45</v>
      </c>
    </row>
    <row r="1201" spans="1:15">
      <c r="A1201" s="242" t="s">
        <v>70</v>
      </c>
      <c r="B1201" s="43" t="s">
        <v>4</v>
      </c>
      <c r="C1201" s="15">
        <v>1</v>
      </c>
      <c r="D1201" s="244">
        <v>0</v>
      </c>
      <c r="E1201" s="244">
        <v>0</v>
      </c>
      <c r="F1201" s="244">
        <v>0</v>
      </c>
      <c r="G1201" s="244">
        <v>0</v>
      </c>
      <c r="H1201" s="244">
        <v>0</v>
      </c>
      <c r="I1201" s="244">
        <v>0</v>
      </c>
      <c r="J1201" s="244">
        <v>0</v>
      </c>
      <c r="K1201" s="244">
        <v>0</v>
      </c>
      <c r="L1201" s="244">
        <v>0</v>
      </c>
      <c r="M1201" s="244">
        <v>0</v>
      </c>
      <c r="N1201" s="244">
        <v>0</v>
      </c>
      <c r="O1201" s="254">
        <v>1</v>
      </c>
    </row>
    <row r="1202" spans="1:15">
      <c r="A1202" s="240" t="s">
        <v>70</v>
      </c>
      <c r="B1202" s="47" t="s">
        <v>5</v>
      </c>
      <c r="C1202" s="12">
        <v>0.003690036900369</v>
      </c>
      <c r="D1202" s="241">
        <v>0</v>
      </c>
      <c r="E1202" s="241">
        <v>0</v>
      </c>
      <c r="F1202" s="241">
        <v>0</v>
      </c>
      <c r="G1202" s="241">
        <v>0</v>
      </c>
      <c r="H1202" s="241">
        <v>0</v>
      </c>
      <c r="I1202" s="241">
        <v>0</v>
      </c>
      <c r="J1202" s="241">
        <v>0</v>
      </c>
      <c r="K1202" s="241">
        <v>0</v>
      </c>
      <c r="L1202" s="241">
        <v>0</v>
      </c>
      <c r="M1202" s="241">
        <v>0</v>
      </c>
      <c r="N1202" s="241">
        <v>0</v>
      </c>
      <c r="O1202" s="252">
        <v>0.0222222222222222</v>
      </c>
    </row>
    <row r="1203" spans="1:15">
      <c r="A1203" s="242" t="s">
        <v>70</v>
      </c>
      <c r="B1203" s="43" t="s">
        <v>6</v>
      </c>
      <c r="C1203" s="15">
        <v>1</v>
      </c>
      <c r="D1203" s="244">
        <v>0</v>
      </c>
      <c r="E1203" s="244">
        <v>0</v>
      </c>
      <c r="F1203" s="244">
        <v>0</v>
      </c>
      <c r="G1203" s="244">
        <v>0</v>
      </c>
      <c r="H1203" s="244">
        <v>0</v>
      </c>
      <c r="I1203" s="244">
        <v>1</v>
      </c>
      <c r="J1203" s="244">
        <v>0</v>
      </c>
      <c r="K1203" s="244">
        <v>0</v>
      </c>
      <c r="L1203" s="244">
        <v>0</v>
      </c>
      <c r="M1203" s="244">
        <v>0</v>
      </c>
      <c r="N1203" s="244">
        <v>0</v>
      </c>
      <c r="O1203" s="254">
        <v>0</v>
      </c>
    </row>
    <row r="1204" ht="14.25" spans="1:15">
      <c r="A1204" s="245" t="s">
        <v>70</v>
      </c>
      <c r="B1204" s="52" t="s">
        <v>64</v>
      </c>
      <c r="C1204" s="19">
        <v>1</v>
      </c>
      <c r="D1204" s="246">
        <v>0</v>
      </c>
      <c r="E1204" s="246">
        <v>0</v>
      </c>
      <c r="F1204" s="246">
        <v>0</v>
      </c>
      <c r="G1204" s="246">
        <v>0</v>
      </c>
      <c r="H1204" s="246">
        <v>0</v>
      </c>
      <c r="I1204" s="246">
        <v>0</v>
      </c>
      <c r="J1204" s="246">
        <v>0</v>
      </c>
      <c r="K1204" s="246">
        <v>0</v>
      </c>
      <c r="L1204" s="246">
        <v>0</v>
      </c>
      <c r="M1204" s="246">
        <v>0</v>
      </c>
      <c r="N1204" s="246">
        <v>0</v>
      </c>
      <c r="O1204" s="255">
        <v>0</v>
      </c>
    </row>
    <row r="1205" spans="1:15">
      <c r="A1205" s="240" t="s">
        <v>26</v>
      </c>
      <c r="B1205" s="47" t="s">
        <v>55</v>
      </c>
      <c r="C1205" s="12">
        <v>0.52410166520596</v>
      </c>
      <c r="D1205" s="241">
        <v>0.55241935483871</v>
      </c>
      <c r="E1205" s="241">
        <v>0.611111111111111</v>
      </c>
      <c r="F1205" s="241">
        <v>0.472727272727273</v>
      </c>
      <c r="G1205" s="241">
        <v>0.546153846153846</v>
      </c>
      <c r="H1205" s="241">
        <v>0.58</v>
      </c>
      <c r="I1205" s="241">
        <v>0.549586776859504</v>
      </c>
      <c r="J1205" s="241">
        <v>0.480582524271845</v>
      </c>
      <c r="K1205" s="241">
        <v>0.55607476635514</v>
      </c>
      <c r="L1205" s="241">
        <v>0.534090909090909</v>
      </c>
      <c r="M1205" s="241">
        <v>0.486363636363636</v>
      </c>
      <c r="N1205" s="241">
        <v>0.521186440677966</v>
      </c>
      <c r="O1205" s="252">
        <v>0.457692307692308</v>
      </c>
    </row>
    <row r="1206" spans="1:15">
      <c r="A1206" s="242" t="s">
        <v>26</v>
      </c>
      <c r="B1206" s="43" t="s">
        <v>57</v>
      </c>
      <c r="C1206" s="15">
        <v>2282</v>
      </c>
      <c r="D1206" s="243">
        <v>248</v>
      </c>
      <c r="E1206" s="243">
        <v>90</v>
      </c>
      <c r="F1206" s="243">
        <v>110</v>
      </c>
      <c r="G1206" s="243">
        <v>130</v>
      </c>
      <c r="H1206" s="243">
        <v>150</v>
      </c>
      <c r="I1206" s="243">
        <v>242</v>
      </c>
      <c r="J1206" s="243">
        <v>206</v>
      </c>
      <c r="K1206" s="243">
        <v>214</v>
      </c>
      <c r="L1206" s="243">
        <v>176</v>
      </c>
      <c r="M1206" s="243">
        <v>220</v>
      </c>
      <c r="N1206" s="243">
        <v>236</v>
      </c>
      <c r="O1206" s="253">
        <v>260</v>
      </c>
    </row>
    <row r="1207" spans="1:15">
      <c r="A1207" s="240" t="s">
        <v>26</v>
      </c>
      <c r="B1207" s="47" t="s">
        <v>59</v>
      </c>
      <c r="C1207" s="15">
        <v>1196</v>
      </c>
      <c r="D1207" s="243">
        <v>137</v>
      </c>
      <c r="E1207" s="243">
        <v>55</v>
      </c>
      <c r="F1207" s="243">
        <v>52</v>
      </c>
      <c r="G1207" s="243">
        <v>71</v>
      </c>
      <c r="H1207" s="243">
        <v>87</v>
      </c>
      <c r="I1207" s="243">
        <v>133</v>
      </c>
      <c r="J1207" s="243">
        <v>99</v>
      </c>
      <c r="K1207" s="243">
        <v>119</v>
      </c>
      <c r="L1207" s="243">
        <v>94</v>
      </c>
      <c r="M1207" s="243">
        <v>107</v>
      </c>
      <c r="N1207" s="243">
        <v>123</v>
      </c>
      <c r="O1207" s="253">
        <v>119</v>
      </c>
    </row>
    <row r="1208" spans="1:15">
      <c r="A1208" s="242" t="s">
        <v>26</v>
      </c>
      <c r="B1208" s="43" t="s">
        <v>4</v>
      </c>
      <c r="C1208" s="15">
        <v>28</v>
      </c>
      <c r="D1208" s="244">
        <v>0</v>
      </c>
      <c r="E1208" s="244">
        <v>0</v>
      </c>
      <c r="F1208" s="244">
        <v>0</v>
      </c>
      <c r="G1208" s="244">
        <v>0</v>
      </c>
      <c r="H1208" s="244">
        <v>2</v>
      </c>
      <c r="I1208" s="244">
        <v>1</v>
      </c>
      <c r="J1208" s="244">
        <v>3</v>
      </c>
      <c r="K1208" s="244">
        <v>2</v>
      </c>
      <c r="L1208" s="244">
        <v>5</v>
      </c>
      <c r="M1208" s="244">
        <v>5</v>
      </c>
      <c r="N1208" s="244">
        <v>5</v>
      </c>
      <c r="O1208" s="254">
        <v>5</v>
      </c>
    </row>
    <row r="1209" spans="1:15">
      <c r="A1209" s="240" t="s">
        <v>26</v>
      </c>
      <c r="B1209" s="47" t="s">
        <v>5</v>
      </c>
      <c r="C1209" s="12">
        <v>0.0234113712374582</v>
      </c>
      <c r="D1209" s="241">
        <v>0</v>
      </c>
      <c r="E1209" s="241">
        <v>0</v>
      </c>
      <c r="F1209" s="241">
        <v>0</v>
      </c>
      <c r="G1209" s="241">
        <v>0</v>
      </c>
      <c r="H1209" s="241">
        <v>0.0229885057471264</v>
      </c>
      <c r="I1209" s="241">
        <v>0.0075187969924812</v>
      </c>
      <c r="J1209" s="241">
        <v>0.0303030303030303</v>
      </c>
      <c r="K1209" s="241">
        <v>0.0168067226890756</v>
      </c>
      <c r="L1209" s="241">
        <v>0.0531914893617021</v>
      </c>
      <c r="M1209" s="241">
        <v>0.0467289719626168</v>
      </c>
      <c r="N1209" s="241">
        <v>0.040650406504065</v>
      </c>
      <c r="O1209" s="252">
        <v>0.0420168067226891</v>
      </c>
    </row>
    <row r="1210" spans="1:15">
      <c r="A1210" s="242" t="s">
        <v>26</v>
      </c>
      <c r="B1210" s="43" t="s">
        <v>6</v>
      </c>
      <c r="C1210" s="15">
        <v>8</v>
      </c>
      <c r="D1210" s="244">
        <v>0</v>
      </c>
      <c r="E1210" s="244">
        <v>0</v>
      </c>
      <c r="F1210" s="244">
        <v>0</v>
      </c>
      <c r="G1210" s="244">
        <v>0</v>
      </c>
      <c r="H1210" s="244">
        <v>2</v>
      </c>
      <c r="I1210" s="244">
        <v>1</v>
      </c>
      <c r="J1210" s="244">
        <v>0</v>
      </c>
      <c r="K1210" s="244">
        <v>0</v>
      </c>
      <c r="L1210" s="244">
        <v>0</v>
      </c>
      <c r="M1210" s="244">
        <v>1</v>
      </c>
      <c r="N1210" s="244">
        <v>3</v>
      </c>
      <c r="O1210" s="254">
        <v>1</v>
      </c>
    </row>
    <row r="1211" ht="14.25" spans="1:15">
      <c r="A1211" s="245" t="s">
        <v>26</v>
      </c>
      <c r="B1211" s="52" t="s">
        <v>64</v>
      </c>
      <c r="C1211" s="19">
        <v>0.285714285714286</v>
      </c>
      <c r="D1211" s="250">
        <v>0</v>
      </c>
      <c r="E1211" s="250">
        <v>0</v>
      </c>
      <c r="F1211" s="250">
        <v>0</v>
      </c>
      <c r="G1211" s="250">
        <v>0</v>
      </c>
      <c r="H1211" s="250">
        <v>2</v>
      </c>
      <c r="I1211" s="250">
        <v>1</v>
      </c>
      <c r="J1211" s="250">
        <v>0</v>
      </c>
      <c r="K1211" s="250">
        <v>0</v>
      </c>
      <c r="L1211" s="250">
        <v>0</v>
      </c>
      <c r="M1211" s="250">
        <v>1</v>
      </c>
      <c r="N1211" s="250">
        <v>3</v>
      </c>
      <c r="O1211" s="257">
        <v>1</v>
      </c>
    </row>
    <row r="1212" spans="1:15">
      <c r="A1212" s="240" t="s">
        <v>71</v>
      </c>
      <c r="B1212" s="47" t="s">
        <v>55</v>
      </c>
      <c r="C1212" s="12">
        <v>0.0399429386590585</v>
      </c>
      <c r="D1212" s="241">
        <v>0.0517241379310345</v>
      </c>
      <c r="E1212" s="241">
        <v>0</v>
      </c>
      <c r="F1212" s="241">
        <v>0.111111111111111</v>
      </c>
      <c r="G1212" s="241">
        <v>0.0967741935483871</v>
      </c>
      <c r="H1212" s="241">
        <v>0.0307692307692308</v>
      </c>
      <c r="I1212" s="241">
        <v>0.00961538461538462</v>
      </c>
      <c r="J1212" s="241">
        <v>0</v>
      </c>
      <c r="K1212" s="241">
        <v>0.0615384615384615</v>
      </c>
      <c r="L1212" s="241">
        <v>0.0454545454545455</v>
      </c>
      <c r="M1212" s="241">
        <v>0</v>
      </c>
      <c r="N1212" s="241">
        <v>0.151515151515152</v>
      </c>
      <c r="O1212" s="252">
        <v>0</v>
      </c>
    </row>
    <row r="1213" spans="1:15">
      <c r="A1213" s="242" t="s">
        <v>71</v>
      </c>
      <c r="B1213" s="43" t="s">
        <v>57</v>
      </c>
      <c r="C1213" s="15">
        <v>701</v>
      </c>
      <c r="D1213" s="243">
        <v>58</v>
      </c>
      <c r="E1213" s="243">
        <v>33</v>
      </c>
      <c r="F1213" s="243">
        <v>18</v>
      </c>
      <c r="G1213" s="243">
        <v>31</v>
      </c>
      <c r="H1213" s="243">
        <v>65</v>
      </c>
      <c r="I1213" s="243">
        <v>104</v>
      </c>
      <c r="J1213" s="243">
        <v>56</v>
      </c>
      <c r="K1213" s="243">
        <v>65</v>
      </c>
      <c r="L1213" s="243">
        <v>66</v>
      </c>
      <c r="M1213" s="243">
        <v>55</v>
      </c>
      <c r="N1213" s="243">
        <v>66</v>
      </c>
      <c r="O1213" s="253">
        <v>84</v>
      </c>
    </row>
    <row r="1214" spans="1:15">
      <c r="A1214" s="240" t="s">
        <v>71</v>
      </c>
      <c r="B1214" s="47" t="s">
        <v>59</v>
      </c>
      <c r="C1214" s="15">
        <v>28</v>
      </c>
      <c r="D1214" s="243">
        <v>3</v>
      </c>
      <c r="E1214" s="243">
        <v>0</v>
      </c>
      <c r="F1214" s="243">
        <v>2</v>
      </c>
      <c r="G1214" s="243">
        <v>3</v>
      </c>
      <c r="H1214" s="243">
        <v>2</v>
      </c>
      <c r="I1214" s="243">
        <v>1</v>
      </c>
      <c r="J1214" s="243">
        <v>0</v>
      </c>
      <c r="K1214" s="243">
        <v>4</v>
      </c>
      <c r="L1214" s="243">
        <v>3</v>
      </c>
      <c r="M1214" s="243">
        <v>0</v>
      </c>
      <c r="N1214" s="243">
        <v>10</v>
      </c>
      <c r="O1214" s="253">
        <v>0</v>
      </c>
    </row>
    <row r="1215" spans="1:15">
      <c r="A1215" s="242" t="s">
        <v>71</v>
      </c>
      <c r="B1215" s="43" t="s">
        <v>4</v>
      </c>
      <c r="C1215" s="15">
        <v>21</v>
      </c>
      <c r="D1215" s="244">
        <v>2</v>
      </c>
      <c r="E1215" s="244">
        <v>2</v>
      </c>
      <c r="F1215" s="244">
        <v>0</v>
      </c>
      <c r="G1215" s="244">
        <v>2</v>
      </c>
      <c r="H1215" s="244">
        <v>2</v>
      </c>
      <c r="I1215" s="244">
        <v>3</v>
      </c>
      <c r="J1215" s="244">
        <v>2</v>
      </c>
      <c r="K1215" s="244">
        <v>1</v>
      </c>
      <c r="L1215" s="244">
        <v>2</v>
      </c>
      <c r="M1215" s="244">
        <v>0</v>
      </c>
      <c r="N1215" s="244">
        <v>1</v>
      </c>
      <c r="O1215" s="254">
        <v>4</v>
      </c>
    </row>
    <row r="1216" spans="1:15">
      <c r="A1216" s="240" t="s">
        <v>71</v>
      </c>
      <c r="B1216" s="47" t="s">
        <v>5</v>
      </c>
      <c r="C1216" s="12">
        <v>0.75</v>
      </c>
      <c r="D1216" s="241">
        <v>0.666666666666667</v>
      </c>
      <c r="E1216" s="241">
        <v>0</v>
      </c>
      <c r="F1216" s="241">
        <v>0</v>
      </c>
      <c r="G1216" s="241">
        <v>0.666666666666667</v>
      </c>
      <c r="H1216" s="241">
        <v>1</v>
      </c>
      <c r="I1216" s="241">
        <v>3</v>
      </c>
      <c r="J1216" s="241">
        <v>0</v>
      </c>
      <c r="K1216" s="241">
        <v>0.25</v>
      </c>
      <c r="L1216" s="241">
        <v>0.666666666666667</v>
      </c>
      <c r="M1216" s="241">
        <v>0</v>
      </c>
      <c r="N1216" s="241">
        <v>0.1</v>
      </c>
      <c r="O1216" s="252">
        <v>0</v>
      </c>
    </row>
    <row r="1217" spans="1:15">
      <c r="A1217" s="242" t="s">
        <v>71</v>
      </c>
      <c r="B1217" s="43" t="s">
        <v>6</v>
      </c>
      <c r="C1217" s="15">
        <v>5</v>
      </c>
      <c r="D1217" s="244">
        <v>0</v>
      </c>
      <c r="E1217" s="244">
        <v>0</v>
      </c>
      <c r="F1217" s="244">
        <v>0</v>
      </c>
      <c r="G1217" s="244">
        <v>1</v>
      </c>
      <c r="H1217" s="244">
        <v>0</v>
      </c>
      <c r="I1217" s="244">
        <v>0</v>
      </c>
      <c r="J1217" s="244">
        <v>1</v>
      </c>
      <c r="K1217" s="244">
        <v>0</v>
      </c>
      <c r="L1217" s="244">
        <v>2</v>
      </c>
      <c r="M1217" s="244">
        <v>0</v>
      </c>
      <c r="N1217" s="244">
        <v>0</v>
      </c>
      <c r="O1217" s="254">
        <v>1</v>
      </c>
    </row>
    <row r="1218" ht="14.25" spans="1:15">
      <c r="A1218" s="245" t="s">
        <v>71</v>
      </c>
      <c r="B1218" s="52" t="s">
        <v>64</v>
      </c>
      <c r="C1218" s="19">
        <v>0.238095238095238</v>
      </c>
      <c r="D1218" s="250">
        <v>0</v>
      </c>
      <c r="E1218" s="250">
        <v>0</v>
      </c>
      <c r="F1218" s="250">
        <v>0</v>
      </c>
      <c r="G1218" s="250">
        <v>1</v>
      </c>
      <c r="H1218" s="250">
        <v>0</v>
      </c>
      <c r="I1218" s="250">
        <v>0</v>
      </c>
      <c r="J1218" s="250">
        <v>1</v>
      </c>
      <c r="K1218" s="250">
        <v>0</v>
      </c>
      <c r="L1218" s="250">
        <v>2</v>
      </c>
      <c r="M1218" s="250">
        <v>0</v>
      </c>
      <c r="N1218" s="250">
        <v>0</v>
      </c>
      <c r="O1218" s="257">
        <v>1</v>
      </c>
    </row>
    <row r="1219" spans="1:15">
      <c r="A1219" s="240" t="s">
        <v>72</v>
      </c>
      <c r="B1219" s="47" t="s">
        <v>55</v>
      </c>
      <c r="C1219" s="12">
        <v>0.443359375</v>
      </c>
      <c r="D1219" s="241">
        <v>0.625</v>
      </c>
      <c r="E1219" s="241">
        <v>0.414893617021277</v>
      </c>
      <c r="F1219" s="241">
        <v>0.75</v>
      </c>
      <c r="G1219" s="241">
        <v>0.5</v>
      </c>
      <c r="H1219" s="241">
        <v>0.461538461538462</v>
      </c>
      <c r="I1219" s="241">
        <v>0.314814814814815</v>
      </c>
      <c r="J1219" s="241">
        <v>0.333333333333333</v>
      </c>
      <c r="K1219" s="241">
        <v>0.5</v>
      </c>
      <c r="L1219" s="241">
        <v>0.386363636363636</v>
      </c>
      <c r="M1219" s="241">
        <v>0.380952380952381</v>
      </c>
      <c r="N1219" s="241">
        <v>0.611111111111111</v>
      </c>
      <c r="O1219" s="252">
        <v>0.366666666666667</v>
      </c>
    </row>
    <row r="1220" spans="1:15">
      <c r="A1220" s="242" t="s">
        <v>72</v>
      </c>
      <c r="B1220" s="43" t="s">
        <v>57</v>
      </c>
      <c r="C1220" s="15">
        <v>512</v>
      </c>
      <c r="D1220" s="243">
        <v>24</v>
      </c>
      <c r="E1220" s="243">
        <v>94</v>
      </c>
      <c r="F1220" s="243">
        <v>12</v>
      </c>
      <c r="G1220" s="243">
        <v>22</v>
      </c>
      <c r="H1220" s="243">
        <v>52</v>
      </c>
      <c r="I1220" s="243">
        <v>54</v>
      </c>
      <c r="J1220" s="243">
        <v>42</v>
      </c>
      <c r="K1220" s="243">
        <v>42</v>
      </c>
      <c r="L1220" s="243">
        <v>44</v>
      </c>
      <c r="M1220" s="243">
        <v>42</v>
      </c>
      <c r="N1220" s="243">
        <v>54</v>
      </c>
      <c r="O1220" s="253">
        <v>30</v>
      </c>
    </row>
    <row r="1221" spans="1:15">
      <c r="A1221" s="240" t="s">
        <v>72</v>
      </c>
      <c r="B1221" s="47" t="s">
        <v>59</v>
      </c>
      <c r="C1221" s="15">
        <v>227</v>
      </c>
      <c r="D1221" s="243">
        <v>15</v>
      </c>
      <c r="E1221" s="243">
        <v>39</v>
      </c>
      <c r="F1221" s="243">
        <v>9</v>
      </c>
      <c r="G1221" s="243">
        <v>11</v>
      </c>
      <c r="H1221" s="243">
        <v>24</v>
      </c>
      <c r="I1221" s="243">
        <v>17</v>
      </c>
      <c r="J1221" s="243">
        <v>14</v>
      </c>
      <c r="K1221" s="243">
        <v>21</v>
      </c>
      <c r="L1221" s="243">
        <v>17</v>
      </c>
      <c r="M1221" s="243">
        <v>16</v>
      </c>
      <c r="N1221" s="243">
        <v>33</v>
      </c>
      <c r="O1221" s="253">
        <v>11</v>
      </c>
    </row>
    <row r="1222" spans="1:15">
      <c r="A1222" s="242" t="s">
        <v>72</v>
      </c>
      <c r="B1222" s="43" t="s">
        <v>4</v>
      </c>
      <c r="C1222" s="15">
        <v>4</v>
      </c>
      <c r="D1222" s="244">
        <v>0</v>
      </c>
      <c r="E1222" s="244">
        <v>0</v>
      </c>
      <c r="F1222" s="244">
        <v>0</v>
      </c>
      <c r="G1222" s="244">
        <v>0</v>
      </c>
      <c r="H1222" s="244">
        <v>1</v>
      </c>
      <c r="I1222" s="244">
        <v>0</v>
      </c>
      <c r="J1222" s="244">
        <v>0</v>
      </c>
      <c r="K1222" s="244">
        <v>1</v>
      </c>
      <c r="L1222" s="244">
        <v>0</v>
      </c>
      <c r="M1222" s="244">
        <v>1</v>
      </c>
      <c r="N1222" s="244">
        <v>1</v>
      </c>
      <c r="O1222" s="254">
        <v>0</v>
      </c>
    </row>
    <row r="1223" spans="1:15">
      <c r="A1223" s="240" t="s">
        <v>72</v>
      </c>
      <c r="B1223" s="47" t="s">
        <v>5</v>
      </c>
      <c r="C1223" s="12">
        <v>0.0176211453744493</v>
      </c>
      <c r="D1223" s="241">
        <v>0</v>
      </c>
      <c r="E1223" s="241">
        <v>0</v>
      </c>
      <c r="F1223" s="241">
        <v>0</v>
      </c>
      <c r="G1223" s="241">
        <v>0</v>
      </c>
      <c r="H1223" s="241">
        <v>0.0416666666666667</v>
      </c>
      <c r="I1223" s="241">
        <v>0</v>
      </c>
      <c r="J1223" s="241">
        <v>0</v>
      </c>
      <c r="K1223" s="241">
        <v>0.0476190476190476</v>
      </c>
      <c r="L1223" s="241">
        <v>0</v>
      </c>
      <c r="M1223" s="241">
        <v>0.0625</v>
      </c>
      <c r="N1223" s="241">
        <v>0.0303030303030303</v>
      </c>
      <c r="O1223" s="252">
        <v>0</v>
      </c>
    </row>
    <row r="1224" spans="1:15">
      <c r="A1224" s="242" t="s">
        <v>72</v>
      </c>
      <c r="B1224" s="43" t="s">
        <v>6</v>
      </c>
      <c r="C1224" s="15">
        <v>2</v>
      </c>
      <c r="D1224" s="244">
        <v>0</v>
      </c>
      <c r="E1224" s="244">
        <v>0</v>
      </c>
      <c r="F1224" s="244">
        <v>0</v>
      </c>
      <c r="G1224" s="244">
        <v>0</v>
      </c>
      <c r="H1224" s="244">
        <v>1</v>
      </c>
      <c r="I1224" s="244">
        <v>0</v>
      </c>
      <c r="J1224" s="244">
        <v>0</v>
      </c>
      <c r="K1224" s="244">
        <v>0</v>
      </c>
      <c r="L1224" s="244">
        <v>0</v>
      </c>
      <c r="M1224" s="244">
        <v>0</v>
      </c>
      <c r="N1224" s="244">
        <v>0</v>
      </c>
      <c r="O1224" s="254">
        <v>1</v>
      </c>
    </row>
    <row r="1225" ht="14.25" spans="1:15">
      <c r="A1225" s="245" t="s">
        <v>72</v>
      </c>
      <c r="B1225" s="52" t="s">
        <v>64</v>
      </c>
      <c r="C1225" s="19">
        <v>0.5</v>
      </c>
      <c r="D1225" s="250">
        <v>0</v>
      </c>
      <c r="E1225" s="250">
        <v>0</v>
      </c>
      <c r="F1225" s="250">
        <v>0</v>
      </c>
      <c r="G1225" s="250">
        <v>0</v>
      </c>
      <c r="H1225" s="250">
        <v>1</v>
      </c>
      <c r="I1225" s="250">
        <v>0</v>
      </c>
      <c r="J1225" s="250">
        <v>0</v>
      </c>
      <c r="K1225" s="250">
        <v>0</v>
      </c>
      <c r="L1225" s="250">
        <v>0</v>
      </c>
      <c r="M1225" s="250">
        <v>0</v>
      </c>
      <c r="N1225" s="250">
        <v>0</v>
      </c>
      <c r="O1225" s="257">
        <v>1</v>
      </c>
    </row>
    <row r="1226" ht="14.25" spans="1:15">
      <c r="A1226" s="237">
        <v>45038</v>
      </c>
      <c r="B1226" s="237"/>
      <c r="C1226" s="237"/>
      <c r="D1226" s="237"/>
      <c r="E1226" s="237"/>
      <c r="F1226" s="237"/>
      <c r="G1226" s="237"/>
      <c r="H1226" s="237"/>
      <c r="I1226" s="237"/>
      <c r="J1226" s="237"/>
      <c r="K1226" s="237"/>
      <c r="L1226" s="237"/>
      <c r="M1226" s="237"/>
      <c r="N1226" s="237"/>
      <c r="O1226" s="237"/>
    </row>
    <row r="1227" spans="1:15">
      <c r="A1227" s="56" t="s">
        <v>1</v>
      </c>
      <c r="B1227" s="238"/>
      <c r="C1227" s="8" t="s">
        <v>42</v>
      </c>
      <c r="D1227" s="239" t="s">
        <v>43</v>
      </c>
      <c r="E1227" s="239" t="s">
        <v>44</v>
      </c>
      <c r="F1227" s="239" t="s">
        <v>45</v>
      </c>
      <c r="G1227" s="239" t="s">
        <v>46</v>
      </c>
      <c r="H1227" s="239" t="s">
        <v>47</v>
      </c>
      <c r="I1227" s="239" t="s">
        <v>48</v>
      </c>
      <c r="J1227" s="239" t="s">
        <v>49</v>
      </c>
      <c r="K1227" s="239" t="s">
        <v>50</v>
      </c>
      <c r="L1227" s="239" t="s">
        <v>51</v>
      </c>
      <c r="M1227" s="239" t="s">
        <v>52</v>
      </c>
      <c r="N1227" s="239" t="s">
        <v>53</v>
      </c>
      <c r="O1227" s="251" t="s">
        <v>54</v>
      </c>
    </row>
    <row r="1228" spans="1:15">
      <c r="A1228" s="240" t="s">
        <v>22</v>
      </c>
      <c r="B1228" s="47" t="s">
        <v>55</v>
      </c>
      <c r="C1228" s="12">
        <v>0.301788170563962</v>
      </c>
      <c r="D1228" s="241">
        <v>0.10462962962963</v>
      </c>
      <c r="E1228" s="241">
        <v>0.142335766423358</v>
      </c>
      <c r="F1228" s="241">
        <v>0.298245614035088</v>
      </c>
      <c r="G1228" s="241">
        <v>0.462068965517241</v>
      </c>
      <c r="H1228" s="241">
        <v>0.641509433962264</v>
      </c>
      <c r="I1228" s="241">
        <v>0.555555555555556</v>
      </c>
      <c r="J1228" s="241">
        <v>0.437810945273632</v>
      </c>
      <c r="K1228" s="241">
        <v>0.543689320388349</v>
      </c>
      <c r="L1228" s="241">
        <v>0.445714285714286</v>
      </c>
      <c r="M1228" s="241">
        <v>0.412037037037037</v>
      </c>
      <c r="N1228" s="241">
        <v>0.390804597701149</v>
      </c>
      <c r="O1228" s="252">
        <v>0.408360128617363</v>
      </c>
    </row>
    <row r="1229" spans="1:15">
      <c r="A1229" s="242" t="s">
        <v>22</v>
      </c>
      <c r="B1229" s="43" t="s">
        <v>57</v>
      </c>
      <c r="C1229" s="15">
        <v>3635</v>
      </c>
      <c r="D1229" s="243">
        <v>1080</v>
      </c>
      <c r="E1229" s="243">
        <v>548</v>
      </c>
      <c r="F1229" s="243">
        <v>171</v>
      </c>
      <c r="G1229" s="243">
        <v>145</v>
      </c>
      <c r="H1229" s="243">
        <v>159</v>
      </c>
      <c r="I1229" s="243">
        <v>162</v>
      </c>
      <c r="J1229" s="243">
        <v>201</v>
      </c>
      <c r="K1229" s="243">
        <v>206</v>
      </c>
      <c r="L1229" s="243">
        <v>175</v>
      </c>
      <c r="M1229" s="243">
        <v>216</v>
      </c>
      <c r="N1229" s="243">
        <v>261</v>
      </c>
      <c r="O1229" s="253">
        <v>311</v>
      </c>
    </row>
    <row r="1230" spans="1:15">
      <c r="A1230" s="240" t="s">
        <v>22</v>
      </c>
      <c r="B1230" s="47" t="s">
        <v>59</v>
      </c>
      <c r="C1230" s="15">
        <v>1097</v>
      </c>
      <c r="D1230" s="243">
        <v>113</v>
      </c>
      <c r="E1230" s="243">
        <v>78</v>
      </c>
      <c r="F1230" s="243">
        <v>51</v>
      </c>
      <c r="G1230" s="243">
        <v>67</v>
      </c>
      <c r="H1230" s="243">
        <v>102</v>
      </c>
      <c r="I1230" s="243">
        <v>90</v>
      </c>
      <c r="J1230" s="243">
        <v>88</v>
      </c>
      <c r="K1230" s="243">
        <v>112</v>
      </c>
      <c r="L1230" s="243">
        <v>78</v>
      </c>
      <c r="M1230" s="243">
        <v>89</v>
      </c>
      <c r="N1230" s="243">
        <v>102</v>
      </c>
      <c r="O1230" s="253">
        <v>127</v>
      </c>
    </row>
    <row r="1231" spans="1:15">
      <c r="A1231" s="242" t="s">
        <v>22</v>
      </c>
      <c r="B1231" s="43" t="s">
        <v>4</v>
      </c>
      <c r="C1231" s="15">
        <v>52</v>
      </c>
      <c r="D1231" s="244">
        <v>6</v>
      </c>
      <c r="E1231" s="244">
        <v>5</v>
      </c>
      <c r="F1231" s="244">
        <v>3</v>
      </c>
      <c r="G1231" s="244">
        <v>1</v>
      </c>
      <c r="H1231" s="244">
        <v>3</v>
      </c>
      <c r="I1231" s="244">
        <v>4</v>
      </c>
      <c r="J1231" s="244">
        <v>2</v>
      </c>
      <c r="K1231" s="244">
        <v>1</v>
      </c>
      <c r="L1231" s="244">
        <v>6</v>
      </c>
      <c r="M1231" s="244">
        <v>4</v>
      </c>
      <c r="N1231" s="244">
        <v>6</v>
      </c>
      <c r="O1231" s="254">
        <v>11</v>
      </c>
    </row>
    <row r="1232" spans="1:15">
      <c r="A1232" s="240" t="s">
        <v>22</v>
      </c>
      <c r="B1232" s="47" t="s">
        <v>5</v>
      </c>
      <c r="C1232" s="12">
        <v>0.0474020054694622</v>
      </c>
      <c r="D1232" s="241">
        <v>0.0530973451327434</v>
      </c>
      <c r="E1232" s="241">
        <v>0.0641025641025641</v>
      </c>
      <c r="F1232" s="241">
        <v>0.0588235294117647</v>
      </c>
      <c r="G1232" s="241">
        <v>0.0149253731343284</v>
      </c>
      <c r="H1232" s="241">
        <v>0.0294117647058824</v>
      </c>
      <c r="I1232" s="241">
        <v>0.0444444444444444</v>
      </c>
      <c r="J1232" s="241">
        <v>0.0227272727272727</v>
      </c>
      <c r="K1232" s="241">
        <v>0.00892857142857143</v>
      </c>
      <c r="L1232" s="241">
        <v>0.0769230769230769</v>
      </c>
      <c r="M1232" s="241">
        <v>0.0449438202247191</v>
      </c>
      <c r="N1232" s="241">
        <v>0.0588235294117647</v>
      </c>
      <c r="O1232" s="252">
        <v>0.0866141732283465</v>
      </c>
    </row>
    <row r="1233" spans="1:15">
      <c r="A1233" s="242" t="s">
        <v>22</v>
      </c>
      <c r="B1233" s="43" t="s">
        <v>6</v>
      </c>
      <c r="C1233" s="15">
        <v>22</v>
      </c>
      <c r="D1233" s="244">
        <v>1</v>
      </c>
      <c r="E1233" s="244">
        <v>2</v>
      </c>
      <c r="F1233" s="244">
        <v>1</v>
      </c>
      <c r="G1233" s="244">
        <v>0</v>
      </c>
      <c r="H1233" s="244">
        <v>1</v>
      </c>
      <c r="I1233" s="244">
        <v>3</v>
      </c>
      <c r="J1233" s="244">
        <v>1</v>
      </c>
      <c r="K1233" s="244">
        <v>1</v>
      </c>
      <c r="L1233" s="244">
        <v>2</v>
      </c>
      <c r="M1233" s="244">
        <v>2</v>
      </c>
      <c r="N1233" s="244">
        <v>3</v>
      </c>
      <c r="O1233" s="254">
        <v>5</v>
      </c>
    </row>
    <row r="1234" ht="14.25" spans="1:15">
      <c r="A1234" s="245" t="s">
        <v>22</v>
      </c>
      <c r="B1234" s="52" t="s">
        <v>64</v>
      </c>
      <c r="C1234" s="19">
        <v>0.423076923076923</v>
      </c>
      <c r="D1234" s="246">
        <v>0.166666666666667</v>
      </c>
      <c r="E1234" s="246">
        <v>0.4</v>
      </c>
      <c r="F1234" s="246">
        <v>0.333333333333333</v>
      </c>
      <c r="G1234" s="246">
        <v>0</v>
      </c>
      <c r="H1234" s="246">
        <v>0.333333333333333</v>
      </c>
      <c r="I1234" s="246">
        <v>0.75</v>
      </c>
      <c r="J1234" s="246">
        <v>0.5</v>
      </c>
      <c r="K1234" s="246">
        <v>1</v>
      </c>
      <c r="L1234" s="246">
        <v>0.333333333333333</v>
      </c>
      <c r="M1234" s="246">
        <v>0.5</v>
      </c>
      <c r="N1234" s="246">
        <v>0.5</v>
      </c>
      <c r="O1234" s="255">
        <v>0.454545454545455</v>
      </c>
    </row>
    <row r="1235" spans="1:15">
      <c r="A1235" s="247" t="s">
        <v>66</v>
      </c>
      <c r="B1235" s="248" t="s">
        <v>55</v>
      </c>
      <c r="C1235" s="12">
        <v>0.15162037037037</v>
      </c>
      <c r="D1235" s="249">
        <v>0.121827411167513</v>
      </c>
      <c r="E1235" s="249">
        <v>0.0647887323943662</v>
      </c>
      <c r="F1235" s="249">
        <v>0.0413533834586466</v>
      </c>
      <c r="G1235" s="249">
        <v>0.152046783625731</v>
      </c>
      <c r="H1235" s="249">
        <v>0.131707317073171</v>
      </c>
      <c r="I1235" s="249">
        <v>0.179245283018868</v>
      </c>
      <c r="J1235" s="249">
        <v>0.176190476190476</v>
      </c>
      <c r="K1235" s="249">
        <v>0.171875</v>
      </c>
      <c r="L1235" s="249">
        <v>0.274074074074074</v>
      </c>
      <c r="M1235" s="249">
        <v>0.228813559322034</v>
      </c>
      <c r="N1235" s="249">
        <v>0.291970802919708</v>
      </c>
      <c r="O1235" s="256">
        <v>0.233502538071066</v>
      </c>
    </row>
    <row r="1236" spans="1:15">
      <c r="A1236" s="242" t="s">
        <v>66</v>
      </c>
      <c r="B1236" s="43" t="s">
        <v>57</v>
      </c>
      <c r="C1236" s="15">
        <v>2592</v>
      </c>
      <c r="D1236" s="243">
        <v>394</v>
      </c>
      <c r="E1236" s="243">
        <v>355</v>
      </c>
      <c r="F1236" s="243">
        <v>266</v>
      </c>
      <c r="G1236" s="243">
        <v>171</v>
      </c>
      <c r="H1236" s="243">
        <v>205</v>
      </c>
      <c r="I1236" s="243">
        <v>212</v>
      </c>
      <c r="J1236" s="243">
        <v>210</v>
      </c>
      <c r="K1236" s="243">
        <v>192</v>
      </c>
      <c r="L1236" s="243">
        <v>135</v>
      </c>
      <c r="M1236" s="243">
        <v>118</v>
      </c>
      <c r="N1236" s="243">
        <v>137</v>
      </c>
      <c r="O1236" s="253">
        <v>197</v>
      </c>
    </row>
    <row r="1237" spans="1:15">
      <c r="A1237" s="240" t="s">
        <v>66</v>
      </c>
      <c r="B1237" s="47" t="s">
        <v>59</v>
      </c>
      <c r="C1237" s="15">
        <v>393</v>
      </c>
      <c r="D1237" s="243">
        <v>48</v>
      </c>
      <c r="E1237" s="243">
        <v>23</v>
      </c>
      <c r="F1237" s="243">
        <v>11</v>
      </c>
      <c r="G1237" s="243">
        <v>26</v>
      </c>
      <c r="H1237" s="243">
        <v>27</v>
      </c>
      <c r="I1237" s="243">
        <v>38</v>
      </c>
      <c r="J1237" s="243">
        <v>37</v>
      </c>
      <c r="K1237" s="243">
        <v>33</v>
      </c>
      <c r="L1237" s="243">
        <v>37</v>
      </c>
      <c r="M1237" s="243">
        <v>27</v>
      </c>
      <c r="N1237" s="243">
        <v>40</v>
      </c>
      <c r="O1237" s="253">
        <v>46</v>
      </c>
    </row>
    <row r="1238" spans="1:15">
      <c r="A1238" s="242" t="s">
        <v>66</v>
      </c>
      <c r="B1238" s="43" t="s">
        <v>4</v>
      </c>
      <c r="C1238" s="15">
        <v>22</v>
      </c>
      <c r="D1238" s="244">
        <v>5</v>
      </c>
      <c r="E1238" s="244">
        <v>0</v>
      </c>
      <c r="F1238" s="244">
        <v>1</v>
      </c>
      <c r="G1238" s="244">
        <v>0</v>
      </c>
      <c r="H1238" s="244">
        <v>3</v>
      </c>
      <c r="I1238" s="244">
        <v>1</v>
      </c>
      <c r="J1238" s="244">
        <v>4</v>
      </c>
      <c r="K1238" s="244">
        <v>1</v>
      </c>
      <c r="L1238" s="244">
        <v>2</v>
      </c>
      <c r="M1238" s="244">
        <v>0</v>
      </c>
      <c r="N1238" s="244">
        <v>0</v>
      </c>
      <c r="O1238" s="254">
        <v>5</v>
      </c>
    </row>
    <row r="1239" spans="1:15">
      <c r="A1239" s="240" t="s">
        <v>66</v>
      </c>
      <c r="B1239" s="47" t="s">
        <v>5</v>
      </c>
      <c r="C1239" s="12">
        <v>0.0559796437659033</v>
      </c>
      <c r="D1239" s="241">
        <v>0.104166666666667</v>
      </c>
      <c r="E1239" s="241">
        <v>0</v>
      </c>
      <c r="F1239" s="241">
        <v>0.0909090909090909</v>
      </c>
      <c r="G1239" s="241">
        <v>0</v>
      </c>
      <c r="H1239" s="241">
        <v>0.111111111111111</v>
      </c>
      <c r="I1239" s="241">
        <v>0.0263157894736842</v>
      </c>
      <c r="J1239" s="241">
        <v>0.108108108108108</v>
      </c>
      <c r="K1239" s="241">
        <v>0.0303030303030303</v>
      </c>
      <c r="L1239" s="241">
        <v>0.0540540540540541</v>
      </c>
      <c r="M1239" s="241">
        <v>0</v>
      </c>
      <c r="N1239" s="241">
        <v>0</v>
      </c>
      <c r="O1239" s="252">
        <v>0.108695652173913</v>
      </c>
    </row>
    <row r="1240" spans="1:15">
      <c r="A1240" s="242" t="s">
        <v>66</v>
      </c>
      <c r="B1240" s="43" t="s">
        <v>6</v>
      </c>
      <c r="C1240" s="15">
        <v>7</v>
      </c>
      <c r="D1240" s="244">
        <v>0</v>
      </c>
      <c r="E1240" s="244">
        <v>0</v>
      </c>
      <c r="F1240" s="244">
        <v>0</v>
      </c>
      <c r="G1240" s="244">
        <v>0</v>
      </c>
      <c r="H1240" s="244">
        <v>0</v>
      </c>
      <c r="I1240" s="244">
        <v>2</v>
      </c>
      <c r="J1240" s="244">
        <v>0</v>
      </c>
      <c r="K1240" s="244">
        <v>0</v>
      </c>
      <c r="L1240" s="244">
        <v>1</v>
      </c>
      <c r="M1240" s="244">
        <v>0</v>
      </c>
      <c r="N1240" s="244">
        <v>0</v>
      </c>
      <c r="O1240" s="254">
        <v>4</v>
      </c>
    </row>
    <row r="1241" ht="14.25" spans="1:15">
      <c r="A1241" s="245" t="s">
        <v>66</v>
      </c>
      <c r="B1241" s="52" t="s">
        <v>64</v>
      </c>
      <c r="C1241" s="19">
        <v>0.318181818181818</v>
      </c>
      <c r="D1241" s="246">
        <v>0</v>
      </c>
      <c r="E1241" s="246">
        <v>0</v>
      </c>
      <c r="F1241" s="246">
        <v>0</v>
      </c>
      <c r="G1241" s="246">
        <v>0</v>
      </c>
      <c r="H1241" s="246">
        <v>0</v>
      </c>
      <c r="I1241" s="246">
        <v>2</v>
      </c>
      <c r="J1241" s="246">
        <v>0</v>
      </c>
      <c r="K1241" s="246">
        <v>0</v>
      </c>
      <c r="L1241" s="246">
        <v>0.5</v>
      </c>
      <c r="M1241" s="246">
        <v>0</v>
      </c>
      <c r="N1241" s="246">
        <v>0</v>
      </c>
      <c r="O1241" s="255">
        <v>0.8</v>
      </c>
    </row>
    <row r="1242" spans="1:15">
      <c r="A1242" s="240" t="s">
        <v>67</v>
      </c>
      <c r="B1242" s="47" t="s">
        <v>55</v>
      </c>
      <c r="C1242" s="12">
        <v>0.195691202872531</v>
      </c>
      <c r="D1242" s="241">
        <v>0.190954773869347</v>
      </c>
      <c r="E1242" s="241">
        <v>0.227272727272727</v>
      </c>
      <c r="F1242" s="241">
        <v>0.203703703703704</v>
      </c>
      <c r="G1242" s="241">
        <v>0.253731343283582</v>
      </c>
      <c r="H1242" s="241">
        <v>0.237226277372263</v>
      </c>
      <c r="I1242" s="241">
        <v>0.217241379310345</v>
      </c>
      <c r="J1242" s="241">
        <v>0.167721518987342</v>
      </c>
      <c r="K1242" s="241">
        <v>0.179411764705882</v>
      </c>
      <c r="L1242" s="241">
        <v>0.201986754966887</v>
      </c>
      <c r="M1242" s="241">
        <v>0.264957264957265</v>
      </c>
      <c r="N1242" s="241">
        <v>0.175862068965517</v>
      </c>
      <c r="O1242" s="252">
        <v>0.1375</v>
      </c>
    </row>
    <row r="1243" spans="1:15">
      <c r="A1243" s="242" t="s">
        <v>67</v>
      </c>
      <c r="B1243" s="43" t="s">
        <v>57</v>
      </c>
      <c r="C1243" s="15">
        <v>3342</v>
      </c>
      <c r="D1243" s="243">
        <v>398</v>
      </c>
      <c r="E1243" s="243">
        <v>176</v>
      </c>
      <c r="F1243" s="243">
        <v>108</v>
      </c>
      <c r="G1243" s="243">
        <v>134</v>
      </c>
      <c r="H1243" s="243">
        <v>274</v>
      </c>
      <c r="I1243" s="243">
        <v>290</v>
      </c>
      <c r="J1243" s="243">
        <v>316</v>
      </c>
      <c r="K1243" s="243">
        <v>340</v>
      </c>
      <c r="L1243" s="243">
        <v>302</v>
      </c>
      <c r="M1243" s="243">
        <v>234</v>
      </c>
      <c r="N1243" s="243">
        <v>290</v>
      </c>
      <c r="O1243" s="253">
        <v>480</v>
      </c>
    </row>
    <row r="1244" spans="1:15">
      <c r="A1244" s="240" t="s">
        <v>67</v>
      </c>
      <c r="B1244" s="47" t="s">
        <v>59</v>
      </c>
      <c r="C1244" s="15">
        <v>654</v>
      </c>
      <c r="D1244" s="243">
        <v>76</v>
      </c>
      <c r="E1244" s="243">
        <v>40</v>
      </c>
      <c r="F1244" s="243">
        <v>22</v>
      </c>
      <c r="G1244" s="243">
        <v>34</v>
      </c>
      <c r="H1244" s="243">
        <v>65</v>
      </c>
      <c r="I1244" s="243">
        <v>63</v>
      </c>
      <c r="J1244" s="243">
        <v>53</v>
      </c>
      <c r="K1244" s="243">
        <v>61</v>
      </c>
      <c r="L1244" s="243">
        <v>61</v>
      </c>
      <c r="M1244" s="243">
        <v>62</v>
      </c>
      <c r="N1244" s="243">
        <v>51</v>
      </c>
      <c r="O1244" s="253">
        <v>66</v>
      </c>
    </row>
    <row r="1245" spans="1:15">
      <c r="A1245" s="242" t="s">
        <v>67</v>
      </c>
      <c r="B1245" s="43" t="s">
        <v>4</v>
      </c>
      <c r="C1245" s="15">
        <v>35</v>
      </c>
      <c r="D1245" s="244">
        <v>4</v>
      </c>
      <c r="E1245" s="244">
        <v>4</v>
      </c>
      <c r="F1245" s="244">
        <v>1</v>
      </c>
      <c r="G1245" s="244">
        <v>2</v>
      </c>
      <c r="H1245" s="244">
        <v>2</v>
      </c>
      <c r="I1245" s="244">
        <v>3</v>
      </c>
      <c r="J1245" s="244">
        <v>1</v>
      </c>
      <c r="K1245" s="244">
        <v>3</v>
      </c>
      <c r="L1245" s="244">
        <v>4</v>
      </c>
      <c r="M1245" s="244">
        <v>4</v>
      </c>
      <c r="N1245" s="244">
        <v>1</v>
      </c>
      <c r="O1245" s="254">
        <v>6</v>
      </c>
    </row>
    <row r="1246" spans="1:15">
      <c r="A1246" s="240" t="s">
        <v>67</v>
      </c>
      <c r="B1246" s="47" t="s">
        <v>5</v>
      </c>
      <c r="C1246" s="12">
        <v>0.0535168195718654</v>
      </c>
      <c r="D1246" s="241">
        <v>0.0526315789473684</v>
      </c>
      <c r="E1246" s="241">
        <v>0.1</v>
      </c>
      <c r="F1246" s="241">
        <v>0.0454545454545455</v>
      </c>
      <c r="G1246" s="241">
        <v>0.0588235294117647</v>
      </c>
      <c r="H1246" s="241">
        <v>0.0307692307692308</v>
      </c>
      <c r="I1246" s="241">
        <v>0.0476190476190476</v>
      </c>
      <c r="J1246" s="241">
        <v>0.0188679245283019</v>
      </c>
      <c r="K1246" s="241">
        <v>0.0491803278688525</v>
      </c>
      <c r="L1246" s="241">
        <v>0.0655737704918033</v>
      </c>
      <c r="M1246" s="241">
        <v>0.0645161290322581</v>
      </c>
      <c r="N1246" s="241">
        <v>0.0196078431372549</v>
      </c>
      <c r="O1246" s="252">
        <v>0.0909090909090909</v>
      </c>
    </row>
    <row r="1247" spans="1:15">
      <c r="A1247" s="242" t="s">
        <v>67</v>
      </c>
      <c r="B1247" s="43" t="s">
        <v>6</v>
      </c>
      <c r="C1247" s="15">
        <v>10</v>
      </c>
      <c r="D1247" s="244">
        <v>3</v>
      </c>
      <c r="E1247" s="244">
        <v>1</v>
      </c>
      <c r="F1247" s="244">
        <v>0</v>
      </c>
      <c r="G1247" s="244">
        <v>0</v>
      </c>
      <c r="H1247" s="244">
        <v>0</v>
      </c>
      <c r="I1247" s="244">
        <v>1</v>
      </c>
      <c r="J1247" s="244">
        <v>0</v>
      </c>
      <c r="K1247" s="244">
        <v>2</v>
      </c>
      <c r="L1247" s="244">
        <v>1</v>
      </c>
      <c r="M1247" s="244">
        <v>1</v>
      </c>
      <c r="N1247" s="244">
        <v>1</v>
      </c>
      <c r="O1247" s="254">
        <v>0</v>
      </c>
    </row>
    <row r="1248" ht="14.25" spans="1:15">
      <c r="A1248" s="245" t="s">
        <v>67</v>
      </c>
      <c r="B1248" s="52" t="s">
        <v>64</v>
      </c>
      <c r="C1248" s="19">
        <v>0.285714285714286</v>
      </c>
      <c r="D1248" s="246">
        <v>0.75</v>
      </c>
      <c r="E1248" s="246">
        <v>0.25</v>
      </c>
      <c r="F1248" s="246">
        <v>0</v>
      </c>
      <c r="G1248" s="246">
        <v>0</v>
      </c>
      <c r="H1248" s="246">
        <v>0</v>
      </c>
      <c r="I1248" s="246">
        <v>0.333333333333333</v>
      </c>
      <c r="J1248" s="246">
        <v>0</v>
      </c>
      <c r="K1248" s="246">
        <v>0.666666666666667</v>
      </c>
      <c r="L1248" s="246">
        <v>0.25</v>
      </c>
      <c r="M1248" s="246">
        <v>0.25</v>
      </c>
      <c r="N1248" s="246">
        <v>1</v>
      </c>
      <c r="O1248" s="255">
        <v>0</v>
      </c>
    </row>
    <row r="1249" spans="1:15">
      <c r="A1249" s="240" t="s">
        <v>68</v>
      </c>
      <c r="B1249" s="47" t="s">
        <v>55</v>
      </c>
      <c r="C1249" s="12">
        <v>0.0406555710837251</v>
      </c>
      <c r="D1249" s="241">
        <v>0.0531531531531532</v>
      </c>
      <c r="E1249" s="241">
        <v>0.0273972602739726</v>
      </c>
      <c r="F1249" s="241">
        <v>0.0521327014218009</v>
      </c>
      <c r="G1249" s="241">
        <v>0.0324786324786325</v>
      </c>
      <c r="H1249" s="241">
        <v>0.0445705024311183</v>
      </c>
      <c r="I1249" s="241">
        <v>0.0359154929577465</v>
      </c>
      <c r="J1249" s="241">
        <v>0.0295389048991354</v>
      </c>
      <c r="K1249" s="241">
        <v>0.037394451145959</v>
      </c>
      <c r="L1249" s="241">
        <v>0.0421195652173913</v>
      </c>
      <c r="M1249" s="241">
        <v>0.0428156748911466</v>
      </c>
      <c r="N1249" s="241">
        <v>0.0471898197242842</v>
      </c>
      <c r="O1249" s="252">
        <v>0.0413223140495868</v>
      </c>
    </row>
    <row r="1250" spans="1:15">
      <c r="A1250" s="242" t="s">
        <v>68</v>
      </c>
      <c r="B1250" s="43" t="s">
        <v>57</v>
      </c>
      <c r="C1250" s="15">
        <v>15742</v>
      </c>
      <c r="D1250" s="243">
        <v>1110</v>
      </c>
      <c r="E1250" s="243">
        <v>730</v>
      </c>
      <c r="F1250" s="243">
        <v>844</v>
      </c>
      <c r="G1250" s="243">
        <v>1170</v>
      </c>
      <c r="H1250" s="243">
        <v>1234</v>
      </c>
      <c r="I1250" s="243">
        <v>1420</v>
      </c>
      <c r="J1250" s="243">
        <v>1388</v>
      </c>
      <c r="K1250" s="243">
        <v>1658</v>
      </c>
      <c r="L1250" s="243">
        <v>1472</v>
      </c>
      <c r="M1250" s="243">
        <v>1378</v>
      </c>
      <c r="N1250" s="243">
        <v>1886</v>
      </c>
      <c r="O1250" s="253">
        <v>1452</v>
      </c>
    </row>
    <row r="1251" spans="1:15">
      <c r="A1251" s="240" t="s">
        <v>68</v>
      </c>
      <c r="B1251" s="47" t="s">
        <v>59</v>
      </c>
      <c r="C1251" s="15">
        <v>640</v>
      </c>
      <c r="D1251" s="243">
        <v>59</v>
      </c>
      <c r="E1251" s="243">
        <v>20</v>
      </c>
      <c r="F1251" s="243">
        <v>44</v>
      </c>
      <c r="G1251" s="243">
        <v>38</v>
      </c>
      <c r="H1251" s="243">
        <v>55</v>
      </c>
      <c r="I1251" s="243">
        <v>51</v>
      </c>
      <c r="J1251" s="243">
        <v>41</v>
      </c>
      <c r="K1251" s="243">
        <v>62</v>
      </c>
      <c r="L1251" s="243">
        <v>62</v>
      </c>
      <c r="M1251" s="243">
        <v>59</v>
      </c>
      <c r="N1251" s="243">
        <v>89</v>
      </c>
      <c r="O1251" s="253">
        <v>60</v>
      </c>
    </row>
    <row r="1252" spans="1:15">
      <c r="A1252" s="242" t="s">
        <v>68</v>
      </c>
      <c r="B1252" s="43" t="s">
        <v>4</v>
      </c>
      <c r="C1252" s="15">
        <v>43</v>
      </c>
      <c r="D1252" s="244">
        <v>4</v>
      </c>
      <c r="E1252" s="244">
        <v>2</v>
      </c>
      <c r="F1252" s="244">
        <v>3</v>
      </c>
      <c r="G1252" s="244">
        <v>1</v>
      </c>
      <c r="H1252" s="244">
        <v>0</v>
      </c>
      <c r="I1252" s="244">
        <v>3</v>
      </c>
      <c r="J1252" s="244">
        <v>3</v>
      </c>
      <c r="K1252" s="244">
        <v>7</v>
      </c>
      <c r="L1252" s="244">
        <v>1</v>
      </c>
      <c r="M1252" s="244">
        <v>6</v>
      </c>
      <c r="N1252" s="244">
        <v>8</v>
      </c>
      <c r="O1252" s="254">
        <v>5</v>
      </c>
    </row>
    <row r="1253" spans="1:15">
      <c r="A1253" s="240" t="s">
        <v>68</v>
      </c>
      <c r="B1253" s="47" t="s">
        <v>5</v>
      </c>
      <c r="C1253" s="12">
        <v>0.0671875</v>
      </c>
      <c r="D1253" s="241">
        <v>0.0677966101694915</v>
      </c>
      <c r="E1253" s="241">
        <v>0.1</v>
      </c>
      <c r="F1253" s="241">
        <v>0.0681818181818182</v>
      </c>
      <c r="G1253" s="241">
        <v>0.0263157894736842</v>
      </c>
      <c r="H1253" s="241">
        <v>0</v>
      </c>
      <c r="I1253" s="241">
        <v>0.0588235294117647</v>
      </c>
      <c r="J1253" s="241">
        <v>0.0731707317073171</v>
      </c>
      <c r="K1253" s="241">
        <v>0.112903225806452</v>
      </c>
      <c r="L1253" s="241">
        <v>0.0161290322580645</v>
      </c>
      <c r="M1253" s="241">
        <v>0.101694915254237</v>
      </c>
      <c r="N1253" s="241">
        <v>0.0898876404494382</v>
      </c>
      <c r="O1253" s="252">
        <v>0.0833333333333333</v>
      </c>
    </row>
    <row r="1254" spans="1:15">
      <c r="A1254" s="242" t="s">
        <v>68</v>
      </c>
      <c r="B1254" s="43" t="s">
        <v>6</v>
      </c>
      <c r="C1254" s="15">
        <v>19</v>
      </c>
      <c r="D1254" s="244">
        <v>1</v>
      </c>
      <c r="E1254" s="244">
        <v>2</v>
      </c>
      <c r="F1254" s="244">
        <v>1</v>
      </c>
      <c r="G1254" s="244">
        <v>0</v>
      </c>
      <c r="H1254" s="244">
        <v>0</v>
      </c>
      <c r="I1254" s="244">
        <v>1</v>
      </c>
      <c r="J1254" s="244">
        <v>2</v>
      </c>
      <c r="K1254" s="244">
        <v>3</v>
      </c>
      <c r="L1254" s="244">
        <v>1</v>
      </c>
      <c r="M1254" s="244">
        <v>2</v>
      </c>
      <c r="N1254" s="244">
        <v>3</v>
      </c>
      <c r="O1254" s="254">
        <v>3</v>
      </c>
    </row>
    <row r="1255" ht="14.25" spans="1:15">
      <c r="A1255" s="245" t="s">
        <v>68</v>
      </c>
      <c r="B1255" s="52" t="s">
        <v>64</v>
      </c>
      <c r="C1255" s="19">
        <v>0.441860465116279</v>
      </c>
      <c r="D1255" s="246">
        <v>0.25</v>
      </c>
      <c r="E1255" s="246">
        <v>1</v>
      </c>
      <c r="F1255" s="246">
        <v>0.333333333333333</v>
      </c>
      <c r="G1255" s="246">
        <v>0</v>
      </c>
      <c r="H1255" s="246">
        <v>0</v>
      </c>
      <c r="I1255" s="246">
        <v>0.333333333333333</v>
      </c>
      <c r="J1255" s="246">
        <v>0.666666666666667</v>
      </c>
      <c r="K1255" s="246">
        <v>0.428571428571429</v>
      </c>
      <c r="L1255" s="246">
        <v>1</v>
      </c>
      <c r="M1255" s="246">
        <v>0.333333333333333</v>
      </c>
      <c r="N1255" s="246">
        <v>0.375</v>
      </c>
      <c r="O1255" s="255">
        <v>0.6</v>
      </c>
    </row>
    <row r="1256" spans="1:15">
      <c r="A1256" s="240" t="s">
        <v>69</v>
      </c>
      <c r="B1256" s="47" t="s">
        <v>55</v>
      </c>
      <c r="C1256" s="12">
        <v>1.00158982511924</v>
      </c>
      <c r="D1256" s="241">
        <v>1.14545454545455</v>
      </c>
      <c r="E1256" s="241">
        <v>0.944444444444444</v>
      </c>
      <c r="F1256" s="241">
        <v>2</v>
      </c>
      <c r="G1256" s="241">
        <v>1.26923076923077</v>
      </c>
      <c r="H1256" s="241">
        <v>0.944444444444444</v>
      </c>
      <c r="I1256" s="241">
        <v>0.887096774193548</v>
      </c>
      <c r="J1256" s="241">
        <v>0.793650793650794</v>
      </c>
      <c r="K1256" s="241">
        <v>1.16666666666667</v>
      </c>
      <c r="L1256" s="241">
        <v>0.983870967741935</v>
      </c>
      <c r="M1256" s="241">
        <v>0.933333333333333</v>
      </c>
      <c r="N1256" s="241">
        <v>0.9375</v>
      </c>
      <c r="O1256" s="252">
        <v>0.947368421052632</v>
      </c>
    </row>
    <row r="1257" spans="1:15">
      <c r="A1257" s="242" t="s">
        <v>69</v>
      </c>
      <c r="B1257" s="43" t="s">
        <v>57</v>
      </c>
      <c r="C1257" s="15">
        <v>629</v>
      </c>
      <c r="D1257" s="243">
        <v>55</v>
      </c>
      <c r="E1257" s="243">
        <v>36</v>
      </c>
      <c r="F1257" s="243">
        <v>14</v>
      </c>
      <c r="G1257" s="243">
        <v>26</v>
      </c>
      <c r="H1257" s="243">
        <v>54</v>
      </c>
      <c r="I1257" s="243">
        <v>62</v>
      </c>
      <c r="J1257" s="243">
        <v>63</v>
      </c>
      <c r="K1257" s="243">
        <v>60</v>
      </c>
      <c r="L1257" s="243">
        <v>62</v>
      </c>
      <c r="M1257" s="243">
        <v>60</v>
      </c>
      <c r="N1257" s="243">
        <v>80</v>
      </c>
      <c r="O1257" s="253">
        <v>57</v>
      </c>
    </row>
    <row r="1258" spans="1:15">
      <c r="A1258" s="240" t="s">
        <v>69</v>
      </c>
      <c r="B1258" s="47" t="s">
        <v>59</v>
      </c>
      <c r="C1258" s="15">
        <v>630</v>
      </c>
      <c r="D1258" s="243">
        <v>63</v>
      </c>
      <c r="E1258" s="243">
        <v>34</v>
      </c>
      <c r="F1258" s="243">
        <v>28</v>
      </c>
      <c r="G1258" s="243">
        <v>33</v>
      </c>
      <c r="H1258" s="243">
        <v>51</v>
      </c>
      <c r="I1258" s="243">
        <v>55</v>
      </c>
      <c r="J1258" s="243">
        <v>50</v>
      </c>
      <c r="K1258" s="243">
        <v>70</v>
      </c>
      <c r="L1258" s="243">
        <v>61</v>
      </c>
      <c r="M1258" s="243">
        <v>56</v>
      </c>
      <c r="N1258" s="243">
        <v>75</v>
      </c>
      <c r="O1258" s="253">
        <v>54</v>
      </c>
    </row>
    <row r="1259" spans="1:15">
      <c r="A1259" s="242" t="s">
        <v>69</v>
      </c>
      <c r="B1259" s="43" t="s">
        <v>4</v>
      </c>
      <c r="C1259" s="15">
        <v>25</v>
      </c>
      <c r="D1259" s="244">
        <v>0</v>
      </c>
      <c r="E1259" s="244">
        <v>2</v>
      </c>
      <c r="F1259" s="244">
        <v>0</v>
      </c>
      <c r="G1259" s="244">
        <v>1</v>
      </c>
      <c r="H1259" s="244">
        <v>1</v>
      </c>
      <c r="I1259" s="244">
        <v>2</v>
      </c>
      <c r="J1259" s="244">
        <v>1</v>
      </c>
      <c r="K1259" s="244">
        <v>6</v>
      </c>
      <c r="L1259" s="244">
        <v>2</v>
      </c>
      <c r="M1259" s="244">
        <v>6</v>
      </c>
      <c r="N1259" s="244">
        <v>2</v>
      </c>
      <c r="O1259" s="254">
        <v>2</v>
      </c>
    </row>
    <row r="1260" spans="1:15">
      <c r="A1260" s="240" t="s">
        <v>69</v>
      </c>
      <c r="B1260" s="47" t="s">
        <v>5</v>
      </c>
      <c r="C1260" s="12">
        <v>0.0396825396825397</v>
      </c>
      <c r="D1260" s="241">
        <v>0</v>
      </c>
      <c r="E1260" s="241">
        <v>0.0588235294117647</v>
      </c>
      <c r="F1260" s="241">
        <v>0</v>
      </c>
      <c r="G1260" s="241">
        <v>0.0303030303030303</v>
      </c>
      <c r="H1260" s="241">
        <v>0.0196078431372549</v>
      </c>
      <c r="I1260" s="241">
        <v>0.0363636363636364</v>
      </c>
      <c r="J1260" s="241">
        <v>0.02</v>
      </c>
      <c r="K1260" s="241">
        <v>0.0857142857142857</v>
      </c>
      <c r="L1260" s="241">
        <v>0.0327868852459016</v>
      </c>
      <c r="M1260" s="241">
        <v>0.107142857142857</v>
      </c>
      <c r="N1260" s="241">
        <v>0.0266666666666667</v>
      </c>
      <c r="O1260" s="252">
        <v>0.037037037037037</v>
      </c>
    </row>
    <row r="1261" spans="1:15">
      <c r="A1261" s="242" t="s">
        <v>69</v>
      </c>
      <c r="B1261" s="43" t="s">
        <v>6</v>
      </c>
      <c r="C1261" s="15">
        <v>10</v>
      </c>
      <c r="D1261" s="244">
        <v>0</v>
      </c>
      <c r="E1261" s="244">
        <v>0</v>
      </c>
      <c r="F1261" s="244">
        <v>0</v>
      </c>
      <c r="G1261" s="244">
        <v>1</v>
      </c>
      <c r="H1261" s="244">
        <v>0</v>
      </c>
      <c r="I1261" s="244">
        <v>1</v>
      </c>
      <c r="J1261" s="244">
        <v>0</v>
      </c>
      <c r="K1261" s="244">
        <v>2</v>
      </c>
      <c r="L1261" s="244">
        <v>1</v>
      </c>
      <c r="M1261" s="244">
        <v>3</v>
      </c>
      <c r="N1261" s="244">
        <v>1</v>
      </c>
      <c r="O1261" s="254">
        <v>1</v>
      </c>
    </row>
    <row r="1262" ht="14.25" spans="1:15">
      <c r="A1262" s="245" t="s">
        <v>69</v>
      </c>
      <c r="B1262" s="52" t="s">
        <v>64</v>
      </c>
      <c r="C1262" s="19">
        <v>0.4</v>
      </c>
      <c r="D1262" s="246">
        <v>0</v>
      </c>
      <c r="E1262" s="246">
        <v>0</v>
      </c>
      <c r="F1262" s="246">
        <v>0</v>
      </c>
      <c r="G1262" s="246">
        <v>1</v>
      </c>
      <c r="H1262" s="246">
        <v>0</v>
      </c>
      <c r="I1262" s="246">
        <v>0.5</v>
      </c>
      <c r="J1262" s="246">
        <v>0</v>
      </c>
      <c r="K1262" s="246">
        <v>0.333333333333333</v>
      </c>
      <c r="L1262" s="246">
        <v>0.5</v>
      </c>
      <c r="M1262" s="246">
        <v>0.5</v>
      </c>
      <c r="N1262" s="246">
        <v>0.5</v>
      </c>
      <c r="O1262" s="255">
        <v>0.5</v>
      </c>
    </row>
    <row r="1263" spans="1:15">
      <c r="A1263" s="240" t="s">
        <v>70</v>
      </c>
      <c r="B1263" s="47" t="s">
        <v>55</v>
      </c>
      <c r="C1263" s="12">
        <v>0.578703703703704</v>
      </c>
      <c r="D1263" s="241">
        <v>0.972972972972973</v>
      </c>
      <c r="E1263" s="241">
        <v>1.2</v>
      </c>
      <c r="F1263" s="241">
        <v>1.125</v>
      </c>
      <c r="G1263" s="241">
        <v>0.9</v>
      </c>
      <c r="H1263" s="241">
        <v>0.5</v>
      </c>
      <c r="I1263" s="241">
        <v>0.535714285714286</v>
      </c>
      <c r="J1263" s="241">
        <v>0.4</v>
      </c>
      <c r="K1263" s="241">
        <v>0.31858407079646</v>
      </c>
      <c r="L1263" s="241">
        <v>0.595238095238095</v>
      </c>
      <c r="M1263" s="241">
        <v>0.333333333333333</v>
      </c>
      <c r="N1263" s="241">
        <v>0.676470588235294</v>
      </c>
      <c r="O1263" s="252">
        <v>0.863636363636364</v>
      </c>
    </row>
    <row r="1264" spans="1:15">
      <c r="A1264" s="242" t="s">
        <v>70</v>
      </c>
      <c r="B1264" s="43" t="s">
        <v>57</v>
      </c>
      <c r="C1264" s="15">
        <v>432</v>
      </c>
      <c r="D1264" s="243">
        <v>37</v>
      </c>
      <c r="E1264" s="243">
        <v>15</v>
      </c>
      <c r="F1264" s="243">
        <v>8</v>
      </c>
      <c r="G1264" s="243">
        <v>10</v>
      </c>
      <c r="H1264" s="243">
        <v>26</v>
      </c>
      <c r="I1264" s="243">
        <v>28</v>
      </c>
      <c r="J1264" s="243">
        <v>45</v>
      </c>
      <c r="K1264" s="243">
        <v>113</v>
      </c>
      <c r="L1264" s="243">
        <v>42</v>
      </c>
      <c r="M1264" s="243">
        <v>30</v>
      </c>
      <c r="N1264" s="243">
        <v>34</v>
      </c>
      <c r="O1264" s="253">
        <v>44</v>
      </c>
    </row>
    <row r="1265" spans="1:15">
      <c r="A1265" s="240" t="s">
        <v>70</v>
      </c>
      <c r="B1265" s="47" t="s">
        <v>59</v>
      </c>
      <c r="C1265" s="15">
        <v>250</v>
      </c>
      <c r="D1265" s="243">
        <v>36</v>
      </c>
      <c r="E1265" s="243">
        <v>18</v>
      </c>
      <c r="F1265" s="243">
        <v>9</v>
      </c>
      <c r="G1265" s="243">
        <v>9</v>
      </c>
      <c r="H1265" s="243">
        <v>13</v>
      </c>
      <c r="I1265" s="243">
        <v>15</v>
      </c>
      <c r="J1265" s="243">
        <v>18</v>
      </c>
      <c r="K1265" s="243">
        <v>36</v>
      </c>
      <c r="L1265" s="243">
        <v>25</v>
      </c>
      <c r="M1265" s="243">
        <v>10</v>
      </c>
      <c r="N1265" s="243">
        <v>23</v>
      </c>
      <c r="O1265" s="253">
        <v>38</v>
      </c>
    </row>
    <row r="1266" spans="1:15">
      <c r="A1266" s="242" t="s">
        <v>70</v>
      </c>
      <c r="B1266" s="43" t="s">
        <v>4</v>
      </c>
      <c r="C1266" s="15">
        <v>1</v>
      </c>
      <c r="D1266" s="244">
        <v>0</v>
      </c>
      <c r="E1266" s="244">
        <v>0</v>
      </c>
      <c r="F1266" s="244">
        <v>0</v>
      </c>
      <c r="G1266" s="244">
        <v>0</v>
      </c>
      <c r="H1266" s="244">
        <v>0</v>
      </c>
      <c r="I1266" s="244">
        <v>0</v>
      </c>
      <c r="J1266" s="244">
        <v>0</v>
      </c>
      <c r="K1266" s="244">
        <v>0</v>
      </c>
      <c r="L1266" s="244">
        <v>0</v>
      </c>
      <c r="M1266" s="244">
        <v>0</v>
      </c>
      <c r="N1266" s="244">
        <v>0</v>
      </c>
      <c r="O1266" s="254">
        <v>1</v>
      </c>
    </row>
    <row r="1267" spans="1:15">
      <c r="A1267" s="240" t="s">
        <v>70</v>
      </c>
      <c r="B1267" s="47" t="s">
        <v>5</v>
      </c>
      <c r="C1267" s="12">
        <v>0.004</v>
      </c>
      <c r="D1267" s="241">
        <v>0</v>
      </c>
      <c r="E1267" s="241">
        <v>0</v>
      </c>
      <c r="F1267" s="241">
        <v>0</v>
      </c>
      <c r="G1267" s="241">
        <v>0</v>
      </c>
      <c r="H1267" s="241">
        <v>0</v>
      </c>
      <c r="I1267" s="241">
        <v>0</v>
      </c>
      <c r="J1267" s="241">
        <v>0</v>
      </c>
      <c r="K1267" s="241">
        <v>0</v>
      </c>
      <c r="L1267" s="241">
        <v>0</v>
      </c>
      <c r="M1267" s="241">
        <v>0</v>
      </c>
      <c r="N1267" s="241">
        <v>0</v>
      </c>
      <c r="O1267" s="252">
        <v>0.0263157894736842</v>
      </c>
    </row>
    <row r="1268" spans="1:15">
      <c r="A1268" s="242" t="s">
        <v>70</v>
      </c>
      <c r="B1268" s="43" t="s">
        <v>6</v>
      </c>
      <c r="C1268" s="15">
        <v>1</v>
      </c>
      <c r="D1268" s="244">
        <v>0</v>
      </c>
      <c r="E1268" s="244">
        <v>0</v>
      </c>
      <c r="F1268" s="244">
        <v>0</v>
      </c>
      <c r="G1268" s="244">
        <v>0</v>
      </c>
      <c r="H1268" s="244">
        <v>0</v>
      </c>
      <c r="I1268" s="244">
        <v>1</v>
      </c>
      <c r="J1268" s="244">
        <v>0</v>
      </c>
      <c r="K1268" s="244">
        <v>0</v>
      </c>
      <c r="L1268" s="244">
        <v>0</v>
      </c>
      <c r="M1268" s="244">
        <v>0</v>
      </c>
      <c r="N1268" s="244">
        <v>0</v>
      </c>
      <c r="O1268" s="254">
        <v>0</v>
      </c>
    </row>
    <row r="1269" ht="14.25" spans="1:15">
      <c r="A1269" s="245" t="s">
        <v>70</v>
      </c>
      <c r="B1269" s="52" t="s">
        <v>64</v>
      </c>
      <c r="C1269" s="19">
        <v>1</v>
      </c>
      <c r="D1269" s="246">
        <v>0</v>
      </c>
      <c r="E1269" s="246">
        <v>0</v>
      </c>
      <c r="F1269" s="246">
        <v>0</v>
      </c>
      <c r="G1269" s="246">
        <v>0</v>
      </c>
      <c r="H1269" s="246">
        <v>0</v>
      </c>
      <c r="I1269" s="246">
        <v>0</v>
      </c>
      <c r="J1269" s="246">
        <v>0</v>
      </c>
      <c r="K1269" s="246">
        <v>0</v>
      </c>
      <c r="L1269" s="246">
        <v>0</v>
      </c>
      <c r="M1269" s="246">
        <v>0</v>
      </c>
      <c r="N1269" s="246">
        <v>0</v>
      </c>
      <c r="O1269" s="255">
        <v>0</v>
      </c>
    </row>
    <row r="1270" spans="1:15">
      <c r="A1270" s="240" t="s">
        <v>26</v>
      </c>
      <c r="B1270" s="47" t="s">
        <v>55</v>
      </c>
      <c r="C1270" s="12">
        <v>0.530510018214936</v>
      </c>
      <c r="D1270" s="241">
        <v>0.554621848739496</v>
      </c>
      <c r="E1270" s="241">
        <v>0.473684210526316</v>
      </c>
      <c r="F1270" s="241">
        <v>0.440677966101695</v>
      </c>
      <c r="G1270" s="241">
        <v>0.637254901960784</v>
      </c>
      <c r="H1270" s="241">
        <v>0.582278481012658</v>
      </c>
      <c r="I1270" s="241">
        <v>0.6</v>
      </c>
      <c r="J1270" s="241">
        <v>0.544303797468354</v>
      </c>
      <c r="K1270" s="241">
        <v>0.472</v>
      </c>
      <c r="L1270" s="241">
        <v>0.603658536585366</v>
      </c>
      <c r="M1270" s="241">
        <v>0.5</v>
      </c>
      <c r="N1270" s="241">
        <v>0.51304347826087</v>
      </c>
      <c r="O1270" s="252">
        <v>0.5</v>
      </c>
    </row>
    <row r="1271" spans="1:15">
      <c r="A1271" s="242" t="s">
        <v>26</v>
      </c>
      <c r="B1271" s="43" t="s">
        <v>57</v>
      </c>
      <c r="C1271" s="15">
        <v>2196</v>
      </c>
      <c r="D1271" s="243">
        <v>238</v>
      </c>
      <c r="E1271" s="243">
        <v>114</v>
      </c>
      <c r="F1271" s="243">
        <v>118</v>
      </c>
      <c r="G1271" s="243">
        <v>102</v>
      </c>
      <c r="H1271" s="243">
        <v>158</v>
      </c>
      <c r="I1271" s="243">
        <v>170</v>
      </c>
      <c r="J1271" s="243">
        <v>158</v>
      </c>
      <c r="K1271" s="243">
        <v>250</v>
      </c>
      <c r="L1271" s="243">
        <v>164</v>
      </c>
      <c r="M1271" s="243">
        <v>228</v>
      </c>
      <c r="N1271" s="243">
        <v>230</v>
      </c>
      <c r="O1271" s="253">
        <v>266</v>
      </c>
    </row>
    <row r="1272" spans="1:15">
      <c r="A1272" s="240" t="s">
        <v>26</v>
      </c>
      <c r="B1272" s="47" t="s">
        <v>59</v>
      </c>
      <c r="C1272" s="15">
        <v>1165</v>
      </c>
      <c r="D1272" s="243">
        <v>132</v>
      </c>
      <c r="E1272" s="243">
        <v>54</v>
      </c>
      <c r="F1272" s="243">
        <v>52</v>
      </c>
      <c r="G1272" s="243">
        <v>65</v>
      </c>
      <c r="H1272" s="243">
        <v>92</v>
      </c>
      <c r="I1272" s="243">
        <v>102</v>
      </c>
      <c r="J1272" s="243">
        <v>86</v>
      </c>
      <c r="K1272" s="243">
        <v>118</v>
      </c>
      <c r="L1272" s="243">
        <v>99</v>
      </c>
      <c r="M1272" s="243">
        <v>114</v>
      </c>
      <c r="N1272" s="243">
        <v>118</v>
      </c>
      <c r="O1272" s="253">
        <v>133</v>
      </c>
    </row>
    <row r="1273" spans="1:15">
      <c r="A1273" s="242" t="s">
        <v>26</v>
      </c>
      <c r="B1273" s="43" t="s">
        <v>4</v>
      </c>
      <c r="C1273" s="15">
        <v>22</v>
      </c>
      <c r="D1273" s="244">
        <v>5</v>
      </c>
      <c r="E1273" s="244">
        <v>2</v>
      </c>
      <c r="F1273" s="244">
        <v>1</v>
      </c>
      <c r="G1273" s="244">
        <v>1</v>
      </c>
      <c r="H1273" s="244">
        <v>2</v>
      </c>
      <c r="I1273" s="244">
        <v>1</v>
      </c>
      <c r="J1273" s="244">
        <v>0</v>
      </c>
      <c r="K1273" s="244">
        <v>0</v>
      </c>
      <c r="L1273" s="244">
        <v>2</v>
      </c>
      <c r="M1273" s="244">
        <v>1</v>
      </c>
      <c r="N1273" s="244">
        <v>0</v>
      </c>
      <c r="O1273" s="254">
        <v>7</v>
      </c>
    </row>
    <row r="1274" spans="1:15">
      <c r="A1274" s="240" t="s">
        <v>26</v>
      </c>
      <c r="B1274" s="47" t="s">
        <v>5</v>
      </c>
      <c r="C1274" s="12">
        <v>0.0188841201716738</v>
      </c>
      <c r="D1274" s="241">
        <v>0.0378787878787879</v>
      </c>
      <c r="E1274" s="241">
        <v>0.037037037037037</v>
      </c>
      <c r="F1274" s="241">
        <v>0.0192307692307692</v>
      </c>
      <c r="G1274" s="241">
        <v>0.0153846153846154</v>
      </c>
      <c r="H1274" s="241">
        <v>0.0217391304347826</v>
      </c>
      <c r="I1274" s="241">
        <v>0.00980392156862745</v>
      </c>
      <c r="J1274" s="241">
        <v>0</v>
      </c>
      <c r="K1274" s="241">
        <v>0</v>
      </c>
      <c r="L1274" s="241">
        <v>0.0202020202020202</v>
      </c>
      <c r="M1274" s="241">
        <v>0.0087719298245614</v>
      </c>
      <c r="N1274" s="241">
        <v>0</v>
      </c>
      <c r="O1274" s="252">
        <v>0.0526315789473684</v>
      </c>
    </row>
    <row r="1275" spans="1:15">
      <c r="A1275" s="242" t="s">
        <v>26</v>
      </c>
      <c r="B1275" s="43" t="s">
        <v>6</v>
      </c>
      <c r="C1275" s="15">
        <v>8</v>
      </c>
      <c r="D1275" s="244">
        <v>2</v>
      </c>
      <c r="E1275" s="244">
        <v>1</v>
      </c>
      <c r="F1275" s="244">
        <v>0</v>
      </c>
      <c r="G1275" s="244">
        <v>1</v>
      </c>
      <c r="H1275" s="244">
        <v>1</v>
      </c>
      <c r="I1275" s="244">
        <v>1</v>
      </c>
      <c r="J1275" s="244">
        <v>1</v>
      </c>
      <c r="K1275" s="244">
        <v>0</v>
      </c>
      <c r="L1275" s="244">
        <v>0</v>
      </c>
      <c r="M1275" s="244">
        <v>0</v>
      </c>
      <c r="N1275" s="244">
        <v>1</v>
      </c>
      <c r="O1275" s="254">
        <v>0</v>
      </c>
    </row>
    <row r="1276" ht="14.25" spans="1:15">
      <c r="A1276" s="245" t="s">
        <v>26</v>
      </c>
      <c r="B1276" s="52" t="s">
        <v>64</v>
      </c>
      <c r="C1276" s="19">
        <v>0.363636363636364</v>
      </c>
      <c r="D1276" s="250">
        <v>2</v>
      </c>
      <c r="E1276" s="250">
        <v>1</v>
      </c>
      <c r="F1276" s="250">
        <v>0</v>
      </c>
      <c r="G1276" s="250">
        <v>1</v>
      </c>
      <c r="H1276" s="250">
        <v>1</v>
      </c>
      <c r="I1276" s="250">
        <v>1</v>
      </c>
      <c r="J1276" s="250">
        <v>1</v>
      </c>
      <c r="K1276" s="250">
        <v>0</v>
      </c>
      <c r="L1276" s="250">
        <v>0</v>
      </c>
      <c r="M1276" s="250">
        <v>0</v>
      </c>
      <c r="N1276" s="250">
        <v>1</v>
      </c>
      <c r="O1276" s="257">
        <v>0</v>
      </c>
    </row>
    <row r="1277" spans="1:15">
      <c r="A1277" s="240" t="s">
        <v>71</v>
      </c>
      <c r="B1277" s="47" t="s">
        <v>55</v>
      </c>
      <c r="C1277" s="12">
        <v>0.0188679245283019</v>
      </c>
      <c r="D1277" s="241">
        <v>0</v>
      </c>
      <c r="E1277" s="241">
        <v>0.04</v>
      </c>
      <c r="F1277" s="241">
        <v>0</v>
      </c>
      <c r="G1277" s="241">
        <v>0.037037037037037</v>
      </c>
      <c r="H1277" s="241">
        <v>0.0666666666666667</v>
      </c>
      <c r="I1277" s="241">
        <v>0</v>
      </c>
      <c r="J1277" s="241">
        <v>0</v>
      </c>
      <c r="K1277" s="241">
        <v>0.0142857142857143</v>
      </c>
      <c r="L1277" s="241">
        <v>0.0212765957446809</v>
      </c>
      <c r="M1277" s="241">
        <v>0</v>
      </c>
      <c r="N1277" s="241">
        <v>0.0131578947368421</v>
      </c>
      <c r="O1277" s="252">
        <v>0.0375</v>
      </c>
    </row>
    <row r="1278" spans="1:15">
      <c r="A1278" s="242" t="s">
        <v>71</v>
      </c>
      <c r="B1278" s="43" t="s">
        <v>57</v>
      </c>
      <c r="C1278" s="15">
        <v>636</v>
      </c>
      <c r="D1278" s="243">
        <v>62</v>
      </c>
      <c r="E1278" s="243">
        <v>25</v>
      </c>
      <c r="F1278" s="243">
        <v>18</v>
      </c>
      <c r="G1278" s="243">
        <v>27</v>
      </c>
      <c r="H1278" s="243">
        <v>60</v>
      </c>
      <c r="I1278" s="243">
        <v>48</v>
      </c>
      <c r="J1278" s="243">
        <v>61</v>
      </c>
      <c r="K1278" s="243">
        <v>70</v>
      </c>
      <c r="L1278" s="243">
        <v>47</v>
      </c>
      <c r="M1278" s="243">
        <v>62</v>
      </c>
      <c r="N1278" s="243">
        <v>76</v>
      </c>
      <c r="O1278" s="253">
        <v>80</v>
      </c>
    </row>
    <row r="1279" spans="1:15">
      <c r="A1279" s="240" t="s">
        <v>71</v>
      </c>
      <c r="B1279" s="47" t="s">
        <v>59</v>
      </c>
      <c r="C1279" s="15">
        <v>12</v>
      </c>
      <c r="D1279" s="243">
        <v>0</v>
      </c>
      <c r="E1279" s="243">
        <v>1</v>
      </c>
      <c r="F1279" s="243">
        <v>0</v>
      </c>
      <c r="G1279" s="243">
        <v>1</v>
      </c>
      <c r="H1279" s="243">
        <v>4</v>
      </c>
      <c r="I1279" s="243">
        <v>0</v>
      </c>
      <c r="J1279" s="243">
        <v>0</v>
      </c>
      <c r="K1279" s="243">
        <v>1</v>
      </c>
      <c r="L1279" s="243">
        <v>1</v>
      </c>
      <c r="M1279" s="243">
        <v>0</v>
      </c>
      <c r="N1279" s="243">
        <v>1</v>
      </c>
      <c r="O1279" s="253">
        <v>3</v>
      </c>
    </row>
    <row r="1280" spans="1:15">
      <c r="A1280" s="242" t="s">
        <v>71</v>
      </c>
      <c r="B1280" s="43" t="s">
        <v>4</v>
      </c>
      <c r="C1280" s="15">
        <v>19</v>
      </c>
      <c r="D1280" s="244">
        <v>4</v>
      </c>
      <c r="E1280" s="244">
        <v>0</v>
      </c>
      <c r="F1280" s="244">
        <v>0</v>
      </c>
      <c r="G1280" s="244">
        <v>0</v>
      </c>
      <c r="H1280" s="244">
        <v>1</v>
      </c>
      <c r="I1280" s="244">
        <v>2</v>
      </c>
      <c r="J1280" s="244">
        <v>3</v>
      </c>
      <c r="K1280" s="244">
        <v>1</v>
      </c>
      <c r="L1280" s="244">
        <v>0</v>
      </c>
      <c r="M1280" s="244">
        <v>5</v>
      </c>
      <c r="N1280" s="244">
        <v>3</v>
      </c>
      <c r="O1280" s="254">
        <v>0</v>
      </c>
    </row>
    <row r="1281" spans="1:15">
      <c r="A1281" s="240" t="s">
        <v>71</v>
      </c>
      <c r="B1281" s="47" t="s">
        <v>5</v>
      </c>
      <c r="C1281" s="12">
        <v>1.58333333333333</v>
      </c>
      <c r="D1281" s="241">
        <v>0</v>
      </c>
      <c r="E1281" s="241">
        <v>0</v>
      </c>
      <c r="F1281" s="241">
        <v>0</v>
      </c>
      <c r="G1281" s="241">
        <v>0</v>
      </c>
      <c r="H1281" s="241">
        <v>0.25</v>
      </c>
      <c r="I1281" s="241">
        <v>0</v>
      </c>
      <c r="J1281" s="241">
        <v>0</v>
      </c>
      <c r="K1281" s="241">
        <v>1</v>
      </c>
      <c r="L1281" s="241">
        <v>0</v>
      </c>
      <c r="M1281" s="241">
        <v>0</v>
      </c>
      <c r="N1281" s="241">
        <v>3</v>
      </c>
      <c r="O1281" s="252">
        <v>0</v>
      </c>
    </row>
    <row r="1282" spans="1:15">
      <c r="A1282" s="242" t="s">
        <v>71</v>
      </c>
      <c r="B1282" s="43" t="s">
        <v>6</v>
      </c>
      <c r="C1282" s="15">
        <v>3</v>
      </c>
      <c r="D1282" s="244">
        <v>0</v>
      </c>
      <c r="E1282" s="244">
        <v>0</v>
      </c>
      <c r="F1282" s="244">
        <v>0</v>
      </c>
      <c r="G1282" s="244">
        <v>0</v>
      </c>
      <c r="H1282" s="244">
        <v>0</v>
      </c>
      <c r="I1282" s="244">
        <v>0</v>
      </c>
      <c r="J1282" s="244">
        <v>0</v>
      </c>
      <c r="K1282" s="244">
        <v>0</v>
      </c>
      <c r="L1282" s="244">
        <v>0</v>
      </c>
      <c r="M1282" s="244">
        <v>1</v>
      </c>
      <c r="N1282" s="244">
        <v>2</v>
      </c>
      <c r="O1282" s="254">
        <v>0</v>
      </c>
    </row>
    <row r="1283" ht="14.25" spans="1:15">
      <c r="A1283" s="245" t="s">
        <v>71</v>
      </c>
      <c r="B1283" s="52" t="s">
        <v>64</v>
      </c>
      <c r="C1283" s="19">
        <v>0.157894736842105</v>
      </c>
      <c r="D1283" s="250">
        <v>0</v>
      </c>
      <c r="E1283" s="250">
        <v>0</v>
      </c>
      <c r="F1283" s="250">
        <v>0</v>
      </c>
      <c r="G1283" s="250">
        <v>0</v>
      </c>
      <c r="H1283" s="250">
        <v>0</v>
      </c>
      <c r="I1283" s="250">
        <v>0</v>
      </c>
      <c r="J1283" s="250">
        <v>0</v>
      </c>
      <c r="K1283" s="250">
        <v>0</v>
      </c>
      <c r="L1283" s="250">
        <v>0</v>
      </c>
      <c r="M1283" s="250">
        <v>1</v>
      </c>
      <c r="N1283" s="250">
        <v>2</v>
      </c>
      <c r="O1283" s="257">
        <v>0</v>
      </c>
    </row>
    <row r="1284" spans="1:15">
      <c r="A1284" s="240" t="s">
        <v>72</v>
      </c>
      <c r="B1284" s="47" t="s">
        <v>55</v>
      </c>
      <c r="C1284" s="12">
        <v>0.430656934306569</v>
      </c>
      <c r="D1284" s="241">
        <v>0.452380952380952</v>
      </c>
      <c r="E1284" s="241">
        <v>0.6875</v>
      </c>
      <c r="F1284" s="241">
        <v>0.4375</v>
      </c>
      <c r="G1284" s="241">
        <v>0.423076923076923</v>
      </c>
      <c r="H1284" s="241">
        <v>0.431818181818182</v>
      </c>
      <c r="I1284" s="241">
        <v>0.46551724137931</v>
      </c>
      <c r="J1284" s="241">
        <v>0.35</v>
      </c>
      <c r="K1284" s="241">
        <v>0.368421052631579</v>
      </c>
      <c r="L1284" s="241">
        <v>0.439393939393939</v>
      </c>
      <c r="M1284" s="241">
        <v>0.462962962962963</v>
      </c>
      <c r="N1284" s="241">
        <v>0.38</v>
      </c>
      <c r="O1284" s="252">
        <v>0.435897435897436</v>
      </c>
    </row>
    <row r="1285" spans="1:15">
      <c r="A1285" s="242" t="s">
        <v>72</v>
      </c>
      <c r="B1285" s="43" t="s">
        <v>57</v>
      </c>
      <c r="C1285" s="15">
        <v>548</v>
      </c>
      <c r="D1285" s="243">
        <v>42</v>
      </c>
      <c r="E1285" s="243">
        <v>16</v>
      </c>
      <c r="F1285" s="243">
        <v>16</v>
      </c>
      <c r="G1285" s="243">
        <v>26</v>
      </c>
      <c r="H1285" s="243">
        <v>44</v>
      </c>
      <c r="I1285" s="243">
        <v>58</v>
      </c>
      <c r="J1285" s="243">
        <v>60</v>
      </c>
      <c r="K1285" s="243">
        <v>38</v>
      </c>
      <c r="L1285" s="243">
        <v>66</v>
      </c>
      <c r="M1285" s="243">
        <v>54</v>
      </c>
      <c r="N1285" s="243">
        <v>50</v>
      </c>
      <c r="O1285" s="253">
        <v>78</v>
      </c>
    </row>
    <row r="1286" spans="1:15">
      <c r="A1286" s="240" t="s">
        <v>72</v>
      </c>
      <c r="B1286" s="47" t="s">
        <v>59</v>
      </c>
      <c r="C1286" s="15">
        <v>236</v>
      </c>
      <c r="D1286" s="243">
        <v>19</v>
      </c>
      <c r="E1286" s="243">
        <v>11</v>
      </c>
      <c r="F1286" s="243">
        <v>7</v>
      </c>
      <c r="G1286" s="243">
        <v>11</v>
      </c>
      <c r="H1286" s="243">
        <v>19</v>
      </c>
      <c r="I1286" s="243">
        <v>27</v>
      </c>
      <c r="J1286" s="243">
        <v>21</v>
      </c>
      <c r="K1286" s="243">
        <v>14</v>
      </c>
      <c r="L1286" s="243">
        <v>29</v>
      </c>
      <c r="M1286" s="243">
        <v>25</v>
      </c>
      <c r="N1286" s="243">
        <v>19</v>
      </c>
      <c r="O1286" s="253">
        <v>34</v>
      </c>
    </row>
    <row r="1287" spans="1:15">
      <c r="A1287" s="242" t="s">
        <v>72</v>
      </c>
      <c r="B1287" s="43" t="s">
        <v>4</v>
      </c>
      <c r="C1287" s="15">
        <v>7</v>
      </c>
      <c r="D1287" s="244">
        <v>0</v>
      </c>
      <c r="E1287" s="244">
        <v>1</v>
      </c>
      <c r="F1287" s="244">
        <v>0</v>
      </c>
      <c r="G1287" s="244">
        <v>0</v>
      </c>
      <c r="H1287" s="244">
        <v>2</v>
      </c>
      <c r="I1287" s="244">
        <v>1</v>
      </c>
      <c r="J1287" s="244">
        <v>0</v>
      </c>
      <c r="K1287" s="244">
        <v>0</v>
      </c>
      <c r="L1287" s="244">
        <v>2</v>
      </c>
      <c r="M1287" s="244">
        <v>0</v>
      </c>
      <c r="N1287" s="244">
        <v>0</v>
      </c>
      <c r="O1287" s="254">
        <v>1</v>
      </c>
    </row>
    <row r="1288" spans="1:15">
      <c r="A1288" s="240" t="s">
        <v>72</v>
      </c>
      <c r="B1288" s="47" t="s">
        <v>5</v>
      </c>
      <c r="C1288" s="12">
        <v>0.0296610169491525</v>
      </c>
      <c r="D1288" s="241">
        <v>0</v>
      </c>
      <c r="E1288" s="241">
        <v>0.0909090909090909</v>
      </c>
      <c r="F1288" s="241">
        <v>0</v>
      </c>
      <c r="G1288" s="241">
        <v>0</v>
      </c>
      <c r="H1288" s="241">
        <v>0.105263157894737</v>
      </c>
      <c r="I1288" s="241">
        <v>0.037037037037037</v>
      </c>
      <c r="J1288" s="241">
        <v>0</v>
      </c>
      <c r="K1288" s="241">
        <v>0</v>
      </c>
      <c r="L1288" s="241">
        <v>0.0689655172413793</v>
      </c>
      <c r="M1288" s="241">
        <v>0</v>
      </c>
      <c r="N1288" s="241">
        <v>0</v>
      </c>
      <c r="O1288" s="252">
        <v>0.0294117647058824</v>
      </c>
    </row>
    <row r="1289" spans="1:15">
      <c r="A1289" s="242" t="s">
        <v>72</v>
      </c>
      <c r="B1289" s="43" t="s">
        <v>6</v>
      </c>
      <c r="C1289" s="15">
        <v>2</v>
      </c>
      <c r="D1289" s="244">
        <v>0</v>
      </c>
      <c r="E1289" s="244">
        <v>0</v>
      </c>
      <c r="F1289" s="244">
        <v>0</v>
      </c>
      <c r="G1289" s="244">
        <v>0</v>
      </c>
      <c r="H1289" s="244">
        <v>0</v>
      </c>
      <c r="I1289" s="244">
        <v>0</v>
      </c>
      <c r="J1289" s="244">
        <v>1</v>
      </c>
      <c r="K1289" s="244">
        <v>0</v>
      </c>
      <c r="L1289" s="244">
        <v>1</v>
      </c>
      <c r="M1289" s="244">
        <v>0</v>
      </c>
      <c r="N1289" s="244">
        <v>0</v>
      </c>
      <c r="O1289" s="254">
        <v>0</v>
      </c>
    </row>
    <row r="1290" ht="14.25" spans="1:15">
      <c r="A1290" s="245" t="s">
        <v>72</v>
      </c>
      <c r="B1290" s="52" t="s">
        <v>64</v>
      </c>
      <c r="C1290" s="19">
        <v>0.285714285714286</v>
      </c>
      <c r="D1290" s="250">
        <v>0</v>
      </c>
      <c r="E1290" s="250">
        <v>0</v>
      </c>
      <c r="F1290" s="250">
        <v>0</v>
      </c>
      <c r="G1290" s="250">
        <v>0</v>
      </c>
      <c r="H1290" s="250">
        <v>0</v>
      </c>
      <c r="I1290" s="250">
        <v>0</v>
      </c>
      <c r="J1290" s="250">
        <v>1</v>
      </c>
      <c r="K1290" s="250">
        <v>0</v>
      </c>
      <c r="L1290" s="250">
        <v>1</v>
      </c>
      <c r="M1290" s="250">
        <v>0</v>
      </c>
      <c r="N1290" s="250">
        <v>0</v>
      </c>
      <c r="O1290" s="257">
        <v>0</v>
      </c>
    </row>
    <row r="1291" ht="14.25" spans="1:15">
      <c r="A1291" s="237">
        <v>45039</v>
      </c>
      <c r="B1291" s="237"/>
      <c r="C1291" s="237"/>
      <c r="D1291" s="237"/>
      <c r="E1291" s="237"/>
      <c r="F1291" s="237"/>
      <c r="G1291" s="237"/>
      <c r="H1291" s="237"/>
      <c r="I1291" s="237"/>
      <c r="J1291" s="237"/>
      <c r="K1291" s="237"/>
      <c r="L1291" s="237"/>
      <c r="M1291" s="237"/>
      <c r="N1291" s="237"/>
      <c r="O1291" s="237"/>
    </row>
    <row r="1292" spans="1:15">
      <c r="A1292" s="56" t="s">
        <v>1</v>
      </c>
      <c r="B1292" s="238"/>
      <c r="C1292" s="8" t="s">
        <v>42</v>
      </c>
      <c r="D1292" s="239" t="s">
        <v>43</v>
      </c>
      <c r="E1292" s="239" t="s">
        <v>44</v>
      </c>
      <c r="F1292" s="239" t="s">
        <v>45</v>
      </c>
      <c r="G1292" s="239" t="s">
        <v>46</v>
      </c>
      <c r="H1292" s="239" t="s">
        <v>47</v>
      </c>
      <c r="I1292" s="239" t="s">
        <v>48</v>
      </c>
      <c r="J1292" s="239" t="s">
        <v>49</v>
      </c>
      <c r="K1292" s="239" t="s">
        <v>50</v>
      </c>
      <c r="L1292" s="239" t="s">
        <v>51</v>
      </c>
      <c r="M1292" s="239" t="s">
        <v>52</v>
      </c>
      <c r="N1292" s="239" t="s">
        <v>53</v>
      </c>
      <c r="O1292" s="251" t="s">
        <v>54</v>
      </c>
    </row>
    <row r="1293" spans="1:15">
      <c r="A1293" s="240" t="s">
        <v>22</v>
      </c>
      <c r="B1293" s="47" t="s">
        <v>55</v>
      </c>
      <c r="C1293" s="12">
        <v>0.340027137042062</v>
      </c>
      <c r="D1293" s="241">
        <v>0.14792899408284</v>
      </c>
      <c r="E1293" s="241">
        <v>0.120418848167539</v>
      </c>
      <c r="F1293" s="241">
        <v>0.18348623853211</v>
      </c>
      <c r="G1293" s="241">
        <v>0.466666666666667</v>
      </c>
      <c r="H1293" s="241">
        <v>0.511494252873563</v>
      </c>
      <c r="I1293" s="241">
        <v>0.528846153846154</v>
      </c>
      <c r="J1293" s="241">
        <v>0.642857142857143</v>
      </c>
      <c r="K1293" s="241">
        <v>0.561904761904762</v>
      </c>
      <c r="L1293" s="241">
        <v>0.507692307692308</v>
      </c>
      <c r="M1293" s="241">
        <v>0.572769953051643</v>
      </c>
      <c r="N1293" s="241">
        <v>0.521276595744681</v>
      </c>
      <c r="O1293" s="252">
        <v>0.449438202247191</v>
      </c>
    </row>
    <row r="1294" spans="1:15">
      <c r="A1294" s="242" t="s">
        <v>22</v>
      </c>
      <c r="B1294" s="43" t="s">
        <v>57</v>
      </c>
      <c r="C1294" s="15">
        <v>3685</v>
      </c>
      <c r="D1294" s="243">
        <v>1014</v>
      </c>
      <c r="E1294" s="243">
        <v>573</v>
      </c>
      <c r="F1294" s="243">
        <v>218</v>
      </c>
      <c r="G1294" s="243">
        <v>135</v>
      </c>
      <c r="H1294" s="243">
        <v>174</v>
      </c>
      <c r="I1294" s="243">
        <v>208</v>
      </c>
      <c r="J1294" s="243">
        <v>196</v>
      </c>
      <c r="K1294" s="243">
        <v>210</v>
      </c>
      <c r="L1294" s="243">
        <v>195</v>
      </c>
      <c r="M1294" s="243">
        <v>213</v>
      </c>
      <c r="N1294" s="243">
        <v>282</v>
      </c>
      <c r="O1294" s="253">
        <v>267</v>
      </c>
    </row>
    <row r="1295" spans="1:15">
      <c r="A1295" s="240" t="s">
        <v>22</v>
      </c>
      <c r="B1295" s="47" t="s">
        <v>59</v>
      </c>
      <c r="C1295" s="15">
        <v>1253</v>
      </c>
      <c r="D1295" s="243">
        <v>150</v>
      </c>
      <c r="E1295" s="243">
        <v>69</v>
      </c>
      <c r="F1295" s="243">
        <v>40</v>
      </c>
      <c r="G1295" s="243">
        <v>63</v>
      </c>
      <c r="H1295" s="243">
        <v>89</v>
      </c>
      <c r="I1295" s="243">
        <v>110</v>
      </c>
      <c r="J1295" s="243">
        <v>126</v>
      </c>
      <c r="K1295" s="243">
        <v>118</v>
      </c>
      <c r="L1295" s="243">
        <v>99</v>
      </c>
      <c r="M1295" s="243">
        <v>122</v>
      </c>
      <c r="N1295" s="243">
        <v>147</v>
      </c>
      <c r="O1295" s="253">
        <v>120</v>
      </c>
    </row>
    <row r="1296" spans="1:15">
      <c r="A1296" s="242" t="s">
        <v>22</v>
      </c>
      <c r="B1296" s="43" t="s">
        <v>4</v>
      </c>
      <c r="C1296" s="15">
        <v>69</v>
      </c>
      <c r="D1296" s="244">
        <v>6</v>
      </c>
      <c r="E1296" s="244">
        <v>8</v>
      </c>
      <c r="F1296" s="244">
        <v>0</v>
      </c>
      <c r="G1296" s="244">
        <v>2</v>
      </c>
      <c r="H1296" s="244">
        <v>6</v>
      </c>
      <c r="I1296" s="244">
        <v>7</v>
      </c>
      <c r="J1296" s="244">
        <v>5</v>
      </c>
      <c r="K1296" s="244">
        <v>7</v>
      </c>
      <c r="L1296" s="244">
        <v>5</v>
      </c>
      <c r="M1296" s="244">
        <v>12</v>
      </c>
      <c r="N1296" s="244">
        <v>4</v>
      </c>
      <c r="O1296" s="254">
        <v>7</v>
      </c>
    </row>
    <row r="1297" spans="1:15">
      <c r="A1297" s="240" t="s">
        <v>22</v>
      </c>
      <c r="B1297" s="47" t="s">
        <v>5</v>
      </c>
      <c r="C1297" s="12">
        <v>0.0550678371907422</v>
      </c>
      <c r="D1297" s="241">
        <v>0.04</v>
      </c>
      <c r="E1297" s="241">
        <v>0.115942028985507</v>
      </c>
      <c r="F1297" s="241">
        <v>0</v>
      </c>
      <c r="G1297" s="241">
        <v>0.0317460317460317</v>
      </c>
      <c r="H1297" s="241">
        <v>0.0674157303370786</v>
      </c>
      <c r="I1297" s="241">
        <v>0.0636363636363636</v>
      </c>
      <c r="J1297" s="241">
        <v>0.0396825396825397</v>
      </c>
      <c r="K1297" s="241">
        <v>0.0593220338983051</v>
      </c>
      <c r="L1297" s="241">
        <v>0.0505050505050505</v>
      </c>
      <c r="M1297" s="241">
        <v>0.0983606557377049</v>
      </c>
      <c r="N1297" s="241">
        <v>0.0272108843537415</v>
      </c>
      <c r="O1297" s="252">
        <v>0.0583333333333333</v>
      </c>
    </row>
    <row r="1298" spans="1:15">
      <c r="A1298" s="242" t="s">
        <v>22</v>
      </c>
      <c r="B1298" s="43" t="s">
        <v>6</v>
      </c>
      <c r="C1298" s="15">
        <v>18</v>
      </c>
      <c r="D1298" s="244">
        <v>1</v>
      </c>
      <c r="E1298" s="244">
        <v>2</v>
      </c>
      <c r="F1298" s="244">
        <v>1</v>
      </c>
      <c r="G1298" s="244">
        <v>0</v>
      </c>
      <c r="H1298" s="244">
        <v>1</v>
      </c>
      <c r="I1298" s="244">
        <v>2</v>
      </c>
      <c r="J1298" s="244">
        <v>2</v>
      </c>
      <c r="K1298" s="244">
        <v>3</v>
      </c>
      <c r="L1298" s="244">
        <v>1</v>
      </c>
      <c r="M1298" s="244">
        <v>2</v>
      </c>
      <c r="N1298" s="244">
        <v>2</v>
      </c>
      <c r="O1298" s="254">
        <v>1</v>
      </c>
    </row>
    <row r="1299" ht="14.25" spans="1:15">
      <c r="A1299" s="245" t="s">
        <v>22</v>
      </c>
      <c r="B1299" s="52" t="s">
        <v>64</v>
      </c>
      <c r="C1299" s="19">
        <v>0.260869565217391</v>
      </c>
      <c r="D1299" s="246">
        <v>0.166666666666667</v>
      </c>
      <c r="E1299" s="246">
        <v>0.25</v>
      </c>
      <c r="F1299" s="246">
        <v>0</v>
      </c>
      <c r="G1299" s="246">
        <v>0</v>
      </c>
      <c r="H1299" s="246">
        <v>0.166666666666667</v>
      </c>
      <c r="I1299" s="246">
        <v>0.285714285714286</v>
      </c>
      <c r="J1299" s="246">
        <v>0.4</v>
      </c>
      <c r="K1299" s="246">
        <v>0.428571428571429</v>
      </c>
      <c r="L1299" s="246">
        <v>0.2</v>
      </c>
      <c r="M1299" s="246">
        <v>0.166666666666667</v>
      </c>
      <c r="N1299" s="246">
        <v>0.5</v>
      </c>
      <c r="O1299" s="255">
        <v>0.142857142857143</v>
      </c>
    </row>
    <row r="1300" spans="1:15">
      <c r="A1300" s="247" t="s">
        <v>66</v>
      </c>
      <c r="B1300" s="248" t="s">
        <v>55</v>
      </c>
      <c r="C1300" s="12">
        <v>0.143146796431468</v>
      </c>
      <c r="D1300" s="249">
        <v>0.14375</v>
      </c>
      <c r="E1300" s="249">
        <v>0.104477611940299</v>
      </c>
      <c r="F1300" s="249">
        <v>0.0954356846473029</v>
      </c>
      <c r="G1300" s="249">
        <v>0.0469208211143695</v>
      </c>
      <c r="H1300" s="249">
        <v>0.134408602150538</v>
      </c>
      <c r="I1300" s="249">
        <v>0.196531791907514</v>
      </c>
      <c r="J1300" s="249">
        <v>0.17816091954023</v>
      </c>
      <c r="K1300" s="249">
        <v>0.165680473372781</v>
      </c>
      <c r="L1300" s="249">
        <v>0.179487179487179</v>
      </c>
      <c r="M1300" s="249">
        <v>0.176</v>
      </c>
      <c r="N1300" s="249">
        <v>0.233128834355828</v>
      </c>
      <c r="O1300" s="256">
        <v>0.188940092165899</v>
      </c>
    </row>
    <row r="1301" spans="1:15">
      <c r="A1301" s="242" t="s">
        <v>66</v>
      </c>
      <c r="B1301" s="43" t="s">
        <v>57</v>
      </c>
      <c r="C1301" s="15">
        <v>2466</v>
      </c>
      <c r="D1301" s="243">
        <v>320</v>
      </c>
      <c r="E1301" s="243">
        <v>201</v>
      </c>
      <c r="F1301" s="243">
        <v>241</v>
      </c>
      <c r="G1301" s="243">
        <v>341</v>
      </c>
      <c r="H1301" s="243">
        <v>186</v>
      </c>
      <c r="I1301" s="243">
        <v>173</v>
      </c>
      <c r="J1301" s="243">
        <v>174</v>
      </c>
      <c r="K1301" s="243">
        <v>169</v>
      </c>
      <c r="L1301" s="243">
        <v>156</v>
      </c>
      <c r="M1301" s="243">
        <v>125</v>
      </c>
      <c r="N1301" s="243">
        <v>163</v>
      </c>
      <c r="O1301" s="253">
        <v>217</v>
      </c>
    </row>
    <row r="1302" spans="1:15">
      <c r="A1302" s="240" t="s">
        <v>66</v>
      </c>
      <c r="B1302" s="47" t="s">
        <v>59</v>
      </c>
      <c r="C1302" s="15">
        <v>353</v>
      </c>
      <c r="D1302" s="243">
        <v>46</v>
      </c>
      <c r="E1302" s="243">
        <v>21</v>
      </c>
      <c r="F1302" s="243">
        <v>23</v>
      </c>
      <c r="G1302" s="243">
        <v>16</v>
      </c>
      <c r="H1302" s="243">
        <v>25</v>
      </c>
      <c r="I1302" s="243">
        <v>34</v>
      </c>
      <c r="J1302" s="243">
        <v>31</v>
      </c>
      <c r="K1302" s="243">
        <v>28</v>
      </c>
      <c r="L1302" s="243">
        <v>28</v>
      </c>
      <c r="M1302" s="243">
        <v>22</v>
      </c>
      <c r="N1302" s="243">
        <v>38</v>
      </c>
      <c r="O1302" s="253">
        <v>41</v>
      </c>
    </row>
    <row r="1303" spans="1:15">
      <c r="A1303" s="242" t="s">
        <v>66</v>
      </c>
      <c r="B1303" s="43" t="s">
        <v>4</v>
      </c>
      <c r="C1303" s="15">
        <v>14</v>
      </c>
      <c r="D1303" s="244">
        <v>1</v>
      </c>
      <c r="E1303" s="244">
        <v>3</v>
      </c>
      <c r="F1303" s="244">
        <v>1</v>
      </c>
      <c r="G1303" s="244">
        <v>1</v>
      </c>
      <c r="H1303" s="244">
        <v>1</v>
      </c>
      <c r="I1303" s="244">
        <v>0</v>
      </c>
      <c r="J1303" s="244">
        <v>0</v>
      </c>
      <c r="K1303" s="244">
        <v>0</v>
      </c>
      <c r="L1303" s="244">
        <v>2</v>
      </c>
      <c r="M1303" s="244">
        <v>0</v>
      </c>
      <c r="N1303" s="244">
        <v>2</v>
      </c>
      <c r="O1303" s="254">
        <v>3</v>
      </c>
    </row>
    <row r="1304" spans="1:15">
      <c r="A1304" s="240" t="s">
        <v>66</v>
      </c>
      <c r="B1304" s="47" t="s">
        <v>5</v>
      </c>
      <c r="C1304" s="12">
        <v>0.0396600566572238</v>
      </c>
      <c r="D1304" s="241">
        <v>0.0217391304347826</v>
      </c>
      <c r="E1304" s="241">
        <v>0.142857142857143</v>
      </c>
      <c r="F1304" s="241">
        <v>0.0434782608695652</v>
      </c>
      <c r="G1304" s="241">
        <v>0.0625</v>
      </c>
      <c r="H1304" s="241">
        <v>0.04</v>
      </c>
      <c r="I1304" s="241">
        <v>0</v>
      </c>
      <c r="J1304" s="241">
        <v>0</v>
      </c>
      <c r="K1304" s="241">
        <v>0</v>
      </c>
      <c r="L1304" s="241">
        <v>0.0714285714285714</v>
      </c>
      <c r="M1304" s="241">
        <v>0</v>
      </c>
      <c r="N1304" s="241">
        <v>0.0526315789473684</v>
      </c>
      <c r="O1304" s="252">
        <v>0.0731707317073171</v>
      </c>
    </row>
    <row r="1305" spans="1:15">
      <c r="A1305" s="242" t="s">
        <v>66</v>
      </c>
      <c r="B1305" s="43" t="s">
        <v>6</v>
      </c>
      <c r="C1305" s="15">
        <v>2</v>
      </c>
      <c r="D1305" s="244">
        <v>0</v>
      </c>
      <c r="E1305" s="244">
        <v>1</v>
      </c>
      <c r="F1305" s="244">
        <v>0</v>
      </c>
      <c r="G1305" s="244">
        <v>0</v>
      </c>
      <c r="H1305" s="244">
        <v>0</v>
      </c>
      <c r="I1305" s="244">
        <v>0</v>
      </c>
      <c r="J1305" s="244">
        <v>0</v>
      </c>
      <c r="K1305" s="244">
        <v>0</v>
      </c>
      <c r="L1305" s="244">
        <v>0</v>
      </c>
      <c r="M1305" s="244">
        <v>0</v>
      </c>
      <c r="N1305" s="244">
        <v>0</v>
      </c>
      <c r="O1305" s="254">
        <v>1</v>
      </c>
    </row>
    <row r="1306" ht="14.25" spans="1:15">
      <c r="A1306" s="245" t="s">
        <v>66</v>
      </c>
      <c r="B1306" s="52" t="s">
        <v>64</v>
      </c>
      <c r="C1306" s="19">
        <v>0.142857142857143</v>
      </c>
      <c r="D1306" s="246">
        <v>0</v>
      </c>
      <c r="E1306" s="246">
        <v>0.333333333333333</v>
      </c>
      <c r="F1306" s="246">
        <v>0</v>
      </c>
      <c r="G1306" s="246">
        <v>0</v>
      </c>
      <c r="H1306" s="246">
        <v>0</v>
      </c>
      <c r="I1306" s="246">
        <v>0</v>
      </c>
      <c r="J1306" s="246">
        <v>0</v>
      </c>
      <c r="K1306" s="246">
        <v>0</v>
      </c>
      <c r="L1306" s="246">
        <v>0</v>
      </c>
      <c r="M1306" s="246">
        <v>0</v>
      </c>
      <c r="N1306" s="246">
        <v>0</v>
      </c>
      <c r="O1306" s="255">
        <v>0.333333333333333</v>
      </c>
    </row>
    <row r="1307" spans="1:15">
      <c r="A1307" s="240" t="s">
        <v>67</v>
      </c>
      <c r="B1307" s="47" t="s">
        <v>55</v>
      </c>
      <c r="C1307" s="12">
        <v>0.216789667896679</v>
      </c>
      <c r="D1307" s="241">
        <v>0.189265536723164</v>
      </c>
      <c r="E1307" s="241">
        <v>0.197916666666667</v>
      </c>
      <c r="F1307" s="241">
        <v>0.210526315789474</v>
      </c>
      <c r="G1307" s="241">
        <v>0.198529411764706</v>
      </c>
      <c r="H1307" s="241">
        <v>0.308695652173913</v>
      </c>
      <c r="I1307" s="241">
        <v>0.271929824561404</v>
      </c>
      <c r="J1307" s="241">
        <v>0.205128205128205</v>
      </c>
      <c r="K1307" s="241">
        <v>0.213068181818182</v>
      </c>
      <c r="L1307" s="241">
        <v>0.200854700854701</v>
      </c>
      <c r="M1307" s="241">
        <v>0.308035714285714</v>
      </c>
      <c r="N1307" s="241">
        <v>0.220125786163522</v>
      </c>
      <c r="O1307" s="252">
        <v>0.163082437275986</v>
      </c>
    </row>
    <row r="1308" spans="1:15">
      <c r="A1308" s="242" t="s">
        <v>67</v>
      </c>
      <c r="B1308" s="43" t="s">
        <v>57</v>
      </c>
      <c r="C1308" s="15">
        <v>3252</v>
      </c>
      <c r="D1308" s="243">
        <v>354</v>
      </c>
      <c r="E1308" s="243">
        <v>192</v>
      </c>
      <c r="F1308" s="243">
        <v>114</v>
      </c>
      <c r="G1308" s="243">
        <v>136</v>
      </c>
      <c r="H1308" s="243">
        <v>230</v>
      </c>
      <c r="I1308" s="243">
        <v>228</v>
      </c>
      <c r="J1308" s="243">
        <v>312</v>
      </c>
      <c r="K1308" s="243">
        <v>352</v>
      </c>
      <c r="L1308" s="243">
        <v>234</v>
      </c>
      <c r="M1308" s="243">
        <v>224</v>
      </c>
      <c r="N1308" s="243">
        <v>318</v>
      </c>
      <c r="O1308" s="253">
        <v>558</v>
      </c>
    </row>
    <row r="1309" spans="1:15">
      <c r="A1309" s="240" t="s">
        <v>67</v>
      </c>
      <c r="B1309" s="47" t="s">
        <v>59</v>
      </c>
      <c r="C1309" s="15">
        <v>705</v>
      </c>
      <c r="D1309" s="243">
        <v>67</v>
      </c>
      <c r="E1309" s="243">
        <v>38</v>
      </c>
      <c r="F1309" s="243">
        <v>24</v>
      </c>
      <c r="G1309" s="243">
        <v>27</v>
      </c>
      <c r="H1309" s="243">
        <v>71</v>
      </c>
      <c r="I1309" s="243">
        <v>62</v>
      </c>
      <c r="J1309" s="243">
        <v>64</v>
      </c>
      <c r="K1309" s="243">
        <v>75</v>
      </c>
      <c r="L1309" s="243">
        <v>47</v>
      </c>
      <c r="M1309" s="243">
        <v>69</v>
      </c>
      <c r="N1309" s="243">
        <v>70</v>
      </c>
      <c r="O1309" s="253">
        <v>91</v>
      </c>
    </row>
    <row r="1310" spans="1:15">
      <c r="A1310" s="242" t="s">
        <v>67</v>
      </c>
      <c r="B1310" s="43" t="s">
        <v>4</v>
      </c>
      <c r="C1310" s="15">
        <v>54</v>
      </c>
      <c r="D1310" s="244">
        <v>3</v>
      </c>
      <c r="E1310" s="244">
        <v>6</v>
      </c>
      <c r="F1310" s="244">
        <v>1</v>
      </c>
      <c r="G1310" s="244">
        <v>1</v>
      </c>
      <c r="H1310" s="244">
        <v>5</v>
      </c>
      <c r="I1310" s="244">
        <v>5</v>
      </c>
      <c r="J1310" s="244">
        <v>6</v>
      </c>
      <c r="K1310" s="244">
        <v>3</v>
      </c>
      <c r="L1310" s="244">
        <v>5</v>
      </c>
      <c r="M1310" s="244">
        <v>6</v>
      </c>
      <c r="N1310" s="244">
        <v>5</v>
      </c>
      <c r="O1310" s="254">
        <v>8</v>
      </c>
    </row>
    <row r="1311" spans="1:15">
      <c r="A1311" s="240" t="s">
        <v>67</v>
      </c>
      <c r="B1311" s="47" t="s">
        <v>5</v>
      </c>
      <c r="C1311" s="12">
        <v>0.0765957446808511</v>
      </c>
      <c r="D1311" s="241">
        <v>0.0447761194029851</v>
      </c>
      <c r="E1311" s="241">
        <v>0.157894736842105</v>
      </c>
      <c r="F1311" s="241">
        <v>0.0416666666666667</v>
      </c>
      <c r="G1311" s="241">
        <v>0.037037037037037</v>
      </c>
      <c r="H1311" s="241">
        <v>0.0704225352112676</v>
      </c>
      <c r="I1311" s="241">
        <v>0.0806451612903226</v>
      </c>
      <c r="J1311" s="241">
        <v>0.09375</v>
      </c>
      <c r="K1311" s="241">
        <v>0.04</v>
      </c>
      <c r="L1311" s="241">
        <v>0.106382978723404</v>
      </c>
      <c r="M1311" s="241">
        <v>0.0869565217391304</v>
      </c>
      <c r="N1311" s="241">
        <v>0.0714285714285714</v>
      </c>
      <c r="O1311" s="252">
        <v>0.0879120879120879</v>
      </c>
    </row>
    <row r="1312" spans="1:15">
      <c r="A1312" s="242" t="s">
        <v>67</v>
      </c>
      <c r="B1312" s="43" t="s">
        <v>6</v>
      </c>
      <c r="C1312" s="15">
        <v>22</v>
      </c>
      <c r="D1312" s="244">
        <v>1</v>
      </c>
      <c r="E1312" s="244">
        <v>2</v>
      </c>
      <c r="F1312" s="244">
        <v>1</v>
      </c>
      <c r="G1312" s="244">
        <v>0</v>
      </c>
      <c r="H1312" s="244">
        <v>2</v>
      </c>
      <c r="I1312" s="244">
        <v>2</v>
      </c>
      <c r="J1312" s="244">
        <v>3</v>
      </c>
      <c r="K1312" s="244">
        <v>3</v>
      </c>
      <c r="L1312" s="244">
        <v>3</v>
      </c>
      <c r="M1312" s="244">
        <v>3</v>
      </c>
      <c r="N1312" s="244">
        <v>2</v>
      </c>
      <c r="O1312" s="254">
        <v>0</v>
      </c>
    </row>
    <row r="1313" ht="14.25" spans="1:15">
      <c r="A1313" s="245" t="s">
        <v>67</v>
      </c>
      <c r="B1313" s="52" t="s">
        <v>64</v>
      </c>
      <c r="C1313" s="19">
        <v>0.407407407407407</v>
      </c>
      <c r="D1313" s="246">
        <v>0.333333333333333</v>
      </c>
      <c r="E1313" s="246">
        <v>0.333333333333333</v>
      </c>
      <c r="F1313" s="246">
        <v>1</v>
      </c>
      <c r="G1313" s="246">
        <v>0</v>
      </c>
      <c r="H1313" s="246">
        <v>0.4</v>
      </c>
      <c r="I1313" s="246">
        <v>0.4</v>
      </c>
      <c r="J1313" s="246">
        <v>0.5</v>
      </c>
      <c r="K1313" s="246">
        <v>1</v>
      </c>
      <c r="L1313" s="246">
        <v>0.6</v>
      </c>
      <c r="M1313" s="246">
        <v>0.5</v>
      </c>
      <c r="N1313" s="246">
        <v>0.4</v>
      </c>
      <c r="O1313" s="255">
        <v>0</v>
      </c>
    </row>
    <row r="1314" spans="1:15">
      <c r="A1314" s="240" t="s">
        <v>68</v>
      </c>
      <c r="B1314" s="47" t="s">
        <v>55</v>
      </c>
      <c r="C1314" s="12">
        <v>0.0384511784511785</v>
      </c>
      <c r="D1314" s="241">
        <v>0.0703703703703704</v>
      </c>
      <c r="E1314" s="241">
        <v>0.0307881773399015</v>
      </c>
      <c r="F1314" s="241">
        <v>0.0270880361173815</v>
      </c>
      <c r="G1314" s="241">
        <v>0.0192307692307692</v>
      </c>
      <c r="H1314" s="241">
        <v>0.036036036036036</v>
      </c>
      <c r="I1314" s="241">
        <v>0.0440976933514247</v>
      </c>
      <c r="J1314" s="241">
        <v>0.0376420454545455</v>
      </c>
      <c r="K1314" s="241">
        <v>0.0443886097152429</v>
      </c>
      <c r="L1314" s="241">
        <v>0.0404411764705882</v>
      </c>
      <c r="M1314" s="241">
        <v>0.035548686244204</v>
      </c>
      <c r="N1314" s="241">
        <v>0.0317365269461078</v>
      </c>
      <c r="O1314" s="252">
        <v>0.0414473684210526</v>
      </c>
    </row>
    <row r="1315" spans="1:15">
      <c r="A1315" s="242" t="s">
        <v>68</v>
      </c>
      <c r="B1315" s="43" t="s">
        <v>57</v>
      </c>
      <c r="C1315" s="15">
        <v>14850</v>
      </c>
      <c r="D1315" s="243">
        <v>1080</v>
      </c>
      <c r="E1315" s="243">
        <v>812</v>
      </c>
      <c r="F1315" s="243">
        <v>886</v>
      </c>
      <c r="G1315" s="243">
        <v>1092</v>
      </c>
      <c r="H1315" s="243">
        <v>1332</v>
      </c>
      <c r="I1315" s="243">
        <v>1474</v>
      </c>
      <c r="J1315" s="243">
        <v>1408</v>
      </c>
      <c r="K1315" s="243">
        <v>1194</v>
      </c>
      <c r="L1315" s="243">
        <v>1088</v>
      </c>
      <c r="M1315" s="243">
        <v>1294</v>
      </c>
      <c r="N1315" s="243">
        <v>1670</v>
      </c>
      <c r="O1315" s="253">
        <v>1520</v>
      </c>
    </row>
    <row r="1316" spans="1:15">
      <c r="A1316" s="240" t="s">
        <v>68</v>
      </c>
      <c r="B1316" s="47" t="s">
        <v>59</v>
      </c>
      <c r="C1316" s="15">
        <v>571</v>
      </c>
      <c r="D1316" s="243">
        <v>76</v>
      </c>
      <c r="E1316" s="243">
        <v>25</v>
      </c>
      <c r="F1316" s="243">
        <v>24</v>
      </c>
      <c r="G1316" s="243">
        <v>21</v>
      </c>
      <c r="H1316" s="243">
        <v>48</v>
      </c>
      <c r="I1316" s="243">
        <v>65</v>
      </c>
      <c r="J1316" s="243">
        <v>53</v>
      </c>
      <c r="K1316" s="243">
        <v>53</v>
      </c>
      <c r="L1316" s="243">
        <v>44</v>
      </c>
      <c r="M1316" s="243">
        <v>46</v>
      </c>
      <c r="N1316" s="243">
        <v>53</v>
      </c>
      <c r="O1316" s="253">
        <v>63</v>
      </c>
    </row>
    <row r="1317" spans="1:15">
      <c r="A1317" s="242" t="s">
        <v>68</v>
      </c>
      <c r="B1317" s="43" t="s">
        <v>4</v>
      </c>
      <c r="C1317" s="15">
        <v>42</v>
      </c>
      <c r="D1317" s="244">
        <v>9</v>
      </c>
      <c r="E1317" s="244">
        <v>3</v>
      </c>
      <c r="F1317" s="244">
        <v>1</v>
      </c>
      <c r="G1317" s="244">
        <v>1</v>
      </c>
      <c r="H1317" s="244">
        <v>1</v>
      </c>
      <c r="I1317" s="244">
        <v>5</v>
      </c>
      <c r="J1317" s="244">
        <v>7</v>
      </c>
      <c r="K1317" s="244">
        <v>0</v>
      </c>
      <c r="L1317" s="244">
        <v>3</v>
      </c>
      <c r="M1317" s="244">
        <v>2</v>
      </c>
      <c r="N1317" s="244">
        <v>4</v>
      </c>
      <c r="O1317" s="254">
        <v>6</v>
      </c>
    </row>
    <row r="1318" spans="1:15">
      <c r="A1318" s="240" t="s">
        <v>68</v>
      </c>
      <c r="B1318" s="47" t="s">
        <v>5</v>
      </c>
      <c r="C1318" s="12">
        <v>0.0735551663747811</v>
      </c>
      <c r="D1318" s="241">
        <v>0.118421052631579</v>
      </c>
      <c r="E1318" s="241">
        <v>0.12</v>
      </c>
      <c r="F1318" s="241">
        <v>0.0416666666666667</v>
      </c>
      <c r="G1318" s="241">
        <v>0.0476190476190476</v>
      </c>
      <c r="H1318" s="241">
        <v>0.0208333333333333</v>
      </c>
      <c r="I1318" s="241">
        <v>0.0769230769230769</v>
      </c>
      <c r="J1318" s="241">
        <v>0.132075471698113</v>
      </c>
      <c r="K1318" s="241">
        <v>0</v>
      </c>
      <c r="L1318" s="241">
        <v>0.0681818181818182</v>
      </c>
      <c r="M1318" s="241">
        <v>0.0434782608695652</v>
      </c>
      <c r="N1318" s="241">
        <v>0.0754716981132075</v>
      </c>
      <c r="O1318" s="252">
        <v>0.0952380952380952</v>
      </c>
    </row>
    <row r="1319" spans="1:15">
      <c r="A1319" s="242" t="s">
        <v>68</v>
      </c>
      <c r="B1319" s="43" t="s">
        <v>6</v>
      </c>
      <c r="C1319" s="15">
        <v>15</v>
      </c>
      <c r="D1319" s="244">
        <v>4</v>
      </c>
      <c r="E1319" s="244">
        <v>1</v>
      </c>
      <c r="F1319" s="244">
        <v>0</v>
      </c>
      <c r="G1319" s="244">
        <v>0</v>
      </c>
      <c r="H1319" s="244">
        <v>0</v>
      </c>
      <c r="I1319" s="244">
        <v>2</v>
      </c>
      <c r="J1319" s="244">
        <v>1</v>
      </c>
      <c r="K1319" s="244">
        <v>1</v>
      </c>
      <c r="L1319" s="244">
        <v>0</v>
      </c>
      <c r="M1319" s="244">
        <v>5</v>
      </c>
      <c r="N1319" s="244">
        <v>0</v>
      </c>
      <c r="O1319" s="254">
        <v>1</v>
      </c>
    </row>
    <row r="1320" ht="14.25" spans="1:15">
      <c r="A1320" s="245" t="s">
        <v>68</v>
      </c>
      <c r="B1320" s="52" t="s">
        <v>64</v>
      </c>
      <c r="C1320" s="19">
        <v>0.357142857142857</v>
      </c>
      <c r="D1320" s="246">
        <v>0.444444444444444</v>
      </c>
      <c r="E1320" s="246">
        <v>0.333333333333333</v>
      </c>
      <c r="F1320" s="246">
        <v>0</v>
      </c>
      <c r="G1320" s="246">
        <v>0</v>
      </c>
      <c r="H1320" s="246">
        <v>0</v>
      </c>
      <c r="I1320" s="246">
        <v>0.4</v>
      </c>
      <c r="J1320" s="246">
        <v>0.142857142857143</v>
      </c>
      <c r="K1320" s="246">
        <v>0</v>
      </c>
      <c r="L1320" s="246">
        <v>0</v>
      </c>
      <c r="M1320" s="246">
        <v>2.5</v>
      </c>
      <c r="N1320" s="246">
        <v>0</v>
      </c>
      <c r="O1320" s="255">
        <v>0.166666666666667</v>
      </c>
    </row>
    <row r="1321" spans="1:15">
      <c r="A1321" s="240" t="s">
        <v>69</v>
      </c>
      <c r="B1321" s="47" t="s">
        <v>55</v>
      </c>
      <c r="C1321" s="12">
        <v>0.981042654028436</v>
      </c>
      <c r="D1321" s="241">
        <v>1.50943396226415</v>
      </c>
      <c r="E1321" s="241">
        <v>0.888888888888889</v>
      </c>
      <c r="F1321" s="241">
        <v>1.31578947368421</v>
      </c>
      <c r="G1321" s="241">
        <v>1</v>
      </c>
      <c r="H1321" s="241">
        <v>0.982758620689655</v>
      </c>
      <c r="I1321" s="241">
        <v>0.933333333333333</v>
      </c>
      <c r="J1321" s="241">
        <v>1.01785714285714</v>
      </c>
      <c r="K1321" s="241">
        <v>1</v>
      </c>
      <c r="L1321" s="241">
        <v>0.830508474576271</v>
      </c>
      <c r="M1321" s="241">
        <v>0.862068965517241</v>
      </c>
      <c r="N1321" s="241">
        <v>0.94047619047619</v>
      </c>
      <c r="O1321" s="252">
        <v>0.782608695652174</v>
      </c>
    </row>
    <row r="1322" spans="1:15">
      <c r="A1322" s="242" t="s">
        <v>69</v>
      </c>
      <c r="B1322" s="43" t="s">
        <v>57</v>
      </c>
      <c r="C1322" s="15">
        <v>633</v>
      </c>
      <c r="D1322" s="243">
        <v>53</v>
      </c>
      <c r="E1322" s="243">
        <v>27</v>
      </c>
      <c r="F1322" s="243">
        <v>19</v>
      </c>
      <c r="G1322" s="243">
        <v>29</v>
      </c>
      <c r="H1322" s="243">
        <v>58</v>
      </c>
      <c r="I1322" s="243">
        <v>60</v>
      </c>
      <c r="J1322" s="243">
        <v>56</v>
      </c>
      <c r="K1322" s="243">
        <v>61</v>
      </c>
      <c r="L1322" s="243">
        <v>59</v>
      </c>
      <c r="M1322" s="243">
        <v>58</v>
      </c>
      <c r="N1322" s="243">
        <v>84</v>
      </c>
      <c r="O1322" s="253">
        <v>69</v>
      </c>
    </row>
    <row r="1323" spans="1:15">
      <c r="A1323" s="240" t="s">
        <v>69</v>
      </c>
      <c r="B1323" s="47" t="s">
        <v>59</v>
      </c>
      <c r="C1323" s="15">
        <v>621</v>
      </c>
      <c r="D1323" s="243">
        <v>80</v>
      </c>
      <c r="E1323" s="243">
        <v>24</v>
      </c>
      <c r="F1323" s="243">
        <v>25</v>
      </c>
      <c r="G1323" s="243">
        <v>29</v>
      </c>
      <c r="H1323" s="243">
        <v>57</v>
      </c>
      <c r="I1323" s="243">
        <v>56</v>
      </c>
      <c r="J1323" s="243">
        <v>57</v>
      </c>
      <c r="K1323" s="243">
        <v>61</v>
      </c>
      <c r="L1323" s="243">
        <v>49</v>
      </c>
      <c r="M1323" s="243">
        <v>50</v>
      </c>
      <c r="N1323" s="243">
        <v>79</v>
      </c>
      <c r="O1323" s="253">
        <v>54</v>
      </c>
    </row>
    <row r="1324" spans="1:15">
      <c r="A1324" s="242" t="s">
        <v>69</v>
      </c>
      <c r="B1324" s="43" t="s">
        <v>4</v>
      </c>
      <c r="C1324" s="15">
        <v>34</v>
      </c>
      <c r="D1324" s="244">
        <v>4</v>
      </c>
      <c r="E1324" s="244">
        <v>3</v>
      </c>
      <c r="F1324" s="244">
        <v>0</v>
      </c>
      <c r="G1324" s="244">
        <v>0</v>
      </c>
      <c r="H1324" s="244">
        <v>3</v>
      </c>
      <c r="I1324" s="244">
        <v>2</v>
      </c>
      <c r="J1324" s="244">
        <v>2</v>
      </c>
      <c r="K1324" s="244">
        <v>5</v>
      </c>
      <c r="L1324" s="244">
        <v>3</v>
      </c>
      <c r="M1324" s="244">
        <v>2</v>
      </c>
      <c r="N1324" s="244">
        <v>7</v>
      </c>
      <c r="O1324" s="254">
        <v>3</v>
      </c>
    </row>
    <row r="1325" spans="1:15">
      <c r="A1325" s="240" t="s">
        <v>69</v>
      </c>
      <c r="B1325" s="47" t="s">
        <v>5</v>
      </c>
      <c r="C1325" s="12">
        <v>0.0547504025764895</v>
      </c>
      <c r="D1325" s="241">
        <v>0.05</v>
      </c>
      <c r="E1325" s="241">
        <v>0.125</v>
      </c>
      <c r="F1325" s="241">
        <v>0</v>
      </c>
      <c r="G1325" s="241">
        <v>0</v>
      </c>
      <c r="H1325" s="241">
        <v>0.0526315789473684</v>
      </c>
      <c r="I1325" s="241">
        <v>0.0357142857142857</v>
      </c>
      <c r="J1325" s="241">
        <v>0.0350877192982456</v>
      </c>
      <c r="K1325" s="241">
        <v>0.0819672131147541</v>
      </c>
      <c r="L1325" s="241">
        <v>0.0612244897959184</v>
      </c>
      <c r="M1325" s="241">
        <v>0.04</v>
      </c>
      <c r="N1325" s="241">
        <v>0.0886075949367089</v>
      </c>
      <c r="O1325" s="252">
        <v>0.0555555555555556</v>
      </c>
    </row>
    <row r="1326" spans="1:15">
      <c r="A1326" s="242" t="s">
        <v>69</v>
      </c>
      <c r="B1326" s="43" t="s">
        <v>6</v>
      </c>
      <c r="C1326" s="15">
        <v>9</v>
      </c>
      <c r="D1326" s="244">
        <v>3</v>
      </c>
      <c r="E1326" s="244">
        <v>0</v>
      </c>
      <c r="F1326" s="244">
        <v>0</v>
      </c>
      <c r="G1326" s="244">
        <v>0</v>
      </c>
      <c r="H1326" s="244">
        <v>0</v>
      </c>
      <c r="I1326" s="244">
        <v>0</v>
      </c>
      <c r="J1326" s="244">
        <v>2</v>
      </c>
      <c r="K1326" s="244">
        <v>0</v>
      </c>
      <c r="L1326" s="244">
        <v>0</v>
      </c>
      <c r="M1326" s="244">
        <v>0</v>
      </c>
      <c r="N1326" s="244">
        <v>3</v>
      </c>
      <c r="O1326" s="254">
        <v>1</v>
      </c>
    </row>
    <row r="1327" ht="14.25" spans="1:15">
      <c r="A1327" s="245" t="s">
        <v>69</v>
      </c>
      <c r="B1327" s="52" t="s">
        <v>64</v>
      </c>
      <c r="C1327" s="19">
        <v>0.264705882352941</v>
      </c>
      <c r="D1327" s="246">
        <v>0.75</v>
      </c>
      <c r="E1327" s="246">
        <v>0</v>
      </c>
      <c r="F1327" s="246">
        <v>0</v>
      </c>
      <c r="G1327" s="246">
        <v>0</v>
      </c>
      <c r="H1327" s="246">
        <v>0</v>
      </c>
      <c r="I1327" s="246">
        <v>0</v>
      </c>
      <c r="J1327" s="246">
        <v>1</v>
      </c>
      <c r="K1327" s="246">
        <v>0</v>
      </c>
      <c r="L1327" s="246">
        <v>0</v>
      </c>
      <c r="M1327" s="246">
        <v>0</v>
      </c>
      <c r="N1327" s="246">
        <v>0.428571428571429</v>
      </c>
      <c r="O1327" s="255">
        <v>0.333333333333333</v>
      </c>
    </row>
    <row r="1328" spans="1:15">
      <c r="A1328" s="240" t="s">
        <v>70</v>
      </c>
      <c r="B1328" s="47" t="s">
        <v>55</v>
      </c>
      <c r="C1328" s="12">
        <v>0.601139601139601</v>
      </c>
      <c r="D1328" s="241">
        <v>0.869565217391304</v>
      </c>
      <c r="E1328" s="241">
        <v>0.928571428571429</v>
      </c>
      <c r="F1328" s="241">
        <v>1</v>
      </c>
      <c r="G1328" s="241">
        <v>1</v>
      </c>
      <c r="H1328" s="241">
        <v>0.5</v>
      </c>
      <c r="I1328" s="241">
        <v>0.48</v>
      </c>
      <c r="J1328" s="241">
        <v>0.689655172413793</v>
      </c>
      <c r="K1328" s="241">
        <v>0.379310344827586</v>
      </c>
      <c r="L1328" s="241">
        <v>0.416666666666667</v>
      </c>
      <c r="M1328" s="241">
        <v>0.571428571428571</v>
      </c>
      <c r="N1328" s="241">
        <v>0.207547169811321</v>
      </c>
      <c r="O1328" s="252">
        <v>0.891891891891892</v>
      </c>
    </row>
    <row r="1329" spans="1:15">
      <c r="A1329" s="242" t="s">
        <v>70</v>
      </c>
      <c r="B1329" s="43" t="s">
        <v>57</v>
      </c>
      <c r="C1329" s="15">
        <v>351</v>
      </c>
      <c r="D1329" s="243">
        <v>23</v>
      </c>
      <c r="E1329" s="243">
        <v>42</v>
      </c>
      <c r="F1329" s="243">
        <v>7</v>
      </c>
      <c r="G1329" s="243">
        <v>8</v>
      </c>
      <c r="H1329" s="243">
        <v>32</v>
      </c>
      <c r="I1329" s="243">
        <v>25</v>
      </c>
      <c r="J1329" s="243">
        <v>29</v>
      </c>
      <c r="K1329" s="243">
        <v>29</v>
      </c>
      <c r="L1329" s="243">
        <v>24</v>
      </c>
      <c r="M1329" s="243">
        <v>42</v>
      </c>
      <c r="N1329" s="243">
        <v>53</v>
      </c>
      <c r="O1329" s="253">
        <v>37</v>
      </c>
    </row>
    <row r="1330" spans="1:15">
      <c r="A1330" s="240" t="s">
        <v>70</v>
      </c>
      <c r="B1330" s="47" t="s">
        <v>59</v>
      </c>
      <c r="C1330" s="15">
        <v>211</v>
      </c>
      <c r="D1330" s="243">
        <v>20</v>
      </c>
      <c r="E1330" s="243">
        <v>39</v>
      </c>
      <c r="F1330" s="243">
        <v>7</v>
      </c>
      <c r="G1330" s="243">
        <v>8</v>
      </c>
      <c r="H1330" s="243">
        <v>16</v>
      </c>
      <c r="I1330" s="243">
        <v>12</v>
      </c>
      <c r="J1330" s="243">
        <v>20</v>
      </c>
      <c r="K1330" s="243">
        <v>11</v>
      </c>
      <c r="L1330" s="243">
        <v>10</v>
      </c>
      <c r="M1330" s="243">
        <v>24</v>
      </c>
      <c r="N1330" s="243">
        <v>11</v>
      </c>
      <c r="O1330" s="253">
        <v>33</v>
      </c>
    </row>
    <row r="1331" spans="1:15">
      <c r="A1331" s="242" t="s">
        <v>70</v>
      </c>
      <c r="B1331" s="43" t="s">
        <v>4</v>
      </c>
      <c r="C1331" s="15">
        <v>3</v>
      </c>
      <c r="D1331" s="244">
        <v>1</v>
      </c>
      <c r="E1331" s="244">
        <v>0</v>
      </c>
      <c r="F1331" s="244">
        <v>0</v>
      </c>
      <c r="G1331" s="244">
        <v>0</v>
      </c>
      <c r="H1331" s="244">
        <v>0</v>
      </c>
      <c r="I1331" s="244">
        <v>1</v>
      </c>
      <c r="J1331" s="244">
        <v>0</v>
      </c>
      <c r="K1331" s="244">
        <v>0</v>
      </c>
      <c r="L1331" s="244">
        <v>0</v>
      </c>
      <c r="M1331" s="244">
        <v>0</v>
      </c>
      <c r="N1331" s="244">
        <v>0</v>
      </c>
      <c r="O1331" s="254">
        <v>1</v>
      </c>
    </row>
    <row r="1332" spans="1:15">
      <c r="A1332" s="240" t="s">
        <v>70</v>
      </c>
      <c r="B1332" s="47" t="s">
        <v>5</v>
      </c>
      <c r="C1332" s="12">
        <v>0.014218009478673</v>
      </c>
      <c r="D1332" s="241">
        <v>0.05</v>
      </c>
      <c r="E1332" s="241">
        <v>0</v>
      </c>
      <c r="F1332" s="241">
        <v>0</v>
      </c>
      <c r="G1332" s="241">
        <v>0</v>
      </c>
      <c r="H1332" s="241">
        <v>0</v>
      </c>
      <c r="I1332" s="241">
        <v>0.0833333333333333</v>
      </c>
      <c r="J1332" s="241">
        <v>0</v>
      </c>
      <c r="K1332" s="241">
        <v>0</v>
      </c>
      <c r="L1332" s="241">
        <v>0</v>
      </c>
      <c r="M1332" s="241">
        <v>0</v>
      </c>
      <c r="N1332" s="241">
        <v>0</v>
      </c>
      <c r="O1332" s="252">
        <v>0.0303030303030303</v>
      </c>
    </row>
    <row r="1333" spans="1:15">
      <c r="A1333" s="242" t="s">
        <v>70</v>
      </c>
      <c r="B1333" s="43" t="s">
        <v>6</v>
      </c>
      <c r="C1333" s="15">
        <v>2</v>
      </c>
      <c r="D1333" s="244">
        <v>1</v>
      </c>
      <c r="E1333" s="244">
        <v>0</v>
      </c>
      <c r="F1333" s="244">
        <v>0</v>
      </c>
      <c r="G1333" s="244">
        <v>0</v>
      </c>
      <c r="H1333" s="244">
        <v>0</v>
      </c>
      <c r="I1333" s="244">
        <v>1</v>
      </c>
      <c r="J1333" s="244">
        <v>0</v>
      </c>
      <c r="K1333" s="244">
        <v>0</v>
      </c>
      <c r="L1333" s="244">
        <v>0</v>
      </c>
      <c r="M1333" s="244">
        <v>0</v>
      </c>
      <c r="N1333" s="244">
        <v>0</v>
      </c>
      <c r="O1333" s="254">
        <v>0</v>
      </c>
    </row>
    <row r="1334" ht="14.25" spans="1:15">
      <c r="A1334" s="245" t="s">
        <v>70</v>
      </c>
      <c r="B1334" s="52" t="s">
        <v>64</v>
      </c>
      <c r="C1334" s="19">
        <v>0.666666666666667</v>
      </c>
      <c r="D1334" s="246">
        <v>1</v>
      </c>
      <c r="E1334" s="246">
        <v>0</v>
      </c>
      <c r="F1334" s="246">
        <v>0</v>
      </c>
      <c r="G1334" s="246">
        <v>0</v>
      </c>
      <c r="H1334" s="246">
        <v>0</v>
      </c>
      <c r="I1334" s="246">
        <v>1</v>
      </c>
      <c r="J1334" s="246">
        <v>0</v>
      </c>
      <c r="K1334" s="246">
        <v>0</v>
      </c>
      <c r="L1334" s="246">
        <v>0</v>
      </c>
      <c r="M1334" s="246">
        <v>0</v>
      </c>
      <c r="N1334" s="246">
        <v>0</v>
      </c>
      <c r="O1334" s="255">
        <v>0</v>
      </c>
    </row>
    <row r="1335" spans="1:15">
      <c r="A1335" s="240" t="s">
        <v>26</v>
      </c>
      <c r="B1335" s="47" t="s">
        <v>55</v>
      </c>
      <c r="C1335" s="12">
        <v>0.564547206165703</v>
      </c>
      <c r="D1335" s="241">
        <v>0.688073394495413</v>
      </c>
      <c r="E1335" s="241">
        <v>0.604477611940298</v>
      </c>
      <c r="F1335" s="241">
        <v>0.522222222222222</v>
      </c>
      <c r="G1335" s="241">
        <v>0.555555555555556</v>
      </c>
      <c r="H1335" s="241">
        <v>0.577380952380952</v>
      </c>
      <c r="I1335" s="241">
        <v>0.533333333333333</v>
      </c>
      <c r="J1335" s="241">
        <v>0.5</v>
      </c>
      <c r="K1335" s="241">
        <v>0.595959595959596</v>
      </c>
      <c r="L1335" s="241">
        <v>0.576530612244898</v>
      </c>
      <c r="M1335" s="241">
        <v>0.580357142857143</v>
      </c>
      <c r="N1335" s="241">
        <v>0.580246913580247</v>
      </c>
      <c r="O1335" s="252">
        <v>0.475206611570248</v>
      </c>
    </row>
    <row r="1336" spans="1:15">
      <c r="A1336" s="242" t="s">
        <v>26</v>
      </c>
      <c r="B1336" s="43" t="s">
        <v>57</v>
      </c>
      <c r="C1336" s="15">
        <v>2076</v>
      </c>
      <c r="D1336" s="243">
        <v>218</v>
      </c>
      <c r="E1336" s="243">
        <v>134</v>
      </c>
      <c r="F1336" s="243">
        <v>90</v>
      </c>
      <c r="G1336" s="243">
        <v>126</v>
      </c>
      <c r="H1336" s="243">
        <v>168</v>
      </c>
      <c r="I1336" s="243">
        <v>210</v>
      </c>
      <c r="J1336" s="243">
        <v>220</v>
      </c>
      <c r="K1336" s="243">
        <v>198</v>
      </c>
      <c r="L1336" s="243">
        <v>196</v>
      </c>
      <c r="M1336" s="243">
        <v>112</v>
      </c>
      <c r="N1336" s="243">
        <v>162</v>
      </c>
      <c r="O1336" s="253">
        <v>242</v>
      </c>
    </row>
    <row r="1337" spans="1:15">
      <c r="A1337" s="240" t="s">
        <v>26</v>
      </c>
      <c r="B1337" s="47" t="s">
        <v>59</v>
      </c>
      <c r="C1337" s="15">
        <v>1172</v>
      </c>
      <c r="D1337" s="243">
        <v>150</v>
      </c>
      <c r="E1337" s="243">
        <v>81</v>
      </c>
      <c r="F1337" s="243">
        <v>47</v>
      </c>
      <c r="G1337" s="243">
        <v>70</v>
      </c>
      <c r="H1337" s="243">
        <v>97</v>
      </c>
      <c r="I1337" s="243">
        <v>112</v>
      </c>
      <c r="J1337" s="243">
        <v>110</v>
      </c>
      <c r="K1337" s="243">
        <v>118</v>
      </c>
      <c r="L1337" s="243">
        <v>113</v>
      </c>
      <c r="M1337" s="243">
        <v>65</v>
      </c>
      <c r="N1337" s="243">
        <v>94</v>
      </c>
      <c r="O1337" s="253">
        <v>115</v>
      </c>
    </row>
    <row r="1338" spans="1:15">
      <c r="A1338" s="242" t="s">
        <v>26</v>
      </c>
      <c r="B1338" s="43" t="s">
        <v>4</v>
      </c>
      <c r="C1338" s="15">
        <v>24</v>
      </c>
      <c r="D1338" s="244">
        <v>1</v>
      </c>
      <c r="E1338" s="244">
        <v>3</v>
      </c>
      <c r="F1338" s="244">
        <v>0</v>
      </c>
      <c r="G1338" s="244">
        <v>4</v>
      </c>
      <c r="H1338" s="244">
        <v>3</v>
      </c>
      <c r="I1338" s="244">
        <v>2</v>
      </c>
      <c r="J1338" s="244">
        <v>1</v>
      </c>
      <c r="K1338" s="244">
        <v>3</v>
      </c>
      <c r="L1338" s="244">
        <v>0</v>
      </c>
      <c r="M1338" s="244">
        <v>1</v>
      </c>
      <c r="N1338" s="244">
        <v>4</v>
      </c>
      <c r="O1338" s="254">
        <v>2</v>
      </c>
    </row>
    <row r="1339" spans="1:15">
      <c r="A1339" s="240" t="s">
        <v>26</v>
      </c>
      <c r="B1339" s="47" t="s">
        <v>5</v>
      </c>
      <c r="C1339" s="12">
        <v>0.0204778156996587</v>
      </c>
      <c r="D1339" s="241">
        <v>0.00666666666666667</v>
      </c>
      <c r="E1339" s="241">
        <v>0.037037037037037</v>
      </c>
      <c r="F1339" s="241">
        <v>0</v>
      </c>
      <c r="G1339" s="241">
        <v>0.0571428571428571</v>
      </c>
      <c r="H1339" s="241">
        <v>0.0309278350515464</v>
      </c>
      <c r="I1339" s="241">
        <v>0.0178571428571429</v>
      </c>
      <c r="J1339" s="241">
        <v>0.00909090909090909</v>
      </c>
      <c r="K1339" s="241">
        <v>0.0254237288135593</v>
      </c>
      <c r="L1339" s="241">
        <v>0</v>
      </c>
      <c r="M1339" s="241">
        <v>0.0153846153846154</v>
      </c>
      <c r="N1339" s="241">
        <v>0.0425531914893617</v>
      </c>
      <c r="O1339" s="252">
        <v>0.0173913043478261</v>
      </c>
    </row>
    <row r="1340" spans="1:15">
      <c r="A1340" s="242" t="s">
        <v>26</v>
      </c>
      <c r="B1340" s="43" t="s">
        <v>6</v>
      </c>
      <c r="C1340" s="15">
        <v>8</v>
      </c>
      <c r="D1340" s="244">
        <v>0</v>
      </c>
      <c r="E1340" s="244">
        <v>1</v>
      </c>
      <c r="F1340" s="244">
        <v>1</v>
      </c>
      <c r="G1340" s="244">
        <v>1</v>
      </c>
      <c r="H1340" s="244">
        <v>2</v>
      </c>
      <c r="I1340" s="244">
        <v>2</v>
      </c>
      <c r="J1340" s="244">
        <v>0</v>
      </c>
      <c r="K1340" s="244">
        <v>0</v>
      </c>
      <c r="L1340" s="244">
        <v>0</v>
      </c>
      <c r="M1340" s="244">
        <v>0</v>
      </c>
      <c r="N1340" s="244">
        <v>1</v>
      </c>
      <c r="O1340" s="254">
        <v>0</v>
      </c>
    </row>
    <row r="1341" ht="14.25" spans="1:15">
      <c r="A1341" s="245" t="s">
        <v>26</v>
      </c>
      <c r="B1341" s="52" t="s">
        <v>64</v>
      </c>
      <c r="C1341" s="19">
        <v>0.333333333333333</v>
      </c>
      <c r="D1341" s="250">
        <v>0</v>
      </c>
      <c r="E1341" s="250">
        <v>1</v>
      </c>
      <c r="F1341" s="250">
        <v>1</v>
      </c>
      <c r="G1341" s="250">
        <v>1</v>
      </c>
      <c r="H1341" s="250">
        <v>2</v>
      </c>
      <c r="I1341" s="250">
        <v>2</v>
      </c>
      <c r="J1341" s="250">
        <v>0</v>
      </c>
      <c r="K1341" s="250">
        <v>0</v>
      </c>
      <c r="L1341" s="250">
        <v>0</v>
      </c>
      <c r="M1341" s="250">
        <v>0</v>
      </c>
      <c r="N1341" s="250">
        <v>1</v>
      </c>
      <c r="O1341" s="257">
        <v>0</v>
      </c>
    </row>
    <row r="1342" spans="1:15">
      <c r="A1342" s="240" t="s">
        <v>71</v>
      </c>
      <c r="B1342" s="47" t="s">
        <v>55</v>
      </c>
      <c r="C1342" s="12">
        <v>0.284697508896797</v>
      </c>
      <c r="D1342" s="241">
        <v>0.375</v>
      </c>
      <c r="E1342" s="241">
        <v>0.361111111111111</v>
      </c>
      <c r="F1342" s="241">
        <v>0.375</v>
      </c>
      <c r="G1342" s="241">
        <v>0.15</v>
      </c>
      <c r="H1342" s="241">
        <v>0.283018867924528</v>
      </c>
      <c r="I1342" s="241">
        <v>0.229508196721311</v>
      </c>
      <c r="J1342" s="241">
        <v>0.341463414634146</v>
      </c>
      <c r="K1342" s="241">
        <v>0.218181818181818</v>
      </c>
      <c r="L1342" s="241">
        <v>0.384615384615385</v>
      </c>
      <c r="M1342" s="241">
        <v>0.222222222222222</v>
      </c>
      <c r="N1342" s="241">
        <v>0.241379310344828</v>
      </c>
      <c r="O1342" s="252">
        <v>0.257575757575758</v>
      </c>
    </row>
    <row r="1343" spans="1:15">
      <c r="A1343" s="242" t="s">
        <v>71</v>
      </c>
      <c r="B1343" s="43" t="s">
        <v>57</v>
      </c>
      <c r="C1343" s="15">
        <v>562</v>
      </c>
      <c r="D1343" s="243">
        <v>72</v>
      </c>
      <c r="E1343" s="243">
        <v>36</v>
      </c>
      <c r="F1343" s="243">
        <v>16</v>
      </c>
      <c r="G1343" s="243">
        <v>20</v>
      </c>
      <c r="H1343" s="243">
        <v>53</v>
      </c>
      <c r="I1343" s="243">
        <v>61</v>
      </c>
      <c r="J1343" s="243">
        <v>41</v>
      </c>
      <c r="K1343" s="243">
        <v>55</v>
      </c>
      <c r="L1343" s="243">
        <v>39</v>
      </c>
      <c r="M1343" s="243">
        <v>45</v>
      </c>
      <c r="N1343" s="243">
        <v>58</v>
      </c>
      <c r="O1343" s="253">
        <v>66</v>
      </c>
    </row>
    <row r="1344" spans="1:15">
      <c r="A1344" s="240" t="s">
        <v>71</v>
      </c>
      <c r="B1344" s="47" t="s">
        <v>59</v>
      </c>
      <c r="C1344" s="15">
        <v>160</v>
      </c>
      <c r="D1344" s="243">
        <v>27</v>
      </c>
      <c r="E1344" s="243">
        <v>13</v>
      </c>
      <c r="F1344" s="243">
        <v>6</v>
      </c>
      <c r="G1344" s="243">
        <v>3</v>
      </c>
      <c r="H1344" s="243">
        <v>15</v>
      </c>
      <c r="I1344" s="243">
        <v>14</v>
      </c>
      <c r="J1344" s="243">
        <v>14</v>
      </c>
      <c r="K1344" s="243">
        <v>12</v>
      </c>
      <c r="L1344" s="243">
        <v>15</v>
      </c>
      <c r="M1344" s="243">
        <v>10</v>
      </c>
      <c r="N1344" s="243">
        <v>14</v>
      </c>
      <c r="O1344" s="253">
        <v>17</v>
      </c>
    </row>
    <row r="1345" spans="1:15">
      <c r="A1345" s="242" t="s">
        <v>71</v>
      </c>
      <c r="B1345" s="43" t="s">
        <v>4</v>
      </c>
      <c r="C1345" s="15">
        <v>36</v>
      </c>
      <c r="D1345" s="244">
        <v>4</v>
      </c>
      <c r="E1345" s="244">
        <v>2</v>
      </c>
      <c r="F1345" s="244">
        <v>3</v>
      </c>
      <c r="G1345" s="244">
        <v>0</v>
      </c>
      <c r="H1345" s="244">
        <v>5</v>
      </c>
      <c r="I1345" s="244">
        <v>5</v>
      </c>
      <c r="J1345" s="244">
        <v>3</v>
      </c>
      <c r="K1345" s="244">
        <v>2</v>
      </c>
      <c r="L1345" s="244">
        <v>5</v>
      </c>
      <c r="M1345" s="244">
        <v>2</v>
      </c>
      <c r="N1345" s="244">
        <v>1</v>
      </c>
      <c r="O1345" s="254">
        <v>4</v>
      </c>
    </row>
    <row r="1346" spans="1:15">
      <c r="A1346" s="240" t="s">
        <v>71</v>
      </c>
      <c r="B1346" s="47" t="s">
        <v>5</v>
      </c>
      <c r="C1346" s="12">
        <v>0.225</v>
      </c>
      <c r="D1346" s="241">
        <v>0.148148148148148</v>
      </c>
      <c r="E1346" s="241">
        <v>0.153846153846154</v>
      </c>
      <c r="F1346" s="241">
        <v>0.5</v>
      </c>
      <c r="G1346" s="241">
        <v>0</v>
      </c>
      <c r="H1346" s="241">
        <v>0.333333333333333</v>
      </c>
      <c r="I1346" s="241">
        <v>0.357142857142857</v>
      </c>
      <c r="J1346" s="241">
        <v>0.214285714285714</v>
      </c>
      <c r="K1346" s="241">
        <v>0.166666666666667</v>
      </c>
      <c r="L1346" s="241">
        <v>0.333333333333333</v>
      </c>
      <c r="M1346" s="241">
        <v>0.2</v>
      </c>
      <c r="N1346" s="241">
        <v>0.0714285714285714</v>
      </c>
      <c r="O1346" s="252">
        <v>0.235294117647059</v>
      </c>
    </row>
    <row r="1347" spans="1:15">
      <c r="A1347" s="242" t="s">
        <v>71</v>
      </c>
      <c r="B1347" s="43" t="s">
        <v>6</v>
      </c>
      <c r="C1347" s="15">
        <v>7</v>
      </c>
      <c r="D1347" s="244">
        <v>4</v>
      </c>
      <c r="E1347" s="244">
        <v>0</v>
      </c>
      <c r="F1347" s="244">
        <v>0</v>
      </c>
      <c r="G1347" s="244">
        <v>0</v>
      </c>
      <c r="H1347" s="244">
        <v>0</v>
      </c>
      <c r="I1347" s="244">
        <v>0</v>
      </c>
      <c r="J1347" s="244">
        <v>1</v>
      </c>
      <c r="K1347" s="244">
        <v>1</v>
      </c>
      <c r="L1347" s="244">
        <v>0</v>
      </c>
      <c r="M1347" s="244">
        <v>0</v>
      </c>
      <c r="N1347" s="244">
        <v>0</v>
      </c>
      <c r="O1347" s="254">
        <v>1</v>
      </c>
    </row>
    <row r="1348" ht="14.25" spans="1:15">
      <c r="A1348" s="245" t="s">
        <v>71</v>
      </c>
      <c r="B1348" s="52" t="s">
        <v>64</v>
      </c>
      <c r="C1348" s="19">
        <v>0.194444444444444</v>
      </c>
      <c r="D1348" s="250">
        <v>4</v>
      </c>
      <c r="E1348" s="250">
        <v>0</v>
      </c>
      <c r="F1348" s="250">
        <v>0</v>
      </c>
      <c r="G1348" s="250">
        <v>0</v>
      </c>
      <c r="H1348" s="250">
        <v>0</v>
      </c>
      <c r="I1348" s="250">
        <v>0</v>
      </c>
      <c r="J1348" s="250">
        <v>1</v>
      </c>
      <c r="K1348" s="250">
        <v>1</v>
      </c>
      <c r="L1348" s="250">
        <v>0</v>
      </c>
      <c r="M1348" s="250">
        <v>0</v>
      </c>
      <c r="N1348" s="250">
        <v>0</v>
      </c>
      <c r="O1348" s="257">
        <v>1</v>
      </c>
    </row>
    <row r="1349" spans="1:15">
      <c r="A1349" s="240" t="s">
        <v>72</v>
      </c>
      <c r="B1349" s="47" t="s">
        <v>55</v>
      </c>
      <c r="C1349" s="12">
        <v>0.410138248847926</v>
      </c>
      <c r="D1349" s="241">
        <v>0.525</v>
      </c>
      <c r="E1349" s="241">
        <v>0.433333333333333</v>
      </c>
      <c r="F1349" s="241">
        <v>0.25</v>
      </c>
      <c r="G1349" s="241">
        <v>0.375</v>
      </c>
      <c r="H1349" s="241">
        <v>0.545454545454545</v>
      </c>
      <c r="I1349" s="241">
        <v>0.368421052631579</v>
      </c>
      <c r="J1349" s="241">
        <v>0.347826086956522</v>
      </c>
      <c r="K1349" s="241">
        <v>0.282608695652174</v>
      </c>
      <c r="L1349" s="241">
        <v>0.37037037037037</v>
      </c>
      <c r="M1349" s="241">
        <v>0.428571428571429</v>
      </c>
      <c r="N1349" s="241">
        <v>0.475</v>
      </c>
      <c r="O1349" s="252">
        <v>0.461538461538462</v>
      </c>
    </row>
    <row r="1350" spans="1:15">
      <c r="A1350" s="242" t="s">
        <v>72</v>
      </c>
      <c r="B1350" s="43" t="s">
        <v>57</v>
      </c>
      <c r="C1350" s="15">
        <v>434</v>
      </c>
      <c r="D1350" s="243">
        <v>40</v>
      </c>
      <c r="E1350" s="243">
        <v>30</v>
      </c>
      <c r="F1350" s="243">
        <v>8</v>
      </c>
      <c r="G1350" s="243">
        <v>16</v>
      </c>
      <c r="H1350" s="243">
        <v>22</v>
      </c>
      <c r="I1350" s="243">
        <v>38</v>
      </c>
      <c r="J1350" s="243">
        <v>46</v>
      </c>
      <c r="K1350" s="243">
        <v>46</v>
      </c>
      <c r="L1350" s="243">
        <v>54</v>
      </c>
      <c r="M1350" s="243">
        <v>42</v>
      </c>
      <c r="N1350" s="243">
        <v>40</v>
      </c>
      <c r="O1350" s="253">
        <v>52</v>
      </c>
    </row>
    <row r="1351" spans="1:15">
      <c r="A1351" s="240" t="s">
        <v>72</v>
      </c>
      <c r="B1351" s="47" t="s">
        <v>59</v>
      </c>
      <c r="C1351" s="15">
        <v>178</v>
      </c>
      <c r="D1351" s="243">
        <v>21</v>
      </c>
      <c r="E1351" s="243">
        <v>13</v>
      </c>
      <c r="F1351" s="243">
        <v>2</v>
      </c>
      <c r="G1351" s="243">
        <v>6</v>
      </c>
      <c r="H1351" s="243">
        <v>12</v>
      </c>
      <c r="I1351" s="243">
        <v>14</v>
      </c>
      <c r="J1351" s="243">
        <v>16</v>
      </c>
      <c r="K1351" s="243">
        <v>13</v>
      </c>
      <c r="L1351" s="243">
        <v>20</v>
      </c>
      <c r="M1351" s="243">
        <v>18</v>
      </c>
      <c r="N1351" s="243">
        <v>19</v>
      </c>
      <c r="O1351" s="253">
        <v>24</v>
      </c>
    </row>
    <row r="1352" spans="1:15">
      <c r="A1352" s="242" t="s">
        <v>72</v>
      </c>
      <c r="B1352" s="43" t="s">
        <v>4</v>
      </c>
      <c r="C1352" s="15">
        <v>8</v>
      </c>
      <c r="D1352" s="244">
        <v>2</v>
      </c>
      <c r="E1352" s="244">
        <v>1</v>
      </c>
      <c r="F1352" s="244">
        <v>0</v>
      </c>
      <c r="G1352" s="244">
        <v>1</v>
      </c>
      <c r="H1352" s="244">
        <v>1</v>
      </c>
      <c r="I1352" s="244">
        <v>0</v>
      </c>
      <c r="J1352" s="244">
        <v>0</v>
      </c>
      <c r="K1352" s="244">
        <v>1</v>
      </c>
      <c r="L1352" s="244">
        <v>1</v>
      </c>
      <c r="M1352" s="244">
        <v>0</v>
      </c>
      <c r="N1352" s="244">
        <v>0</v>
      </c>
      <c r="O1352" s="254">
        <v>1</v>
      </c>
    </row>
    <row r="1353" spans="1:15">
      <c r="A1353" s="240" t="s">
        <v>72</v>
      </c>
      <c r="B1353" s="47" t="s">
        <v>5</v>
      </c>
      <c r="C1353" s="12">
        <v>0.0449438202247191</v>
      </c>
      <c r="D1353" s="241">
        <v>0.0952380952380952</v>
      </c>
      <c r="E1353" s="241">
        <v>0.0769230769230769</v>
      </c>
      <c r="F1353" s="241">
        <v>0</v>
      </c>
      <c r="G1353" s="241">
        <v>0.166666666666667</v>
      </c>
      <c r="H1353" s="241">
        <v>0.0833333333333333</v>
      </c>
      <c r="I1353" s="241">
        <v>0</v>
      </c>
      <c r="J1353" s="241">
        <v>0</v>
      </c>
      <c r="K1353" s="241">
        <v>0.0769230769230769</v>
      </c>
      <c r="L1353" s="241">
        <v>0.05</v>
      </c>
      <c r="M1353" s="241">
        <v>0</v>
      </c>
      <c r="N1353" s="241">
        <v>0</v>
      </c>
      <c r="O1353" s="252">
        <v>0.0416666666666667</v>
      </c>
    </row>
    <row r="1354" spans="1:15">
      <c r="A1354" s="242" t="s">
        <v>72</v>
      </c>
      <c r="B1354" s="43" t="s">
        <v>6</v>
      </c>
      <c r="C1354" s="15">
        <v>2</v>
      </c>
      <c r="D1354" s="244">
        <v>0</v>
      </c>
      <c r="E1354" s="244">
        <v>0</v>
      </c>
      <c r="F1354" s="244">
        <v>1</v>
      </c>
      <c r="G1354" s="244">
        <v>0</v>
      </c>
      <c r="H1354" s="244">
        <v>0</v>
      </c>
      <c r="I1354" s="244">
        <v>1</v>
      </c>
      <c r="J1354" s="244">
        <v>0</v>
      </c>
      <c r="K1354" s="244">
        <v>0</v>
      </c>
      <c r="L1354" s="244">
        <v>0</v>
      </c>
      <c r="M1354" s="244">
        <v>0</v>
      </c>
      <c r="N1354" s="244">
        <v>0</v>
      </c>
      <c r="O1354" s="254">
        <v>0</v>
      </c>
    </row>
    <row r="1355" ht="14.25" spans="1:15">
      <c r="A1355" s="245" t="s">
        <v>72</v>
      </c>
      <c r="B1355" s="52" t="s">
        <v>64</v>
      </c>
      <c r="C1355" s="19">
        <v>0.25</v>
      </c>
      <c r="D1355" s="250">
        <v>0</v>
      </c>
      <c r="E1355" s="250">
        <v>0</v>
      </c>
      <c r="F1355" s="250">
        <v>1</v>
      </c>
      <c r="G1355" s="250">
        <v>0</v>
      </c>
      <c r="H1355" s="250">
        <v>0</v>
      </c>
      <c r="I1355" s="250">
        <v>1</v>
      </c>
      <c r="J1355" s="250">
        <v>0</v>
      </c>
      <c r="K1355" s="250">
        <v>0</v>
      </c>
      <c r="L1355" s="250">
        <v>0</v>
      </c>
      <c r="M1355" s="250">
        <v>0</v>
      </c>
      <c r="N1355" s="250">
        <v>0</v>
      </c>
      <c r="O1355" s="257">
        <v>0</v>
      </c>
    </row>
    <row r="1356" ht="14.25" spans="1:15">
      <c r="A1356" s="237">
        <v>45040</v>
      </c>
      <c r="B1356" s="237"/>
      <c r="C1356" s="237"/>
      <c r="D1356" s="237"/>
      <c r="E1356" s="237"/>
      <c r="F1356" s="237"/>
      <c r="G1356" s="237"/>
      <c r="H1356" s="237"/>
      <c r="I1356" s="237"/>
      <c r="J1356" s="237"/>
      <c r="K1356" s="237"/>
      <c r="L1356" s="237"/>
      <c r="M1356" s="237"/>
      <c r="N1356" s="237"/>
      <c r="O1356" s="237"/>
    </row>
    <row r="1357" spans="1:15">
      <c r="A1357" s="56" t="s">
        <v>1</v>
      </c>
      <c r="B1357" s="238"/>
      <c r="C1357" s="8" t="s">
        <v>42</v>
      </c>
      <c r="D1357" s="239" t="s">
        <v>43</v>
      </c>
      <c r="E1357" s="239" t="s">
        <v>44</v>
      </c>
      <c r="F1357" s="239" t="s">
        <v>45</v>
      </c>
      <c r="G1357" s="239" t="s">
        <v>46</v>
      </c>
      <c r="H1357" s="239" t="s">
        <v>47</v>
      </c>
      <c r="I1357" s="239" t="s">
        <v>48</v>
      </c>
      <c r="J1357" s="239" t="s">
        <v>49</v>
      </c>
      <c r="K1357" s="239" t="s">
        <v>50</v>
      </c>
      <c r="L1357" s="239" t="s">
        <v>51</v>
      </c>
      <c r="M1357" s="239" t="s">
        <v>52</v>
      </c>
      <c r="N1357" s="239" t="s">
        <v>53</v>
      </c>
      <c r="O1357" s="251" t="s">
        <v>54</v>
      </c>
    </row>
    <row r="1358" spans="1:15">
      <c r="A1358" s="240" t="s">
        <v>22</v>
      </c>
      <c r="B1358" s="47" t="s">
        <v>55</v>
      </c>
      <c r="C1358" s="12">
        <v>0.299359509885826</v>
      </c>
      <c r="D1358" s="241">
        <v>0.156075808249721</v>
      </c>
      <c r="E1358" s="241">
        <v>0.0942307692307692</v>
      </c>
      <c r="F1358" s="241">
        <v>0.169329073482428</v>
      </c>
      <c r="G1358" s="241">
        <v>0.34375</v>
      </c>
      <c r="H1358" s="241">
        <v>0.590062111801242</v>
      </c>
      <c r="I1358" s="241">
        <v>0.528301886792453</v>
      </c>
      <c r="J1358" s="241">
        <v>0.454081632653061</v>
      </c>
      <c r="K1358" s="241">
        <v>0.424390243902439</v>
      </c>
      <c r="L1358" s="241">
        <v>0.47</v>
      </c>
      <c r="M1358" s="241">
        <v>0.475</v>
      </c>
      <c r="N1358" s="241">
        <v>0.428571428571429</v>
      </c>
      <c r="O1358" s="252">
        <v>0.382165605095541</v>
      </c>
    </row>
    <row r="1359" spans="1:15">
      <c r="A1359" s="242" t="s">
        <v>22</v>
      </c>
      <c r="B1359" s="43" t="s">
        <v>57</v>
      </c>
      <c r="C1359" s="15">
        <v>3591</v>
      </c>
      <c r="D1359" s="243">
        <v>897</v>
      </c>
      <c r="E1359" s="243">
        <v>520</v>
      </c>
      <c r="F1359" s="243">
        <v>313</v>
      </c>
      <c r="G1359" s="243">
        <v>160</v>
      </c>
      <c r="H1359" s="243">
        <v>161</v>
      </c>
      <c r="I1359" s="243">
        <v>159</v>
      </c>
      <c r="J1359" s="243">
        <v>196</v>
      </c>
      <c r="K1359" s="243">
        <v>205</v>
      </c>
      <c r="L1359" s="243">
        <v>200</v>
      </c>
      <c r="M1359" s="243">
        <v>200</v>
      </c>
      <c r="N1359" s="243">
        <v>266</v>
      </c>
      <c r="O1359" s="253">
        <v>314</v>
      </c>
    </row>
    <row r="1360" spans="1:15">
      <c r="A1360" s="240" t="s">
        <v>22</v>
      </c>
      <c r="B1360" s="47" t="s">
        <v>59</v>
      </c>
      <c r="C1360" s="15">
        <v>1075</v>
      </c>
      <c r="D1360" s="243">
        <v>140</v>
      </c>
      <c r="E1360" s="243">
        <v>49</v>
      </c>
      <c r="F1360" s="243">
        <v>53</v>
      </c>
      <c r="G1360" s="243">
        <v>55</v>
      </c>
      <c r="H1360" s="243">
        <v>95</v>
      </c>
      <c r="I1360" s="243">
        <v>84</v>
      </c>
      <c r="J1360" s="243">
        <v>89</v>
      </c>
      <c r="K1360" s="243">
        <v>87</v>
      </c>
      <c r="L1360" s="243">
        <v>94</v>
      </c>
      <c r="M1360" s="243">
        <v>95</v>
      </c>
      <c r="N1360" s="243">
        <v>114</v>
      </c>
      <c r="O1360" s="253">
        <v>120</v>
      </c>
    </row>
    <row r="1361" spans="1:15">
      <c r="A1361" s="242" t="s">
        <v>22</v>
      </c>
      <c r="B1361" s="43" t="s">
        <v>4</v>
      </c>
      <c r="C1361" s="15">
        <v>75</v>
      </c>
      <c r="D1361" s="244">
        <v>13</v>
      </c>
      <c r="E1361" s="244">
        <v>3</v>
      </c>
      <c r="F1361" s="244">
        <v>7</v>
      </c>
      <c r="G1361" s="244">
        <v>3</v>
      </c>
      <c r="H1361" s="244">
        <v>7</v>
      </c>
      <c r="I1361" s="244">
        <v>3</v>
      </c>
      <c r="J1361" s="244">
        <v>6</v>
      </c>
      <c r="K1361" s="244">
        <v>7</v>
      </c>
      <c r="L1361" s="244">
        <v>7</v>
      </c>
      <c r="M1361" s="244">
        <v>5</v>
      </c>
      <c r="N1361" s="244">
        <v>3</v>
      </c>
      <c r="O1361" s="254">
        <v>11</v>
      </c>
    </row>
    <row r="1362" spans="1:15">
      <c r="A1362" s="240" t="s">
        <v>22</v>
      </c>
      <c r="B1362" s="47" t="s">
        <v>5</v>
      </c>
      <c r="C1362" s="12">
        <v>0.0697674418604651</v>
      </c>
      <c r="D1362" s="241">
        <v>0.0928571428571429</v>
      </c>
      <c r="E1362" s="241">
        <v>0.0612244897959184</v>
      </c>
      <c r="F1362" s="241">
        <v>0.132075471698113</v>
      </c>
      <c r="G1362" s="241">
        <v>0.0545454545454545</v>
      </c>
      <c r="H1362" s="241">
        <v>0.0736842105263158</v>
      </c>
      <c r="I1362" s="241">
        <v>0.0357142857142857</v>
      </c>
      <c r="J1362" s="241">
        <v>0.0674157303370786</v>
      </c>
      <c r="K1362" s="241">
        <v>0.0804597701149425</v>
      </c>
      <c r="L1362" s="241">
        <v>0.074468085106383</v>
      </c>
      <c r="M1362" s="241">
        <v>0.0526315789473684</v>
      </c>
      <c r="N1362" s="241">
        <v>0.0263157894736842</v>
      </c>
      <c r="O1362" s="252">
        <v>0.0916666666666667</v>
      </c>
    </row>
    <row r="1363" spans="1:15">
      <c r="A1363" s="242" t="s">
        <v>22</v>
      </c>
      <c r="B1363" s="43" t="s">
        <v>6</v>
      </c>
      <c r="C1363" s="15">
        <v>27</v>
      </c>
      <c r="D1363" s="244">
        <v>9</v>
      </c>
      <c r="E1363" s="244">
        <v>2</v>
      </c>
      <c r="F1363" s="244">
        <v>1</v>
      </c>
      <c r="G1363" s="244">
        <v>1</v>
      </c>
      <c r="H1363" s="244">
        <v>2</v>
      </c>
      <c r="I1363" s="244">
        <v>3</v>
      </c>
      <c r="J1363" s="244">
        <v>1</v>
      </c>
      <c r="K1363" s="244">
        <v>1</v>
      </c>
      <c r="L1363" s="244">
        <v>2</v>
      </c>
      <c r="M1363" s="244">
        <v>2</v>
      </c>
      <c r="N1363" s="244">
        <v>1</v>
      </c>
      <c r="O1363" s="254">
        <v>2</v>
      </c>
    </row>
    <row r="1364" ht="14.25" spans="1:15">
      <c r="A1364" s="245" t="s">
        <v>22</v>
      </c>
      <c r="B1364" s="52" t="s">
        <v>64</v>
      </c>
      <c r="C1364" s="19">
        <v>0.36</v>
      </c>
      <c r="D1364" s="246">
        <v>0.692307692307692</v>
      </c>
      <c r="E1364" s="246">
        <v>0.666666666666667</v>
      </c>
      <c r="F1364" s="246">
        <v>0.142857142857143</v>
      </c>
      <c r="G1364" s="246">
        <v>0.333333333333333</v>
      </c>
      <c r="H1364" s="246">
        <v>0.285714285714286</v>
      </c>
      <c r="I1364" s="246">
        <v>1</v>
      </c>
      <c r="J1364" s="246">
        <v>0.166666666666667</v>
      </c>
      <c r="K1364" s="246">
        <v>0.142857142857143</v>
      </c>
      <c r="L1364" s="246">
        <v>0.285714285714286</v>
      </c>
      <c r="M1364" s="246">
        <v>0.4</v>
      </c>
      <c r="N1364" s="246">
        <v>0.333333333333333</v>
      </c>
      <c r="O1364" s="255">
        <v>0.181818181818182</v>
      </c>
    </row>
    <row r="1365" spans="1:15">
      <c r="A1365" s="247" t="s">
        <v>66</v>
      </c>
      <c r="B1365" s="248" t="s">
        <v>55</v>
      </c>
      <c r="C1365" s="12">
        <v>0.155410903173312</v>
      </c>
      <c r="D1365" s="249">
        <v>0.162420382165605</v>
      </c>
      <c r="E1365" s="249">
        <v>0.0705521472392638</v>
      </c>
      <c r="F1365" s="249">
        <v>0.0348837209302326</v>
      </c>
      <c r="G1365" s="249">
        <v>0.0952380952380952</v>
      </c>
      <c r="H1365" s="249">
        <v>0.184049079754601</v>
      </c>
      <c r="I1365" s="249">
        <v>0.22</v>
      </c>
      <c r="J1365" s="249">
        <v>0.211340206185567</v>
      </c>
      <c r="K1365" s="249">
        <v>0.248175182481752</v>
      </c>
      <c r="L1365" s="249">
        <v>0.246268656716418</v>
      </c>
      <c r="M1365" s="249">
        <v>0.282442748091603</v>
      </c>
      <c r="N1365" s="249">
        <v>0.165714285714286</v>
      </c>
      <c r="O1365" s="256">
        <v>0.186813186813187</v>
      </c>
    </row>
    <row r="1366" spans="1:15">
      <c r="A1366" s="242" t="s">
        <v>66</v>
      </c>
      <c r="B1366" s="43" t="s">
        <v>57</v>
      </c>
      <c r="C1366" s="15">
        <v>2458</v>
      </c>
      <c r="D1366" s="243">
        <v>314</v>
      </c>
      <c r="E1366" s="243">
        <v>326</v>
      </c>
      <c r="F1366" s="243">
        <v>258</v>
      </c>
      <c r="G1366" s="243">
        <v>294</v>
      </c>
      <c r="H1366" s="243">
        <v>163</v>
      </c>
      <c r="I1366" s="243">
        <v>150</v>
      </c>
      <c r="J1366" s="243">
        <v>194</v>
      </c>
      <c r="K1366" s="243">
        <v>137</v>
      </c>
      <c r="L1366" s="243">
        <v>134</v>
      </c>
      <c r="M1366" s="243">
        <v>131</v>
      </c>
      <c r="N1366" s="243">
        <v>175</v>
      </c>
      <c r="O1366" s="253">
        <v>182</v>
      </c>
    </row>
    <row r="1367" spans="1:15">
      <c r="A1367" s="240" t="s">
        <v>66</v>
      </c>
      <c r="B1367" s="47" t="s">
        <v>59</v>
      </c>
      <c r="C1367" s="15">
        <v>382</v>
      </c>
      <c r="D1367" s="243">
        <v>51</v>
      </c>
      <c r="E1367" s="243">
        <v>23</v>
      </c>
      <c r="F1367" s="243">
        <v>9</v>
      </c>
      <c r="G1367" s="243">
        <v>28</v>
      </c>
      <c r="H1367" s="243">
        <v>30</v>
      </c>
      <c r="I1367" s="243">
        <v>33</v>
      </c>
      <c r="J1367" s="243">
        <v>41</v>
      </c>
      <c r="K1367" s="243">
        <v>34</v>
      </c>
      <c r="L1367" s="243">
        <v>33</v>
      </c>
      <c r="M1367" s="243">
        <v>37</v>
      </c>
      <c r="N1367" s="243">
        <v>29</v>
      </c>
      <c r="O1367" s="253">
        <v>34</v>
      </c>
    </row>
    <row r="1368" spans="1:15">
      <c r="A1368" s="242" t="s">
        <v>66</v>
      </c>
      <c r="B1368" s="43" t="s">
        <v>4</v>
      </c>
      <c r="C1368" s="15">
        <v>24</v>
      </c>
      <c r="D1368" s="244">
        <v>3</v>
      </c>
      <c r="E1368" s="244">
        <v>2</v>
      </c>
      <c r="F1368" s="244">
        <v>1</v>
      </c>
      <c r="G1368" s="244">
        <v>2</v>
      </c>
      <c r="H1368" s="244">
        <v>2</v>
      </c>
      <c r="I1368" s="244">
        <v>2</v>
      </c>
      <c r="J1368" s="244">
        <v>1</v>
      </c>
      <c r="K1368" s="244">
        <v>1</v>
      </c>
      <c r="L1368" s="244">
        <v>3</v>
      </c>
      <c r="M1368" s="244">
        <v>0</v>
      </c>
      <c r="N1368" s="244">
        <v>4</v>
      </c>
      <c r="O1368" s="254">
        <v>3</v>
      </c>
    </row>
    <row r="1369" spans="1:15">
      <c r="A1369" s="240" t="s">
        <v>66</v>
      </c>
      <c r="B1369" s="47" t="s">
        <v>5</v>
      </c>
      <c r="C1369" s="12">
        <v>0.06282722513089</v>
      </c>
      <c r="D1369" s="241">
        <v>0.0588235294117647</v>
      </c>
      <c r="E1369" s="241">
        <v>0.0869565217391304</v>
      </c>
      <c r="F1369" s="241">
        <v>0.111111111111111</v>
      </c>
      <c r="G1369" s="241">
        <v>0.0714285714285714</v>
      </c>
      <c r="H1369" s="241">
        <v>0.0666666666666667</v>
      </c>
      <c r="I1369" s="241">
        <v>0.0606060606060606</v>
      </c>
      <c r="J1369" s="241">
        <v>0.024390243902439</v>
      </c>
      <c r="K1369" s="241">
        <v>0.0294117647058824</v>
      </c>
      <c r="L1369" s="241">
        <v>0.0909090909090909</v>
      </c>
      <c r="M1369" s="241">
        <v>0</v>
      </c>
      <c r="N1369" s="241">
        <v>0.137931034482759</v>
      </c>
      <c r="O1369" s="252">
        <v>0.0882352941176471</v>
      </c>
    </row>
    <row r="1370" spans="1:15">
      <c r="A1370" s="242" t="s">
        <v>66</v>
      </c>
      <c r="B1370" s="43" t="s">
        <v>6</v>
      </c>
      <c r="C1370" s="15">
        <v>8</v>
      </c>
      <c r="D1370" s="244">
        <v>2</v>
      </c>
      <c r="E1370" s="244">
        <v>1</v>
      </c>
      <c r="F1370" s="244">
        <v>0</v>
      </c>
      <c r="G1370" s="244">
        <v>2</v>
      </c>
      <c r="H1370" s="244">
        <v>0</v>
      </c>
      <c r="I1370" s="244">
        <v>1</v>
      </c>
      <c r="J1370" s="244">
        <v>0</v>
      </c>
      <c r="K1370" s="244">
        <v>1</v>
      </c>
      <c r="L1370" s="244">
        <v>0</v>
      </c>
      <c r="M1370" s="244">
        <v>0</v>
      </c>
      <c r="N1370" s="244">
        <v>0</v>
      </c>
      <c r="O1370" s="254">
        <v>1</v>
      </c>
    </row>
    <row r="1371" ht="14.25" spans="1:15">
      <c r="A1371" s="245" t="s">
        <v>66</v>
      </c>
      <c r="B1371" s="52" t="s">
        <v>64</v>
      </c>
      <c r="C1371" s="19">
        <v>0.333333333333333</v>
      </c>
      <c r="D1371" s="246">
        <v>0.666666666666667</v>
      </c>
      <c r="E1371" s="246">
        <v>0.5</v>
      </c>
      <c r="F1371" s="246">
        <v>0</v>
      </c>
      <c r="G1371" s="246">
        <v>1</v>
      </c>
      <c r="H1371" s="246">
        <v>0</v>
      </c>
      <c r="I1371" s="246">
        <v>0.5</v>
      </c>
      <c r="J1371" s="246">
        <v>0</v>
      </c>
      <c r="K1371" s="246">
        <v>1</v>
      </c>
      <c r="L1371" s="246">
        <v>0</v>
      </c>
      <c r="M1371" s="246">
        <v>0</v>
      </c>
      <c r="N1371" s="246">
        <v>0</v>
      </c>
      <c r="O1371" s="255">
        <v>0.333333333333333</v>
      </c>
    </row>
    <row r="1372" spans="1:15">
      <c r="A1372" s="240" t="s">
        <v>67</v>
      </c>
      <c r="B1372" s="47" t="s">
        <v>55</v>
      </c>
      <c r="C1372" s="12">
        <v>0.205577918343876</v>
      </c>
      <c r="D1372" s="241">
        <v>0.188940092165899</v>
      </c>
      <c r="E1372" s="241">
        <v>0.206730769230769</v>
      </c>
      <c r="F1372" s="241">
        <v>0.176056338028169</v>
      </c>
      <c r="G1372" s="241">
        <v>0.25</v>
      </c>
      <c r="H1372" s="241">
        <v>0.268181818181818</v>
      </c>
      <c r="I1372" s="241">
        <v>0.295698924731183</v>
      </c>
      <c r="J1372" s="241">
        <v>0.291666666666667</v>
      </c>
      <c r="K1372" s="241">
        <v>0.158333333333333</v>
      </c>
      <c r="L1372" s="241">
        <v>0.237037037037037</v>
      </c>
      <c r="M1372" s="241">
        <v>0.207792207792208</v>
      </c>
      <c r="N1372" s="241">
        <v>0.169491525423729</v>
      </c>
      <c r="O1372" s="252">
        <v>0.16</v>
      </c>
    </row>
    <row r="1373" spans="1:15">
      <c r="A1373" s="242" t="s">
        <v>67</v>
      </c>
      <c r="B1373" s="43" t="s">
        <v>57</v>
      </c>
      <c r="C1373" s="15">
        <v>3478</v>
      </c>
      <c r="D1373" s="243">
        <v>434</v>
      </c>
      <c r="E1373" s="243">
        <v>208</v>
      </c>
      <c r="F1373" s="243">
        <v>142</v>
      </c>
      <c r="G1373" s="243">
        <v>132</v>
      </c>
      <c r="H1373" s="243">
        <v>220</v>
      </c>
      <c r="I1373" s="243">
        <v>186</v>
      </c>
      <c r="J1373" s="243">
        <v>264</v>
      </c>
      <c r="K1373" s="243">
        <v>360</v>
      </c>
      <c r="L1373" s="243">
        <v>270</v>
      </c>
      <c r="M1373" s="243">
        <v>308</v>
      </c>
      <c r="N1373" s="243">
        <v>354</v>
      </c>
      <c r="O1373" s="253">
        <v>600</v>
      </c>
    </row>
    <row r="1374" spans="1:15">
      <c r="A1374" s="240" t="s">
        <v>67</v>
      </c>
      <c r="B1374" s="47" t="s">
        <v>59</v>
      </c>
      <c r="C1374" s="15">
        <v>715</v>
      </c>
      <c r="D1374" s="243">
        <v>82</v>
      </c>
      <c r="E1374" s="243">
        <v>43</v>
      </c>
      <c r="F1374" s="243">
        <v>25</v>
      </c>
      <c r="G1374" s="243">
        <v>33</v>
      </c>
      <c r="H1374" s="243">
        <v>59</v>
      </c>
      <c r="I1374" s="243">
        <v>55</v>
      </c>
      <c r="J1374" s="243">
        <v>77</v>
      </c>
      <c r="K1374" s="243">
        <v>57</v>
      </c>
      <c r="L1374" s="243">
        <v>64</v>
      </c>
      <c r="M1374" s="243">
        <v>64</v>
      </c>
      <c r="N1374" s="243">
        <v>60</v>
      </c>
      <c r="O1374" s="253">
        <v>96</v>
      </c>
    </row>
    <row r="1375" spans="1:15">
      <c r="A1375" s="242" t="s">
        <v>67</v>
      </c>
      <c r="B1375" s="43" t="s">
        <v>4</v>
      </c>
      <c r="C1375" s="15">
        <v>54</v>
      </c>
      <c r="D1375" s="244">
        <v>9</v>
      </c>
      <c r="E1375" s="244">
        <v>4</v>
      </c>
      <c r="F1375" s="244">
        <v>4</v>
      </c>
      <c r="G1375" s="244">
        <v>5</v>
      </c>
      <c r="H1375" s="244">
        <v>4</v>
      </c>
      <c r="I1375" s="244">
        <v>0</v>
      </c>
      <c r="J1375" s="244">
        <v>2</v>
      </c>
      <c r="K1375" s="244">
        <v>3</v>
      </c>
      <c r="L1375" s="244">
        <v>3</v>
      </c>
      <c r="M1375" s="244">
        <v>3</v>
      </c>
      <c r="N1375" s="244">
        <v>4</v>
      </c>
      <c r="O1375" s="254">
        <v>13</v>
      </c>
    </row>
    <row r="1376" spans="1:15">
      <c r="A1376" s="240" t="s">
        <v>67</v>
      </c>
      <c r="B1376" s="47" t="s">
        <v>5</v>
      </c>
      <c r="C1376" s="12">
        <v>0.0755244755244755</v>
      </c>
      <c r="D1376" s="241">
        <v>0.109756097560976</v>
      </c>
      <c r="E1376" s="241">
        <v>0.0930232558139535</v>
      </c>
      <c r="F1376" s="241">
        <v>0.16</v>
      </c>
      <c r="G1376" s="241">
        <v>0.151515151515152</v>
      </c>
      <c r="H1376" s="241">
        <v>0.0677966101694915</v>
      </c>
      <c r="I1376" s="241">
        <v>0</v>
      </c>
      <c r="J1376" s="241">
        <v>0.025974025974026</v>
      </c>
      <c r="K1376" s="241">
        <v>0.0526315789473684</v>
      </c>
      <c r="L1376" s="241">
        <v>0.046875</v>
      </c>
      <c r="M1376" s="241">
        <v>0.046875</v>
      </c>
      <c r="N1376" s="241">
        <v>0.0666666666666667</v>
      </c>
      <c r="O1376" s="252">
        <v>0.135416666666667</v>
      </c>
    </row>
    <row r="1377" spans="1:15">
      <c r="A1377" s="242" t="s">
        <v>67</v>
      </c>
      <c r="B1377" s="43" t="s">
        <v>6</v>
      </c>
      <c r="C1377" s="15">
        <v>23</v>
      </c>
      <c r="D1377" s="244">
        <v>5</v>
      </c>
      <c r="E1377" s="244">
        <v>1</v>
      </c>
      <c r="F1377" s="244">
        <v>1</v>
      </c>
      <c r="G1377" s="244">
        <v>1</v>
      </c>
      <c r="H1377" s="244">
        <v>1</v>
      </c>
      <c r="I1377" s="244">
        <v>1</v>
      </c>
      <c r="J1377" s="244">
        <v>2</v>
      </c>
      <c r="K1377" s="244">
        <v>2</v>
      </c>
      <c r="L1377" s="244">
        <v>2</v>
      </c>
      <c r="M1377" s="244">
        <v>1</v>
      </c>
      <c r="N1377" s="244">
        <v>1</v>
      </c>
      <c r="O1377" s="254">
        <v>5</v>
      </c>
    </row>
    <row r="1378" ht="14.25" spans="1:15">
      <c r="A1378" s="245" t="s">
        <v>67</v>
      </c>
      <c r="B1378" s="52" t="s">
        <v>64</v>
      </c>
      <c r="C1378" s="19">
        <v>0.425925925925926</v>
      </c>
      <c r="D1378" s="246">
        <v>0.555555555555556</v>
      </c>
      <c r="E1378" s="246">
        <v>0.25</v>
      </c>
      <c r="F1378" s="246">
        <v>0.25</v>
      </c>
      <c r="G1378" s="246">
        <v>0.2</v>
      </c>
      <c r="H1378" s="246">
        <v>0.25</v>
      </c>
      <c r="I1378" s="246">
        <v>0</v>
      </c>
      <c r="J1378" s="246">
        <v>1</v>
      </c>
      <c r="K1378" s="246">
        <v>0.666666666666667</v>
      </c>
      <c r="L1378" s="246">
        <v>0.666666666666667</v>
      </c>
      <c r="M1378" s="246">
        <v>0.333333333333333</v>
      </c>
      <c r="N1378" s="246">
        <v>0.25</v>
      </c>
      <c r="O1378" s="255">
        <v>0.384615384615385</v>
      </c>
    </row>
    <row r="1379" spans="1:15">
      <c r="A1379" s="240" t="s">
        <v>68</v>
      </c>
      <c r="B1379" s="47" t="s">
        <v>55</v>
      </c>
      <c r="C1379" s="12">
        <v>0.0434749388753056</v>
      </c>
      <c r="D1379" s="241">
        <v>0.0694444444444444</v>
      </c>
      <c r="E1379" s="241">
        <v>0.0550847457627119</v>
      </c>
      <c r="F1379" s="241">
        <v>0.0413223140495868</v>
      </c>
      <c r="G1379" s="241">
        <v>0.0389016018306636</v>
      </c>
      <c r="H1379" s="241">
        <v>0.0492277992277992</v>
      </c>
      <c r="I1379" s="241">
        <v>0.0368763557483731</v>
      </c>
      <c r="J1379" s="241">
        <v>0.0325542570951586</v>
      </c>
      <c r="K1379" s="241">
        <v>0.0435114503816794</v>
      </c>
      <c r="L1379" s="241">
        <v>0.0438311688311688</v>
      </c>
      <c r="M1379" s="241">
        <v>0.0347705146036161</v>
      </c>
      <c r="N1379" s="241">
        <v>0.0429378531073446</v>
      </c>
      <c r="O1379" s="252">
        <v>0.0456989247311828</v>
      </c>
    </row>
    <row r="1380" spans="1:15">
      <c r="A1380" s="242" t="s">
        <v>68</v>
      </c>
      <c r="B1380" s="43" t="s">
        <v>57</v>
      </c>
      <c r="C1380" s="15">
        <v>13088</v>
      </c>
      <c r="D1380" s="243">
        <v>864</v>
      </c>
      <c r="E1380" s="243">
        <v>472</v>
      </c>
      <c r="F1380" s="243">
        <v>484</v>
      </c>
      <c r="G1380" s="243">
        <v>874</v>
      </c>
      <c r="H1380" s="243">
        <v>1036</v>
      </c>
      <c r="I1380" s="243">
        <v>922</v>
      </c>
      <c r="J1380" s="243">
        <v>1198</v>
      </c>
      <c r="K1380" s="243">
        <v>1310</v>
      </c>
      <c r="L1380" s="243">
        <v>1232</v>
      </c>
      <c r="M1380" s="243">
        <v>1438</v>
      </c>
      <c r="N1380" s="243">
        <v>1770</v>
      </c>
      <c r="O1380" s="253">
        <v>1488</v>
      </c>
    </row>
    <row r="1381" spans="1:15">
      <c r="A1381" s="240" t="s">
        <v>68</v>
      </c>
      <c r="B1381" s="47" t="s">
        <v>59</v>
      </c>
      <c r="C1381" s="15">
        <v>569</v>
      </c>
      <c r="D1381" s="243">
        <v>60</v>
      </c>
      <c r="E1381" s="243">
        <v>26</v>
      </c>
      <c r="F1381" s="243">
        <v>20</v>
      </c>
      <c r="G1381" s="243">
        <v>34</v>
      </c>
      <c r="H1381" s="243">
        <v>51</v>
      </c>
      <c r="I1381" s="243">
        <v>34</v>
      </c>
      <c r="J1381" s="243">
        <v>39</v>
      </c>
      <c r="K1381" s="243">
        <v>57</v>
      </c>
      <c r="L1381" s="243">
        <v>54</v>
      </c>
      <c r="M1381" s="243">
        <v>50</v>
      </c>
      <c r="N1381" s="243">
        <v>76</v>
      </c>
      <c r="O1381" s="253">
        <v>68</v>
      </c>
    </row>
    <row r="1382" spans="1:15">
      <c r="A1382" s="242" t="s">
        <v>68</v>
      </c>
      <c r="B1382" s="43" t="s">
        <v>4</v>
      </c>
      <c r="C1382" s="15">
        <v>36</v>
      </c>
      <c r="D1382" s="244">
        <v>3</v>
      </c>
      <c r="E1382" s="244">
        <v>2</v>
      </c>
      <c r="F1382" s="244">
        <v>1</v>
      </c>
      <c r="G1382" s="244">
        <v>0</v>
      </c>
      <c r="H1382" s="244">
        <v>1</v>
      </c>
      <c r="I1382" s="244">
        <v>1</v>
      </c>
      <c r="J1382" s="244">
        <v>2</v>
      </c>
      <c r="K1382" s="244">
        <v>2</v>
      </c>
      <c r="L1382" s="244">
        <v>6</v>
      </c>
      <c r="M1382" s="244">
        <v>3</v>
      </c>
      <c r="N1382" s="244">
        <v>6</v>
      </c>
      <c r="O1382" s="254">
        <v>9</v>
      </c>
    </row>
    <row r="1383" spans="1:15">
      <c r="A1383" s="240" t="s">
        <v>68</v>
      </c>
      <c r="B1383" s="47" t="s">
        <v>5</v>
      </c>
      <c r="C1383" s="12">
        <v>0.0632688927943761</v>
      </c>
      <c r="D1383" s="241">
        <v>0.05</v>
      </c>
      <c r="E1383" s="241">
        <v>0.0769230769230769</v>
      </c>
      <c r="F1383" s="241">
        <v>0.05</v>
      </c>
      <c r="G1383" s="241">
        <v>0</v>
      </c>
      <c r="H1383" s="241">
        <v>0.0196078431372549</v>
      </c>
      <c r="I1383" s="241">
        <v>0.0294117647058824</v>
      </c>
      <c r="J1383" s="241">
        <v>0.0512820512820513</v>
      </c>
      <c r="K1383" s="241">
        <v>0.0350877192982456</v>
      </c>
      <c r="L1383" s="241">
        <v>0.111111111111111</v>
      </c>
      <c r="M1383" s="241">
        <v>0.06</v>
      </c>
      <c r="N1383" s="241">
        <v>0.0789473684210526</v>
      </c>
      <c r="O1383" s="252">
        <v>0.132352941176471</v>
      </c>
    </row>
    <row r="1384" spans="1:15">
      <c r="A1384" s="242" t="s">
        <v>68</v>
      </c>
      <c r="B1384" s="43" t="s">
        <v>6</v>
      </c>
      <c r="C1384" s="15">
        <v>10</v>
      </c>
      <c r="D1384" s="244">
        <v>2</v>
      </c>
      <c r="E1384" s="244">
        <v>1</v>
      </c>
      <c r="F1384" s="244">
        <v>1</v>
      </c>
      <c r="G1384" s="244">
        <v>0</v>
      </c>
      <c r="H1384" s="244">
        <v>0</v>
      </c>
      <c r="I1384" s="244">
        <v>1</v>
      </c>
      <c r="J1384" s="244">
        <v>2</v>
      </c>
      <c r="K1384" s="244">
        <v>0</v>
      </c>
      <c r="L1384" s="244">
        <v>0</v>
      </c>
      <c r="M1384" s="244">
        <v>0</v>
      </c>
      <c r="N1384" s="244">
        <v>1</v>
      </c>
      <c r="O1384" s="254">
        <v>2</v>
      </c>
    </row>
    <row r="1385" ht="14.25" spans="1:15">
      <c r="A1385" s="245" t="s">
        <v>68</v>
      </c>
      <c r="B1385" s="52" t="s">
        <v>64</v>
      </c>
      <c r="C1385" s="19">
        <v>0.277777777777778</v>
      </c>
      <c r="D1385" s="246">
        <v>0.666666666666667</v>
      </c>
      <c r="E1385" s="246">
        <v>0.5</v>
      </c>
      <c r="F1385" s="246">
        <v>1</v>
      </c>
      <c r="G1385" s="246">
        <v>0</v>
      </c>
      <c r="H1385" s="246">
        <v>0</v>
      </c>
      <c r="I1385" s="246">
        <v>1</v>
      </c>
      <c r="J1385" s="246">
        <v>1</v>
      </c>
      <c r="K1385" s="246">
        <v>0</v>
      </c>
      <c r="L1385" s="246">
        <v>0</v>
      </c>
      <c r="M1385" s="246">
        <v>0</v>
      </c>
      <c r="N1385" s="246">
        <v>0.166666666666667</v>
      </c>
      <c r="O1385" s="255">
        <v>0.222222222222222</v>
      </c>
    </row>
    <row r="1386" spans="1:15">
      <c r="A1386" s="240" t="s">
        <v>69</v>
      </c>
      <c r="B1386" s="47" t="s">
        <v>55</v>
      </c>
      <c r="C1386" s="12">
        <v>0.96797153024911</v>
      </c>
      <c r="D1386" s="241">
        <v>1.31914893617021</v>
      </c>
      <c r="E1386" s="241">
        <v>1.15384615384615</v>
      </c>
      <c r="F1386" s="241">
        <v>0.857142857142857</v>
      </c>
      <c r="G1386" s="241">
        <v>1.23529411764706</v>
      </c>
      <c r="H1386" s="241">
        <v>1.17391304347826</v>
      </c>
      <c r="I1386" s="241">
        <v>0.909090909090909</v>
      </c>
      <c r="J1386" s="241">
        <v>1.01666666666667</v>
      </c>
      <c r="K1386" s="241">
        <v>1.01818181818182</v>
      </c>
      <c r="L1386" s="241">
        <v>0.757142857142857</v>
      </c>
      <c r="M1386" s="241">
        <v>0.854545454545454</v>
      </c>
      <c r="N1386" s="241">
        <v>0.769230769230769</v>
      </c>
      <c r="O1386" s="252">
        <v>0.933333333333333</v>
      </c>
    </row>
    <row r="1387" spans="1:15">
      <c r="A1387" s="242" t="s">
        <v>69</v>
      </c>
      <c r="B1387" s="43" t="s">
        <v>57</v>
      </c>
      <c r="C1387" s="15">
        <v>562</v>
      </c>
      <c r="D1387" s="243">
        <v>47</v>
      </c>
      <c r="E1387" s="243">
        <v>26</v>
      </c>
      <c r="F1387" s="243">
        <v>21</v>
      </c>
      <c r="G1387" s="243">
        <v>17</v>
      </c>
      <c r="H1387" s="243">
        <v>46</v>
      </c>
      <c r="I1387" s="243">
        <v>55</v>
      </c>
      <c r="J1387" s="243">
        <v>60</v>
      </c>
      <c r="K1387" s="243">
        <v>55</v>
      </c>
      <c r="L1387" s="243">
        <v>70</v>
      </c>
      <c r="M1387" s="243">
        <v>55</v>
      </c>
      <c r="N1387" s="243">
        <v>65</v>
      </c>
      <c r="O1387" s="253">
        <v>45</v>
      </c>
    </row>
    <row r="1388" spans="1:15">
      <c r="A1388" s="240" t="s">
        <v>69</v>
      </c>
      <c r="B1388" s="47" t="s">
        <v>59</v>
      </c>
      <c r="C1388" s="15">
        <v>544</v>
      </c>
      <c r="D1388" s="243">
        <v>62</v>
      </c>
      <c r="E1388" s="243">
        <v>30</v>
      </c>
      <c r="F1388" s="243">
        <v>18</v>
      </c>
      <c r="G1388" s="243">
        <v>21</v>
      </c>
      <c r="H1388" s="243">
        <v>54</v>
      </c>
      <c r="I1388" s="243">
        <v>50</v>
      </c>
      <c r="J1388" s="243">
        <v>61</v>
      </c>
      <c r="K1388" s="243">
        <v>56</v>
      </c>
      <c r="L1388" s="243">
        <v>53</v>
      </c>
      <c r="M1388" s="243">
        <v>47</v>
      </c>
      <c r="N1388" s="243">
        <v>50</v>
      </c>
      <c r="O1388" s="253">
        <v>42</v>
      </c>
    </row>
    <row r="1389" spans="1:15">
      <c r="A1389" s="242" t="s">
        <v>69</v>
      </c>
      <c r="B1389" s="43" t="s">
        <v>4</v>
      </c>
      <c r="C1389" s="15">
        <v>25</v>
      </c>
      <c r="D1389" s="244">
        <v>3</v>
      </c>
      <c r="E1389" s="244">
        <v>1</v>
      </c>
      <c r="F1389" s="244">
        <v>0</v>
      </c>
      <c r="G1389" s="244">
        <v>0</v>
      </c>
      <c r="H1389" s="244">
        <v>0</v>
      </c>
      <c r="I1389" s="244">
        <v>3</v>
      </c>
      <c r="J1389" s="244">
        <v>8</v>
      </c>
      <c r="K1389" s="244">
        <v>2</v>
      </c>
      <c r="L1389" s="244">
        <v>1</v>
      </c>
      <c r="M1389" s="244">
        <v>2</v>
      </c>
      <c r="N1389" s="244">
        <v>5</v>
      </c>
      <c r="O1389" s="254">
        <v>0</v>
      </c>
    </row>
    <row r="1390" spans="1:15">
      <c r="A1390" s="240" t="s">
        <v>69</v>
      </c>
      <c r="B1390" s="47" t="s">
        <v>5</v>
      </c>
      <c r="C1390" s="12">
        <v>0.0459558823529412</v>
      </c>
      <c r="D1390" s="241">
        <v>0.0483870967741935</v>
      </c>
      <c r="E1390" s="241">
        <v>0.0333333333333333</v>
      </c>
      <c r="F1390" s="241">
        <v>0</v>
      </c>
      <c r="G1390" s="241">
        <v>0</v>
      </c>
      <c r="H1390" s="241">
        <v>0</v>
      </c>
      <c r="I1390" s="241">
        <v>0.06</v>
      </c>
      <c r="J1390" s="241">
        <v>0.131147540983607</v>
      </c>
      <c r="K1390" s="241">
        <v>0.0357142857142857</v>
      </c>
      <c r="L1390" s="241">
        <v>0.0188679245283019</v>
      </c>
      <c r="M1390" s="241">
        <v>0.0425531914893617</v>
      </c>
      <c r="N1390" s="241">
        <v>0.1</v>
      </c>
      <c r="O1390" s="252">
        <v>0</v>
      </c>
    </row>
    <row r="1391" spans="1:15">
      <c r="A1391" s="242" t="s">
        <v>69</v>
      </c>
      <c r="B1391" s="43" t="s">
        <v>6</v>
      </c>
      <c r="C1391" s="15">
        <v>6</v>
      </c>
      <c r="D1391" s="244">
        <v>1</v>
      </c>
      <c r="E1391" s="244">
        <v>0</v>
      </c>
      <c r="F1391" s="244">
        <v>0</v>
      </c>
      <c r="G1391" s="244">
        <v>1</v>
      </c>
      <c r="H1391" s="244">
        <v>0</v>
      </c>
      <c r="I1391" s="244">
        <v>0</v>
      </c>
      <c r="J1391" s="244">
        <v>1</v>
      </c>
      <c r="K1391" s="244">
        <v>2</v>
      </c>
      <c r="L1391" s="244">
        <v>0</v>
      </c>
      <c r="M1391" s="244">
        <v>1</v>
      </c>
      <c r="N1391" s="244">
        <v>0</v>
      </c>
      <c r="O1391" s="254">
        <v>0</v>
      </c>
    </row>
    <row r="1392" ht="14.25" spans="1:15">
      <c r="A1392" s="245" t="s">
        <v>69</v>
      </c>
      <c r="B1392" s="52" t="s">
        <v>64</v>
      </c>
      <c r="C1392" s="19">
        <v>0.24</v>
      </c>
      <c r="D1392" s="246">
        <v>0.333333333333333</v>
      </c>
      <c r="E1392" s="246">
        <v>0</v>
      </c>
      <c r="F1392" s="246">
        <v>0</v>
      </c>
      <c r="G1392" s="246">
        <v>0</v>
      </c>
      <c r="H1392" s="246">
        <v>0</v>
      </c>
      <c r="I1392" s="246">
        <v>0</v>
      </c>
      <c r="J1392" s="246">
        <v>0.125</v>
      </c>
      <c r="K1392" s="246">
        <v>1</v>
      </c>
      <c r="L1392" s="246">
        <v>0</v>
      </c>
      <c r="M1392" s="246">
        <v>0.5</v>
      </c>
      <c r="N1392" s="246">
        <v>0</v>
      </c>
      <c r="O1392" s="255">
        <v>0</v>
      </c>
    </row>
    <row r="1393" spans="1:15">
      <c r="A1393" s="240" t="s">
        <v>70</v>
      </c>
      <c r="B1393" s="47" t="s">
        <v>55</v>
      </c>
      <c r="C1393" s="12">
        <v>0.610169491525424</v>
      </c>
      <c r="D1393" s="241">
        <v>0.689655172413793</v>
      </c>
      <c r="E1393" s="241">
        <v>1</v>
      </c>
      <c r="F1393" s="241">
        <v>1</v>
      </c>
      <c r="G1393" s="241">
        <v>1.09090909090909</v>
      </c>
      <c r="H1393" s="241">
        <v>0.736842105263158</v>
      </c>
      <c r="I1393" s="241">
        <v>0.44</v>
      </c>
      <c r="J1393" s="241">
        <v>0.565217391304348</v>
      </c>
      <c r="K1393" s="241">
        <v>0.357142857142857</v>
      </c>
      <c r="L1393" s="241">
        <v>0.285714285714286</v>
      </c>
      <c r="M1393" s="241">
        <v>0.333333333333333</v>
      </c>
      <c r="N1393" s="241">
        <v>0.243243243243243</v>
      </c>
      <c r="O1393" s="252">
        <v>1.03448275862069</v>
      </c>
    </row>
    <row r="1394" spans="1:15">
      <c r="A1394" s="242" t="s">
        <v>70</v>
      </c>
      <c r="B1394" s="43" t="s">
        <v>57</v>
      </c>
      <c r="C1394" s="15">
        <v>295</v>
      </c>
      <c r="D1394" s="243">
        <v>58</v>
      </c>
      <c r="E1394" s="243">
        <v>20</v>
      </c>
      <c r="F1394" s="243">
        <v>11</v>
      </c>
      <c r="G1394" s="243">
        <v>11</v>
      </c>
      <c r="H1394" s="243">
        <v>19</v>
      </c>
      <c r="I1394" s="243">
        <v>25</v>
      </c>
      <c r="J1394" s="243">
        <v>23</v>
      </c>
      <c r="K1394" s="243">
        <v>14</v>
      </c>
      <c r="L1394" s="243">
        <v>21</v>
      </c>
      <c r="M1394" s="243">
        <v>27</v>
      </c>
      <c r="N1394" s="243">
        <v>37</v>
      </c>
      <c r="O1394" s="253">
        <v>29</v>
      </c>
    </row>
    <row r="1395" spans="1:15">
      <c r="A1395" s="240" t="s">
        <v>70</v>
      </c>
      <c r="B1395" s="47" t="s">
        <v>59</v>
      </c>
      <c r="C1395" s="15">
        <v>180</v>
      </c>
      <c r="D1395" s="243">
        <v>40</v>
      </c>
      <c r="E1395" s="243">
        <v>20</v>
      </c>
      <c r="F1395" s="243">
        <v>11</v>
      </c>
      <c r="G1395" s="243">
        <v>12</v>
      </c>
      <c r="H1395" s="243">
        <v>14</v>
      </c>
      <c r="I1395" s="243">
        <v>11</v>
      </c>
      <c r="J1395" s="243">
        <v>13</v>
      </c>
      <c r="K1395" s="243">
        <v>5</v>
      </c>
      <c r="L1395" s="243">
        <v>6</v>
      </c>
      <c r="M1395" s="243">
        <v>9</v>
      </c>
      <c r="N1395" s="243">
        <v>9</v>
      </c>
      <c r="O1395" s="253">
        <v>30</v>
      </c>
    </row>
    <row r="1396" spans="1:15">
      <c r="A1396" s="242" t="s">
        <v>70</v>
      </c>
      <c r="B1396" s="43" t="s">
        <v>4</v>
      </c>
      <c r="C1396" s="15">
        <v>2</v>
      </c>
      <c r="D1396" s="244">
        <v>0</v>
      </c>
      <c r="E1396" s="244">
        <v>1</v>
      </c>
      <c r="F1396" s="244">
        <v>1</v>
      </c>
      <c r="G1396" s="244">
        <v>0</v>
      </c>
      <c r="H1396" s="244">
        <v>0</v>
      </c>
      <c r="I1396" s="244">
        <v>0</v>
      </c>
      <c r="J1396" s="244">
        <v>0</v>
      </c>
      <c r="K1396" s="244">
        <v>0</v>
      </c>
      <c r="L1396" s="244">
        <v>0</v>
      </c>
      <c r="M1396" s="244">
        <v>0</v>
      </c>
      <c r="N1396" s="244">
        <v>0</v>
      </c>
      <c r="O1396" s="254">
        <v>0</v>
      </c>
    </row>
    <row r="1397" spans="1:15">
      <c r="A1397" s="240" t="s">
        <v>70</v>
      </c>
      <c r="B1397" s="47" t="s">
        <v>5</v>
      </c>
      <c r="C1397" s="12">
        <v>0.0111111111111111</v>
      </c>
      <c r="D1397" s="241">
        <v>0</v>
      </c>
      <c r="E1397" s="241">
        <v>0.05</v>
      </c>
      <c r="F1397" s="241">
        <v>0.0909090909090909</v>
      </c>
      <c r="G1397" s="241">
        <v>0</v>
      </c>
      <c r="H1397" s="241">
        <v>0</v>
      </c>
      <c r="I1397" s="241">
        <v>0</v>
      </c>
      <c r="J1397" s="241">
        <v>0</v>
      </c>
      <c r="K1397" s="241">
        <v>0</v>
      </c>
      <c r="L1397" s="241">
        <v>0</v>
      </c>
      <c r="M1397" s="241">
        <v>0</v>
      </c>
      <c r="N1397" s="241">
        <v>0</v>
      </c>
      <c r="O1397" s="252">
        <v>0</v>
      </c>
    </row>
    <row r="1398" spans="1:15">
      <c r="A1398" s="242" t="s">
        <v>70</v>
      </c>
      <c r="B1398" s="43" t="s">
        <v>6</v>
      </c>
      <c r="C1398" s="15">
        <v>0</v>
      </c>
      <c r="D1398" s="244">
        <v>0</v>
      </c>
      <c r="E1398" s="244">
        <v>0</v>
      </c>
      <c r="F1398" s="244">
        <v>0</v>
      </c>
      <c r="G1398" s="244">
        <v>0</v>
      </c>
      <c r="H1398" s="244">
        <v>0</v>
      </c>
      <c r="I1398" s="244">
        <v>0</v>
      </c>
      <c r="J1398" s="244">
        <v>0</v>
      </c>
      <c r="K1398" s="244">
        <v>0</v>
      </c>
      <c r="L1398" s="244">
        <v>0</v>
      </c>
      <c r="M1398" s="244">
        <v>0</v>
      </c>
      <c r="N1398" s="244">
        <v>0</v>
      </c>
      <c r="O1398" s="254">
        <v>0</v>
      </c>
    </row>
    <row r="1399" ht="14.25" spans="1:15">
      <c r="A1399" s="245" t="s">
        <v>70</v>
      </c>
      <c r="B1399" s="52" t="s">
        <v>64</v>
      </c>
      <c r="C1399" s="19">
        <v>0</v>
      </c>
      <c r="D1399" s="246">
        <v>0</v>
      </c>
      <c r="E1399" s="246">
        <v>0</v>
      </c>
      <c r="F1399" s="246">
        <v>0</v>
      </c>
      <c r="G1399" s="246">
        <v>0</v>
      </c>
      <c r="H1399" s="246">
        <v>0</v>
      </c>
      <c r="I1399" s="246">
        <v>0</v>
      </c>
      <c r="J1399" s="246">
        <v>0</v>
      </c>
      <c r="K1399" s="246">
        <v>0</v>
      </c>
      <c r="L1399" s="246">
        <v>0</v>
      </c>
      <c r="M1399" s="246">
        <v>0</v>
      </c>
      <c r="N1399" s="246">
        <v>0</v>
      </c>
      <c r="O1399" s="255">
        <v>0</v>
      </c>
    </row>
    <row r="1400" spans="1:15">
      <c r="A1400" s="240" t="s">
        <v>26</v>
      </c>
      <c r="B1400" s="47" t="s">
        <v>55</v>
      </c>
      <c r="C1400" s="12">
        <v>0.527163904235727</v>
      </c>
      <c r="D1400" s="241">
        <v>0.544642857142857</v>
      </c>
      <c r="E1400" s="241">
        <v>0.5078125</v>
      </c>
      <c r="F1400" s="241">
        <v>0.5</v>
      </c>
      <c r="G1400" s="241">
        <v>0.625</v>
      </c>
      <c r="H1400" s="241">
        <v>0.626760563380282</v>
      </c>
      <c r="I1400" s="241">
        <v>0.614457831325301</v>
      </c>
      <c r="J1400" s="241">
        <v>0.575471698113208</v>
      </c>
      <c r="K1400" s="241">
        <v>0.594444444444444</v>
      </c>
      <c r="L1400" s="241">
        <v>0.485576923076923</v>
      </c>
      <c r="M1400" s="241">
        <v>0.481818181818182</v>
      </c>
      <c r="N1400" s="241">
        <v>0.434959349593496</v>
      </c>
      <c r="O1400" s="252">
        <v>0.454166666666667</v>
      </c>
    </row>
    <row r="1401" spans="1:15">
      <c r="A1401" s="242" t="s">
        <v>26</v>
      </c>
      <c r="B1401" s="43" t="s">
        <v>57</v>
      </c>
      <c r="C1401" s="15">
        <v>2172</v>
      </c>
      <c r="D1401" s="243">
        <v>224</v>
      </c>
      <c r="E1401" s="243">
        <v>128</v>
      </c>
      <c r="F1401" s="243">
        <v>110</v>
      </c>
      <c r="G1401" s="243">
        <v>96</v>
      </c>
      <c r="H1401" s="243">
        <v>142</v>
      </c>
      <c r="I1401" s="243">
        <v>166</v>
      </c>
      <c r="J1401" s="243">
        <v>212</v>
      </c>
      <c r="K1401" s="243">
        <v>180</v>
      </c>
      <c r="L1401" s="243">
        <v>208</v>
      </c>
      <c r="M1401" s="243">
        <v>220</v>
      </c>
      <c r="N1401" s="243">
        <v>246</v>
      </c>
      <c r="O1401" s="253">
        <v>240</v>
      </c>
    </row>
    <row r="1402" spans="1:15">
      <c r="A1402" s="240" t="s">
        <v>26</v>
      </c>
      <c r="B1402" s="47" t="s">
        <v>59</v>
      </c>
      <c r="C1402" s="15">
        <v>1145</v>
      </c>
      <c r="D1402" s="243">
        <v>122</v>
      </c>
      <c r="E1402" s="243">
        <v>65</v>
      </c>
      <c r="F1402" s="243">
        <v>55</v>
      </c>
      <c r="G1402" s="243">
        <v>60</v>
      </c>
      <c r="H1402" s="243">
        <v>89</v>
      </c>
      <c r="I1402" s="243">
        <v>102</v>
      </c>
      <c r="J1402" s="243">
        <v>122</v>
      </c>
      <c r="K1402" s="243">
        <v>107</v>
      </c>
      <c r="L1402" s="243">
        <v>101</v>
      </c>
      <c r="M1402" s="243">
        <v>106</v>
      </c>
      <c r="N1402" s="243">
        <v>107</v>
      </c>
      <c r="O1402" s="253">
        <v>109</v>
      </c>
    </row>
    <row r="1403" spans="1:15">
      <c r="A1403" s="242" t="s">
        <v>26</v>
      </c>
      <c r="B1403" s="43" t="s">
        <v>4</v>
      </c>
      <c r="C1403" s="15">
        <v>11</v>
      </c>
      <c r="D1403" s="244">
        <v>1</v>
      </c>
      <c r="E1403" s="244">
        <v>0</v>
      </c>
      <c r="F1403" s="244">
        <v>1</v>
      </c>
      <c r="G1403" s="244">
        <v>0</v>
      </c>
      <c r="H1403" s="244">
        <v>1</v>
      </c>
      <c r="I1403" s="244">
        <v>1</v>
      </c>
      <c r="J1403" s="244">
        <v>1</v>
      </c>
      <c r="K1403" s="244">
        <v>0</v>
      </c>
      <c r="L1403" s="244">
        <v>0</v>
      </c>
      <c r="M1403" s="244">
        <v>2</v>
      </c>
      <c r="N1403" s="244">
        <v>4</v>
      </c>
      <c r="O1403" s="254">
        <v>0</v>
      </c>
    </row>
    <row r="1404" spans="1:15">
      <c r="A1404" s="240" t="s">
        <v>26</v>
      </c>
      <c r="B1404" s="47" t="s">
        <v>5</v>
      </c>
      <c r="C1404" s="12">
        <v>0.00960698689956332</v>
      </c>
      <c r="D1404" s="241">
        <v>0.00819672131147541</v>
      </c>
      <c r="E1404" s="241">
        <v>0</v>
      </c>
      <c r="F1404" s="241">
        <v>0.0181818181818182</v>
      </c>
      <c r="G1404" s="241">
        <v>0</v>
      </c>
      <c r="H1404" s="241">
        <v>0.0112359550561798</v>
      </c>
      <c r="I1404" s="241">
        <v>0.00980392156862745</v>
      </c>
      <c r="J1404" s="241">
        <v>0.00819672131147541</v>
      </c>
      <c r="K1404" s="241">
        <v>0</v>
      </c>
      <c r="L1404" s="241">
        <v>0</v>
      </c>
      <c r="M1404" s="241">
        <v>0.0188679245283019</v>
      </c>
      <c r="N1404" s="241">
        <v>0.0373831775700935</v>
      </c>
      <c r="O1404" s="252">
        <v>0</v>
      </c>
    </row>
    <row r="1405" spans="1:15">
      <c r="A1405" s="242" t="s">
        <v>26</v>
      </c>
      <c r="B1405" s="43" t="s">
        <v>6</v>
      </c>
      <c r="C1405" s="15">
        <v>10</v>
      </c>
      <c r="D1405" s="244">
        <v>1</v>
      </c>
      <c r="E1405" s="244">
        <v>0</v>
      </c>
      <c r="F1405" s="244">
        <v>1</v>
      </c>
      <c r="G1405" s="244">
        <v>0</v>
      </c>
      <c r="H1405" s="244">
        <v>1</v>
      </c>
      <c r="I1405" s="244">
        <v>0</v>
      </c>
      <c r="J1405" s="244">
        <v>0</v>
      </c>
      <c r="K1405" s="244">
        <v>0</v>
      </c>
      <c r="L1405" s="244">
        <v>0</v>
      </c>
      <c r="M1405" s="244">
        <v>1</v>
      </c>
      <c r="N1405" s="244">
        <v>3</v>
      </c>
      <c r="O1405" s="254">
        <v>3</v>
      </c>
    </row>
    <row r="1406" ht="14.25" spans="1:15">
      <c r="A1406" s="245" t="s">
        <v>26</v>
      </c>
      <c r="B1406" s="52" t="s">
        <v>64</v>
      </c>
      <c r="C1406" s="19">
        <v>0.909090909090909</v>
      </c>
      <c r="D1406" s="250">
        <v>1</v>
      </c>
      <c r="E1406" s="250">
        <v>0</v>
      </c>
      <c r="F1406" s="250">
        <v>1</v>
      </c>
      <c r="G1406" s="250">
        <v>0</v>
      </c>
      <c r="H1406" s="250">
        <v>1</v>
      </c>
      <c r="I1406" s="250">
        <v>0</v>
      </c>
      <c r="J1406" s="250">
        <v>0</v>
      </c>
      <c r="K1406" s="250">
        <v>0</v>
      </c>
      <c r="L1406" s="250">
        <v>0</v>
      </c>
      <c r="M1406" s="250">
        <v>1</v>
      </c>
      <c r="N1406" s="250">
        <v>3</v>
      </c>
      <c r="O1406" s="257">
        <v>3</v>
      </c>
    </row>
    <row r="1407" spans="1:15">
      <c r="A1407" s="240" t="s">
        <v>71</v>
      </c>
      <c r="B1407" s="47" t="s">
        <v>55</v>
      </c>
      <c r="C1407" s="12">
        <v>0.312380952380952</v>
      </c>
      <c r="D1407" s="241">
        <v>0.346153846153846</v>
      </c>
      <c r="E1407" s="241">
        <v>0.275862068965517</v>
      </c>
      <c r="F1407" s="241">
        <v>0.444444444444444</v>
      </c>
      <c r="G1407" s="241">
        <v>0.25</v>
      </c>
      <c r="H1407" s="241">
        <v>0.358974358974359</v>
      </c>
      <c r="I1407" s="241">
        <v>0.30952380952381</v>
      </c>
      <c r="J1407" s="241">
        <v>0.3</v>
      </c>
      <c r="K1407" s="241">
        <v>0.288461538461538</v>
      </c>
      <c r="L1407" s="241">
        <v>0.348837209302326</v>
      </c>
      <c r="M1407" s="241">
        <v>0.391304347826087</v>
      </c>
      <c r="N1407" s="241">
        <v>0.209677419354839</v>
      </c>
      <c r="O1407" s="252">
        <v>0.308823529411765</v>
      </c>
    </row>
    <row r="1408" spans="1:15">
      <c r="A1408" s="242" t="s">
        <v>71</v>
      </c>
      <c r="B1408" s="43" t="s">
        <v>57</v>
      </c>
      <c r="C1408" s="15">
        <v>525</v>
      </c>
      <c r="D1408" s="243">
        <v>52</v>
      </c>
      <c r="E1408" s="243">
        <v>29</v>
      </c>
      <c r="F1408" s="243">
        <v>18</v>
      </c>
      <c r="G1408" s="243">
        <v>24</v>
      </c>
      <c r="H1408" s="243">
        <v>39</v>
      </c>
      <c r="I1408" s="243">
        <v>42</v>
      </c>
      <c r="J1408" s="243">
        <v>50</v>
      </c>
      <c r="K1408" s="243">
        <v>52</v>
      </c>
      <c r="L1408" s="243">
        <v>43</v>
      </c>
      <c r="M1408" s="243">
        <v>46</v>
      </c>
      <c r="N1408" s="243">
        <v>62</v>
      </c>
      <c r="O1408" s="253">
        <v>68</v>
      </c>
    </row>
    <row r="1409" spans="1:15">
      <c r="A1409" s="240" t="s">
        <v>71</v>
      </c>
      <c r="B1409" s="47" t="s">
        <v>59</v>
      </c>
      <c r="C1409" s="15">
        <v>164</v>
      </c>
      <c r="D1409" s="243">
        <v>18</v>
      </c>
      <c r="E1409" s="243">
        <v>8</v>
      </c>
      <c r="F1409" s="243">
        <v>8</v>
      </c>
      <c r="G1409" s="243">
        <v>6</v>
      </c>
      <c r="H1409" s="243">
        <v>14</v>
      </c>
      <c r="I1409" s="243">
        <v>13</v>
      </c>
      <c r="J1409" s="243">
        <v>15</v>
      </c>
      <c r="K1409" s="243">
        <v>15</v>
      </c>
      <c r="L1409" s="243">
        <v>15</v>
      </c>
      <c r="M1409" s="243">
        <v>18</v>
      </c>
      <c r="N1409" s="243">
        <v>13</v>
      </c>
      <c r="O1409" s="253">
        <v>21</v>
      </c>
    </row>
    <row r="1410" spans="1:15">
      <c r="A1410" s="242" t="s">
        <v>71</v>
      </c>
      <c r="B1410" s="43" t="s">
        <v>4</v>
      </c>
      <c r="C1410" s="15">
        <v>33</v>
      </c>
      <c r="D1410" s="244">
        <v>8</v>
      </c>
      <c r="E1410" s="244">
        <v>2</v>
      </c>
      <c r="F1410" s="244">
        <v>4</v>
      </c>
      <c r="G1410" s="244">
        <v>1</v>
      </c>
      <c r="H1410" s="244">
        <v>1</v>
      </c>
      <c r="I1410" s="244">
        <v>3</v>
      </c>
      <c r="J1410" s="244">
        <v>4</v>
      </c>
      <c r="K1410" s="244">
        <v>0</v>
      </c>
      <c r="L1410" s="244">
        <v>1</v>
      </c>
      <c r="M1410" s="244">
        <v>3</v>
      </c>
      <c r="N1410" s="244">
        <v>2</v>
      </c>
      <c r="O1410" s="254">
        <v>4</v>
      </c>
    </row>
    <row r="1411" spans="1:15">
      <c r="A1411" s="240" t="s">
        <v>71</v>
      </c>
      <c r="B1411" s="47" t="s">
        <v>5</v>
      </c>
      <c r="C1411" s="12">
        <v>0.201219512195122</v>
      </c>
      <c r="D1411" s="241">
        <v>0.444444444444444</v>
      </c>
      <c r="E1411" s="241">
        <v>0.25</v>
      </c>
      <c r="F1411" s="241">
        <v>0.5</v>
      </c>
      <c r="G1411" s="241">
        <v>0.166666666666667</v>
      </c>
      <c r="H1411" s="241">
        <v>0.0714285714285714</v>
      </c>
      <c r="I1411" s="241">
        <v>0.230769230769231</v>
      </c>
      <c r="J1411" s="241">
        <v>0.266666666666667</v>
      </c>
      <c r="K1411" s="241">
        <v>0</v>
      </c>
      <c r="L1411" s="241">
        <v>0.0666666666666667</v>
      </c>
      <c r="M1411" s="241">
        <v>0.166666666666667</v>
      </c>
      <c r="N1411" s="241">
        <v>0.153846153846154</v>
      </c>
      <c r="O1411" s="252">
        <v>0.19047619047619</v>
      </c>
    </row>
    <row r="1412" spans="1:15">
      <c r="A1412" s="242" t="s">
        <v>71</v>
      </c>
      <c r="B1412" s="43" t="s">
        <v>6</v>
      </c>
      <c r="C1412" s="15">
        <v>5</v>
      </c>
      <c r="D1412" s="244">
        <v>2</v>
      </c>
      <c r="E1412" s="244">
        <v>1</v>
      </c>
      <c r="F1412" s="244">
        <v>1</v>
      </c>
      <c r="G1412" s="244">
        <v>0</v>
      </c>
      <c r="H1412" s="244">
        <v>0</v>
      </c>
      <c r="I1412" s="244">
        <v>1</v>
      </c>
      <c r="J1412" s="244">
        <v>0</v>
      </c>
      <c r="K1412" s="244">
        <v>0</v>
      </c>
      <c r="L1412" s="244">
        <v>0</v>
      </c>
      <c r="M1412" s="244">
        <v>0</v>
      </c>
      <c r="N1412" s="244">
        <v>0</v>
      </c>
      <c r="O1412" s="254">
        <v>0</v>
      </c>
    </row>
    <row r="1413" ht="14.25" spans="1:15">
      <c r="A1413" s="245" t="s">
        <v>71</v>
      </c>
      <c r="B1413" s="52" t="s">
        <v>64</v>
      </c>
      <c r="C1413" s="19">
        <v>0.151515151515152</v>
      </c>
      <c r="D1413" s="250">
        <v>2</v>
      </c>
      <c r="E1413" s="250">
        <v>1</v>
      </c>
      <c r="F1413" s="250">
        <v>1</v>
      </c>
      <c r="G1413" s="250">
        <v>0</v>
      </c>
      <c r="H1413" s="250">
        <v>0</v>
      </c>
      <c r="I1413" s="250">
        <v>1</v>
      </c>
      <c r="J1413" s="250">
        <v>0</v>
      </c>
      <c r="K1413" s="250">
        <v>0</v>
      </c>
      <c r="L1413" s="250">
        <v>0</v>
      </c>
      <c r="M1413" s="250">
        <v>0</v>
      </c>
      <c r="N1413" s="250">
        <v>0</v>
      </c>
      <c r="O1413" s="257">
        <v>0</v>
      </c>
    </row>
    <row r="1414" spans="1:15">
      <c r="A1414" s="240" t="s">
        <v>72</v>
      </c>
      <c r="B1414" s="47" t="s">
        <v>55</v>
      </c>
      <c r="C1414" s="12">
        <v>0.373626373626374</v>
      </c>
      <c r="D1414" s="241">
        <v>0.384615384615385</v>
      </c>
      <c r="E1414" s="241">
        <v>0.714285714285714</v>
      </c>
      <c r="F1414" s="241">
        <v>0.4</v>
      </c>
      <c r="G1414" s="241">
        <v>0.318181818181818</v>
      </c>
      <c r="H1414" s="241">
        <v>0.357142857142857</v>
      </c>
      <c r="I1414" s="241">
        <v>0.388888888888889</v>
      </c>
      <c r="J1414" s="241">
        <v>0.40625</v>
      </c>
      <c r="K1414" s="241">
        <v>0.269230769230769</v>
      </c>
      <c r="L1414" s="241">
        <v>0.34</v>
      </c>
      <c r="M1414" s="241">
        <v>0.357142857142857</v>
      </c>
      <c r="N1414" s="241">
        <v>0.4</v>
      </c>
      <c r="O1414" s="252">
        <v>0.416666666666667</v>
      </c>
    </row>
    <row r="1415" spans="1:15">
      <c r="A1415" s="242" t="s">
        <v>72</v>
      </c>
      <c r="B1415" s="43" t="s">
        <v>57</v>
      </c>
      <c r="C1415" s="15">
        <v>364</v>
      </c>
      <c r="D1415" s="243">
        <v>26</v>
      </c>
      <c r="E1415" s="243">
        <v>14</v>
      </c>
      <c r="F1415" s="243">
        <v>10</v>
      </c>
      <c r="G1415" s="243">
        <v>22</v>
      </c>
      <c r="H1415" s="243">
        <v>28</v>
      </c>
      <c r="I1415" s="243">
        <v>36</v>
      </c>
      <c r="J1415" s="243">
        <v>32</v>
      </c>
      <c r="K1415" s="243">
        <v>52</v>
      </c>
      <c r="L1415" s="243">
        <v>50</v>
      </c>
      <c r="M1415" s="243">
        <v>28</v>
      </c>
      <c r="N1415" s="243">
        <v>30</v>
      </c>
      <c r="O1415" s="253">
        <v>36</v>
      </c>
    </row>
    <row r="1416" spans="1:15">
      <c r="A1416" s="240" t="s">
        <v>72</v>
      </c>
      <c r="B1416" s="47" t="s">
        <v>59</v>
      </c>
      <c r="C1416" s="15">
        <v>136</v>
      </c>
      <c r="D1416" s="243">
        <v>10</v>
      </c>
      <c r="E1416" s="243">
        <v>10</v>
      </c>
      <c r="F1416" s="243">
        <v>4</v>
      </c>
      <c r="G1416" s="243">
        <v>7</v>
      </c>
      <c r="H1416" s="243">
        <v>10</v>
      </c>
      <c r="I1416" s="243">
        <v>14</v>
      </c>
      <c r="J1416" s="243">
        <v>13</v>
      </c>
      <c r="K1416" s="243">
        <v>14</v>
      </c>
      <c r="L1416" s="243">
        <v>17</v>
      </c>
      <c r="M1416" s="243">
        <v>10</v>
      </c>
      <c r="N1416" s="243">
        <v>12</v>
      </c>
      <c r="O1416" s="253">
        <v>15</v>
      </c>
    </row>
    <row r="1417" spans="1:15">
      <c r="A1417" s="242" t="s">
        <v>72</v>
      </c>
      <c r="B1417" s="43" t="s">
        <v>4</v>
      </c>
      <c r="C1417" s="15">
        <v>2</v>
      </c>
      <c r="D1417" s="244">
        <v>0</v>
      </c>
      <c r="E1417" s="244">
        <v>0</v>
      </c>
      <c r="F1417" s="244">
        <v>0</v>
      </c>
      <c r="G1417" s="244">
        <v>0</v>
      </c>
      <c r="H1417" s="244">
        <v>0</v>
      </c>
      <c r="I1417" s="244">
        <v>1</v>
      </c>
      <c r="J1417" s="244">
        <v>1</v>
      </c>
      <c r="K1417" s="244">
        <v>0</v>
      </c>
      <c r="L1417" s="244">
        <v>0</v>
      </c>
      <c r="M1417" s="244">
        <v>0</v>
      </c>
      <c r="N1417" s="244">
        <v>0</v>
      </c>
      <c r="O1417" s="254">
        <v>0</v>
      </c>
    </row>
    <row r="1418" spans="1:15">
      <c r="A1418" s="240" t="s">
        <v>72</v>
      </c>
      <c r="B1418" s="47" t="s">
        <v>5</v>
      </c>
      <c r="C1418" s="12">
        <v>0.0147058823529412</v>
      </c>
      <c r="D1418" s="241">
        <v>0</v>
      </c>
      <c r="E1418" s="241">
        <v>0</v>
      </c>
      <c r="F1418" s="241">
        <v>0</v>
      </c>
      <c r="G1418" s="241">
        <v>0</v>
      </c>
      <c r="H1418" s="241">
        <v>0</v>
      </c>
      <c r="I1418" s="241">
        <v>0.0714285714285714</v>
      </c>
      <c r="J1418" s="241">
        <v>0.0769230769230769</v>
      </c>
      <c r="K1418" s="241">
        <v>0</v>
      </c>
      <c r="L1418" s="241">
        <v>0</v>
      </c>
      <c r="M1418" s="241">
        <v>0</v>
      </c>
      <c r="N1418" s="241">
        <v>0</v>
      </c>
      <c r="O1418" s="252">
        <v>0</v>
      </c>
    </row>
    <row r="1419" spans="1:15">
      <c r="A1419" s="242" t="s">
        <v>72</v>
      </c>
      <c r="B1419" s="43" t="s">
        <v>6</v>
      </c>
      <c r="C1419" s="15">
        <v>0</v>
      </c>
      <c r="D1419" s="244">
        <v>0</v>
      </c>
      <c r="E1419" s="244">
        <v>0</v>
      </c>
      <c r="F1419" s="244">
        <v>0</v>
      </c>
      <c r="G1419" s="244">
        <v>0</v>
      </c>
      <c r="H1419" s="244">
        <v>0</v>
      </c>
      <c r="I1419" s="244">
        <v>0</v>
      </c>
      <c r="J1419" s="244">
        <v>0</v>
      </c>
      <c r="K1419" s="244">
        <v>0</v>
      </c>
      <c r="L1419" s="244">
        <v>0</v>
      </c>
      <c r="M1419" s="244">
        <v>0</v>
      </c>
      <c r="N1419" s="244">
        <v>0</v>
      </c>
      <c r="O1419" s="254">
        <v>0</v>
      </c>
    </row>
    <row r="1420" ht="14.25" spans="1:15">
      <c r="A1420" s="245" t="s">
        <v>72</v>
      </c>
      <c r="B1420" s="52" t="s">
        <v>64</v>
      </c>
      <c r="C1420" s="19">
        <v>0</v>
      </c>
      <c r="D1420" s="250">
        <v>0</v>
      </c>
      <c r="E1420" s="250">
        <v>0</v>
      </c>
      <c r="F1420" s="250">
        <v>0</v>
      </c>
      <c r="G1420" s="250">
        <v>0</v>
      </c>
      <c r="H1420" s="250">
        <v>0</v>
      </c>
      <c r="I1420" s="250">
        <v>0</v>
      </c>
      <c r="J1420" s="250">
        <v>0</v>
      </c>
      <c r="K1420" s="250">
        <v>0</v>
      </c>
      <c r="L1420" s="250">
        <v>0</v>
      </c>
      <c r="M1420" s="250">
        <v>0</v>
      </c>
      <c r="N1420" s="250">
        <v>0</v>
      </c>
      <c r="O1420" s="257">
        <v>0</v>
      </c>
    </row>
    <row r="1421" ht="14.25" spans="1:15">
      <c r="A1421" s="237">
        <v>45041</v>
      </c>
      <c r="B1421" s="237"/>
      <c r="C1421" s="237"/>
      <c r="D1421" s="237"/>
      <c r="E1421" s="237"/>
      <c r="F1421" s="237"/>
      <c r="G1421" s="237"/>
      <c r="H1421" s="237"/>
      <c r="I1421" s="237"/>
      <c r="J1421" s="237"/>
      <c r="K1421" s="237"/>
      <c r="L1421" s="237"/>
      <c r="M1421" s="237"/>
      <c r="N1421" s="237"/>
      <c r="O1421" s="237"/>
    </row>
    <row r="1422" spans="1:15">
      <c r="A1422" s="56" t="s">
        <v>1</v>
      </c>
      <c r="B1422" s="238"/>
      <c r="C1422" s="8" t="s">
        <v>42</v>
      </c>
      <c r="D1422" s="239" t="s">
        <v>43</v>
      </c>
      <c r="E1422" s="239" t="s">
        <v>44</v>
      </c>
      <c r="F1422" s="239" t="s">
        <v>45</v>
      </c>
      <c r="G1422" s="239" t="s">
        <v>46</v>
      </c>
      <c r="H1422" s="239" t="s">
        <v>47</v>
      </c>
      <c r="I1422" s="239" t="s">
        <v>48</v>
      </c>
      <c r="J1422" s="239" t="s">
        <v>49</v>
      </c>
      <c r="K1422" s="239" t="s">
        <v>50</v>
      </c>
      <c r="L1422" s="239" t="s">
        <v>51</v>
      </c>
      <c r="M1422" s="239" t="s">
        <v>52</v>
      </c>
      <c r="N1422" s="239" t="s">
        <v>53</v>
      </c>
      <c r="O1422" s="251" t="s">
        <v>54</v>
      </c>
    </row>
    <row r="1423" spans="1:15">
      <c r="A1423" s="240" t="s">
        <v>22</v>
      </c>
      <c r="B1423" s="47" t="s">
        <v>55</v>
      </c>
      <c r="C1423" s="12">
        <v>0.323645598194131</v>
      </c>
      <c r="D1423" s="241">
        <v>0.257861635220126</v>
      </c>
      <c r="E1423" s="241">
        <v>0.139004149377593</v>
      </c>
      <c r="F1423" s="241">
        <v>0.139931740614334</v>
      </c>
      <c r="G1423" s="241">
        <v>0.309917355371901</v>
      </c>
      <c r="H1423" s="241">
        <v>0.381132075471698</v>
      </c>
      <c r="I1423" s="241">
        <v>0.428571428571429</v>
      </c>
      <c r="J1423" s="241">
        <v>0.325925925925926</v>
      </c>
      <c r="K1423" s="241">
        <v>0.412186379928315</v>
      </c>
      <c r="L1423" s="241">
        <v>0.382488479262673</v>
      </c>
      <c r="M1423" s="241">
        <v>0.398104265402844</v>
      </c>
      <c r="N1423" s="241">
        <v>0.53125</v>
      </c>
      <c r="O1423" s="252">
        <v>0.420560747663551</v>
      </c>
    </row>
    <row r="1424" spans="1:15">
      <c r="A1424" s="242" t="s">
        <v>22</v>
      </c>
      <c r="B1424" s="43" t="s">
        <v>57</v>
      </c>
      <c r="C1424" s="15">
        <v>3544</v>
      </c>
      <c r="D1424" s="243">
        <v>477</v>
      </c>
      <c r="E1424" s="243">
        <v>482</v>
      </c>
      <c r="F1424" s="243">
        <v>293</v>
      </c>
      <c r="G1424" s="243">
        <v>242</v>
      </c>
      <c r="H1424" s="243">
        <v>265</v>
      </c>
      <c r="I1424" s="243">
        <v>231</v>
      </c>
      <c r="J1424" s="243">
        <v>270</v>
      </c>
      <c r="K1424" s="243">
        <v>279</v>
      </c>
      <c r="L1424" s="243">
        <v>217</v>
      </c>
      <c r="M1424" s="243">
        <v>211</v>
      </c>
      <c r="N1424" s="243">
        <v>256</v>
      </c>
      <c r="O1424" s="253">
        <v>321</v>
      </c>
    </row>
    <row r="1425" spans="1:15">
      <c r="A1425" s="240" t="s">
        <v>22</v>
      </c>
      <c r="B1425" s="47" t="s">
        <v>59</v>
      </c>
      <c r="C1425" s="15">
        <v>1147</v>
      </c>
      <c r="D1425" s="243">
        <v>123</v>
      </c>
      <c r="E1425" s="243">
        <v>67</v>
      </c>
      <c r="F1425" s="243">
        <v>41</v>
      </c>
      <c r="G1425" s="243">
        <v>75</v>
      </c>
      <c r="H1425" s="243">
        <v>101</v>
      </c>
      <c r="I1425" s="243">
        <v>99</v>
      </c>
      <c r="J1425" s="243">
        <v>88</v>
      </c>
      <c r="K1425" s="243">
        <v>115</v>
      </c>
      <c r="L1425" s="243">
        <v>83</v>
      </c>
      <c r="M1425" s="243">
        <v>84</v>
      </c>
      <c r="N1425" s="243">
        <v>136</v>
      </c>
      <c r="O1425" s="253">
        <v>135</v>
      </c>
    </row>
    <row r="1426" spans="1:15">
      <c r="A1426" s="242" t="s">
        <v>22</v>
      </c>
      <c r="B1426" s="43" t="s">
        <v>4</v>
      </c>
      <c r="C1426" s="15">
        <v>58</v>
      </c>
      <c r="D1426" s="244">
        <v>6</v>
      </c>
      <c r="E1426" s="244">
        <v>5</v>
      </c>
      <c r="F1426" s="244">
        <v>4</v>
      </c>
      <c r="G1426" s="244">
        <v>3</v>
      </c>
      <c r="H1426" s="244">
        <v>3</v>
      </c>
      <c r="I1426" s="244">
        <v>3</v>
      </c>
      <c r="J1426" s="244">
        <v>3</v>
      </c>
      <c r="K1426" s="244">
        <v>10</v>
      </c>
      <c r="L1426" s="244">
        <v>1</v>
      </c>
      <c r="M1426" s="244">
        <v>5</v>
      </c>
      <c r="N1426" s="244">
        <v>6</v>
      </c>
      <c r="O1426" s="254">
        <v>9</v>
      </c>
    </row>
    <row r="1427" spans="1:15">
      <c r="A1427" s="240" t="s">
        <v>22</v>
      </c>
      <c r="B1427" s="47" t="s">
        <v>5</v>
      </c>
      <c r="C1427" s="12">
        <v>0.050566695727986</v>
      </c>
      <c r="D1427" s="241">
        <v>0.0487804878048781</v>
      </c>
      <c r="E1427" s="241">
        <v>0.0746268656716418</v>
      </c>
      <c r="F1427" s="241">
        <v>0.0975609756097561</v>
      </c>
      <c r="G1427" s="241">
        <v>0.04</v>
      </c>
      <c r="H1427" s="241">
        <v>0.0297029702970297</v>
      </c>
      <c r="I1427" s="241">
        <v>0.0303030303030303</v>
      </c>
      <c r="J1427" s="241">
        <v>0.0340909090909091</v>
      </c>
      <c r="K1427" s="241">
        <v>0.0869565217391304</v>
      </c>
      <c r="L1427" s="241">
        <v>0.0120481927710843</v>
      </c>
      <c r="M1427" s="241">
        <v>0.0595238095238095</v>
      </c>
      <c r="N1427" s="241">
        <v>0.0441176470588235</v>
      </c>
      <c r="O1427" s="252">
        <v>0.0666666666666667</v>
      </c>
    </row>
    <row r="1428" spans="1:15">
      <c r="A1428" s="242" t="s">
        <v>22</v>
      </c>
      <c r="B1428" s="43" t="s">
        <v>6</v>
      </c>
      <c r="C1428" s="15">
        <v>24</v>
      </c>
      <c r="D1428" s="244">
        <v>5</v>
      </c>
      <c r="E1428" s="244">
        <v>2</v>
      </c>
      <c r="F1428" s="244">
        <v>0</v>
      </c>
      <c r="G1428" s="244">
        <v>0</v>
      </c>
      <c r="H1428" s="244">
        <v>3</v>
      </c>
      <c r="I1428" s="244">
        <v>0</v>
      </c>
      <c r="J1428" s="244">
        <v>2</v>
      </c>
      <c r="K1428" s="244">
        <v>1</v>
      </c>
      <c r="L1428" s="244">
        <v>3</v>
      </c>
      <c r="M1428" s="244">
        <v>2</v>
      </c>
      <c r="N1428" s="244">
        <v>5</v>
      </c>
      <c r="O1428" s="254">
        <v>1</v>
      </c>
    </row>
    <row r="1429" ht="14.25" spans="1:15">
      <c r="A1429" s="245" t="s">
        <v>22</v>
      </c>
      <c r="B1429" s="52" t="s">
        <v>64</v>
      </c>
      <c r="C1429" s="19">
        <v>0.413793103448276</v>
      </c>
      <c r="D1429" s="246">
        <v>0.833333333333333</v>
      </c>
      <c r="E1429" s="246">
        <v>0.4</v>
      </c>
      <c r="F1429" s="246">
        <v>0</v>
      </c>
      <c r="G1429" s="246">
        <v>0</v>
      </c>
      <c r="H1429" s="246">
        <v>1</v>
      </c>
      <c r="I1429" s="246">
        <v>0</v>
      </c>
      <c r="J1429" s="246">
        <v>0.666666666666667</v>
      </c>
      <c r="K1429" s="246">
        <v>0.1</v>
      </c>
      <c r="L1429" s="246">
        <v>3</v>
      </c>
      <c r="M1429" s="246">
        <v>0.4</v>
      </c>
      <c r="N1429" s="246">
        <v>0.833333333333333</v>
      </c>
      <c r="O1429" s="255">
        <v>0.111111111111111</v>
      </c>
    </row>
    <row r="1430" spans="1:15">
      <c r="A1430" s="247" t="s">
        <v>66</v>
      </c>
      <c r="B1430" s="248" t="s">
        <v>55</v>
      </c>
      <c r="C1430" s="12">
        <v>0.139731285988484</v>
      </c>
      <c r="D1430" s="249">
        <v>0.111111111111111</v>
      </c>
      <c r="E1430" s="249">
        <v>0.0811594202898551</v>
      </c>
      <c r="F1430" s="249">
        <v>0.0619834710743802</v>
      </c>
      <c r="G1430" s="249">
        <v>0.104545454545455</v>
      </c>
      <c r="H1430" s="249">
        <v>0.11969111969112</v>
      </c>
      <c r="I1430" s="249">
        <v>0.12987012987013</v>
      </c>
      <c r="J1430" s="249">
        <v>0.193181818181818</v>
      </c>
      <c r="K1430" s="249">
        <v>0.244897959183673</v>
      </c>
      <c r="L1430" s="249">
        <v>0.169811320754717</v>
      </c>
      <c r="M1430" s="249">
        <v>0.185897435897436</v>
      </c>
      <c r="N1430" s="249">
        <v>0.236842105263158</v>
      </c>
      <c r="O1430" s="256">
        <v>0.197044334975369</v>
      </c>
    </row>
    <row r="1431" spans="1:15">
      <c r="A1431" s="242" t="s">
        <v>66</v>
      </c>
      <c r="B1431" s="43" t="s">
        <v>57</v>
      </c>
      <c r="C1431" s="15">
        <v>2605</v>
      </c>
      <c r="D1431" s="243">
        <v>315</v>
      </c>
      <c r="E1431" s="243">
        <v>345</v>
      </c>
      <c r="F1431" s="243">
        <v>242</v>
      </c>
      <c r="G1431" s="243">
        <v>220</v>
      </c>
      <c r="H1431" s="243">
        <v>259</v>
      </c>
      <c r="I1431" s="243">
        <v>231</v>
      </c>
      <c r="J1431" s="243">
        <v>176</v>
      </c>
      <c r="K1431" s="243">
        <v>147</v>
      </c>
      <c r="L1431" s="243">
        <v>159</v>
      </c>
      <c r="M1431" s="243">
        <v>156</v>
      </c>
      <c r="N1431" s="243">
        <v>152</v>
      </c>
      <c r="O1431" s="253">
        <v>203</v>
      </c>
    </row>
    <row r="1432" spans="1:15">
      <c r="A1432" s="240" t="s">
        <v>66</v>
      </c>
      <c r="B1432" s="47" t="s">
        <v>59</v>
      </c>
      <c r="C1432" s="15">
        <v>364</v>
      </c>
      <c r="D1432" s="243">
        <v>35</v>
      </c>
      <c r="E1432" s="243">
        <v>28</v>
      </c>
      <c r="F1432" s="243">
        <v>15</v>
      </c>
      <c r="G1432" s="243">
        <v>23</v>
      </c>
      <c r="H1432" s="243">
        <v>31</v>
      </c>
      <c r="I1432" s="243">
        <v>30</v>
      </c>
      <c r="J1432" s="243">
        <v>34</v>
      </c>
      <c r="K1432" s="243">
        <v>36</v>
      </c>
      <c r="L1432" s="243">
        <v>27</v>
      </c>
      <c r="M1432" s="243">
        <v>29</v>
      </c>
      <c r="N1432" s="243">
        <v>36</v>
      </c>
      <c r="O1432" s="253">
        <v>40</v>
      </c>
    </row>
    <row r="1433" spans="1:15">
      <c r="A1433" s="242" t="s">
        <v>66</v>
      </c>
      <c r="B1433" s="43" t="s">
        <v>4</v>
      </c>
      <c r="C1433" s="15">
        <v>25</v>
      </c>
      <c r="D1433" s="244">
        <v>3</v>
      </c>
      <c r="E1433" s="244">
        <v>6</v>
      </c>
      <c r="F1433" s="244">
        <v>1</v>
      </c>
      <c r="G1433" s="244">
        <v>0</v>
      </c>
      <c r="H1433" s="244">
        <v>2</v>
      </c>
      <c r="I1433" s="244">
        <v>2</v>
      </c>
      <c r="J1433" s="244">
        <v>1</v>
      </c>
      <c r="K1433" s="244">
        <v>2</v>
      </c>
      <c r="L1433" s="244">
        <v>2</v>
      </c>
      <c r="M1433" s="244">
        <v>2</v>
      </c>
      <c r="N1433" s="244">
        <v>1</v>
      </c>
      <c r="O1433" s="254">
        <v>3</v>
      </c>
    </row>
    <row r="1434" spans="1:15">
      <c r="A1434" s="240" t="s">
        <v>66</v>
      </c>
      <c r="B1434" s="47" t="s">
        <v>5</v>
      </c>
      <c r="C1434" s="12">
        <v>0.0686813186813187</v>
      </c>
      <c r="D1434" s="241">
        <v>0.0857142857142857</v>
      </c>
      <c r="E1434" s="241">
        <v>0.214285714285714</v>
      </c>
      <c r="F1434" s="241">
        <v>0.0666666666666667</v>
      </c>
      <c r="G1434" s="241">
        <v>0</v>
      </c>
      <c r="H1434" s="241">
        <v>0.0645161290322581</v>
      </c>
      <c r="I1434" s="241">
        <v>0.0666666666666667</v>
      </c>
      <c r="J1434" s="241">
        <v>0.0294117647058824</v>
      </c>
      <c r="K1434" s="241">
        <v>0.0555555555555556</v>
      </c>
      <c r="L1434" s="241">
        <v>0.0740740740740741</v>
      </c>
      <c r="M1434" s="241">
        <v>0.0689655172413793</v>
      </c>
      <c r="N1434" s="241">
        <v>0.0277777777777778</v>
      </c>
      <c r="O1434" s="252">
        <v>0.075</v>
      </c>
    </row>
    <row r="1435" spans="1:15">
      <c r="A1435" s="242" t="s">
        <v>66</v>
      </c>
      <c r="B1435" s="43" t="s">
        <v>6</v>
      </c>
      <c r="C1435" s="15">
        <v>4</v>
      </c>
      <c r="D1435" s="244">
        <v>0</v>
      </c>
      <c r="E1435" s="244">
        <v>2</v>
      </c>
      <c r="F1435" s="244">
        <v>0</v>
      </c>
      <c r="G1435" s="244">
        <v>0</v>
      </c>
      <c r="H1435" s="244">
        <v>1</v>
      </c>
      <c r="I1435" s="244">
        <v>1</v>
      </c>
      <c r="J1435" s="244">
        <v>0</v>
      </c>
      <c r="K1435" s="244">
        <v>0</v>
      </c>
      <c r="L1435" s="244">
        <v>0</v>
      </c>
      <c r="M1435" s="244">
        <v>0</v>
      </c>
      <c r="N1435" s="244">
        <v>0</v>
      </c>
      <c r="O1435" s="254">
        <v>0</v>
      </c>
    </row>
    <row r="1436" ht="14.25" spans="1:15">
      <c r="A1436" s="245" t="s">
        <v>66</v>
      </c>
      <c r="B1436" s="52" t="s">
        <v>64</v>
      </c>
      <c r="C1436" s="19">
        <v>0.16</v>
      </c>
      <c r="D1436" s="246">
        <v>0</v>
      </c>
      <c r="E1436" s="246">
        <v>0.333333333333333</v>
      </c>
      <c r="F1436" s="246">
        <v>0</v>
      </c>
      <c r="G1436" s="246">
        <v>0</v>
      </c>
      <c r="H1436" s="246">
        <v>0.5</v>
      </c>
      <c r="I1436" s="246">
        <v>0.5</v>
      </c>
      <c r="J1436" s="246">
        <v>0</v>
      </c>
      <c r="K1436" s="246">
        <v>0</v>
      </c>
      <c r="L1436" s="246">
        <v>0</v>
      </c>
      <c r="M1436" s="246">
        <v>0</v>
      </c>
      <c r="N1436" s="246">
        <v>0</v>
      </c>
      <c r="O1436" s="255">
        <v>0</v>
      </c>
    </row>
    <row r="1437" spans="1:15">
      <c r="A1437" s="240" t="s">
        <v>67</v>
      </c>
      <c r="B1437" s="47" t="s">
        <v>55</v>
      </c>
      <c r="C1437" s="12">
        <v>0.204833836858006</v>
      </c>
      <c r="D1437" s="241">
        <v>0.194672131147541</v>
      </c>
      <c r="E1437" s="241">
        <v>0.2</v>
      </c>
      <c r="F1437" s="241">
        <v>0.171232876712329</v>
      </c>
      <c r="G1437" s="241">
        <v>0.208333333333333</v>
      </c>
      <c r="H1437" s="241">
        <v>0.224264705882353</v>
      </c>
      <c r="I1437" s="241">
        <v>0.256</v>
      </c>
      <c r="J1437" s="241">
        <v>0.208571428571429</v>
      </c>
      <c r="K1437" s="241">
        <v>0.1675</v>
      </c>
      <c r="L1437" s="241">
        <v>0.200657894736842</v>
      </c>
      <c r="M1437" s="241">
        <v>0.226923076923077</v>
      </c>
      <c r="N1437" s="241">
        <v>0.192857142857143</v>
      </c>
      <c r="O1437" s="252">
        <v>0.225663716814159</v>
      </c>
    </row>
    <row r="1438" spans="1:15">
      <c r="A1438" s="242" t="s">
        <v>67</v>
      </c>
      <c r="B1438" s="43" t="s">
        <v>57</v>
      </c>
      <c r="C1438" s="15">
        <v>3310</v>
      </c>
      <c r="D1438" s="243">
        <v>488</v>
      </c>
      <c r="E1438" s="243">
        <v>190</v>
      </c>
      <c r="F1438" s="243">
        <v>146</v>
      </c>
      <c r="G1438" s="243">
        <v>144</v>
      </c>
      <c r="H1438" s="243">
        <v>272</v>
      </c>
      <c r="I1438" s="243">
        <v>250</v>
      </c>
      <c r="J1438" s="243">
        <v>350</v>
      </c>
      <c r="K1438" s="243">
        <v>400</v>
      </c>
      <c r="L1438" s="243">
        <v>304</v>
      </c>
      <c r="M1438" s="243">
        <v>260</v>
      </c>
      <c r="N1438" s="243">
        <v>280</v>
      </c>
      <c r="O1438" s="253">
        <v>226</v>
      </c>
    </row>
    <row r="1439" spans="1:15">
      <c r="A1439" s="240" t="s">
        <v>67</v>
      </c>
      <c r="B1439" s="47" t="s">
        <v>59</v>
      </c>
      <c r="C1439" s="15">
        <v>678</v>
      </c>
      <c r="D1439" s="243">
        <v>95</v>
      </c>
      <c r="E1439" s="243">
        <v>38</v>
      </c>
      <c r="F1439" s="243">
        <v>25</v>
      </c>
      <c r="G1439" s="243">
        <v>30</v>
      </c>
      <c r="H1439" s="243">
        <v>61</v>
      </c>
      <c r="I1439" s="243">
        <v>64</v>
      </c>
      <c r="J1439" s="243">
        <v>73</v>
      </c>
      <c r="K1439" s="243">
        <v>67</v>
      </c>
      <c r="L1439" s="243">
        <v>61</v>
      </c>
      <c r="M1439" s="243">
        <v>59</v>
      </c>
      <c r="N1439" s="243">
        <v>54</v>
      </c>
      <c r="O1439" s="253">
        <v>51</v>
      </c>
    </row>
    <row r="1440" spans="1:15">
      <c r="A1440" s="242" t="s">
        <v>67</v>
      </c>
      <c r="B1440" s="43" t="s">
        <v>4</v>
      </c>
      <c r="C1440" s="15">
        <v>53</v>
      </c>
      <c r="D1440" s="244">
        <v>9</v>
      </c>
      <c r="E1440" s="244">
        <v>5</v>
      </c>
      <c r="F1440" s="244">
        <v>3</v>
      </c>
      <c r="G1440" s="244">
        <v>1</v>
      </c>
      <c r="H1440" s="244">
        <v>4</v>
      </c>
      <c r="I1440" s="244">
        <v>3</v>
      </c>
      <c r="J1440" s="244">
        <v>6</v>
      </c>
      <c r="K1440" s="244">
        <v>3</v>
      </c>
      <c r="L1440" s="244">
        <v>0</v>
      </c>
      <c r="M1440" s="244">
        <v>8</v>
      </c>
      <c r="N1440" s="244">
        <v>5</v>
      </c>
      <c r="O1440" s="254">
        <v>6</v>
      </c>
    </row>
    <row r="1441" spans="1:15">
      <c r="A1441" s="240" t="s">
        <v>67</v>
      </c>
      <c r="B1441" s="47" t="s">
        <v>5</v>
      </c>
      <c r="C1441" s="12">
        <v>0.0781710914454277</v>
      </c>
      <c r="D1441" s="241">
        <v>0.0947368421052632</v>
      </c>
      <c r="E1441" s="241">
        <v>0.131578947368421</v>
      </c>
      <c r="F1441" s="241">
        <v>0.12</v>
      </c>
      <c r="G1441" s="241">
        <v>0.0333333333333333</v>
      </c>
      <c r="H1441" s="241">
        <v>0.0655737704918033</v>
      </c>
      <c r="I1441" s="241">
        <v>0.046875</v>
      </c>
      <c r="J1441" s="241">
        <v>0.0821917808219178</v>
      </c>
      <c r="K1441" s="241">
        <v>0.0447761194029851</v>
      </c>
      <c r="L1441" s="241">
        <v>0</v>
      </c>
      <c r="M1441" s="241">
        <v>0.135593220338983</v>
      </c>
      <c r="N1441" s="241">
        <v>0.0925925925925926</v>
      </c>
      <c r="O1441" s="252">
        <v>0.117647058823529</v>
      </c>
    </row>
    <row r="1442" spans="1:15">
      <c r="A1442" s="242" t="s">
        <v>67</v>
      </c>
      <c r="B1442" s="43" t="s">
        <v>6</v>
      </c>
      <c r="C1442" s="15">
        <v>19</v>
      </c>
      <c r="D1442" s="244">
        <v>6</v>
      </c>
      <c r="E1442" s="244">
        <v>1</v>
      </c>
      <c r="F1442" s="244">
        <v>1</v>
      </c>
      <c r="G1442" s="244">
        <v>1</v>
      </c>
      <c r="H1442" s="244">
        <v>3</v>
      </c>
      <c r="I1442" s="244">
        <v>2</v>
      </c>
      <c r="J1442" s="244">
        <v>1</v>
      </c>
      <c r="K1442" s="244">
        <v>0</v>
      </c>
      <c r="L1442" s="244">
        <v>0</v>
      </c>
      <c r="M1442" s="244">
        <v>1</v>
      </c>
      <c r="N1442" s="244">
        <v>1</v>
      </c>
      <c r="O1442" s="254">
        <v>2</v>
      </c>
    </row>
    <row r="1443" ht="14.25" spans="1:15">
      <c r="A1443" s="245" t="s">
        <v>67</v>
      </c>
      <c r="B1443" s="52" t="s">
        <v>64</v>
      </c>
      <c r="C1443" s="19">
        <v>0.358490566037736</v>
      </c>
      <c r="D1443" s="246">
        <v>0.666666666666667</v>
      </c>
      <c r="E1443" s="246">
        <v>0.2</v>
      </c>
      <c r="F1443" s="246">
        <v>0.333333333333333</v>
      </c>
      <c r="G1443" s="246">
        <v>1</v>
      </c>
      <c r="H1443" s="246">
        <v>0.75</v>
      </c>
      <c r="I1443" s="246">
        <v>0.666666666666667</v>
      </c>
      <c r="J1443" s="246">
        <v>0.166666666666667</v>
      </c>
      <c r="K1443" s="246">
        <v>0</v>
      </c>
      <c r="L1443" s="246">
        <v>0</v>
      </c>
      <c r="M1443" s="246">
        <v>0.125</v>
      </c>
      <c r="N1443" s="246">
        <v>0.2</v>
      </c>
      <c r="O1443" s="255">
        <v>0.333333333333333</v>
      </c>
    </row>
    <row r="1444" spans="1:15">
      <c r="A1444" s="240" t="s">
        <v>68</v>
      </c>
      <c r="B1444" s="47" t="s">
        <v>55</v>
      </c>
      <c r="C1444" s="12">
        <v>0.0458679833679834</v>
      </c>
      <c r="D1444" s="241">
        <v>0.0428015564202335</v>
      </c>
      <c r="E1444" s="241">
        <v>0.0275310834813499</v>
      </c>
      <c r="F1444" s="241">
        <v>0.0182119205298013</v>
      </c>
      <c r="G1444" s="241">
        <v>0.0212912087912088</v>
      </c>
      <c r="H1444" s="241">
        <v>0.0393462469733656</v>
      </c>
      <c r="I1444" s="241">
        <v>0.0904255319148936</v>
      </c>
      <c r="J1444" s="241">
        <v>0.0484210526315789</v>
      </c>
      <c r="K1444" s="241">
        <v>0.0451680672268908</v>
      </c>
      <c r="L1444" s="241">
        <v>0.0673289183222958</v>
      </c>
      <c r="M1444" s="241">
        <v>0.0717255717255717</v>
      </c>
      <c r="N1444" s="241">
        <v>0.0485074626865672</v>
      </c>
      <c r="O1444" s="252">
        <v>0.0521531100478469</v>
      </c>
    </row>
    <row r="1445" spans="1:15">
      <c r="A1445" s="242" t="s">
        <v>68</v>
      </c>
      <c r="B1445" s="43" t="s">
        <v>57</v>
      </c>
      <c r="C1445" s="15">
        <v>15392</v>
      </c>
      <c r="D1445" s="243">
        <v>1542</v>
      </c>
      <c r="E1445" s="243">
        <v>1126</v>
      </c>
      <c r="F1445" s="243">
        <v>1208</v>
      </c>
      <c r="G1445" s="243">
        <v>1456</v>
      </c>
      <c r="H1445" s="243">
        <v>1652</v>
      </c>
      <c r="I1445" s="243">
        <v>940</v>
      </c>
      <c r="J1445" s="243">
        <v>950</v>
      </c>
      <c r="K1445" s="243">
        <v>952</v>
      </c>
      <c r="L1445" s="243">
        <v>906</v>
      </c>
      <c r="M1445" s="243">
        <v>962</v>
      </c>
      <c r="N1445" s="243">
        <v>1608</v>
      </c>
      <c r="O1445" s="253">
        <v>2090</v>
      </c>
    </row>
    <row r="1446" spans="1:15">
      <c r="A1446" s="240" t="s">
        <v>68</v>
      </c>
      <c r="B1446" s="47" t="s">
        <v>59</v>
      </c>
      <c r="C1446" s="15">
        <v>706</v>
      </c>
      <c r="D1446" s="243">
        <v>66</v>
      </c>
      <c r="E1446" s="243">
        <v>31</v>
      </c>
      <c r="F1446" s="243">
        <v>22</v>
      </c>
      <c r="G1446" s="243">
        <v>31</v>
      </c>
      <c r="H1446" s="243">
        <v>65</v>
      </c>
      <c r="I1446" s="243">
        <v>85</v>
      </c>
      <c r="J1446" s="243">
        <v>46</v>
      </c>
      <c r="K1446" s="243">
        <v>43</v>
      </c>
      <c r="L1446" s="243">
        <v>61</v>
      </c>
      <c r="M1446" s="243">
        <v>69</v>
      </c>
      <c r="N1446" s="243">
        <v>78</v>
      </c>
      <c r="O1446" s="253">
        <v>109</v>
      </c>
    </row>
    <row r="1447" spans="1:15">
      <c r="A1447" s="242" t="s">
        <v>68</v>
      </c>
      <c r="B1447" s="43" t="s">
        <v>4</v>
      </c>
      <c r="C1447" s="15">
        <v>30</v>
      </c>
      <c r="D1447" s="244">
        <v>4</v>
      </c>
      <c r="E1447" s="244">
        <v>0</v>
      </c>
      <c r="F1447" s="244">
        <v>1</v>
      </c>
      <c r="G1447" s="244">
        <v>1</v>
      </c>
      <c r="H1447" s="244">
        <v>4</v>
      </c>
      <c r="I1447" s="244">
        <v>3</v>
      </c>
      <c r="J1447" s="244">
        <v>1</v>
      </c>
      <c r="K1447" s="244">
        <v>1</v>
      </c>
      <c r="L1447" s="244">
        <v>1</v>
      </c>
      <c r="M1447" s="244">
        <v>2</v>
      </c>
      <c r="N1447" s="244">
        <v>8</v>
      </c>
      <c r="O1447" s="254">
        <v>4</v>
      </c>
    </row>
    <row r="1448" spans="1:15">
      <c r="A1448" s="240" t="s">
        <v>68</v>
      </c>
      <c r="B1448" s="47" t="s">
        <v>5</v>
      </c>
      <c r="C1448" s="12">
        <v>0.0424929178470255</v>
      </c>
      <c r="D1448" s="241">
        <v>0.0606060606060606</v>
      </c>
      <c r="E1448" s="241">
        <v>0</v>
      </c>
      <c r="F1448" s="241">
        <v>0.0454545454545455</v>
      </c>
      <c r="G1448" s="241">
        <v>0.032258064516129</v>
      </c>
      <c r="H1448" s="241">
        <v>0.0615384615384615</v>
      </c>
      <c r="I1448" s="241">
        <v>0.0352941176470588</v>
      </c>
      <c r="J1448" s="241">
        <v>0.0217391304347826</v>
      </c>
      <c r="K1448" s="241">
        <v>0.0232558139534884</v>
      </c>
      <c r="L1448" s="241">
        <v>0.0163934426229508</v>
      </c>
      <c r="M1448" s="241">
        <v>0.0289855072463768</v>
      </c>
      <c r="N1448" s="241">
        <v>0.102564102564103</v>
      </c>
      <c r="O1448" s="252">
        <v>0.036697247706422</v>
      </c>
    </row>
    <row r="1449" spans="1:15">
      <c r="A1449" s="242" t="s">
        <v>68</v>
      </c>
      <c r="B1449" s="43" t="s">
        <v>6</v>
      </c>
      <c r="C1449" s="15">
        <v>13</v>
      </c>
      <c r="D1449" s="244">
        <v>2</v>
      </c>
      <c r="E1449" s="244">
        <v>0</v>
      </c>
      <c r="F1449" s="244">
        <v>1</v>
      </c>
      <c r="G1449" s="244">
        <v>1</v>
      </c>
      <c r="H1449" s="244">
        <v>4</v>
      </c>
      <c r="I1449" s="244">
        <v>0</v>
      </c>
      <c r="J1449" s="244">
        <v>0</v>
      </c>
      <c r="K1449" s="244">
        <v>0</v>
      </c>
      <c r="L1449" s="244">
        <v>0</v>
      </c>
      <c r="M1449" s="244">
        <v>0</v>
      </c>
      <c r="N1449" s="244">
        <v>2</v>
      </c>
      <c r="O1449" s="254">
        <v>3</v>
      </c>
    </row>
    <row r="1450" ht="14.25" spans="1:15">
      <c r="A1450" s="245" t="s">
        <v>68</v>
      </c>
      <c r="B1450" s="52" t="s">
        <v>64</v>
      </c>
      <c r="C1450" s="19">
        <v>0.433333333333333</v>
      </c>
      <c r="D1450" s="246">
        <v>0.5</v>
      </c>
      <c r="E1450" s="246">
        <v>0</v>
      </c>
      <c r="F1450" s="246">
        <v>1</v>
      </c>
      <c r="G1450" s="246">
        <v>1</v>
      </c>
      <c r="H1450" s="246">
        <v>1</v>
      </c>
      <c r="I1450" s="246">
        <v>0</v>
      </c>
      <c r="J1450" s="246">
        <v>0</v>
      </c>
      <c r="K1450" s="246">
        <v>0</v>
      </c>
      <c r="L1450" s="246">
        <v>0</v>
      </c>
      <c r="M1450" s="246">
        <v>0</v>
      </c>
      <c r="N1450" s="246">
        <v>0.25</v>
      </c>
      <c r="O1450" s="255">
        <v>0.75</v>
      </c>
    </row>
    <row r="1451" spans="1:15">
      <c r="A1451" s="240" t="s">
        <v>69</v>
      </c>
      <c r="B1451" s="47" t="s">
        <v>55</v>
      </c>
      <c r="C1451" s="12">
        <v>0.952813067150635</v>
      </c>
      <c r="D1451" s="241">
        <v>1.45161290322581</v>
      </c>
      <c r="E1451" s="241">
        <v>0.888888888888889</v>
      </c>
      <c r="F1451" s="241">
        <v>1.05</v>
      </c>
      <c r="G1451" s="241">
        <v>1.18518518518519</v>
      </c>
      <c r="H1451" s="241">
        <v>1.21276595744681</v>
      </c>
      <c r="I1451" s="241">
        <v>0.96551724137931</v>
      </c>
      <c r="J1451" s="241">
        <v>1.04255319148936</v>
      </c>
      <c r="K1451" s="241">
        <v>0.758620689655172</v>
      </c>
      <c r="L1451" s="241">
        <v>0.818181818181818</v>
      </c>
      <c r="M1451" s="241">
        <v>1.04545454545455</v>
      </c>
      <c r="N1451" s="241">
        <v>0.753846153846154</v>
      </c>
      <c r="O1451" s="252">
        <v>0.791666666666667</v>
      </c>
    </row>
    <row r="1452" spans="1:15">
      <c r="A1452" s="242" t="s">
        <v>69</v>
      </c>
      <c r="B1452" s="43" t="s">
        <v>57</v>
      </c>
      <c r="C1452" s="15">
        <v>551</v>
      </c>
      <c r="D1452" s="243">
        <v>31</v>
      </c>
      <c r="E1452" s="243">
        <v>27</v>
      </c>
      <c r="F1452" s="243">
        <v>20</v>
      </c>
      <c r="G1452" s="243">
        <v>27</v>
      </c>
      <c r="H1452" s="243">
        <v>47</v>
      </c>
      <c r="I1452" s="243">
        <v>58</v>
      </c>
      <c r="J1452" s="243">
        <v>47</v>
      </c>
      <c r="K1452" s="243">
        <v>58</v>
      </c>
      <c r="L1452" s="243">
        <v>55</v>
      </c>
      <c r="M1452" s="243">
        <v>44</v>
      </c>
      <c r="N1452" s="243">
        <v>65</v>
      </c>
      <c r="O1452" s="253">
        <v>72</v>
      </c>
    </row>
    <row r="1453" spans="1:15">
      <c r="A1453" s="240" t="s">
        <v>69</v>
      </c>
      <c r="B1453" s="47" t="s">
        <v>59</v>
      </c>
      <c r="C1453" s="15">
        <v>525</v>
      </c>
      <c r="D1453" s="243">
        <v>45</v>
      </c>
      <c r="E1453" s="243">
        <v>24</v>
      </c>
      <c r="F1453" s="243">
        <v>21</v>
      </c>
      <c r="G1453" s="243">
        <v>32</v>
      </c>
      <c r="H1453" s="243">
        <v>57</v>
      </c>
      <c r="I1453" s="243">
        <v>56</v>
      </c>
      <c r="J1453" s="243">
        <v>49</v>
      </c>
      <c r="K1453" s="243">
        <v>44</v>
      </c>
      <c r="L1453" s="243">
        <v>45</v>
      </c>
      <c r="M1453" s="243">
        <v>46</v>
      </c>
      <c r="N1453" s="243">
        <v>49</v>
      </c>
      <c r="O1453" s="253">
        <v>57</v>
      </c>
    </row>
    <row r="1454" spans="1:15">
      <c r="A1454" s="242" t="s">
        <v>69</v>
      </c>
      <c r="B1454" s="43" t="s">
        <v>4</v>
      </c>
      <c r="C1454" s="15">
        <v>23</v>
      </c>
      <c r="D1454" s="244">
        <v>1</v>
      </c>
      <c r="E1454" s="244">
        <v>1</v>
      </c>
      <c r="F1454" s="244">
        <v>1</v>
      </c>
      <c r="G1454" s="244">
        <v>2</v>
      </c>
      <c r="H1454" s="244">
        <v>1</v>
      </c>
      <c r="I1454" s="244">
        <v>2</v>
      </c>
      <c r="J1454" s="244">
        <v>2</v>
      </c>
      <c r="K1454" s="244">
        <v>3</v>
      </c>
      <c r="L1454" s="244">
        <v>1</v>
      </c>
      <c r="M1454" s="244">
        <v>4</v>
      </c>
      <c r="N1454" s="244">
        <v>3</v>
      </c>
      <c r="O1454" s="254">
        <v>2</v>
      </c>
    </row>
    <row r="1455" spans="1:15">
      <c r="A1455" s="240" t="s">
        <v>69</v>
      </c>
      <c r="B1455" s="47" t="s">
        <v>5</v>
      </c>
      <c r="C1455" s="12">
        <v>0.0438095238095238</v>
      </c>
      <c r="D1455" s="241">
        <v>0.0222222222222222</v>
      </c>
      <c r="E1455" s="241">
        <v>0.0416666666666667</v>
      </c>
      <c r="F1455" s="241">
        <v>0.0476190476190476</v>
      </c>
      <c r="G1455" s="241">
        <v>0.0625</v>
      </c>
      <c r="H1455" s="241">
        <v>0.0175438596491228</v>
      </c>
      <c r="I1455" s="241">
        <v>0.0357142857142857</v>
      </c>
      <c r="J1455" s="241">
        <v>0.0408163265306122</v>
      </c>
      <c r="K1455" s="241">
        <v>0.0681818181818182</v>
      </c>
      <c r="L1455" s="241">
        <v>0.0222222222222222</v>
      </c>
      <c r="M1455" s="241">
        <v>0.0869565217391304</v>
      </c>
      <c r="N1455" s="241">
        <v>0.0612244897959184</v>
      </c>
      <c r="O1455" s="252">
        <v>0.0350877192982456</v>
      </c>
    </row>
    <row r="1456" spans="1:15">
      <c r="A1456" s="242" t="s">
        <v>69</v>
      </c>
      <c r="B1456" s="43" t="s">
        <v>6</v>
      </c>
      <c r="C1456" s="15">
        <v>10</v>
      </c>
      <c r="D1456" s="244">
        <v>0</v>
      </c>
      <c r="E1456" s="244">
        <v>1</v>
      </c>
      <c r="F1456" s="244">
        <v>0</v>
      </c>
      <c r="G1456" s="244">
        <v>0</v>
      </c>
      <c r="H1456" s="244">
        <v>1</v>
      </c>
      <c r="I1456" s="244">
        <v>0</v>
      </c>
      <c r="J1456" s="244">
        <v>1</v>
      </c>
      <c r="K1456" s="244">
        <v>3</v>
      </c>
      <c r="L1456" s="244">
        <v>1</v>
      </c>
      <c r="M1456" s="244">
        <v>1</v>
      </c>
      <c r="N1456" s="244">
        <v>2</v>
      </c>
      <c r="O1456" s="254">
        <v>0</v>
      </c>
    </row>
    <row r="1457" ht="14.25" spans="1:15">
      <c r="A1457" s="245" t="s">
        <v>69</v>
      </c>
      <c r="B1457" s="52" t="s">
        <v>64</v>
      </c>
      <c r="C1457" s="19">
        <v>0.434782608695652</v>
      </c>
      <c r="D1457" s="246">
        <v>0</v>
      </c>
      <c r="E1457" s="246">
        <v>1</v>
      </c>
      <c r="F1457" s="246">
        <v>0</v>
      </c>
      <c r="G1457" s="246">
        <v>0</v>
      </c>
      <c r="H1457" s="246">
        <v>1</v>
      </c>
      <c r="I1457" s="246">
        <v>0</v>
      </c>
      <c r="J1457" s="246">
        <v>0.5</v>
      </c>
      <c r="K1457" s="246">
        <v>1</v>
      </c>
      <c r="L1457" s="246">
        <v>1</v>
      </c>
      <c r="M1457" s="246">
        <v>0.25</v>
      </c>
      <c r="N1457" s="246">
        <v>0.666666666666667</v>
      </c>
      <c r="O1457" s="255">
        <v>0</v>
      </c>
    </row>
    <row r="1458" spans="1:15">
      <c r="A1458" s="240" t="s">
        <v>70</v>
      </c>
      <c r="B1458" s="47" t="s">
        <v>55</v>
      </c>
      <c r="C1458" s="12">
        <v>0.526119402985075</v>
      </c>
      <c r="D1458" s="241">
        <v>0.65</v>
      </c>
      <c r="E1458" s="241">
        <v>1.1</v>
      </c>
      <c r="F1458" s="241">
        <v>1.25</v>
      </c>
      <c r="G1458" s="241">
        <v>1.33333333333333</v>
      </c>
      <c r="H1458" s="241">
        <v>0.5</v>
      </c>
      <c r="I1458" s="241">
        <v>0.413793103448276</v>
      </c>
      <c r="J1458" s="241">
        <v>0.275862068965517</v>
      </c>
      <c r="K1458" s="241">
        <v>0.4</v>
      </c>
      <c r="L1458" s="241">
        <v>0.448275862068966</v>
      </c>
      <c r="M1458" s="241">
        <v>0.2</v>
      </c>
      <c r="N1458" s="241">
        <v>0.32258064516129</v>
      </c>
      <c r="O1458" s="252">
        <v>0.923076923076923</v>
      </c>
    </row>
    <row r="1459" spans="1:15">
      <c r="A1459" s="242" t="s">
        <v>70</v>
      </c>
      <c r="B1459" s="43" t="s">
        <v>57</v>
      </c>
      <c r="C1459" s="15">
        <v>268</v>
      </c>
      <c r="D1459" s="243">
        <v>20</v>
      </c>
      <c r="E1459" s="243">
        <v>10</v>
      </c>
      <c r="F1459" s="243">
        <v>8</v>
      </c>
      <c r="G1459" s="243">
        <v>12</v>
      </c>
      <c r="H1459" s="243">
        <v>14</v>
      </c>
      <c r="I1459" s="243">
        <v>29</v>
      </c>
      <c r="J1459" s="243">
        <v>29</v>
      </c>
      <c r="K1459" s="243">
        <v>25</v>
      </c>
      <c r="L1459" s="243">
        <v>29</v>
      </c>
      <c r="M1459" s="243">
        <v>35</v>
      </c>
      <c r="N1459" s="243">
        <v>31</v>
      </c>
      <c r="O1459" s="253">
        <v>26</v>
      </c>
    </row>
    <row r="1460" spans="1:15">
      <c r="A1460" s="240" t="s">
        <v>70</v>
      </c>
      <c r="B1460" s="47" t="s">
        <v>59</v>
      </c>
      <c r="C1460" s="15">
        <v>141</v>
      </c>
      <c r="D1460" s="243">
        <v>13</v>
      </c>
      <c r="E1460" s="243">
        <v>11</v>
      </c>
      <c r="F1460" s="243">
        <v>10</v>
      </c>
      <c r="G1460" s="243">
        <v>16</v>
      </c>
      <c r="H1460" s="243">
        <v>7</v>
      </c>
      <c r="I1460" s="243">
        <v>12</v>
      </c>
      <c r="J1460" s="243">
        <v>8</v>
      </c>
      <c r="K1460" s="243">
        <v>10</v>
      </c>
      <c r="L1460" s="243">
        <v>13</v>
      </c>
      <c r="M1460" s="243">
        <v>7</v>
      </c>
      <c r="N1460" s="243">
        <v>10</v>
      </c>
      <c r="O1460" s="253">
        <v>24</v>
      </c>
    </row>
    <row r="1461" spans="1:15">
      <c r="A1461" s="242" t="s">
        <v>70</v>
      </c>
      <c r="B1461" s="43" t="s">
        <v>4</v>
      </c>
      <c r="C1461" s="15">
        <v>1</v>
      </c>
      <c r="D1461" s="244">
        <v>0</v>
      </c>
      <c r="E1461" s="244">
        <v>0</v>
      </c>
      <c r="F1461" s="244">
        <v>0</v>
      </c>
      <c r="G1461" s="244">
        <v>0</v>
      </c>
      <c r="H1461" s="244">
        <v>0</v>
      </c>
      <c r="I1461" s="244">
        <v>0</v>
      </c>
      <c r="J1461" s="244">
        <v>0</v>
      </c>
      <c r="K1461" s="244">
        <v>1</v>
      </c>
      <c r="L1461" s="244">
        <v>0</v>
      </c>
      <c r="M1461" s="244">
        <v>0</v>
      </c>
      <c r="N1461" s="244">
        <v>0</v>
      </c>
      <c r="O1461" s="254">
        <v>0</v>
      </c>
    </row>
    <row r="1462" spans="1:15">
      <c r="A1462" s="240" t="s">
        <v>70</v>
      </c>
      <c r="B1462" s="47" t="s">
        <v>5</v>
      </c>
      <c r="C1462" s="12">
        <v>0.00709219858156028</v>
      </c>
      <c r="D1462" s="241">
        <v>0</v>
      </c>
      <c r="E1462" s="241">
        <v>0</v>
      </c>
      <c r="F1462" s="241">
        <v>0</v>
      </c>
      <c r="G1462" s="241">
        <v>0</v>
      </c>
      <c r="H1462" s="241">
        <v>0</v>
      </c>
      <c r="I1462" s="241">
        <v>0</v>
      </c>
      <c r="J1462" s="241">
        <v>0</v>
      </c>
      <c r="K1462" s="241">
        <v>0.1</v>
      </c>
      <c r="L1462" s="241">
        <v>0</v>
      </c>
      <c r="M1462" s="241">
        <v>0</v>
      </c>
      <c r="N1462" s="241">
        <v>0</v>
      </c>
      <c r="O1462" s="252">
        <v>0</v>
      </c>
    </row>
    <row r="1463" spans="1:15">
      <c r="A1463" s="242" t="s">
        <v>70</v>
      </c>
      <c r="B1463" s="43" t="s">
        <v>6</v>
      </c>
      <c r="C1463" s="15">
        <v>0</v>
      </c>
      <c r="D1463" s="244">
        <v>0</v>
      </c>
      <c r="E1463" s="244">
        <v>0</v>
      </c>
      <c r="F1463" s="244">
        <v>0</v>
      </c>
      <c r="G1463" s="244">
        <v>0</v>
      </c>
      <c r="H1463" s="244">
        <v>0</v>
      </c>
      <c r="I1463" s="244">
        <v>0</v>
      </c>
      <c r="J1463" s="244">
        <v>0</v>
      </c>
      <c r="K1463" s="244">
        <v>0</v>
      </c>
      <c r="L1463" s="244">
        <v>0</v>
      </c>
      <c r="M1463" s="244">
        <v>0</v>
      </c>
      <c r="N1463" s="244">
        <v>0</v>
      </c>
      <c r="O1463" s="254">
        <v>0</v>
      </c>
    </row>
    <row r="1464" ht="14.25" spans="1:15">
      <c r="A1464" s="245" t="s">
        <v>70</v>
      </c>
      <c r="B1464" s="52" t="s">
        <v>64</v>
      </c>
      <c r="C1464" s="19">
        <v>0</v>
      </c>
      <c r="D1464" s="246">
        <v>0</v>
      </c>
      <c r="E1464" s="246">
        <v>0</v>
      </c>
      <c r="F1464" s="246">
        <v>0</v>
      </c>
      <c r="G1464" s="246">
        <v>0</v>
      </c>
      <c r="H1464" s="246">
        <v>0</v>
      </c>
      <c r="I1464" s="246">
        <v>0</v>
      </c>
      <c r="J1464" s="246">
        <v>0</v>
      </c>
      <c r="K1464" s="246">
        <v>0</v>
      </c>
      <c r="L1464" s="246">
        <v>0</v>
      </c>
      <c r="M1464" s="246">
        <v>0</v>
      </c>
      <c r="N1464" s="246">
        <v>0</v>
      </c>
      <c r="O1464" s="255">
        <v>0</v>
      </c>
    </row>
    <row r="1465" spans="1:15">
      <c r="A1465" s="240" t="s">
        <v>26</v>
      </c>
      <c r="B1465" s="47" t="s">
        <v>55</v>
      </c>
      <c r="C1465" s="12">
        <v>0.542464612822648</v>
      </c>
      <c r="D1465" s="241">
        <v>0.594059405940594</v>
      </c>
      <c r="E1465" s="241">
        <v>0.432692307692308</v>
      </c>
      <c r="F1465" s="241">
        <v>0.408163265306122</v>
      </c>
      <c r="G1465" s="241">
        <v>0.62280701754386</v>
      </c>
      <c r="H1465" s="241">
        <v>0.545</v>
      </c>
      <c r="I1465" s="241">
        <v>0.57258064516129</v>
      </c>
      <c r="J1465" s="241">
        <v>0.75625</v>
      </c>
      <c r="K1465" s="241">
        <v>0.521929824561403</v>
      </c>
      <c r="L1465" s="241">
        <v>0.495327102803738</v>
      </c>
      <c r="M1465" s="241">
        <v>0.532407407407407</v>
      </c>
      <c r="N1465" s="241">
        <v>0.496575342465753</v>
      </c>
      <c r="O1465" s="252">
        <v>0.521472392638037</v>
      </c>
    </row>
    <row r="1466" spans="1:15">
      <c r="A1466" s="242" t="s">
        <v>26</v>
      </c>
      <c r="B1466" s="43" t="s">
        <v>57</v>
      </c>
      <c r="C1466" s="15">
        <v>2402</v>
      </c>
      <c r="D1466" s="243">
        <v>202</v>
      </c>
      <c r="E1466" s="243">
        <v>104</v>
      </c>
      <c r="F1466" s="243">
        <v>98</v>
      </c>
      <c r="G1466" s="243">
        <v>114</v>
      </c>
      <c r="H1466" s="243">
        <v>200</v>
      </c>
      <c r="I1466" s="243">
        <v>248</v>
      </c>
      <c r="J1466" s="243">
        <v>160</v>
      </c>
      <c r="K1466" s="243">
        <v>228</v>
      </c>
      <c r="L1466" s="243">
        <v>214</v>
      </c>
      <c r="M1466" s="243">
        <v>216</v>
      </c>
      <c r="N1466" s="243">
        <v>292</v>
      </c>
      <c r="O1466" s="253">
        <v>326</v>
      </c>
    </row>
    <row r="1467" spans="1:15">
      <c r="A1467" s="240" t="s">
        <v>26</v>
      </c>
      <c r="B1467" s="47" t="s">
        <v>59</v>
      </c>
      <c r="C1467" s="15">
        <v>1303</v>
      </c>
      <c r="D1467" s="243">
        <v>120</v>
      </c>
      <c r="E1467" s="243">
        <v>45</v>
      </c>
      <c r="F1467" s="243">
        <v>40</v>
      </c>
      <c r="G1467" s="243">
        <v>71</v>
      </c>
      <c r="H1467" s="243">
        <v>109</v>
      </c>
      <c r="I1467" s="243">
        <v>142</v>
      </c>
      <c r="J1467" s="243">
        <v>121</v>
      </c>
      <c r="K1467" s="243">
        <v>119</v>
      </c>
      <c r="L1467" s="243">
        <v>106</v>
      </c>
      <c r="M1467" s="243">
        <v>115</v>
      </c>
      <c r="N1467" s="243">
        <v>145</v>
      </c>
      <c r="O1467" s="253">
        <v>170</v>
      </c>
    </row>
    <row r="1468" spans="1:15">
      <c r="A1468" s="242" t="s">
        <v>26</v>
      </c>
      <c r="B1468" s="43" t="s">
        <v>4</v>
      </c>
      <c r="C1468" s="15">
        <v>20</v>
      </c>
      <c r="D1468" s="244">
        <v>4</v>
      </c>
      <c r="E1468" s="244">
        <v>2</v>
      </c>
      <c r="F1468" s="244">
        <v>0</v>
      </c>
      <c r="G1468" s="244">
        <v>0</v>
      </c>
      <c r="H1468" s="244">
        <v>1</v>
      </c>
      <c r="I1468" s="244">
        <v>3</v>
      </c>
      <c r="J1468" s="244">
        <v>2</v>
      </c>
      <c r="K1468" s="244">
        <v>2</v>
      </c>
      <c r="L1468" s="244">
        <v>3</v>
      </c>
      <c r="M1468" s="244">
        <v>1</v>
      </c>
      <c r="N1468" s="244">
        <v>1</v>
      </c>
      <c r="O1468" s="254">
        <v>1</v>
      </c>
    </row>
    <row r="1469" spans="1:15">
      <c r="A1469" s="240" t="s">
        <v>26</v>
      </c>
      <c r="B1469" s="47" t="s">
        <v>5</v>
      </c>
      <c r="C1469" s="12">
        <v>0.0153491941673062</v>
      </c>
      <c r="D1469" s="241">
        <v>0.0333333333333333</v>
      </c>
      <c r="E1469" s="241">
        <v>0.0444444444444444</v>
      </c>
      <c r="F1469" s="241">
        <v>0</v>
      </c>
      <c r="G1469" s="241">
        <v>0</v>
      </c>
      <c r="H1469" s="241">
        <v>0.00917431192660551</v>
      </c>
      <c r="I1469" s="241">
        <v>0.0211267605633803</v>
      </c>
      <c r="J1469" s="241">
        <v>0.0165289256198347</v>
      </c>
      <c r="K1469" s="241">
        <v>0.0168067226890756</v>
      </c>
      <c r="L1469" s="241">
        <v>0.0283018867924528</v>
      </c>
      <c r="M1469" s="241">
        <v>0.00869565217391304</v>
      </c>
      <c r="N1469" s="241">
        <v>0.00689655172413793</v>
      </c>
      <c r="O1469" s="252">
        <v>0.00588235294117647</v>
      </c>
    </row>
    <row r="1470" spans="1:15">
      <c r="A1470" s="242" t="s">
        <v>26</v>
      </c>
      <c r="B1470" s="43" t="s">
        <v>6</v>
      </c>
      <c r="C1470" s="15">
        <v>9</v>
      </c>
      <c r="D1470" s="244">
        <v>1</v>
      </c>
      <c r="E1470" s="244">
        <v>3</v>
      </c>
      <c r="F1470" s="244">
        <v>0</v>
      </c>
      <c r="G1470" s="244">
        <v>0</v>
      </c>
      <c r="H1470" s="244">
        <v>0</v>
      </c>
      <c r="I1470" s="244">
        <v>0</v>
      </c>
      <c r="J1470" s="244">
        <v>2</v>
      </c>
      <c r="K1470" s="244">
        <v>1</v>
      </c>
      <c r="L1470" s="244">
        <v>1</v>
      </c>
      <c r="M1470" s="244">
        <v>1</v>
      </c>
      <c r="N1470" s="244">
        <v>0</v>
      </c>
      <c r="O1470" s="254">
        <v>0</v>
      </c>
    </row>
    <row r="1471" ht="14.25" spans="1:15">
      <c r="A1471" s="245" t="s">
        <v>26</v>
      </c>
      <c r="B1471" s="52" t="s">
        <v>64</v>
      </c>
      <c r="C1471" s="19">
        <v>0.45</v>
      </c>
      <c r="D1471" s="250">
        <v>1</v>
      </c>
      <c r="E1471" s="250">
        <v>3</v>
      </c>
      <c r="F1471" s="250">
        <v>0</v>
      </c>
      <c r="G1471" s="250">
        <v>0</v>
      </c>
      <c r="H1471" s="250">
        <v>0</v>
      </c>
      <c r="I1471" s="250">
        <v>0</v>
      </c>
      <c r="J1471" s="250">
        <v>2</v>
      </c>
      <c r="K1471" s="250">
        <v>1</v>
      </c>
      <c r="L1471" s="250">
        <v>1</v>
      </c>
      <c r="M1471" s="250">
        <v>1</v>
      </c>
      <c r="N1471" s="250">
        <v>0</v>
      </c>
      <c r="O1471" s="257">
        <v>0</v>
      </c>
    </row>
    <row r="1472" spans="1:15">
      <c r="A1472" s="240" t="s">
        <v>71</v>
      </c>
      <c r="B1472" s="47" t="s">
        <v>55</v>
      </c>
      <c r="C1472" s="12">
        <v>0.327495621716287</v>
      </c>
      <c r="D1472" s="241">
        <v>0.425531914893617</v>
      </c>
      <c r="E1472" s="241">
        <v>0.388888888888889</v>
      </c>
      <c r="F1472" s="241">
        <v>0.214285714285714</v>
      </c>
      <c r="G1472" s="241">
        <v>0.3</v>
      </c>
      <c r="H1472" s="241">
        <v>0.25</v>
      </c>
      <c r="I1472" s="241">
        <v>0.295774647887324</v>
      </c>
      <c r="J1472" s="241">
        <v>0.323943661971831</v>
      </c>
      <c r="K1472" s="241">
        <v>0.5</v>
      </c>
      <c r="L1472" s="241">
        <v>0.222222222222222</v>
      </c>
      <c r="M1472" s="241">
        <v>0.327586206896552</v>
      </c>
      <c r="N1472" s="241">
        <v>0.264705882352941</v>
      </c>
      <c r="O1472" s="252">
        <v>0.352941176470588</v>
      </c>
    </row>
    <row r="1473" spans="1:15">
      <c r="A1473" s="242" t="s">
        <v>71</v>
      </c>
      <c r="B1473" s="43" t="s">
        <v>57</v>
      </c>
      <c r="C1473" s="15">
        <v>571</v>
      </c>
      <c r="D1473" s="243">
        <v>47</v>
      </c>
      <c r="E1473" s="243">
        <v>36</v>
      </c>
      <c r="F1473" s="243">
        <v>14</v>
      </c>
      <c r="G1473" s="243">
        <v>20</v>
      </c>
      <c r="H1473" s="243">
        <v>40</v>
      </c>
      <c r="I1473" s="243">
        <v>71</v>
      </c>
      <c r="J1473" s="243">
        <v>71</v>
      </c>
      <c r="K1473" s="243">
        <v>42</v>
      </c>
      <c r="L1473" s="243">
        <v>36</v>
      </c>
      <c r="M1473" s="243">
        <v>58</v>
      </c>
      <c r="N1473" s="243">
        <v>68</v>
      </c>
      <c r="O1473" s="253">
        <v>68</v>
      </c>
    </row>
    <row r="1474" spans="1:15">
      <c r="A1474" s="240" t="s">
        <v>71</v>
      </c>
      <c r="B1474" s="47" t="s">
        <v>59</v>
      </c>
      <c r="C1474" s="15">
        <v>187</v>
      </c>
      <c r="D1474" s="243">
        <v>20</v>
      </c>
      <c r="E1474" s="243">
        <v>14</v>
      </c>
      <c r="F1474" s="243">
        <v>3</v>
      </c>
      <c r="G1474" s="243">
        <v>6</v>
      </c>
      <c r="H1474" s="243">
        <v>10</v>
      </c>
      <c r="I1474" s="243">
        <v>21</v>
      </c>
      <c r="J1474" s="243">
        <v>23</v>
      </c>
      <c r="K1474" s="243">
        <v>21</v>
      </c>
      <c r="L1474" s="243">
        <v>8</v>
      </c>
      <c r="M1474" s="243">
        <v>19</v>
      </c>
      <c r="N1474" s="243">
        <v>18</v>
      </c>
      <c r="O1474" s="253">
        <v>24</v>
      </c>
    </row>
    <row r="1475" spans="1:15">
      <c r="A1475" s="242" t="s">
        <v>71</v>
      </c>
      <c r="B1475" s="43" t="s">
        <v>4</v>
      </c>
      <c r="C1475" s="15">
        <v>42</v>
      </c>
      <c r="D1475" s="244">
        <v>6</v>
      </c>
      <c r="E1475" s="244">
        <v>1</v>
      </c>
      <c r="F1475" s="244">
        <v>0</v>
      </c>
      <c r="G1475" s="244">
        <v>1</v>
      </c>
      <c r="H1475" s="244">
        <v>2</v>
      </c>
      <c r="I1475" s="244">
        <v>7</v>
      </c>
      <c r="J1475" s="244">
        <v>4</v>
      </c>
      <c r="K1475" s="244">
        <v>3</v>
      </c>
      <c r="L1475" s="244">
        <v>2</v>
      </c>
      <c r="M1475" s="244">
        <v>3</v>
      </c>
      <c r="N1475" s="244">
        <v>4</v>
      </c>
      <c r="O1475" s="254">
        <v>9</v>
      </c>
    </row>
    <row r="1476" spans="1:15">
      <c r="A1476" s="240" t="s">
        <v>71</v>
      </c>
      <c r="B1476" s="47" t="s">
        <v>5</v>
      </c>
      <c r="C1476" s="12">
        <v>0.224598930481283</v>
      </c>
      <c r="D1476" s="241">
        <v>0.3</v>
      </c>
      <c r="E1476" s="241">
        <v>0.0714285714285714</v>
      </c>
      <c r="F1476" s="241">
        <v>0</v>
      </c>
      <c r="G1476" s="241">
        <v>0.166666666666667</v>
      </c>
      <c r="H1476" s="241">
        <v>0.2</v>
      </c>
      <c r="I1476" s="241">
        <v>0.333333333333333</v>
      </c>
      <c r="J1476" s="241">
        <v>0.173913043478261</v>
      </c>
      <c r="K1476" s="241">
        <v>0.142857142857143</v>
      </c>
      <c r="L1476" s="241">
        <v>0.25</v>
      </c>
      <c r="M1476" s="241">
        <v>0.157894736842105</v>
      </c>
      <c r="N1476" s="241">
        <v>0.222222222222222</v>
      </c>
      <c r="O1476" s="252">
        <v>0.375</v>
      </c>
    </row>
    <row r="1477" spans="1:15">
      <c r="A1477" s="242" t="s">
        <v>71</v>
      </c>
      <c r="B1477" s="43" t="s">
        <v>6</v>
      </c>
      <c r="C1477" s="15">
        <v>11</v>
      </c>
      <c r="D1477" s="244">
        <v>1</v>
      </c>
      <c r="E1477" s="244">
        <v>1</v>
      </c>
      <c r="F1477" s="244">
        <v>0</v>
      </c>
      <c r="G1477" s="244">
        <v>0</v>
      </c>
      <c r="H1477" s="244">
        <v>0</v>
      </c>
      <c r="I1477" s="244">
        <v>2</v>
      </c>
      <c r="J1477" s="244">
        <v>0</v>
      </c>
      <c r="K1477" s="244">
        <v>0</v>
      </c>
      <c r="L1477" s="244">
        <v>0</v>
      </c>
      <c r="M1477" s="244">
        <v>4</v>
      </c>
      <c r="N1477" s="244">
        <v>3</v>
      </c>
      <c r="O1477" s="254">
        <v>0</v>
      </c>
    </row>
    <row r="1478" ht="14.25" spans="1:15">
      <c r="A1478" s="245" t="s">
        <v>71</v>
      </c>
      <c r="B1478" s="52" t="s">
        <v>64</v>
      </c>
      <c r="C1478" s="19">
        <v>0.261904761904762</v>
      </c>
      <c r="D1478" s="250">
        <v>1</v>
      </c>
      <c r="E1478" s="250">
        <v>1</v>
      </c>
      <c r="F1478" s="250">
        <v>0</v>
      </c>
      <c r="G1478" s="250">
        <v>0</v>
      </c>
      <c r="H1478" s="250">
        <v>0</v>
      </c>
      <c r="I1478" s="250">
        <v>2</v>
      </c>
      <c r="J1478" s="250">
        <v>0</v>
      </c>
      <c r="K1478" s="250">
        <v>0</v>
      </c>
      <c r="L1478" s="250">
        <v>0</v>
      </c>
      <c r="M1478" s="250">
        <v>4</v>
      </c>
      <c r="N1478" s="250">
        <v>3</v>
      </c>
      <c r="O1478" s="257">
        <v>0</v>
      </c>
    </row>
    <row r="1479" spans="1:15">
      <c r="A1479" s="240" t="s">
        <v>72</v>
      </c>
      <c r="B1479" s="47" t="s">
        <v>55</v>
      </c>
      <c r="C1479" s="12">
        <v>0.367298578199052</v>
      </c>
      <c r="D1479" s="241">
        <v>0.409090909090909</v>
      </c>
      <c r="E1479" s="241">
        <v>0.06</v>
      </c>
      <c r="F1479" s="241">
        <v>0.4</v>
      </c>
      <c r="G1479" s="241">
        <v>0.6875</v>
      </c>
      <c r="H1479" s="241">
        <v>0.5</v>
      </c>
      <c r="I1479" s="241">
        <v>0.333333333333333</v>
      </c>
      <c r="J1479" s="241">
        <v>0.464285714285714</v>
      </c>
      <c r="K1479" s="241">
        <v>0.5</v>
      </c>
      <c r="L1479" s="241">
        <v>0.32258064516129</v>
      </c>
      <c r="M1479" s="241">
        <v>0.291666666666667</v>
      </c>
      <c r="N1479" s="241">
        <v>0.386363636363636</v>
      </c>
      <c r="O1479" s="252">
        <v>0.409090909090909</v>
      </c>
    </row>
    <row r="1480" spans="1:15">
      <c r="A1480" s="242" t="s">
        <v>72</v>
      </c>
      <c r="B1480" s="43" t="s">
        <v>57</v>
      </c>
      <c r="C1480" s="15">
        <v>422</v>
      </c>
      <c r="D1480" s="243">
        <v>22</v>
      </c>
      <c r="E1480" s="243">
        <v>50</v>
      </c>
      <c r="F1480" s="243">
        <v>20</v>
      </c>
      <c r="G1480" s="243">
        <v>16</v>
      </c>
      <c r="H1480" s="243">
        <v>28</v>
      </c>
      <c r="I1480" s="243">
        <v>42</v>
      </c>
      <c r="J1480" s="243">
        <v>28</v>
      </c>
      <c r="K1480" s="243">
        <v>42</v>
      </c>
      <c r="L1480" s="243">
        <v>62</v>
      </c>
      <c r="M1480" s="243">
        <v>24</v>
      </c>
      <c r="N1480" s="243">
        <v>44</v>
      </c>
      <c r="O1480" s="253">
        <v>44</v>
      </c>
    </row>
    <row r="1481" spans="1:15">
      <c r="A1481" s="240" t="s">
        <v>72</v>
      </c>
      <c r="B1481" s="47" t="s">
        <v>59</v>
      </c>
      <c r="C1481" s="15">
        <v>155</v>
      </c>
      <c r="D1481" s="243">
        <v>9</v>
      </c>
      <c r="E1481" s="243">
        <v>3</v>
      </c>
      <c r="F1481" s="243">
        <v>8</v>
      </c>
      <c r="G1481" s="243">
        <v>11</v>
      </c>
      <c r="H1481" s="243">
        <v>14</v>
      </c>
      <c r="I1481" s="243">
        <v>14</v>
      </c>
      <c r="J1481" s="243">
        <v>13</v>
      </c>
      <c r="K1481" s="243">
        <v>21</v>
      </c>
      <c r="L1481" s="243">
        <v>20</v>
      </c>
      <c r="M1481" s="243">
        <v>7</v>
      </c>
      <c r="N1481" s="243">
        <v>17</v>
      </c>
      <c r="O1481" s="253">
        <v>18</v>
      </c>
    </row>
    <row r="1482" spans="1:15">
      <c r="A1482" s="242" t="s">
        <v>72</v>
      </c>
      <c r="B1482" s="43" t="s">
        <v>4</v>
      </c>
      <c r="C1482" s="15">
        <v>5</v>
      </c>
      <c r="D1482" s="244">
        <v>0</v>
      </c>
      <c r="E1482" s="244">
        <v>0</v>
      </c>
      <c r="F1482" s="244">
        <v>1</v>
      </c>
      <c r="G1482" s="244">
        <v>0</v>
      </c>
      <c r="H1482" s="244">
        <v>2</v>
      </c>
      <c r="I1482" s="244">
        <v>0</v>
      </c>
      <c r="J1482" s="244">
        <v>1</v>
      </c>
      <c r="K1482" s="244">
        <v>1</v>
      </c>
      <c r="L1482" s="244">
        <v>0</v>
      </c>
      <c r="M1482" s="244">
        <v>0</v>
      </c>
      <c r="N1482" s="244">
        <v>0</v>
      </c>
      <c r="O1482" s="254">
        <v>0</v>
      </c>
    </row>
    <row r="1483" spans="1:15">
      <c r="A1483" s="240" t="s">
        <v>72</v>
      </c>
      <c r="B1483" s="47" t="s">
        <v>5</v>
      </c>
      <c r="C1483" s="12">
        <v>0.032258064516129</v>
      </c>
      <c r="D1483" s="241">
        <v>0</v>
      </c>
      <c r="E1483" s="241">
        <v>0</v>
      </c>
      <c r="F1483" s="241">
        <v>0.125</v>
      </c>
      <c r="G1483" s="241">
        <v>0</v>
      </c>
      <c r="H1483" s="241">
        <v>0.142857142857143</v>
      </c>
      <c r="I1483" s="241">
        <v>0</v>
      </c>
      <c r="J1483" s="241">
        <v>0.0769230769230769</v>
      </c>
      <c r="K1483" s="241">
        <v>0.0476190476190476</v>
      </c>
      <c r="L1483" s="241">
        <v>0</v>
      </c>
      <c r="M1483" s="241">
        <v>0</v>
      </c>
      <c r="N1483" s="241">
        <v>0</v>
      </c>
      <c r="O1483" s="252">
        <v>0</v>
      </c>
    </row>
    <row r="1484" spans="1:15">
      <c r="A1484" s="242" t="s">
        <v>72</v>
      </c>
      <c r="B1484" s="43" t="s">
        <v>6</v>
      </c>
      <c r="C1484" s="15">
        <v>1</v>
      </c>
      <c r="D1484" s="244">
        <v>0</v>
      </c>
      <c r="E1484" s="244">
        <v>0</v>
      </c>
      <c r="F1484" s="244">
        <v>0</v>
      </c>
      <c r="G1484" s="244">
        <v>1</v>
      </c>
      <c r="H1484" s="244">
        <v>0</v>
      </c>
      <c r="I1484" s="244">
        <v>0</v>
      </c>
      <c r="J1484" s="244">
        <v>0</v>
      </c>
      <c r="K1484" s="244">
        <v>0</v>
      </c>
      <c r="L1484" s="244">
        <v>0</v>
      </c>
      <c r="M1484" s="244">
        <v>0</v>
      </c>
      <c r="N1484" s="244">
        <v>0</v>
      </c>
      <c r="O1484" s="254">
        <v>0</v>
      </c>
    </row>
    <row r="1485" ht="14.25" spans="1:15">
      <c r="A1485" s="245" t="s">
        <v>72</v>
      </c>
      <c r="B1485" s="52" t="s">
        <v>64</v>
      </c>
      <c r="C1485" s="19">
        <v>0.2</v>
      </c>
      <c r="D1485" s="250">
        <v>0</v>
      </c>
      <c r="E1485" s="250">
        <v>0</v>
      </c>
      <c r="F1485" s="250">
        <v>0</v>
      </c>
      <c r="G1485" s="250">
        <v>1</v>
      </c>
      <c r="H1485" s="250">
        <v>0</v>
      </c>
      <c r="I1485" s="250">
        <v>0</v>
      </c>
      <c r="J1485" s="250">
        <v>0</v>
      </c>
      <c r="K1485" s="250">
        <v>0</v>
      </c>
      <c r="L1485" s="250">
        <v>0</v>
      </c>
      <c r="M1485" s="250">
        <v>0</v>
      </c>
      <c r="N1485" s="250">
        <v>0</v>
      </c>
      <c r="O1485" s="257">
        <v>0</v>
      </c>
    </row>
    <row r="1486" ht="14.25" spans="1:15">
      <c r="A1486" s="237">
        <v>45042</v>
      </c>
      <c r="B1486" s="237"/>
      <c r="C1486" s="237"/>
      <c r="D1486" s="237"/>
      <c r="E1486" s="237"/>
      <c r="F1486" s="237"/>
      <c r="G1486" s="237"/>
      <c r="H1486" s="237"/>
      <c r="I1486" s="237"/>
      <c r="J1486" s="237"/>
      <c r="K1486" s="237"/>
      <c r="L1486" s="237"/>
      <c r="M1486" s="237"/>
      <c r="N1486" s="237"/>
      <c r="O1486" s="237"/>
    </row>
    <row r="1487" spans="1:15">
      <c r="A1487" s="56" t="s">
        <v>1</v>
      </c>
      <c r="B1487" s="238"/>
      <c r="C1487" s="8" t="s">
        <v>42</v>
      </c>
      <c r="D1487" s="239" t="s">
        <v>43</v>
      </c>
      <c r="E1487" s="239" t="s">
        <v>44</v>
      </c>
      <c r="F1487" s="239" t="s">
        <v>45</v>
      </c>
      <c r="G1487" s="239" t="s">
        <v>46</v>
      </c>
      <c r="H1487" s="239" t="s">
        <v>47</v>
      </c>
      <c r="I1487" s="239" t="s">
        <v>48</v>
      </c>
      <c r="J1487" s="239" t="s">
        <v>49</v>
      </c>
      <c r="K1487" s="239" t="s">
        <v>50</v>
      </c>
      <c r="L1487" s="239" t="s">
        <v>51</v>
      </c>
      <c r="M1487" s="239" t="s">
        <v>52</v>
      </c>
      <c r="N1487" s="239" t="s">
        <v>53</v>
      </c>
      <c r="O1487" s="251" t="s">
        <v>54</v>
      </c>
    </row>
    <row r="1488" spans="1:15">
      <c r="A1488" s="240" t="s">
        <v>22</v>
      </c>
      <c r="B1488" s="47" t="s">
        <v>55</v>
      </c>
      <c r="C1488" s="12">
        <v>0.305570726379028</v>
      </c>
      <c r="D1488" s="241">
        <v>0.206766917293233</v>
      </c>
      <c r="E1488" s="241">
        <v>0.114967462039046</v>
      </c>
      <c r="F1488" s="241">
        <v>0.140845070422535</v>
      </c>
      <c r="G1488" s="241">
        <v>0.209821428571429</v>
      </c>
      <c r="H1488" s="241">
        <v>0.37218045112782</v>
      </c>
      <c r="I1488" s="241">
        <v>0.364372469635628</v>
      </c>
      <c r="J1488" s="241">
        <v>0.399239543726236</v>
      </c>
      <c r="K1488" s="241">
        <v>0.377682403433476</v>
      </c>
      <c r="L1488" s="241">
        <v>0.476</v>
      </c>
      <c r="M1488" s="241">
        <v>0.44578313253012</v>
      </c>
      <c r="N1488" s="241">
        <v>0.388316151202749</v>
      </c>
      <c r="O1488" s="252">
        <v>0.397790055248619</v>
      </c>
    </row>
    <row r="1489" spans="1:15">
      <c r="A1489" s="242" t="s">
        <v>22</v>
      </c>
      <c r="B1489" s="43" t="s">
        <v>57</v>
      </c>
      <c r="C1489" s="15">
        <v>3662</v>
      </c>
      <c r="D1489" s="243">
        <v>532</v>
      </c>
      <c r="E1489" s="243">
        <v>461</v>
      </c>
      <c r="F1489" s="243">
        <v>284</v>
      </c>
      <c r="G1489" s="243">
        <v>224</v>
      </c>
      <c r="H1489" s="243">
        <v>266</v>
      </c>
      <c r="I1489" s="243">
        <v>247</v>
      </c>
      <c r="J1489" s="243">
        <v>263</v>
      </c>
      <c r="K1489" s="243">
        <v>233</v>
      </c>
      <c r="L1489" s="243">
        <v>250</v>
      </c>
      <c r="M1489" s="243">
        <v>249</v>
      </c>
      <c r="N1489" s="243">
        <v>291</v>
      </c>
      <c r="O1489" s="253">
        <v>362</v>
      </c>
    </row>
    <row r="1490" spans="1:15">
      <c r="A1490" s="240" t="s">
        <v>22</v>
      </c>
      <c r="B1490" s="47" t="s">
        <v>59</v>
      </c>
      <c r="C1490" s="15">
        <v>1119</v>
      </c>
      <c r="D1490" s="243">
        <v>110</v>
      </c>
      <c r="E1490" s="243">
        <v>53</v>
      </c>
      <c r="F1490" s="243">
        <v>40</v>
      </c>
      <c r="G1490" s="243">
        <v>47</v>
      </c>
      <c r="H1490" s="243">
        <v>99</v>
      </c>
      <c r="I1490" s="243">
        <v>90</v>
      </c>
      <c r="J1490" s="243">
        <v>105</v>
      </c>
      <c r="K1490" s="243">
        <v>88</v>
      </c>
      <c r="L1490" s="243">
        <v>119</v>
      </c>
      <c r="M1490" s="243">
        <v>111</v>
      </c>
      <c r="N1490" s="243">
        <v>113</v>
      </c>
      <c r="O1490" s="253">
        <v>144</v>
      </c>
    </row>
    <row r="1491" spans="1:15">
      <c r="A1491" s="242" t="s">
        <v>22</v>
      </c>
      <c r="B1491" s="43" t="s">
        <v>4</v>
      </c>
      <c r="C1491" s="15">
        <v>75</v>
      </c>
      <c r="D1491" s="244">
        <v>9</v>
      </c>
      <c r="E1491" s="244">
        <v>2</v>
      </c>
      <c r="F1491" s="244">
        <v>5</v>
      </c>
      <c r="G1491" s="244">
        <v>4</v>
      </c>
      <c r="H1491" s="244">
        <v>4</v>
      </c>
      <c r="I1491" s="244">
        <v>6</v>
      </c>
      <c r="J1491" s="244">
        <v>7</v>
      </c>
      <c r="K1491" s="244">
        <v>5</v>
      </c>
      <c r="L1491" s="244">
        <v>5</v>
      </c>
      <c r="M1491" s="244">
        <v>9</v>
      </c>
      <c r="N1491" s="244">
        <v>6</v>
      </c>
      <c r="O1491" s="254">
        <v>13</v>
      </c>
    </row>
    <row r="1492" spans="1:15">
      <c r="A1492" s="240" t="s">
        <v>22</v>
      </c>
      <c r="B1492" s="47" t="s">
        <v>5</v>
      </c>
      <c r="C1492" s="12">
        <v>0.0670241286863271</v>
      </c>
      <c r="D1492" s="241">
        <v>0.0818181818181818</v>
      </c>
      <c r="E1492" s="241">
        <v>0.0377358490566038</v>
      </c>
      <c r="F1492" s="241">
        <v>0.125</v>
      </c>
      <c r="G1492" s="241">
        <v>0.0851063829787234</v>
      </c>
      <c r="H1492" s="241">
        <v>0.0404040404040404</v>
      </c>
      <c r="I1492" s="241">
        <v>0.0666666666666667</v>
      </c>
      <c r="J1492" s="241">
        <v>0.0666666666666667</v>
      </c>
      <c r="K1492" s="241">
        <v>0.0568181818181818</v>
      </c>
      <c r="L1492" s="241">
        <v>0.0420168067226891</v>
      </c>
      <c r="M1492" s="241">
        <v>0.0810810810810811</v>
      </c>
      <c r="N1492" s="241">
        <v>0.0530973451327434</v>
      </c>
      <c r="O1492" s="252">
        <v>0.0902777777777778</v>
      </c>
    </row>
    <row r="1493" spans="1:15">
      <c r="A1493" s="242" t="s">
        <v>22</v>
      </c>
      <c r="B1493" s="43" t="s">
        <v>6</v>
      </c>
      <c r="C1493" s="15">
        <v>30</v>
      </c>
      <c r="D1493" s="244">
        <v>4</v>
      </c>
      <c r="E1493" s="244">
        <v>0</v>
      </c>
      <c r="F1493" s="244">
        <v>2</v>
      </c>
      <c r="G1493" s="244">
        <v>2</v>
      </c>
      <c r="H1493" s="244">
        <v>3</v>
      </c>
      <c r="I1493" s="244">
        <v>1</v>
      </c>
      <c r="J1493" s="244">
        <v>5</v>
      </c>
      <c r="K1493" s="244">
        <v>2</v>
      </c>
      <c r="L1493" s="244">
        <v>2</v>
      </c>
      <c r="M1493" s="244">
        <v>3</v>
      </c>
      <c r="N1493" s="244">
        <v>1</v>
      </c>
      <c r="O1493" s="254">
        <v>5</v>
      </c>
    </row>
    <row r="1494" ht="14.25" spans="1:15">
      <c r="A1494" s="245" t="s">
        <v>22</v>
      </c>
      <c r="B1494" s="52" t="s">
        <v>64</v>
      </c>
      <c r="C1494" s="19">
        <v>0.4</v>
      </c>
      <c r="D1494" s="246">
        <v>0.444444444444444</v>
      </c>
      <c r="E1494" s="246">
        <v>0</v>
      </c>
      <c r="F1494" s="246">
        <v>0.4</v>
      </c>
      <c r="G1494" s="246">
        <v>0.5</v>
      </c>
      <c r="H1494" s="246">
        <v>0.75</v>
      </c>
      <c r="I1494" s="246">
        <v>0.166666666666667</v>
      </c>
      <c r="J1494" s="246">
        <v>0.714285714285714</v>
      </c>
      <c r="K1494" s="246">
        <v>0.4</v>
      </c>
      <c r="L1494" s="246">
        <v>0.4</v>
      </c>
      <c r="M1494" s="246">
        <v>0.333333333333333</v>
      </c>
      <c r="N1494" s="246">
        <v>0.166666666666667</v>
      </c>
      <c r="O1494" s="255">
        <v>0.384615384615385</v>
      </c>
    </row>
    <row r="1495" spans="1:15">
      <c r="A1495" s="247" t="s">
        <v>66</v>
      </c>
      <c r="B1495" s="248" t="s">
        <v>55</v>
      </c>
      <c r="C1495" s="12">
        <v>0.145161290322581</v>
      </c>
      <c r="D1495" s="249">
        <v>0.0981432360742706</v>
      </c>
      <c r="E1495" s="249">
        <v>0.0662983425414365</v>
      </c>
      <c r="F1495" s="249">
        <v>0.0615942028985507</v>
      </c>
      <c r="G1495" s="249">
        <v>0.152542372881356</v>
      </c>
      <c r="H1495" s="249">
        <v>0.151960784313725</v>
      </c>
      <c r="I1495" s="249">
        <v>0.218085106382979</v>
      </c>
      <c r="J1495" s="249">
        <v>0.201117318435754</v>
      </c>
      <c r="K1495" s="249">
        <v>0.139784946236559</v>
      </c>
      <c r="L1495" s="249">
        <v>0.248175182481752</v>
      </c>
      <c r="M1495" s="249">
        <v>0.205128205128205</v>
      </c>
      <c r="N1495" s="249">
        <v>0.23444976076555</v>
      </c>
      <c r="O1495" s="256">
        <v>0.151624548736462</v>
      </c>
    </row>
    <row r="1496" spans="1:15">
      <c r="A1496" s="242" t="s">
        <v>66</v>
      </c>
      <c r="B1496" s="43" t="s">
        <v>57</v>
      </c>
      <c r="C1496" s="15">
        <v>2728</v>
      </c>
      <c r="D1496" s="243">
        <v>377</v>
      </c>
      <c r="E1496" s="243">
        <v>362</v>
      </c>
      <c r="F1496" s="243">
        <v>276</v>
      </c>
      <c r="G1496" s="243">
        <v>177</v>
      </c>
      <c r="H1496" s="243">
        <v>204</v>
      </c>
      <c r="I1496" s="243">
        <v>188</v>
      </c>
      <c r="J1496" s="243">
        <v>179</v>
      </c>
      <c r="K1496" s="243">
        <v>186</v>
      </c>
      <c r="L1496" s="243">
        <v>137</v>
      </c>
      <c r="M1496" s="243">
        <v>156</v>
      </c>
      <c r="N1496" s="243">
        <v>209</v>
      </c>
      <c r="O1496" s="253">
        <v>277</v>
      </c>
    </row>
    <row r="1497" spans="1:15">
      <c r="A1497" s="240" t="s">
        <v>66</v>
      </c>
      <c r="B1497" s="47" t="s">
        <v>59</v>
      </c>
      <c r="C1497" s="15">
        <v>396</v>
      </c>
      <c r="D1497" s="243">
        <v>37</v>
      </c>
      <c r="E1497" s="243">
        <v>24</v>
      </c>
      <c r="F1497" s="243">
        <v>17</v>
      </c>
      <c r="G1497" s="243">
        <v>27</v>
      </c>
      <c r="H1497" s="243">
        <v>31</v>
      </c>
      <c r="I1497" s="243">
        <v>41</v>
      </c>
      <c r="J1497" s="243">
        <v>36</v>
      </c>
      <c r="K1497" s="243">
        <v>26</v>
      </c>
      <c r="L1497" s="243">
        <v>34</v>
      </c>
      <c r="M1497" s="243">
        <v>32</v>
      </c>
      <c r="N1497" s="243">
        <v>49</v>
      </c>
      <c r="O1497" s="253">
        <v>42</v>
      </c>
    </row>
    <row r="1498" spans="1:15">
      <c r="A1498" s="242" t="s">
        <v>66</v>
      </c>
      <c r="B1498" s="43" t="s">
        <v>4</v>
      </c>
      <c r="C1498" s="15">
        <v>33</v>
      </c>
      <c r="D1498" s="244">
        <v>3</v>
      </c>
      <c r="E1498" s="244">
        <v>4</v>
      </c>
      <c r="F1498" s="244">
        <v>1</v>
      </c>
      <c r="G1498" s="244">
        <v>2</v>
      </c>
      <c r="H1498" s="244">
        <v>0</v>
      </c>
      <c r="I1498" s="244">
        <v>4</v>
      </c>
      <c r="J1498" s="244">
        <v>3</v>
      </c>
      <c r="K1498" s="244">
        <v>2</v>
      </c>
      <c r="L1498" s="244">
        <v>2</v>
      </c>
      <c r="M1498" s="244">
        <v>2</v>
      </c>
      <c r="N1498" s="244">
        <v>3</v>
      </c>
      <c r="O1498" s="254">
        <v>7</v>
      </c>
    </row>
    <row r="1499" spans="1:15">
      <c r="A1499" s="240" t="s">
        <v>66</v>
      </c>
      <c r="B1499" s="47" t="s">
        <v>5</v>
      </c>
      <c r="C1499" s="12">
        <v>0.0833333333333333</v>
      </c>
      <c r="D1499" s="241">
        <v>0.0810810810810811</v>
      </c>
      <c r="E1499" s="241">
        <v>0.166666666666667</v>
      </c>
      <c r="F1499" s="241">
        <v>0.0588235294117647</v>
      </c>
      <c r="G1499" s="241">
        <v>0.0740740740740741</v>
      </c>
      <c r="H1499" s="241">
        <v>0</v>
      </c>
      <c r="I1499" s="241">
        <v>0.0975609756097561</v>
      </c>
      <c r="J1499" s="241">
        <v>0.0833333333333333</v>
      </c>
      <c r="K1499" s="241">
        <v>0.0769230769230769</v>
      </c>
      <c r="L1499" s="241">
        <v>0.0588235294117647</v>
      </c>
      <c r="M1499" s="241">
        <v>0.0625</v>
      </c>
      <c r="N1499" s="241">
        <v>0.0612244897959184</v>
      </c>
      <c r="O1499" s="252">
        <v>0.166666666666667</v>
      </c>
    </row>
    <row r="1500" spans="1:15">
      <c r="A1500" s="242" t="s">
        <v>66</v>
      </c>
      <c r="B1500" s="43" t="s">
        <v>6</v>
      </c>
      <c r="C1500" s="15">
        <v>9</v>
      </c>
      <c r="D1500" s="244">
        <v>0</v>
      </c>
      <c r="E1500" s="244">
        <v>1</v>
      </c>
      <c r="F1500" s="244">
        <v>1</v>
      </c>
      <c r="G1500" s="244">
        <v>0</v>
      </c>
      <c r="H1500" s="244">
        <v>0</v>
      </c>
      <c r="I1500" s="244">
        <v>0</v>
      </c>
      <c r="J1500" s="244">
        <v>1</v>
      </c>
      <c r="K1500" s="244">
        <v>1</v>
      </c>
      <c r="L1500" s="244">
        <v>0</v>
      </c>
      <c r="M1500" s="244">
        <v>0</v>
      </c>
      <c r="N1500" s="244">
        <v>4</v>
      </c>
      <c r="O1500" s="254">
        <v>1</v>
      </c>
    </row>
    <row r="1501" ht="14.25" spans="1:15">
      <c r="A1501" s="245" t="s">
        <v>66</v>
      </c>
      <c r="B1501" s="52" t="s">
        <v>64</v>
      </c>
      <c r="C1501" s="19">
        <v>0.272727272727273</v>
      </c>
      <c r="D1501" s="246">
        <v>0</v>
      </c>
      <c r="E1501" s="246">
        <v>0.25</v>
      </c>
      <c r="F1501" s="246">
        <v>1</v>
      </c>
      <c r="G1501" s="246">
        <v>0</v>
      </c>
      <c r="H1501" s="246">
        <v>0</v>
      </c>
      <c r="I1501" s="246">
        <v>0</v>
      </c>
      <c r="J1501" s="246">
        <v>0.333333333333333</v>
      </c>
      <c r="K1501" s="246">
        <v>0.5</v>
      </c>
      <c r="L1501" s="246">
        <v>0</v>
      </c>
      <c r="M1501" s="246">
        <v>0</v>
      </c>
      <c r="N1501" s="246">
        <v>1.33333333333333</v>
      </c>
      <c r="O1501" s="255">
        <v>0.142857142857143</v>
      </c>
    </row>
    <row r="1502" spans="1:15">
      <c r="A1502" s="240" t="s">
        <v>67</v>
      </c>
      <c r="B1502" s="47" t="s">
        <v>55</v>
      </c>
      <c r="C1502" s="12">
        <v>0.41015625</v>
      </c>
      <c r="D1502" s="241">
        <v>0.5234375</v>
      </c>
      <c r="E1502" s="241">
        <v>0.3125</v>
      </c>
      <c r="F1502" s="241">
        <v>0.264705882352941</v>
      </c>
      <c r="G1502" s="241">
        <v>0.308823529411765</v>
      </c>
      <c r="H1502" s="241">
        <v>0.535714285714286</v>
      </c>
      <c r="I1502" s="241">
        <v>0.480769230769231</v>
      </c>
      <c r="J1502" s="241">
        <v>0.353658536585366</v>
      </c>
      <c r="K1502" s="241">
        <v>0.369565217391304</v>
      </c>
      <c r="L1502" s="241">
        <v>0.357142857142857</v>
      </c>
      <c r="M1502" s="241">
        <v>0.541666666666667</v>
      </c>
      <c r="N1502" s="241">
        <v>0.372093023255814</v>
      </c>
      <c r="O1502" s="252">
        <v>0.372340425531915</v>
      </c>
    </row>
    <row r="1503" spans="1:15">
      <c r="A1503" s="242" t="s">
        <v>67</v>
      </c>
      <c r="B1503" s="43" t="s">
        <v>57</v>
      </c>
      <c r="C1503" s="15">
        <v>1024</v>
      </c>
      <c r="D1503" s="243">
        <v>128</v>
      </c>
      <c r="E1503" s="243">
        <v>48</v>
      </c>
      <c r="F1503" s="243">
        <v>68</v>
      </c>
      <c r="G1503" s="243">
        <v>68</v>
      </c>
      <c r="H1503" s="243">
        <v>84</v>
      </c>
      <c r="I1503" s="243">
        <v>104</v>
      </c>
      <c r="J1503" s="243">
        <v>82</v>
      </c>
      <c r="K1503" s="243">
        <v>92</v>
      </c>
      <c r="L1503" s="243">
        <v>98</v>
      </c>
      <c r="M1503" s="243">
        <v>72</v>
      </c>
      <c r="N1503" s="243">
        <v>86</v>
      </c>
      <c r="O1503" s="253">
        <v>94</v>
      </c>
    </row>
    <row r="1504" spans="1:15">
      <c r="A1504" s="240" t="s">
        <v>67</v>
      </c>
      <c r="B1504" s="47" t="s">
        <v>59</v>
      </c>
      <c r="C1504" s="15">
        <v>420</v>
      </c>
      <c r="D1504" s="243">
        <v>67</v>
      </c>
      <c r="E1504" s="243">
        <v>15</v>
      </c>
      <c r="F1504" s="243">
        <v>18</v>
      </c>
      <c r="G1504" s="243">
        <v>21</v>
      </c>
      <c r="H1504" s="243">
        <v>45</v>
      </c>
      <c r="I1504" s="243">
        <v>50</v>
      </c>
      <c r="J1504" s="243">
        <v>29</v>
      </c>
      <c r="K1504" s="243">
        <v>34</v>
      </c>
      <c r="L1504" s="243">
        <v>35</v>
      </c>
      <c r="M1504" s="243">
        <v>39</v>
      </c>
      <c r="N1504" s="243">
        <v>32</v>
      </c>
      <c r="O1504" s="253">
        <v>35</v>
      </c>
    </row>
    <row r="1505" spans="1:15">
      <c r="A1505" s="242" t="s">
        <v>67</v>
      </c>
      <c r="B1505" s="43" t="s">
        <v>4</v>
      </c>
      <c r="C1505" s="15">
        <v>24</v>
      </c>
      <c r="D1505" s="244">
        <v>4</v>
      </c>
      <c r="E1505" s="244">
        <v>1</v>
      </c>
      <c r="F1505" s="244">
        <v>0</v>
      </c>
      <c r="G1505" s="244">
        <v>1</v>
      </c>
      <c r="H1505" s="244">
        <v>3</v>
      </c>
      <c r="I1505" s="244">
        <v>3</v>
      </c>
      <c r="J1505" s="244">
        <v>2</v>
      </c>
      <c r="K1505" s="244">
        <v>2</v>
      </c>
      <c r="L1505" s="244">
        <v>1</v>
      </c>
      <c r="M1505" s="244">
        <v>1</v>
      </c>
      <c r="N1505" s="244">
        <v>2</v>
      </c>
      <c r="O1505" s="254">
        <v>4</v>
      </c>
    </row>
    <row r="1506" spans="1:15">
      <c r="A1506" s="240" t="s">
        <v>67</v>
      </c>
      <c r="B1506" s="47" t="s">
        <v>5</v>
      </c>
      <c r="C1506" s="12">
        <v>0.0571428571428571</v>
      </c>
      <c r="D1506" s="241">
        <v>0.0597014925373134</v>
      </c>
      <c r="E1506" s="241">
        <v>0.0666666666666667</v>
      </c>
      <c r="F1506" s="241">
        <v>0</v>
      </c>
      <c r="G1506" s="241">
        <v>0.0476190476190476</v>
      </c>
      <c r="H1506" s="241">
        <v>0.0666666666666667</v>
      </c>
      <c r="I1506" s="241">
        <v>0.06</v>
      </c>
      <c r="J1506" s="241">
        <v>0.0689655172413793</v>
      </c>
      <c r="K1506" s="241">
        <v>0.0588235294117647</v>
      </c>
      <c r="L1506" s="241">
        <v>0.0285714285714286</v>
      </c>
      <c r="M1506" s="241">
        <v>0.0256410256410256</v>
      </c>
      <c r="N1506" s="241">
        <v>0.0625</v>
      </c>
      <c r="O1506" s="252">
        <v>0.114285714285714</v>
      </c>
    </row>
    <row r="1507" spans="1:15">
      <c r="A1507" s="242" t="s">
        <v>67</v>
      </c>
      <c r="B1507" s="43" t="s">
        <v>6</v>
      </c>
      <c r="C1507" s="15">
        <v>14</v>
      </c>
      <c r="D1507" s="244">
        <v>3</v>
      </c>
      <c r="E1507" s="244">
        <v>0</v>
      </c>
      <c r="F1507" s="244">
        <v>1</v>
      </c>
      <c r="G1507" s="244">
        <v>0</v>
      </c>
      <c r="H1507" s="244">
        <v>1</v>
      </c>
      <c r="I1507" s="244">
        <v>2</v>
      </c>
      <c r="J1507" s="244">
        <v>1</v>
      </c>
      <c r="K1507" s="244">
        <v>1</v>
      </c>
      <c r="L1507" s="244">
        <v>0</v>
      </c>
      <c r="M1507" s="244">
        <v>2</v>
      </c>
      <c r="N1507" s="244">
        <v>2</v>
      </c>
      <c r="O1507" s="254">
        <v>1</v>
      </c>
    </row>
    <row r="1508" ht="14.25" spans="1:15">
      <c r="A1508" s="245" t="s">
        <v>67</v>
      </c>
      <c r="B1508" s="52" t="s">
        <v>64</v>
      </c>
      <c r="C1508" s="19">
        <v>0.583333333333333</v>
      </c>
      <c r="D1508" s="246">
        <v>0.75</v>
      </c>
      <c r="E1508" s="246">
        <v>0</v>
      </c>
      <c r="F1508" s="246">
        <v>0</v>
      </c>
      <c r="G1508" s="246">
        <v>0</v>
      </c>
      <c r="H1508" s="246">
        <v>0.333333333333333</v>
      </c>
      <c r="I1508" s="246">
        <v>0.666666666666667</v>
      </c>
      <c r="J1508" s="246">
        <v>0.5</v>
      </c>
      <c r="K1508" s="246">
        <v>0.5</v>
      </c>
      <c r="L1508" s="246">
        <v>0</v>
      </c>
      <c r="M1508" s="246">
        <v>2</v>
      </c>
      <c r="N1508" s="246">
        <v>1</v>
      </c>
      <c r="O1508" s="255">
        <v>0.25</v>
      </c>
    </row>
    <row r="1509" spans="1:15">
      <c r="A1509" s="240" t="s">
        <v>68</v>
      </c>
      <c r="B1509" s="47" t="s">
        <v>55</v>
      </c>
      <c r="C1509" s="12">
        <v>0.057929036929761</v>
      </c>
      <c r="D1509" s="241">
        <v>0.0747041420118343</v>
      </c>
      <c r="E1509" s="241">
        <v>0.0322245322245322</v>
      </c>
      <c r="F1509" s="241">
        <v>0.0334075723830735</v>
      </c>
      <c r="G1509" s="241">
        <v>0.0376106194690266</v>
      </c>
      <c r="H1509" s="241">
        <v>0.0389150943396226</v>
      </c>
      <c r="I1509" s="241">
        <v>0.0646687697160883</v>
      </c>
      <c r="J1509" s="241">
        <v>0.0761047463175123</v>
      </c>
      <c r="K1509" s="241">
        <v>0.0595432300163132</v>
      </c>
      <c r="L1509" s="241">
        <v>0.0608974358974359</v>
      </c>
      <c r="M1509" s="241">
        <v>0.0682819383259912</v>
      </c>
      <c r="N1509" s="241">
        <v>0.0603448275862069</v>
      </c>
      <c r="O1509" s="252">
        <v>0.0709188224799286</v>
      </c>
    </row>
    <row r="1510" spans="1:15">
      <c r="A1510" s="242" t="s">
        <v>68</v>
      </c>
      <c r="B1510" s="43" t="s">
        <v>57</v>
      </c>
      <c r="C1510" s="15">
        <v>16572</v>
      </c>
      <c r="D1510" s="243">
        <v>1352</v>
      </c>
      <c r="E1510" s="243">
        <v>962</v>
      </c>
      <c r="F1510" s="243">
        <v>898</v>
      </c>
      <c r="G1510" s="243">
        <v>1356</v>
      </c>
      <c r="H1510" s="243">
        <v>1696</v>
      </c>
      <c r="I1510" s="243">
        <v>1268</v>
      </c>
      <c r="J1510" s="243">
        <v>1222</v>
      </c>
      <c r="K1510" s="243">
        <v>1226</v>
      </c>
      <c r="L1510" s="243">
        <v>1248</v>
      </c>
      <c r="M1510" s="243">
        <v>1362</v>
      </c>
      <c r="N1510" s="243">
        <v>1740</v>
      </c>
      <c r="O1510" s="253">
        <v>2242</v>
      </c>
    </row>
    <row r="1511" spans="1:15">
      <c r="A1511" s="240" t="s">
        <v>68</v>
      </c>
      <c r="B1511" s="47" t="s">
        <v>59</v>
      </c>
      <c r="C1511" s="15">
        <v>960</v>
      </c>
      <c r="D1511" s="243">
        <v>101</v>
      </c>
      <c r="E1511" s="243">
        <v>31</v>
      </c>
      <c r="F1511" s="243">
        <v>30</v>
      </c>
      <c r="G1511" s="243">
        <v>51</v>
      </c>
      <c r="H1511" s="243">
        <v>66</v>
      </c>
      <c r="I1511" s="243">
        <v>82</v>
      </c>
      <c r="J1511" s="243">
        <v>93</v>
      </c>
      <c r="K1511" s="243">
        <v>73</v>
      </c>
      <c r="L1511" s="243">
        <v>76</v>
      </c>
      <c r="M1511" s="243">
        <v>93</v>
      </c>
      <c r="N1511" s="243">
        <v>105</v>
      </c>
      <c r="O1511" s="253">
        <v>159</v>
      </c>
    </row>
    <row r="1512" spans="1:15">
      <c r="A1512" s="242" t="s">
        <v>68</v>
      </c>
      <c r="B1512" s="43" t="s">
        <v>4</v>
      </c>
      <c r="C1512" s="15">
        <v>53</v>
      </c>
      <c r="D1512" s="244">
        <v>9</v>
      </c>
      <c r="E1512" s="244">
        <v>4</v>
      </c>
      <c r="F1512" s="244">
        <v>1</v>
      </c>
      <c r="G1512" s="244">
        <v>4</v>
      </c>
      <c r="H1512" s="244">
        <v>3</v>
      </c>
      <c r="I1512" s="244">
        <v>4</v>
      </c>
      <c r="J1512" s="244">
        <v>2</v>
      </c>
      <c r="K1512" s="244">
        <v>5</v>
      </c>
      <c r="L1512" s="244">
        <v>3</v>
      </c>
      <c r="M1512" s="244">
        <v>6</v>
      </c>
      <c r="N1512" s="244">
        <v>5</v>
      </c>
      <c r="O1512" s="254">
        <v>7</v>
      </c>
    </row>
    <row r="1513" spans="1:15">
      <c r="A1513" s="240" t="s">
        <v>68</v>
      </c>
      <c r="B1513" s="47" t="s">
        <v>5</v>
      </c>
      <c r="C1513" s="12">
        <v>0.0552083333333333</v>
      </c>
      <c r="D1513" s="241">
        <v>0.0891089108910891</v>
      </c>
      <c r="E1513" s="241">
        <v>0.129032258064516</v>
      </c>
      <c r="F1513" s="241">
        <v>0.0333333333333333</v>
      </c>
      <c r="G1513" s="241">
        <v>0.0784313725490196</v>
      </c>
      <c r="H1513" s="241">
        <v>0.0454545454545455</v>
      </c>
      <c r="I1513" s="241">
        <v>0.0487804878048781</v>
      </c>
      <c r="J1513" s="241">
        <v>0.021505376344086</v>
      </c>
      <c r="K1513" s="241">
        <v>0.0684931506849315</v>
      </c>
      <c r="L1513" s="241">
        <v>0.0394736842105263</v>
      </c>
      <c r="M1513" s="241">
        <v>0.0645161290322581</v>
      </c>
      <c r="N1513" s="241">
        <v>0.0476190476190476</v>
      </c>
      <c r="O1513" s="252">
        <v>0.0440251572327044</v>
      </c>
    </row>
    <row r="1514" spans="1:15">
      <c r="A1514" s="242" t="s">
        <v>68</v>
      </c>
      <c r="B1514" s="43" t="s">
        <v>6</v>
      </c>
      <c r="C1514" s="15">
        <v>26</v>
      </c>
      <c r="D1514" s="244">
        <v>3</v>
      </c>
      <c r="E1514" s="244">
        <v>3</v>
      </c>
      <c r="F1514" s="244">
        <v>0</v>
      </c>
      <c r="G1514" s="244">
        <v>1</v>
      </c>
      <c r="H1514" s="244">
        <v>3</v>
      </c>
      <c r="I1514" s="244">
        <v>1</v>
      </c>
      <c r="J1514" s="244">
        <v>0</v>
      </c>
      <c r="K1514" s="244">
        <v>2</v>
      </c>
      <c r="L1514" s="244">
        <v>2</v>
      </c>
      <c r="M1514" s="244">
        <v>2</v>
      </c>
      <c r="N1514" s="244">
        <v>5</v>
      </c>
      <c r="O1514" s="254">
        <v>4</v>
      </c>
    </row>
    <row r="1515" ht="14.25" spans="1:15">
      <c r="A1515" s="245" t="s">
        <v>68</v>
      </c>
      <c r="B1515" s="52" t="s">
        <v>64</v>
      </c>
      <c r="C1515" s="19">
        <v>0.490566037735849</v>
      </c>
      <c r="D1515" s="246">
        <v>0.333333333333333</v>
      </c>
      <c r="E1515" s="246">
        <v>0.75</v>
      </c>
      <c r="F1515" s="246">
        <v>0</v>
      </c>
      <c r="G1515" s="246">
        <v>0.25</v>
      </c>
      <c r="H1515" s="246">
        <v>1</v>
      </c>
      <c r="I1515" s="246">
        <v>0.25</v>
      </c>
      <c r="J1515" s="246">
        <v>0</v>
      </c>
      <c r="K1515" s="246">
        <v>0.4</v>
      </c>
      <c r="L1515" s="246">
        <v>0.666666666666667</v>
      </c>
      <c r="M1515" s="246">
        <v>0.333333333333333</v>
      </c>
      <c r="N1515" s="246">
        <v>1</v>
      </c>
      <c r="O1515" s="255">
        <v>0.571428571428571</v>
      </c>
    </row>
    <row r="1516" spans="1:15">
      <c r="A1516" s="240" t="s">
        <v>69</v>
      </c>
      <c r="B1516" s="47" t="s">
        <v>55</v>
      </c>
      <c r="C1516" s="12">
        <v>0.93900481540931</v>
      </c>
      <c r="D1516" s="241">
        <v>1.11538461538462</v>
      </c>
      <c r="E1516" s="241">
        <v>0.866666666666667</v>
      </c>
      <c r="F1516" s="241">
        <v>1</v>
      </c>
      <c r="G1516" s="241">
        <v>1.06666666666667</v>
      </c>
      <c r="H1516" s="241">
        <v>0.825</v>
      </c>
      <c r="I1516" s="241">
        <v>1.01694915254237</v>
      </c>
      <c r="J1516" s="241">
        <v>1.04918032786885</v>
      </c>
      <c r="K1516" s="241">
        <v>1.06382978723404</v>
      </c>
      <c r="L1516" s="241">
        <v>0.846153846153846</v>
      </c>
      <c r="M1516" s="241">
        <v>0.932203389830508</v>
      </c>
      <c r="N1516" s="241">
        <v>0.766666666666667</v>
      </c>
      <c r="O1516" s="252">
        <v>0.91025641025641</v>
      </c>
    </row>
    <row r="1517" spans="1:15">
      <c r="A1517" s="242" t="s">
        <v>69</v>
      </c>
      <c r="B1517" s="43" t="s">
        <v>57</v>
      </c>
      <c r="C1517" s="15">
        <v>623</v>
      </c>
      <c r="D1517" s="243">
        <v>52</v>
      </c>
      <c r="E1517" s="243">
        <v>30</v>
      </c>
      <c r="F1517" s="243">
        <v>12</v>
      </c>
      <c r="G1517" s="243">
        <v>30</v>
      </c>
      <c r="H1517" s="243">
        <v>40</v>
      </c>
      <c r="I1517" s="243">
        <v>59</v>
      </c>
      <c r="J1517" s="243">
        <v>61</v>
      </c>
      <c r="K1517" s="243">
        <v>47</v>
      </c>
      <c r="L1517" s="243">
        <v>65</v>
      </c>
      <c r="M1517" s="243">
        <v>59</v>
      </c>
      <c r="N1517" s="243">
        <v>90</v>
      </c>
      <c r="O1517" s="253">
        <v>78</v>
      </c>
    </row>
    <row r="1518" spans="1:15">
      <c r="A1518" s="240" t="s">
        <v>69</v>
      </c>
      <c r="B1518" s="47" t="s">
        <v>59</v>
      </c>
      <c r="C1518" s="15">
        <v>585</v>
      </c>
      <c r="D1518" s="243">
        <v>58</v>
      </c>
      <c r="E1518" s="243">
        <v>26</v>
      </c>
      <c r="F1518" s="243">
        <v>12</v>
      </c>
      <c r="G1518" s="243">
        <v>32</v>
      </c>
      <c r="H1518" s="243">
        <v>33</v>
      </c>
      <c r="I1518" s="243">
        <v>60</v>
      </c>
      <c r="J1518" s="243">
        <v>64</v>
      </c>
      <c r="K1518" s="243">
        <v>50</v>
      </c>
      <c r="L1518" s="243">
        <v>55</v>
      </c>
      <c r="M1518" s="243">
        <v>55</v>
      </c>
      <c r="N1518" s="243">
        <v>69</v>
      </c>
      <c r="O1518" s="253">
        <v>71</v>
      </c>
    </row>
    <row r="1519" spans="1:15">
      <c r="A1519" s="242" t="s">
        <v>69</v>
      </c>
      <c r="B1519" s="43" t="s">
        <v>4</v>
      </c>
      <c r="C1519" s="15">
        <v>28</v>
      </c>
      <c r="D1519" s="244">
        <v>0</v>
      </c>
      <c r="E1519" s="244">
        <v>0</v>
      </c>
      <c r="F1519" s="244">
        <v>0</v>
      </c>
      <c r="G1519" s="244">
        <v>0</v>
      </c>
      <c r="H1519" s="244">
        <v>2</v>
      </c>
      <c r="I1519" s="244">
        <v>3</v>
      </c>
      <c r="J1519" s="244">
        <v>3</v>
      </c>
      <c r="K1519" s="244">
        <v>3</v>
      </c>
      <c r="L1519" s="244">
        <v>2</v>
      </c>
      <c r="M1519" s="244">
        <v>5</v>
      </c>
      <c r="N1519" s="244">
        <v>6</v>
      </c>
      <c r="O1519" s="254">
        <v>4</v>
      </c>
    </row>
    <row r="1520" spans="1:15">
      <c r="A1520" s="240" t="s">
        <v>69</v>
      </c>
      <c r="B1520" s="47" t="s">
        <v>5</v>
      </c>
      <c r="C1520" s="12">
        <v>0.0478632478632479</v>
      </c>
      <c r="D1520" s="241">
        <v>0</v>
      </c>
      <c r="E1520" s="241">
        <v>0</v>
      </c>
      <c r="F1520" s="241">
        <v>0</v>
      </c>
      <c r="G1520" s="241">
        <v>0</v>
      </c>
      <c r="H1520" s="241">
        <v>0.0606060606060606</v>
      </c>
      <c r="I1520" s="241">
        <v>0.05</v>
      </c>
      <c r="J1520" s="241">
        <v>0.046875</v>
      </c>
      <c r="K1520" s="241">
        <v>0.06</v>
      </c>
      <c r="L1520" s="241">
        <v>0.0363636363636364</v>
      </c>
      <c r="M1520" s="241">
        <v>0.0909090909090909</v>
      </c>
      <c r="N1520" s="241">
        <v>0.0869565217391304</v>
      </c>
      <c r="O1520" s="252">
        <v>0.0563380281690141</v>
      </c>
    </row>
    <row r="1521" spans="1:15">
      <c r="A1521" s="242" t="s">
        <v>69</v>
      </c>
      <c r="B1521" s="43" t="s">
        <v>6</v>
      </c>
      <c r="C1521" s="15">
        <v>9</v>
      </c>
      <c r="D1521" s="244">
        <v>0</v>
      </c>
      <c r="E1521" s="244">
        <v>0</v>
      </c>
      <c r="F1521" s="244">
        <v>0</v>
      </c>
      <c r="G1521" s="244">
        <v>0</v>
      </c>
      <c r="H1521" s="244">
        <v>0</v>
      </c>
      <c r="I1521" s="244">
        <v>1</v>
      </c>
      <c r="J1521" s="244">
        <v>0</v>
      </c>
      <c r="K1521" s="244">
        <v>1</v>
      </c>
      <c r="L1521" s="244">
        <v>1</v>
      </c>
      <c r="M1521" s="244">
        <v>2</v>
      </c>
      <c r="N1521" s="244">
        <v>3</v>
      </c>
      <c r="O1521" s="254">
        <v>1</v>
      </c>
    </row>
    <row r="1522" ht="14.25" spans="1:15">
      <c r="A1522" s="245" t="s">
        <v>69</v>
      </c>
      <c r="B1522" s="52" t="s">
        <v>64</v>
      </c>
      <c r="C1522" s="19">
        <v>0.321428571428571</v>
      </c>
      <c r="D1522" s="246">
        <v>0</v>
      </c>
      <c r="E1522" s="246">
        <v>0</v>
      </c>
      <c r="F1522" s="246">
        <v>0</v>
      </c>
      <c r="G1522" s="246">
        <v>0</v>
      </c>
      <c r="H1522" s="246">
        <v>0</v>
      </c>
      <c r="I1522" s="246">
        <v>0.333333333333333</v>
      </c>
      <c r="J1522" s="246">
        <v>0</v>
      </c>
      <c r="K1522" s="246">
        <v>0.333333333333333</v>
      </c>
      <c r="L1522" s="246">
        <v>0.5</v>
      </c>
      <c r="M1522" s="246">
        <v>0.4</v>
      </c>
      <c r="N1522" s="246">
        <v>0.5</v>
      </c>
      <c r="O1522" s="255">
        <v>0.25</v>
      </c>
    </row>
    <row r="1523" spans="1:15">
      <c r="A1523" s="240" t="s">
        <v>70</v>
      </c>
      <c r="B1523" s="47" t="s">
        <v>55</v>
      </c>
      <c r="C1523" s="12">
        <v>0.740932642487047</v>
      </c>
      <c r="D1523" s="241">
        <v>1.1875</v>
      </c>
      <c r="E1523" s="241">
        <v>1.2</v>
      </c>
      <c r="F1523" s="241">
        <v>0.666666666666667</v>
      </c>
      <c r="G1523" s="241">
        <v>1</v>
      </c>
      <c r="H1523" s="241">
        <v>1.07692307692308</v>
      </c>
      <c r="I1523" s="241">
        <v>0.75</v>
      </c>
      <c r="J1523" s="241">
        <v>0.947368421052632</v>
      </c>
      <c r="K1523" s="241">
        <v>0.466666666666667</v>
      </c>
      <c r="L1523" s="241">
        <v>0.653846153846154</v>
      </c>
      <c r="M1523" s="241">
        <v>0.529411764705882</v>
      </c>
      <c r="N1523" s="241">
        <v>0.238095238095238</v>
      </c>
      <c r="O1523" s="252">
        <v>1</v>
      </c>
    </row>
    <row r="1524" spans="1:15">
      <c r="A1524" s="242" t="s">
        <v>70</v>
      </c>
      <c r="B1524" s="43" t="s">
        <v>57</v>
      </c>
      <c r="C1524" s="15">
        <v>193</v>
      </c>
      <c r="D1524" s="243">
        <v>16</v>
      </c>
      <c r="E1524" s="243">
        <v>5</v>
      </c>
      <c r="F1524" s="243">
        <v>3</v>
      </c>
      <c r="G1524" s="243">
        <v>6</v>
      </c>
      <c r="H1524" s="243">
        <v>13</v>
      </c>
      <c r="I1524" s="243">
        <v>16</v>
      </c>
      <c r="J1524" s="243">
        <v>19</v>
      </c>
      <c r="K1524" s="243">
        <v>30</v>
      </c>
      <c r="L1524" s="243">
        <v>26</v>
      </c>
      <c r="M1524" s="243">
        <v>17</v>
      </c>
      <c r="N1524" s="243">
        <v>21</v>
      </c>
      <c r="O1524" s="253">
        <v>21</v>
      </c>
    </row>
    <row r="1525" spans="1:15">
      <c r="A1525" s="240" t="s">
        <v>70</v>
      </c>
      <c r="B1525" s="47" t="s">
        <v>59</v>
      </c>
      <c r="C1525" s="15">
        <v>143</v>
      </c>
      <c r="D1525" s="243">
        <v>19</v>
      </c>
      <c r="E1525" s="243">
        <v>6</v>
      </c>
      <c r="F1525" s="243">
        <v>2</v>
      </c>
      <c r="G1525" s="243">
        <v>6</v>
      </c>
      <c r="H1525" s="243">
        <v>14</v>
      </c>
      <c r="I1525" s="243">
        <v>12</v>
      </c>
      <c r="J1525" s="243">
        <v>18</v>
      </c>
      <c r="K1525" s="243">
        <v>14</v>
      </c>
      <c r="L1525" s="243">
        <v>17</v>
      </c>
      <c r="M1525" s="243">
        <v>9</v>
      </c>
      <c r="N1525" s="243">
        <v>5</v>
      </c>
      <c r="O1525" s="253">
        <v>21</v>
      </c>
    </row>
    <row r="1526" spans="1:15">
      <c r="A1526" s="242" t="s">
        <v>70</v>
      </c>
      <c r="B1526" s="43" t="s">
        <v>4</v>
      </c>
      <c r="C1526" s="15">
        <v>0</v>
      </c>
      <c r="D1526" s="244">
        <v>0</v>
      </c>
      <c r="E1526" s="244">
        <v>0</v>
      </c>
      <c r="F1526" s="244">
        <v>0</v>
      </c>
      <c r="G1526" s="244">
        <v>0</v>
      </c>
      <c r="H1526" s="244">
        <v>0</v>
      </c>
      <c r="I1526" s="244">
        <v>0</v>
      </c>
      <c r="J1526" s="244">
        <v>0</v>
      </c>
      <c r="K1526" s="244">
        <v>0</v>
      </c>
      <c r="L1526" s="244">
        <v>0</v>
      </c>
      <c r="M1526" s="244">
        <v>0</v>
      </c>
      <c r="N1526" s="244">
        <v>0</v>
      </c>
      <c r="O1526" s="254">
        <v>0</v>
      </c>
    </row>
    <row r="1527" spans="1:15">
      <c r="A1527" s="240" t="s">
        <v>70</v>
      </c>
      <c r="B1527" s="47" t="s">
        <v>5</v>
      </c>
      <c r="C1527" s="12">
        <v>0</v>
      </c>
      <c r="D1527" s="241">
        <v>0</v>
      </c>
      <c r="E1527" s="241">
        <v>0</v>
      </c>
      <c r="F1527" s="241">
        <v>0</v>
      </c>
      <c r="G1527" s="241">
        <v>0</v>
      </c>
      <c r="H1527" s="241">
        <v>0</v>
      </c>
      <c r="I1527" s="241">
        <v>0</v>
      </c>
      <c r="J1527" s="241">
        <v>0</v>
      </c>
      <c r="K1527" s="241">
        <v>0</v>
      </c>
      <c r="L1527" s="241">
        <v>0</v>
      </c>
      <c r="M1527" s="241">
        <v>0</v>
      </c>
      <c r="N1527" s="241">
        <v>0</v>
      </c>
      <c r="O1527" s="252">
        <v>0</v>
      </c>
    </row>
    <row r="1528" spans="1:15">
      <c r="A1528" s="242" t="s">
        <v>70</v>
      </c>
      <c r="B1528" s="43" t="s">
        <v>6</v>
      </c>
      <c r="C1528" s="15">
        <v>1</v>
      </c>
      <c r="D1528" s="244">
        <v>0</v>
      </c>
      <c r="E1528" s="244">
        <v>0</v>
      </c>
      <c r="F1528" s="244">
        <v>0</v>
      </c>
      <c r="G1528" s="244">
        <v>1</v>
      </c>
      <c r="H1528" s="244">
        <v>0</v>
      </c>
      <c r="I1528" s="244">
        <v>0</v>
      </c>
      <c r="J1528" s="244">
        <v>0</v>
      </c>
      <c r="K1528" s="244">
        <v>0</v>
      </c>
      <c r="L1528" s="244">
        <v>0</v>
      </c>
      <c r="M1528" s="244">
        <v>0</v>
      </c>
      <c r="N1528" s="244">
        <v>0</v>
      </c>
      <c r="O1528" s="254">
        <v>0</v>
      </c>
    </row>
    <row r="1529" ht="14.25" spans="1:15">
      <c r="A1529" s="245" t="s">
        <v>70</v>
      </c>
      <c r="B1529" s="52" t="s">
        <v>64</v>
      </c>
      <c r="C1529" s="19" t="e">
        <v>#DIV/0!</v>
      </c>
      <c r="D1529" s="246">
        <v>0</v>
      </c>
      <c r="E1529" s="246">
        <v>0</v>
      </c>
      <c r="F1529" s="246">
        <v>0</v>
      </c>
      <c r="G1529" s="246">
        <v>0</v>
      </c>
      <c r="H1529" s="246">
        <v>0</v>
      </c>
      <c r="I1529" s="246">
        <v>0</v>
      </c>
      <c r="J1529" s="246">
        <v>0</v>
      </c>
      <c r="K1529" s="246">
        <v>0</v>
      </c>
      <c r="L1529" s="246">
        <v>0</v>
      </c>
      <c r="M1529" s="246">
        <v>0</v>
      </c>
      <c r="N1529" s="246">
        <v>0</v>
      </c>
      <c r="O1529" s="255">
        <v>0</v>
      </c>
    </row>
    <row r="1530" spans="1:15">
      <c r="A1530" s="240" t="s">
        <v>26</v>
      </c>
      <c r="B1530" s="47" t="s">
        <v>55</v>
      </c>
      <c r="C1530" s="12">
        <v>0.499325236167341</v>
      </c>
      <c r="D1530" s="241">
        <v>0.567307692307692</v>
      </c>
      <c r="E1530" s="241">
        <v>0.530612244897959</v>
      </c>
      <c r="F1530" s="241">
        <v>0.481481481481481</v>
      </c>
      <c r="G1530" s="241">
        <v>0.565573770491803</v>
      </c>
      <c r="H1530" s="241">
        <v>0.656862745098039</v>
      </c>
      <c r="I1530" s="241">
        <v>0.511904761904762</v>
      </c>
      <c r="J1530" s="241">
        <v>0.511811023622047</v>
      </c>
      <c r="K1530" s="241">
        <v>0.483957219251337</v>
      </c>
      <c r="L1530" s="241">
        <v>0.439163498098859</v>
      </c>
      <c r="M1530" s="241">
        <v>0.495145631067961</v>
      </c>
      <c r="N1530" s="241">
        <v>0.466666666666667</v>
      </c>
      <c r="O1530" s="252">
        <v>0.455128205128205</v>
      </c>
    </row>
    <row r="1531" spans="1:15">
      <c r="A1531" s="242" t="s">
        <v>26</v>
      </c>
      <c r="B1531" s="43" t="s">
        <v>57</v>
      </c>
      <c r="C1531" s="15">
        <v>2964</v>
      </c>
      <c r="D1531" s="243">
        <v>208</v>
      </c>
      <c r="E1531" s="243">
        <v>98</v>
      </c>
      <c r="F1531" s="243">
        <v>108</v>
      </c>
      <c r="G1531" s="243">
        <v>122</v>
      </c>
      <c r="H1531" s="243">
        <v>204</v>
      </c>
      <c r="I1531" s="243">
        <v>252</v>
      </c>
      <c r="J1531" s="243">
        <v>254</v>
      </c>
      <c r="K1531" s="243">
        <v>374</v>
      </c>
      <c r="L1531" s="243">
        <v>526</v>
      </c>
      <c r="M1531" s="243">
        <v>206</v>
      </c>
      <c r="N1531" s="243">
        <v>300</v>
      </c>
      <c r="O1531" s="253">
        <v>312</v>
      </c>
    </row>
    <row r="1532" spans="1:15">
      <c r="A1532" s="240" t="s">
        <v>26</v>
      </c>
      <c r="B1532" s="47" t="s">
        <v>59</v>
      </c>
      <c r="C1532" s="15">
        <v>1480</v>
      </c>
      <c r="D1532" s="243">
        <v>118</v>
      </c>
      <c r="E1532" s="243">
        <v>52</v>
      </c>
      <c r="F1532" s="243">
        <v>52</v>
      </c>
      <c r="G1532" s="243">
        <v>69</v>
      </c>
      <c r="H1532" s="243">
        <v>134</v>
      </c>
      <c r="I1532" s="243">
        <v>129</v>
      </c>
      <c r="J1532" s="243">
        <v>130</v>
      </c>
      <c r="K1532" s="243">
        <v>181</v>
      </c>
      <c r="L1532" s="243">
        <v>231</v>
      </c>
      <c r="M1532" s="243">
        <v>102</v>
      </c>
      <c r="N1532" s="243">
        <v>140</v>
      </c>
      <c r="O1532" s="253">
        <v>142</v>
      </c>
    </row>
    <row r="1533" spans="1:15">
      <c r="A1533" s="242" t="s">
        <v>26</v>
      </c>
      <c r="B1533" s="43" t="s">
        <v>4</v>
      </c>
      <c r="C1533" s="15">
        <v>13</v>
      </c>
      <c r="D1533" s="244">
        <v>1</v>
      </c>
      <c r="E1533" s="244">
        <v>1</v>
      </c>
      <c r="F1533" s="244">
        <v>0</v>
      </c>
      <c r="G1533" s="244">
        <v>0</v>
      </c>
      <c r="H1533" s="244">
        <v>0</v>
      </c>
      <c r="I1533" s="244">
        <v>2</v>
      </c>
      <c r="J1533" s="244">
        <v>3</v>
      </c>
      <c r="K1533" s="244">
        <v>1</v>
      </c>
      <c r="L1533" s="244">
        <v>0</v>
      </c>
      <c r="M1533" s="244">
        <v>2</v>
      </c>
      <c r="N1533" s="244">
        <v>2</v>
      </c>
      <c r="O1533" s="254">
        <v>1</v>
      </c>
    </row>
    <row r="1534" spans="1:15">
      <c r="A1534" s="240" t="s">
        <v>26</v>
      </c>
      <c r="B1534" s="47" t="s">
        <v>5</v>
      </c>
      <c r="C1534" s="12">
        <v>0.00878378378378378</v>
      </c>
      <c r="D1534" s="241">
        <v>0.00847457627118644</v>
      </c>
      <c r="E1534" s="241">
        <v>0.0192307692307692</v>
      </c>
      <c r="F1534" s="241">
        <v>0</v>
      </c>
      <c r="G1534" s="241">
        <v>0</v>
      </c>
      <c r="H1534" s="241">
        <v>0</v>
      </c>
      <c r="I1534" s="241">
        <v>0.0155038759689922</v>
      </c>
      <c r="J1534" s="241">
        <v>0.0230769230769231</v>
      </c>
      <c r="K1534" s="241">
        <v>0.00552486187845304</v>
      </c>
      <c r="L1534" s="241">
        <v>0</v>
      </c>
      <c r="M1534" s="241">
        <v>0.0196078431372549</v>
      </c>
      <c r="N1534" s="241">
        <v>0.0142857142857143</v>
      </c>
      <c r="O1534" s="252">
        <v>0.00704225352112676</v>
      </c>
    </row>
    <row r="1535" spans="1:15">
      <c r="A1535" s="242" t="s">
        <v>26</v>
      </c>
      <c r="B1535" s="43" t="s">
        <v>6</v>
      </c>
      <c r="C1535" s="15">
        <v>3</v>
      </c>
      <c r="D1535" s="244">
        <v>0</v>
      </c>
      <c r="E1535" s="244">
        <v>0</v>
      </c>
      <c r="F1535" s="244">
        <v>0</v>
      </c>
      <c r="G1535" s="244">
        <v>1</v>
      </c>
      <c r="H1535" s="244">
        <v>0</v>
      </c>
      <c r="I1535" s="244">
        <v>0</v>
      </c>
      <c r="J1535" s="244">
        <v>1</v>
      </c>
      <c r="K1535" s="244">
        <v>0</v>
      </c>
      <c r="L1535" s="244">
        <v>0</v>
      </c>
      <c r="M1535" s="244">
        <v>0</v>
      </c>
      <c r="N1535" s="244">
        <v>1</v>
      </c>
      <c r="O1535" s="254">
        <v>0</v>
      </c>
    </row>
    <row r="1536" ht="14.25" spans="1:15">
      <c r="A1536" s="245" t="s">
        <v>26</v>
      </c>
      <c r="B1536" s="52" t="s">
        <v>64</v>
      </c>
      <c r="C1536" s="19">
        <v>0.230769230769231</v>
      </c>
      <c r="D1536" s="250">
        <v>0</v>
      </c>
      <c r="E1536" s="250">
        <v>0</v>
      </c>
      <c r="F1536" s="250">
        <v>0</v>
      </c>
      <c r="G1536" s="250">
        <v>1</v>
      </c>
      <c r="H1536" s="250">
        <v>0</v>
      </c>
      <c r="I1536" s="250">
        <v>0</v>
      </c>
      <c r="J1536" s="250">
        <v>1</v>
      </c>
      <c r="K1536" s="250">
        <v>0</v>
      </c>
      <c r="L1536" s="250">
        <v>0</v>
      </c>
      <c r="M1536" s="250">
        <v>0</v>
      </c>
      <c r="N1536" s="250">
        <v>1</v>
      </c>
      <c r="O1536" s="257">
        <v>0</v>
      </c>
    </row>
    <row r="1537" spans="1:15">
      <c r="A1537" s="240" t="s">
        <v>71</v>
      </c>
      <c r="B1537" s="47" t="s">
        <v>55</v>
      </c>
      <c r="C1537" s="12">
        <v>0.262987012987013</v>
      </c>
      <c r="D1537" s="241">
        <v>0.294117647058824</v>
      </c>
      <c r="E1537" s="241">
        <v>0.555555555555556</v>
      </c>
      <c r="F1537" s="241">
        <v>0.352941176470588</v>
      </c>
      <c r="G1537" s="241">
        <v>0.48</v>
      </c>
      <c r="H1537" s="241">
        <v>0.327272727272727</v>
      </c>
      <c r="I1537" s="241">
        <v>0.3</v>
      </c>
      <c r="J1537" s="241">
        <v>0.253731343283582</v>
      </c>
      <c r="K1537" s="241">
        <v>0.433962264150943</v>
      </c>
      <c r="L1537" s="241">
        <v>0.297872340425532</v>
      </c>
      <c r="M1537" s="241">
        <v>0.321428571428571</v>
      </c>
      <c r="N1537" s="241">
        <v>0.0571428571428571</v>
      </c>
      <c r="O1537" s="252">
        <v>0.0721649484536082</v>
      </c>
    </row>
    <row r="1538" spans="1:15">
      <c r="A1538" s="242" t="s">
        <v>71</v>
      </c>
      <c r="B1538" s="43" t="s">
        <v>57</v>
      </c>
      <c r="C1538" s="15">
        <v>616</v>
      </c>
      <c r="D1538" s="243">
        <v>51</v>
      </c>
      <c r="E1538" s="243">
        <v>18</v>
      </c>
      <c r="F1538" s="243">
        <v>17</v>
      </c>
      <c r="G1538" s="243">
        <v>25</v>
      </c>
      <c r="H1538" s="243">
        <v>55</v>
      </c>
      <c r="I1538" s="243">
        <v>60</v>
      </c>
      <c r="J1538" s="243">
        <v>67</v>
      </c>
      <c r="K1538" s="243">
        <v>53</v>
      </c>
      <c r="L1538" s="243">
        <v>47</v>
      </c>
      <c r="M1538" s="243">
        <v>56</v>
      </c>
      <c r="N1538" s="243">
        <v>70</v>
      </c>
      <c r="O1538" s="253">
        <v>97</v>
      </c>
    </row>
    <row r="1539" spans="1:15">
      <c r="A1539" s="240" t="s">
        <v>71</v>
      </c>
      <c r="B1539" s="47" t="s">
        <v>59</v>
      </c>
      <c r="C1539" s="15">
        <v>162</v>
      </c>
      <c r="D1539" s="243">
        <v>15</v>
      </c>
      <c r="E1539" s="243">
        <v>10</v>
      </c>
      <c r="F1539" s="243">
        <v>6</v>
      </c>
      <c r="G1539" s="243">
        <v>12</v>
      </c>
      <c r="H1539" s="243">
        <v>18</v>
      </c>
      <c r="I1539" s="243">
        <v>18</v>
      </c>
      <c r="J1539" s="243">
        <v>17</v>
      </c>
      <c r="K1539" s="243">
        <v>23</v>
      </c>
      <c r="L1539" s="243">
        <v>14</v>
      </c>
      <c r="M1539" s="243">
        <v>18</v>
      </c>
      <c r="N1539" s="243">
        <v>4</v>
      </c>
      <c r="O1539" s="253">
        <v>7</v>
      </c>
    </row>
    <row r="1540" spans="1:15">
      <c r="A1540" s="242" t="s">
        <v>71</v>
      </c>
      <c r="B1540" s="43" t="s">
        <v>4</v>
      </c>
      <c r="C1540" s="15">
        <v>36</v>
      </c>
      <c r="D1540" s="244">
        <v>1</v>
      </c>
      <c r="E1540" s="244">
        <v>4</v>
      </c>
      <c r="F1540" s="244">
        <v>2</v>
      </c>
      <c r="G1540" s="244">
        <v>1</v>
      </c>
      <c r="H1540" s="244">
        <v>2</v>
      </c>
      <c r="I1540" s="244">
        <v>6</v>
      </c>
      <c r="J1540" s="244">
        <v>4</v>
      </c>
      <c r="K1540" s="244">
        <v>5</v>
      </c>
      <c r="L1540" s="244">
        <v>2</v>
      </c>
      <c r="M1540" s="244">
        <v>3</v>
      </c>
      <c r="N1540" s="244">
        <v>2</v>
      </c>
      <c r="O1540" s="254">
        <v>4</v>
      </c>
    </row>
    <row r="1541" spans="1:15">
      <c r="A1541" s="240" t="s">
        <v>71</v>
      </c>
      <c r="B1541" s="47" t="s">
        <v>5</v>
      </c>
      <c r="C1541" s="12">
        <v>0.222222222222222</v>
      </c>
      <c r="D1541" s="241">
        <v>0.0666666666666667</v>
      </c>
      <c r="E1541" s="241">
        <v>0.4</v>
      </c>
      <c r="F1541" s="241">
        <v>0.333333333333333</v>
      </c>
      <c r="G1541" s="241">
        <v>0.0833333333333333</v>
      </c>
      <c r="H1541" s="241">
        <v>0.111111111111111</v>
      </c>
      <c r="I1541" s="241">
        <v>0.333333333333333</v>
      </c>
      <c r="J1541" s="241">
        <v>0.235294117647059</v>
      </c>
      <c r="K1541" s="241">
        <v>0.217391304347826</v>
      </c>
      <c r="L1541" s="241">
        <v>0.142857142857143</v>
      </c>
      <c r="M1541" s="241">
        <v>0.166666666666667</v>
      </c>
      <c r="N1541" s="241">
        <v>0.5</v>
      </c>
      <c r="O1541" s="252">
        <v>0.571428571428571</v>
      </c>
    </row>
    <row r="1542" spans="1:15">
      <c r="A1542" s="242" t="s">
        <v>71</v>
      </c>
      <c r="B1542" s="43" t="s">
        <v>6</v>
      </c>
      <c r="C1542" s="15">
        <v>11</v>
      </c>
      <c r="D1542" s="244">
        <v>0</v>
      </c>
      <c r="E1542" s="244">
        <v>2</v>
      </c>
      <c r="F1542" s="244">
        <v>1</v>
      </c>
      <c r="G1542" s="244">
        <v>2</v>
      </c>
      <c r="H1542" s="244">
        <v>1</v>
      </c>
      <c r="I1542" s="244">
        <v>0</v>
      </c>
      <c r="J1542" s="244">
        <v>1</v>
      </c>
      <c r="K1542" s="244">
        <v>2</v>
      </c>
      <c r="L1542" s="244">
        <v>0</v>
      </c>
      <c r="M1542" s="244">
        <v>0</v>
      </c>
      <c r="N1542" s="244">
        <v>2</v>
      </c>
      <c r="O1542" s="254">
        <v>0</v>
      </c>
    </row>
    <row r="1543" ht="14.25" spans="1:15">
      <c r="A1543" s="245" t="s">
        <v>71</v>
      </c>
      <c r="B1543" s="52" t="s">
        <v>64</v>
      </c>
      <c r="C1543" s="19">
        <v>0.305555555555556</v>
      </c>
      <c r="D1543" s="250">
        <v>0</v>
      </c>
      <c r="E1543" s="250">
        <v>2</v>
      </c>
      <c r="F1543" s="250">
        <v>1</v>
      </c>
      <c r="G1543" s="250">
        <v>2</v>
      </c>
      <c r="H1543" s="250">
        <v>1</v>
      </c>
      <c r="I1543" s="250">
        <v>0</v>
      </c>
      <c r="J1543" s="250">
        <v>1</v>
      </c>
      <c r="K1543" s="250">
        <v>2</v>
      </c>
      <c r="L1543" s="250">
        <v>0</v>
      </c>
      <c r="M1543" s="250">
        <v>0</v>
      </c>
      <c r="N1543" s="250">
        <v>2</v>
      </c>
      <c r="O1543" s="257">
        <v>0</v>
      </c>
    </row>
    <row r="1544" spans="1:15">
      <c r="A1544" s="240" t="s">
        <v>72</v>
      </c>
      <c r="B1544" s="47" t="s">
        <v>55</v>
      </c>
      <c r="C1544" s="12">
        <v>0.378333333333333</v>
      </c>
      <c r="D1544" s="241">
        <v>0.4375</v>
      </c>
      <c r="E1544" s="241">
        <v>0.555555555555556</v>
      </c>
      <c r="F1544" s="241">
        <v>0.25</v>
      </c>
      <c r="G1544" s="241">
        <v>0.5</v>
      </c>
      <c r="H1544" s="241">
        <v>0.357142857142857</v>
      </c>
      <c r="I1544" s="241">
        <v>0.315789473684211</v>
      </c>
      <c r="J1544" s="241">
        <v>0.357142857142857</v>
      </c>
      <c r="K1544" s="241">
        <v>0.310810810810811</v>
      </c>
      <c r="L1544" s="241">
        <v>0.32258064516129</v>
      </c>
      <c r="M1544" s="241">
        <v>0.378048780487805</v>
      </c>
      <c r="N1544" s="241">
        <v>0.392857142857143</v>
      </c>
      <c r="O1544" s="252">
        <v>0.413461538461538</v>
      </c>
    </row>
    <row r="1545" spans="1:15">
      <c r="A1545" s="242" t="s">
        <v>72</v>
      </c>
      <c r="B1545" s="43" t="s">
        <v>57</v>
      </c>
      <c r="C1545" s="15">
        <v>600</v>
      </c>
      <c r="D1545" s="243">
        <v>32</v>
      </c>
      <c r="E1545" s="243">
        <v>18</v>
      </c>
      <c r="F1545" s="243">
        <v>4</v>
      </c>
      <c r="G1545" s="243">
        <v>18</v>
      </c>
      <c r="H1545" s="243">
        <v>28</v>
      </c>
      <c r="I1545" s="243">
        <v>38</v>
      </c>
      <c r="J1545" s="243">
        <v>28</v>
      </c>
      <c r="K1545" s="243">
        <v>74</v>
      </c>
      <c r="L1545" s="243">
        <v>62</v>
      </c>
      <c r="M1545" s="243">
        <v>82</v>
      </c>
      <c r="N1545" s="243">
        <v>112</v>
      </c>
      <c r="O1545" s="253">
        <v>104</v>
      </c>
    </row>
    <row r="1546" spans="1:15">
      <c r="A1546" s="240" t="s">
        <v>72</v>
      </c>
      <c r="B1546" s="47" t="s">
        <v>59</v>
      </c>
      <c r="C1546" s="15">
        <v>227</v>
      </c>
      <c r="D1546" s="243">
        <v>14</v>
      </c>
      <c r="E1546" s="243">
        <v>10</v>
      </c>
      <c r="F1546" s="243">
        <v>1</v>
      </c>
      <c r="G1546" s="243">
        <v>9</v>
      </c>
      <c r="H1546" s="243">
        <v>10</v>
      </c>
      <c r="I1546" s="243">
        <v>12</v>
      </c>
      <c r="J1546" s="243">
        <v>10</v>
      </c>
      <c r="K1546" s="243">
        <v>23</v>
      </c>
      <c r="L1546" s="243">
        <v>20</v>
      </c>
      <c r="M1546" s="243">
        <v>31</v>
      </c>
      <c r="N1546" s="243">
        <v>44</v>
      </c>
      <c r="O1546" s="253">
        <v>43</v>
      </c>
    </row>
    <row r="1547" spans="1:15">
      <c r="A1547" s="242" t="s">
        <v>72</v>
      </c>
      <c r="B1547" s="43" t="s">
        <v>4</v>
      </c>
      <c r="C1547" s="15">
        <v>10</v>
      </c>
      <c r="D1547" s="244">
        <v>3</v>
      </c>
      <c r="E1547" s="244">
        <v>0</v>
      </c>
      <c r="F1547" s="244">
        <v>0</v>
      </c>
      <c r="G1547" s="244">
        <v>0</v>
      </c>
      <c r="H1547" s="244">
        <v>1</v>
      </c>
      <c r="I1547" s="244">
        <v>1</v>
      </c>
      <c r="J1547" s="244">
        <v>0</v>
      </c>
      <c r="K1547" s="244">
        <v>1</v>
      </c>
      <c r="L1547" s="244">
        <v>0</v>
      </c>
      <c r="M1547" s="244">
        <v>0</v>
      </c>
      <c r="N1547" s="244">
        <v>0</v>
      </c>
      <c r="O1547" s="254">
        <v>4</v>
      </c>
    </row>
    <row r="1548" spans="1:15">
      <c r="A1548" s="240" t="s">
        <v>72</v>
      </c>
      <c r="B1548" s="47" t="s">
        <v>5</v>
      </c>
      <c r="C1548" s="12">
        <v>0.0440528634361234</v>
      </c>
      <c r="D1548" s="241">
        <v>0.214285714285714</v>
      </c>
      <c r="E1548" s="241">
        <v>0</v>
      </c>
      <c r="F1548" s="241">
        <v>0</v>
      </c>
      <c r="G1548" s="241">
        <v>0</v>
      </c>
      <c r="H1548" s="241">
        <v>0.1</v>
      </c>
      <c r="I1548" s="241">
        <v>0.0833333333333333</v>
      </c>
      <c r="J1548" s="241">
        <v>0</v>
      </c>
      <c r="K1548" s="241">
        <v>0.0434782608695652</v>
      </c>
      <c r="L1548" s="241">
        <v>0</v>
      </c>
      <c r="M1548" s="241">
        <v>0</v>
      </c>
      <c r="N1548" s="241">
        <v>0</v>
      </c>
      <c r="O1548" s="252">
        <v>0.0930232558139535</v>
      </c>
    </row>
    <row r="1549" spans="1:15">
      <c r="A1549" s="242" t="s">
        <v>72</v>
      </c>
      <c r="B1549" s="43" t="s">
        <v>6</v>
      </c>
      <c r="C1549" s="15">
        <v>2</v>
      </c>
      <c r="D1549" s="244">
        <v>0</v>
      </c>
      <c r="E1549" s="244">
        <v>0</v>
      </c>
      <c r="F1549" s="244">
        <v>0</v>
      </c>
      <c r="G1549" s="244">
        <v>0</v>
      </c>
      <c r="H1549" s="244">
        <v>0</v>
      </c>
      <c r="I1549" s="244">
        <v>0</v>
      </c>
      <c r="J1549" s="244">
        <v>1</v>
      </c>
      <c r="K1549" s="244">
        <v>0</v>
      </c>
      <c r="L1549" s="244">
        <v>0</v>
      </c>
      <c r="M1549" s="244">
        <v>0</v>
      </c>
      <c r="N1549" s="244">
        <v>0</v>
      </c>
      <c r="O1549" s="254">
        <v>1</v>
      </c>
    </row>
    <row r="1550" ht="14.25" spans="1:15">
      <c r="A1550" s="245" t="s">
        <v>72</v>
      </c>
      <c r="B1550" s="52" t="s">
        <v>64</v>
      </c>
      <c r="C1550" s="19">
        <v>0.2</v>
      </c>
      <c r="D1550" s="250">
        <v>0</v>
      </c>
      <c r="E1550" s="250">
        <v>0</v>
      </c>
      <c r="F1550" s="250">
        <v>0</v>
      </c>
      <c r="G1550" s="250">
        <v>0</v>
      </c>
      <c r="H1550" s="250">
        <v>0</v>
      </c>
      <c r="I1550" s="250">
        <v>0</v>
      </c>
      <c r="J1550" s="250">
        <v>1</v>
      </c>
      <c r="K1550" s="250">
        <v>0</v>
      </c>
      <c r="L1550" s="250">
        <v>0</v>
      </c>
      <c r="M1550" s="250">
        <v>0</v>
      </c>
      <c r="N1550" s="250">
        <v>0</v>
      </c>
      <c r="O1550" s="257">
        <v>1</v>
      </c>
    </row>
    <row r="1551" ht="14.25" spans="1:15">
      <c r="A1551" s="237">
        <v>45043</v>
      </c>
      <c r="B1551" s="237"/>
      <c r="C1551" s="237"/>
      <c r="D1551" s="237"/>
      <c r="E1551" s="237"/>
      <c r="F1551" s="237"/>
      <c r="G1551" s="237"/>
      <c r="H1551" s="237"/>
      <c r="I1551" s="237"/>
      <c r="J1551" s="237"/>
      <c r="K1551" s="237"/>
      <c r="L1551" s="237"/>
      <c r="M1551" s="237"/>
      <c r="N1551" s="237"/>
      <c r="O1551" s="237"/>
    </row>
    <row r="1552" spans="1:15">
      <c r="A1552" s="56" t="s">
        <v>1</v>
      </c>
      <c r="B1552" s="238"/>
      <c r="C1552" s="8" t="s">
        <v>42</v>
      </c>
      <c r="D1552" s="239" t="s">
        <v>43</v>
      </c>
      <c r="E1552" s="239" t="s">
        <v>44</v>
      </c>
      <c r="F1552" s="239" t="s">
        <v>45</v>
      </c>
      <c r="G1552" s="239" t="s">
        <v>46</v>
      </c>
      <c r="H1552" s="239" t="s">
        <v>47</v>
      </c>
      <c r="I1552" s="239" t="s">
        <v>48</v>
      </c>
      <c r="J1552" s="239" t="s">
        <v>49</v>
      </c>
      <c r="K1552" s="239" t="s">
        <v>50</v>
      </c>
      <c r="L1552" s="239" t="s">
        <v>51</v>
      </c>
      <c r="M1552" s="239" t="s">
        <v>52</v>
      </c>
      <c r="N1552" s="239" t="s">
        <v>53</v>
      </c>
      <c r="O1552" s="251" t="s">
        <v>54</v>
      </c>
    </row>
    <row r="1553" spans="1:15">
      <c r="A1553" s="240" t="s">
        <v>22</v>
      </c>
      <c r="B1553" s="47" t="s">
        <v>55</v>
      </c>
      <c r="C1553" s="12">
        <v>0.301157211402766</v>
      </c>
      <c r="D1553" s="241">
        <v>0.254901960784314</v>
      </c>
      <c r="E1553" s="241">
        <v>0.13215859030837</v>
      </c>
      <c r="F1553" s="241">
        <v>0.150877192982456</v>
      </c>
      <c r="G1553" s="241">
        <v>0.217171717171717</v>
      </c>
      <c r="H1553" s="241">
        <v>0.343971631205674</v>
      </c>
      <c r="I1553" s="241">
        <v>0.429787234042553</v>
      </c>
      <c r="J1553" s="241">
        <v>0.389891696750903</v>
      </c>
      <c r="K1553" s="241">
        <v>0.457264957264957</v>
      </c>
      <c r="L1553" s="241">
        <v>0.40506329113924</v>
      </c>
      <c r="M1553" s="241">
        <v>0.471615720524017</v>
      </c>
      <c r="N1553" s="241">
        <v>0.401433691756272</v>
      </c>
      <c r="O1553" s="252">
        <v>0.191950464396285</v>
      </c>
    </row>
    <row r="1554" spans="1:15">
      <c r="A1554" s="242" t="s">
        <v>22</v>
      </c>
      <c r="B1554" s="43" t="s">
        <v>57</v>
      </c>
      <c r="C1554" s="15">
        <v>3543</v>
      </c>
      <c r="D1554" s="243">
        <v>510</v>
      </c>
      <c r="E1554" s="243">
        <v>454</v>
      </c>
      <c r="F1554" s="243">
        <v>285</v>
      </c>
      <c r="G1554" s="243">
        <v>198</v>
      </c>
      <c r="H1554" s="243">
        <v>282</v>
      </c>
      <c r="I1554" s="243">
        <v>235</v>
      </c>
      <c r="J1554" s="243">
        <v>277</v>
      </c>
      <c r="K1554" s="243">
        <v>234</v>
      </c>
      <c r="L1554" s="243">
        <v>237</v>
      </c>
      <c r="M1554" s="243">
        <v>229</v>
      </c>
      <c r="N1554" s="243">
        <v>279</v>
      </c>
      <c r="O1554" s="253">
        <v>323</v>
      </c>
    </row>
    <row r="1555" spans="1:15">
      <c r="A1555" s="240" t="s">
        <v>22</v>
      </c>
      <c r="B1555" s="47" t="s">
        <v>59</v>
      </c>
      <c r="C1555" s="15">
        <v>1067</v>
      </c>
      <c r="D1555" s="243">
        <v>130</v>
      </c>
      <c r="E1555" s="243">
        <v>60</v>
      </c>
      <c r="F1555" s="243">
        <v>43</v>
      </c>
      <c r="G1555" s="243">
        <v>43</v>
      </c>
      <c r="H1555" s="243">
        <v>97</v>
      </c>
      <c r="I1555" s="243">
        <v>101</v>
      </c>
      <c r="J1555" s="243">
        <v>108</v>
      </c>
      <c r="K1555" s="243">
        <v>107</v>
      </c>
      <c r="L1555" s="243">
        <v>96</v>
      </c>
      <c r="M1555" s="243">
        <v>108</v>
      </c>
      <c r="N1555" s="243">
        <v>112</v>
      </c>
      <c r="O1555" s="253">
        <v>62</v>
      </c>
    </row>
    <row r="1556" spans="1:15">
      <c r="A1556" s="242" t="s">
        <v>22</v>
      </c>
      <c r="B1556" s="43" t="s">
        <v>4</v>
      </c>
      <c r="C1556" s="15">
        <v>66</v>
      </c>
      <c r="D1556" s="244">
        <v>11</v>
      </c>
      <c r="E1556" s="244">
        <v>5</v>
      </c>
      <c r="F1556" s="244">
        <v>2</v>
      </c>
      <c r="G1556" s="244">
        <v>2</v>
      </c>
      <c r="H1556" s="244">
        <v>1</v>
      </c>
      <c r="I1556" s="244">
        <v>10</v>
      </c>
      <c r="J1556" s="244">
        <v>4</v>
      </c>
      <c r="K1556" s="244">
        <v>4</v>
      </c>
      <c r="L1556" s="244">
        <v>4</v>
      </c>
      <c r="M1556" s="244">
        <v>8</v>
      </c>
      <c r="N1556" s="244">
        <v>8</v>
      </c>
      <c r="O1556" s="254">
        <v>7</v>
      </c>
    </row>
    <row r="1557" spans="1:15">
      <c r="A1557" s="240" t="s">
        <v>22</v>
      </c>
      <c r="B1557" s="47" t="s">
        <v>5</v>
      </c>
      <c r="C1557" s="12">
        <v>0.0618556701030928</v>
      </c>
      <c r="D1557" s="241">
        <v>0.0846153846153846</v>
      </c>
      <c r="E1557" s="241">
        <v>0.0833333333333333</v>
      </c>
      <c r="F1557" s="241">
        <v>0.0465116279069767</v>
      </c>
      <c r="G1557" s="241">
        <v>0.0465116279069767</v>
      </c>
      <c r="H1557" s="241">
        <v>0.0103092783505155</v>
      </c>
      <c r="I1557" s="241">
        <v>0.099009900990099</v>
      </c>
      <c r="J1557" s="241">
        <v>0.037037037037037</v>
      </c>
      <c r="K1557" s="241">
        <v>0.0373831775700935</v>
      </c>
      <c r="L1557" s="241">
        <v>0.0416666666666667</v>
      </c>
      <c r="M1557" s="241">
        <v>0.0740740740740741</v>
      </c>
      <c r="N1557" s="241">
        <v>0.0714285714285714</v>
      </c>
      <c r="O1557" s="252">
        <v>0.112903225806452</v>
      </c>
    </row>
    <row r="1558" spans="1:15">
      <c r="A1558" s="242" t="s">
        <v>22</v>
      </c>
      <c r="B1558" s="43" t="s">
        <v>6</v>
      </c>
      <c r="C1558" s="15">
        <v>23</v>
      </c>
      <c r="D1558" s="244">
        <v>6</v>
      </c>
      <c r="E1558" s="244">
        <v>2</v>
      </c>
      <c r="F1558" s="244">
        <v>1</v>
      </c>
      <c r="G1558" s="244">
        <v>1</v>
      </c>
      <c r="H1558" s="244">
        <v>0</v>
      </c>
      <c r="I1558" s="244">
        <v>4</v>
      </c>
      <c r="J1558" s="244">
        <v>1</v>
      </c>
      <c r="K1558" s="244">
        <v>3</v>
      </c>
      <c r="L1558" s="244">
        <v>1</v>
      </c>
      <c r="M1558" s="244">
        <v>1</v>
      </c>
      <c r="N1558" s="244">
        <v>1</v>
      </c>
      <c r="O1558" s="254">
        <v>2</v>
      </c>
    </row>
    <row r="1559" ht="14.25" spans="1:15">
      <c r="A1559" s="245" t="s">
        <v>22</v>
      </c>
      <c r="B1559" s="52" t="s">
        <v>64</v>
      </c>
      <c r="C1559" s="19">
        <v>0.348484848484849</v>
      </c>
      <c r="D1559" s="246">
        <v>0.545454545454545</v>
      </c>
      <c r="E1559" s="246">
        <v>0.4</v>
      </c>
      <c r="F1559" s="246">
        <v>0.5</v>
      </c>
      <c r="G1559" s="246">
        <v>0.5</v>
      </c>
      <c r="H1559" s="246">
        <v>0</v>
      </c>
      <c r="I1559" s="246">
        <v>0.4</v>
      </c>
      <c r="J1559" s="246">
        <v>0.25</v>
      </c>
      <c r="K1559" s="246">
        <v>0.75</v>
      </c>
      <c r="L1559" s="246">
        <v>0.25</v>
      </c>
      <c r="M1559" s="246">
        <v>0.125</v>
      </c>
      <c r="N1559" s="246">
        <v>0.125</v>
      </c>
      <c r="O1559" s="255">
        <v>0.285714285714286</v>
      </c>
    </row>
    <row r="1560" spans="1:15">
      <c r="A1560" s="247" t="s">
        <v>66</v>
      </c>
      <c r="B1560" s="248" t="s">
        <v>55</v>
      </c>
      <c r="C1560" s="12">
        <v>0.149774774774775</v>
      </c>
      <c r="D1560" s="249">
        <v>0.160771704180064</v>
      </c>
      <c r="E1560" s="249">
        <v>0.0790816326530612</v>
      </c>
      <c r="F1560" s="249">
        <v>0.073943661971831</v>
      </c>
      <c r="G1560" s="249">
        <v>0.0755395683453237</v>
      </c>
      <c r="H1560" s="249">
        <v>0.151960784313725</v>
      </c>
      <c r="I1560" s="249">
        <v>0.190217391304348</v>
      </c>
      <c r="J1560" s="249">
        <v>0.221621621621622</v>
      </c>
      <c r="K1560" s="249">
        <v>0.13986013986014</v>
      </c>
      <c r="L1560" s="249">
        <v>0.186206896551724</v>
      </c>
      <c r="M1560" s="249">
        <v>0.226277372262774</v>
      </c>
      <c r="N1560" s="249">
        <v>0.225274725274725</v>
      </c>
      <c r="O1560" s="256">
        <v>0.228310502283105</v>
      </c>
    </row>
    <row r="1561" spans="1:15">
      <c r="A1561" s="242" t="s">
        <v>66</v>
      </c>
      <c r="B1561" s="43" t="s">
        <v>57</v>
      </c>
      <c r="C1561" s="15">
        <v>2664</v>
      </c>
      <c r="D1561" s="243">
        <v>311</v>
      </c>
      <c r="E1561" s="243">
        <v>392</v>
      </c>
      <c r="F1561" s="243">
        <v>284</v>
      </c>
      <c r="G1561" s="243">
        <v>278</v>
      </c>
      <c r="H1561" s="243">
        <v>204</v>
      </c>
      <c r="I1561" s="243">
        <v>184</v>
      </c>
      <c r="J1561" s="243">
        <v>185</v>
      </c>
      <c r="K1561" s="243">
        <v>143</v>
      </c>
      <c r="L1561" s="243">
        <v>145</v>
      </c>
      <c r="M1561" s="243">
        <v>137</v>
      </c>
      <c r="N1561" s="243">
        <v>182</v>
      </c>
      <c r="O1561" s="253">
        <v>219</v>
      </c>
    </row>
    <row r="1562" spans="1:15">
      <c r="A1562" s="240" t="s">
        <v>66</v>
      </c>
      <c r="B1562" s="47" t="s">
        <v>59</v>
      </c>
      <c r="C1562" s="15">
        <v>399</v>
      </c>
      <c r="D1562" s="243">
        <v>50</v>
      </c>
      <c r="E1562" s="243">
        <v>31</v>
      </c>
      <c r="F1562" s="243">
        <v>21</v>
      </c>
      <c r="G1562" s="243">
        <v>21</v>
      </c>
      <c r="H1562" s="243">
        <v>31</v>
      </c>
      <c r="I1562" s="243">
        <v>35</v>
      </c>
      <c r="J1562" s="243">
        <v>41</v>
      </c>
      <c r="K1562" s="243">
        <v>20</v>
      </c>
      <c r="L1562" s="243">
        <v>27</v>
      </c>
      <c r="M1562" s="243">
        <v>31</v>
      </c>
      <c r="N1562" s="243">
        <v>41</v>
      </c>
      <c r="O1562" s="253">
        <v>50</v>
      </c>
    </row>
    <row r="1563" spans="1:15">
      <c r="A1563" s="242" t="s">
        <v>66</v>
      </c>
      <c r="B1563" s="43" t="s">
        <v>4</v>
      </c>
      <c r="C1563" s="15">
        <v>29</v>
      </c>
      <c r="D1563" s="244">
        <v>1</v>
      </c>
      <c r="E1563" s="244">
        <v>3</v>
      </c>
      <c r="F1563" s="244">
        <v>3</v>
      </c>
      <c r="G1563" s="244">
        <v>0</v>
      </c>
      <c r="H1563" s="244">
        <v>2</v>
      </c>
      <c r="I1563" s="244">
        <v>3</v>
      </c>
      <c r="J1563" s="244">
        <v>2</v>
      </c>
      <c r="K1563" s="244">
        <v>2</v>
      </c>
      <c r="L1563" s="244">
        <v>4</v>
      </c>
      <c r="M1563" s="244">
        <v>3</v>
      </c>
      <c r="N1563" s="244">
        <v>2</v>
      </c>
      <c r="O1563" s="254">
        <v>4</v>
      </c>
    </row>
    <row r="1564" spans="1:15">
      <c r="A1564" s="240" t="s">
        <v>66</v>
      </c>
      <c r="B1564" s="47" t="s">
        <v>5</v>
      </c>
      <c r="C1564" s="12">
        <v>0.0726817042606516</v>
      </c>
      <c r="D1564" s="241">
        <v>0.02</v>
      </c>
      <c r="E1564" s="241">
        <v>0.0967741935483871</v>
      </c>
      <c r="F1564" s="241">
        <v>0.142857142857143</v>
      </c>
      <c r="G1564" s="241">
        <v>0</v>
      </c>
      <c r="H1564" s="241">
        <v>0.0645161290322581</v>
      </c>
      <c r="I1564" s="241">
        <v>0.0857142857142857</v>
      </c>
      <c r="J1564" s="241">
        <v>0.0487804878048781</v>
      </c>
      <c r="K1564" s="241">
        <v>0.1</v>
      </c>
      <c r="L1564" s="241">
        <v>0.148148148148148</v>
      </c>
      <c r="M1564" s="241">
        <v>0.0967741935483871</v>
      </c>
      <c r="N1564" s="241">
        <v>0.0487804878048781</v>
      </c>
      <c r="O1564" s="252">
        <v>0.08</v>
      </c>
    </row>
    <row r="1565" spans="1:15">
      <c r="A1565" s="242" t="s">
        <v>66</v>
      </c>
      <c r="B1565" s="43" t="s">
        <v>6</v>
      </c>
      <c r="C1565" s="15">
        <v>3</v>
      </c>
      <c r="D1565" s="244">
        <v>0</v>
      </c>
      <c r="E1565" s="244">
        <v>0</v>
      </c>
      <c r="F1565" s="244">
        <v>0</v>
      </c>
      <c r="G1565" s="244">
        <v>0</v>
      </c>
      <c r="H1565" s="244">
        <v>0</v>
      </c>
      <c r="I1565" s="244">
        <v>0</v>
      </c>
      <c r="J1565" s="244">
        <v>0</v>
      </c>
      <c r="K1565" s="244">
        <v>0</v>
      </c>
      <c r="L1565" s="244">
        <v>0</v>
      </c>
      <c r="M1565" s="244">
        <v>2</v>
      </c>
      <c r="N1565" s="244">
        <v>0</v>
      </c>
      <c r="O1565" s="254">
        <v>1</v>
      </c>
    </row>
    <row r="1566" ht="14.25" spans="1:15">
      <c r="A1566" s="245" t="s">
        <v>66</v>
      </c>
      <c r="B1566" s="52" t="s">
        <v>64</v>
      </c>
      <c r="C1566" s="19">
        <v>0.103448275862069</v>
      </c>
      <c r="D1566" s="246">
        <v>0</v>
      </c>
      <c r="E1566" s="246">
        <v>0</v>
      </c>
      <c r="F1566" s="246">
        <v>0</v>
      </c>
      <c r="G1566" s="246">
        <v>0</v>
      </c>
      <c r="H1566" s="246">
        <v>0</v>
      </c>
      <c r="I1566" s="246">
        <v>0</v>
      </c>
      <c r="J1566" s="246">
        <v>0</v>
      </c>
      <c r="K1566" s="246">
        <v>0</v>
      </c>
      <c r="L1566" s="246">
        <v>0</v>
      </c>
      <c r="M1566" s="246">
        <v>0.666666666666667</v>
      </c>
      <c r="N1566" s="246">
        <v>0</v>
      </c>
      <c r="O1566" s="255">
        <v>0.25</v>
      </c>
    </row>
    <row r="1567" spans="1:15">
      <c r="A1567" s="240" t="s">
        <v>67</v>
      </c>
      <c r="B1567" s="47" t="s">
        <v>55</v>
      </c>
      <c r="C1567" s="12">
        <v>0.527536231884058</v>
      </c>
      <c r="D1567" s="241">
        <v>0.551724137931034</v>
      </c>
      <c r="E1567" s="241">
        <v>0.5</v>
      </c>
      <c r="F1567" s="241">
        <v>0.375</v>
      </c>
      <c r="G1567" s="241">
        <v>0.659090909090909</v>
      </c>
      <c r="H1567" s="241">
        <v>0.826086956521739</v>
      </c>
      <c r="I1567" s="241">
        <v>0.560606060606061</v>
      </c>
      <c r="J1567" s="241">
        <v>0.372340425531915</v>
      </c>
      <c r="K1567" s="241">
        <v>0.435897435897436</v>
      </c>
      <c r="L1567" s="241">
        <v>0.642857142857143</v>
      </c>
      <c r="M1567" s="241">
        <v>0.722222222222222</v>
      </c>
      <c r="N1567" s="241">
        <v>0.5625</v>
      </c>
      <c r="O1567" s="252">
        <v>0.394736842105263</v>
      </c>
    </row>
    <row r="1568" spans="1:15">
      <c r="A1568" s="242" t="s">
        <v>67</v>
      </c>
      <c r="B1568" s="43" t="s">
        <v>57</v>
      </c>
      <c r="C1568" s="15">
        <v>690</v>
      </c>
      <c r="D1568" s="243">
        <v>58</v>
      </c>
      <c r="E1568" s="243">
        <v>38</v>
      </c>
      <c r="F1568" s="243">
        <v>32</v>
      </c>
      <c r="G1568" s="243">
        <v>44</v>
      </c>
      <c r="H1568" s="243">
        <v>46</v>
      </c>
      <c r="I1568" s="243">
        <v>66</v>
      </c>
      <c r="J1568" s="243">
        <v>94</v>
      </c>
      <c r="K1568" s="243">
        <v>78</v>
      </c>
      <c r="L1568" s="243">
        <v>42</v>
      </c>
      <c r="M1568" s="243">
        <v>36</v>
      </c>
      <c r="N1568" s="243">
        <v>80</v>
      </c>
      <c r="O1568" s="253">
        <v>76</v>
      </c>
    </row>
    <row r="1569" spans="1:15">
      <c r="A1569" s="240" t="s">
        <v>67</v>
      </c>
      <c r="B1569" s="47" t="s">
        <v>59</v>
      </c>
      <c r="C1569" s="15">
        <v>364</v>
      </c>
      <c r="D1569" s="243">
        <v>32</v>
      </c>
      <c r="E1569" s="243">
        <v>19</v>
      </c>
      <c r="F1569" s="243">
        <v>12</v>
      </c>
      <c r="G1569" s="243">
        <v>29</v>
      </c>
      <c r="H1569" s="243">
        <v>38</v>
      </c>
      <c r="I1569" s="243">
        <v>37</v>
      </c>
      <c r="J1569" s="243">
        <v>35</v>
      </c>
      <c r="K1569" s="243">
        <v>34</v>
      </c>
      <c r="L1569" s="243">
        <v>27</v>
      </c>
      <c r="M1569" s="243">
        <v>26</v>
      </c>
      <c r="N1569" s="243">
        <v>45</v>
      </c>
      <c r="O1569" s="253">
        <v>30</v>
      </c>
    </row>
    <row r="1570" spans="1:15">
      <c r="A1570" s="242" t="s">
        <v>67</v>
      </c>
      <c r="B1570" s="43" t="s">
        <v>4</v>
      </c>
      <c r="C1570" s="15">
        <v>11</v>
      </c>
      <c r="D1570" s="244">
        <v>1</v>
      </c>
      <c r="E1570" s="244">
        <v>1</v>
      </c>
      <c r="F1570" s="244">
        <v>1</v>
      </c>
      <c r="G1570" s="244">
        <v>1</v>
      </c>
      <c r="H1570" s="244">
        <v>0</v>
      </c>
      <c r="I1570" s="244">
        <v>1</v>
      </c>
      <c r="J1570" s="244">
        <v>1</v>
      </c>
      <c r="K1570" s="244">
        <v>2</v>
      </c>
      <c r="L1570" s="244">
        <v>1</v>
      </c>
      <c r="M1570" s="244">
        <v>0</v>
      </c>
      <c r="N1570" s="244">
        <v>1</v>
      </c>
      <c r="O1570" s="254">
        <v>1</v>
      </c>
    </row>
    <row r="1571" spans="1:15">
      <c r="A1571" s="240" t="s">
        <v>67</v>
      </c>
      <c r="B1571" s="47" t="s">
        <v>5</v>
      </c>
      <c r="C1571" s="12">
        <v>0.0302197802197802</v>
      </c>
      <c r="D1571" s="241">
        <v>0.03125</v>
      </c>
      <c r="E1571" s="241">
        <v>0.0526315789473684</v>
      </c>
      <c r="F1571" s="241">
        <v>0.0833333333333333</v>
      </c>
      <c r="G1571" s="241">
        <v>0.0344827586206897</v>
      </c>
      <c r="H1571" s="241">
        <v>0</v>
      </c>
      <c r="I1571" s="241">
        <v>0.027027027027027</v>
      </c>
      <c r="J1571" s="241">
        <v>0.0285714285714286</v>
      </c>
      <c r="K1571" s="241">
        <v>0.0588235294117647</v>
      </c>
      <c r="L1571" s="241">
        <v>0.037037037037037</v>
      </c>
      <c r="M1571" s="241">
        <v>0</v>
      </c>
      <c r="N1571" s="241">
        <v>0.0222222222222222</v>
      </c>
      <c r="O1571" s="252">
        <v>0.0333333333333333</v>
      </c>
    </row>
    <row r="1572" spans="1:15">
      <c r="A1572" s="242" t="s">
        <v>67</v>
      </c>
      <c r="B1572" s="43" t="s">
        <v>6</v>
      </c>
      <c r="C1572" s="15">
        <v>6</v>
      </c>
      <c r="D1572" s="244">
        <v>1</v>
      </c>
      <c r="E1572" s="244">
        <v>0</v>
      </c>
      <c r="F1572" s="244">
        <v>2</v>
      </c>
      <c r="G1572" s="244">
        <v>0</v>
      </c>
      <c r="H1572" s="244">
        <v>0</v>
      </c>
      <c r="I1572" s="244">
        <v>1</v>
      </c>
      <c r="J1572" s="244">
        <v>0</v>
      </c>
      <c r="K1572" s="244">
        <v>1</v>
      </c>
      <c r="L1572" s="244">
        <v>0</v>
      </c>
      <c r="M1572" s="244">
        <v>1</v>
      </c>
      <c r="N1572" s="244">
        <v>0</v>
      </c>
      <c r="O1572" s="254">
        <v>0</v>
      </c>
    </row>
    <row r="1573" ht="14.25" spans="1:15">
      <c r="A1573" s="245" t="s">
        <v>67</v>
      </c>
      <c r="B1573" s="52" t="s">
        <v>64</v>
      </c>
      <c r="C1573" s="19">
        <v>0.545454545454545</v>
      </c>
      <c r="D1573" s="246">
        <v>1</v>
      </c>
      <c r="E1573" s="246">
        <v>0</v>
      </c>
      <c r="F1573" s="246">
        <v>2</v>
      </c>
      <c r="G1573" s="246">
        <v>0</v>
      </c>
      <c r="H1573" s="246">
        <v>0</v>
      </c>
      <c r="I1573" s="246">
        <v>1</v>
      </c>
      <c r="J1573" s="246">
        <v>0</v>
      </c>
      <c r="K1573" s="246">
        <v>0.5</v>
      </c>
      <c r="L1573" s="246">
        <v>0</v>
      </c>
      <c r="M1573" s="246">
        <v>0</v>
      </c>
      <c r="N1573" s="246">
        <v>0</v>
      </c>
      <c r="O1573" s="255">
        <v>0</v>
      </c>
    </row>
    <row r="1574" spans="1:15">
      <c r="A1574" s="240" t="s">
        <v>68</v>
      </c>
      <c r="B1574" s="47" t="s">
        <v>55</v>
      </c>
      <c r="C1574" s="12">
        <v>0.0663633930960664</v>
      </c>
      <c r="D1574" s="241">
        <v>0.0784148397976391</v>
      </c>
      <c r="E1574" s="241">
        <v>0.0678851174934726</v>
      </c>
      <c r="F1574" s="241">
        <v>0.0388127853881279</v>
      </c>
      <c r="G1574" s="241">
        <v>0.0453752181500873</v>
      </c>
      <c r="H1574" s="241">
        <v>0.0616641901931649</v>
      </c>
      <c r="I1574" s="241">
        <v>0.0639943741209564</v>
      </c>
      <c r="J1574" s="241">
        <v>0.0609619686800895</v>
      </c>
      <c r="K1574" s="241">
        <v>0.0585399449035813</v>
      </c>
      <c r="L1574" s="241">
        <v>0.050464807436919</v>
      </c>
      <c r="M1574" s="241">
        <v>0.0525114155251142</v>
      </c>
      <c r="N1574" s="241">
        <v>0.0779685264663805</v>
      </c>
      <c r="O1574" s="252">
        <v>0.374193548387097</v>
      </c>
    </row>
    <row r="1575" spans="1:15">
      <c r="A1575" s="242" t="s">
        <v>68</v>
      </c>
      <c r="B1575" s="43" t="s">
        <v>57</v>
      </c>
      <c r="C1575" s="15">
        <v>14948</v>
      </c>
      <c r="D1575" s="243">
        <v>1186</v>
      </c>
      <c r="E1575" s="243">
        <v>766</v>
      </c>
      <c r="F1575" s="243">
        <v>876</v>
      </c>
      <c r="G1575" s="243">
        <v>1146</v>
      </c>
      <c r="H1575" s="243">
        <v>1346</v>
      </c>
      <c r="I1575" s="243">
        <v>1422</v>
      </c>
      <c r="J1575" s="243">
        <v>1788</v>
      </c>
      <c r="K1575" s="243">
        <v>1452</v>
      </c>
      <c r="L1575" s="243">
        <v>1506</v>
      </c>
      <c r="M1575" s="243">
        <v>1752</v>
      </c>
      <c r="N1575" s="243">
        <v>1398</v>
      </c>
      <c r="O1575" s="253">
        <v>310</v>
      </c>
    </row>
    <row r="1576" spans="1:15">
      <c r="A1576" s="240" t="s">
        <v>68</v>
      </c>
      <c r="B1576" s="47" t="s">
        <v>59</v>
      </c>
      <c r="C1576" s="15">
        <v>992</v>
      </c>
      <c r="D1576" s="243">
        <v>93</v>
      </c>
      <c r="E1576" s="243">
        <v>52</v>
      </c>
      <c r="F1576" s="243">
        <v>34</v>
      </c>
      <c r="G1576" s="243">
        <v>52</v>
      </c>
      <c r="H1576" s="243">
        <v>83</v>
      </c>
      <c r="I1576" s="243">
        <v>91</v>
      </c>
      <c r="J1576" s="243">
        <v>109</v>
      </c>
      <c r="K1576" s="243">
        <v>85</v>
      </c>
      <c r="L1576" s="243">
        <v>76</v>
      </c>
      <c r="M1576" s="243">
        <v>92</v>
      </c>
      <c r="N1576" s="243">
        <v>109</v>
      </c>
      <c r="O1576" s="253">
        <v>116</v>
      </c>
    </row>
    <row r="1577" spans="1:15">
      <c r="A1577" s="242" t="s">
        <v>68</v>
      </c>
      <c r="B1577" s="43" t="s">
        <v>4</v>
      </c>
      <c r="C1577" s="15">
        <v>65</v>
      </c>
      <c r="D1577" s="244">
        <v>6</v>
      </c>
      <c r="E1577" s="244">
        <v>6</v>
      </c>
      <c r="F1577" s="244">
        <v>2</v>
      </c>
      <c r="G1577" s="244">
        <v>4</v>
      </c>
      <c r="H1577" s="244">
        <v>8</v>
      </c>
      <c r="I1577" s="244">
        <v>4</v>
      </c>
      <c r="J1577" s="244">
        <v>6</v>
      </c>
      <c r="K1577" s="244">
        <v>5</v>
      </c>
      <c r="L1577" s="244">
        <v>3</v>
      </c>
      <c r="M1577" s="244">
        <v>7</v>
      </c>
      <c r="N1577" s="244">
        <v>6</v>
      </c>
      <c r="O1577" s="254">
        <v>8</v>
      </c>
    </row>
    <row r="1578" spans="1:15">
      <c r="A1578" s="240" t="s">
        <v>68</v>
      </c>
      <c r="B1578" s="47" t="s">
        <v>5</v>
      </c>
      <c r="C1578" s="12">
        <v>0.0655241935483871</v>
      </c>
      <c r="D1578" s="241">
        <v>0.0645161290322581</v>
      </c>
      <c r="E1578" s="241">
        <v>0.115384615384615</v>
      </c>
      <c r="F1578" s="241">
        <v>0.0588235294117647</v>
      </c>
      <c r="G1578" s="241">
        <v>0.0769230769230769</v>
      </c>
      <c r="H1578" s="241">
        <v>0.0963855421686747</v>
      </c>
      <c r="I1578" s="241">
        <v>0.043956043956044</v>
      </c>
      <c r="J1578" s="241">
        <v>0.055045871559633</v>
      </c>
      <c r="K1578" s="241">
        <v>0.0588235294117647</v>
      </c>
      <c r="L1578" s="241">
        <v>0.0394736842105263</v>
      </c>
      <c r="M1578" s="241">
        <v>0.0760869565217391</v>
      </c>
      <c r="N1578" s="241">
        <v>0.055045871559633</v>
      </c>
      <c r="O1578" s="252">
        <v>0.0689655172413793</v>
      </c>
    </row>
    <row r="1579" spans="1:15">
      <c r="A1579" s="242" t="s">
        <v>68</v>
      </c>
      <c r="B1579" s="43" t="s">
        <v>6</v>
      </c>
      <c r="C1579" s="15">
        <v>19</v>
      </c>
      <c r="D1579" s="244">
        <v>3</v>
      </c>
      <c r="E1579" s="244">
        <v>1</v>
      </c>
      <c r="F1579" s="244">
        <v>0</v>
      </c>
      <c r="G1579" s="244">
        <v>2</v>
      </c>
      <c r="H1579" s="244">
        <v>2</v>
      </c>
      <c r="I1579" s="244">
        <v>0</v>
      </c>
      <c r="J1579" s="244">
        <v>1</v>
      </c>
      <c r="K1579" s="244">
        <v>1</v>
      </c>
      <c r="L1579" s="244">
        <v>3</v>
      </c>
      <c r="M1579" s="244">
        <v>1</v>
      </c>
      <c r="N1579" s="244">
        <v>2</v>
      </c>
      <c r="O1579" s="254">
        <v>3</v>
      </c>
    </row>
    <row r="1580" ht="14.25" spans="1:15">
      <c r="A1580" s="245" t="s">
        <v>68</v>
      </c>
      <c r="B1580" s="52" t="s">
        <v>64</v>
      </c>
      <c r="C1580" s="19">
        <v>0.292307692307692</v>
      </c>
      <c r="D1580" s="246">
        <v>0.5</v>
      </c>
      <c r="E1580" s="246">
        <v>0.166666666666667</v>
      </c>
      <c r="F1580" s="246">
        <v>0</v>
      </c>
      <c r="G1580" s="246">
        <v>0.5</v>
      </c>
      <c r="H1580" s="246">
        <v>0.25</v>
      </c>
      <c r="I1580" s="246">
        <v>0</v>
      </c>
      <c r="J1580" s="246">
        <v>0.166666666666667</v>
      </c>
      <c r="K1580" s="246">
        <v>0.2</v>
      </c>
      <c r="L1580" s="246">
        <v>1</v>
      </c>
      <c r="M1580" s="246">
        <v>0.142857142857143</v>
      </c>
      <c r="N1580" s="246">
        <v>0.333333333333333</v>
      </c>
      <c r="O1580" s="255">
        <v>0.375</v>
      </c>
    </row>
    <row r="1581" spans="1:15">
      <c r="A1581" s="240" t="s">
        <v>69</v>
      </c>
      <c r="B1581" s="47" t="s">
        <v>55</v>
      </c>
      <c r="C1581" s="12">
        <v>0.993399339933993</v>
      </c>
      <c r="D1581" s="241">
        <v>1.22222222222222</v>
      </c>
      <c r="E1581" s="241">
        <v>1.3</v>
      </c>
      <c r="F1581" s="241">
        <v>1.04166666666667</v>
      </c>
      <c r="G1581" s="241">
        <v>1.25925925925926</v>
      </c>
      <c r="H1581" s="241">
        <v>1.04444444444444</v>
      </c>
      <c r="I1581" s="241">
        <v>0.982456140350877</v>
      </c>
      <c r="J1581" s="241">
        <v>0.787878787878788</v>
      </c>
      <c r="K1581" s="241">
        <v>1</v>
      </c>
      <c r="L1581" s="241">
        <v>0.829787234042553</v>
      </c>
      <c r="M1581" s="241">
        <v>1</v>
      </c>
      <c r="N1581" s="241">
        <v>0.85</v>
      </c>
      <c r="O1581" s="252">
        <v>1.04225352112676</v>
      </c>
    </row>
    <row r="1582" spans="1:15">
      <c r="A1582" s="242" t="s">
        <v>69</v>
      </c>
      <c r="B1582" s="43" t="s">
        <v>57</v>
      </c>
      <c r="C1582" s="15">
        <v>606</v>
      </c>
      <c r="D1582" s="243">
        <v>54</v>
      </c>
      <c r="E1582" s="243">
        <v>20</v>
      </c>
      <c r="F1582" s="243">
        <v>24</v>
      </c>
      <c r="G1582" s="243">
        <v>27</v>
      </c>
      <c r="H1582" s="243">
        <v>45</v>
      </c>
      <c r="I1582" s="243">
        <v>57</v>
      </c>
      <c r="J1582" s="243">
        <v>66</v>
      </c>
      <c r="K1582" s="243">
        <v>63</v>
      </c>
      <c r="L1582" s="243">
        <v>47</v>
      </c>
      <c r="M1582" s="243">
        <v>52</v>
      </c>
      <c r="N1582" s="243">
        <v>80</v>
      </c>
      <c r="O1582" s="253">
        <v>71</v>
      </c>
    </row>
    <row r="1583" spans="1:15">
      <c r="A1583" s="240" t="s">
        <v>69</v>
      </c>
      <c r="B1583" s="47" t="s">
        <v>59</v>
      </c>
      <c r="C1583" s="15">
        <v>602</v>
      </c>
      <c r="D1583" s="243">
        <v>66</v>
      </c>
      <c r="E1583" s="243">
        <v>26</v>
      </c>
      <c r="F1583" s="243">
        <v>25</v>
      </c>
      <c r="G1583" s="243">
        <v>34</v>
      </c>
      <c r="H1583" s="243">
        <v>47</v>
      </c>
      <c r="I1583" s="243">
        <v>56</v>
      </c>
      <c r="J1583" s="243">
        <v>52</v>
      </c>
      <c r="K1583" s="243">
        <v>63</v>
      </c>
      <c r="L1583" s="243">
        <v>39</v>
      </c>
      <c r="M1583" s="243">
        <v>52</v>
      </c>
      <c r="N1583" s="243">
        <v>68</v>
      </c>
      <c r="O1583" s="253">
        <v>74</v>
      </c>
    </row>
    <row r="1584" spans="1:15">
      <c r="A1584" s="242" t="s">
        <v>69</v>
      </c>
      <c r="B1584" s="43" t="s">
        <v>4</v>
      </c>
      <c r="C1584" s="15">
        <v>37</v>
      </c>
      <c r="D1584" s="244">
        <v>5</v>
      </c>
      <c r="E1584" s="244">
        <v>1</v>
      </c>
      <c r="F1584" s="244">
        <v>0</v>
      </c>
      <c r="G1584" s="244">
        <v>0</v>
      </c>
      <c r="H1584" s="244">
        <v>3</v>
      </c>
      <c r="I1584" s="244">
        <v>4</v>
      </c>
      <c r="J1584" s="244">
        <v>5</v>
      </c>
      <c r="K1584" s="244">
        <v>6</v>
      </c>
      <c r="L1584" s="244">
        <v>4</v>
      </c>
      <c r="M1584" s="244">
        <v>6</v>
      </c>
      <c r="N1584" s="244">
        <v>0</v>
      </c>
      <c r="O1584" s="254">
        <v>3</v>
      </c>
    </row>
    <row r="1585" spans="1:15">
      <c r="A1585" s="240" t="s">
        <v>69</v>
      </c>
      <c r="B1585" s="47" t="s">
        <v>5</v>
      </c>
      <c r="C1585" s="12">
        <v>0.0614617940199336</v>
      </c>
      <c r="D1585" s="241">
        <v>0.0757575757575758</v>
      </c>
      <c r="E1585" s="241">
        <v>0.0384615384615385</v>
      </c>
      <c r="F1585" s="241">
        <v>0</v>
      </c>
      <c r="G1585" s="241">
        <v>0</v>
      </c>
      <c r="H1585" s="241">
        <v>0.0638297872340425</v>
      </c>
      <c r="I1585" s="241">
        <v>0.0714285714285714</v>
      </c>
      <c r="J1585" s="241">
        <v>0.0961538461538462</v>
      </c>
      <c r="K1585" s="241">
        <v>0.0952380952380952</v>
      </c>
      <c r="L1585" s="241">
        <v>0.102564102564103</v>
      </c>
      <c r="M1585" s="241">
        <v>0.115384615384615</v>
      </c>
      <c r="N1585" s="241">
        <v>0</v>
      </c>
      <c r="O1585" s="252">
        <v>0.0405405405405405</v>
      </c>
    </row>
    <row r="1586" spans="1:15">
      <c r="A1586" s="242" t="s">
        <v>69</v>
      </c>
      <c r="B1586" s="43" t="s">
        <v>6</v>
      </c>
      <c r="C1586" s="15">
        <v>9</v>
      </c>
      <c r="D1586" s="244">
        <v>0</v>
      </c>
      <c r="E1586" s="244">
        <v>0</v>
      </c>
      <c r="F1586" s="244">
        <v>0</v>
      </c>
      <c r="G1586" s="244">
        <v>0</v>
      </c>
      <c r="H1586" s="244">
        <v>0</v>
      </c>
      <c r="I1586" s="244">
        <v>1</v>
      </c>
      <c r="J1586" s="244">
        <v>2</v>
      </c>
      <c r="K1586" s="244">
        <v>3</v>
      </c>
      <c r="L1586" s="244">
        <v>0</v>
      </c>
      <c r="M1586" s="244">
        <v>2</v>
      </c>
      <c r="N1586" s="244">
        <v>1</v>
      </c>
      <c r="O1586" s="254">
        <v>0</v>
      </c>
    </row>
    <row r="1587" ht="14.25" spans="1:15">
      <c r="A1587" s="245" t="s">
        <v>69</v>
      </c>
      <c r="B1587" s="52" t="s">
        <v>64</v>
      </c>
      <c r="C1587" s="19">
        <v>0.243243243243243</v>
      </c>
      <c r="D1587" s="246">
        <v>0</v>
      </c>
      <c r="E1587" s="246">
        <v>0</v>
      </c>
      <c r="F1587" s="246">
        <v>0</v>
      </c>
      <c r="G1587" s="246">
        <v>0</v>
      </c>
      <c r="H1587" s="246">
        <v>0</v>
      </c>
      <c r="I1587" s="246">
        <v>0.25</v>
      </c>
      <c r="J1587" s="246">
        <v>0.4</v>
      </c>
      <c r="K1587" s="246">
        <v>0.5</v>
      </c>
      <c r="L1587" s="246">
        <v>0</v>
      </c>
      <c r="M1587" s="246">
        <v>0.333333333333333</v>
      </c>
      <c r="N1587" s="246">
        <v>0</v>
      </c>
      <c r="O1587" s="255">
        <v>0</v>
      </c>
    </row>
    <row r="1588" spans="1:15">
      <c r="A1588" s="240" t="s">
        <v>70</v>
      </c>
      <c r="B1588" s="47" t="s">
        <v>55</v>
      </c>
      <c r="C1588" s="12">
        <v>0.777272727272727</v>
      </c>
      <c r="D1588" s="241">
        <v>1.7</v>
      </c>
      <c r="E1588" s="241">
        <v>1.5</v>
      </c>
      <c r="F1588" s="241">
        <v>1.28571428571429</v>
      </c>
      <c r="G1588" s="241">
        <v>0.947368421052632</v>
      </c>
      <c r="H1588" s="241">
        <v>0.59375</v>
      </c>
      <c r="I1588" s="241">
        <v>0.916666666666667</v>
      </c>
      <c r="J1588" s="241">
        <v>0.645161290322581</v>
      </c>
      <c r="K1588" s="241">
        <v>1.4</v>
      </c>
      <c r="L1588" s="241">
        <v>0.304347826086957</v>
      </c>
      <c r="M1588" s="241">
        <v>0.5</v>
      </c>
      <c r="N1588" s="241">
        <v>0.458333333333333</v>
      </c>
      <c r="O1588" s="252">
        <v>1.125</v>
      </c>
    </row>
    <row r="1589" spans="1:15">
      <c r="A1589" s="242" t="s">
        <v>70</v>
      </c>
      <c r="B1589" s="43" t="s">
        <v>57</v>
      </c>
      <c r="C1589" s="15">
        <v>220</v>
      </c>
      <c r="D1589" s="243">
        <v>10</v>
      </c>
      <c r="E1589" s="243">
        <v>4</v>
      </c>
      <c r="F1589" s="243">
        <v>7</v>
      </c>
      <c r="G1589" s="243">
        <v>19</v>
      </c>
      <c r="H1589" s="243">
        <v>32</v>
      </c>
      <c r="I1589" s="243">
        <v>24</v>
      </c>
      <c r="J1589" s="243">
        <v>31</v>
      </c>
      <c r="K1589" s="243">
        <v>10</v>
      </c>
      <c r="L1589" s="243">
        <v>23</v>
      </c>
      <c r="M1589" s="243">
        <v>20</v>
      </c>
      <c r="N1589" s="243">
        <v>24</v>
      </c>
      <c r="O1589" s="253">
        <v>16</v>
      </c>
    </row>
    <row r="1590" spans="1:15">
      <c r="A1590" s="240" t="s">
        <v>70</v>
      </c>
      <c r="B1590" s="47" t="s">
        <v>59</v>
      </c>
      <c r="C1590" s="15">
        <v>171</v>
      </c>
      <c r="D1590" s="243">
        <v>17</v>
      </c>
      <c r="E1590" s="243">
        <v>6</v>
      </c>
      <c r="F1590" s="243">
        <v>9</v>
      </c>
      <c r="G1590" s="243">
        <v>18</v>
      </c>
      <c r="H1590" s="243">
        <v>19</v>
      </c>
      <c r="I1590" s="243">
        <v>22</v>
      </c>
      <c r="J1590" s="243">
        <v>20</v>
      </c>
      <c r="K1590" s="243">
        <v>14</v>
      </c>
      <c r="L1590" s="243">
        <v>7</v>
      </c>
      <c r="M1590" s="243">
        <v>10</v>
      </c>
      <c r="N1590" s="243">
        <v>11</v>
      </c>
      <c r="O1590" s="253">
        <v>18</v>
      </c>
    </row>
    <row r="1591" spans="1:15">
      <c r="A1591" s="242" t="s">
        <v>70</v>
      </c>
      <c r="B1591" s="43" t="s">
        <v>4</v>
      </c>
      <c r="C1591" s="15">
        <v>3</v>
      </c>
      <c r="D1591" s="244">
        <v>0</v>
      </c>
      <c r="E1591" s="244">
        <v>0</v>
      </c>
      <c r="F1591" s="244">
        <v>0</v>
      </c>
      <c r="G1591" s="244">
        <v>0</v>
      </c>
      <c r="H1591" s="244">
        <v>0</v>
      </c>
      <c r="I1591" s="244">
        <v>1</v>
      </c>
      <c r="J1591" s="244">
        <v>2</v>
      </c>
      <c r="K1591" s="244">
        <v>0</v>
      </c>
      <c r="L1591" s="244">
        <v>0</v>
      </c>
      <c r="M1591" s="244">
        <v>0</v>
      </c>
      <c r="N1591" s="244">
        <v>0</v>
      </c>
      <c r="O1591" s="254">
        <v>0</v>
      </c>
    </row>
    <row r="1592" spans="1:15">
      <c r="A1592" s="240" t="s">
        <v>70</v>
      </c>
      <c r="B1592" s="47" t="s">
        <v>5</v>
      </c>
      <c r="C1592" s="12">
        <v>0.0175438596491228</v>
      </c>
      <c r="D1592" s="241">
        <v>0</v>
      </c>
      <c r="E1592" s="241">
        <v>0</v>
      </c>
      <c r="F1592" s="241">
        <v>0</v>
      </c>
      <c r="G1592" s="241">
        <v>0</v>
      </c>
      <c r="H1592" s="241">
        <v>0</v>
      </c>
      <c r="I1592" s="241">
        <v>0.0454545454545455</v>
      </c>
      <c r="J1592" s="241">
        <v>0.1</v>
      </c>
      <c r="K1592" s="241">
        <v>0</v>
      </c>
      <c r="L1592" s="241">
        <v>0</v>
      </c>
      <c r="M1592" s="241">
        <v>0</v>
      </c>
      <c r="N1592" s="241">
        <v>0</v>
      </c>
      <c r="O1592" s="252">
        <v>0</v>
      </c>
    </row>
    <row r="1593" spans="1:15">
      <c r="A1593" s="242" t="s">
        <v>70</v>
      </c>
      <c r="B1593" s="43" t="s">
        <v>6</v>
      </c>
      <c r="C1593" s="15">
        <v>0</v>
      </c>
      <c r="D1593" s="244">
        <v>0</v>
      </c>
      <c r="E1593" s="244">
        <v>0</v>
      </c>
      <c r="F1593" s="244">
        <v>0</v>
      </c>
      <c r="G1593" s="244">
        <v>0</v>
      </c>
      <c r="H1593" s="244">
        <v>0</v>
      </c>
      <c r="I1593" s="244">
        <v>0</v>
      </c>
      <c r="J1593" s="244">
        <v>0</v>
      </c>
      <c r="K1593" s="244">
        <v>0</v>
      </c>
      <c r="L1593" s="244">
        <v>0</v>
      </c>
      <c r="M1593" s="244">
        <v>0</v>
      </c>
      <c r="N1593" s="244">
        <v>0</v>
      </c>
      <c r="O1593" s="254">
        <v>0</v>
      </c>
    </row>
    <row r="1594" ht="14.25" spans="1:15">
      <c r="A1594" s="245" t="s">
        <v>70</v>
      </c>
      <c r="B1594" s="52" t="s">
        <v>64</v>
      </c>
      <c r="C1594" s="19">
        <v>0</v>
      </c>
      <c r="D1594" s="246">
        <v>0</v>
      </c>
      <c r="E1594" s="246">
        <v>0</v>
      </c>
      <c r="F1594" s="246">
        <v>0</v>
      </c>
      <c r="G1594" s="246">
        <v>0</v>
      </c>
      <c r="H1594" s="246">
        <v>0</v>
      </c>
      <c r="I1594" s="246">
        <v>0</v>
      </c>
      <c r="J1594" s="246">
        <v>0</v>
      </c>
      <c r="K1594" s="246">
        <v>0</v>
      </c>
      <c r="L1594" s="246">
        <v>0</v>
      </c>
      <c r="M1594" s="246">
        <v>0</v>
      </c>
      <c r="N1594" s="246">
        <v>0</v>
      </c>
      <c r="O1594" s="255">
        <v>0</v>
      </c>
    </row>
    <row r="1595" spans="1:15">
      <c r="A1595" s="240" t="s">
        <v>26</v>
      </c>
      <c r="B1595" s="47" t="s">
        <v>55</v>
      </c>
      <c r="C1595" s="12">
        <v>0.409969088098918</v>
      </c>
      <c r="D1595" s="241">
        <v>0.596938775510204</v>
      </c>
      <c r="E1595" s="241">
        <v>0.544871794871795</v>
      </c>
      <c r="F1595" s="241">
        <v>0.438461538461538</v>
      </c>
      <c r="G1595" s="241">
        <v>0.515625</v>
      </c>
      <c r="H1595" s="241">
        <v>0.594117647058824</v>
      </c>
      <c r="I1595" s="241">
        <v>0.51984126984127</v>
      </c>
      <c r="J1595" s="241">
        <v>0.553921568627451</v>
      </c>
      <c r="K1595" s="241">
        <v>0.461538461538462</v>
      </c>
      <c r="L1595" s="241">
        <v>0.441747572815534</v>
      </c>
      <c r="M1595" s="241">
        <v>0.382352941176471</v>
      </c>
      <c r="N1595" s="241">
        <v>0.277777777777778</v>
      </c>
      <c r="O1595" s="252">
        <v>0.0597826086956522</v>
      </c>
    </row>
    <row r="1596" spans="1:15">
      <c r="A1596" s="242" t="s">
        <v>26</v>
      </c>
      <c r="B1596" s="43" t="s">
        <v>57</v>
      </c>
      <c r="C1596" s="15">
        <v>2588</v>
      </c>
      <c r="D1596" s="243">
        <v>196</v>
      </c>
      <c r="E1596" s="243">
        <v>156</v>
      </c>
      <c r="F1596" s="243">
        <v>130</v>
      </c>
      <c r="G1596" s="243">
        <v>128</v>
      </c>
      <c r="H1596" s="243">
        <v>170</v>
      </c>
      <c r="I1596" s="243">
        <v>252</v>
      </c>
      <c r="J1596" s="243">
        <v>204</v>
      </c>
      <c r="K1596" s="243">
        <v>182</v>
      </c>
      <c r="L1596" s="243">
        <v>206</v>
      </c>
      <c r="M1596" s="243">
        <v>272</v>
      </c>
      <c r="N1596" s="243">
        <v>324</v>
      </c>
      <c r="O1596" s="253">
        <v>368</v>
      </c>
    </row>
    <row r="1597" spans="1:15">
      <c r="A1597" s="240" t="s">
        <v>26</v>
      </c>
      <c r="B1597" s="47" t="s">
        <v>59</v>
      </c>
      <c r="C1597" s="15">
        <v>1061</v>
      </c>
      <c r="D1597" s="243">
        <v>117</v>
      </c>
      <c r="E1597" s="243">
        <v>85</v>
      </c>
      <c r="F1597" s="243">
        <v>57</v>
      </c>
      <c r="G1597" s="243">
        <v>66</v>
      </c>
      <c r="H1597" s="243">
        <v>101</v>
      </c>
      <c r="I1597" s="243">
        <v>131</v>
      </c>
      <c r="J1597" s="243">
        <v>113</v>
      </c>
      <c r="K1597" s="243">
        <v>84</v>
      </c>
      <c r="L1597" s="243">
        <v>91</v>
      </c>
      <c r="M1597" s="243">
        <v>104</v>
      </c>
      <c r="N1597" s="243">
        <v>90</v>
      </c>
      <c r="O1597" s="253">
        <v>22</v>
      </c>
    </row>
    <row r="1598" spans="1:15">
      <c r="A1598" s="242" t="s">
        <v>26</v>
      </c>
      <c r="B1598" s="43" t="s">
        <v>4</v>
      </c>
      <c r="C1598" s="15">
        <v>16</v>
      </c>
      <c r="D1598" s="244">
        <v>2</v>
      </c>
      <c r="E1598" s="244">
        <v>0</v>
      </c>
      <c r="F1598" s="244">
        <v>1</v>
      </c>
      <c r="G1598" s="244">
        <v>0</v>
      </c>
      <c r="H1598" s="244">
        <v>3</v>
      </c>
      <c r="I1598" s="244">
        <v>2</v>
      </c>
      <c r="J1598" s="244">
        <v>1</v>
      </c>
      <c r="K1598" s="244">
        <v>1</v>
      </c>
      <c r="L1598" s="244">
        <v>1</v>
      </c>
      <c r="M1598" s="244">
        <v>0</v>
      </c>
      <c r="N1598" s="244">
        <v>4</v>
      </c>
      <c r="O1598" s="254">
        <v>1</v>
      </c>
    </row>
    <row r="1599" spans="1:15">
      <c r="A1599" s="240" t="s">
        <v>26</v>
      </c>
      <c r="B1599" s="47" t="s">
        <v>5</v>
      </c>
      <c r="C1599" s="12">
        <v>0.0150801131008483</v>
      </c>
      <c r="D1599" s="241">
        <v>0.0170940170940171</v>
      </c>
      <c r="E1599" s="241">
        <v>0</v>
      </c>
      <c r="F1599" s="241">
        <v>0.0175438596491228</v>
      </c>
      <c r="G1599" s="241">
        <v>0</v>
      </c>
      <c r="H1599" s="241">
        <v>0.0297029702970297</v>
      </c>
      <c r="I1599" s="241">
        <v>0.0152671755725191</v>
      </c>
      <c r="J1599" s="241">
        <v>0.00884955752212389</v>
      </c>
      <c r="K1599" s="241">
        <v>0.0119047619047619</v>
      </c>
      <c r="L1599" s="241">
        <v>0.010989010989011</v>
      </c>
      <c r="M1599" s="241">
        <v>0</v>
      </c>
      <c r="N1599" s="241">
        <v>0.0444444444444444</v>
      </c>
      <c r="O1599" s="252">
        <v>0.0454545454545455</v>
      </c>
    </row>
    <row r="1600" spans="1:15">
      <c r="A1600" s="242" t="s">
        <v>26</v>
      </c>
      <c r="B1600" s="43" t="s">
        <v>6</v>
      </c>
      <c r="C1600" s="15">
        <v>8</v>
      </c>
      <c r="D1600" s="244">
        <v>0</v>
      </c>
      <c r="E1600" s="244">
        <v>1</v>
      </c>
      <c r="F1600" s="244">
        <v>1</v>
      </c>
      <c r="G1600" s="244">
        <v>0</v>
      </c>
      <c r="H1600" s="244">
        <v>1</v>
      </c>
      <c r="I1600" s="244">
        <v>3</v>
      </c>
      <c r="J1600" s="244">
        <v>0</v>
      </c>
      <c r="K1600" s="244">
        <v>0</v>
      </c>
      <c r="L1600" s="244">
        <v>0</v>
      </c>
      <c r="M1600" s="244">
        <v>0</v>
      </c>
      <c r="N1600" s="244">
        <v>0</v>
      </c>
      <c r="O1600" s="254">
        <v>2</v>
      </c>
    </row>
    <row r="1601" ht="14.25" spans="1:15">
      <c r="A1601" s="245" t="s">
        <v>26</v>
      </c>
      <c r="B1601" s="52" t="s">
        <v>64</v>
      </c>
      <c r="C1601" s="19">
        <v>0.5</v>
      </c>
      <c r="D1601" s="250">
        <v>0</v>
      </c>
      <c r="E1601" s="250">
        <v>1</v>
      </c>
      <c r="F1601" s="250">
        <v>1</v>
      </c>
      <c r="G1601" s="250">
        <v>0</v>
      </c>
      <c r="H1601" s="250">
        <v>1</v>
      </c>
      <c r="I1601" s="250">
        <v>3</v>
      </c>
      <c r="J1601" s="250">
        <v>0</v>
      </c>
      <c r="K1601" s="250">
        <v>0</v>
      </c>
      <c r="L1601" s="250">
        <v>0</v>
      </c>
      <c r="M1601" s="250">
        <v>0</v>
      </c>
      <c r="N1601" s="250">
        <v>0</v>
      </c>
      <c r="O1601" s="257">
        <v>2</v>
      </c>
    </row>
    <row r="1602" spans="1:15">
      <c r="A1602" s="240" t="s">
        <v>71</v>
      </c>
      <c r="B1602" s="47" t="s">
        <v>55</v>
      </c>
      <c r="C1602" s="12">
        <v>0.0538573508005822</v>
      </c>
      <c r="D1602" s="241">
        <v>0.0363636363636364</v>
      </c>
      <c r="E1602" s="241">
        <v>0</v>
      </c>
      <c r="F1602" s="241">
        <v>0.0666666666666667</v>
      </c>
      <c r="G1602" s="241">
        <v>0.0416666666666667</v>
      </c>
      <c r="H1602" s="241">
        <v>0.0444444444444444</v>
      </c>
      <c r="I1602" s="241">
        <v>0.0909090909090909</v>
      </c>
      <c r="J1602" s="241">
        <v>0.0247933884297521</v>
      </c>
      <c r="K1602" s="241">
        <v>0.153846153846154</v>
      </c>
      <c r="L1602" s="241">
        <v>0.103448275862069</v>
      </c>
      <c r="M1602" s="241">
        <v>0.0882352941176471</v>
      </c>
      <c r="N1602" s="241">
        <v>0.0121951219512195</v>
      </c>
      <c r="O1602" s="252">
        <v>0.0263157894736842</v>
      </c>
    </row>
    <row r="1603" spans="1:15">
      <c r="A1603" s="242" t="s">
        <v>71</v>
      </c>
      <c r="B1603" s="43" t="s">
        <v>57</v>
      </c>
      <c r="C1603" s="15">
        <v>687</v>
      </c>
      <c r="D1603" s="243">
        <v>55</v>
      </c>
      <c r="E1603" s="243">
        <v>27</v>
      </c>
      <c r="F1603" s="243">
        <v>15</v>
      </c>
      <c r="G1603" s="243">
        <v>24</v>
      </c>
      <c r="H1603" s="243">
        <v>45</v>
      </c>
      <c r="I1603" s="243">
        <v>77</v>
      </c>
      <c r="J1603" s="243">
        <v>121</v>
      </c>
      <c r="K1603" s="243">
        <v>39</v>
      </c>
      <c r="L1603" s="243">
        <v>58</v>
      </c>
      <c r="M1603" s="243">
        <v>68</v>
      </c>
      <c r="N1603" s="243">
        <v>82</v>
      </c>
      <c r="O1603" s="253">
        <v>76</v>
      </c>
    </row>
    <row r="1604" spans="1:15">
      <c r="A1604" s="240" t="s">
        <v>71</v>
      </c>
      <c r="B1604" s="47" t="s">
        <v>59</v>
      </c>
      <c r="C1604" s="15">
        <v>37</v>
      </c>
      <c r="D1604" s="243">
        <v>2</v>
      </c>
      <c r="E1604" s="243">
        <v>0</v>
      </c>
      <c r="F1604" s="243">
        <v>1</v>
      </c>
      <c r="G1604" s="243">
        <v>1</v>
      </c>
      <c r="H1604" s="243">
        <v>2</v>
      </c>
      <c r="I1604" s="243">
        <v>7</v>
      </c>
      <c r="J1604" s="243">
        <v>3</v>
      </c>
      <c r="K1604" s="243">
        <v>6</v>
      </c>
      <c r="L1604" s="243">
        <v>6</v>
      </c>
      <c r="M1604" s="243">
        <v>6</v>
      </c>
      <c r="N1604" s="243">
        <v>1</v>
      </c>
      <c r="O1604" s="253">
        <v>2</v>
      </c>
    </row>
    <row r="1605" spans="1:15">
      <c r="A1605" s="242" t="s">
        <v>71</v>
      </c>
      <c r="B1605" s="43" t="s">
        <v>4</v>
      </c>
      <c r="C1605" s="15">
        <v>53</v>
      </c>
      <c r="D1605" s="244">
        <v>4</v>
      </c>
      <c r="E1605" s="244">
        <v>4</v>
      </c>
      <c r="F1605" s="244">
        <v>3</v>
      </c>
      <c r="G1605" s="244">
        <v>3</v>
      </c>
      <c r="H1605" s="244">
        <v>5</v>
      </c>
      <c r="I1605" s="244">
        <v>7</v>
      </c>
      <c r="J1605" s="244">
        <v>11</v>
      </c>
      <c r="K1605" s="244">
        <v>2</v>
      </c>
      <c r="L1605" s="244">
        <v>1</v>
      </c>
      <c r="M1605" s="244">
        <v>3</v>
      </c>
      <c r="N1605" s="244">
        <v>3</v>
      </c>
      <c r="O1605" s="254">
        <v>7</v>
      </c>
    </row>
    <row r="1606" spans="1:15">
      <c r="A1606" s="240" t="s">
        <v>71</v>
      </c>
      <c r="B1606" s="47" t="s">
        <v>5</v>
      </c>
      <c r="C1606" s="12">
        <v>1.43243243243243</v>
      </c>
      <c r="D1606" s="241">
        <v>2</v>
      </c>
      <c r="E1606" s="241">
        <v>0</v>
      </c>
      <c r="F1606" s="241">
        <v>3</v>
      </c>
      <c r="G1606" s="241">
        <v>3</v>
      </c>
      <c r="H1606" s="241">
        <v>2.5</v>
      </c>
      <c r="I1606" s="241">
        <v>1</v>
      </c>
      <c r="J1606" s="241">
        <v>3.66666666666667</v>
      </c>
      <c r="K1606" s="241">
        <v>0.333333333333333</v>
      </c>
      <c r="L1606" s="241">
        <v>0.166666666666667</v>
      </c>
      <c r="M1606" s="241">
        <v>0.5</v>
      </c>
      <c r="N1606" s="241">
        <v>3</v>
      </c>
      <c r="O1606" s="252">
        <v>3.5</v>
      </c>
    </row>
    <row r="1607" spans="1:15">
      <c r="A1607" s="242" t="s">
        <v>71</v>
      </c>
      <c r="B1607" s="43" t="s">
        <v>6</v>
      </c>
      <c r="C1607" s="15">
        <v>7</v>
      </c>
      <c r="D1607" s="244">
        <v>1</v>
      </c>
      <c r="E1607" s="244">
        <v>0</v>
      </c>
      <c r="F1607" s="244">
        <v>0</v>
      </c>
      <c r="G1607" s="244">
        <v>0</v>
      </c>
      <c r="H1607" s="244">
        <v>0</v>
      </c>
      <c r="I1607" s="244">
        <v>1</v>
      </c>
      <c r="J1607" s="244">
        <v>0</v>
      </c>
      <c r="K1607" s="244">
        <v>0</v>
      </c>
      <c r="L1607" s="244">
        <v>0</v>
      </c>
      <c r="M1607" s="244">
        <v>1</v>
      </c>
      <c r="N1607" s="244">
        <v>0</v>
      </c>
      <c r="O1607" s="254">
        <v>4</v>
      </c>
    </row>
    <row r="1608" ht="14.25" spans="1:15">
      <c r="A1608" s="245" t="s">
        <v>71</v>
      </c>
      <c r="B1608" s="52" t="s">
        <v>64</v>
      </c>
      <c r="C1608" s="19">
        <v>0.132075471698113</v>
      </c>
      <c r="D1608" s="250">
        <v>1</v>
      </c>
      <c r="E1608" s="250">
        <v>0</v>
      </c>
      <c r="F1608" s="250">
        <v>0</v>
      </c>
      <c r="G1608" s="250">
        <v>0</v>
      </c>
      <c r="H1608" s="250">
        <v>0</v>
      </c>
      <c r="I1608" s="250">
        <v>1</v>
      </c>
      <c r="J1608" s="250">
        <v>0</v>
      </c>
      <c r="K1608" s="250">
        <v>0</v>
      </c>
      <c r="L1608" s="250">
        <v>0</v>
      </c>
      <c r="M1608" s="250">
        <v>1</v>
      </c>
      <c r="N1608" s="250">
        <v>0</v>
      </c>
      <c r="O1608" s="257">
        <v>4</v>
      </c>
    </row>
    <row r="1609" spans="1:15">
      <c r="A1609" s="240" t="s">
        <v>72</v>
      </c>
      <c r="B1609" s="47" t="s">
        <v>55</v>
      </c>
      <c r="C1609" s="12">
        <v>0.404669260700389</v>
      </c>
      <c r="D1609" s="241">
        <v>0.45</v>
      </c>
      <c r="E1609" s="241">
        <v>0.405405405405405</v>
      </c>
      <c r="F1609" s="241">
        <v>0.38</v>
      </c>
      <c r="G1609" s="241">
        <v>0.441176470588235</v>
      </c>
      <c r="H1609" s="241">
        <v>0.384615384615385</v>
      </c>
      <c r="I1609" s="241">
        <v>0.372549019607843</v>
      </c>
      <c r="J1609" s="241">
        <v>0.427083333333333</v>
      </c>
      <c r="K1609" s="241">
        <v>0.411764705882353</v>
      </c>
      <c r="L1609" s="241">
        <v>0.361702127659574</v>
      </c>
      <c r="M1609" s="241">
        <v>0.423076923076923</v>
      </c>
      <c r="N1609" s="241">
        <v>0.41304347826087</v>
      </c>
      <c r="O1609" s="252">
        <v>0.3984375</v>
      </c>
    </row>
    <row r="1610" spans="1:15">
      <c r="A1610" s="242" t="s">
        <v>72</v>
      </c>
      <c r="B1610" s="43" t="s">
        <v>57</v>
      </c>
      <c r="C1610" s="15">
        <v>1028</v>
      </c>
      <c r="D1610" s="243">
        <v>80</v>
      </c>
      <c r="E1610" s="243">
        <v>74</v>
      </c>
      <c r="F1610" s="243">
        <v>50</v>
      </c>
      <c r="G1610" s="243">
        <v>34</v>
      </c>
      <c r="H1610" s="243">
        <v>52</v>
      </c>
      <c r="I1610" s="243">
        <v>102</v>
      </c>
      <c r="J1610" s="243">
        <v>96</v>
      </c>
      <c r="K1610" s="243">
        <v>102</v>
      </c>
      <c r="L1610" s="243">
        <v>94</v>
      </c>
      <c r="M1610" s="243">
        <v>78</v>
      </c>
      <c r="N1610" s="243">
        <v>138</v>
      </c>
      <c r="O1610" s="253">
        <v>128</v>
      </c>
    </row>
    <row r="1611" spans="1:15">
      <c r="A1611" s="240" t="s">
        <v>72</v>
      </c>
      <c r="B1611" s="47" t="s">
        <v>59</v>
      </c>
      <c r="C1611" s="15">
        <v>416</v>
      </c>
      <c r="D1611" s="243">
        <v>36</v>
      </c>
      <c r="E1611" s="243">
        <v>30</v>
      </c>
      <c r="F1611" s="243">
        <v>19</v>
      </c>
      <c r="G1611" s="243">
        <v>15</v>
      </c>
      <c r="H1611" s="243">
        <v>20</v>
      </c>
      <c r="I1611" s="243">
        <v>38</v>
      </c>
      <c r="J1611" s="243">
        <v>41</v>
      </c>
      <c r="K1611" s="243">
        <v>42</v>
      </c>
      <c r="L1611" s="243">
        <v>34</v>
      </c>
      <c r="M1611" s="243">
        <v>33</v>
      </c>
      <c r="N1611" s="243">
        <v>57</v>
      </c>
      <c r="O1611" s="253">
        <v>51</v>
      </c>
    </row>
    <row r="1612" spans="1:15">
      <c r="A1612" s="242" t="s">
        <v>72</v>
      </c>
      <c r="B1612" s="43" t="s">
        <v>4</v>
      </c>
      <c r="C1612" s="15">
        <v>11</v>
      </c>
      <c r="D1612" s="244">
        <v>1</v>
      </c>
      <c r="E1612" s="244">
        <v>1</v>
      </c>
      <c r="F1612" s="244">
        <v>1</v>
      </c>
      <c r="G1612" s="244">
        <v>0</v>
      </c>
      <c r="H1612" s="244">
        <v>2</v>
      </c>
      <c r="I1612" s="244">
        <v>1</v>
      </c>
      <c r="J1612" s="244">
        <v>0</v>
      </c>
      <c r="K1612" s="244">
        <v>0</v>
      </c>
      <c r="L1612" s="244">
        <v>0</v>
      </c>
      <c r="M1612" s="244">
        <v>0</v>
      </c>
      <c r="N1612" s="244">
        <v>4</v>
      </c>
      <c r="O1612" s="254">
        <v>1</v>
      </c>
    </row>
    <row r="1613" spans="1:15">
      <c r="A1613" s="240" t="s">
        <v>72</v>
      </c>
      <c r="B1613" s="47" t="s">
        <v>5</v>
      </c>
      <c r="C1613" s="12">
        <v>0.0264423076923077</v>
      </c>
      <c r="D1613" s="241">
        <v>0.0277777777777778</v>
      </c>
      <c r="E1613" s="241">
        <v>0.0333333333333333</v>
      </c>
      <c r="F1613" s="241">
        <v>0.0526315789473684</v>
      </c>
      <c r="G1613" s="241">
        <v>0</v>
      </c>
      <c r="H1613" s="241">
        <v>0.1</v>
      </c>
      <c r="I1613" s="241">
        <v>0.0263157894736842</v>
      </c>
      <c r="J1613" s="241">
        <v>0</v>
      </c>
      <c r="K1613" s="241">
        <v>0</v>
      </c>
      <c r="L1613" s="241">
        <v>0</v>
      </c>
      <c r="M1613" s="241">
        <v>0</v>
      </c>
      <c r="N1613" s="241">
        <v>0.0701754385964912</v>
      </c>
      <c r="O1613" s="252">
        <v>0.0196078431372549</v>
      </c>
    </row>
    <row r="1614" spans="1:15">
      <c r="A1614" s="242" t="s">
        <v>72</v>
      </c>
      <c r="B1614" s="43" t="s">
        <v>6</v>
      </c>
      <c r="C1614" s="15">
        <v>5</v>
      </c>
      <c r="D1614" s="244">
        <v>1</v>
      </c>
      <c r="E1614" s="244">
        <v>0</v>
      </c>
      <c r="F1614" s="244">
        <v>1</v>
      </c>
      <c r="G1614" s="244">
        <v>0</v>
      </c>
      <c r="H1614" s="244">
        <v>2</v>
      </c>
      <c r="I1614" s="244">
        <v>0</v>
      </c>
      <c r="J1614" s="244">
        <v>0</v>
      </c>
      <c r="K1614" s="244">
        <v>0</v>
      </c>
      <c r="L1614" s="244">
        <v>0</v>
      </c>
      <c r="M1614" s="244">
        <v>0</v>
      </c>
      <c r="N1614" s="244">
        <v>0</v>
      </c>
      <c r="O1614" s="254">
        <v>1</v>
      </c>
    </row>
    <row r="1615" ht="14.25" spans="1:15">
      <c r="A1615" s="245" t="s">
        <v>72</v>
      </c>
      <c r="B1615" s="52" t="s">
        <v>64</v>
      </c>
      <c r="C1615" s="19">
        <v>0.454545454545455</v>
      </c>
      <c r="D1615" s="250">
        <v>1</v>
      </c>
      <c r="E1615" s="250">
        <v>0</v>
      </c>
      <c r="F1615" s="250">
        <v>1</v>
      </c>
      <c r="G1615" s="250">
        <v>0</v>
      </c>
      <c r="H1615" s="250">
        <v>2</v>
      </c>
      <c r="I1615" s="250">
        <v>0</v>
      </c>
      <c r="J1615" s="250">
        <v>0</v>
      </c>
      <c r="K1615" s="250">
        <v>0</v>
      </c>
      <c r="L1615" s="250">
        <v>0</v>
      </c>
      <c r="M1615" s="250">
        <v>0</v>
      </c>
      <c r="N1615" s="250">
        <v>0</v>
      </c>
      <c r="O1615" s="257">
        <v>1</v>
      </c>
    </row>
    <row r="1616" ht="14.25" spans="1:15">
      <c r="A1616" s="237">
        <v>45044</v>
      </c>
      <c r="B1616" s="237"/>
      <c r="C1616" s="237"/>
      <c r="D1616" s="237"/>
      <c r="E1616" s="237"/>
      <c r="F1616" s="237"/>
      <c r="G1616" s="237"/>
      <c r="H1616" s="237"/>
      <c r="I1616" s="237"/>
      <c r="J1616" s="237"/>
      <c r="K1616" s="237"/>
      <c r="L1616" s="237"/>
      <c r="M1616" s="237"/>
      <c r="N1616" s="237"/>
      <c r="O1616" s="237"/>
    </row>
    <row r="1617" spans="1:15">
      <c r="A1617" s="56" t="s">
        <v>1</v>
      </c>
      <c r="B1617" s="238"/>
      <c r="C1617" s="8" t="s">
        <v>42</v>
      </c>
      <c r="D1617" s="239" t="s">
        <v>43</v>
      </c>
      <c r="E1617" s="239" t="s">
        <v>44</v>
      </c>
      <c r="F1617" s="239" t="s">
        <v>45</v>
      </c>
      <c r="G1617" s="239" t="s">
        <v>46</v>
      </c>
      <c r="H1617" s="239" t="s">
        <v>47</v>
      </c>
      <c r="I1617" s="239" t="s">
        <v>48</v>
      </c>
      <c r="J1617" s="239" t="s">
        <v>49</v>
      </c>
      <c r="K1617" s="239" t="s">
        <v>50</v>
      </c>
      <c r="L1617" s="239" t="s">
        <v>51</v>
      </c>
      <c r="M1617" s="239" t="s">
        <v>52</v>
      </c>
      <c r="N1617" s="239" t="s">
        <v>53</v>
      </c>
      <c r="O1617" s="251" t="s">
        <v>54</v>
      </c>
    </row>
    <row r="1618" spans="1:15">
      <c r="A1618" s="240" t="s">
        <v>22</v>
      </c>
      <c r="B1618" s="47" t="s">
        <v>55</v>
      </c>
      <c r="C1618" s="12">
        <v>0.302021403091558</v>
      </c>
      <c r="D1618" s="241">
        <v>0.185585585585586</v>
      </c>
      <c r="E1618" s="241">
        <v>0.125786163522013</v>
      </c>
      <c r="F1618" s="241">
        <v>0.140468227424749</v>
      </c>
      <c r="G1618" s="241">
        <v>0.219917012448133</v>
      </c>
      <c r="H1618" s="241">
        <v>0.434456928838951</v>
      </c>
      <c r="I1618" s="241">
        <v>0.318965517241379</v>
      </c>
      <c r="J1618" s="241">
        <v>0.367768595041322</v>
      </c>
      <c r="K1618" s="241">
        <v>0.416666666666667</v>
      </c>
      <c r="L1618" s="241">
        <v>0.47979797979798</v>
      </c>
      <c r="M1618" s="241">
        <v>0.513661202185792</v>
      </c>
      <c r="N1618" s="241">
        <v>0.458128078817734</v>
      </c>
      <c r="O1618" s="252">
        <v>0.427312775330396</v>
      </c>
    </row>
    <row r="1619" spans="1:15">
      <c r="A1619" s="242" t="s">
        <v>22</v>
      </c>
      <c r="B1619" s="43" t="s">
        <v>57</v>
      </c>
      <c r="C1619" s="15">
        <v>3364</v>
      </c>
      <c r="D1619" s="243">
        <v>555</v>
      </c>
      <c r="E1619" s="243">
        <v>477</v>
      </c>
      <c r="F1619" s="243">
        <v>299</v>
      </c>
      <c r="G1619" s="243">
        <v>241</v>
      </c>
      <c r="H1619" s="243">
        <v>267</v>
      </c>
      <c r="I1619" s="243">
        <v>232</v>
      </c>
      <c r="J1619" s="243">
        <v>242</v>
      </c>
      <c r="K1619" s="243">
        <v>240</v>
      </c>
      <c r="L1619" s="243">
        <v>198</v>
      </c>
      <c r="M1619" s="243">
        <v>183</v>
      </c>
      <c r="N1619" s="243">
        <v>203</v>
      </c>
      <c r="O1619" s="253">
        <v>227</v>
      </c>
    </row>
    <row r="1620" spans="1:15">
      <c r="A1620" s="240" t="s">
        <v>22</v>
      </c>
      <c r="B1620" s="47" t="s">
        <v>59</v>
      </c>
      <c r="C1620" s="15">
        <v>1016</v>
      </c>
      <c r="D1620" s="243">
        <v>103</v>
      </c>
      <c r="E1620" s="243">
        <v>60</v>
      </c>
      <c r="F1620" s="243">
        <v>42</v>
      </c>
      <c r="G1620" s="243">
        <v>53</v>
      </c>
      <c r="H1620" s="243">
        <v>116</v>
      </c>
      <c r="I1620" s="243">
        <v>74</v>
      </c>
      <c r="J1620" s="243">
        <v>89</v>
      </c>
      <c r="K1620" s="243">
        <v>100</v>
      </c>
      <c r="L1620" s="243">
        <v>95</v>
      </c>
      <c r="M1620" s="243">
        <v>94</v>
      </c>
      <c r="N1620" s="243">
        <v>93</v>
      </c>
      <c r="O1620" s="253">
        <v>97</v>
      </c>
    </row>
    <row r="1621" spans="1:15">
      <c r="A1621" s="242" t="s">
        <v>22</v>
      </c>
      <c r="B1621" s="43" t="s">
        <v>4</v>
      </c>
      <c r="C1621" s="15">
        <v>61</v>
      </c>
      <c r="D1621" s="244">
        <v>6</v>
      </c>
      <c r="E1621" s="244">
        <v>5</v>
      </c>
      <c r="F1621" s="244">
        <v>4</v>
      </c>
      <c r="G1621" s="244">
        <v>3</v>
      </c>
      <c r="H1621" s="244">
        <v>6</v>
      </c>
      <c r="I1621" s="244">
        <v>3</v>
      </c>
      <c r="J1621" s="244">
        <v>5</v>
      </c>
      <c r="K1621" s="244">
        <v>4</v>
      </c>
      <c r="L1621" s="244">
        <v>6</v>
      </c>
      <c r="M1621" s="244">
        <v>3</v>
      </c>
      <c r="N1621" s="244">
        <v>7</v>
      </c>
      <c r="O1621" s="254">
        <v>9</v>
      </c>
    </row>
    <row r="1622" spans="1:15">
      <c r="A1622" s="240" t="s">
        <v>22</v>
      </c>
      <c r="B1622" s="47" t="s">
        <v>5</v>
      </c>
      <c r="C1622" s="12">
        <v>0.0600393700787402</v>
      </c>
      <c r="D1622" s="241">
        <v>0.058252427184466</v>
      </c>
      <c r="E1622" s="241">
        <v>0.0833333333333333</v>
      </c>
      <c r="F1622" s="241">
        <v>0.0952380952380952</v>
      </c>
      <c r="G1622" s="241">
        <v>0.0566037735849057</v>
      </c>
      <c r="H1622" s="241">
        <v>0.0517241379310345</v>
      </c>
      <c r="I1622" s="241">
        <v>0.0405405405405405</v>
      </c>
      <c r="J1622" s="241">
        <v>0.0561797752808989</v>
      </c>
      <c r="K1622" s="241">
        <v>0.04</v>
      </c>
      <c r="L1622" s="241">
        <v>0.0631578947368421</v>
      </c>
      <c r="M1622" s="241">
        <v>0.0319148936170213</v>
      </c>
      <c r="N1622" s="241">
        <v>0.0752688172043011</v>
      </c>
      <c r="O1622" s="252">
        <v>0.0927835051546392</v>
      </c>
    </row>
    <row r="1623" spans="1:15">
      <c r="A1623" s="242" t="s">
        <v>22</v>
      </c>
      <c r="B1623" s="43" t="s">
        <v>6</v>
      </c>
      <c r="C1623" s="15">
        <v>26</v>
      </c>
      <c r="D1623" s="244">
        <v>2</v>
      </c>
      <c r="E1623" s="244">
        <v>3</v>
      </c>
      <c r="F1623" s="244">
        <v>2</v>
      </c>
      <c r="G1623" s="244">
        <v>3</v>
      </c>
      <c r="H1623" s="244">
        <v>4</v>
      </c>
      <c r="I1623" s="244">
        <v>3</v>
      </c>
      <c r="J1623" s="244">
        <v>0</v>
      </c>
      <c r="K1623" s="244">
        <v>0</v>
      </c>
      <c r="L1623" s="244">
        <v>2</v>
      </c>
      <c r="M1623" s="244">
        <v>1</v>
      </c>
      <c r="N1623" s="244">
        <v>1</v>
      </c>
      <c r="O1623" s="254">
        <v>5</v>
      </c>
    </row>
    <row r="1624" ht="14.25" spans="1:15">
      <c r="A1624" s="245" t="s">
        <v>22</v>
      </c>
      <c r="B1624" s="52" t="s">
        <v>64</v>
      </c>
      <c r="C1624" s="19">
        <v>0.426229508196721</v>
      </c>
      <c r="D1624" s="246">
        <v>0.333333333333333</v>
      </c>
      <c r="E1624" s="246">
        <v>0.6</v>
      </c>
      <c r="F1624" s="246">
        <v>0.5</v>
      </c>
      <c r="G1624" s="246">
        <v>1</v>
      </c>
      <c r="H1624" s="246">
        <v>0.666666666666667</v>
      </c>
      <c r="I1624" s="246">
        <v>1</v>
      </c>
      <c r="J1624" s="246">
        <v>0</v>
      </c>
      <c r="K1624" s="246">
        <v>0</v>
      </c>
      <c r="L1624" s="246">
        <v>0.333333333333333</v>
      </c>
      <c r="M1624" s="246">
        <v>0.333333333333333</v>
      </c>
      <c r="N1624" s="246">
        <v>0.142857142857143</v>
      </c>
      <c r="O1624" s="255">
        <v>0.555555555555556</v>
      </c>
    </row>
    <row r="1625" spans="1:15">
      <c r="A1625" s="247" t="s">
        <v>66</v>
      </c>
      <c r="B1625" s="248" t="s">
        <v>55</v>
      </c>
      <c r="C1625" s="12">
        <v>0.133079847908745</v>
      </c>
      <c r="D1625" s="249">
        <v>0.0707547169811321</v>
      </c>
      <c r="E1625" s="249">
        <v>0.0443458980044346</v>
      </c>
      <c r="F1625" s="249">
        <v>0.0305810397553517</v>
      </c>
      <c r="G1625" s="249">
        <v>0.104477611940299</v>
      </c>
      <c r="H1625" s="249">
        <v>0.126315789473684</v>
      </c>
      <c r="I1625" s="249">
        <v>0.262068965517241</v>
      </c>
      <c r="J1625" s="249">
        <v>0.201388888888889</v>
      </c>
      <c r="K1625" s="249">
        <v>0.285714285714286</v>
      </c>
      <c r="L1625" s="249">
        <v>0.269565217391304</v>
      </c>
      <c r="M1625" s="249">
        <v>0.255172413793103</v>
      </c>
      <c r="N1625" s="249">
        <v>0.157142857142857</v>
      </c>
      <c r="O1625" s="256">
        <v>0.224598930481283</v>
      </c>
    </row>
    <row r="1626" spans="1:15">
      <c r="A1626" s="242" t="s">
        <v>66</v>
      </c>
      <c r="B1626" s="43" t="s">
        <v>57</v>
      </c>
      <c r="C1626" s="15">
        <v>2630</v>
      </c>
      <c r="D1626" s="243">
        <v>424</v>
      </c>
      <c r="E1626" s="243">
        <v>451</v>
      </c>
      <c r="F1626" s="243">
        <v>327</v>
      </c>
      <c r="G1626" s="243">
        <v>201</v>
      </c>
      <c r="H1626" s="243">
        <v>190</v>
      </c>
      <c r="I1626" s="243">
        <v>145</v>
      </c>
      <c r="J1626" s="243">
        <v>144</v>
      </c>
      <c r="K1626" s="243">
        <v>161</v>
      </c>
      <c r="L1626" s="243">
        <v>115</v>
      </c>
      <c r="M1626" s="243">
        <v>145</v>
      </c>
      <c r="N1626" s="243">
        <v>140</v>
      </c>
      <c r="O1626" s="253">
        <v>187</v>
      </c>
    </row>
    <row r="1627" spans="1:15">
      <c r="A1627" s="240" t="s">
        <v>66</v>
      </c>
      <c r="B1627" s="47" t="s">
        <v>59</v>
      </c>
      <c r="C1627" s="15">
        <v>350</v>
      </c>
      <c r="D1627" s="243">
        <v>30</v>
      </c>
      <c r="E1627" s="243">
        <v>20</v>
      </c>
      <c r="F1627" s="243">
        <v>10</v>
      </c>
      <c r="G1627" s="243">
        <v>21</v>
      </c>
      <c r="H1627" s="243">
        <v>24</v>
      </c>
      <c r="I1627" s="243">
        <v>38</v>
      </c>
      <c r="J1627" s="243">
        <v>29</v>
      </c>
      <c r="K1627" s="243">
        <v>46</v>
      </c>
      <c r="L1627" s="243">
        <v>31</v>
      </c>
      <c r="M1627" s="243">
        <v>37</v>
      </c>
      <c r="N1627" s="243">
        <v>22</v>
      </c>
      <c r="O1627" s="253">
        <v>42</v>
      </c>
    </row>
    <row r="1628" spans="1:15">
      <c r="A1628" s="242" t="s">
        <v>66</v>
      </c>
      <c r="B1628" s="43" t="s">
        <v>4</v>
      </c>
      <c r="C1628" s="15">
        <v>19</v>
      </c>
      <c r="D1628" s="244">
        <v>2</v>
      </c>
      <c r="E1628" s="244">
        <v>1</v>
      </c>
      <c r="F1628" s="244">
        <v>1</v>
      </c>
      <c r="G1628" s="244">
        <v>1</v>
      </c>
      <c r="H1628" s="244">
        <v>2</v>
      </c>
      <c r="I1628" s="244">
        <v>1</v>
      </c>
      <c r="J1628" s="244">
        <v>0</v>
      </c>
      <c r="K1628" s="244">
        <v>0</v>
      </c>
      <c r="L1628" s="244">
        <v>3</v>
      </c>
      <c r="M1628" s="244">
        <v>4</v>
      </c>
      <c r="N1628" s="244">
        <v>1</v>
      </c>
      <c r="O1628" s="254">
        <v>3</v>
      </c>
    </row>
    <row r="1629" spans="1:15">
      <c r="A1629" s="240" t="s">
        <v>66</v>
      </c>
      <c r="B1629" s="47" t="s">
        <v>5</v>
      </c>
      <c r="C1629" s="12">
        <v>0.0542857142857143</v>
      </c>
      <c r="D1629" s="241">
        <v>0.0666666666666667</v>
      </c>
      <c r="E1629" s="241">
        <v>0.05</v>
      </c>
      <c r="F1629" s="241">
        <v>0.1</v>
      </c>
      <c r="G1629" s="241">
        <v>0.0476190476190476</v>
      </c>
      <c r="H1629" s="241">
        <v>0.0833333333333333</v>
      </c>
      <c r="I1629" s="241">
        <v>0.0263157894736842</v>
      </c>
      <c r="J1629" s="241">
        <v>0</v>
      </c>
      <c r="K1629" s="241">
        <v>0</v>
      </c>
      <c r="L1629" s="241">
        <v>0.0967741935483871</v>
      </c>
      <c r="M1629" s="241">
        <v>0.108108108108108</v>
      </c>
      <c r="N1629" s="241">
        <v>0.0454545454545455</v>
      </c>
      <c r="O1629" s="252">
        <v>0.0714285714285714</v>
      </c>
    </row>
    <row r="1630" spans="1:15">
      <c r="A1630" s="242" t="s">
        <v>66</v>
      </c>
      <c r="B1630" s="43" t="s">
        <v>6</v>
      </c>
      <c r="C1630" s="15">
        <v>10</v>
      </c>
      <c r="D1630" s="244">
        <v>2</v>
      </c>
      <c r="E1630" s="244">
        <v>2</v>
      </c>
      <c r="F1630" s="244">
        <v>0</v>
      </c>
      <c r="G1630" s="244">
        <v>1</v>
      </c>
      <c r="H1630" s="244">
        <v>0</v>
      </c>
      <c r="I1630" s="244">
        <v>1</v>
      </c>
      <c r="J1630" s="244">
        <v>0</v>
      </c>
      <c r="K1630" s="244">
        <v>0</v>
      </c>
      <c r="L1630" s="244">
        <v>0</v>
      </c>
      <c r="M1630" s="244">
        <v>3</v>
      </c>
      <c r="N1630" s="244">
        <v>1</v>
      </c>
      <c r="O1630" s="254">
        <v>0</v>
      </c>
    </row>
    <row r="1631" ht="14.25" spans="1:15">
      <c r="A1631" s="245" t="s">
        <v>66</v>
      </c>
      <c r="B1631" s="52" t="s">
        <v>64</v>
      </c>
      <c r="C1631" s="19">
        <v>0.526315789473684</v>
      </c>
      <c r="D1631" s="246">
        <v>1</v>
      </c>
      <c r="E1631" s="246">
        <v>2</v>
      </c>
      <c r="F1631" s="246">
        <v>0</v>
      </c>
      <c r="G1631" s="246">
        <v>1</v>
      </c>
      <c r="H1631" s="246">
        <v>0</v>
      </c>
      <c r="I1631" s="246">
        <v>1</v>
      </c>
      <c r="J1631" s="246">
        <v>0</v>
      </c>
      <c r="K1631" s="246">
        <v>0</v>
      </c>
      <c r="L1631" s="246">
        <v>0</v>
      </c>
      <c r="M1631" s="246">
        <v>0.75</v>
      </c>
      <c r="N1631" s="246">
        <v>1</v>
      </c>
      <c r="O1631" s="255">
        <v>0</v>
      </c>
    </row>
    <row r="1632" spans="1:15">
      <c r="A1632" s="240" t="s">
        <v>67</v>
      </c>
      <c r="B1632" s="47" t="s">
        <v>55</v>
      </c>
      <c r="C1632" s="12">
        <v>0.603383458646617</v>
      </c>
      <c r="D1632" s="241">
        <v>0.833333333333333</v>
      </c>
      <c r="E1632" s="241">
        <v>0.5</v>
      </c>
      <c r="F1632" s="241">
        <v>0.777777777777778</v>
      </c>
      <c r="G1632" s="241">
        <v>0.666666666666667</v>
      </c>
      <c r="H1632" s="241">
        <v>0.8</v>
      </c>
      <c r="I1632" s="241">
        <v>0.68</v>
      </c>
      <c r="J1632" s="241">
        <v>0.354838709677419</v>
      </c>
      <c r="K1632" s="241">
        <v>0.764705882352941</v>
      </c>
      <c r="L1632" s="241">
        <v>0.708333333333333</v>
      </c>
      <c r="M1632" s="241">
        <v>1.21428571428571</v>
      </c>
      <c r="N1632" s="241">
        <v>0.403225806451613</v>
      </c>
      <c r="O1632" s="252">
        <v>0.282051282051282</v>
      </c>
    </row>
    <row r="1633" spans="1:15">
      <c r="A1633" s="242" t="s">
        <v>67</v>
      </c>
      <c r="B1633" s="43" t="s">
        <v>57</v>
      </c>
      <c r="C1633" s="15">
        <v>532</v>
      </c>
      <c r="D1633" s="243">
        <v>48</v>
      </c>
      <c r="E1633" s="243">
        <v>36</v>
      </c>
      <c r="F1633" s="243">
        <v>18</v>
      </c>
      <c r="G1633" s="243">
        <v>18</v>
      </c>
      <c r="H1633" s="243">
        <v>50</v>
      </c>
      <c r="I1633" s="243">
        <v>50</v>
      </c>
      <c r="J1633" s="243">
        <v>62</v>
      </c>
      <c r="K1633" s="243">
        <v>34</v>
      </c>
      <c r="L1633" s="243">
        <v>48</v>
      </c>
      <c r="M1633" s="243">
        <v>28</v>
      </c>
      <c r="N1633" s="243">
        <v>62</v>
      </c>
      <c r="O1633" s="253">
        <v>78</v>
      </c>
    </row>
    <row r="1634" spans="1:15">
      <c r="A1634" s="240" t="s">
        <v>67</v>
      </c>
      <c r="B1634" s="47" t="s">
        <v>59</v>
      </c>
      <c r="C1634" s="15">
        <v>321</v>
      </c>
      <c r="D1634" s="243">
        <v>40</v>
      </c>
      <c r="E1634" s="243">
        <v>18</v>
      </c>
      <c r="F1634" s="243">
        <v>14</v>
      </c>
      <c r="G1634" s="243">
        <v>12</v>
      </c>
      <c r="H1634" s="243">
        <v>40</v>
      </c>
      <c r="I1634" s="243">
        <v>34</v>
      </c>
      <c r="J1634" s="243">
        <v>22</v>
      </c>
      <c r="K1634" s="243">
        <v>26</v>
      </c>
      <c r="L1634" s="243">
        <v>34</v>
      </c>
      <c r="M1634" s="243">
        <v>34</v>
      </c>
      <c r="N1634" s="243">
        <v>25</v>
      </c>
      <c r="O1634" s="253">
        <v>22</v>
      </c>
    </row>
    <row r="1635" spans="1:15">
      <c r="A1635" s="242" t="s">
        <v>67</v>
      </c>
      <c r="B1635" s="43" t="s">
        <v>4</v>
      </c>
      <c r="C1635" s="15">
        <v>14</v>
      </c>
      <c r="D1635" s="244">
        <v>0</v>
      </c>
      <c r="E1635" s="244">
        <v>2</v>
      </c>
      <c r="F1635" s="244">
        <v>1</v>
      </c>
      <c r="G1635" s="244">
        <v>0</v>
      </c>
      <c r="H1635" s="244">
        <v>0</v>
      </c>
      <c r="I1635" s="244">
        <v>3</v>
      </c>
      <c r="J1635" s="244">
        <v>2</v>
      </c>
      <c r="K1635" s="244">
        <v>1</v>
      </c>
      <c r="L1635" s="244">
        <v>1</v>
      </c>
      <c r="M1635" s="244">
        <v>0</v>
      </c>
      <c r="N1635" s="244">
        <v>2</v>
      </c>
      <c r="O1635" s="254">
        <v>2</v>
      </c>
    </row>
    <row r="1636" spans="1:15">
      <c r="A1636" s="240" t="s">
        <v>67</v>
      </c>
      <c r="B1636" s="47" t="s">
        <v>5</v>
      </c>
      <c r="C1636" s="12">
        <v>0.043613707165109</v>
      </c>
      <c r="D1636" s="241">
        <v>0</v>
      </c>
      <c r="E1636" s="241">
        <v>0.111111111111111</v>
      </c>
      <c r="F1636" s="241">
        <v>0.0714285714285714</v>
      </c>
      <c r="G1636" s="241">
        <v>0</v>
      </c>
      <c r="H1636" s="241">
        <v>0</v>
      </c>
      <c r="I1636" s="241">
        <v>0.0882352941176471</v>
      </c>
      <c r="J1636" s="241">
        <v>0.0909090909090909</v>
      </c>
      <c r="K1636" s="241">
        <v>0.0384615384615385</v>
      </c>
      <c r="L1636" s="241">
        <v>0.0294117647058824</v>
      </c>
      <c r="M1636" s="241">
        <v>0</v>
      </c>
      <c r="N1636" s="241">
        <v>0.08</v>
      </c>
      <c r="O1636" s="252">
        <v>0.0909090909090909</v>
      </c>
    </row>
    <row r="1637" spans="1:15">
      <c r="A1637" s="242" t="s">
        <v>67</v>
      </c>
      <c r="B1637" s="43" t="s">
        <v>6</v>
      </c>
      <c r="C1637" s="15">
        <v>5</v>
      </c>
      <c r="D1637" s="244">
        <v>0</v>
      </c>
      <c r="E1637" s="244">
        <v>2</v>
      </c>
      <c r="F1637" s="244">
        <v>0</v>
      </c>
      <c r="G1637" s="244">
        <v>0</v>
      </c>
      <c r="H1637" s="244">
        <v>0</v>
      </c>
      <c r="I1637" s="244">
        <v>0</v>
      </c>
      <c r="J1637" s="244">
        <v>1</v>
      </c>
      <c r="K1637" s="244">
        <v>0</v>
      </c>
      <c r="L1637" s="244">
        <v>0</v>
      </c>
      <c r="M1637" s="244">
        <v>1</v>
      </c>
      <c r="N1637" s="244">
        <v>0</v>
      </c>
      <c r="O1637" s="254">
        <v>1</v>
      </c>
    </row>
    <row r="1638" ht="14.25" spans="1:15">
      <c r="A1638" s="245" t="s">
        <v>67</v>
      </c>
      <c r="B1638" s="52" t="s">
        <v>64</v>
      </c>
      <c r="C1638" s="19">
        <v>0.357142857142857</v>
      </c>
      <c r="D1638" s="246">
        <v>0</v>
      </c>
      <c r="E1638" s="246">
        <v>1</v>
      </c>
      <c r="F1638" s="246">
        <v>0</v>
      </c>
      <c r="G1638" s="246">
        <v>0</v>
      </c>
      <c r="H1638" s="246">
        <v>0</v>
      </c>
      <c r="I1638" s="246">
        <v>0</v>
      </c>
      <c r="J1638" s="246">
        <v>0.5</v>
      </c>
      <c r="K1638" s="246">
        <v>0</v>
      </c>
      <c r="L1638" s="246">
        <v>0</v>
      </c>
      <c r="M1638" s="246">
        <v>0</v>
      </c>
      <c r="N1638" s="246">
        <v>0</v>
      </c>
      <c r="O1638" s="255">
        <v>0.5</v>
      </c>
    </row>
    <row r="1639" spans="1:15">
      <c r="A1639" s="240" t="s">
        <v>68</v>
      </c>
      <c r="B1639" s="47" t="s">
        <v>55</v>
      </c>
      <c r="C1639" s="12">
        <v>0.0518867924528302</v>
      </c>
      <c r="D1639" s="241">
        <v>0.0746388443017656</v>
      </c>
      <c r="E1639" s="241">
        <v>0.0661157024793388</v>
      </c>
      <c r="F1639" s="241">
        <v>0.0649651972157773</v>
      </c>
      <c r="G1639" s="241">
        <v>0.0416666666666667</v>
      </c>
      <c r="H1639" s="241">
        <v>0.0529225908372828</v>
      </c>
      <c r="I1639" s="241">
        <v>0.0523520485584218</v>
      </c>
      <c r="J1639" s="241">
        <v>0.037037037037037</v>
      </c>
      <c r="K1639" s="241">
        <v>0.0487804878048781</v>
      </c>
      <c r="L1639" s="241">
        <v>0.0470198675496689</v>
      </c>
      <c r="M1639" s="241">
        <v>0.0522133938706016</v>
      </c>
      <c r="N1639" s="241">
        <v>0.053860819828408</v>
      </c>
      <c r="O1639" s="252">
        <v>0.0449620801733478</v>
      </c>
    </row>
    <row r="1640" spans="1:15">
      <c r="A1640" s="242" t="s">
        <v>68</v>
      </c>
      <c r="B1640" s="43" t="s">
        <v>57</v>
      </c>
      <c r="C1640" s="15">
        <v>16536</v>
      </c>
      <c r="D1640" s="243">
        <v>1246</v>
      </c>
      <c r="E1640" s="243">
        <v>726</v>
      </c>
      <c r="F1640" s="243">
        <v>862</v>
      </c>
      <c r="G1640" s="243">
        <v>1104</v>
      </c>
      <c r="H1640" s="243">
        <v>1266</v>
      </c>
      <c r="I1640" s="243">
        <v>1318</v>
      </c>
      <c r="J1640" s="243">
        <v>1404</v>
      </c>
      <c r="K1640" s="243">
        <v>1394</v>
      </c>
      <c r="L1640" s="243">
        <v>1510</v>
      </c>
      <c r="M1640" s="243">
        <v>1762</v>
      </c>
      <c r="N1640" s="243">
        <v>2098</v>
      </c>
      <c r="O1640" s="253">
        <v>1846</v>
      </c>
    </row>
    <row r="1641" spans="1:15">
      <c r="A1641" s="240" t="s">
        <v>68</v>
      </c>
      <c r="B1641" s="47" t="s">
        <v>59</v>
      </c>
      <c r="C1641" s="15">
        <v>858</v>
      </c>
      <c r="D1641" s="243">
        <v>93</v>
      </c>
      <c r="E1641" s="243">
        <v>48</v>
      </c>
      <c r="F1641" s="243">
        <v>56</v>
      </c>
      <c r="G1641" s="243">
        <v>46</v>
      </c>
      <c r="H1641" s="243">
        <v>67</v>
      </c>
      <c r="I1641" s="243">
        <v>69</v>
      </c>
      <c r="J1641" s="243">
        <v>52</v>
      </c>
      <c r="K1641" s="243">
        <v>68</v>
      </c>
      <c r="L1641" s="243">
        <v>71</v>
      </c>
      <c r="M1641" s="243">
        <v>92</v>
      </c>
      <c r="N1641" s="243">
        <v>113</v>
      </c>
      <c r="O1641" s="253">
        <v>83</v>
      </c>
    </row>
    <row r="1642" spans="1:15">
      <c r="A1642" s="242" t="s">
        <v>68</v>
      </c>
      <c r="B1642" s="43" t="s">
        <v>4</v>
      </c>
      <c r="C1642" s="15">
        <v>79</v>
      </c>
      <c r="D1642" s="244">
        <v>8</v>
      </c>
      <c r="E1642" s="244">
        <v>5</v>
      </c>
      <c r="F1642" s="244">
        <v>7</v>
      </c>
      <c r="G1642" s="244">
        <v>2</v>
      </c>
      <c r="H1642" s="244">
        <v>6</v>
      </c>
      <c r="I1642" s="244">
        <v>4</v>
      </c>
      <c r="J1642" s="244">
        <v>4</v>
      </c>
      <c r="K1642" s="244">
        <v>4</v>
      </c>
      <c r="L1642" s="244">
        <v>7</v>
      </c>
      <c r="M1642" s="244">
        <v>7</v>
      </c>
      <c r="N1642" s="244">
        <v>12</v>
      </c>
      <c r="O1642" s="254">
        <v>13</v>
      </c>
    </row>
    <row r="1643" spans="1:15">
      <c r="A1643" s="240" t="s">
        <v>68</v>
      </c>
      <c r="B1643" s="47" t="s">
        <v>5</v>
      </c>
      <c r="C1643" s="12">
        <v>0.0920745920745921</v>
      </c>
      <c r="D1643" s="241">
        <v>0.0860215053763441</v>
      </c>
      <c r="E1643" s="241">
        <v>0.104166666666667</v>
      </c>
      <c r="F1643" s="241">
        <v>0.125</v>
      </c>
      <c r="G1643" s="241">
        <v>0.0434782608695652</v>
      </c>
      <c r="H1643" s="241">
        <v>0.0895522388059701</v>
      </c>
      <c r="I1643" s="241">
        <v>0.0579710144927536</v>
      </c>
      <c r="J1643" s="241">
        <v>0.0769230769230769</v>
      </c>
      <c r="K1643" s="241">
        <v>0.0588235294117647</v>
      </c>
      <c r="L1643" s="241">
        <v>0.0985915492957746</v>
      </c>
      <c r="M1643" s="241">
        <v>0.0760869565217391</v>
      </c>
      <c r="N1643" s="241">
        <v>0.106194690265487</v>
      </c>
      <c r="O1643" s="252">
        <v>0.156626506024096</v>
      </c>
    </row>
    <row r="1644" spans="1:15">
      <c r="A1644" s="242" t="s">
        <v>68</v>
      </c>
      <c r="B1644" s="43" t="s">
        <v>6</v>
      </c>
      <c r="C1644" s="15">
        <v>33</v>
      </c>
      <c r="D1644" s="244">
        <v>3</v>
      </c>
      <c r="E1644" s="244">
        <v>2</v>
      </c>
      <c r="F1644" s="244">
        <v>3</v>
      </c>
      <c r="G1644" s="244">
        <v>0</v>
      </c>
      <c r="H1644" s="244">
        <v>3</v>
      </c>
      <c r="I1644" s="244">
        <v>3</v>
      </c>
      <c r="J1644" s="244">
        <v>1</v>
      </c>
      <c r="K1644" s="244">
        <v>3</v>
      </c>
      <c r="L1644" s="244">
        <v>2</v>
      </c>
      <c r="M1644" s="244">
        <v>4</v>
      </c>
      <c r="N1644" s="244">
        <v>3</v>
      </c>
      <c r="O1644" s="254">
        <v>6</v>
      </c>
    </row>
    <row r="1645" ht="14.25" spans="1:15">
      <c r="A1645" s="245" t="s">
        <v>68</v>
      </c>
      <c r="B1645" s="52" t="s">
        <v>64</v>
      </c>
      <c r="C1645" s="19">
        <v>0.417721518987342</v>
      </c>
      <c r="D1645" s="246">
        <v>0.375</v>
      </c>
      <c r="E1645" s="246">
        <v>0.4</v>
      </c>
      <c r="F1645" s="246">
        <v>0.428571428571429</v>
      </c>
      <c r="G1645" s="246">
        <v>0</v>
      </c>
      <c r="H1645" s="246">
        <v>0.5</v>
      </c>
      <c r="I1645" s="246">
        <v>0.75</v>
      </c>
      <c r="J1645" s="246">
        <v>0.25</v>
      </c>
      <c r="K1645" s="246">
        <v>0.75</v>
      </c>
      <c r="L1645" s="246">
        <v>0.285714285714286</v>
      </c>
      <c r="M1645" s="246">
        <v>0.571428571428571</v>
      </c>
      <c r="N1645" s="246">
        <v>0.25</v>
      </c>
      <c r="O1645" s="255">
        <v>0.461538461538462</v>
      </c>
    </row>
    <row r="1646" spans="1:15">
      <c r="A1646" s="240" t="s">
        <v>69</v>
      </c>
      <c r="B1646" s="47" t="s">
        <v>55</v>
      </c>
      <c r="C1646" s="12">
        <v>0.979626485568761</v>
      </c>
      <c r="D1646" s="241">
        <v>1.55263157894737</v>
      </c>
      <c r="E1646" s="241">
        <v>1.02941176470588</v>
      </c>
      <c r="F1646" s="241">
        <v>0.833333333333333</v>
      </c>
      <c r="G1646" s="241">
        <v>1.09375</v>
      </c>
      <c r="H1646" s="241">
        <v>1.04761904761905</v>
      </c>
      <c r="I1646" s="241">
        <v>1.05769230769231</v>
      </c>
      <c r="J1646" s="241">
        <v>1.03846153846154</v>
      </c>
      <c r="K1646" s="241">
        <v>0.894736842105263</v>
      </c>
      <c r="L1646" s="241">
        <v>0.689655172413793</v>
      </c>
      <c r="M1646" s="241">
        <v>1.07692307692308</v>
      </c>
      <c r="N1646" s="241">
        <v>0.853333333333333</v>
      </c>
      <c r="O1646" s="252">
        <v>0.8125</v>
      </c>
    </row>
    <row r="1647" spans="1:15">
      <c r="A1647" s="242" t="s">
        <v>69</v>
      </c>
      <c r="B1647" s="43" t="s">
        <v>57</v>
      </c>
      <c r="C1647" s="15">
        <v>589</v>
      </c>
      <c r="D1647" s="243">
        <v>38</v>
      </c>
      <c r="E1647" s="243">
        <v>34</v>
      </c>
      <c r="F1647" s="243">
        <v>12</v>
      </c>
      <c r="G1647" s="243">
        <v>32</v>
      </c>
      <c r="H1647" s="243">
        <v>63</v>
      </c>
      <c r="I1647" s="243">
        <v>52</v>
      </c>
      <c r="J1647" s="243">
        <v>52</v>
      </c>
      <c r="K1647" s="243">
        <v>57</v>
      </c>
      <c r="L1647" s="243">
        <v>58</v>
      </c>
      <c r="M1647" s="243">
        <v>52</v>
      </c>
      <c r="N1647" s="243">
        <v>75</v>
      </c>
      <c r="O1647" s="253">
        <v>64</v>
      </c>
    </row>
    <row r="1648" spans="1:15">
      <c r="A1648" s="240" t="s">
        <v>69</v>
      </c>
      <c r="B1648" s="47" t="s">
        <v>59</v>
      </c>
      <c r="C1648" s="15">
        <v>577</v>
      </c>
      <c r="D1648" s="243">
        <v>59</v>
      </c>
      <c r="E1648" s="243">
        <v>35</v>
      </c>
      <c r="F1648" s="243">
        <v>10</v>
      </c>
      <c r="G1648" s="243">
        <v>35</v>
      </c>
      <c r="H1648" s="243">
        <v>66</v>
      </c>
      <c r="I1648" s="243">
        <v>55</v>
      </c>
      <c r="J1648" s="243">
        <v>54</v>
      </c>
      <c r="K1648" s="243">
        <v>51</v>
      </c>
      <c r="L1648" s="243">
        <v>40</v>
      </c>
      <c r="M1648" s="243">
        <v>56</v>
      </c>
      <c r="N1648" s="243">
        <v>64</v>
      </c>
      <c r="O1648" s="253">
        <v>52</v>
      </c>
    </row>
    <row r="1649" spans="1:15">
      <c r="A1649" s="242" t="s">
        <v>69</v>
      </c>
      <c r="B1649" s="43" t="s">
        <v>4</v>
      </c>
      <c r="C1649" s="15">
        <v>27</v>
      </c>
      <c r="D1649" s="244">
        <v>1</v>
      </c>
      <c r="E1649" s="244">
        <v>2</v>
      </c>
      <c r="F1649" s="244">
        <v>0</v>
      </c>
      <c r="G1649" s="244">
        <v>0</v>
      </c>
      <c r="H1649" s="244">
        <v>3</v>
      </c>
      <c r="I1649" s="244">
        <v>3</v>
      </c>
      <c r="J1649" s="244">
        <v>2</v>
      </c>
      <c r="K1649" s="244">
        <v>4</v>
      </c>
      <c r="L1649" s="244">
        <v>1</v>
      </c>
      <c r="M1649" s="244">
        <v>3</v>
      </c>
      <c r="N1649" s="244">
        <v>8</v>
      </c>
      <c r="O1649" s="254">
        <v>0</v>
      </c>
    </row>
    <row r="1650" spans="1:15">
      <c r="A1650" s="240" t="s">
        <v>69</v>
      </c>
      <c r="B1650" s="47" t="s">
        <v>5</v>
      </c>
      <c r="C1650" s="12">
        <v>0.0467937608318891</v>
      </c>
      <c r="D1650" s="241">
        <v>0.0169491525423729</v>
      </c>
      <c r="E1650" s="241">
        <v>0.0571428571428571</v>
      </c>
      <c r="F1650" s="241">
        <v>0</v>
      </c>
      <c r="G1650" s="241">
        <v>0</v>
      </c>
      <c r="H1650" s="241">
        <v>0.0454545454545455</v>
      </c>
      <c r="I1650" s="241">
        <v>0.0545454545454545</v>
      </c>
      <c r="J1650" s="241">
        <v>0.037037037037037</v>
      </c>
      <c r="K1650" s="241">
        <v>0.0784313725490196</v>
      </c>
      <c r="L1650" s="241">
        <v>0.025</v>
      </c>
      <c r="M1650" s="241">
        <v>0.0535714285714286</v>
      </c>
      <c r="N1650" s="241">
        <v>0.125</v>
      </c>
      <c r="O1650" s="252">
        <v>0</v>
      </c>
    </row>
    <row r="1651" spans="1:15">
      <c r="A1651" s="242" t="s">
        <v>69</v>
      </c>
      <c r="B1651" s="43" t="s">
        <v>6</v>
      </c>
      <c r="C1651" s="15">
        <v>6</v>
      </c>
      <c r="D1651" s="244">
        <v>0</v>
      </c>
      <c r="E1651" s="244">
        <v>0</v>
      </c>
      <c r="F1651" s="244">
        <v>0</v>
      </c>
      <c r="G1651" s="244">
        <v>1</v>
      </c>
      <c r="H1651" s="244">
        <v>0</v>
      </c>
      <c r="I1651" s="244">
        <v>0</v>
      </c>
      <c r="J1651" s="244">
        <v>1</v>
      </c>
      <c r="K1651" s="244">
        <v>0</v>
      </c>
      <c r="L1651" s="244">
        <v>2</v>
      </c>
      <c r="M1651" s="244">
        <v>1</v>
      </c>
      <c r="N1651" s="244">
        <v>1</v>
      </c>
      <c r="O1651" s="254">
        <v>0</v>
      </c>
    </row>
    <row r="1652" ht="14.25" spans="1:15">
      <c r="A1652" s="245" t="s">
        <v>69</v>
      </c>
      <c r="B1652" s="52" t="s">
        <v>64</v>
      </c>
      <c r="C1652" s="19">
        <v>0.222222222222222</v>
      </c>
      <c r="D1652" s="246">
        <v>0</v>
      </c>
      <c r="E1652" s="246">
        <v>0</v>
      </c>
      <c r="F1652" s="246">
        <v>0</v>
      </c>
      <c r="G1652" s="246">
        <v>0</v>
      </c>
      <c r="H1652" s="246">
        <v>0</v>
      </c>
      <c r="I1652" s="246">
        <v>0</v>
      </c>
      <c r="J1652" s="246">
        <v>0.5</v>
      </c>
      <c r="K1652" s="246">
        <v>0</v>
      </c>
      <c r="L1652" s="246">
        <v>2</v>
      </c>
      <c r="M1652" s="246">
        <v>0.333333333333333</v>
      </c>
      <c r="N1652" s="246">
        <v>0.125</v>
      </c>
      <c r="O1652" s="255">
        <v>0</v>
      </c>
    </row>
    <row r="1653" spans="1:15">
      <c r="A1653" s="240" t="s">
        <v>70</v>
      </c>
      <c r="B1653" s="47" t="s">
        <v>55</v>
      </c>
      <c r="C1653" s="12">
        <v>0.645484949832776</v>
      </c>
      <c r="D1653" s="241">
        <v>1</v>
      </c>
      <c r="E1653" s="241">
        <v>2.66666666666667</v>
      </c>
      <c r="F1653" s="241">
        <v>0.710526315789474</v>
      </c>
      <c r="G1653" s="241">
        <v>1.28571428571429</v>
      </c>
      <c r="H1653" s="241">
        <v>1.25</v>
      </c>
      <c r="I1653" s="241">
        <v>0.5</v>
      </c>
      <c r="J1653" s="241">
        <v>0.75</v>
      </c>
      <c r="K1653" s="241">
        <v>0.35</v>
      </c>
      <c r="L1653" s="241">
        <v>0.476190476190476</v>
      </c>
      <c r="M1653" s="241">
        <v>0.6</v>
      </c>
      <c r="N1653" s="241">
        <v>0.482758620689655</v>
      </c>
      <c r="O1653" s="252">
        <v>0.651515151515151</v>
      </c>
    </row>
    <row r="1654" spans="1:15">
      <c r="A1654" s="242" t="s">
        <v>70</v>
      </c>
      <c r="B1654" s="43" t="s">
        <v>57</v>
      </c>
      <c r="C1654" s="15">
        <v>299</v>
      </c>
      <c r="D1654" s="243">
        <v>10</v>
      </c>
      <c r="E1654" s="243">
        <v>3</v>
      </c>
      <c r="F1654" s="243">
        <v>38</v>
      </c>
      <c r="G1654" s="243">
        <v>7</v>
      </c>
      <c r="H1654" s="243">
        <v>8</v>
      </c>
      <c r="I1654" s="243">
        <v>16</v>
      </c>
      <c r="J1654" s="243">
        <v>12</v>
      </c>
      <c r="K1654" s="243">
        <v>20</v>
      </c>
      <c r="L1654" s="243">
        <v>21</v>
      </c>
      <c r="M1654" s="243">
        <v>40</v>
      </c>
      <c r="N1654" s="243">
        <v>58</v>
      </c>
      <c r="O1654" s="253">
        <v>66</v>
      </c>
    </row>
    <row r="1655" spans="1:15">
      <c r="A1655" s="240" t="s">
        <v>70</v>
      </c>
      <c r="B1655" s="47" t="s">
        <v>59</v>
      </c>
      <c r="C1655" s="15">
        <v>193</v>
      </c>
      <c r="D1655" s="243">
        <v>10</v>
      </c>
      <c r="E1655" s="243">
        <v>8</v>
      </c>
      <c r="F1655" s="243">
        <v>27</v>
      </c>
      <c r="G1655" s="243">
        <v>9</v>
      </c>
      <c r="H1655" s="243">
        <v>10</v>
      </c>
      <c r="I1655" s="243">
        <v>8</v>
      </c>
      <c r="J1655" s="243">
        <v>9</v>
      </c>
      <c r="K1655" s="243">
        <v>7</v>
      </c>
      <c r="L1655" s="243">
        <v>10</v>
      </c>
      <c r="M1655" s="243">
        <v>24</v>
      </c>
      <c r="N1655" s="243">
        <v>28</v>
      </c>
      <c r="O1655" s="253">
        <v>43</v>
      </c>
    </row>
    <row r="1656" spans="1:15">
      <c r="A1656" s="242" t="s">
        <v>70</v>
      </c>
      <c r="B1656" s="43" t="s">
        <v>4</v>
      </c>
      <c r="C1656" s="15">
        <v>1</v>
      </c>
      <c r="D1656" s="244">
        <v>0</v>
      </c>
      <c r="E1656" s="244">
        <v>0</v>
      </c>
      <c r="F1656" s="244">
        <v>0</v>
      </c>
      <c r="G1656" s="244">
        <v>0</v>
      </c>
      <c r="H1656" s="244">
        <v>0</v>
      </c>
      <c r="I1656" s="244">
        <v>0</v>
      </c>
      <c r="J1656" s="244">
        <v>0</v>
      </c>
      <c r="K1656" s="244">
        <v>0</v>
      </c>
      <c r="L1656" s="244">
        <v>1</v>
      </c>
      <c r="M1656" s="244">
        <v>0</v>
      </c>
      <c r="N1656" s="244">
        <v>0</v>
      </c>
      <c r="O1656" s="254">
        <v>0</v>
      </c>
    </row>
    <row r="1657" spans="1:15">
      <c r="A1657" s="240" t="s">
        <v>70</v>
      </c>
      <c r="B1657" s="47" t="s">
        <v>5</v>
      </c>
      <c r="C1657" s="12">
        <v>0.00518134715025907</v>
      </c>
      <c r="D1657" s="241">
        <v>0</v>
      </c>
      <c r="E1657" s="241">
        <v>0</v>
      </c>
      <c r="F1657" s="241">
        <v>0</v>
      </c>
      <c r="G1657" s="241">
        <v>0</v>
      </c>
      <c r="H1657" s="241">
        <v>0</v>
      </c>
      <c r="I1657" s="241">
        <v>0</v>
      </c>
      <c r="J1657" s="241">
        <v>0</v>
      </c>
      <c r="K1657" s="241">
        <v>0</v>
      </c>
      <c r="L1657" s="241">
        <v>0.1</v>
      </c>
      <c r="M1657" s="241">
        <v>0</v>
      </c>
      <c r="N1657" s="241">
        <v>0</v>
      </c>
      <c r="O1657" s="252">
        <v>0</v>
      </c>
    </row>
    <row r="1658" spans="1:15">
      <c r="A1658" s="242" t="s">
        <v>70</v>
      </c>
      <c r="B1658" s="43" t="s">
        <v>6</v>
      </c>
      <c r="C1658" s="15">
        <v>1</v>
      </c>
      <c r="D1658" s="244">
        <v>0</v>
      </c>
      <c r="E1658" s="244">
        <v>0</v>
      </c>
      <c r="F1658" s="244">
        <v>0</v>
      </c>
      <c r="G1658" s="244">
        <v>0</v>
      </c>
      <c r="H1658" s="244">
        <v>0</v>
      </c>
      <c r="I1658" s="244">
        <v>0</v>
      </c>
      <c r="J1658" s="244">
        <v>0</v>
      </c>
      <c r="K1658" s="244">
        <v>0</v>
      </c>
      <c r="L1658" s="244">
        <v>1</v>
      </c>
      <c r="M1658" s="244">
        <v>0</v>
      </c>
      <c r="N1658" s="244">
        <v>0</v>
      </c>
      <c r="O1658" s="254">
        <v>0</v>
      </c>
    </row>
    <row r="1659" ht="14.25" spans="1:15">
      <c r="A1659" s="245" t="s">
        <v>70</v>
      </c>
      <c r="B1659" s="52" t="s">
        <v>64</v>
      </c>
      <c r="C1659" s="19">
        <v>1</v>
      </c>
      <c r="D1659" s="246">
        <v>0</v>
      </c>
      <c r="E1659" s="246">
        <v>0</v>
      </c>
      <c r="F1659" s="246">
        <v>0</v>
      </c>
      <c r="G1659" s="246">
        <v>0</v>
      </c>
      <c r="H1659" s="246">
        <v>0</v>
      </c>
      <c r="I1659" s="246">
        <v>0</v>
      </c>
      <c r="J1659" s="246">
        <v>0</v>
      </c>
      <c r="K1659" s="246">
        <v>0</v>
      </c>
      <c r="L1659" s="246">
        <v>1</v>
      </c>
      <c r="M1659" s="246">
        <v>0</v>
      </c>
      <c r="N1659" s="246">
        <v>0</v>
      </c>
      <c r="O1659" s="255">
        <v>0</v>
      </c>
    </row>
    <row r="1660" spans="1:15">
      <c r="A1660" s="240" t="s">
        <v>26</v>
      </c>
      <c r="B1660" s="47" t="s">
        <v>55</v>
      </c>
      <c r="C1660" s="12">
        <v>0.470959595959596</v>
      </c>
      <c r="D1660" s="241">
        <v>0.530973451327434</v>
      </c>
      <c r="E1660" s="241">
        <v>0.445121951219512</v>
      </c>
      <c r="F1660" s="241">
        <v>0.375</v>
      </c>
      <c r="G1660" s="241">
        <v>0.468354430379747</v>
      </c>
      <c r="H1660" s="241">
        <v>0.52</v>
      </c>
      <c r="I1660" s="241">
        <v>0.517543859649123</v>
      </c>
      <c r="J1660" s="241">
        <v>0.507042253521127</v>
      </c>
      <c r="K1660" s="241">
        <v>0.480769230769231</v>
      </c>
      <c r="L1660" s="241">
        <v>0.427777777777778</v>
      </c>
      <c r="M1660" s="241">
        <v>0.439024390243902</v>
      </c>
      <c r="N1660" s="241">
        <v>0.433774834437086</v>
      </c>
      <c r="O1660" s="252">
        <v>0.475</v>
      </c>
    </row>
    <row r="1661" spans="1:15">
      <c r="A1661" s="242" t="s">
        <v>26</v>
      </c>
      <c r="B1661" s="43" t="s">
        <v>57</v>
      </c>
      <c r="C1661" s="15">
        <v>2376</v>
      </c>
      <c r="D1661" s="243">
        <v>226</v>
      </c>
      <c r="E1661" s="243">
        <v>164</v>
      </c>
      <c r="F1661" s="243">
        <v>136</v>
      </c>
      <c r="G1661" s="243">
        <v>158</v>
      </c>
      <c r="H1661" s="243">
        <v>200</v>
      </c>
      <c r="I1661" s="243">
        <v>228</v>
      </c>
      <c r="J1661" s="243">
        <v>142</v>
      </c>
      <c r="K1661" s="243">
        <v>156</v>
      </c>
      <c r="L1661" s="243">
        <v>180</v>
      </c>
      <c r="M1661" s="243">
        <v>164</v>
      </c>
      <c r="N1661" s="243">
        <v>302</v>
      </c>
      <c r="O1661" s="253">
        <v>320</v>
      </c>
    </row>
    <row r="1662" spans="1:15">
      <c r="A1662" s="240" t="s">
        <v>26</v>
      </c>
      <c r="B1662" s="47" t="s">
        <v>59</v>
      </c>
      <c r="C1662" s="15">
        <v>1119</v>
      </c>
      <c r="D1662" s="243">
        <v>120</v>
      </c>
      <c r="E1662" s="243">
        <v>73</v>
      </c>
      <c r="F1662" s="243">
        <v>51</v>
      </c>
      <c r="G1662" s="243">
        <v>74</v>
      </c>
      <c r="H1662" s="243">
        <v>104</v>
      </c>
      <c r="I1662" s="243">
        <v>118</v>
      </c>
      <c r="J1662" s="243">
        <v>72</v>
      </c>
      <c r="K1662" s="243">
        <v>75</v>
      </c>
      <c r="L1662" s="243">
        <v>77</v>
      </c>
      <c r="M1662" s="243">
        <v>72</v>
      </c>
      <c r="N1662" s="243">
        <v>131</v>
      </c>
      <c r="O1662" s="253">
        <v>152</v>
      </c>
    </row>
    <row r="1663" spans="1:15">
      <c r="A1663" s="242" t="s">
        <v>26</v>
      </c>
      <c r="B1663" s="43" t="s">
        <v>4</v>
      </c>
      <c r="C1663" s="15">
        <v>18</v>
      </c>
      <c r="D1663" s="244">
        <v>2</v>
      </c>
      <c r="E1663" s="244">
        <v>1</v>
      </c>
      <c r="F1663" s="244">
        <v>1</v>
      </c>
      <c r="G1663" s="244">
        <v>0</v>
      </c>
      <c r="H1663" s="244">
        <v>0</v>
      </c>
      <c r="I1663" s="244">
        <v>1</v>
      </c>
      <c r="J1663" s="244">
        <v>2</v>
      </c>
      <c r="K1663" s="244">
        <v>3</v>
      </c>
      <c r="L1663" s="244">
        <v>0</v>
      </c>
      <c r="M1663" s="244">
        <v>2</v>
      </c>
      <c r="N1663" s="244">
        <v>3</v>
      </c>
      <c r="O1663" s="254">
        <v>3</v>
      </c>
    </row>
    <row r="1664" spans="1:15">
      <c r="A1664" s="240" t="s">
        <v>26</v>
      </c>
      <c r="B1664" s="47" t="s">
        <v>5</v>
      </c>
      <c r="C1664" s="12">
        <v>0.0160857908847185</v>
      </c>
      <c r="D1664" s="241">
        <v>0.0166666666666667</v>
      </c>
      <c r="E1664" s="241">
        <v>0.0136986301369863</v>
      </c>
      <c r="F1664" s="241">
        <v>0.0196078431372549</v>
      </c>
      <c r="G1664" s="241">
        <v>0</v>
      </c>
      <c r="H1664" s="241">
        <v>0</v>
      </c>
      <c r="I1664" s="241">
        <v>0.00847457627118644</v>
      </c>
      <c r="J1664" s="241">
        <v>0.0277777777777778</v>
      </c>
      <c r="K1664" s="241">
        <v>0.04</v>
      </c>
      <c r="L1664" s="241">
        <v>0</v>
      </c>
      <c r="M1664" s="241">
        <v>0.0277777777777778</v>
      </c>
      <c r="N1664" s="241">
        <v>0.0229007633587786</v>
      </c>
      <c r="O1664" s="252">
        <v>0.0197368421052632</v>
      </c>
    </row>
    <row r="1665" spans="1:15">
      <c r="A1665" s="242" t="s">
        <v>26</v>
      </c>
      <c r="B1665" s="43" t="s">
        <v>6</v>
      </c>
      <c r="C1665" s="15">
        <v>6</v>
      </c>
      <c r="D1665" s="244">
        <v>1</v>
      </c>
      <c r="E1665" s="244">
        <v>0</v>
      </c>
      <c r="F1665" s="244">
        <v>0</v>
      </c>
      <c r="G1665" s="244">
        <v>0</v>
      </c>
      <c r="H1665" s="244">
        <v>0</v>
      </c>
      <c r="I1665" s="244">
        <v>0</v>
      </c>
      <c r="J1665" s="244">
        <v>1</v>
      </c>
      <c r="K1665" s="244">
        <v>1</v>
      </c>
      <c r="L1665" s="244">
        <v>0</v>
      </c>
      <c r="M1665" s="244">
        <v>1</v>
      </c>
      <c r="N1665" s="244">
        <v>1</v>
      </c>
      <c r="O1665" s="254">
        <v>1</v>
      </c>
    </row>
    <row r="1666" ht="14.25" spans="1:15">
      <c r="A1666" s="245" t="s">
        <v>26</v>
      </c>
      <c r="B1666" s="52" t="s">
        <v>64</v>
      </c>
      <c r="C1666" s="19">
        <v>0.333333333333333</v>
      </c>
      <c r="D1666" s="250">
        <v>1</v>
      </c>
      <c r="E1666" s="250">
        <v>0</v>
      </c>
      <c r="F1666" s="250">
        <v>0</v>
      </c>
      <c r="G1666" s="250">
        <v>0</v>
      </c>
      <c r="H1666" s="250">
        <v>0</v>
      </c>
      <c r="I1666" s="250">
        <v>0</v>
      </c>
      <c r="J1666" s="250">
        <v>1</v>
      </c>
      <c r="K1666" s="250">
        <v>1</v>
      </c>
      <c r="L1666" s="250">
        <v>0</v>
      </c>
      <c r="M1666" s="250">
        <v>1</v>
      </c>
      <c r="N1666" s="250">
        <v>1</v>
      </c>
      <c r="O1666" s="257">
        <v>1</v>
      </c>
    </row>
    <row r="1667" spans="1:15">
      <c r="A1667" s="240" t="s">
        <v>71</v>
      </c>
      <c r="B1667" s="47" t="s">
        <v>55</v>
      </c>
      <c r="C1667" s="12">
        <v>0.0368421052631579</v>
      </c>
      <c r="D1667" s="241">
        <v>0.0208333333333333</v>
      </c>
      <c r="E1667" s="241">
        <v>0</v>
      </c>
      <c r="F1667" s="241">
        <v>0.0666666666666667</v>
      </c>
      <c r="G1667" s="241">
        <v>0.105263157894737</v>
      </c>
      <c r="H1667" s="241">
        <v>0.0638297872340425</v>
      </c>
      <c r="I1667" s="241">
        <v>0.0185185185185185</v>
      </c>
      <c r="J1667" s="241">
        <v>0.0465116279069767</v>
      </c>
      <c r="K1667" s="241">
        <v>0.0175438596491228</v>
      </c>
      <c r="L1667" s="241">
        <v>0.0181818181818182</v>
      </c>
      <c r="M1667" s="241">
        <v>0.0714285714285714</v>
      </c>
      <c r="N1667" s="241">
        <v>0.0307692307692308</v>
      </c>
      <c r="O1667" s="252">
        <v>0.0348837209302326</v>
      </c>
    </row>
    <row r="1668" spans="1:15">
      <c r="A1668" s="242" t="s">
        <v>71</v>
      </c>
      <c r="B1668" s="43" t="s">
        <v>57</v>
      </c>
      <c r="C1668" s="15">
        <v>570</v>
      </c>
      <c r="D1668" s="243">
        <v>48</v>
      </c>
      <c r="E1668" s="243">
        <v>25</v>
      </c>
      <c r="F1668" s="243">
        <v>15</v>
      </c>
      <c r="G1668" s="243">
        <v>19</v>
      </c>
      <c r="H1668" s="243">
        <v>47</v>
      </c>
      <c r="I1668" s="243">
        <v>54</v>
      </c>
      <c r="J1668" s="243">
        <v>43</v>
      </c>
      <c r="K1668" s="243">
        <v>57</v>
      </c>
      <c r="L1668" s="243">
        <v>55</v>
      </c>
      <c r="M1668" s="243">
        <v>56</v>
      </c>
      <c r="N1668" s="243">
        <v>65</v>
      </c>
      <c r="O1668" s="253">
        <v>86</v>
      </c>
    </row>
    <row r="1669" spans="1:15">
      <c r="A1669" s="240" t="s">
        <v>71</v>
      </c>
      <c r="B1669" s="47" t="s">
        <v>59</v>
      </c>
      <c r="C1669" s="15">
        <v>21</v>
      </c>
      <c r="D1669" s="243">
        <v>1</v>
      </c>
      <c r="E1669" s="243">
        <v>0</v>
      </c>
      <c r="F1669" s="243">
        <v>1</v>
      </c>
      <c r="G1669" s="243">
        <v>2</v>
      </c>
      <c r="H1669" s="243">
        <v>3</v>
      </c>
      <c r="I1669" s="243">
        <v>1</v>
      </c>
      <c r="J1669" s="243">
        <v>2</v>
      </c>
      <c r="K1669" s="243">
        <v>1</v>
      </c>
      <c r="L1669" s="243">
        <v>1</v>
      </c>
      <c r="M1669" s="243">
        <v>4</v>
      </c>
      <c r="N1669" s="243">
        <v>2</v>
      </c>
      <c r="O1669" s="253">
        <v>3</v>
      </c>
    </row>
    <row r="1670" spans="1:15">
      <c r="A1670" s="242" t="s">
        <v>71</v>
      </c>
      <c r="B1670" s="43" t="s">
        <v>4</v>
      </c>
      <c r="C1670" s="15">
        <v>39</v>
      </c>
      <c r="D1670" s="244">
        <v>2</v>
      </c>
      <c r="E1670" s="244">
        <v>2</v>
      </c>
      <c r="F1670" s="244">
        <v>1</v>
      </c>
      <c r="G1670" s="244">
        <v>4</v>
      </c>
      <c r="H1670" s="244">
        <v>1</v>
      </c>
      <c r="I1670" s="244">
        <v>3</v>
      </c>
      <c r="J1670" s="244">
        <v>4</v>
      </c>
      <c r="K1670" s="244">
        <v>3</v>
      </c>
      <c r="L1670" s="244">
        <v>2</v>
      </c>
      <c r="M1670" s="244">
        <v>5</v>
      </c>
      <c r="N1670" s="244">
        <v>4</v>
      </c>
      <c r="O1670" s="254">
        <v>8</v>
      </c>
    </row>
    <row r="1671" spans="1:15">
      <c r="A1671" s="240" t="s">
        <v>71</v>
      </c>
      <c r="B1671" s="47" t="s">
        <v>5</v>
      </c>
      <c r="C1671" s="12">
        <v>1.85714285714286</v>
      </c>
      <c r="D1671" s="241">
        <v>2</v>
      </c>
      <c r="E1671" s="241">
        <v>0</v>
      </c>
      <c r="F1671" s="241">
        <v>1</v>
      </c>
      <c r="G1671" s="241">
        <v>2</v>
      </c>
      <c r="H1671" s="241">
        <v>0.333333333333333</v>
      </c>
      <c r="I1671" s="241">
        <v>3</v>
      </c>
      <c r="J1671" s="241">
        <v>2</v>
      </c>
      <c r="K1671" s="241">
        <v>3</v>
      </c>
      <c r="L1671" s="241">
        <v>2</v>
      </c>
      <c r="M1671" s="241">
        <v>1.25</v>
      </c>
      <c r="N1671" s="241">
        <v>2</v>
      </c>
      <c r="O1671" s="252">
        <v>2.66666666666667</v>
      </c>
    </row>
    <row r="1672" spans="1:15">
      <c r="A1672" s="242" t="s">
        <v>71</v>
      </c>
      <c r="B1672" s="43" t="s">
        <v>6</v>
      </c>
      <c r="C1672" s="15">
        <v>4</v>
      </c>
      <c r="D1672" s="244">
        <v>1</v>
      </c>
      <c r="E1672" s="244">
        <v>1</v>
      </c>
      <c r="F1672" s="244">
        <v>0</v>
      </c>
      <c r="G1672" s="244">
        <v>0</v>
      </c>
      <c r="H1672" s="244">
        <v>0</v>
      </c>
      <c r="I1672" s="244">
        <v>0</v>
      </c>
      <c r="J1672" s="244">
        <v>0</v>
      </c>
      <c r="K1672" s="244">
        <v>0</v>
      </c>
      <c r="L1672" s="244">
        <v>0</v>
      </c>
      <c r="M1672" s="244">
        <v>2</v>
      </c>
      <c r="N1672" s="244">
        <v>0</v>
      </c>
      <c r="O1672" s="254">
        <v>0</v>
      </c>
    </row>
    <row r="1673" ht="14.25" spans="1:15">
      <c r="A1673" s="245" t="s">
        <v>71</v>
      </c>
      <c r="B1673" s="52" t="s">
        <v>64</v>
      </c>
      <c r="C1673" s="19">
        <v>0.102564102564103</v>
      </c>
      <c r="D1673" s="250">
        <v>1</v>
      </c>
      <c r="E1673" s="250">
        <v>1</v>
      </c>
      <c r="F1673" s="250">
        <v>0</v>
      </c>
      <c r="G1673" s="250">
        <v>0</v>
      </c>
      <c r="H1673" s="250">
        <v>0</v>
      </c>
      <c r="I1673" s="250">
        <v>0</v>
      </c>
      <c r="J1673" s="250">
        <v>0</v>
      </c>
      <c r="K1673" s="250">
        <v>0</v>
      </c>
      <c r="L1673" s="250">
        <v>0</v>
      </c>
      <c r="M1673" s="250">
        <v>2</v>
      </c>
      <c r="N1673" s="250">
        <v>0</v>
      </c>
      <c r="O1673" s="257">
        <v>0</v>
      </c>
    </row>
    <row r="1674" spans="1:15">
      <c r="A1674" s="240" t="s">
        <v>72</v>
      </c>
      <c r="B1674" s="47" t="s">
        <v>55</v>
      </c>
      <c r="C1674" s="12">
        <v>0.390328151986183</v>
      </c>
      <c r="D1674" s="241">
        <v>0.425</v>
      </c>
      <c r="E1674" s="241">
        <v>0.395833333333333</v>
      </c>
      <c r="F1674" s="241">
        <v>0.340909090909091</v>
      </c>
      <c r="G1674" s="241">
        <v>0.5</v>
      </c>
      <c r="H1674" s="241">
        <v>0.45</v>
      </c>
      <c r="I1674" s="241">
        <v>0.39344262295082</v>
      </c>
      <c r="J1674" s="241">
        <v>0.367924528301887</v>
      </c>
      <c r="K1674" s="241">
        <v>0.354166666666667</v>
      </c>
      <c r="L1674" s="241">
        <v>0.365671641791045</v>
      </c>
      <c r="M1674" s="241">
        <v>0.389830508474576</v>
      </c>
      <c r="N1674" s="241">
        <v>0.367924528301887</v>
      </c>
      <c r="O1674" s="252">
        <v>0.396739130434783</v>
      </c>
    </row>
    <row r="1675" spans="1:15">
      <c r="A1675" s="242" t="s">
        <v>72</v>
      </c>
      <c r="B1675" s="43" t="s">
        <v>57</v>
      </c>
      <c r="C1675" s="15">
        <v>1158</v>
      </c>
      <c r="D1675" s="243">
        <v>80</v>
      </c>
      <c r="E1675" s="243">
        <v>48</v>
      </c>
      <c r="F1675" s="243">
        <v>44</v>
      </c>
      <c r="G1675" s="243">
        <v>40</v>
      </c>
      <c r="H1675" s="243">
        <v>80</v>
      </c>
      <c r="I1675" s="243">
        <v>122</v>
      </c>
      <c r="J1675" s="243">
        <v>106</v>
      </c>
      <c r="K1675" s="243">
        <v>96</v>
      </c>
      <c r="L1675" s="243">
        <v>134</v>
      </c>
      <c r="M1675" s="243">
        <v>118</v>
      </c>
      <c r="N1675" s="243">
        <v>106</v>
      </c>
      <c r="O1675" s="253">
        <v>184</v>
      </c>
    </row>
    <row r="1676" spans="1:15">
      <c r="A1676" s="240" t="s">
        <v>72</v>
      </c>
      <c r="B1676" s="47" t="s">
        <v>59</v>
      </c>
      <c r="C1676" s="15">
        <v>452</v>
      </c>
      <c r="D1676" s="243">
        <v>34</v>
      </c>
      <c r="E1676" s="243">
        <v>19</v>
      </c>
      <c r="F1676" s="243">
        <v>15</v>
      </c>
      <c r="G1676" s="243">
        <v>20</v>
      </c>
      <c r="H1676" s="243">
        <v>36</v>
      </c>
      <c r="I1676" s="243">
        <v>48</v>
      </c>
      <c r="J1676" s="243">
        <v>39</v>
      </c>
      <c r="K1676" s="243">
        <v>34</v>
      </c>
      <c r="L1676" s="243">
        <v>49</v>
      </c>
      <c r="M1676" s="243">
        <v>46</v>
      </c>
      <c r="N1676" s="243">
        <v>39</v>
      </c>
      <c r="O1676" s="253">
        <v>73</v>
      </c>
    </row>
    <row r="1677" spans="1:15">
      <c r="A1677" s="242" t="s">
        <v>72</v>
      </c>
      <c r="B1677" s="43" t="s">
        <v>4</v>
      </c>
      <c r="C1677" s="15">
        <v>9</v>
      </c>
      <c r="D1677" s="244">
        <v>2</v>
      </c>
      <c r="E1677" s="244">
        <v>1</v>
      </c>
      <c r="F1677" s="244">
        <v>0</v>
      </c>
      <c r="G1677" s="244">
        <v>0</v>
      </c>
      <c r="H1677" s="244">
        <v>1</v>
      </c>
      <c r="I1677" s="244">
        <v>1</v>
      </c>
      <c r="J1677" s="244">
        <v>0</v>
      </c>
      <c r="K1677" s="244">
        <v>1</v>
      </c>
      <c r="L1677" s="244">
        <v>0</v>
      </c>
      <c r="M1677" s="244">
        <v>1</v>
      </c>
      <c r="N1677" s="244">
        <v>1</v>
      </c>
      <c r="O1677" s="254">
        <v>1</v>
      </c>
    </row>
    <row r="1678" spans="1:15">
      <c r="A1678" s="240" t="s">
        <v>72</v>
      </c>
      <c r="B1678" s="47" t="s">
        <v>5</v>
      </c>
      <c r="C1678" s="12">
        <v>0.0199115044247788</v>
      </c>
      <c r="D1678" s="241">
        <v>0.0588235294117647</v>
      </c>
      <c r="E1678" s="241">
        <v>0.0526315789473684</v>
      </c>
      <c r="F1678" s="241">
        <v>0</v>
      </c>
      <c r="G1678" s="241">
        <v>0</v>
      </c>
      <c r="H1678" s="241">
        <v>0.0277777777777778</v>
      </c>
      <c r="I1678" s="241">
        <v>0.0208333333333333</v>
      </c>
      <c r="J1678" s="241">
        <v>0</v>
      </c>
      <c r="K1678" s="241">
        <v>0.0294117647058824</v>
      </c>
      <c r="L1678" s="241">
        <v>0</v>
      </c>
      <c r="M1678" s="241">
        <v>0.0217391304347826</v>
      </c>
      <c r="N1678" s="241">
        <v>0.0256410256410256</v>
      </c>
      <c r="O1678" s="252">
        <v>0.0136986301369863</v>
      </c>
    </row>
    <row r="1679" spans="1:15">
      <c r="A1679" s="242" t="s">
        <v>72</v>
      </c>
      <c r="B1679" s="43" t="s">
        <v>6</v>
      </c>
      <c r="C1679" s="15">
        <v>0</v>
      </c>
      <c r="D1679" s="244">
        <v>0</v>
      </c>
      <c r="E1679" s="244">
        <v>0</v>
      </c>
      <c r="F1679" s="244">
        <v>0</v>
      </c>
      <c r="G1679" s="244">
        <v>0</v>
      </c>
      <c r="H1679" s="244">
        <v>0</v>
      </c>
      <c r="I1679" s="244">
        <v>0</v>
      </c>
      <c r="J1679" s="244">
        <v>0</v>
      </c>
      <c r="K1679" s="244">
        <v>0</v>
      </c>
      <c r="L1679" s="244">
        <v>0</v>
      </c>
      <c r="M1679" s="244">
        <v>0</v>
      </c>
      <c r="N1679" s="244">
        <v>0</v>
      </c>
      <c r="O1679" s="254">
        <v>0</v>
      </c>
    </row>
    <row r="1680" ht="14.25" spans="1:15">
      <c r="A1680" s="245" t="s">
        <v>72</v>
      </c>
      <c r="B1680" s="52" t="s">
        <v>64</v>
      </c>
      <c r="C1680" s="19">
        <v>0</v>
      </c>
      <c r="D1680" s="250">
        <v>0</v>
      </c>
      <c r="E1680" s="250">
        <v>0</v>
      </c>
      <c r="F1680" s="250">
        <v>0</v>
      </c>
      <c r="G1680" s="250">
        <v>0</v>
      </c>
      <c r="H1680" s="250">
        <v>0</v>
      </c>
      <c r="I1680" s="250">
        <v>0</v>
      </c>
      <c r="J1680" s="250">
        <v>0</v>
      </c>
      <c r="K1680" s="250">
        <v>0</v>
      </c>
      <c r="L1680" s="250">
        <v>0</v>
      </c>
      <c r="M1680" s="250">
        <v>0</v>
      </c>
      <c r="N1680" s="250">
        <v>0</v>
      </c>
      <c r="O1680" s="257">
        <v>0</v>
      </c>
    </row>
    <row r="1681" ht="14.25" spans="1:15">
      <c r="A1681" s="237">
        <v>45045</v>
      </c>
      <c r="B1681" s="237"/>
      <c r="C1681" s="237"/>
      <c r="D1681" s="237"/>
      <c r="E1681" s="237"/>
      <c r="F1681" s="237"/>
      <c r="G1681" s="237"/>
      <c r="H1681" s="237"/>
      <c r="I1681" s="237"/>
      <c r="J1681" s="237"/>
      <c r="K1681" s="237"/>
      <c r="L1681" s="237"/>
      <c r="M1681" s="237"/>
      <c r="N1681" s="237"/>
      <c r="O1681" s="237"/>
    </row>
    <row r="1682" spans="1:15">
      <c r="A1682" s="56" t="s">
        <v>1</v>
      </c>
      <c r="B1682" s="238"/>
      <c r="C1682" s="8" t="s">
        <v>42</v>
      </c>
      <c r="D1682" s="239" t="s">
        <v>43</v>
      </c>
      <c r="E1682" s="239" t="s">
        <v>44</v>
      </c>
      <c r="F1682" s="239" t="s">
        <v>45</v>
      </c>
      <c r="G1682" s="239" t="s">
        <v>46</v>
      </c>
      <c r="H1682" s="239" t="s">
        <v>47</v>
      </c>
      <c r="I1682" s="239" t="s">
        <v>48</v>
      </c>
      <c r="J1682" s="239" t="s">
        <v>49</v>
      </c>
      <c r="K1682" s="239" t="s">
        <v>50</v>
      </c>
      <c r="L1682" s="239" t="s">
        <v>51</v>
      </c>
      <c r="M1682" s="239" t="s">
        <v>52</v>
      </c>
      <c r="N1682" s="239" t="s">
        <v>53</v>
      </c>
      <c r="O1682" s="251" t="s">
        <v>54</v>
      </c>
    </row>
    <row r="1683" spans="1:15">
      <c r="A1683" s="240" t="s">
        <v>22</v>
      </c>
      <c r="B1683" s="47" t="s">
        <v>55</v>
      </c>
      <c r="C1683" s="12">
        <v>0.294522907337237</v>
      </c>
      <c r="D1683" s="241">
        <v>0.171483622350674</v>
      </c>
      <c r="E1683" s="241">
        <v>0.147420147420147</v>
      </c>
      <c r="F1683" s="241">
        <v>0.124113475177305</v>
      </c>
      <c r="G1683" s="241">
        <v>0.24537037037037</v>
      </c>
      <c r="H1683" s="241">
        <v>0.27037037037037</v>
      </c>
      <c r="I1683" s="241">
        <v>0.405940594059406</v>
      </c>
      <c r="J1683" s="241">
        <v>0.443820224719101</v>
      </c>
      <c r="K1683" s="241">
        <v>0.421052631578947</v>
      </c>
      <c r="L1683" s="241">
        <v>0.477987421383648</v>
      </c>
      <c r="M1683" s="241">
        <v>0.468965517241379</v>
      </c>
      <c r="N1683" s="241">
        <v>0.427807486631016</v>
      </c>
      <c r="O1683" s="252">
        <v>0.526946107784431</v>
      </c>
    </row>
    <row r="1684" spans="1:15">
      <c r="A1684" s="242" t="s">
        <v>22</v>
      </c>
      <c r="B1684" s="43" t="s">
        <v>57</v>
      </c>
      <c r="C1684" s="15">
        <v>2903</v>
      </c>
      <c r="D1684" s="243">
        <v>519</v>
      </c>
      <c r="E1684" s="243">
        <v>407</v>
      </c>
      <c r="F1684" s="243">
        <v>282</v>
      </c>
      <c r="G1684" s="243">
        <v>216</v>
      </c>
      <c r="H1684" s="243">
        <v>270</v>
      </c>
      <c r="I1684" s="243">
        <v>202</v>
      </c>
      <c r="J1684" s="243">
        <v>178</v>
      </c>
      <c r="K1684" s="243">
        <v>171</v>
      </c>
      <c r="L1684" s="243">
        <v>159</v>
      </c>
      <c r="M1684" s="243">
        <v>145</v>
      </c>
      <c r="N1684" s="243">
        <v>187</v>
      </c>
      <c r="O1684" s="253">
        <v>167</v>
      </c>
    </row>
    <row r="1685" spans="1:15">
      <c r="A1685" s="240" t="s">
        <v>22</v>
      </c>
      <c r="B1685" s="47" t="s">
        <v>59</v>
      </c>
      <c r="C1685" s="15">
        <v>855</v>
      </c>
      <c r="D1685" s="243">
        <v>89</v>
      </c>
      <c r="E1685" s="243">
        <v>60</v>
      </c>
      <c r="F1685" s="243">
        <v>35</v>
      </c>
      <c r="G1685" s="243">
        <v>53</v>
      </c>
      <c r="H1685" s="243">
        <v>73</v>
      </c>
      <c r="I1685" s="243">
        <v>82</v>
      </c>
      <c r="J1685" s="243">
        <v>79</v>
      </c>
      <c r="K1685" s="243">
        <v>72</v>
      </c>
      <c r="L1685" s="243">
        <v>76</v>
      </c>
      <c r="M1685" s="243">
        <v>68</v>
      </c>
      <c r="N1685" s="243">
        <v>80</v>
      </c>
      <c r="O1685" s="253">
        <v>88</v>
      </c>
    </row>
    <row r="1686" spans="1:15">
      <c r="A1686" s="242" t="s">
        <v>22</v>
      </c>
      <c r="B1686" s="43" t="s">
        <v>4</v>
      </c>
      <c r="C1686" s="15">
        <v>45</v>
      </c>
      <c r="D1686" s="244">
        <v>5</v>
      </c>
      <c r="E1686" s="244">
        <v>5</v>
      </c>
      <c r="F1686" s="244">
        <v>2</v>
      </c>
      <c r="G1686" s="244">
        <v>1</v>
      </c>
      <c r="H1686" s="244">
        <v>4</v>
      </c>
      <c r="I1686" s="244">
        <v>2</v>
      </c>
      <c r="J1686" s="244">
        <v>3</v>
      </c>
      <c r="K1686" s="244">
        <v>1</v>
      </c>
      <c r="L1686" s="244">
        <v>4</v>
      </c>
      <c r="M1686" s="244">
        <v>6</v>
      </c>
      <c r="N1686" s="244">
        <v>6</v>
      </c>
      <c r="O1686" s="254">
        <v>6</v>
      </c>
    </row>
    <row r="1687" spans="1:15">
      <c r="A1687" s="240" t="s">
        <v>22</v>
      </c>
      <c r="B1687" s="47" t="s">
        <v>5</v>
      </c>
      <c r="C1687" s="12">
        <v>0.0526315789473684</v>
      </c>
      <c r="D1687" s="241">
        <v>0.0561797752808989</v>
      </c>
      <c r="E1687" s="241">
        <v>0.0833333333333333</v>
      </c>
      <c r="F1687" s="241">
        <v>0.0571428571428571</v>
      </c>
      <c r="G1687" s="241">
        <v>0.0188679245283019</v>
      </c>
      <c r="H1687" s="241">
        <v>0.0547945205479452</v>
      </c>
      <c r="I1687" s="241">
        <v>0.024390243902439</v>
      </c>
      <c r="J1687" s="241">
        <v>0.0379746835443038</v>
      </c>
      <c r="K1687" s="241">
        <v>0.0138888888888889</v>
      </c>
      <c r="L1687" s="241">
        <v>0.0526315789473684</v>
      </c>
      <c r="M1687" s="241">
        <v>0.0882352941176471</v>
      </c>
      <c r="N1687" s="241">
        <v>0.075</v>
      </c>
      <c r="O1687" s="252">
        <v>0.0681818181818182</v>
      </c>
    </row>
    <row r="1688" spans="1:15">
      <c r="A1688" s="242" t="s">
        <v>22</v>
      </c>
      <c r="B1688" s="43" t="s">
        <v>6</v>
      </c>
      <c r="C1688" s="15">
        <v>17</v>
      </c>
      <c r="D1688" s="244">
        <v>3</v>
      </c>
      <c r="E1688" s="244">
        <v>2</v>
      </c>
      <c r="F1688" s="244">
        <v>1</v>
      </c>
      <c r="G1688" s="244">
        <v>2</v>
      </c>
      <c r="H1688" s="244">
        <v>1</v>
      </c>
      <c r="I1688" s="244">
        <v>0</v>
      </c>
      <c r="J1688" s="244">
        <v>1</v>
      </c>
      <c r="K1688" s="244">
        <v>1</v>
      </c>
      <c r="L1688" s="244">
        <v>1</v>
      </c>
      <c r="M1688" s="244">
        <v>2</v>
      </c>
      <c r="N1688" s="244">
        <v>2</v>
      </c>
      <c r="O1688" s="254">
        <v>1</v>
      </c>
    </row>
    <row r="1689" ht="14.25" spans="1:15">
      <c r="A1689" s="245" t="s">
        <v>22</v>
      </c>
      <c r="B1689" s="52" t="s">
        <v>64</v>
      </c>
      <c r="C1689" s="19">
        <v>0.377777777777778</v>
      </c>
      <c r="D1689" s="246">
        <v>0.6</v>
      </c>
      <c r="E1689" s="246">
        <v>0.4</v>
      </c>
      <c r="F1689" s="246">
        <v>0.5</v>
      </c>
      <c r="G1689" s="246">
        <v>2</v>
      </c>
      <c r="H1689" s="246">
        <v>0.25</v>
      </c>
      <c r="I1689" s="246">
        <v>0</v>
      </c>
      <c r="J1689" s="246">
        <v>0.333333333333333</v>
      </c>
      <c r="K1689" s="246">
        <v>1</v>
      </c>
      <c r="L1689" s="246">
        <v>0.25</v>
      </c>
      <c r="M1689" s="246">
        <v>0.333333333333333</v>
      </c>
      <c r="N1689" s="246">
        <v>0.333333333333333</v>
      </c>
      <c r="O1689" s="255">
        <v>0.166666666666667</v>
      </c>
    </row>
    <row r="1690" spans="1:15">
      <c r="A1690" s="247" t="s">
        <v>66</v>
      </c>
      <c r="B1690" s="248" t="s">
        <v>55</v>
      </c>
      <c r="C1690" s="12">
        <v>0.140949554896142</v>
      </c>
      <c r="D1690" s="249">
        <v>0.0629470672389127</v>
      </c>
      <c r="E1690" s="249">
        <v>0.0771349862258953</v>
      </c>
      <c r="F1690" s="249">
        <v>0.0920502092050209</v>
      </c>
      <c r="G1690" s="249">
        <v>0.152173913043478</v>
      </c>
      <c r="H1690" s="249">
        <v>0.156626506024096</v>
      </c>
      <c r="I1690" s="249">
        <v>0.124183006535948</v>
      </c>
      <c r="J1690" s="249">
        <v>0.217948717948718</v>
      </c>
      <c r="K1690" s="249">
        <v>0.210884353741497</v>
      </c>
      <c r="L1690" s="249">
        <v>0.228346456692913</v>
      </c>
      <c r="M1690" s="249">
        <v>0.289256198347107</v>
      </c>
      <c r="N1690" s="249">
        <v>0.207792207792208</v>
      </c>
      <c r="O1690" s="256">
        <v>0.27807486631016</v>
      </c>
    </row>
    <row r="1691" spans="1:15">
      <c r="A1691" s="242" t="s">
        <v>66</v>
      </c>
      <c r="B1691" s="43" t="s">
        <v>57</v>
      </c>
      <c r="C1691" s="15">
        <v>2696</v>
      </c>
      <c r="D1691" s="243">
        <v>699</v>
      </c>
      <c r="E1691" s="243">
        <v>363</v>
      </c>
      <c r="F1691" s="243">
        <v>239</v>
      </c>
      <c r="G1691" s="243">
        <v>184</v>
      </c>
      <c r="H1691" s="243">
        <v>166</v>
      </c>
      <c r="I1691" s="243">
        <v>153</v>
      </c>
      <c r="J1691" s="243">
        <v>156</v>
      </c>
      <c r="K1691" s="243">
        <v>147</v>
      </c>
      <c r="L1691" s="243">
        <v>127</v>
      </c>
      <c r="M1691" s="243">
        <v>121</v>
      </c>
      <c r="N1691" s="243">
        <v>154</v>
      </c>
      <c r="O1691" s="253">
        <v>187</v>
      </c>
    </row>
    <row r="1692" spans="1:15">
      <c r="A1692" s="240" t="s">
        <v>66</v>
      </c>
      <c r="B1692" s="47" t="s">
        <v>59</v>
      </c>
      <c r="C1692" s="15">
        <v>380</v>
      </c>
      <c r="D1692" s="243">
        <v>44</v>
      </c>
      <c r="E1692" s="243">
        <v>28</v>
      </c>
      <c r="F1692" s="243">
        <v>22</v>
      </c>
      <c r="G1692" s="243">
        <v>28</v>
      </c>
      <c r="H1692" s="243">
        <v>26</v>
      </c>
      <c r="I1692" s="243">
        <v>19</v>
      </c>
      <c r="J1692" s="243">
        <v>34</v>
      </c>
      <c r="K1692" s="243">
        <v>31</v>
      </c>
      <c r="L1692" s="243">
        <v>29</v>
      </c>
      <c r="M1692" s="243">
        <v>35</v>
      </c>
      <c r="N1692" s="243">
        <v>32</v>
      </c>
      <c r="O1692" s="253">
        <v>52</v>
      </c>
    </row>
    <row r="1693" spans="1:15">
      <c r="A1693" s="242" t="s">
        <v>66</v>
      </c>
      <c r="B1693" s="43" t="s">
        <v>4</v>
      </c>
      <c r="C1693" s="15">
        <v>16</v>
      </c>
      <c r="D1693" s="244">
        <v>2</v>
      </c>
      <c r="E1693" s="244">
        <v>1</v>
      </c>
      <c r="F1693" s="244">
        <v>1</v>
      </c>
      <c r="G1693" s="244">
        <v>1</v>
      </c>
      <c r="H1693" s="244">
        <v>1</v>
      </c>
      <c r="I1693" s="244">
        <v>1</v>
      </c>
      <c r="J1693" s="244">
        <v>3</v>
      </c>
      <c r="K1693" s="244">
        <v>0</v>
      </c>
      <c r="L1693" s="244">
        <v>1</v>
      </c>
      <c r="M1693" s="244">
        <v>3</v>
      </c>
      <c r="N1693" s="244">
        <v>1</v>
      </c>
      <c r="O1693" s="254">
        <v>1</v>
      </c>
    </row>
    <row r="1694" spans="1:15">
      <c r="A1694" s="240" t="s">
        <v>66</v>
      </c>
      <c r="B1694" s="47" t="s">
        <v>5</v>
      </c>
      <c r="C1694" s="12">
        <v>0.0421052631578947</v>
      </c>
      <c r="D1694" s="241">
        <v>0.0454545454545455</v>
      </c>
      <c r="E1694" s="241">
        <v>0.0357142857142857</v>
      </c>
      <c r="F1694" s="241">
        <v>0.0454545454545455</v>
      </c>
      <c r="G1694" s="241">
        <v>0.0357142857142857</v>
      </c>
      <c r="H1694" s="241">
        <v>0.0384615384615385</v>
      </c>
      <c r="I1694" s="241">
        <v>0.0526315789473684</v>
      </c>
      <c r="J1694" s="241">
        <v>0.0882352941176471</v>
      </c>
      <c r="K1694" s="241">
        <v>0</v>
      </c>
      <c r="L1694" s="241">
        <v>0.0344827586206897</v>
      </c>
      <c r="M1694" s="241">
        <v>0.0857142857142857</v>
      </c>
      <c r="N1694" s="241">
        <v>0.03125</v>
      </c>
      <c r="O1694" s="252">
        <v>0.0192307692307692</v>
      </c>
    </row>
    <row r="1695" spans="1:15">
      <c r="A1695" s="242" t="s">
        <v>66</v>
      </c>
      <c r="B1695" s="43" t="s">
        <v>6</v>
      </c>
      <c r="C1695" s="15">
        <v>5</v>
      </c>
      <c r="D1695" s="244">
        <v>1</v>
      </c>
      <c r="E1695" s="244">
        <v>0</v>
      </c>
      <c r="F1695" s="244">
        <v>1</v>
      </c>
      <c r="G1695" s="244">
        <v>0</v>
      </c>
      <c r="H1695" s="244">
        <v>1</v>
      </c>
      <c r="I1695" s="244">
        <v>0</v>
      </c>
      <c r="J1695" s="244">
        <v>1</v>
      </c>
      <c r="K1695" s="244">
        <v>0</v>
      </c>
      <c r="L1695" s="244">
        <v>0</v>
      </c>
      <c r="M1695" s="244">
        <v>0</v>
      </c>
      <c r="N1695" s="244">
        <v>1</v>
      </c>
      <c r="O1695" s="254">
        <v>0</v>
      </c>
    </row>
    <row r="1696" ht="14.25" spans="1:15">
      <c r="A1696" s="245" t="s">
        <v>66</v>
      </c>
      <c r="B1696" s="52" t="s">
        <v>64</v>
      </c>
      <c r="C1696" s="19">
        <v>0.3125</v>
      </c>
      <c r="D1696" s="246">
        <v>0.5</v>
      </c>
      <c r="E1696" s="246">
        <v>0</v>
      </c>
      <c r="F1696" s="246">
        <v>1</v>
      </c>
      <c r="G1696" s="246">
        <v>0</v>
      </c>
      <c r="H1696" s="246">
        <v>1</v>
      </c>
      <c r="I1696" s="246">
        <v>0</v>
      </c>
      <c r="J1696" s="246">
        <v>0.333333333333333</v>
      </c>
      <c r="K1696" s="246">
        <v>0</v>
      </c>
      <c r="L1696" s="246">
        <v>0</v>
      </c>
      <c r="M1696" s="246">
        <v>0</v>
      </c>
      <c r="N1696" s="246">
        <v>1</v>
      </c>
      <c r="O1696" s="255">
        <v>0</v>
      </c>
    </row>
    <row r="1697" spans="1:15">
      <c r="A1697" s="240" t="s">
        <v>67</v>
      </c>
      <c r="B1697" s="47" t="s">
        <v>55</v>
      </c>
      <c r="C1697" s="12">
        <v>0.374207188160677</v>
      </c>
      <c r="D1697" s="241">
        <v>0.655172413793103</v>
      </c>
      <c r="E1697" s="241">
        <v>0.404761904761905</v>
      </c>
      <c r="F1697" s="241">
        <v>0.3</v>
      </c>
      <c r="G1697" s="241">
        <v>0.347826086956522</v>
      </c>
      <c r="H1697" s="241">
        <v>0.533333333333333</v>
      </c>
      <c r="I1697" s="241">
        <v>0.372093023255814</v>
      </c>
      <c r="J1697" s="241">
        <v>0.322916666666667</v>
      </c>
      <c r="K1697" s="241">
        <v>0.322916666666667</v>
      </c>
      <c r="L1697" s="241">
        <v>0.434210526315789</v>
      </c>
      <c r="M1697" s="241">
        <v>0.341463414634146</v>
      </c>
      <c r="N1697" s="241">
        <v>0.325757575757576</v>
      </c>
      <c r="O1697" s="252">
        <v>0.309859154929577</v>
      </c>
    </row>
    <row r="1698" spans="1:15">
      <c r="A1698" s="242" t="s">
        <v>67</v>
      </c>
      <c r="B1698" s="43" t="s">
        <v>57</v>
      </c>
      <c r="C1698" s="15">
        <v>946</v>
      </c>
      <c r="D1698" s="243">
        <v>58</v>
      </c>
      <c r="E1698" s="243">
        <v>42</v>
      </c>
      <c r="F1698" s="243">
        <v>30</v>
      </c>
      <c r="G1698" s="243">
        <v>46</v>
      </c>
      <c r="H1698" s="243">
        <v>60</v>
      </c>
      <c r="I1698" s="243">
        <v>86</v>
      </c>
      <c r="J1698" s="243">
        <v>96</v>
      </c>
      <c r="K1698" s="243">
        <v>96</v>
      </c>
      <c r="L1698" s="243">
        <v>76</v>
      </c>
      <c r="M1698" s="243">
        <v>82</v>
      </c>
      <c r="N1698" s="243">
        <v>132</v>
      </c>
      <c r="O1698" s="253">
        <v>142</v>
      </c>
    </row>
    <row r="1699" spans="1:15">
      <c r="A1699" s="240" t="s">
        <v>67</v>
      </c>
      <c r="B1699" s="47" t="s">
        <v>59</v>
      </c>
      <c r="C1699" s="15">
        <v>354</v>
      </c>
      <c r="D1699" s="243">
        <v>38</v>
      </c>
      <c r="E1699" s="243">
        <v>17</v>
      </c>
      <c r="F1699" s="243">
        <v>9</v>
      </c>
      <c r="G1699" s="243">
        <v>16</v>
      </c>
      <c r="H1699" s="243">
        <v>32</v>
      </c>
      <c r="I1699" s="243">
        <v>32</v>
      </c>
      <c r="J1699" s="243">
        <v>31</v>
      </c>
      <c r="K1699" s="243">
        <v>31</v>
      </c>
      <c r="L1699" s="243">
        <v>33</v>
      </c>
      <c r="M1699" s="243">
        <v>28</v>
      </c>
      <c r="N1699" s="243">
        <v>43</v>
      </c>
      <c r="O1699" s="253">
        <v>44</v>
      </c>
    </row>
    <row r="1700" spans="1:15">
      <c r="A1700" s="242" t="s">
        <v>67</v>
      </c>
      <c r="B1700" s="43" t="s">
        <v>4</v>
      </c>
      <c r="C1700" s="15">
        <v>21</v>
      </c>
      <c r="D1700" s="244">
        <v>1</v>
      </c>
      <c r="E1700" s="244">
        <v>3</v>
      </c>
      <c r="F1700" s="244">
        <v>0</v>
      </c>
      <c r="G1700" s="244">
        <v>0</v>
      </c>
      <c r="H1700" s="244">
        <v>0</v>
      </c>
      <c r="I1700" s="244">
        <v>3</v>
      </c>
      <c r="J1700" s="244">
        <v>1</v>
      </c>
      <c r="K1700" s="244">
        <v>0</v>
      </c>
      <c r="L1700" s="244">
        <v>1</v>
      </c>
      <c r="M1700" s="244">
        <v>1</v>
      </c>
      <c r="N1700" s="244">
        <v>3</v>
      </c>
      <c r="O1700" s="254">
        <v>8</v>
      </c>
    </row>
    <row r="1701" spans="1:15">
      <c r="A1701" s="240" t="s">
        <v>67</v>
      </c>
      <c r="B1701" s="47" t="s">
        <v>5</v>
      </c>
      <c r="C1701" s="12">
        <v>0.0593220338983051</v>
      </c>
      <c r="D1701" s="241">
        <v>0.0263157894736842</v>
      </c>
      <c r="E1701" s="241">
        <v>0.176470588235294</v>
      </c>
      <c r="F1701" s="241">
        <v>0</v>
      </c>
      <c r="G1701" s="241">
        <v>0</v>
      </c>
      <c r="H1701" s="241">
        <v>0</v>
      </c>
      <c r="I1701" s="241">
        <v>0.09375</v>
      </c>
      <c r="J1701" s="241">
        <v>0.032258064516129</v>
      </c>
      <c r="K1701" s="241">
        <v>0</v>
      </c>
      <c r="L1701" s="241">
        <v>0.0303030303030303</v>
      </c>
      <c r="M1701" s="241">
        <v>0.0357142857142857</v>
      </c>
      <c r="N1701" s="241">
        <v>0.0697674418604651</v>
      </c>
      <c r="O1701" s="252">
        <v>0.181818181818182</v>
      </c>
    </row>
    <row r="1702" spans="1:15">
      <c r="A1702" s="242" t="s">
        <v>67</v>
      </c>
      <c r="B1702" s="43" t="s">
        <v>6</v>
      </c>
      <c r="C1702" s="15">
        <v>8</v>
      </c>
      <c r="D1702" s="244">
        <v>0</v>
      </c>
      <c r="E1702" s="244">
        <v>1</v>
      </c>
      <c r="F1702" s="244">
        <v>0</v>
      </c>
      <c r="G1702" s="244">
        <v>0</v>
      </c>
      <c r="H1702" s="244">
        <v>0</v>
      </c>
      <c r="I1702" s="244">
        <v>1</v>
      </c>
      <c r="J1702" s="244">
        <v>1</v>
      </c>
      <c r="K1702" s="244">
        <v>0</v>
      </c>
      <c r="L1702" s="244">
        <v>0</v>
      </c>
      <c r="M1702" s="244">
        <v>0</v>
      </c>
      <c r="N1702" s="244">
        <v>3</v>
      </c>
      <c r="O1702" s="254">
        <v>2</v>
      </c>
    </row>
    <row r="1703" ht="14.25" spans="1:15">
      <c r="A1703" s="245" t="s">
        <v>67</v>
      </c>
      <c r="B1703" s="52" t="s">
        <v>64</v>
      </c>
      <c r="C1703" s="19">
        <v>0.380952380952381</v>
      </c>
      <c r="D1703" s="246">
        <v>0</v>
      </c>
      <c r="E1703" s="246">
        <v>0.333333333333333</v>
      </c>
      <c r="F1703" s="246">
        <v>0</v>
      </c>
      <c r="G1703" s="246">
        <v>0</v>
      </c>
      <c r="H1703" s="246">
        <v>0</v>
      </c>
      <c r="I1703" s="246">
        <v>0.333333333333333</v>
      </c>
      <c r="J1703" s="246">
        <v>1</v>
      </c>
      <c r="K1703" s="246">
        <v>0</v>
      </c>
      <c r="L1703" s="246">
        <v>0</v>
      </c>
      <c r="M1703" s="246">
        <v>0</v>
      </c>
      <c r="N1703" s="246">
        <v>1</v>
      </c>
      <c r="O1703" s="255">
        <v>0.25</v>
      </c>
    </row>
    <row r="1704" spans="1:15">
      <c r="A1704" s="240" t="s">
        <v>68</v>
      </c>
      <c r="B1704" s="47" t="s">
        <v>55</v>
      </c>
      <c r="C1704" s="12">
        <v>0.0490828589500316</v>
      </c>
      <c r="D1704" s="241">
        <v>0.102534562211982</v>
      </c>
      <c r="E1704" s="241">
        <v>0.0717391304347826</v>
      </c>
      <c r="F1704" s="241">
        <v>0.0938967136150235</v>
      </c>
      <c r="G1704" s="241">
        <v>0.0515463917525773</v>
      </c>
      <c r="H1704" s="241">
        <v>0.0738866396761134</v>
      </c>
      <c r="I1704" s="241">
        <v>0.0641379310344828</v>
      </c>
      <c r="J1704" s="241">
        <v>0.047112462006079</v>
      </c>
      <c r="K1704" s="241">
        <v>0.0556586270871985</v>
      </c>
      <c r="L1704" s="241">
        <v>0.0416666666666667</v>
      </c>
      <c r="M1704" s="241">
        <v>0.0380487804878049</v>
      </c>
      <c r="N1704" s="241">
        <v>0.0281124497991968</v>
      </c>
      <c r="O1704" s="252">
        <v>0.031505728314239</v>
      </c>
    </row>
    <row r="1705" spans="1:15">
      <c r="A1705" s="242" t="s">
        <v>68</v>
      </c>
      <c r="B1705" s="43" t="s">
        <v>57</v>
      </c>
      <c r="C1705" s="15">
        <v>15810</v>
      </c>
      <c r="D1705" s="243">
        <v>868</v>
      </c>
      <c r="E1705" s="243">
        <v>460</v>
      </c>
      <c r="F1705" s="243">
        <v>426</v>
      </c>
      <c r="G1705" s="243">
        <v>776</v>
      </c>
      <c r="H1705" s="243">
        <v>988</v>
      </c>
      <c r="I1705" s="243">
        <v>1450</v>
      </c>
      <c r="J1705" s="243">
        <v>1316</v>
      </c>
      <c r="K1705" s="243">
        <v>1078</v>
      </c>
      <c r="L1705" s="243">
        <v>1464</v>
      </c>
      <c r="M1705" s="243">
        <v>2050</v>
      </c>
      <c r="N1705" s="243">
        <v>2490</v>
      </c>
      <c r="O1705" s="253">
        <v>2444</v>
      </c>
    </row>
    <row r="1706" spans="1:15">
      <c r="A1706" s="240" t="s">
        <v>68</v>
      </c>
      <c r="B1706" s="47" t="s">
        <v>59</v>
      </c>
      <c r="C1706" s="15">
        <v>776</v>
      </c>
      <c r="D1706" s="243">
        <v>89</v>
      </c>
      <c r="E1706" s="243">
        <v>33</v>
      </c>
      <c r="F1706" s="243">
        <v>40</v>
      </c>
      <c r="G1706" s="243">
        <v>40</v>
      </c>
      <c r="H1706" s="243">
        <v>73</v>
      </c>
      <c r="I1706" s="243">
        <v>93</v>
      </c>
      <c r="J1706" s="243">
        <v>62</v>
      </c>
      <c r="K1706" s="243">
        <v>60</v>
      </c>
      <c r="L1706" s="243">
        <v>61</v>
      </c>
      <c r="M1706" s="243">
        <v>78</v>
      </c>
      <c r="N1706" s="243">
        <v>70</v>
      </c>
      <c r="O1706" s="253">
        <v>77</v>
      </c>
    </row>
    <row r="1707" spans="1:15">
      <c r="A1707" s="242" t="s">
        <v>68</v>
      </c>
      <c r="B1707" s="43" t="s">
        <v>4</v>
      </c>
      <c r="C1707" s="15">
        <v>46</v>
      </c>
      <c r="D1707" s="244">
        <v>11</v>
      </c>
      <c r="E1707" s="244">
        <v>2</v>
      </c>
      <c r="F1707" s="244">
        <v>1</v>
      </c>
      <c r="G1707" s="244">
        <v>2</v>
      </c>
      <c r="H1707" s="244">
        <v>3</v>
      </c>
      <c r="I1707" s="244">
        <v>3</v>
      </c>
      <c r="J1707" s="244">
        <v>4</v>
      </c>
      <c r="K1707" s="244">
        <v>3</v>
      </c>
      <c r="L1707" s="244">
        <v>2</v>
      </c>
      <c r="M1707" s="244">
        <v>6</v>
      </c>
      <c r="N1707" s="244">
        <v>5</v>
      </c>
      <c r="O1707" s="254">
        <v>4</v>
      </c>
    </row>
    <row r="1708" spans="1:15">
      <c r="A1708" s="240" t="s">
        <v>68</v>
      </c>
      <c r="B1708" s="47" t="s">
        <v>5</v>
      </c>
      <c r="C1708" s="12">
        <v>0.0592783505154639</v>
      </c>
      <c r="D1708" s="241">
        <v>0.123595505617978</v>
      </c>
      <c r="E1708" s="241">
        <v>0.0606060606060606</v>
      </c>
      <c r="F1708" s="241">
        <v>0.025</v>
      </c>
      <c r="G1708" s="241">
        <v>0.05</v>
      </c>
      <c r="H1708" s="241">
        <v>0.0410958904109589</v>
      </c>
      <c r="I1708" s="241">
        <v>0.032258064516129</v>
      </c>
      <c r="J1708" s="241">
        <v>0.0645161290322581</v>
      </c>
      <c r="K1708" s="241">
        <v>0.05</v>
      </c>
      <c r="L1708" s="241">
        <v>0.0327868852459016</v>
      </c>
      <c r="M1708" s="241">
        <v>0.0769230769230769</v>
      </c>
      <c r="N1708" s="241">
        <v>0.0714285714285714</v>
      </c>
      <c r="O1708" s="252">
        <v>0.051948051948052</v>
      </c>
    </row>
    <row r="1709" spans="1:15">
      <c r="A1709" s="242" t="s">
        <v>68</v>
      </c>
      <c r="B1709" s="43" t="s">
        <v>6</v>
      </c>
      <c r="C1709" s="15">
        <v>17</v>
      </c>
      <c r="D1709" s="244">
        <v>3</v>
      </c>
      <c r="E1709" s="244">
        <v>2</v>
      </c>
      <c r="F1709" s="244">
        <v>0</v>
      </c>
      <c r="G1709" s="244">
        <v>0</v>
      </c>
      <c r="H1709" s="244">
        <v>1</v>
      </c>
      <c r="I1709" s="244">
        <v>3</v>
      </c>
      <c r="J1709" s="244">
        <v>3</v>
      </c>
      <c r="K1709" s="244">
        <v>2</v>
      </c>
      <c r="L1709" s="244">
        <v>2</v>
      </c>
      <c r="M1709" s="244">
        <v>0</v>
      </c>
      <c r="N1709" s="244">
        <v>1</v>
      </c>
      <c r="O1709" s="254">
        <v>0</v>
      </c>
    </row>
    <row r="1710" ht="14.25" spans="1:15">
      <c r="A1710" s="245" t="s">
        <v>68</v>
      </c>
      <c r="B1710" s="52" t="s">
        <v>64</v>
      </c>
      <c r="C1710" s="19">
        <v>0.369565217391304</v>
      </c>
      <c r="D1710" s="246">
        <v>0.272727272727273</v>
      </c>
      <c r="E1710" s="246">
        <v>1</v>
      </c>
      <c r="F1710" s="246">
        <v>0</v>
      </c>
      <c r="G1710" s="246">
        <v>0</v>
      </c>
      <c r="H1710" s="246">
        <v>0.333333333333333</v>
      </c>
      <c r="I1710" s="246">
        <v>1</v>
      </c>
      <c r="J1710" s="246">
        <v>0.75</v>
      </c>
      <c r="K1710" s="246">
        <v>0.666666666666667</v>
      </c>
      <c r="L1710" s="246">
        <v>1</v>
      </c>
      <c r="M1710" s="246">
        <v>0</v>
      </c>
      <c r="N1710" s="246">
        <v>0.2</v>
      </c>
      <c r="O1710" s="255">
        <v>0</v>
      </c>
    </row>
    <row r="1711" spans="1:15">
      <c r="A1711" s="240" t="s">
        <v>69</v>
      </c>
      <c r="B1711" s="47" t="s">
        <v>55</v>
      </c>
      <c r="C1711" s="12">
        <v>0.98981324278438</v>
      </c>
      <c r="D1711" s="241">
        <v>1.10526315789474</v>
      </c>
      <c r="E1711" s="241">
        <v>0.857142857142857</v>
      </c>
      <c r="F1711" s="241">
        <v>0.894736842105263</v>
      </c>
      <c r="G1711" s="241">
        <v>0.857142857142857</v>
      </c>
      <c r="H1711" s="241">
        <v>1.11764705882353</v>
      </c>
      <c r="I1711" s="241">
        <v>1.11320754716981</v>
      </c>
      <c r="J1711" s="241">
        <v>1.05769230769231</v>
      </c>
      <c r="K1711" s="241">
        <v>1</v>
      </c>
      <c r="L1711" s="241">
        <v>0.885245901639344</v>
      </c>
      <c r="M1711" s="241">
        <v>0.818181818181818</v>
      </c>
      <c r="N1711" s="241">
        <v>1.03174603174603</v>
      </c>
      <c r="O1711" s="252">
        <v>1</v>
      </c>
    </row>
    <row r="1712" spans="1:15">
      <c r="A1712" s="242" t="s">
        <v>69</v>
      </c>
      <c r="B1712" s="43" t="s">
        <v>57</v>
      </c>
      <c r="C1712" s="15">
        <v>589</v>
      </c>
      <c r="D1712" s="243">
        <v>57</v>
      </c>
      <c r="E1712" s="243">
        <v>28</v>
      </c>
      <c r="F1712" s="243">
        <v>19</v>
      </c>
      <c r="G1712" s="243">
        <v>28</v>
      </c>
      <c r="H1712" s="243">
        <v>51</v>
      </c>
      <c r="I1712" s="243">
        <v>53</v>
      </c>
      <c r="J1712" s="243">
        <v>52</v>
      </c>
      <c r="K1712" s="243">
        <v>53</v>
      </c>
      <c r="L1712" s="243">
        <v>61</v>
      </c>
      <c r="M1712" s="243">
        <v>66</v>
      </c>
      <c r="N1712" s="243">
        <v>63</v>
      </c>
      <c r="O1712" s="253">
        <v>58</v>
      </c>
    </row>
    <row r="1713" spans="1:15">
      <c r="A1713" s="240" t="s">
        <v>69</v>
      </c>
      <c r="B1713" s="47" t="s">
        <v>59</v>
      </c>
      <c r="C1713" s="15">
        <v>583</v>
      </c>
      <c r="D1713" s="243">
        <v>63</v>
      </c>
      <c r="E1713" s="243">
        <v>24</v>
      </c>
      <c r="F1713" s="243">
        <v>17</v>
      </c>
      <c r="G1713" s="243">
        <v>24</v>
      </c>
      <c r="H1713" s="243">
        <v>57</v>
      </c>
      <c r="I1713" s="243">
        <v>59</v>
      </c>
      <c r="J1713" s="243">
        <v>55</v>
      </c>
      <c r="K1713" s="243">
        <v>53</v>
      </c>
      <c r="L1713" s="243">
        <v>54</v>
      </c>
      <c r="M1713" s="243">
        <v>54</v>
      </c>
      <c r="N1713" s="243">
        <v>65</v>
      </c>
      <c r="O1713" s="253">
        <v>58</v>
      </c>
    </row>
    <row r="1714" spans="1:15">
      <c r="A1714" s="242" t="s">
        <v>69</v>
      </c>
      <c r="B1714" s="43" t="s">
        <v>4</v>
      </c>
      <c r="C1714" s="15">
        <v>34</v>
      </c>
      <c r="D1714" s="244">
        <v>1</v>
      </c>
      <c r="E1714" s="244">
        <v>1</v>
      </c>
      <c r="F1714" s="244">
        <v>1</v>
      </c>
      <c r="G1714" s="244">
        <v>0</v>
      </c>
      <c r="H1714" s="244">
        <v>2</v>
      </c>
      <c r="I1714" s="244">
        <v>1</v>
      </c>
      <c r="J1714" s="244">
        <v>4</v>
      </c>
      <c r="K1714" s="244">
        <v>5</v>
      </c>
      <c r="L1714" s="244">
        <v>1</v>
      </c>
      <c r="M1714" s="244">
        <v>5</v>
      </c>
      <c r="N1714" s="244">
        <v>7</v>
      </c>
      <c r="O1714" s="254">
        <v>6</v>
      </c>
    </row>
    <row r="1715" spans="1:15">
      <c r="A1715" s="240" t="s">
        <v>69</v>
      </c>
      <c r="B1715" s="47" t="s">
        <v>5</v>
      </c>
      <c r="C1715" s="12">
        <v>0.0583190394511149</v>
      </c>
      <c r="D1715" s="241">
        <v>0.0158730158730159</v>
      </c>
      <c r="E1715" s="241">
        <v>0.0416666666666667</v>
      </c>
      <c r="F1715" s="241">
        <v>0.0588235294117647</v>
      </c>
      <c r="G1715" s="241">
        <v>0</v>
      </c>
      <c r="H1715" s="241">
        <v>0.0350877192982456</v>
      </c>
      <c r="I1715" s="241">
        <v>0.0169491525423729</v>
      </c>
      <c r="J1715" s="241">
        <v>0.0727272727272727</v>
      </c>
      <c r="K1715" s="241">
        <v>0.0943396226415094</v>
      </c>
      <c r="L1715" s="241">
        <v>0.0185185185185185</v>
      </c>
      <c r="M1715" s="241">
        <v>0.0925925925925926</v>
      </c>
      <c r="N1715" s="241">
        <v>0.107692307692308</v>
      </c>
      <c r="O1715" s="252">
        <v>0.103448275862069</v>
      </c>
    </row>
    <row r="1716" spans="1:15">
      <c r="A1716" s="242" t="s">
        <v>69</v>
      </c>
      <c r="B1716" s="43" t="s">
        <v>6</v>
      </c>
      <c r="C1716" s="15">
        <v>12</v>
      </c>
      <c r="D1716" s="244">
        <v>0</v>
      </c>
      <c r="E1716" s="244">
        <v>1</v>
      </c>
      <c r="F1716" s="244">
        <v>0</v>
      </c>
      <c r="G1716" s="244">
        <v>0</v>
      </c>
      <c r="H1716" s="244">
        <v>1</v>
      </c>
      <c r="I1716" s="244">
        <v>0</v>
      </c>
      <c r="J1716" s="244">
        <v>1</v>
      </c>
      <c r="K1716" s="244">
        <v>3</v>
      </c>
      <c r="L1716" s="244">
        <v>0</v>
      </c>
      <c r="M1716" s="244">
        <v>1</v>
      </c>
      <c r="N1716" s="244">
        <v>4</v>
      </c>
      <c r="O1716" s="254">
        <v>1</v>
      </c>
    </row>
    <row r="1717" ht="14.25" spans="1:15">
      <c r="A1717" s="245" t="s">
        <v>69</v>
      </c>
      <c r="B1717" s="52" t="s">
        <v>64</v>
      </c>
      <c r="C1717" s="19">
        <v>0.352941176470588</v>
      </c>
      <c r="D1717" s="246">
        <v>0</v>
      </c>
      <c r="E1717" s="246">
        <v>1</v>
      </c>
      <c r="F1717" s="246">
        <v>0</v>
      </c>
      <c r="G1717" s="246">
        <v>0</v>
      </c>
      <c r="H1717" s="246">
        <v>0.5</v>
      </c>
      <c r="I1717" s="246">
        <v>0</v>
      </c>
      <c r="J1717" s="246">
        <v>0.25</v>
      </c>
      <c r="K1717" s="246">
        <v>0.6</v>
      </c>
      <c r="L1717" s="246">
        <v>0</v>
      </c>
      <c r="M1717" s="246">
        <v>0.2</v>
      </c>
      <c r="N1717" s="246">
        <v>0.571428571428571</v>
      </c>
      <c r="O1717" s="255">
        <v>0.166666666666667</v>
      </c>
    </row>
    <row r="1718" spans="1:15">
      <c r="A1718" s="240" t="s">
        <v>70</v>
      </c>
      <c r="B1718" s="47" t="s">
        <v>55</v>
      </c>
      <c r="C1718" s="12">
        <v>0.738181818181818</v>
      </c>
      <c r="D1718" s="241">
        <v>0.92</v>
      </c>
      <c r="E1718" s="241">
        <v>0.923076923076923</v>
      </c>
      <c r="F1718" s="241">
        <v>0.75</v>
      </c>
      <c r="G1718" s="241">
        <v>0.909090909090909</v>
      </c>
      <c r="H1718" s="241">
        <v>0.73469387755102</v>
      </c>
      <c r="I1718" s="241">
        <v>0.691176470588235</v>
      </c>
      <c r="J1718" s="241">
        <v>0.732142857142857</v>
      </c>
      <c r="K1718" s="241">
        <v>0.854545454545454</v>
      </c>
      <c r="L1718" s="241">
        <v>0.650793650793651</v>
      </c>
      <c r="M1718" s="241">
        <v>0.65</v>
      </c>
      <c r="N1718" s="241">
        <v>0.772727272727273</v>
      </c>
      <c r="O1718" s="252">
        <v>0.694444444444444</v>
      </c>
    </row>
    <row r="1719" spans="1:15">
      <c r="A1719" s="242" t="s">
        <v>70</v>
      </c>
      <c r="B1719" s="43" t="s">
        <v>57</v>
      </c>
      <c r="C1719" s="15">
        <v>550</v>
      </c>
      <c r="D1719" s="243">
        <v>25</v>
      </c>
      <c r="E1719" s="243">
        <v>13</v>
      </c>
      <c r="F1719" s="243">
        <v>12</v>
      </c>
      <c r="G1719" s="243">
        <v>11</v>
      </c>
      <c r="H1719" s="243">
        <v>49</v>
      </c>
      <c r="I1719" s="243">
        <v>68</v>
      </c>
      <c r="J1719" s="243">
        <v>56</v>
      </c>
      <c r="K1719" s="243">
        <v>55</v>
      </c>
      <c r="L1719" s="243">
        <v>63</v>
      </c>
      <c r="M1719" s="243">
        <v>60</v>
      </c>
      <c r="N1719" s="243">
        <v>66</v>
      </c>
      <c r="O1719" s="253">
        <v>72</v>
      </c>
    </row>
    <row r="1720" spans="1:15">
      <c r="A1720" s="240" t="s">
        <v>70</v>
      </c>
      <c r="B1720" s="47" t="s">
        <v>59</v>
      </c>
      <c r="C1720" s="15">
        <v>406</v>
      </c>
      <c r="D1720" s="243">
        <v>23</v>
      </c>
      <c r="E1720" s="243">
        <v>12</v>
      </c>
      <c r="F1720" s="243">
        <v>9</v>
      </c>
      <c r="G1720" s="243">
        <v>10</v>
      </c>
      <c r="H1720" s="243">
        <v>36</v>
      </c>
      <c r="I1720" s="243">
        <v>47</v>
      </c>
      <c r="J1720" s="243">
        <v>41</v>
      </c>
      <c r="K1720" s="243">
        <v>47</v>
      </c>
      <c r="L1720" s="243">
        <v>41</v>
      </c>
      <c r="M1720" s="243">
        <v>39</v>
      </c>
      <c r="N1720" s="243">
        <v>51</v>
      </c>
      <c r="O1720" s="253">
        <v>50</v>
      </c>
    </row>
    <row r="1721" spans="1:15">
      <c r="A1721" s="242" t="s">
        <v>70</v>
      </c>
      <c r="B1721" s="43" t="s">
        <v>4</v>
      </c>
      <c r="C1721" s="15">
        <v>2</v>
      </c>
      <c r="D1721" s="244">
        <v>0</v>
      </c>
      <c r="E1721" s="244">
        <v>0</v>
      </c>
      <c r="F1721" s="244">
        <v>1</v>
      </c>
      <c r="G1721" s="244">
        <v>0</v>
      </c>
      <c r="H1721" s="244">
        <v>1</v>
      </c>
      <c r="I1721" s="244">
        <v>0</v>
      </c>
      <c r="J1721" s="244">
        <v>0</v>
      </c>
      <c r="K1721" s="244">
        <v>0</v>
      </c>
      <c r="L1721" s="244">
        <v>0</v>
      </c>
      <c r="M1721" s="244">
        <v>0</v>
      </c>
      <c r="N1721" s="244">
        <v>0</v>
      </c>
      <c r="O1721" s="254">
        <v>0</v>
      </c>
    </row>
    <row r="1722" spans="1:15">
      <c r="A1722" s="240" t="s">
        <v>70</v>
      </c>
      <c r="B1722" s="47" t="s">
        <v>5</v>
      </c>
      <c r="C1722" s="12">
        <v>0.00492610837438424</v>
      </c>
      <c r="D1722" s="241">
        <v>0</v>
      </c>
      <c r="E1722" s="241">
        <v>0</v>
      </c>
      <c r="F1722" s="241">
        <v>0.111111111111111</v>
      </c>
      <c r="G1722" s="241">
        <v>0</v>
      </c>
      <c r="H1722" s="241">
        <v>0.0277777777777778</v>
      </c>
      <c r="I1722" s="241">
        <v>0</v>
      </c>
      <c r="J1722" s="241">
        <v>0</v>
      </c>
      <c r="K1722" s="241">
        <v>0</v>
      </c>
      <c r="L1722" s="241">
        <v>0</v>
      </c>
      <c r="M1722" s="241">
        <v>0</v>
      </c>
      <c r="N1722" s="241">
        <v>0</v>
      </c>
      <c r="O1722" s="252">
        <v>0</v>
      </c>
    </row>
    <row r="1723" spans="1:15">
      <c r="A1723" s="242" t="s">
        <v>70</v>
      </c>
      <c r="B1723" s="43" t="s">
        <v>6</v>
      </c>
      <c r="C1723" s="15">
        <v>0</v>
      </c>
      <c r="D1723" s="244">
        <v>0</v>
      </c>
      <c r="E1723" s="244">
        <v>0</v>
      </c>
      <c r="F1723" s="244">
        <v>0</v>
      </c>
      <c r="G1723" s="244">
        <v>0</v>
      </c>
      <c r="H1723" s="244">
        <v>0</v>
      </c>
      <c r="I1723" s="244">
        <v>0</v>
      </c>
      <c r="J1723" s="244">
        <v>0</v>
      </c>
      <c r="K1723" s="244">
        <v>0</v>
      </c>
      <c r="L1723" s="244">
        <v>0</v>
      </c>
      <c r="M1723" s="244">
        <v>0</v>
      </c>
      <c r="N1723" s="244">
        <v>0</v>
      </c>
      <c r="O1723" s="254">
        <v>0</v>
      </c>
    </row>
    <row r="1724" ht="14.25" spans="1:15">
      <c r="A1724" s="245" t="s">
        <v>70</v>
      </c>
      <c r="B1724" s="52" t="s">
        <v>64</v>
      </c>
      <c r="C1724" s="19">
        <v>0</v>
      </c>
      <c r="D1724" s="246">
        <v>0</v>
      </c>
      <c r="E1724" s="246">
        <v>0</v>
      </c>
      <c r="F1724" s="246">
        <v>0</v>
      </c>
      <c r="G1724" s="246">
        <v>0</v>
      </c>
      <c r="H1724" s="246">
        <v>0</v>
      </c>
      <c r="I1724" s="246">
        <v>0</v>
      </c>
      <c r="J1724" s="246">
        <v>0</v>
      </c>
      <c r="K1724" s="246">
        <v>0</v>
      </c>
      <c r="L1724" s="246">
        <v>0</v>
      </c>
      <c r="M1724" s="246">
        <v>0</v>
      </c>
      <c r="N1724" s="246">
        <v>0</v>
      </c>
      <c r="O1724" s="255">
        <v>0</v>
      </c>
    </row>
    <row r="1725" spans="1:15">
      <c r="A1725" s="240" t="s">
        <v>26</v>
      </c>
      <c r="B1725" s="47" t="s">
        <v>55</v>
      </c>
      <c r="C1725" s="12">
        <v>0.452529182879377</v>
      </c>
      <c r="D1725" s="241">
        <v>0.544247787610619</v>
      </c>
      <c r="E1725" s="241">
        <v>0.4</v>
      </c>
      <c r="F1725" s="241">
        <v>0.39041095890411</v>
      </c>
      <c r="G1725" s="241">
        <v>0.425373134328358</v>
      </c>
      <c r="H1725" s="241">
        <v>0.486607142857143</v>
      </c>
      <c r="I1725" s="241">
        <v>0.433628318584071</v>
      </c>
      <c r="J1725" s="241">
        <v>0.491379310344828</v>
      </c>
      <c r="K1725" s="241">
        <v>0.438356164383562</v>
      </c>
      <c r="L1725" s="241">
        <v>0.382352941176471</v>
      </c>
      <c r="M1725" s="241">
        <v>0.448</v>
      </c>
      <c r="N1725" s="241">
        <v>0.475490196078431</v>
      </c>
      <c r="O1725" s="252">
        <v>0.51219512195122</v>
      </c>
    </row>
    <row r="1726" spans="1:15">
      <c r="A1726" s="242" t="s">
        <v>26</v>
      </c>
      <c r="B1726" s="43" t="s">
        <v>57</v>
      </c>
      <c r="C1726" s="15">
        <v>2570</v>
      </c>
      <c r="D1726" s="243">
        <v>226</v>
      </c>
      <c r="E1726" s="243">
        <v>200</v>
      </c>
      <c r="F1726" s="243">
        <v>146</v>
      </c>
      <c r="G1726" s="243">
        <v>134</v>
      </c>
      <c r="H1726" s="243">
        <v>224</v>
      </c>
      <c r="I1726" s="243">
        <v>226</v>
      </c>
      <c r="J1726" s="243">
        <v>232</v>
      </c>
      <c r="K1726" s="243">
        <v>292</v>
      </c>
      <c r="L1726" s="243">
        <v>272</v>
      </c>
      <c r="M1726" s="243">
        <v>250</v>
      </c>
      <c r="N1726" s="243">
        <v>204</v>
      </c>
      <c r="O1726" s="253">
        <v>164</v>
      </c>
    </row>
    <row r="1727" spans="1:15">
      <c r="A1727" s="240" t="s">
        <v>26</v>
      </c>
      <c r="B1727" s="47" t="s">
        <v>59</v>
      </c>
      <c r="C1727" s="15">
        <v>1163</v>
      </c>
      <c r="D1727" s="243">
        <v>123</v>
      </c>
      <c r="E1727" s="243">
        <v>80</v>
      </c>
      <c r="F1727" s="243">
        <v>57</v>
      </c>
      <c r="G1727" s="243">
        <v>57</v>
      </c>
      <c r="H1727" s="243">
        <v>109</v>
      </c>
      <c r="I1727" s="243">
        <v>98</v>
      </c>
      <c r="J1727" s="243">
        <v>114</v>
      </c>
      <c r="K1727" s="243">
        <v>128</v>
      </c>
      <c r="L1727" s="243">
        <v>104</v>
      </c>
      <c r="M1727" s="243">
        <v>112</v>
      </c>
      <c r="N1727" s="243">
        <v>97</v>
      </c>
      <c r="O1727" s="253">
        <v>84</v>
      </c>
    </row>
    <row r="1728" spans="1:15">
      <c r="A1728" s="242" t="s">
        <v>26</v>
      </c>
      <c r="B1728" s="43" t="s">
        <v>4</v>
      </c>
      <c r="C1728" s="15">
        <v>22</v>
      </c>
      <c r="D1728" s="244">
        <v>0</v>
      </c>
      <c r="E1728" s="244">
        <v>1</v>
      </c>
      <c r="F1728" s="244">
        <v>1</v>
      </c>
      <c r="G1728" s="244">
        <v>1</v>
      </c>
      <c r="H1728" s="244">
        <v>3</v>
      </c>
      <c r="I1728" s="244">
        <v>1</v>
      </c>
      <c r="J1728" s="244">
        <v>3</v>
      </c>
      <c r="K1728" s="244">
        <v>6</v>
      </c>
      <c r="L1728" s="244">
        <v>2</v>
      </c>
      <c r="M1728" s="244">
        <v>1</v>
      </c>
      <c r="N1728" s="244">
        <v>2</v>
      </c>
      <c r="O1728" s="254">
        <v>1</v>
      </c>
    </row>
    <row r="1729" spans="1:15">
      <c r="A1729" s="240" t="s">
        <v>26</v>
      </c>
      <c r="B1729" s="47" t="s">
        <v>5</v>
      </c>
      <c r="C1729" s="12">
        <v>0.0189165950128977</v>
      </c>
      <c r="D1729" s="241">
        <v>0</v>
      </c>
      <c r="E1729" s="241">
        <v>0.0125</v>
      </c>
      <c r="F1729" s="241">
        <v>0.0175438596491228</v>
      </c>
      <c r="G1729" s="241">
        <v>0.0175438596491228</v>
      </c>
      <c r="H1729" s="241">
        <v>0.0275229357798165</v>
      </c>
      <c r="I1729" s="241">
        <v>0.0102040816326531</v>
      </c>
      <c r="J1729" s="241">
        <v>0.0263157894736842</v>
      </c>
      <c r="K1729" s="241">
        <v>0.046875</v>
      </c>
      <c r="L1729" s="241">
        <v>0.0192307692307692</v>
      </c>
      <c r="M1729" s="241">
        <v>0.00892857142857143</v>
      </c>
      <c r="N1729" s="241">
        <v>0.0206185567010309</v>
      </c>
      <c r="O1729" s="252">
        <v>0.0119047619047619</v>
      </c>
    </row>
    <row r="1730" spans="1:15">
      <c r="A1730" s="242" t="s">
        <v>26</v>
      </c>
      <c r="B1730" s="43" t="s">
        <v>6</v>
      </c>
      <c r="C1730" s="15">
        <v>7</v>
      </c>
      <c r="D1730" s="244">
        <v>1</v>
      </c>
      <c r="E1730" s="244">
        <v>0</v>
      </c>
      <c r="F1730" s="244">
        <v>0</v>
      </c>
      <c r="G1730" s="244">
        <v>1</v>
      </c>
      <c r="H1730" s="244">
        <v>2</v>
      </c>
      <c r="I1730" s="244">
        <v>0</v>
      </c>
      <c r="J1730" s="244">
        <v>1</v>
      </c>
      <c r="K1730" s="244">
        <v>1</v>
      </c>
      <c r="L1730" s="244">
        <v>0</v>
      </c>
      <c r="M1730" s="244">
        <v>0</v>
      </c>
      <c r="N1730" s="244">
        <v>1</v>
      </c>
      <c r="O1730" s="254">
        <v>0</v>
      </c>
    </row>
    <row r="1731" ht="14.25" spans="1:15">
      <c r="A1731" s="245" t="s">
        <v>26</v>
      </c>
      <c r="B1731" s="52" t="s">
        <v>64</v>
      </c>
      <c r="C1731" s="19">
        <v>0.318181818181818</v>
      </c>
      <c r="D1731" s="250">
        <v>1</v>
      </c>
      <c r="E1731" s="250">
        <v>0</v>
      </c>
      <c r="F1731" s="250">
        <v>0</v>
      </c>
      <c r="G1731" s="250">
        <v>1</v>
      </c>
      <c r="H1731" s="250">
        <v>2</v>
      </c>
      <c r="I1731" s="250">
        <v>0</v>
      </c>
      <c r="J1731" s="250">
        <v>1</v>
      </c>
      <c r="K1731" s="250">
        <v>1</v>
      </c>
      <c r="L1731" s="250">
        <v>0</v>
      </c>
      <c r="M1731" s="250">
        <v>0</v>
      </c>
      <c r="N1731" s="250">
        <v>1</v>
      </c>
      <c r="O1731" s="257">
        <v>0</v>
      </c>
    </row>
    <row r="1732" spans="1:15">
      <c r="A1732" s="240" t="s">
        <v>71</v>
      </c>
      <c r="B1732" s="47" t="s">
        <v>55</v>
      </c>
      <c r="C1732" s="12">
        <v>0.0290697674418605</v>
      </c>
      <c r="D1732" s="241">
        <v>0.0465116279069767</v>
      </c>
      <c r="E1732" s="241">
        <v>0.08</v>
      </c>
      <c r="F1732" s="241">
        <v>0.111111111111111</v>
      </c>
      <c r="G1732" s="241">
        <v>0</v>
      </c>
      <c r="H1732" s="241">
        <v>0</v>
      </c>
      <c r="I1732" s="241">
        <v>0.0306748466257669</v>
      </c>
      <c r="J1732" s="241">
        <v>0.0394736842105263</v>
      </c>
      <c r="K1732" s="241">
        <v>0.0185185185185185</v>
      </c>
      <c r="L1732" s="241">
        <v>0.0204081632653061</v>
      </c>
      <c r="M1732" s="241">
        <v>0</v>
      </c>
      <c r="N1732" s="241">
        <v>0.03125</v>
      </c>
      <c r="O1732" s="252">
        <v>0.028169014084507</v>
      </c>
    </row>
    <row r="1733" spans="1:15">
      <c r="A1733" s="242" t="s">
        <v>71</v>
      </c>
      <c r="B1733" s="43" t="s">
        <v>57</v>
      </c>
      <c r="C1733" s="15">
        <v>688</v>
      </c>
      <c r="D1733" s="243">
        <v>43</v>
      </c>
      <c r="E1733" s="243">
        <v>25</v>
      </c>
      <c r="F1733" s="243">
        <v>18</v>
      </c>
      <c r="G1733" s="243">
        <v>19</v>
      </c>
      <c r="H1733" s="243">
        <v>58</v>
      </c>
      <c r="I1733" s="243">
        <v>163</v>
      </c>
      <c r="J1733" s="243">
        <v>76</v>
      </c>
      <c r="K1733" s="243">
        <v>54</v>
      </c>
      <c r="L1733" s="243">
        <v>49</v>
      </c>
      <c r="M1733" s="243">
        <v>48</v>
      </c>
      <c r="N1733" s="243">
        <v>64</v>
      </c>
      <c r="O1733" s="253">
        <v>71</v>
      </c>
    </row>
    <row r="1734" spans="1:15">
      <c r="A1734" s="240" t="s">
        <v>71</v>
      </c>
      <c r="B1734" s="47" t="s">
        <v>59</v>
      </c>
      <c r="C1734" s="15">
        <v>20</v>
      </c>
      <c r="D1734" s="243">
        <v>2</v>
      </c>
      <c r="E1734" s="243">
        <v>2</v>
      </c>
      <c r="F1734" s="243">
        <v>2</v>
      </c>
      <c r="G1734" s="243">
        <v>0</v>
      </c>
      <c r="H1734" s="243">
        <v>0</v>
      </c>
      <c r="I1734" s="243">
        <v>5</v>
      </c>
      <c r="J1734" s="243">
        <v>3</v>
      </c>
      <c r="K1734" s="243">
        <v>1</v>
      </c>
      <c r="L1734" s="243">
        <v>1</v>
      </c>
      <c r="M1734" s="243">
        <v>0</v>
      </c>
      <c r="N1734" s="243">
        <v>2</v>
      </c>
      <c r="O1734" s="253">
        <v>2</v>
      </c>
    </row>
    <row r="1735" spans="1:15">
      <c r="A1735" s="242" t="s">
        <v>71</v>
      </c>
      <c r="B1735" s="43" t="s">
        <v>4</v>
      </c>
      <c r="C1735" s="15">
        <v>52</v>
      </c>
      <c r="D1735" s="244">
        <v>4</v>
      </c>
      <c r="E1735" s="244">
        <v>2</v>
      </c>
      <c r="F1735" s="244">
        <v>2</v>
      </c>
      <c r="G1735" s="244">
        <v>2</v>
      </c>
      <c r="H1735" s="244">
        <v>5</v>
      </c>
      <c r="I1735" s="244">
        <v>14</v>
      </c>
      <c r="J1735" s="244">
        <v>6</v>
      </c>
      <c r="K1735" s="244">
        <v>5</v>
      </c>
      <c r="L1735" s="244">
        <v>0</v>
      </c>
      <c r="M1735" s="244">
        <v>3</v>
      </c>
      <c r="N1735" s="244">
        <v>3</v>
      </c>
      <c r="O1735" s="254">
        <v>6</v>
      </c>
    </row>
    <row r="1736" spans="1:15">
      <c r="A1736" s="240" t="s">
        <v>71</v>
      </c>
      <c r="B1736" s="47" t="s">
        <v>5</v>
      </c>
      <c r="C1736" s="12">
        <v>2.6</v>
      </c>
      <c r="D1736" s="241">
        <v>2</v>
      </c>
      <c r="E1736" s="241">
        <v>1</v>
      </c>
      <c r="F1736" s="241">
        <v>1</v>
      </c>
      <c r="G1736" s="241">
        <v>0</v>
      </c>
      <c r="H1736" s="241">
        <v>0</v>
      </c>
      <c r="I1736" s="241">
        <v>2.8</v>
      </c>
      <c r="J1736" s="241">
        <v>2</v>
      </c>
      <c r="K1736" s="241">
        <v>5</v>
      </c>
      <c r="L1736" s="241">
        <v>0</v>
      </c>
      <c r="M1736" s="241">
        <v>0</v>
      </c>
      <c r="N1736" s="241">
        <v>1.5</v>
      </c>
      <c r="O1736" s="252">
        <v>3</v>
      </c>
    </row>
    <row r="1737" spans="1:15">
      <c r="A1737" s="242" t="s">
        <v>71</v>
      </c>
      <c r="B1737" s="43" t="s">
        <v>6</v>
      </c>
      <c r="C1737" s="15">
        <v>6</v>
      </c>
      <c r="D1737" s="244">
        <v>1</v>
      </c>
      <c r="E1737" s="244">
        <v>0</v>
      </c>
      <c r="F1737" s="244">
        <v>0</v>
      </c>
      <c r="G1737" s="244">
        <v>0</v>
      </c>
      <c r="H1737" s="244">
        <v>1</v>
      </c>
      <c r="I1737" s="244">
        <v>0</v>
      </c>
      <c r="J1737" s="244">
        <v>0</v>
      </c>
      <c r="K1737" s="244">
        <v>0</v>
      </c>
      <c r="L1737" s="244">
        <v>0</v>
      </c>
      <c r="M1737" s="244">
        <v>2</v>
      </c>
      <c r="N1737" s="244">
        <v>1</v>
      </c>
      <c r="O1737" s="254">
        <v>1</v>
      </c>
    </row>
    <row r="1738" ht="14.25" spans="1:15">
      <c r="A1738" s="245" t="s">
        <v>71</v>
      </c>
      <c r="B1738" s="52" t="s">
        <v>64</v>
      </c>
      <c r="C1738" s="19">
        <v>0.115384615384615</v>
      </c>
      <c r="D1738" s="250">
        <v>1</v>
      </c>
      <c r="E1738" s="250">
        <v>0</v>
      </c>
      <c r="F1738" s="250">
        <v>0</v>
      </c>
      <c r="G1738" s="250">
        <v>0</v>
      </c>
      <c r="H1738" s="250">
        <v>1</v>
      </c>
      <c r="I1738" s="250">
        <v>0</v>
      </c>
      <c r="J1738" s="250">
        <v>0</v>
      </c>
      <c r="K1738" s="250">
        <v>0</v>
      </c>
      <c r="L1738" s="250">
        <v>0</v>
      </c>
      <c r="M1738" s="250">
        <v>2</v>
      </c>
      <c r="N1738" s="250">
        <v>1</v>
      </c>
      <c r="O1738" s="257">
        <v>1</v>
      </c>
    </row>
    <row r="1739" spans="1:15">
      <c r="A1739" s="240" t="s">
        <v>72</v>
      </c>
      <c r="B1739" s="47" t="s">
        <v>55</v>
      </c>
      <c r="C1739" s="12">
        <v>0.405492730210016</v>
      </c>
      <c r="D1739" s="241">
        <v>0.391304347826087</v>
      </c>
      <c r="E1739" s="241">
        <v>0.5</v>
      </c>
      <c r="F1739" s="241">
        <v>0.363636363636364</v>
      </c>
      <c r="G1739" s="241">
        <v>0.4</v>
      </c>
      <c r="H1739" s="241">
        <v>0.452380952380952</v>
      </c>
      <c r="I1739" s="241">
        <v>0.385416666666667</v>
      </c>
      <c r="J1739" s="241">
        <v>0.427083333333333</v>
      </c>
      <c r="K1739" s="241">
        <v>0.375</v>
      </c>
      <c r="L1739" s="241">
        <v>0.372881355932203</v>
      </c>
      <c r="M1739" s="241">
        <v>0.370967741935484</v>
      </c>
      <c r="N1739" s="241">
        <v>0.404411764705882</v>
      </c>
      <c r="O1739" s="252">
        <v>0.439189189189189</v>
      </c>
    </row>
    <row r="1740" spans="1:15">
      <c r="A1740" s="242" t="s">
        <v>72</v>
      </c>
      <c r="B1740" s="43" t="s">
        <v>57</v>
      </c>
      <c r="C1740" s="15">
        <v>1238</v>
      </c>
      <c r="D1740" s="243">
        <v>138</v>
      </c>
      <c r="E1740" s="243">
        <v>76</v>
      </c>
      <c r="F1740" s="243">
        <v>44</v>
      </c>
      <c r="G1740" s="243">
        <v>50</v>
      </c>
      <c r="H1740" s="243">
        <v>84</v>
      </c>
      <c r="I1740" s="243">
        <v>96</v>
      </c>
      <c r="J1740" s="243">
        <v>96</v>
      </c>
      <c r="K1740" s="243">
        <v>128</v>
      </c>
      <c r="L1740" s="243">
        <v>118</v>
      </c>
      <c r="M1740" s="243">
        <v>124</v>
      </c>
      <c r="N1740" s="243">
        <v>136</v>
      </c>
      <c r="O1740" s="253">
        <v>148</v>
      </c>
    </row>
    <row r="1741" spans="1:15">
      <c r="A1741" s="240" t="s">
        <v>72</v>
      </c>
      <c r="B1741" s="47" t="s">
        <v>59</v>
      </c>
      <c r="C1741" s="15">
        <v>502</v>
      </c>
      <c r="D1741" s="243">
        <v>54</v>
      </c>
      <c r="E1741" s="243">
        <v>38</v>
      </c>
      <c r="F1741" s="243">
        <v>16</v>
      </c>
      <c r="G1741" s="243">
        <v>20</v>
      </c>
      <c r="H1741" s="243">
        <v>38</v>
      </c>
      <c r="I1741" s="243">
        <v>37</v>
      </c>
      <c r="J1741" s="243">
        <v>41</v>
      </c>
      <c r="K1741" s="243">
        <v>48</v>
      </c>
      <c r="L1741" s="243">
        <v>44</v>
      </c>
      <c r="M1741" s="243">
        <v>46</v>
      </c>
      <c r="N1741" s="243">
        <v>55</v>
      </c>
      <c r="O1741" s="253">
        <v>65</v>
      </c>
    </row>
    <row r="1742" spans="1:15">
      <c r="A1742" s="242" t="s">
        <v>72</v>
      </c>
      <c r="B1742" s="43" t="s">
        <v>4</v>
      </c>
      <c r="C1742" s="15">
        <v>17</v>
      </c>
      <c r="D1742" s="244">
        <v>2</v>
      </c>
      <c r="E1742" s="244">
        <v>1</v>
      </c>
      <c r="F1742" s="244">
        <v>0</v>
      </c>
      <c r="G1742" s="244">
        <v>0</v>
      </c>
      <c r="H1742" s="244">
        <v>0</v>
      </c>
      <c r="I1742" s="244">
        <v>1</v>
      </c>
      <c r="J1742" s="244">
        <v>3</v>
      </c>
      <c r="K1742" s="244">
        <v>0</v>
      </c>
      <c r="L1742" s="244">
        <v>6</v>
      </c>
      <c r="M1742" s="244">
        <v>1</v>
      </c>
      <c r="N1742" s="244">
        <v>1</v>
      </c>
      <c r="O1742" s="254">
        <v>2</v>
      </c>
    </row>
    <row r="1743" spans="1:15">
      <c r="A1743" s="240" t="s">
        <v>72</v>
      </c>
      <c r="B1743" s="47" t="s">
        <v>5</v>
      </c>
      <c r="C1743" s="12">
        <v>0.0338645418326693</v>
      </c>
      <c r="D1743" s="241">
        <v>0.037037037037037</v>
      </c>
      <c r="E1743" s="241">
        <v>0.0263157894736842</v>
      </c>
      <c r="F1743" s="241">
        <v>0</v>
      </c>
      <c r="G1743" s="241">
        <v>0</v>
      </c>
      <c r="H1743" s="241">
        <v>0</v>
      </c>
      <c r="I1743" s="241">
        <v>0.027027027027027</v>
      </c>
      <c r="J1743" s="241">
        <v>0.0731707317073171</v>
      </c>
      <c r="K1743" s="241">
        <v>0</v>
      </c>
      <c r="L1743" s="241">
        <v>0.136363636363636</v>
      </c>
      <c r="M1743" s="241">
        <v>0.0217391304347826</v>
      </c>
      <c r="N1743" s="241">
        <v>0.0181818181818182</v>
      </c>
      <c r="O1743" s="252">
        <v>0.0307692307692308</v>
      </c>
    </row>
    <row r="1744" spans="1:15">
      <c r="A1744" s="242" t="s">
        <v>72</v>
      </c>
      <c r="B1744" s="43" t="s">
        <v>6</v>
      </c>
      <c r="C1744" s="15">
        <v>5</v>
      </c>
      <c r="D1744" s="244">
        <v>1</v>
      </c>
      <c r="E1744" s="244">
        <v>0</v>
      </c>
      <c r="F1744" s="244">
        <v>0</v>
      </c>
      <c r="G1744" s="244">
        <v>0</v>
      </c>
      <c r="H1744" s="244">
        <v>0</v>
      </c>
      <c r="I1744" s="244">
        <v>0</v>
      </c>
      <c r="J1744" s="244">
        <v>2</v>
      </c>
      <c r="K1744" s="244">
        <v>0</v>
      </c>
      <c r="L1744" s="244">
        <v>0</v>
      </c>
      <c r="M1744" s="244">
        <v>0</v>
      </c>
      <c r="N1744" s="244">
        <v>2</v>
      </c>
      <c r="O1744" s="254">
        <v>0</v>
      </c>
    </row>
    <row r="1745" ht="14.25" spans="1:15">
      <c r="A1745" s="245" t="s">
        <v>72</v>
      </c>
      <c r="B1745" s="52" t="s">
        <v>64</v>
      </c>
      <c r="C1745" s="19">
        <v>0.294117647058824</v>
      </c>
      <c r="D1745" s="250">
        <v>1</v>
      </c>
      <c r="E1745" s="250">
        <v>0</v>
      </c>
      <c r="F1745" s="250">
        <v>0</v>
      </c>
      <c r="G1745" s="250">
        <v>0</v>
      </c>
      <c r="H1745" s="250">
        <v>0</v>
      </c>
      <c r="I1745" s="250">
        <v>0</v>
      </c>
      <c r="J1745" s="250">
        <v>2</v>
      </c>
      <c r="K1745" s="250">
        <v>0</v>
      </c>
      <c r="L1745" s="250">
        <v>0</v>
      </c>
      <c r="M1745" s="250">
        <v>0</v>
      </c>
      <c r="N1745" s="250">
        <v>2</v>
      </c>
      <c r="O1745" s="257">
        <v>0</v>
      </c>
    </row>
    <row r="1746" ht="14.25" spans="1:15">
      <c r="A1746" s="237">
        <v>45046</v>
      </c>
      <c r="B1746" s="237"/>
      <c r="C1746" s="237"/>
      <c r="D1746" s="237"/>
      <c r="E1746" s="237"/>
      <c r="F1746" s="237"/>
      <c r="G1746" s="237"/>
      <c r="H1746" s="237"/>
      <c r="I1746" s="237"/>
      <c r="J1746" s="237"/>
      <c r="K1746" s="237"/>
      <c r="L1746" s="237"/>
      <c r="M1746" s="237"/>
      <c r="N1746" s="237"/>
      <c r="O1746" s="237"/>
    </row>
    <row r="1747" spans="1:15">
      <c r="A1747" s="56" t="s">
        <v>1</v>
      </c>
      <c r="B1747" s="238"/>
      <c r="C1747" s="8" t="s">
        <v>42</v>
      </c>
      <c r="D1747" s="239" t="s">
        <v>43</v>
      </c>
      <c r="E1747" s="239" t="s">
        <v>44</v>
      </c>
      <c r="F1747" s="239" t="s">
        <v>45</v>
      </c>
      <c r="G1747" s="239" t="s">
        <v>46</v>
      </c>
      <c r="H1747" s="239" t="s">
        <v>47</v>
      </c>
      <c r="I1747" s="239" t="s">
        <v>48</v>
      </c>
      <c r="J1747" s="239" t="s">
        <v>49</v>
      </c>
      <c r="K1747" s="239" t="s">
        <v>50</v>
      </c>
      <c r="L1747" s="239" t="s">
        <v>51</v>
      </c>
      <c r="M1747" s="239" t="s">
        <v>52</v>
      </c>
      <c r="N1747" s="239" t="s">
        <v>53</v>
      </c>
      <c r="O1747" s="251" t="s">
        <v>54</v>
      </c>
    </row>
    <row r="1748" spans="1:15">
      <c r="A1748" s="240" t="s">
        <v>22</v>
      </c>
      <c r="B1748" s="47" t="s">
        <v>55</v>
      </c>
      <c r="C1748" s="12">
        <v>0.279654924514738</v>
      </c>
      <c r="D1748" s="241">
        <v>0.1796875</v>
      </c>
      <c r="E1748" s="241">
        <v>0.10989010989011</v>
      </c>
      <c r="F1748" s="241">
        <v>0.0896057347670251</v>
      </c>
      <c r="G1748" s="241">
        <v>0.223300970873786</v>
      </c>
      <c r="H1748" s="241">
        <v>0.301801801801802</v>
      </c>
      <c r="I1748" s="241">
        <v>0.433734939759036</v>
      </c>
      <c r="J1748" s="241">
        <v>0.431372549019608</v>
      </c>
      <c r="K1748" s="241">
        <v>0.46551724137931</v>
      </c>
      <c r="L1748" s="241">
        <v>0.370629370629371</v>
      </c>
      <c r="M1748" s="241">
        <v>0.531746031746032</v>
      </c>
      <c r="N1748" s="241">
        <v>0.48876404494382</v>
      </c>
      <c r="O1748" s="252">
        <v>0.428571428571429</v>
      </c>
    </row>
    <row r="1749" spans="1:15">
      <c r="A1749" s="242" t="s">
        <v>22</v>
      </c>
      <c r="B1749" s="43" t="s">
        <v>57</v>
      </c>
      <c r="C1749" s="15">
        <v>2782</v>
      </c>
      <c r="D1749" s="243">
        <v>512</v>
      </c>
      <c r="E1749" s="243">
        <v>455</v>
      </c>
      <c r="F1749" s="243">
        <v>279</v>
      </c>
      <c r="G1749" s="243">
        <v>206</v>
      </c>
      <c r="H1749" s="243">
        <v>222</v>
      </c>
      <c r="I1749" s="243">
        <v>166</v>
      </c>
      <c r="J1749" s="243">
        <v>153</v>
      </c>
      <c r="K1749" s="243">
        <v>174</v>
      </c>
      <c r="L1749" s="243">
        <v>143</v>
      </c>
      <c r="M1749" s="243">
        <v>126</v>
      </c>
      <c r="N1749" s="243">
        <v>178</v>
      </c>
      <c r="O1749" s="253">
        <v>168</v>
      </c>
    </row>
    <row r="1750" spans="1:15">
      <c r="A1750" s="240" t="s">
        <v>22</v>
      </c>
      <c r="B1750" s="47" t="s">
        <v>59</v>
      </c>
      <c r="C1750" s="15">
        <v>778</v>
      </c>
      <c r="D1750" s="243">
        <v>92</v>
      </c>
      <c r="E1750" s="243">
        <v>50</v>
      </c>
      <c r="F1750" s="243">
        <v>25</v>
      </c>
      <c r="G1750" s="243">
        <v>46</v>
      </c>
      <c r="H1750" s="243">
        <v>67</v>
      </c>
      <c r="I1750" s="243">
        <v>72</v>
      </c>
      <c r="J1750" s="243">
        <v>66</v>
      </c>
      <c r="K1750" s="243">
        <v>81</v>
      </c>
      <c r="L1750" s="243">
        <v>53</v>
      </c>
      <c r="M1750" s="243">
        <v>67</v>
      </c>
      <c r="N1750" s="243">
        <v>87</v>
      </c>
      <c r="O1750" s="253">
        <v>72</v>
      </c>
    </row>
    <row r="1751" spans="1:15">
      <c r="A1751" s="242" t="s">
        <v>22</v>
      </c>
      <c r="B1751" s="43" t="s">
        <v>4</v>
      </c>
      <c r="C1751" s="15">
        <v>49</v>
      </c>
      <c r="D1751" s="244">
        <v>7</v>
      </c>
      <c r="E1751" s="244">
        <v>4</v>
      </c>
      <c r="F1751" s="244">
        <v>3</v>
      </c>
      <c r="G1751" s="244">
        <v>4</v>
      </c>
      <c r="H1751" s="244">
        <v>3</v>
      </c>
      <c r="I1751" s="244">
        <v>4</v>
      </c>
      <c r="J1751" s="244">
        <v>5</v>
      </c>
      <c r="K1751" s="244">
        <v>4</v>
      </c>
      <c r="L1751" s="244">
        <v>1</v>
      </c>
      <c r="M1751" s="244">
        <v>5</v>
      </c>
      <c r="N1751" s="244">
        <v>4</v>
      </c>
      <c r="O1751" s="254">
        <v>5</v>
      </c>
    </row>
    <row r="1752" spans="1:15">
      <c r="A1752" s="240" t="s">
        <v>22</v>
      </c>
      <c r="B1752" s="47" t="s">
        <v>5</v>
      </c>
      <c r="C1752" s="12">
        <v>0.0629820051413882</v>
      </c>
      <c r="D1752" s="241">
        <v>0.0760869565217391</v>
      </c>
      <c r="E1752" s="241">
        <v>0.08</v>
      </c>
      <c r="F1752" s="241">
        <v>0.12</v>
      </c>
      <c r="G1752" s="241">
        <v>0.0869565217391304</v>
      </c>
      <c r="H1752" s="241">
        <v>0.0447761194029851</v>
      </c>
      <c r="I1752" s="241">
        <v>0.0555555555555556</v>
      </c>
      <c r="J1752" s="241">
        <v>0.0757575757575758</v>
      </c>
      <c r="K1752" s="241">
        <v>0.0493827160493827</v>
      </c>
      <c r="L1752" s="241">
        <v>0.0188679245283019</v>
      </c>
      <c r="M1752" s="241">
        <v>0.0746268656716418</v>
      </c>
      <c r="N1752" s="241">
        <v>0.0459770114942529</v>
      </c>
      <c r="O1752" s="252">
        <v>0.0694444444444444</v>
      </c>
    </row>
    <row r="1753" spans="1:15">
      <c r="A1753" s="242" t="s">
        <v>22</v>
      </c>
      <c r="B1753" s="43" t="s">
        <v>6</v>
      </c>
      <c r="C1753" s="15">
        <v>13</v>
      </c>
      <c r="D1753" s="244">
        <v>2</v>
      </c>
      <c r="E1753" s="244">
        <v>1</v>
      </c>
      <c r="F1753" s="244">
        <v>0</v>
      </c>
      <c r="G1753" s="244">
        <v>0</v>
      </c>
      <c r="H1753" s="244">
        <v>2</v>
      </c>
      <c r="I1753" s="244">
        <v>2</v>
      </c>
      <c r="J1753" s="244">
        <v>1</v>
      </c>
      <c r="K1753" s="244">
        <v>1</v>
      </c>
      <c r="L1753" s="244">
        <v>0</v>
      </c>
      <c r="M1753" s="244">
        <v>3</v>
      </c>
      <c r="N1753" s="244">
        <v>1</v>
      </c>
      <c r="O1753" s="254">
        <v>0</v>
      </c>
    </row>
    <row r="1754" ht="14.25" spans="1:15">
      <c r="A1754" s="245" t="s">
        <v>22</v>
      </c>
      <c r="B1754" s="52" t="s">
        <v>64</v>
      </c>
      <c r="C1754" s="19">
        <v>0.26530612244898</v>
      </c>
      <c r="D1754" s="246">
        <v>0.285714285714286</v>
      </c>
      <c r="E1754" s="246">
        <v>0.25</v>
      </c>
      <c r="F1754" s="246">
        <v>0</v>
      </c>
      <c r="G1754" s="246">
        <v>0</v>
      </c>
      <c r="H1754" s="246">
        <v>0.666666666666667</v>
      </c>
      <c r="I1754" s="246">
        <v>0.5</v>
      </c>
      <c r="J1754" s="246">
        <v>0.2</v>
      </c>
      <c r="K1754" s="246">
        <v>0.25</v>
      </c>
      <c r="L1754" s="246">
        <v>0</v>
      </c>
      <c r="M1754" s="246">
        <v>0.6</v>
      </c>
      <c r="N1754" s="246">
        <v>0.25</v>
      </c>
      <c r="O1754" s="255">
        <v>0</v>
      </c>
    </row>
    <row r="1755" spans="1:15">
      <c r="A1755" s="247" t="s">
        <v>66</v>
      </c>
      <c r="B1755" s="248" t="s">
        <v>55</v>
      </c>
      <c r="C1755" s="12">
        <v>0.132435465768799</v>
      </c>
      <c r="D1755" s="249">
        <v>0.1280353200883</v>
      </c>
      <c r="E1755" s="249">
        <v>0.0794392523364486</v>
      </c>
      <c r="F1755" s="249">
        <v>0.0364238410596026</v>
      </c>
      <c r="G1755" s="249">
        <v>0.0854700854700855</v>
      </c>
      <c r="H1755" s="249">
        <v>0.105263157894737</v>
      </c>
      <c r="I1755" s="249">
        <v>0.137142857142857</v>
      </c>
      <c r="J1755" s="249">
        <v>0.167597765363128</v>
      </c>
      <c r="K1755" s="249">
        <v>0.171974522292994</v>
      </c>
      <c r="L1755" s="249">
        <v>0.21969696969697</v>
      </c>
      <c r="M1755" s="249">
        <v>0.228346456692913</v>
      </c>
      <c r="N1755" s="249">
        <v>0.206106870229008</v>
      </c>
      <c r="O1755" s="256">
        <v>0.294520547945205</v>
      </c>
    </row>
    <row r="1756" spans="1:15">
      <c r="A1756" s="242" t="s">
        <v>66</v>
      </c>
      <c r="B1756" s="43" t="s">
        <v>57</v>
      </c>
      <c r="C1756" s="15">
        <v>2673</v>
      </c>
      <c r="D1756" s="243">
        <v>453</v>
      </c>
      <c r="E1756" s="243">
        <v>428</v>
      </c>
      <c r="F1756" s="243">
        <v>302</v>
      </c>
      <c r="G1756" s="243">
        <v>234</v>
      </c>
      <c r="H1756" s="243">
        <v>209</v>
      </c>
      <c r="I1756" s="243">
        <v>175</v>
      </c>
      <c r="J1756" s="243">
        <v>179</v>
      </c>
      <c r="K1756" s="243">
        <v>157</v>
      </c>
      <c r="L1756" s="243">
        <v>132</v>
      </c>
      <c r="M1756" s="243">
        <v>127</v>
      </c>
      <c r="N1756" s="243">
        <v>131</v>
      </c>
      <c r="O1756" s="253">
        <v>146</v>
      </c>
    </row>
    <row r="1757" spans="1:15">
      <c r="A1757" s="240" t="s">
        <v>66</v>
      </c>
      <c r="B1757" s="47" t="s">
        <v>59</v>
      </c>
      <c r="C1757" s="15">
        <v>354</v>
      </c>
      <c r="D1757" s="243">
        <v>58</v>
      </c>
      <c r="E1757" s="243">
        <v>34</v>
      </c>
      <c r="F1757" s="243">
        <v>11</v>
      </c>
      <c r="G1757" s="243">
        <v>20</v>
      </c>
      <c r="H1757" s="243">
        <v>22</v>
      </c>
      <c r="I1757" s="243">
        <v>24</v>
      </c>
      <c r="J1757" s="243">
        <v>30</v>
      </c>
      <c r="K1757" s="243">
        <v>27</v>
      </c>
      <c r="L1757" s="243">
        <v>29</v>
      </c>
      <c r="M1757" s="243">
        <v>29</v>
      </c>
      <c r="N1757" s="243">
        <v>27</v>
      </c>
      <c r="O1757" s="253">
        <v>43</v>
      </c>
    </row>
    <row r="1758" spans="1:15">
      <c r="A1758" s="242" t="s">
        <v>66</v>
      </c>
      <c r="B1758" s="43" t="s">
        <v>4</v>
      </c>
      <c r="C1758" s="15">
        <v>20</v>
      </c>
      <c r="D1758" s="244">
        <v>5</v>
      </c>
      <c r="E1758" s="244">
        <v>1</v>
      </c>
      <c r="F1758" s="244">
        <v>1</v>
      </c>
      <c r="G1758" s="244">
        <v>1</v>
      </c>
      <c r="H1758" s="244">
        <v>1</v>
      </c>
      <c r="I1758" s="244">
        <v>2</v>
      </c>
      <c r="J1758" s="244">
        <v>2</v>
      </c>
      <c r="K1758" s="244">
        <v>1</v>
      </c>
      <c r="L1758" s="244">
        <v>2</v>
      </c>
      <c r="M1758" s="244">
        <v>1</v>
      </c>
      <c r="N1758" s="244">
        <v>1</v>
      </c>
      <c r="O1758" s="254">
        <v>2</v>
      </c>
    </row>
    <row r="1759" spans="1:15">
      <c r="A1759" s="240" t="s">
        <v>66</v>
      </c>
      <c r="B1759" s="47" t="s">
        <v>5</v>
      </c>
      <c r="C1759" s="12">
        <v>0.0564971751412429</v>
      </c>
      <c r="D1759" s="241">
        <v>0.0862068965517241</v>
      </c>
      <c r="E1759" s="241">
        <v>0.0294117647058824</v>
      </c>
      <c r="F1759" s="241">
        <v>0.0909090909090909</v>
      </c>
      <c r="G1759" s="241">
        <v>0.05</v>
      </c>
      <c r="H1759" s="241">
        <v>0.0454545454545455</v>
      </c>
      <c r="I1759" s="241">
        <v>0.0833333333333333</v>
      </c>
      <c r="J1759" s="241">
        <v>0.0666666666666667</v>
      </c>
      <c r="K1759" s="241">
        <v>0.037037037037037</v>
      </c>
      <c r="L1759" s="241">
        <v>0.0689655172413793</v>
      </c>
      <c r="M1759" s="241">
        <v>0.0344827586206897</v>
      </c>
      <c r="N1759" s="241">
        <v>0.037037037037037</v>
      </c>
      <c r="O1759" s="252">
        <v>0.0465116279069767</v>
      </c>
    </row>
    <row r="1760" spans="1:15">
      <c r="A1760" s="242" t="s">
        <v>66</v>
      </c>
      <c r="B1760" s="43" t="s">
        <v>6</v>
      </c>
      <c r="C1760" s="15">
        <v>5</v>
      </c>
      <c r="D1760" s="244">
        <v>1</v>
      </c>
      <c r="E1760" s="244">
        <v>0</v>
      </c>
      <c r="F1760" s="244">
        <v>1</v>
      </c>
      <c r="G1760" s="244">
        <v>1</v>
      </c>
      <c r="H1760" s="244">
        <v>0</v>
      </c>
      <c r="I1760" s="244">
        <v>0</v>
      </c>
      <c r="J1760" s="244">
        <v>1</v>
      </c>
      <c r="K1760" s="244">
        <v>0</v>
      </c>
      <c r="L1760" s="244">
        <v>1</v>
      </c>
      <c r="M1760" s="244">
        <v>0</v>
      </c>
      <c r="N1760" s="244">
        <v>0</v>
      </c>
      <c r="O1760" s="254">
        <v>0</v>
      </c>
    </row>
    <row r="1761" ht="14.25" spans="1:15">
      <c r="A1761" s="245" t="s">
        <v>66</v>
      </c>
      <c r="B1761" s="52" t="s">
        <v>64</v>
      </c>
      <c r="C1761" s="19">
        <v>0.25</v>
      </c>
      <c r="D1761" s="246">
        <v>0.2</v>
      </c>
      <c r="E1761" s="246">
        <v>0</v>
      </c>
      <c r="F1761" s="246">
        <v>1</v>
      </c>
      <c r="G1761" s="246">
        <v>1</v>
      </c>
      <c r="H1761" s="246">
        <v>0</v>
      </c>
      <c r="I1761" s="246">
        <v>0</v>
      </c>
      <c r="J1761" s="246">
        <v>0.5</v>
      </c>
      <c r="K1761" s="246">
        <v>0</v>
      </c>
      <c r="L1761" s="246">
        <v>0.5</v>
      </c>
      <c r="M1761" s="246">
        <v>0</v>
      </c>
      <c r="N1761" s="246">
        <v>0</v>
      </c>
      <c r="O1761" s="255">
        <v>0</v>
      </c>
    </row>
    <row r="1762" spans="1:15">
      <c r="A1762" s="240" t="s">
        <v>67</v>
      </c>
      <c r="B1762" s="47" t="s">
        <v>55</v>
      </c>
      <c r="C1762" s="12">
        <v>0.380208333333333</v>
      </c>
      <c r="D1762" s="241">
        <v>0.363636363636364</v>
      </c>
      <c r="E1762" s="241">
        <v>0.414634146341463</v>
      </c>
      <c r="F1762" s="241">
        <v>0.456521739130435</v>
      </c>
      <c r="G1762" s="241">
        <v>0.590909090909091</v>
      </c>
      <c r="H1762" s="241">
        <v>0.370689655172414</v>
      </c>
      <c r="I1762" s="241">
        <v>0.416666666666667</v>
      </c>
      <c r="J1762" s="241">
        <v>0.427083333333333</v>
      </c>
      <c r="K1762" s="241">
        <v>0.324074074074074</v>
      </c>
      <c r="L1762" s="241">
        <v>0.343137254901961</v>
      </c>
      <c r="M1762" s="241">
        <v>0.466666666666667</v>
      </c>
      <c r="N1762" s="241">
        <v>0.35</v>
      </c>
      <c r="O1762" s="252">
        <v>0.3</v>
      </c>
    </row>
    <row r="1763" spans="1:15">
      <c r="A1763" s="242" t="s">
        <v>67</v>
      </c>
      <c r="B1763" s="43" t="s">
        <v>57</v>
      </c>
      <c r="C1763" s="15">
        <v>1152</v>
      </c>
      <c r="D1763" s="243">
        <v>132</v>
      </c>
      <c r="E1763" s="243">
        <v>82</v>
      </c>
      <c r="F1763" s="243">
        <v>46</v>
      </c>
      <c r="G1763" s="243">
        <v>44</v>
      </c>
      <c r="H1763" s="243">
        <v>116</v>
      </c>
      <c r="I1763" s="243">
        <v>96</v>
      </c>
      <c r="J1763" s="243">
        <v>96</v>
      </c>
      <c r="K1763" s="243">
        <v>108</v>
      </c>
      <c r="L1763" s="243">
        <v>102</v>
      </c>
      <c r="M1763" s="243">
        <v>60</v>
      </c>
      <c r="N1763" s="243">
        <v>120</v>
      </c>
      <c r="O1763" s="253">
        <v>150</v>
      </c>
    </row>
    <row r="1764" spans="1:15">
      <c r="A1764" s="240" t="s">
        <v>67</v>
      </c>
      <c r="B1764" s="47" t="s">
        <v>59</v>
      </c>
      <c r="C1764" s="15">
        <v>438</v>
      </c>
      <c r="D1764" s="243">
        <v>48</v>
      </c>
      <c r="E1764" s="243">
        <v>34</v>
      </c>
      <c r="F1764" s="243">
        <v>21</v>
      </c>
      <c r="G1764" s="243">
        <v>26</v>
      </c>
      <c r="H1764" s="243">
        <v>43</v>
      </c>
      <c r="I1764" s="243">
        <v>40</v>
      </c>
      <c r="J1764" s="243">
        <v>41</v>
      </c>
      <c r="K1764" s="243">
        <v>35</v>
      </c>
      <c r="L1764" s="243">
        <v>35</v>
      </c>
      <c r="M1764" s="243">
        <v>28</v>
      </c>
      <c r="N1764" s="243">
        <v>42</v>
      </c>
      <c r="O1764" s="253">
        <v>45</v>
      </c>
    </row>
    <row r="1765" spans="1:15">
      <c r="A1765" s="242" t="s">
        <v>67</v>
      </c>
      <c r="B1765" s="43" t="s">
        <v>4</v>
      </c>
      <c r="C1765" s="15">
        <v>24</v>
      </c>
      <c r="D1765" s="244">
        <v>1</v>
      </c>
      <c r="E1765" s="244">
        <v>3</v>
      </c>
      <c r="F1765" s="244">
        <v>2</v>
      </c>
      <c r="G1765" s="244">
        <v>3</v>
      </c>
      <c r="H1765" s="244">
        <v>1</v>
      </c>
      <c r="I1765" s="244">
        <v>2</v>
      </c>
      <c r="J1765" s="244">
        <v>0</v>
      </c>
      <c r="K1765" s="244">
        <v>0</v>
      </c>
      <c r="L1765" s="244">
        <v>2</v>
      </c>
      <c r="M1765" s="244">
        <v>2</v>
      </c>
      <c r="N1765" s="244">
        <v>3</v>
      </c>
      <c r="O1765" s="254">
        <v>5</v>
      </c>
    </row>
    <row r="1766" spans="1:15">
      <c r="A1766" s="240" t="s">
        <v>67</v>
      </c>
      <c r="B1766" s="47" t="s">
        <v>5</v>
      </c>
      <c r="C1766" s="12">
        <v>0.0547945205479452</v>
      </c>
      <c r="D1766" s="241">
        <v>0.0208333333333333</v>
      </c>
      <c r="E1766" s="241">
        <v>0.0882352941176471</v>
      </c>
      <c r="F1766" s="241">
        <v>0.0952380952380952</v>
      </c>
      <c r="G1766" s="241">
        <v>0.115384615384615</v>
      </c>
      <c r="H1766" s="241">
        <v>0.0232558139534884</v>
      </c>
      <c r="I1766" s="241">
        <v>0.05</v>
      </c>
      <c r="J1766" s="241">
        <v>0</v>
      </c>
      <c r="K1766" s="241">
        <v>0</v>
      </c>
      <c r="L1766" s="241">
        <v>0.0571428571428571</v>
      </c>
      <c r="M1766" s="241">
        <v>0.0714285714285714</v>
      </c>
      <c r="N1766" s="241">
        <v>0.0714285714285714</v>
      </c>
      <c r="O1766" s="252">
        <v>0.111111111111111</v>
      </c>
    </row>
    <row r="1767" spans="1:15">
      <c r="A1767" s="242" t="s">
        <v>67</v>
      </c>
      <c r="B1767" s="43" t="s">
        <v>6</v>
      </c>
      <c r="C1767" s="15">
        <v>8</v>
      </c>
      <c r="D1767" s="244">
        <v>0</v>
      </c>
      <c r="E1767" s="244">
        <v>1</v>
      </c>
      <c r="F1767" s="244">
        <v>0</v>
      </c>
      <c r="G1767" s="244">
        <v>2</v>
      </c>
      <c r="H1767" s="244">
        <v>0</v>
      </c>
      <c r="I1767" s="244">
        <v>1</v>
      </c>
      <c r="J1767" s="244">
        <v>0</v>
      </c>
      <c r="K1767" s="244">
        <v>2</v>
      </c>
      <c r="L1767" s="244">
        <v>0</v>
      </c>
      <c r="M1767" s="244">
        <v>0</v>
      </c>
      <c r="N1767" s="244">
        <v>1</v>
      </c>
      <c r="O1767" s="254">
        <v>1</v>
      </c>
    </row>
    <row r="1768" ht="14.25" spans="1:15">
      <c r="A1768" s="245" t="s">
        <v>67</v>
      </c>
      <c r="B1768" s="52" t="s">
        <v>64</v>
      </c>
      <c r="C1768" s="19">
        <v>0.333333333333333</v>
      </c>
      <c r="D1768" s="246">
        <v>0</v>
      </c>
      <c r="E1768" s="246">
        <v>0.333333333333333</v>
      </c>
      <c r="F1768" s="246">
        <v>0</v>
      </c>
      <c r="G1768" s="246">
        <v>0.666666666666667</v>
      </c>
      <c r="H1768" s="246">
        <v>0</v>
      </c>
      <c r="I1768" s="246">
        <v>0.5</v>
      </c>
      <c r="J1768" s="246">
        <v>0</v>
      </c>
      <c r="K1768" s="246">
        <v>0</v>
      </c>
      <c r="L1768" s="246">
        <v>0</v>
      </c>
      <c r="M1768" s="246">
        <v>0</v>
      </c>
      <c r="N1768" s="246">
        <v>0.333333333333333</v>
      </c>
      <c r="O1768" s="255">
        <v>0.2</v>
      </c>
    </row>
    <row r="1769" spans="1:15">
      <c r="A1769" s="240" t="s">
        <v>68</v>
      </c>
      <c r="B1769" s="47" t="s">
        <v>55</v>
      </c>
      <c r="C1769" s="12">
        <v>0.0664788732394366</v>
      </c>
      <c r="D1769" s="241">
        <v>0.0645161290322581</v>
      </c>
      <c r="E1769" s="241">
        <v>0.113861386138614</v>
      </c>
      <c r="F1769" s="241">
        <v>0.065843621399177</v>
      </c>
      <c r="G1769" s="241">
        <v>0.0480349344978166</v>
      </c>
      <c r="H1769" s="241">
        <v>0.0631768953068592</v>
      </c>
      <c r="I1769" s="241">
        <v>0.0542857142857143</v>
      </c>
      <c r="J1769" s="241">
        <v>0.045531197301855</v>
      </c>
      <c r="K1769" s="241">
        <v>0.0688336520076482</v>
      </c>
      <c r="L1769" s="241">
        <v>0.0687203791469194</v>
      </c>
      <c r="M1769" s="241">
        <v>0.0729166666666667</v>
      </c>
      <c r="N1769" s="241">
        <v>0.0842911877394636</v>
      </c>
      <c r="O1769" s="252">
        <v>0.0806451612903226</v>
      </c>
    </row>
    <row r="1770" spans="1:15">
      <c r="A1770" s="242" t="s">
        <v>68</v>
      </c>
      <c r="B1770" s="43" t="s">
        <v>57</v>
      </c>
      <c r="C1770" s="15">
        <v>10650</v>
      </c>
      <c r="D1770" s="243">
        <v>868</v>
      </c>
      <c r="E1770" s="243">
        <v>404</v>
      </c>
      <c r="F1770" s="243">
        <v>486</v>
      </c>
      <c r="G1770" s="243">
        <v>916</v>
      </c>
      <c r="H1770" s="243">
        <v>1108</v>
      </c>
      <c r="I1770" s="243">
        <v>1050</v>
      </c>
      <c r="J1770" s="243">
        <v>1186</v>
      </c>
      <c r="K1770" s="243">
        <v>1046</v>
      </c>
      <c r="L1770" s="243">
        <v>844</v>
      </c>
      <c r="M1770" s="243">
        <v>768</v>
      </c>
      <c r="N1770" s="243">
        <v>1044</v>
      </c>
      <c r="O1770" s="253">
        <v>930</v>
      </c>
    </row>
    <row r="1771" spans="1:15">
      <c r="A1771" s="240" t="s">
        <v>68</v>
      </c>
      <c r="B1771" s="47" t="s">
        <v>59</v>
      </c>
      <c r="C1771" s="15">
        <v>708</v>
      </c>
      <c r="D1771" s="243">
        <v>56</v>
      </c>
      <c r="E1771" s="243">
        <v>46</v>
      </c>
      <c r="F1771" s="243">
        <v>32</v>
      </c>
      <c r="G1771" s="243">
        <v>44</v>
      </c>
      <c r="H1771" s="243">
        <v>70</v>
      </c>
      <c r="I1771" s="243">
        <v>57</v>
      </c>
      <c r="J1771" s="243">
        <v>54</v>
      </c>
      <c r="K1771" s="243">
        <v>72</v>
      </c>
      <c r="L1771" s="243">
        <v>58</v>
      </c>
      <c r="M1771" s="243">
        <v>56</v>
      </c>
      <c r="N1771" s="243">
        <v>88</v>
      </c>
      <c r="O1771" s="253">
        <v>75</v>
      </c>
    </row>
    <row r="1772" spans="1:15">
      <c r="A1772" s="242" t="s">
        <v>68</v>
      </c>
      <c r="B1772" s="43" t="s">
        <v>4</v>
      </c>
      <c r="C1772" s="15">
        <v>50</v>
      </c>
      <c r="D1772" s="244">
        <v>5</v>
      </c>
      <c r="E1772" s="244">
        <v>7</v>
      </c>
      <c r="F1772" s="244">
        <v>1</v>
      </c>
      <c r="G1772" s="244">
        <v>3</v>
      </c>
      <c r="H1772" s="244">
        <v>9</v>
      </c>
      <c r="I1772" s="244">
        <v>1</v>
      </c>
      <c r="J1772" s="244">
        <v>4</v>
      </c>
      <c r="K1772" s="244">
        <v>6</v>
      </c>
      <c r="L1772" s="244">
        <v>1</v>
      </c>
      <c r="M1772" s="244">
        <v>1</v>
      </c>
      <c r="N1772" s="244">
        <v>3</v>
      </c>
      <c r="O1772" s="254">
        <v>9</v>
      </c>
    </row>
    <row r="1773" spans="1:15">
      <c r="A1773" s="240" t="s">
        <v>68</v>
      </c>
      <c r="B1773" s="47" t="s">
        <v>5</v>
      </c>
      <c r="C1773" s="12">
        <v>0.0706214689265537</v>
      </c>
      <c r="D1773" s="241">
        <v>0.0892857142857143</v>
      </c>
      <c r="E1773" s="241">
        <v>0.152173913043478</v>
      </c>
      <c r="F1773" s="241">
        <v>0.03125</v>
      </c>
      <c r="G1773" s="241">
        <v>0.0681818181818182</v>
      </c>
      <c r="H1773" s="241">
        <v>0.128571428571429</v>
      </c>
      <c r="I1773" s="241">
        <v>0.0175438596491228</v>
      </c>
      <c r="J1773" s="241">
        <v>0.0740740740740741</v>
      </c>
      <c r="K1773" s="241">
        <v>0.0833333333333333</v>
      </c>
      <c r="L1773" s="241">
        <v>0.0172413793103448</v>
      </c>
      <c r="M1773" s="241">
        <v>0.0178571428571429</v>
      </c>
      <c r="N1773" s="241">
        <v>0.0340909090909091</v>
      </c>
      <c r="O1773" s="252">
        <v>0.12</v>
      </c>
    </row>
    <row r="1774" spans="1:15">
      <c r="A1774" s="242" t="s">
        <v>68</v>
      </c>
      <c r="B1774" s="43" t="s">
        <v>6</v>
      </c>
      <c r="C1774" s="15">
        <v>17</v>
      </c>
      <c r="D1774" s="244">
        <v>3</v>
      </c>
      <c r="E1774" s="244">
        <v>1</v>
      </c>
      <c r="F1774" s="244">
        <v>1</v>
      </c>
      <c r="G1774" s="244">
        <v>1</v>
      </c>
      <c r="H1774" s="244">
        <v>2</v>
      </c>
      <c r="I1774" s="244">
        <v>3</v>
      </c>
      <c r="J1774" s="244">
        <v>0</v>
      </c>
      <c r="K1774" s="244">
        <v>1</v>
      </c>
      <c r="L1774" s="244">
        <v>3</v>
      </c>
      <c r="M1774" s="244">
        <v>0</v>
      </c>
      <c r="N1774" s="244">
        <v>1</v>
      </c>
      <c r="O1774" s="254">
        <v>1</v>
      </c>
    </row>
    <row r="1775" ht="14.25" spans="1:15">
      <c r="A1775" s="245" t="s">
        <v>68</v>
      </c>
      <c r="B1775" s="52" t="s">
        <v>64</v>
      </c>
      <c r="C1775" s="19">
        <v>0.34</v>
      </c>
      <c r="D1775" s="246">
        <v>0.6</v>
      </c>
      <c r="E1775" s="246">
        <v>0.142857142857143</v>
      </c>
      <c r="F1775" s="246">
        <v>1</v>
      </c>
      <c r="G1775" s="246">
        <v>0.333333333333333</v>
      </c>
      <c r="H1775" s="246">
        <v>0.222222222222222</v>
      </c>
      <c r="I1775" s="246">
        <v>3</v>
      </c>
      <c r="J1775" s="246">
        <v>0</v>
      </c>
      <c r="K1775" s="246">
        <v>0.166666666666667</v>
      </c>
      <c r="L1775" s="246">
        <v>3</v>
      </c>
      <c r="M1775" s="246">
        <v>0</v>
      </c>
      <c r="N1775" s="246">
        <v>0.333333333333333</v>
      </c>
      <c r="O1775" s="255">
        <v>0.111111111111111</v>
      </c>
    </row>
    <row r="1776" spans="1:15">
      <c r="A1776" s="240" t="s">
        <v>69</v>
      </c>
      <c r="B1776" s="47" t="s">
        <v>55</v>
      </c>
      <c r="C1776" s="12">
        <v>0.967272727272727</v>
      </c>
      <c r="D1776" s="241">
        <v>1.14035087719298</v>
      </c>
      <c r="E1776" s="241">
        <v>1.33333333333333</v>
      </c>
      <c r="F1776" s="241">
        <v>1.14285714285714</v>
      </c>
      <c r="G1776" s="241">
        <v>1.05</v>
      </c>
      <c r="H1776" s="241">
        <v>1</v>
      </c>
      <c r="I1776" s="241">
        <v>0.9375</v>
      </c>
      <c r="J1776" s="241">
        <v>0.980392156862745</v>
      </c>
      <c r="K1776" s="241">
        <v>0.875</v>
      </c>
      <c r="L1776" s="241">
        <v>0.823529411764706</v>
      </c>
      <c r="M1776" s="241">
        <v>0.938775510204082</v>
      </c>
      <c r="N1776" s="241">
        <v>0.926470588235294</v>
      </c>
      <c r="O1776" s="252">
        <v>0.842105263157895</v>
      </c>
    </row>
    <row r="1777" spans="1:15">
      <c r="A1777" s="242" t="s">
        <v>69</v>
      </c>
      <c r="B1777" s="43" t="s">
        <v>57</v>
      </c>
      <c r="C1777" s="15">
        <v>550</v>
      </c>
      <c r="D1777" s="243">
        <v>57</v>
      </c>
      <c r="E1777" s="243">
        <v>24</v>
      </c>
      <c r="F1777" s="243">
        <v>14</v>
      </c>
      <c r="G1777" s="243">
        <v>20</v>
      </c>
      <c r="H1777" s="243">
        <v>55</v>
      </c>
      <c r="I1777" s="243">
        <v>48</v>
      </c>
      <c r="J1777" s="243">
        <v>51</v>
      </c>
      <c r="K1777" s="243">
        <v>56</v>
      </c>
      <c r="L1777" s="243">
        <v>51</v>
      </c>
      <c r="M1777" s="243">
        <v>49</v>
      </c>
      <c r="N1777" s="243">
        <v>68</v>
      </c>
      <c r="O1777" s="253">
        <v>57</v>
      </c>
    </row>
    <row r="1778" spans="1:15">
      <c r="A1778" s="240" t="s">
        <v>69</v>
      </c>
      <c r="B1778" s="47" t="s">
        <v>59</v>
      </c>
      <c r="C1778" s="15">
        <v>532</v>
      </c>
      <c r="D1778" s="243">
        <v>65</v>
      </c>
      <c r="E1778" s="243">
        <v>32</v>
      </c>
      <c r="F1778" s="243">
        <v>16</v>
      </c>
      <c r="G1778" s="243">
        <v>21</v>
      </c>
      <c r="H1778" s="243">
        <v>55</v>
      </c>
      <c r="I1778" s="243">
        <v>45</v>
      </c>
      <c r="J1778" s="243">
        <v>50</v>
      </c>
      <c r="K1778" s="243">
        <v>49</v>
      </c>
      <c r="L1778" s="243">
        <v>42</v>
      </c>
      <c r="M1778" s="243">
        <v>46</v>
      </c>
      <c r="N1778" s="243">
        <v>63</v>
      </c>
      <c r="O1778" s="253">
        <v>48</v>
      </c>
    </row>
    <row r="1779" spans="1:15">
      <c r="A1779" s="242" t="s">
        <v>69</v>
      </c>
      <c r="B1779" s="43" t="s">
        <v>4</v>
      </c>
      <c r="C1779" s="15">
        <v>26</v>
      </c>
      <c r="D1779" s="244">
        <v>1</v>
      </c>
      <c r="E1779" s="244">
        <v>1</v>
      </c>
      <c r="F1779" s="244">
        <v>0</v>
      </c>
      <c r="G1779" s="244">
        <v>0</v>
      </c>
      <c r="H1779" s="244">
        <v>2</v>
      </c>
      <c r="I1779" s="244">
        <v>2</v>
      </c>
      <c r="J1779" s="244">
        <v>2</v>
      </c>
      <c r="K1779" s="244">
        <v>2</v>
      </c>
      <c r="L1779" s="244">
        <v>1</v>
      </c>
      <c r="M1779" s="244">
        <v>4</v>
      </c>
      <c r="N1779" s="244">
        <v>7</v>
      </c>
      <c r="O1779" s="254">
        <v>4</v>
      </c>
    </row>
    <row r="1780" spans="1:15">
      <c r="A1780" s="240" t="s">
        <v>69</v>
      </c>
      <c r="B1780" s="47" t="s">
        <v>5</v>
      </c>
      <c r="C1780" s="12">
        <v>0.0488721804511278</v>
      </c>
      <c r="D1780" s="241">
        <v>0.0153846153846154</v>
      </c>
      <c r="E1780" s="241">
        <v>0.03125</v>
      </c>
      <c r="F1780" s="241">
        <v>0</v>
      </c>
      <c r="G1780" s="241">
        <v>0</v>
      </c>
      <c r="H1780" s="241">
        <v>0.0363636363636364</v>
      </c>
      <c r="I1780" s="241">
        <v>0.0444444444444444</v>
      </c>
      <c r="J1780" s="241">
        <v>0.04</v>
      </c>
      <c r="K1780" s="241">
        <v>0.0408163265306122</v>
      </c>
      <c r="L1780" s="241">
        <v>0.0238095238095238</v>
      </c>
      <c r="M1780" s="241">
        <v>0.0869565217391304</v>
      </c>
      <c r="N1780" s="241">
        <v>0.111111111111111</v>
      </c>
      <c r="O1780" s="252">
        <v>0.0833333333333333</v>
      </c>
    </row>
    <row r="1781" spans="1:15">
      <c r="A1781" s="242" t="s">
        <v>69</v>
      </c>
      <c r="B1781" s="43" t="s">
        <v>6</v>
      </c>
      <c r="C1781" s="15">
        <v>11</v>
      </c>
      <c r="D1781" s="244">
        <v>3</v>
      </c>
      <c r="E1781" s="244">
        <v>0</v>
      </c>
      <c r="F1781" s="244">
        <v>0</v>
      </c>
      <c r="G1781" s="244">
        <v>1</v>
      </c>
      <c r="H1781" s="244">
        <v>0</v>
      </c>
      <c r="I1781" s="244">
        <v>1</v>
      </c>
      <c r="J1781" s="244">
        <v>0</v>
      </c>
      <c r="K1781" s="244">
        <v>0</v>
      </c>
      <c r="L1781" s="244">
        <v>0</v>
      </c>
      <c r="M1781" s="244">
        <v>1</v>
      </c>
      <c r="N1781" s="244">
        <v>3</v>
      </c>
      <c r="O1781" s="254">
        <v>2</v>
      </c>
    </row>
    <row r="1782" ht="14.25" spans="1:15">
      <c r="A1782" s="245" t="s">
        <v>69</v>
      </c>
      <c r="B1782" s="52" t="s">
        <v>64</v>
      </c>
      <c r="C1782" s="19">
        <v>0.423076923076923</v>
      </c>
      <c r="D1782" s="246">
        <v>3</v>
      </c>
      <c r="E1782" s="246">
        <v>0</v>
      </c>
      <c r="F1782" s="246">
        <v>0</v>
      </c>
      <c r="G1782" s="246">
        <v>0</v>
      </c>
      <c r="H1782" s="246">
        <v>0</v>
      </c>
      <c r="I1782" s="246">
        <v>0.5</v>
      </c>
      <c r="J1782" s="246">
        <v>0</v>
      </c>
      <c r="K1782" s="246">
        <v>0</v>
      </c>
      <c r="L1782" s="246">
        <v>0</v>
      </c>
      <c r="M1782" s="246">
        <v>0.25</v>
      </c>
      <c r="N1782" s="246">
        <v>0.428571428571429</v>
      </c>
      <c r="O1782" s="255">
        <v>0.5</v>
      </c>
    </row>
    <row r="1783" spans="1:15">
      <c r="A1783" s="240" t="s">
        <v>70</v>
      </c>
      <c r="B1783" s="47" t="s">
        <v>55</v>
      </c>
      <c r="C1783" s="12">
        <v>0.742152466367713</v>
      </c>
      <c r="D1783" s="241">
        <v>1</v>
      </c>
      <c r="E1783" s="241">
        <v>1</v>
      </c>
      <c r="F1783" s="241">
        <v>1.09090909090909</v>
      </c>
      <c r="G1783" s="241">
        <v>0.916666666666667</v>
      </c>
      <c r="H1783" s="241">
        <v>0.851851851851852</v>
      </c>
      <c r="I1783" s="241">
        <v>0.666666666666667</v>
      </c>
      <c r="J1783" s="241">
        <v>0.741379310344828</v>
      </c>
      <c r="K1783" s="241">
        <v>0.760869565217391</v>
      </c>
      <c r="L1783" s="241">
        <v>0.6</v>
      </c>
      <c r="M1783" s="241">
        <v>0.824561403508772</v>
      </c>
      <c r="N1783" s="241">
        <v>0.587301587301587</v>
      </c>
      <c r="O1783" s="252">
        <v>0.636363636363636</v>
      </c>
    </row>
    <row r="1784" spans="1:15">
      <c r="A1784" s="242" t="s">
        <v>70</v>
      </c>
      <c r="B1784" s="43" t="s">
        <v>57</v>
      </c>
      <c r="C1784" s="15">
        <v>446</v>
      </c>
      <c r="D1784" s="243">
        <v>29</v>
      </c>
      <c r="E1784" s="243">
        <v>9</v>
      </c>
      <c r="F1784" s="243">
        <v>11</v>
      </c>
      <c r="G1784" s="243">
        <v>12</v>
      </c>
      <c r="H1784" s="243">
        <v>27</v>
      </c>
      <c r="I1784" s="243">
        <v>39</v>
      </c>
      <c r="J1784" s="243">
        <v>58</v>
      </c>
      <c r="K1784" s="243">
        <v>46</v>
      </c>
      <c r="L1784" s="243">
        <v>40</v>
      </c>
      <c r="M1784" s="243">
        <v>57</v>
      </c>
      <c r="N1784" s="243">
        <v>63</v>
      </c>
      <c r="O1784" s="253">
        <v>55</v>
      </c>
    </row>
    <row r="1785" spans="1:15">
      <c r="A1785" s="240" t="s">
        <v>70</v>
      </c>
      <c r="B1785" s="47" t="s">
        <v>59</v>
      </c>
      <c r="C1785" s="15">
        <v>331</v>
      </c>
      <c r="D1785" s="243">
        <v>29</v>
      </c>
      <c r="E1785" s="243">
        <v>9</v>
      </c>
      <c r="F1785" s="243">
        <v>12</v>
      </c>
      <c r="G1785" s="243">
        <v>11</v>
      </c>
      <c r="H1785" s="243">
        <v>23</v>
      </c>
      <c r="I1785" s="243">
        <v>26</v>
      </c>
      <c r="J1785" s="243">
        <v>43</v>
      </c>
      <c r="K1785" s="243">
        <v>35</v>
      </c>
      <c r="L1785" s="243">
        <v>24</v>
      </c>
      <c r="M1785" s="243">
        <v>47</v>
      </c>
      <c r="N1785" s="243">
        <v>37</v>
      </c>
      <c r="O1785" s="253">
        <v>35</v>
      </c>
    </row>
    <row r="1786" spans="1:15">
      <c r="A1786" s="242" t="s">
        <v>70</v>
      </c>
      <c r="B1786" s="43" t="s">
        <v>4</v>
      </c>
      <c r="C1786" s="15">
        <v>4</v>
      </c>
      <c r="D1786" s="244">
        <v>0</v>
      </c>
      <c r="E1786" s="244">
        <v>0</v>
      </c>
      <c r="F1786" s="244">
        <v>1</v>
      </c>
      <c r="G1786" s="244">
        <v>1</v>
      </c>
      <c r="H1786" s="244">
        <v>0</v>
      </c>
      <c r="I1786" s="244">
        <v>1</v>
      </c>
      <c r="J1786" s="244">
        <v>0</v>
      </c>
      <c r="K1786" s="244">
        <v>0</v>
      </c>
      <c r="L1786" s="244">
        <v>0</v>
      </c>
      <c r="M1786" s="244">
        <v>0</v>
      </c>
      <c r="N1786" s="244">
        <v>0</v>
      </c>
      <c r="O1786" s="254">
        <v>1</v>
      </c>
    </row>
    <row r="1787" spans="1:15">
      <c r="A1787" s="240" t="s">
        <v>70</v>
      </c>
      <c r="B1787" s="47" t="s">
        <v>5</v>
      </c>
      <c r="C1787" s="12">
        <v>0.0120845921450151</v>
      </c>
      <c r="D1787" s="241">
        <v>0</v>
      </c>
      <c r="E1787" s="241">
        <v>0</v>
      </c>
      <c r="F1787" s="241">
        <v>0.0833333333333333</v>
      </c>
      <c r="G1787" s="241">
        <v>0.0909090909090909</v>
      </c>
      <c r="H1787" s="241">
        <v>0</v>
      </c>
      <c r="I1787" s="241">
        <v>0.0384615384615385</v>
      </c>
      <c r="J1787" s="241">
        <v>0</v>
      </c>
      <c r="K1787" s="241">
        <v>0</v>
      </c>
      <c r="L1787" s="241">
        <v>0</v>
      </c>
      <c r="M1787" s="241">
        <v>0</v>
      </c>
      <c r="N1787" s="241">
        <v>0</v>
      </c>
      <c r="O1787" s="252">
        <v>0.0285714285714286</v>
      </c>
    </row>
    <row r="1788" spans="1:15">
      <c r="A1788" s="242" t="s">
        <v>70</v>
      </c>
      <c r="B1788" s="43" t="s">
        <v>6</v>
      </c>
      <c r="C1788" s="15">
        <v>0</v>
      </c>
      <c r="D1788" s="244">
        <v>0</v>
      </c>
      <c r="E1788" s="244">
        <v>0</v>
      </c>
      <c r="F1788" s="244">
        <v>0</v>
      </c>
      <c r="G1788" s="244">
        <v>0</v>
      </c>
      <c r="H1788" s="244">
        <v>0</v>
      </c>
      <c r="I1788" s="244">
        <v>0</v>
      </c>
      <c r="J1788" s="244">
        <v>0</v>
      </c>
      <c r="K1788" s="244">
        <v>0</v>
      </c>
      <c r="L1788" s="244">
        <v>0</v>
      </c>
      <c r="M1788" s="244">
        <v>0</v>
      </c>
      <c r="N1788" s="244">
        <v>0</v>
      </c>
      <c r="O1788" s="254">
        <v>0</v>
      </c>
    </row>
    <row r="1789" ht="14.25" spans="1:15">
      <c r="A1789" s="245" t="s">
        <v>70</v>
      </c>
      <c r="B1789" s="52" t="s">
        <v>64</v>
      </c>
      <c r="C1789" s="19">
        <v>0</v>
      </c>
      <c r="D1789" s="246">
        <v>0</v>
      </c>
      <c r="E1789" s="246">
        <v>0</v>
      </c>
      <c r="F1789" s="246">
        <v>0</v>
      </c>
      <c r="G1789" s="246">
        <v>0</v>
      </c>
      <c r="H1789" s="246">
        <v>0</v>
      </c>
      <c r="I1789" s="246">
        <v>0</v>
      </c>
      <c r="J1789" s="246">
        <v>0</v>
      </c>
      <c r="K1789" s="246">
        <v>0</v>
      </c>
      <c r="L1789" s="246">
        <v>0</v>
      </c>
      <c r="M1789" s="246">
        <v>0</v>
      </c>
      <c r="N1789" s="246">
        <v>0</v>
      </c>
      <c r="O1789" s="255">
        <v>0</v>
      </c>
    </row>
    <row r="1790" spans="1:15">
      <c r="A1790" s="240" t="s">
        <v>26</v>
      </c>
      <c r="B1790" s="47" t="s">
        <v>55</v>
      </c>
      <c r="C1790" s="12">
        <v>0.434150076569678</v>
      </c>
      <c r="D1790" s="241">
        <v>0.701612903225806</v>
      </c>
      <c r="E1790" s="241">
        <v>0.387755102040816</v>
      </c>
      <c r="F1790" s="241">
        <v>0.423611111111111</v>
      </c>
      <c r="G1790" s="241">
        <v>0.436507936507937</v>
      </c>
      <c r="H1790" s="241">
        <v>0.482456140350877</v>
      </c>
      <c r="I1790" s="241">
        <v>0.423076923076923</v>
      </c>
      <c r="J1790" s="241">
        <v>0.385714285714286</v>
      </c>
      <c r="K1790" s="241">
        <v>0.39453125</v>
      </c>
      <c r="L1790" s="241">
        <v>0.406716417910448</v>
      </c>
      <c r="M1790" s="241">
        <v>0.398305084745763</v>
      </c>
      <c r="N1790" s="241">
        <v>0.403125</v>
      </c>
      <c r="O1790" s="252">
        <v>0.479865771812081</v>
      </c>
    </row>
    <row r="1791" spans="1:15">
      <c r="A1791" s="242" t="s">
        <v>26</v>
      </c>
      <c r="B1791" s="43" t="s">
        <v>57</v>
      </c>
      <c r="C1791" s="15">
        <v>2612</v>
      </c>
      <c r="D1791" s="243">
        <v>124</v>
      </c>
      <c r="E1791" s="243">
        <v>98</v>
      </c>
      <c r="F1791" s="243">
        <v>144</v>
      </c>
      <c r="G1791" s="243">
        <v>126</v>
      </c>
      <c r="H1791" s="243">
        <v>228</v>
      </c>
      <c r="I1791" s="243">
        <v>234</v>
      </c>
      <c r="J1791" s="243">
        <v>280</v>
      </c>
      <c r="K1791" s="243">
        <v>256</v>
      </c>
      <c r="L1791" s="243">
        <v>268</v>
      </c>
      <c r="M1791" s="243">
        <v>236</v>
      </c>
      <c r="N1791" s="243">
        <v>320</v>
      </c>
      <c r="O1791" s="253">
        <v>298</v>
      </c>
    </row>
    <row r="1792" spans="1:15">
      <c r="A1792" s="240" t="s">
        <v>26</v>
      </c>
      <c r="B1792" s="47" t="s">
        <v>59</v>
      </c>
      <c r="C1792" s="15">
        <v>1134</v>
      </c>
      <c r="D1792" s="243">
        <v>87</v>
      </c>
      <c r="E1792" s="243">
        <v>38</v>
      </c>
      <c r="F1792" s="243">
        <v>61</v>
      </c>
      <c r="G1792" s="243">
        <v>55</v>
      </c>
      <c r="H1792" s="243">
        <v>110</v>
      </c>
      <c r="I1792" s="243">
        <v>99</v>
      </c>
      <c r="J1792" s="243">
        <v>108</v>
      </c>
      <c r="K1792" s="243">
        <v>101</v>
      </c>
      <c r="L1792" s="243">
        <v>109</v>
      </c>
      <c r="M1792" s="243">
        <v>94</v>
      </c>
      <c r="N1792" s="243">
        <v>129</v>
      </c>
      <c r="O1792" s="253">
        <v>143</v>
      </c>
    </row>
    <row r="1793" spans="1:15">
      <c r="A1793" s="242" t="s">
        <v>26</v>
      </c>
      <c r="B1793" s="43" t="s">
        <v>4</v>
      </c>
      <c r="C1793" s="15">
        <v>21</v>
      </c>
      <c r="D1793" s="244">
        <v>0</v>
      </c>
      <c r="E1793" s="244">
        <v>0</v>
      </c>
      <c r="F1793" s="244">
        <v>3</v>
      </c>
      <c r="G1793" s="244">
        <v>1</v>
      </c>
      <c r="H1793" s="244">
        <v>1</v>
      </c>
      <c r="I1793" s="244">
        <v>1</v>
      </c>
      <c r="J1793" s="244">
        <v>0</v>
      </c>
      <c r="K1793" s="244">
        <v>5</v>
      </c>
      <c r="L1793" s="244">
        <v>3</v>
      </c>
      <c r="M1793" s="244">
        <v>3</v>
      </c>
      <c r="N1793" s="244">
        <v>3</v>
      </c>
      <c r="O1793" s="254">
        <v>1</v>
      </c>
    </row>
    <row r="1794" spans="1:15">
      <c r="A1794" s="240" t="s">
        <v>26</v>
      </c>
      <c r="B1794" s="47" t="s">
        <v>5</v>
      </c>
      <c r="C1794" s="12">
        <v>0.0185185185185185</v>
      </c>
      <c r="D1794" s="241">
        <v>0</v>
      </c>
      <c r="E1794" s="241">
        <v>0</v>
      </c>
      <c r="F1794" s="241">
        <v>0.0491803278688525</v>
      </c>
      <c r="G1794" s="241">
        <v>0.0181818181818182</v>
      </c>
      <c r="H1794" s="241">
        <v>0.00909090909090909</v>
      </c>
      <c r="I1794" s="241">
        <v>0.0101010101010101</v>
      </c>
      <c r="J1794" s="241">
        <v>0</v>
      </c>
      <c r="K1794" s="241">
        <v>0.0495049504950495</v>
      </c>
      <c r="L1794" s="241">
        <v>0.0275229357798165</v>
      </c>
      <c r="M1794" s="241">
        <v>0.0319148936170213</v>
      </c>
      <c r="N1794" s="241">
        <v>0.0232558139534884</v>
      </c>
      <c r="O1794" s="252">
        <v>0.00699300699300699</v>
      </c>
    </row>
    <row r="1795" spans="1:15">
      <c r="A1795" s="242" t="s">
        <v>26</v>
      </c>
      <c r="B1795" s="43" t="s">
        <v>6</v>
      </c>
      <c r="C1795" s="15">
        <v>5</v>
      </c>
      <c r="D1795" s="244">
        <v>1</v>
      </c>
      <c r="E1795" s="244">
        <v>0</v>
      </c>
      <c r="F1795" s="244">
        <v>0</v>
      </c>
      <c r="G1795" s="244">
        <v>1</v>
      </c>
      <c r="H1795" s="244">
        <v>0</v>
      </c>
      <c r="I1795" s="244">
        <v>1</v>
      </c>
      <c r="J1795" s="244">
        <v>0</v>
      </c>
      <c r="K1795" s="244">
        <v>0</v>
      </c>
      <c r="L1795" s="244">
        <v>1</v>
      </c>
      <c r="M1795" s="244">
        <v>0</v>
      </c>
      <c r="N1795" s="244">
        <v>1</v>
      </c>
      <c r="O1795" s="254">
        <v>0</v>
      </c>
    </row>
    <row r="1796" ht="14.25" spans="1:15">
      <c r="A1796" s="245" t="s">
        <v>26</v>
      </c>
      <c r="B1796" s="52" t="s">
        <v>64</v>
      </c>
      <c r="C1796" s="19">
        <v>0.238095238095238</v>
      </c>
      <c r="D1796" s="250">
        <v>1</v>
      </c>
      <c r="E1796" s="250">
        <v>0</v>
      </c>
      <c r="F1796" s="250">
        <v>0</v>
      </c>
      <c r="G1796" s="250">
        <v>1</v>
      </c>
      <c r="H1796" s="250">
        <v>0</v>
      </c>
      <c r="I1796" s="250">
        <v>1</v>
      </c>
      <c r="J1796" s="250">
        <v>0</v>
      </c>
      <c r="K1796" s="250">
        <v>0</v>
      </c>
      <c r="L1796" s="250">
        <v>1</v>
      </c>
      <c r="M1796" s="250">
        <v>0</v>
      </c>
      <c r="N1796" s="250">
        <v>1</v>
      </c>
      <c r="O1796" s="257">
        <v>0</v>
      </c>
    </row>
    <row r="1797" spans="1:15">
      <c r="A1797" s="240" t="s">
        <v>71</v>
      </c>
      <c r="B1797" s="47" t="s">
        <v>55</v>
      </c>
      <c r="C1797" s="12">
        <v>0.0254491017964072</v>
      </c>
      <c r="D1797" s="241">
        <v>0.0545454545454545</v>
      </c>
      <c r="E1797" s="241">
        <v>0.0909090909090909</v>
      </c>
      <c r="F1797" s="241">
        <v>0.166666666666667</v>
      </c>
      <c r="G1797" s="241">
        <v>0</v>
      </c>
      <c r="H1797" s="241">
        <v>0</v>
      </c>
      <c r="I1797" s="241">
        <v>0.0363636363636364</v>
      </c>
      <c r="J1797" s="241">
        <v>0.0208333333333333</v>
      </c>
      <c r="K1797" s="241">
        <v>0</v>
      </c>
      <c r="L1797" s="241">
        <v>0.0163934426229508</v>
      </c>
      <c r="M1797" s="241">
        <v>0.0363636363636364</v>
      </c>
      <c r="N1797" s="241">
        <v>0.00980392156862745</v>
      </c>
      <c r="O1797" s="252">
        <v>0.0204081632653061</v>
      </c>
    </row>
    <row r="1798" spans="1:15">
      <c r="A1798" s="242" t="s">
        <v>71</v>
      </c>
      <c r="B1798" s="43" t="s">
        <v>57</v>
      </c>
      <c r="C1798" s="15">
        <v>668</v>
      </c>
      <c r="D1798" s="243">
        <v>55</v>
      </c>
      <c r="E1798" s="243">
        <v>33</v>
      </c>
      <c r="F1798" s="243">
        <v>12</v>
      </c>
      <c r="G1798" s="243">
        <v>17</v>
      </c>
      <c r="H1798" s="243">
        <v>78</v>
      </c>
      <c r="I1798" s="243">
        <v>55</v>
      </c>
      <c r="J1798" s="243">
        <v>48</v>
      </c>
      <c r="K1798" s="243">
        <v>54</v>
      </c>
      <c r="L1798" s="243">
        <v>61</v>
      </c>
      <c r="M1798" s="243">
        <v>55</v>
      </c>
      <c r="N1798" s="243">
        <v>102</v>
      </c>
      <c r="O1798" s="253">
        <v>98</v>
      </c>
    </row>
    <row r="1799" spans="1:15">
      <c r="A1799" s="240" t="s">
        <v>71</v>
      </c>
      <c r="B1799" s="47" t="s">
        <v>59</v>
      </c>
      <c r="C1799" s="15">
        <v>17</v>
      </c>
      <c r="D1799" s="243">
        <v>3</v>
      </c>
      <c r="E1799" s="243">
        <v>3</v>
      </c>
      <c r="F1799" s="243">
        <v>2</v>
      </c>
      <c r="G1799" s="243">
        <v>0</v>
      </c>
      <c r="H1799" s="243">
        <v>0</v>
      </c>
      <c r="I1799" s="243">
        <v>2</v>
      </c>
      <c r="J1799" s="243">
        <v>1</v>
      </c>
      <c r="K1799" s="243">
        <v>0</v>
      </c>
      <c r="L1799" s="243">
        <v>1</v>
      </c>
      <c r="M1799" s="243">
        <v>2</v>
      </c>
      <c r="N1799" s="243">
        <v>1</v>
      </c>
      <c r="O1799" s="253">
        <v>2</v>
      </c>
    </row>
    <row r="1800" spans="1:15">
      <c r="A1800" s="242" t="s">
        <v>71</v>
      </c>
      <c r="B1800" s="43" t="s">
        <v>4</v>
      </c>
      <c r="C1800" s="15">
        <v>44</v>
      </c>
      <c r="D1800" s="244">
        <v>11</v>
      </c>
      <c r="E1800" s="244">
        <v>1</v>
      </c>
      <c r="F1800" s="244">
        <v>1</v>
      </c>
      <c r="G1800" s="244">
        <v>0</v>
      </c>
      <c r="H1800" s="244">
        <v>4</v>
      </c>
      <c r="I1800" s="244">
        <v>5</v>
      </c>
      <c r="J1800" s="244">
        <v>1</v>
      </c>
      <c r="K1800" s="244">
        <v>2</v>
      </c>
      <c r="L1800" s="244">
        <v>3</v>
      </c>
      <c r="M1800" s="244">
        <v>3</v>
      </c>
      <c r="N1800" s="244">
        <v>8</v>
      </c>
      <c r="O1800" s="254">
        <v>5</v>
      </c>
    </row>
    <row r="1801" spans="1:15">
      <c r="A1801" s="240" t="s">
        <v>71</v>
      </c>
      <c r="B1801" s="47" t="s">
        <v>5</v>
      </c>
      <c r="C1801" s="12">
        <v>2.58823529411765</v>
      </c>
      <c r="D1801" s="241">
        <v>3.66666666666667</v>
      </c>
      <c r="E1801" s="241">
        <v>0.333333333333333</v>
      </c>
      <c r="F1801" s="241">
        <v>0.5</v>
      </c>
      <c r="G1801" s="241">
        <v>0</v>
      </c>
      <c r="H1801" s="241">
        <v>0</v>
      </c>
      <c r="I1801" s="241">
        <v>2.5</v>
      </c>
      <c r="J1801" s="241">
        <v>1</v>
      </c>
      <c r="K1801" s="241">
        <v>0</v>
      </c>
      <c r="L1801" s="241">
        <v>3</v>
      </c>
      <c r="M1801" s="241">
        <v>1.5</v>
      </c>
      <c r="N1801" s="241">
        <v>8</v>
      </c>
      <c r="O1801" s="252">
        <v>2.5</v>
      </c>
    </row>
    <row r="1802" spans="1:15">
      <c r="A1802" s="242" t="s">
        <v>71</v>
      </c>
      <c r="B1802" s="43" t="s">
        <v>6</v>
      </c>
      <c r="C1802" s="15">
        <v>11</v>
      </c>
      <c r="D1802" s="244">
        <v>4</v>
      </c>
      <c r="E1802" s="244">
        <v>0</v>
      </c>
      <c r="F1802" s="244">
        <v>0</v>
      </c>
      <c r="G1802" s="244">
        <v>0</v>
      </c>
      <c r="H1802" s="244">
        <v>1</v>
      </c>
      <c r="I1802" s="244">
        <v>2</v>
      </c>
      <c r="J1802" s="244">
        <v>0</v>
      </c>
      <c r="K1802" s="244">
        <v>0</v>
      </c>
      <c r="L1802" s="244">
        <v>3</v>
      </c>
      <c r="M1802" s="244">
        <v>0</v>
      </c>
      <c r="N1802" s="244">
        <v>0</v>
      </c>
      <c r="O1802" s="254">
        <v>1</v>
      </c>
    </row>
    <row r="1803" ht="14.25" spans="1:15">
      <c r="A1803" s="245" t="s">
        <v>71</v>
      </c>
      <c r="B1803" s="52" t="s">
        <v>64</v>
      </c>
      <c r="C1803" s="19">
        <v>0.25</v>
      </c>
      <c r="D1803" s="250">
        <v>4</v>
      </c>
      <c r="E1803" s="250">
        <v>0</v>
      </c>
      <c r="F1803" s="250">
        <v>0</v>
      </c>
      <c r="G1803" s="250">
        <v>0</v>
      </c>
      <c r="H1803" s="250">
        <v>1</v>
      </c>
      <c r="I1803" s="250">
        <v>2</v>
      </c>
      <c r="J1803" s="250">
        <v>0</v>
      </c>
      <c r="K1803" s="250">
        <v>0</v>
      </c>
      <c r="L1803" s="250">
        <v>3</v>
      </c>
      <c r="M1803" s="250">
        <v>0</v>
      </c>
      <c r="N1803" s="250">
        <v>0</v>
      </c>
      <c r="O1803" s="257">
        <v>1</v>
      </c>
    </row>
    <row r="1804" spans="1:15">
      <c r="A1804" s="240" t="s">
        <v>72</v>
      </c>
      <c r="B1804" s="47" t="s">
        <v>55</v>
      </c>
      <c r="C1804" s="12">
        <v>0.370949074074074</v>
      </c>
      <c r="D1804" s="241">
        <v>0.433333333333333</v>
      </c>
      <c r="E1804" s="241">
        <v>0.42156862745098</v>
      </c>
      <c r="F1804" s="241">
        <v>0.380952380952381</v>
      </c>
      <c r="G1804" s="241">
        <v>0.48780487804878</v>
      </c>
      <c r="H1804" s="241">
        <v>0.371428571428571</v>
      </c>
      <c r="I1804" s="241">
        <v>0.404761904761905</v>
      </c>
      <c r="J1804" s="241">
        <v>0.41304347826087</v>
      </c>
      <c r="K1804" s="241">
        <v>0.366197183098592</v>
      </c>
      <c r="L1804" s="241">
        <v>0.384057971014493</v>
      </c>
      <c r="M1804" s="241">
        <v>0.273333333333333</v>
      </c>
      <c r="N1804" s="241">
        <v>0.27027027027027</v>
      </c>
      <c r="O1804" s="252">
        <v>0.374015748031496</v>
      </c>
    </row>
    <row r="1805" spans="1:15">
      <c r="A1805" s="242" t="s">
        <v>72</v>
      </c>
      <c r="B1805" s="43" t="s">
        <v>57</v>
      </c>
      <c r="C1805" s="15">
        <v>1728</v>
      </c>
      <c r="D1805" s="243">
        <v>150</v>
      </c>
      <c r="E1805" s="243">
        <v>102</v>
      </c>
      <c r="F1805" s="243">
        <v>84</v>
      </c>
      <c r="G1805" s="243">
        <v>82</v>
      </c>
      <c r="H1805" s="243">
        <v>140</v>
      </c>
      <c r="I1805" s="243">
        <v>126</v>
      </c>
      <c r="J1805" s="243">
        <v>138</v>
      </c>
      <c r="K1805" s="243">
        <v>142</v>
      </c>
      <c r="L1805" s="243">
        <v>138</v>
      </c>
      <c r="M1805" s="243">
        <v>150</v>
      </c>
      <c r="N1805" s="243">
        <v>222</v>
      </c>
      <c r="O1805" s="253">
        <v>254</v>
      </c>
    </row>
    <row r="1806" spans="1:15">
      <c r="A1806" s="240" t="s">
        <v>72</v>
      </c>
      <c r="B1806" s="47" t="s">
        <v>59</v>
      </c>
      <c r="C1806" s="15">
        <v>641</v>
      </c>
      <c r="D1806" s="243">
        <v>65</v>
      </c>
      <c r="E1806" s="243">
        <v>43</v>
      </c>
      <c r="F1806" s="243">
        <v>32</v>
      </c>
      <c r="G1806" s="243">
        <v>40</v>
      </c>
      <c r="H1806" s="243">
        <v>52</v>
      </c>
      <c r="I1806" s="243">
        <v>51</v>
      </c>
      <c r="J1806" s="243">
        <v>57</v>
      </c>
      <c r="K1806" s="243">
        <v>52</v>
      </c>
      <c r="L1806" s="243">
        <v>53</v>
      </c>
      <c r="M1806" s="243">
        <v>41</v>
      </c>
      <c r="N1806" s="243">
        <v>60</v>
      </c>
      <c r="O1806" s="253">
        <v>95</v>
      </c>
    </row>
    <row r="1807" spans="1:15">
      <c r="A1807" s="242" t="s">
        <v>72</v>
      </c>
      <c r="B1807" s="43" t="s">
        <v>4</v>
      </c>
      <c r="C1807" s="15">
        <v>9</v>
      </c>
      <c r="D1807" s="244">
        <v>0</v>
      </c>
      <c r="E1807" s="244">
        <v>1</v>
      </c>
      <c r="F1807" s="244">
        <v>1</v>
      </c>
      <c r="G1807" s="244">
        <v>0</v>
      </c>
      <c r="H1807" s="244">
        <v>0</v>
      </c>
      <c r="I1807" s="244">
        <v>1</v>
      </c>
      <c r="J1807" s="244">
        <v>0</v>
      </c>
      <c r="K1807" s="244">
        <v>0</v>
      </c>
      <c r="L1807" s="244">
        <v>2</v>
      </c>
      <c r="M1807" s="244">
        <v>0</v>
      </c>
      <c r="N1807" s="244">
        <v>0</v>
      </c>
      <c r="O1807" s="254">
        <v>4</v>
      </c>
    </row>
    <row r="1808" spans="1:15">
      <c r="A1808" s="240" t="s">
        <v>72</v>
      </c>
      <c r="B1808" s="47" t="s">
        <v>5</v>
      </c>
      <c r="C1808" s="12">
        <v>0.0140405616224649</v>
      </c>
      <c r="D1808" s="241">
        <v>0</v>
      </c>
      <c r="E1808" s="241">
        <v>0.0232558139534884</v>
      </c>
      <c r="F1808" s="241">
        <v>0.03125</v>
      </c>
      <c r="G1808" s="241">
        <v>0</v>
      </c>
      <c r="H1808" s="241">
        <v>0</v>
      </c>
      <c r="I1808" s="241">
        <v>0.0196078431372549</v>
      </c>
      <c r="J1808" s="241">
        <v>0</v>
      </c>
      <c r="K1808" s="241">
        <v>0</v>
      </c>
      <c r="L1808" s="241">
        <v>0.0377358490566038</v>
      </c>
      <c r="M1808" s="241">
        <v>0</v>
      </c>
      <c r="N1808" s="241">
        <v>0</v>
      </c>
      <c r="O1808" s="252">
        <v>0.0421052631578947</v>
      </c>
    </row>
    <row r="1809" spans="1:15">
      <c r="A1809" s="242" t="s">
        <v>72</v>
      </c>
      <c r="B1809" s="43" t="s">
        <v>6</v>
      </c>
      <c r="C1809" s="15">
        <v>3</v>
      </c>
      <c r="D1809" s="244">
        <v>0</v>
      </c>
      <c r="E1809" s="244">
        <v>0</v>
      </c>
      <c r="F1809" s="244">
        <v>0</v>
      </c>
      <c r="G1809" s="244">
        <v>0</v>
      </c>
      <c r="H1809" s="244">
        <v>0</v>
      </c>
      <c r="I1809" s="244">
        <v>1</v>
      </c>
      <c r="J1809" s="244">
        <v>0</v>
      </c>
      <c r="K1809" s="244">
        <v>0</v>
      </c>
      <c r="L1809" s="244">
        <v>1</v>
      </c>
      <c r="M1809" s="244">
        <v>1</v>
      </c>
      <c r="N1809" s="244">
        <v>0</v>
      </c>
      <c r="O1809" s="254">
        <v>0</v>
      </c>
    </row>
    <row r="1810" ht="14.25" spans="1:15">
      <c r="A1810" s="245" t="s">
        <v>72</v>
      </c>
      <c r="B1810" s="52" t="s">
        <v>64</v>
      </c>
      <c r="C1810" s="19">
        <v>0.333333333333333</v>
      </c>
      <c r="D1810" s="250">
        <v>0</v>
      </c>
      <c r="E1810" s="250">
        <v>0</v>
      </c>
      <c r="F1810" s="250">
        <v>0</v>
      </c>
      <c r="G1810" s="250">
        <v>0</v>
      </c>
      <c r="H1810" s="250">
        <v>0</v>
      </c>
      <c r="I1810" s="250">
        <v>1</v>
      </c>
      <c r="J1810" s="250">
        <v>0</v>
      </c>
      <c r="K1810" s="250">
        <v>0</v>
      </c>
      <c r="L1810" s="250">
        <v>1</v>
      </c>
      <c r="M1810" s="250">
        <v>1</v>
      </c>
      <c r="N1810" s="250">
        <v>0</v>
      </c>
      <c r="O1810" s="257">
        <v>0</v>
      </c>
    </row>
    <row r="1811" ht="14.25" spans="1:15">
      <c r="A1811" s="237">
        <v>45047</v>
      </c>
      <c r="B1811" s="237"/>
      <c r="C1811" s="237"/>
      <c r="D1811" s="237"/>
      <c r="E1811" s="237"/>
      <c r="F1811" s="237"/>
      <c r="G1811" s="237"/>
      <c r="H1811" s="237"/>
      <c r="I1811" s="237"/>
      <c r="J1811" s="237"/>
      <c r="K1811" s="237"/>
      <c r="L1811" s="237"/>
      <c r="M1811" s="237"/>
      <c r="N1811" s="237"/>
      <c r="O1811" s="237"/>
    </row>
    <row r="1812" spans="1:15">
      <c r="A1812" s="56" t="s">
        <v>1</v>
      </c>
      <c r="B1812" s="238"/>
      <c r="C1812" s="8" t="s">
        <v>42</v>
      </c>
      <c r="D1812" s="239" t="s">
        <v>43</v>
      </c>
      <c r="E1812" s="239" t="s">
        <v>44</v>
      </c>
      <c r="F1812" s="239" t="s">
        <v>45</v>
      </c>
      <c r="G1812" s="239" t="s">
        <v>46</v>
      </c>
      <c r="H1812" s="239" t="s">
        <v>47</v>
      </c>
      <c r="I1812" s="239" t="s">
        <v>48</v>
      </c>
      <c r="J1812" s="239" t="s">
        <v>49</v>
      </c>
      <c r="K1812" s="239" t="s">
        <v>50</v>
      </c>
      <c r="L1812" s="239" t="s">
        <v>51</v>
      </c>
      <c r="M1812" s="239" t="s">
        <v>52</v>
      </c>
      <c r="N1812" s="239" t="s">
        <v>53</v>
      </c>
      <c r="O1812" s="251" t="s">
        <v>54</v>
      </c>
    </row>
    <row r="1813" spans="1:15">
      <c r="A1813" s="240" t="s">
        <v>22</v>
      </c>
      <c r="B1813" s="47" t="s">
        <v>55</v>
      </c>
      <c r="C1813" s="12">
        <v>0.310782241014799</v>
      </c>
      <c r="D1813" s="241">
        <v>0.239600665557404</v>
      </c>
      <c r="E1813" s="241">
        <v>0.0978260869565217</v>
      </c>
      <c r="F1813" s="241">
        <v>0.209059233449477</v>
      </c>
      <c r="G1813" s="241">
        <v>0.207070707070707</v>
      </c>
      <c r="H1813" s="241">
        <v>0.337142857142857</v>
      </c>
      <c r="I1813" s="241">
        <v>0.418478260869565</v>
      </c>
      <c r="J1813" s="241">
        <v>0.411764705882353</v>
      </c>
      <c r="K1813" s="241">
        <v>0.465408805031447</v>
      </c>
      <c r="L1813" s="241">
        <v>0.576923076923077</v>
      </c>
      <c r="M1813" s="241">
        <v>0.5</v>
      </c>
      <c r="N1813" s="241">
        <v>0.545454545454545</v>
      </c>
      <c r="O1813" s="252">
        <v>0.459715639810427</v>
      </c>
    </row>
    <row r="1814" spans="1:15">
      <c r="A1814" s="242" t="s">
        <v>22</v>
      </c>
      <c r="B1814" s="43" t="s">
        <v>57</v>
      </c>
      <c r="C1814" s="15">
        <v>2838</v>
      </c>
      <c r="D1814" s="243">
        <v>601</v>
      </c>
      <c r="E1814" s="243">
        <v>460</v>
      </c>
      <c r="F1814" s="243">
        <v>287</v>
      </c>
      <c r="G1814" s="243">
        <v>198</v>
      </c>
      <c r="H1814" s="243">
        <v>175</v>
      </c>
      <c r="I1814" s="243">
        <v>184</v>
      </c>
      <c r="J1814" s="243">
        <v>153</v>
      </c>
      <c r="K1814" s="243">
        <v>159</v>
      </c>
      <c r="L1814" s="243">
        <v>130</v>
      </c>
      <c r="M1814" s="243">
        <v>126</v>
      </c>
      <c r="N1814" s="243">
        <v>154</v>
      </c>
      <c r="O1814" s="253">
        <v>211</v>
      </c>
    </row>
    <row r="1815" spans="1:15">
      <c r="A1815" s="240" t="s">
        <v>22</v>
      </c>
      <c r="B1815" s="47" t="s">
        <v>59</v>
      </c>
      <c r="C1815" s="15">
        <v>882</v>
      </c>
      <c r="D1815" s="243">
        <v>144</v>
      </c>
      <c r="E1815" s="243">
        <v>45</v>
      </c>
      <c r="F1815" s="243">
        <v>60</v>
      </c>
      <c r="G1815" s="243">
        <v>41</v>
      </c>
      <c r="H1815" s="243">
        <v>59</v>
      </c>
      <c r="I1815" s="243">
        <v>77</v>
      </c>
      <c r="J1815" s="243">
        <v>63</v>
      </c>
      <c r="K1815" s="243">
        <v>74</v>
      </c>
      <c r="L1815" s="243">
        <v>75</v>
      </c>
      <c r="M1815" s="243">
        <v>63</v>
      </c>
      <c r="N1815" s="243">
        <v>84</v>
      </c>
      <c r="O1815" s="253">
        <v>97</v>
      </c>
    </row>
    <row r="1816" spans="1:15">
      <c r="A1816" s="242" t="s">
        <v>22</v>
      </c>
      <c r="B1816" s="43" t="s">
        <v>4</v>
      </c>
      <c r="C1816" s="15">
        <v>29</v>
      </c>
      <c r="D1816" s="244">
        <v>3</v>
      </c>
      <c r="E1816" s="244">
        <v>3</v>
      </c>
      <c r="F1816" s="244">
        <v>1</v>
      </c>
      <c r="G1816" s="244">
        <v>1</v>
      </c>
      <c r="H1816" s="244">
        <v>0</v>
      </c>
      <c r="I1816" s="244">
        <v>4</v>
      </c>
      <c r="J1816" s="244">
        <v>1</v>
      </c>
      <c r="K1816" s="244">
        <v>2</v>
      </c>
      <c r="L1816" s="244">
        <v>1</v>
      </c>
      <c r="M1816" s="244">
        <v>5</v>
      </c>
      <c r="N1816" s="244">
        <v>1</v>
      </c>
      <c r="O1816" s="254">
        <v>7</v>
      </c>
    </row>
    <row r="1817" spans="1:15">
      <c r="A1817" s="240" t="s">
        <v>22</v>
      </c>
      <c r="B1817" s="47" t="s">
        <v>5</v>
      </c>
      <c r="C1817" s="12">
        <v>0.0328798185941043</v>
      </c>
      <c r="D1817" s="241">
        <v>0.0208333333333333</v>
      </c>
      <c r="E1817" s="241">
        <v>0.0666666666666667</v>
      </c>
      <c r="F1817" s="241">
        <v>0.0166666666666667</v>
      </c>
      <c r="G1817" s="241">
        <v>0.024390243902439</v>
      </c>
      <c r="H1817" s="241">
        <v>0</v>
      </c>
      <c r="I1817" s="241">
        <v>0.051948051948052</v>
      </c>
      <c r="J1817" s="241">
        <v>0.0158730158730159</v>
      </c>
      <c r="K1817" s="241">
        <v>0.027027027027027</v>
      </c>
      <c r="L1817" s="241">
        <v>0.0133333333333333</v>
      </c>
      <c r="M1817" s="241">
        <v>0.0793650793650794</v>
      </c>
      <c r="N1817" s="241">
        <v>0.0119047619047619</v>
      </c>
      <c r="O1817" s="252">
        <v>0.0721649484536082</v>
      </c>
    </row>
    <row r="1818" spans="1:15">
      <c r="A1818" s="242" t="s">
        <v>22</v>
      </c>
      <c r="B1818" s="43" t="s">
        <v>6</v>
      </c>
      <c r="C1818" s="15">
        <v>7</v>
      </c>
      <c r="D1818" s="244">
        <v>1</v>
      </c>
      <c r="E1818" s="244">
        <v>0</v>
      </c>
      <c r="F1818" s="244">
        <v>0</v>
      </c>
      <c r="G1818" s="244">
        <v>0</v>
      </c>
      <c r="H1818" s="244">
        <v>0</v>
      </c>
      <c r="I1818" s="244">
        <v>1</v>
      </c>
      <c r="J1818" s="244">
        <v>0</v>
      </c>
      <c r="K1818" s="244">
        <v>2</v>
      </c>
      <c r="L1818" s="244">
        <v>0</v>
      </c>
      <c r="M1818" s="244">
        <v>2</v>
      </c>
      <c r="N1818" s="244">
        <v>0</v>
      </c>
      <c r="O1818" s="254">
        <v>1</v>
      </c>
    </row>
    <row r="1819" ht="14.25" spans="1:15">
      <c r="A1819" s="245" t="s">
        <v>22</v>
      </c>
      <c r="B1819" s="52" t="s">
        <v>64</v>
      </c>
      <c r="C1819" s="19">
        <v>0.241379310344828</v>
      </c>
      <c r="D1819" s="246">
        <v>0.333333333333333</v>
      </c>
      <c r="E1819" s="246">
        <v>0</v>
      </c>
      <c r="F1819" s="246">
        <v>0</v>
      </c>
      <c r="G1819" s="246">
        <v>0</v>
      </c>
      <c r="H1819" s="246">
        <v>0</v>
      </c>
      <c r="I1819" s="246">
        <v>0.25</v>
      </c>
      <c r="J1819" s="246">
        <v>0</v>
      </c>
      <c r="K1819" s="246">
        <v>1</v>
      </c>
      <c r="L1819" s="246">
        <v>0</v>
      </c>
      <c r="M1819" s="246">
        <v>0.4</v>
      </c>
      <c r="N1819" s="246">
        <v>0</v>
      </c>
      <c r="O1819" s="255">
        <v>0.142857142857143</v>
      </c>
    </row>
    <row r="1820" spans="1:15">
      <c r="A1820" s="247" t="s">
        <v>66</v>
      </c>
      <c r="B1820" s="248" t="s">
        <v>55</v>
      </c>
      <c r="C1820" s="12">
        <v>0.126563092080333</v>
      </c>
      <c r="D1820" s="249">
        <v>0.126696832579186</v>
      </c>
      <c r="E1820" s="249">
        <v>0.0670103092783505</v>
      </c>
      <c r="F1820" s="249">
        <v>0.0604838709677419</v>
      </c>
      <c r="G1820" s="249">
        <v>0.0923076923076923</v>
      </c>
      <c r="H1820" s="249">
        <v>0.140776699029126</v>
      </c>
      <c r="I1820" s="249">
        <v>0.144385026737968</v>
      </c>
      <c r="J1820" s="249">
        <v>0.178343949044586</v>
      </c>
      <c r="K1820" s="249">
        <v>0.192513368983957</v>
      </c>
      <c r="L1820" s="249">
        <v>0.149350649350649</v>
      </c>
      <c r="M1820" s="249">
        <v>0.107142857142857</v>
      </c>
      <c r="N1820" s="249">
        <v>0.209876543209877</v>
      </c>
      <c r="O1820" s="256">
        <v>0.15606936416185</v>
      </c>
    </row>
    <row r="1821" spans="1:15">
      <c r="A1821" s="242" t="s">
        <v>66</v>
      </c>
      <c r="B1821" s="43" t="s">
        <v>57</v>
      </c>
      <c r="C1821" s="15">
        <v>2639</v>
      </c>
      <c r="D1821" s="243">
        <v>442</v>
      </c>
      <c r="E1821" s="243">
        <v>388</v>
      </c>
      <c r="F1821" s="243">
        <v>248</v>
      </c>
      <c r="G1821" s="243">
        <v>195</v>
      </c>
      <c r="H1821" s="243">
        <v>206</v>
      </c>
      <c r="I1821" s="243">
        <v>187</v>
      </c>
      <c r="J1821" s="243">
        <v>157</v>
      </c>
      <c r="K1821" s="243">
        <v>187</v>
      </c>
      <c r="L1821" s="243">
        <v>154</v>
      </c>
      <c r="M1821" s="243">
        <v>140</v>
      </c>
      <c r="N1821" s="243">
        <v>162</v>
      </c>
      <c r="O1821" s="253">
        <v>173</v>
      </c>
    </row>
    <row r="1822" spans="1:15">
      <c r="A1822" s="240" t="s">
        <v>66</v>
      </c>
      <c r="B1822" s="47" t="s">
        <v>59</v>
      </c>
      <c r="C1822" s="15">
        <v>334</v>
      </c>
      <c r="D1822" s="243">
        <v>56</v>
      </c>
      <c r="E1822" s="243">
        <v>26</v>
      </c>
      <c r="F1822" s="243">
        <v>15</v>
      </c>
      <c r="G1822" s="243">
        <v>18</v>
      </c>
      <c r="H1822" s="243">
        <v>29</v>
      </c>
      <c r="I1822" s="243">
        <v>27</v>
      </c>
      <c r="J1822" s="243">
        <v>28</v>
      </c>
      <c r="K1822" s="243">
        <v>36</v>
      </c>
      <c r="L1822" s="243">
        <v>23</v>
      </c>
      <c r="M1822" s="243">
        <v>15</v>
      </c>
      <c r="N1822" s="243">
        <v>34</v>
      </c>
      <c r="O1822" s="253">
        <v>27</v>
      </c>
    </row>
    <row r="1823" spans="1:15">
      <c r="A1823" s="242" t="s">
        <v>66</v>
      </c>
      <c r="B1823" s="43" t="s">
        <v>4</v>
      </c>
      <c r="C1823" s="15">
        <v>21</v>
      </c>
      <c r="D1823" s="244">
        <v>6</v>
      </c>
      <c r="E1823" s="244">
        <v>3</v>
      </c>
      <c r="F1823" s="244">
        <v>1</v>
      </c>
      <c r="G1823" s="244">
        <v>1</v>
      </c>
      <c r="H1823" s="244">
        <v>0</v>
      </c>
      <c r="I1823" s="244">
        <v>0</v>
      </c>
      <c r="J1823" s="244">
        <v>2</v>
      </c>
      <c r="K1823" s="244">
        <v>1</v>
      </c>
      <c r="L1823" s="244">
        <v>3</v>
      </c>
      <c r="M1823" s="244">
        <v>1</v>
      </c>
      <c r="N1823" s="244">
        <v>2</v>
      </c>
      <c r="O1823" s="254">
        <v>1</v>
      </c>
    </row>
    <row r="1824" spans="1:15">
      <c r="A1824" s="240" t="s">
        <v>66</v>
      </c>
      <c r="B1824" s="47" t="s">
        <v>5</v>
      </c>
      <c r="C1824" s="12">
        <v>0.062874251497006</v>
      </c>
      <c r="D1824" s="241">
        <v>0.107142857142857</v>
      </c>
      <c r="E1824" s="241">
        <v>0.115384615384615</v>
      </c>
      <c r="F1824" s="241">
        <v>0.0666666666666667</v>
      </c>
      <c r="G1824" s="241">
        <v>0.0555555555555556</v>
      </c>
      <c r="H1824" s="241">
        <v>0</v>
      </c>
      <c r="I1824" s="241">
        <v>0</v>
      </c>
      <c r="J1824" s="241">
        <v>0.0714285714285714</v>
      </c>
      <c r="K1824" s="241">
        <v>0.0277777777777778</v>
      </c>
      <c r="L1824" s="241">
        <v>0.130434782608696</v>
      </c>
      <c r="M1824" s="241">
        <v>0.0666666666666667</v>
      </c>
      <c r="N1824" s="241">
        <v>0.0588235294117647</v>
      </c>
      <c r="O1824" s="252">
        <v>0.037037037037037</v>
      </c>
    </row>
    <row r="1825" spans="1:15">
      <c r="A1825" s="242" t="s">
        <v>66</v>
      </c>
      <c r="B1825" s="43" t="s">
        <v>6</v>
      </c>
      <c r="C1825" s="15">
        <v>8</v>
      </c>
      <c r="D1825" s="244">
        <v>1</v>
      </c>
      <c r="E1825" s="244">
        <v>2</v>
      </c>
      <c r="F1825" s="244">
        <v>1</v>
      </c>
      <c r="G1825" s="244">
        <v>1</v>
      </c>
      <c r="H1825" s="244">
        <v>1</v>
      </c>
      <c r="I1825" s="244">
        <v>0</v>
      </c>
      <c r="J1825" s="244">
        <v>0</v>
      </c>
      <c r="K1825" s="244">
        <v>0</v>
      </c>
      <c r="L1825" s="244">
        <v>0</v>
      </c>
      <c r="M1825" s="244">
        <v>0</v>
      </c>
      <c r="N1825" s="244">
        <v>1</v>
      </c>
      <c r="O1825" s="254">
        <v>1</v>
      </c>
    </row>
    <row r="1826" ht="14.25" spans="1:15">
      <c r="A1826" s="245" t="s">
        <v>66</v>
      </c>
      <c r="B1826" s="52" t="s">
        <v>64</v>
      </c>
      <c r="C1826" s="19">
        <v>0.380952380952381</v>
      </c>
      <c r="D1826" s="246">
        <v>0.166666666666667</v>
      </c>
      <c r="E1826" s="246">
        <v>0.666666666666667</v>
      </c>
      <c r="F1826" s="246">
        <v>1</v>
      </c>
      <c r="G1826" s="246">
        <v>1</v>
      </c>
      <c r="H1826" s="246">
        <v>0</v>
      </c>
      <c r="I1826" s="246">
        <v>0</v>
      </c>
      <c r="J1826" s="246">
        <v>0</v>
      </c>
      <c r="K1826" s="246">
        <v>0</v>
      </c>
      <c r="L1826" s="246">
        <v>0</v>
      </c>
      <c r="M1826" s="246">
        <v>0</v>
      </c>
      <c r="N1826" s="246">
        <v>0.5</v>
      </c>
      <c r="O1826" s="255">
        <v>1</v>
      </c>
    </row>
    <row r="1827" spans="1:15">
      <c r="A1827" s="240" t="s">
        <v>67</v>
      </c>
      <c r="B1827" s="47" t="s">
        <v>55</v>
      </c>
      <c r="C1827" s="12">
        <v>0.350977198697068</v>
      </c>
      <c r="D1827" s="241">
        <v>0.428571428571429</v>
      </c>
      <c r="E1827" s="241">
        <v>0.5</v>
      </c>
      <c r="F1827" s="241">
        <v>0.37037037037037</v>
      </c>
      <c r="G1827" s="241">
        <v>0.44</v>
      </c>
      <c r="H1827" s="241">
        <v>0.4125</v>
      </c>
      <c r="I1827" s="241">
        <v>0.346938775510204</v>
      </c>
      <c r="J1827" s="241">
        <v>0.375</v>
      </c>
      <c r="K1827" s="241">
        <v>0.326923076923077</v>
      </c>
      <c r="L1827" s="241">
        <v>0.3125</v>
      </c>
      <c r="M1827" s="241">
        <v>0.326086956521739</v>
      </c>
      <c r="N1827" s="241">
        <v>0.276923076923077</v>
      </c>
      <c r="O1827" s="252">
        <v>0.262820512820513</v>
      </c>
    </row>
    <row r="1828" spans="1:15">
      <c r="A1828" s="242" t="s">
        <v>67</v>
      </c>
      <c r="B1828" s="43" t="s">
        <v>57</v>
      </c>
      <c r="C1828" s="15">
        <v>1228</v>
      </c>
      <c r="D1828" s="243">
        <v>126</v>
      </c>
      <c r="E1828" s="243">
        <v>76</v>
      </c>
      <c r="F1828" s="243">
        <v>54</v>
      </c>
      <c r="G1828" s="243">
        <v>50</v>
      </c>
      <c r="H1828" s="243">
        <v>80</v>
      </c>
      <c r="I1828" s="243">
        <v>98</v>
      </c>
      <c r="J1828" s="243">
        <v>104</v>
      </c>
      <c r="K1828" s="243">
        <v>104</v>
      </c>
      <c r="L1828" s="243">
        <v>112</v>
      </c>
      <c r="M1828" s="243">
        <v>138</v>
      </c>
      <c r="N1828" s="243">
        <v>130</v>
      </c>
      <c r="O1828" s="253">
        <v>156</v>
      </c>
    </row>
    <row r="1829" spans="1:15">
      <c r="A1829" s="240" t="s">
        <v>67</v>
      </c>
      <c r="B1829" s="47" t="s">
        <v>59</v>
      </c>
      <c r="C1829" s="15">
        <v>431</v>
      </c>
      <c r="D1829" s="243">
        <v>54</v>
      </c>
      <c r="E1829" s="243">
        <v>38</v>
      </c>
      <c r="F1829" s="243">
        <v>20</v>
      </c>
      <c r="G1829" s="243">
        <v>22</v>
      </c>
      <c r="H1829" s="243">
        <v>33</v>
      </c>
      <c r="I1829" s="243">
        <v>34</v>
      </c>
      <c r="J1829" s="243">
        <v>39</v>
      </c>
      <c r="K1829" s="243">
        <v>34</v>
      </c>
      <c r="L1829" s="243">
        <v>35</v>
      </c>
      <c r="M1829" s="243">
        <v>45</v>
      </c>
      <c r="N1829" s="243">
        <v>36</v>
      </c>
      <c r="O1829" s="253">
        <v>41</v>
      </c>
    </row>
    <row r="1830" spans="1:15">
      <c r="A1830" s="242" t="s">
        <v>67</v>
      </c>
      <c r="B1830" s="43" t="s">
        <v>4</v>
      </c>
      <c r="C1830" s="15">
        <v>27</v>
      </c>
      <c r="D1830" s="244">
        <v>2</v>
      </c>
      <c r="E1830" s="244">
        <v>2</v>
      </c>
      <c r="F1830" s="244">
        <v>3</v>
      </c>
      <c r="G1830" s="244">
        <v>2</v>
      </c>
      <c r="H1830" s="244">
        <v>1</v>
      </c>
      <c r="I1830" s="244">
        <v>2</v>
      </c>
      <c r="J1830" s="244">
        <v>0</v>
      </c>
      <c r="K1830" s="244">
        <v>0</v>
      </c>
      <c r="L1830" s="244">
        <v>4</v>
      </c>
      <c r="M1830" s="244">
        <v>3</v>
      </c>
      <c r="N1830" s="244">
        <v>3</v>
      </c>
      <c r="O1830" s="254">
        <v>5</v>
      </c>
    </row>
    <row r="1831" spans="1:15">
      <c r="A1831" s="240" t="s">
        <v>67</v>
      </c>
      <c r="B1831" s="47" t="s">
        <v>5</v>
      </c>
      <c r="C1831" s="12">
        <v>0.0626450116009281</v>
      </c>
      <c r="D1831" s="241">
        <v>0.037037037037037</v>
      </c>
      <c r="E1831" s="241">
        <v>0.0526315789473684</v>
      </c>
      <c r="F1831" s="241">
        <v>0.15</v>
      </c>
      <c r="G1831" s="241">
        <v>0.0909090909090909</v>
      </c>
      <c r="H1831" s="241">
        <v>0.0303030303030303</v>
      </c>
      <c r="I1831" s="241">
        <v>0.0588235294117647</v>
      </c>
      <c r="J1831" s="241">
        <v>0</v>
      </c>
      <c r="K1831" s="241">
        <v>0</v>
      </c>
      <c r="L1831" s="241">
        <v>0.114285714285714</v>
      </c>
      <c r="M1831" s="241">
        <v>0.0666666666666667</v>
      </c>
      <c r="N1831" s="241">
        <v>0.0833333333333333</v>
      </c>
      <c r="O1831" s="252">
        <v>0.121951219512195</v>
      </c>
    </row>
    <row r="1832" spans="1:15">
      <c r="A1832" s="242" t="s">
        <v>67</v>
      </c>
      <c r="B1832" s="43" t="s">
        <v>6</v>
      </c>
      <c r="C1832" s="15">
        <v>11</v>
      </c>
      <c r="D1832" s="244">
        <v>0</v>
      </c>
      <c r="E1832" s="244">
        <v>0</v>
      </c>
      <c r="F1832" s="244">
        <v>1</v>
      </c>
      <c r="G1832" s="244">
        <v>0</v>
      </c>
      <c r="H1832" s="244">
        <v>2</v>
      </c>
      <c r="I1832" s="244">
        <v>0</v>
      </c>
      <c r="J1832" s="244">
        <v>1</v>
      </c>
      <c r="K1832" s="244">
        <v>1</v>
      </c>
      <c r="L1832" s="244">
        <v>2</v>
      </c>
      <c r="M1832" s="244">
        <v>2</v>
      </c>
      <c r="N1832" s="244">
        <v>2</v>
      </c>
      <c r="O1832" s="254">
        <v>0</v>
      </c>
    </row>
    <row r="1833" ht="14.25" spans="1:15">
      <c r="A1833" s="245" t="s">
        <v>67</v>
      </c>
      <c r="B1833" s="52" t="s">
        <v>64</v>
      </c>
      <c r="C1833" s="19">
        <v>0.407407407407407</v>
      </c>
      <c r="D1833" s="246">
        <v>0</v>
      </c>
      <c r="E1833" s="246">
        <v>0</v>
      </c>
      <c r="F1833" s="246">
        <v>0.333333333333333</v>
      </c>
      <c r="G1833" s="246">
        <v>0</v>
      </c>
      <c r="H1833" s="246">
        <v>2</v>
      </c>
      <c r="I1833" s="246">
        <v>0</v>
      </c>
      <c r="J1833" s="246">
        <v>0</v>
      </c>
      <c r="K1833" s="246">
        <v>0</v>
      </c>
      <c r="L1833" s="246">
        <v>0.5</v>
      </c>
      <c r="M1833" s="246">
        <v>0.666666666666667</v>
      </c>
      <c r="N1833" s="246">
        <v>0.666666666666667</v>
      </c>
      <c r="O1833" s="255">
        <v>0</v>
      </c>
    </row>
    <row r="1834" spans="1:15">
      <c r="A1834" s="240" t="s">
        <v>68</v>
      </c>
      <c r="B1834" s="47" t="s">
        <v>55</v>
      </c>
      <c r="C1834" s="12">
        <v>0.0524114173228346</v>
      </c>
      <c r="D1834" s="241">
        <v>0.075938566552901</v>
      </c>
      <c r="E1834" s="241">
        <v>0.0512295081967213</v>
      </c>
      <c r="F1834" s="241">
        <v>0.045631067961165</v>
      </c>
      <c r="G1834" s="241">
        <v>0.0233812949640288</v>
      </c>
      <c r="H1834" s="241">
        <v>0.0372516556291391</v>
      </c>
      <c r="I1834" s="241">
        <v>0.040587219343696</v>
      </c>
      <c r="J1834" s="241">
        <v>0.0463917525773196</v>
      </c>
      <c r="K1834" s="241">
        <v>0.0380333951762523</v>
      </c>
      <c r="L1834" s="241">
        <v>0.077120822622108</v>
      </c>
      <c r="M1834" s="241">
        <v>0.0592783505154639</v>
      </c>
      <c r="N1834" s="241">
        <v>0.0699152542372881</v>
      </c>
      <c r="O1834" s="252">
        <v>0.085427135678392</v>
      </c>
    </row>
    <row r="1835" spans="1:15">
      <c r="A1835" s="242" t="s">
        <v>68</v>
      </c>
      <c r="B1835" s="43" t="s">
        <v>57</v>
      </c>
      <c r="C1835" s="15">
        <v>12192</v>
      </c>
      <c r="D1835" s="243">
        <v>1172</v>
      </c>
      <c r="E1835" s="243">
        <v>976</v>
      </c>
      <c r="F1835" s="243">
        <v>1030</v>
      </c>
      <c r="G1835" s="243">
        <v>1112</v>
      </c>
      <c r="H1835" s="243">
        <v>1208</v>
      </c>
      <c r="I1835" s="243">
        <v>1158</v>
      </c>
      <c r="J1835" s="243">
        <v>1164</v>
      </c>
      <c r="K1835" s="243">
        <v>1078</v>
      </c>
      <c r="L1835" s="243">
        <v>778</v>
      </c>
      <c r="M1835" s="243">
        <v>776</v>
      </c>
      <c r="N1835" s="243">
        <v>944</v>
      </c>
      <c r="O1835" s="253">
        <v>796</v>
      </c>
    </row>
    <row r="1836" spans="1:15">
      <c r="A1836" s="240" t="s">
        <v>68</v>
      </c>
      <c r="B1836" s="47" t="s">
        <v>59</v>
      </c>
      <c r="C1836" s="15">
        <v>639</v>
      </c>
      <c r="D1836" s="243">
        <v>89</v>
      </c>
      <c r="E1836" s="243">
        <v>50</v>
      </c>
      <c r="F1836" s="243">
        <v>47</v>
      </c>
      <c r="G1836" s="243">
        <v>26</v>
      </c>
      <c r="H1836" s="243">
        <v>45</v>
      </c>
      <c r="I1836" s="243">
        <v>47</v>
      </c>
      <c r="J1836" s="243">
        <v>54</v>
      </c>
      <c r="K1836" s="243">
        <v>41</v>
      </c>
      <c r="L1836" s="243">
        <v>60</v>
      </c>
      <c r="M1836" s="243">
        <v>46</v>
      </c>
      <c r="N1836" s="243">
        <v>66</v>
      </c>
      <c r="O1836" s="253">
        <v>68</v>
      </c>
    </row>
    <row r="1837" spans="1:15">
      <c r="A1837" s="242" t="s">
        <v>68</v>
      </c>
      <c r="B1837" s="43" t="s">
        <v>4</v>
      </c>
      <c r="C1837" s="15">
        <v>36</v>
      </c>
      <c r="D1837" s="244">
        <v>3</v>
      </c>
      <c r="E1837" s="244">
        <v>4</v>
      </c>
      <c r="F1837" s="244">
        <v>3</v>
      </c>
      <c r="G1837" s="244">
        <v>1</v>
      </c>
      <c r="H1837" s="244">
        <v>5</v>
      </c>
      <c r="I1837" s="244">
        <v>0</v>
      </c>
      <c r="J1837" s="244">
        <v>1</v>
      </c>
      <c r="K1837" s="244">
        <v>4</v>
      </c>
      <c r="L1837" s="244">
        <v>4</v>
      </c>
      <c r="M1837" s="244">
        <v>4</v>
      </c>
      <c r="N1837" s="244">
        <v>3</v>
      </c>
      <c r="O1837" s="254">
        <v>4</v>
      </c>
    </row>
    <row r="1838" spans="1:15">
      <c r="A1838" s="240" t="s">
        <v>68</v>
      </c>
      <c r="B1838" s="47" t="s">
        <v>5</v>
      </c>
      <c r="C1838" s="12">
        <v>0.0563380281690141</v>
      </c>
      <c r="D1838" s="241">
        <v>0.0337078651685393</v>
      </c>
      <c r="E1838" s="241">
        <v>0.08</v>
      </c>
      <c r="F1838" s="241">
        <v>0.0638297872340425</v>
      </c>
      <c r="G1838" s="241">
        <v>0.0384615384615385</v>
      </c>
      <c r="H1838" s="241">
        <v>0.111111111111111</v>
      </c>
      <c r="I1838" s="241">
        <v>0</v>
      </c>
      <c r="J1838" s="241">
        <v>0.0185185185185185</v>
      </c>
      <c r="K1838" s="241">
        <v>0.0975609756097561</v>
      </c>
      <c r="L1838" s="241">
        <v>0.0666666666666667</v>
      </c>
      <c r="M1838" s="241">
        <v>0.0869565217391304</v>
      </c>
      <c r="N1838" s="241">
        <v>0.0454545454545455</v>
      </c>
      <c r="O1838" s="252">
        <v>0.0588235294117647</v>
      </c>
    </row>
    <row r="1839" spans="1:15">
      <c r="A1839" s="242" t="s">
        <v>68</v>
      </c>
      <c r="B1839" s="43" t="s">
        <v>6</v>
      </c>
      <c r="C1839" s="15">
        <v>21</v>
      </c>
      <c r="D1839" s="244">
        <v>4</v>
      </c>
      <c r="E1839" s="244">
        <v>1</v>
      </c>
      <c r="F1839" s="244">
        <v>0</v>
      </c>
      <c r="G1839" s="244">
        <v>0</v>
      </c>
      <c r="H1839" s="244">
        <v>1</v>
      </c>
      <c r="I1839" s="244">
        <v>2</v>
      </c>
      <c r="J1839" s="244">
        <v>1</v>
      </c>
      <c r="K1839" s="244">
        <v>2</v>
      </c>
      <c r="L1839" s="244">
        <v>1</v>
      </c>
      <c r="M1839" s="244">
        <v>5</v>
      </c>
      <c r="N1839" s="244">
        <v>1</v>
      </c>
      <c r="O1839" s="254">
        <v>3</v>
      </c>
    </row>
    <row r="1840" ht="14.25" spans="1:15">
      <c r="A1840" s="245" t="s">
        <v>68</v>
      </c>
      <c r="B1840" s="52" t="s">
        <v>64</v>
      </c>
      <c r="C1840" s="19">
        <v>0.583333333333333</v>
      </c>
      <c r="D1840" s="246">
        <v>1.33333333333333</v>
      </c>
      <c r="E1840" s="246">
        <v>0.25</v>
      </c>
      <c r="F1840" s="246">
        <v>0</v>
      </c>
      <c r="G1840" s="246">
        <v>0</v>
      </c>
      <c r="H1840" s="246">
        <v>0.2</v>
      </c>
      <c r="I1840" s="246">
        <v>0</v>
      </c>
      <c r="J1840" s="246">
        <v>1</v>
      </c>
      <c r="K1840" s="246">
        <v>0.5</v>
      </c>
      <c r="L1840" s="246">
        <v>0.25</v>
      </c>
      <c r="M1840" s="246">
        <v>1.25</v>
      </c>
      <c r="N1840" s="246">
        <v>0.333333333333333</v>
      </c>
      <c r="O1840" s="255">
        <v>0.75</v>
      </c>
    </row>
    <row r="1841" spans="1:15">
      <c r="A1841" s="240" t="s">
        <v>69</v>
      </c>
      <c r="B1841" s="47" t="s">
        <v>55</v>
      </c>
      <c r="C1841" s="12">
        <v>1.00396825396825</v>
      </c>
      <c r="D1841" s="241">
        <v>1.46808510638298</v>
      </c>
      <c r="E1841" s="241">
        <v>1.48148148148148</v>
      </c>
      <c r="F1841" s="241">
        <v>1.1</v>
      </c>
      <c r="G1841" s="241">
        <v>1.46666666666667</v>
      </c>
      <c r="H1841" s="241">
        <v>0.911764705882353</v>
      </c>
      <c r="I1841" s="241">
        <v>0.893617021276596</v>
      </c>
      <c r="J1841" s="241">
        <v>0.638297872340426</v>
      </c>
      <c r="K1841" s="241">
        <v>0.903846153846154</v>
      </c>
      <c r="L1841" s="241">
        <v>0.903225806451613</v>
      </c>
      <c r="M1841" s="241">
        <v>0.8</v>
      </c>
      <c r="N1841" s="241">
        <v>0.963636363636364</v>
      </c>
      <c r="O1841" s="252">
        <v>1.125</v>
      </c>
    </row>
    <row r="1842" spans="1:15">
      <c r="A1842" s="242" t="s">
        <v>69</v>
      </c>
      <c r="B1842" s="43" t="s">
        <v>57</v>
      </c>
      <c r="C1842" s="15">
        <v>504</v>
      </c>
      <c r="D1842" s="243">
        <v>47</v>
      </c>
      <c r="E1842" s="243">
        <v>27</v>
      </c>
      <c r="F1842" s="243">
        <v>20</v>
      </c>
      <c r="G1842" s="243">
        <v>15</v>
      </c>
      <c r="H1842" s="243">
        <v>34</v>
      </c>
      <c r="I1842" s="243">
        <v>47</v>
      </c>
      <c r="J1842" s="243">
        <v>47</v>
      </c>
      <c r="K1842" s="243">
        <v>52</v>
      </c>
      <c r="L1842" s="243">
        <v>62</v>
      </c>
      <c r="M1842" s="243">
        <v>50</v>
      </c>
      <c r="N1842" s="243">
        <v>55</v>
      </c>
      <c r="O1842" s="253">
        <v>48</v>
      </c>
    </row>
    <row r="1843" spans="1:15">
      <c r="A1843" s="240" t="s">
        <v>69</v>
      </c>
      <c r="B1843" s="47" t="s">
        <v>59</v>
      </c>
      <c r="C1843" s="15">
        <v>506</v>
      </c>
      <c r="D1843" s="243">
        <v>69</v>
      </c>
      <c r="E1843" s="243">
        <v>40</v>
      </c>
      <c r="F1843" s="243">
        <v>22</v>
      </c>
      <c r="G1843" s="243">
        <v>22</v>
      </c>
      <c r="H1843" s="243">
        <v>31</v>
      </c>
      <c r="I1843" s="243">
        <v>42</v>
      </c>
      <c r="J1843" s="243">
        <v>30</v>
      </c>
      <c r="K1843" s="243">
        <v>47</v>
      </c>
      <c r="L1843" s="243">
        <v>56</v>
      </c>
      <c r="M1843" s="243">
        <v>40</v>
      </c>
      <c r="N1843" s="243">
        <v>53</v>
      </c>
      <c r="O1843" s="253">
        <v>54</v>
      </c>
    </row>
    <row r="1844" spans="1:15">
      <c r="A1844" s="242" t="s">
        <v>69</v>
      </c>
      <c r="B1844" s="43" t="s">
        <v>4</v>
      </c>
      <c r="C1844" s="15">
        <v>29</v>
      </c>
      <c r="D1844" s="244">
        <v>2</v>
      </c>
      <c r="E1844" s="244">
        <v>3</v>
      </c>
      <c r="F1844" s="244">
        <v>3</v>
      </c>
      <c r="G1844" s="244">
        <v>1</v>
      </c>
      <c r="H1844" s="244">
        <v>3</v>
      </c>
      <c r="I1844" s="244">
        <v>1</v>
      </c>
      <c r="J1844" s="244">
        <v>1</v>
      </c>
      <c r="K1844" s="244">
        <v>4</v>
      </c>
      <c r="L1844" s="244">
        <v>1</v>
      </c>
      <c r="M1844" s="244">
        <v>6</v>
      </c>
      <c r="N1844" s="244">
        <v>4</v>
      </c>
      <c r="O1844" s="254">
        <v>0</v>
      </c>
    </row>
    <row r="1845" spans="1:15">
      <c r="A1845" s="240" t="s">
        <v>69</v>
      </c>
      <c r="B1845" s="47" t="s">
        <v>5</v>
      </c>
      <c r="C1845" s="12">
        <v>0.0573122529644269</v>
      </c>
      <c r="D1845" s="241">
        <v>0.0289855072463768</v>
      </c>
      <c r="E1845" s="241">
        <v>0.075</v>
      </c>
      <c r="F1845" s="241">
        <v>0.136363636363636</v>
      </c>
      <c r="G1845" s="241">
        <v>0.0454545454545455</v>
      </c>
      <c r="H1845" s="241">
        <v>0.0967741935483871</v>
      </c>
      <c r="I1845" s="241">
        <v>0.0238095238095238</v>
      </c>
      <c r="J1845" s="241">
        <v>0.0333333333333333</v>
      </c>
      <c r="K1845" s="241">
        <v>0.0851063829787234</v>
      </c>
      <c r="L1845" s="241">
        <v>0.0178571428571429</v>
      </c>
      <c r="M1845" s="241">
        <v>0.15</v>
      </c>
      <c r="N1845" s="241">
        <v>0.0754716981132075</v>
      </c>
      <c r="O1845" s="252">
        <v>0</v>
      </c>
    </row>
    <row r="1846" spans="1:15">
      <c r="A1846" s="242" t="s">
        <v>69</v>
      </c>
      <c r="B1846" s="43" t="s">
        <v>6</v>
      </c>
      <c r="C1846" s="15">
        <v>5</v>
      </c>
      <c r="D1846" s="244">
        <v>1</v>
      </c>
      <c r="E1846" s="244">
        <v>0</v>
      </c>
      <c r="F1846" s="244">
        <v>0</v>
      </c>
      <c r="G1846" s="244">
        <v>0</v>
      </c>
      <c r="H1846" s="244">
        <v>0</v>
      </c>
      <c r="I1846" s="244">
        <v>0</v>
      </c>
      <c r="J1846" s="244">
        <v>0</v>
      </c>
      <c r="K1846" s="244">
        <v>1</v>
      </c>
      <c r="L1846" s="244">
        <v>0</v>
      </c>
      <c r="M1846" s="244">
        <v>1</v>
      </c>
      <c r="N1846" s="244">
        <v>2</v>
      </c>
      <c r="O1846" s="254">
        <v>0</v>
      </c>
    </row>
    <row r="1847" ht="14.25" spans="1:15">
      <c r="A1847" s="245" t="s">
        <v>69</v>
      </c>
      <c r="B1847" s="52" t="s">
        <v>64</v>
      </c>
      <c r="C1847" s="19">
        <v>0.172413793103448</v>
      </c>
      <c r="D1847" s="246">
        <v>0.5</v>
      </c>
      <c r="E1847" s="246">
        <v>0</v>
      </c>
      <c r="F1847" s="246">
        <v>0</v>
      </c>
      <c r="G1847" s="246">
        <v>0</v>
      </c>
      <c r="H1847" s="246">
        <v>0</v>
      </c>
      <c r="I1847" s="246">
        <v>0</v>
      </c>
      <c r="J1847" s="246">
        <v>0</v>
      </c>
      <c r="K1847" s="246">
        <v>0.25</v>
      </c>
      <c r="L1847" s="246">
        <v>0</v>
      </c>
      <c r="M1847" s="246">
        <v>0.166666666666667</v>
      </c>
      <c r="N1847" s="246">
        <v>0.5</v>
      </c>
      <c r="O1847" s="255">
        <v>0</v>
      </c>
    </row>
    <row r="1848" spans="1:15">
      <c r="A1848" s="240" t="s">
        <v>70</v>
      </c>
      <c r="B1848" s="47" t="s">
        <v>55</v>
      </c>
      <c r="C1848" s="12">
        <v>0.584976525821596</v>
      </c>
      <c r="D1848" s="241">
        <v>1.18181818181818</v>
      </c>
      <c r="E1848" s="241">
        <v>0.545454545454545</v>
      </c>
      <c r="F1848" s="241">
        <v>1</v>
      </c>
      <c r="G1848" s="241">
        <v>1.05882352941176</v>
      </c>
      <c r="H1848" s="241">
        <v>0.966666666666667</v>
      </c>
      <c r="I1848" s="241">
        <v>0.705882352941177</v>
      </c>
      <c r="J1848" s="241">
        <v>0.847222222222222</v>
      </c>
      <c r="K1848" s="241">
        <v>0.728571428571429</v>
      </c>
      <c r="L1848" s="241">
        <v>0.725</v>
      </c>
      <c r="M1848" s="241">
        <v>0.546195652173913</v>
      </c>
      <c r="N1848" s="241">
        <v>0.508594539939333</v>
      </c>
      <c r="O1848" s="252">
        <v>0.584415584415584</v>
      </c>
    </row>
    <row r="1849" spans="1:15">
      <c r="A1849" s="242" t="s">
        <v>70</v>
      </c>
      <c r="B1849" s="43" t="s">
        <v>57</v>
      </c>
      <c r="C1849" s="15">
        <v>2130</v>
      </c>
      <c r="D1849" s="243">
        <v>33</v>
      </c>
      <c r="E1849" s="243">
        <v>11</v>
      </c>
      <c r="F1849" s="243">
        <v>7</v>
      </c>
      <c r="G1849" s="243">
        <v>17</v>
      </c>
      <c r="H1849" s="243">
        <v>30</v>
      </c>
      <c r="I1849" s="243">
        <v>68</v>
      </c>
      <c r="J1849" s="243">
        <v>72</v>
      </c>
      <c r="K1849" s="243">
        <v>70</v>
      </c>
      <c r="L1849" s="243">
        <v>80</v>
      </c>
      <c r="M1849" s="243">
        <v>368</v>
      </c>
      <c r="N1849" s="243">
        <v>989</v>
      </c>
      <c r="O1849" s="253">
        <v>385</v>
      </c>
    </row>
    <row r="1850" spans="1:15">
      <c r="A1850" s="240" t="s">
        <v>70</v>
      </c>
      <c r="B1850" s="47" t="s">
        <v>59</v>
      </c>
      <c r="C1850" s="15">
        <v>1246</v>
      </c>
      <c r="D1850" s="243">
        <v>39</v>
      </c>
      <c r="E1850" s="243">
        <v>6</v>
      </c>
      <c r="F1850" s="243">
        <v>7</v>
      </c>
      <c r="G1850" s="243">
        <v>18</v>
      </c>
      <c r="H1850" s="243">
        <v>29</v>
      </c>
      <c r="I1850" s="243">
        <v>48</v>
      </c>
      <c r="J1850" s="243">
        <v>61</v>
      </c>
      <c r="K1850" s="243">
        <v>51</v>
      </c>
      <c r="L1850" s="243">
        <v>58</v>
      </c>
      <c r="M1850" s="243">
        <v>201</v>
      </c>
      <c r="N1850" s="243">
        <v>503</v>
      </c>
      <c r="O1850" s="253">
        <v>225</v>
      </c>
    </row>
    <row r="1851" spans="1:15">
      <c r="A1851" s="242" t="s">
        <v>70</v>
      </c>
      <c r="B1851" s="43" t="s">
        <v>4</v>
      </c>
      <c r="C1851" s="15">
        <v>5</v>
      </c>
      <c r="D1851" s="244">
        <v>0</v>
      </c>
      <c r="E1851" s="244">
        <v>0</v>
      </c>
      <c r="F1851" s="244">
        <v>0</v>
      </c>
      <c r="G1851" s="244">
        <v>0</v>
      </c>
      <c r="H1851" s="244">
        <v>1</v>
      </c>
      <c r="I1851" s="244">
        <v>1</v>
      </c>
      <c r="J1851" s="244">
        <v>0</v>
      </c>
      <c r="K1851" s="244">
        <v>0</v>
      </c>
      <c r="L1851" s="244">
        <v>0</v>
      </c>
      <c r="M1851" s="244">
        <v>0</v>
      </c>
      <c r="N1851" s="244">
        <v>2</v>
      </c>
      <c r="O1851" s="254">
        <v>1</v>
      </c>
    </row>
    <row r="1852" spans="1:15">
      <c r="A1852" s="240" t="s">
        <v>70</v>
      </c>
      <c r="B1852" s="47" t="s">
        <v>5</v>
      </c>
      <c r="C1852" s="12">
        <v>0.00401284109149278</v>
      </c>
      <c r="D1852" s="241">
        <v>0</v>
      </c>
      <c r="E1852" s="241">
        <v>0</v>
      </c>
      <c r="F1852" s="241">
        <v>0</v>
      </c>
      <c r="G1852" s="241">
        <v>0</v>
      </c>
      <c r="H1852" s="241">
        <v>0.0344827586206897</v>
      </c>
      <c r="I1852" s="241">
        <v>0.0208333333333333</v>
      </c>
      <c r="J1852" s="241">
        <v>0</v>
      </c>
      <c r="K1852" s="241">
        <v>0</v>
      </c>
      <c r="L1852" s="241">
        <v>0</v>
      </c>
      <c r="M1852" s="241">
        <v>0</v>
      </c>
      <c r="N1852" s="241">
        <v>0.00397614314115308</v>
      </c>
      <c r="O1852" s="252">
        <v>0.00444444444444444</v>
      </c>
    </row>
    <row r="1853" spans="1:15">
      <c r="A1853" s="242" t="s">
        <v>70</v>
      </c>
      <c r="B1853" s="43" t="s">
        <v>6</v>
      </c>
      <c r="C1853" s="15">
        <v>1</v>
      </c>
      <c r="D1853" s="244">
        <v>0</v>
      </c>
      <c r="E1853" s="244">
        <v>0</v>
      </c>
      <c r="F1853" s="244">
        <v>0</v>
      </c>
      <c r="G1853" s="244">
        <v>0</v>
      </c>
      <c r="H1853" s="244">
        <v>0</v>
      </c>
      <c r="I1853" s="244">
        <v>0</v>
      </c>
      <c r="J1853" s="244">
        <v>0</v>
      </c>
      <c r="K1853" s="244">
        <v>0</v>
      </c>
      <c r="L1853" s="244">
        <v>1</v>
      </c>
      <c r="M1853" s="244">
        <v>0</v>
      </c>
      <c r="N1853" s="244">
        <v>0</v>
      </c>
      <c r="O1853" s="254">
        <v>0</v>
      </c>
    </row>
    <row r="1854" ht="14.25" spans="1:15">
      <c r="A1854" s="245" t="s">
        <v>70</v>
      </c>
      <c r="B1854" s="52" t="s">
        <v>64</v>
      </c>
      <c r="C1854" s="19">
        <v>0.2</v>
      </c>
      <c r="D1854" s="246">
        <v>0</v>
      </c>
      <c r="E1854" s="246">
        <v>0</v>
      </c>
      <c r="F1854" s="246">
        <v>0</v>
      </c>
      <c r="G1854" s="246">
        <v>0</v>
      </c>
      <c r="H1854" s="246">
        <v>0</v>
      </c>
      <c r="I1854" s="246">
        <v>0</v>
      </c>
      <c r="J1854" s="246">
        <v>0</v>
      </c>
      <c r="K1854" s="246">
        <v>0</v>
      </c>
      <c r="L1854" s="246">
        <v>0</v>
      </c>
      <c r="M1854" s="246">
        <v>0</v>
      </c>
      <c r="N1854" s="246">
        <v>0</v>
      </c>
      <c r="O1854" s="255">
        <v>0</v>
      </c>
    </row>
    <row r="1855" spans="1:15">
      <c r="A1855" s="240" t="s">
        <v>26</v>
      </c>
      <c r="B1855" s="47" t="s">
        <v>55</v>
      </c>
      <c r="C1855" s="12">
        <v>0.391371340523883</v>
      </c>
      <c r="D1855" s="241">
        <v>0.471428571428571</v>
      </c>
      <c r="E1855" s="241">
        <v>0.441176470588235</v>
      </c>
      <c r="F1855" s="241">
        <v>0.346153846153846</v>
      </c>
      <c r="G1855" s="241">
        <v>0.411111111111111</v>
      </c>
      <c r="H1855" s="241">
        <v>0.538461538461538</v>
      </c>
      <c r="I1855" s="241">
        <v>0.464646464646465</v>
      </c>
      <c r="J1855" s="241">
        <v>0.330578512396694</v>
      </c>
      <c r="K1855" s="241">
        <v>0.353383458646617</v>
      </c>
      <c r="L1855" s="241">
        <v>0.353741496598639</v>
      </c>
      <c r="M1855" s="241">
        <v>0.350806451612903</v>
      </c>
      <c r="N1855" s="241">
        <v>0.33448275862069</v>
      </c>
      <c r="O1855" s="252">
        <v>0.402173913043478</v>
      </c>
    </row>
    <row r="1856" spans="1:15">
      <c r="A1856" s="242" t="s">
        <v>26</v>
      </c>
      <c r="B1856" s="43" t="s">
        <v>57</v>
      </c>
      <c r="C1856" s="15">
        <v>2596</v>
      </c>
      <c r="D1856" s="243">
        <v>280</v>
      </c>
      <c r="E1856" s="243">
        <v>204</v>
      </c>
      <c r="F1856" s="243">
        <v>104</v>
      </c>
      <c r="G1856" s="243">
        <v>90</v>
      </c>
      <c r="H1856" s="243">
        <v>104</v>
      </c>
      <c r="I1856" s="243">
        <v>198</v>
      </c>
      <c r="J1856" s="243">
        <v>242</v>
      </c>
      <c r="K1856" s="243">
        <v>266</v>
      </c>
      <c r="L1856" s="243">
        <v>294</v>
      </c>
      <c r="M1856" s="243">
        <v>248</v>
      </c>
      <c r="N1856" s="243">
        <v>290</v>
      </c>
      <c r="O1856" s="253">
        <v>276</v>
      </c>
    </row>
    <row r="1857" spans="1:15">
      <c r="A1857" s="240" t="s">
        <v>26</v>
      </c>
      <c r="B1857" s="47" t="s">
        <v>59</v>
      </c>
      <c r="C1857" s="15">
        <v>1016</v>
      </c>
      <c r="D1857" s="243">
        <v>132</v>
      </c>
      <c r="E1857" s="243">
        <v>90</v>
      </c>
      <c r="F1857" s="243">
        <v>36</v>
      </c>
      <c r="G1857" s="243">
        <v>37</v>
      </c>
      <c r="H1857" s="243">
        <v>56</v>
      </c>
      <c r="I1857" s="243">
        <v>92</v>
      </c>
      <c r="J1857" s="243">
        <v>80</v>
      </c>
      <c r="K1857" s="243">
        <v>94</v>
      </c>
      <c r="L1857" s="243">
        <v>104</v>
      </c>
      <c r="M1857" s="243">
        <v>87</v>
      </c>
      <c r="N1857" s="243">
        <v>97</v>
      </c>
      <c r="O1857" s="253">
        <v>111</v>
      </c>
    </row>
    <row r="1858" spans="1:15">
      <c r="A1858" s="242" t="s">
        <v>26</v>
      </c>
      <c r="B1858" s="43" t="s">
        <v>4</v>
      </c>
      <c r="C1858" s="15">
        <v>16</v>
      </c>
      <c r="D1858" s="244">
        <v>1</v>
      </c>
      <c r="E1858" s="244">
        <v>2</v>
      </c>
      <c r="F1858" s="244">
        <v>0</v>
      </c>
      <c r="G1858" s="244">
        <v>0</v>
      </c>
      <c r="H1858" s="244">
        <v>0</v>
      </c>
      <c r="I1858" s="244">
        <v>2</v>
      </c>
      <c r="J1858" s="244">
        <v>1</v>
      </c>
      <c r="K1858" s="244">
        <v>2</v>
      </c>
      <c r="L1858" s="244">
        <v>3</v>
      </c>
      <c r="M1858" s="244">
        <v>1</v>
      </c>
      <c r="N1858" s="244">
        <v>1</v>
      </c>
      <c r="O1858" s="254">
        <v>3</v>
      </c>
    </row>
    <row r="1859" spans="1:15">
      <c r="A1859" s="240" t="s">
        <v>26</v>
      </c>
      <c r="B1859" s="47" t="s">
        <v>5</v>
      </c>
      <c r="C1859" s="12">
        <v>0.015748031496063</v>
      </c>
      <c r="D1859" s="241">
        <v>0.00757575757575758</v>
      </c>
      <c r="E1859" s="241">
        <v>0.0222222222222222</v>
      </c>
      <c r="F1859" s="241">
        <v>0</v>
      </c>
      <c r="G1859" s="241">
        <v>0</v>
      </c>
      <c r="H1859" s="241">
        <v>0</v>
      </c>
      <c r="I1859" s="241">
        <v>0.0217391304347826</v>
      </c>
      <c r="J1859" s="241">
        <v>0.0125</v>
      </c>
      <c r="K1859" s="241">
        <v>0.0212765957446809</v>
      </c>
      <c r="L1859" s="241">
        <v>0.0288461538461538</v>
      </c>
      <c r="M1859" s="241">
        <v>0.0114942528735632</v>
      </c>
      <c r="N1859" s="241">
        <v>0.0103092783505155</v>
      </c>
      <c r="O1859" s="252">
        <v>0.027027027027027</v>
      </c>
    </row>
    <row r="1860" spans="1:15">
      <c r="A1860" s="242" t="s">
        <v>26</v>
      </c>
      <c r="B1860" s="43" t="s">
        <v>6</v>
      </c>
      <c r="C1860" s="15">
        <v>5</v>
      </c>
      <c r="D1860" s="244">
        <v>0</v>
      </c>
      <c r="E1860" s="244">
        <v>1</v>
      </c>
      <c r="F1860" s="244">
        <v>0</v>
      </c>
      <c r="G1860" s="244">
        <v>0</v>
      </c>
      <c r="H1860" s="244">
        <v>1</v>
      </c>
      <c r="I1860" s="244">
        <v>1</v>
      </c>
      <c r="J1860" s="244">
        <v>0</v>
      </c>
      <c r="K1860" s="244">
        <v>1</v>
      </c>
      <c r="L1860" s="244">
        <v>0</v>
      </c>
      <c r="M1860" s="244">
        <v>0</v>
      </c>
      <c r="N1860" s="244">
        <v>0</v>
      </c>
      <c r="O1860" s="254">
        <v>1</v>
      </c>
    </row>
    <row r="1861" ht="14.25" spans="1:15">
      <c r="A1861" s="245" t="s">
        <v>26</v>
      </c>
      <c r="B1861" s="52" t="s">
        <v>64</v>
      </c>
      <c r="C1861" s="19">
        <v>0.3125</v>
      </c>
      <c r="D1861" s="250">
        <v>0</v>
      </c>
      <c r="E1861" s="250">
        <v>1</v>
      </c>
      <c r="F1861" s="250">
        <v>0</v>
      </c>
      <c r="G1861" s="250">
        <v>0</v>
      </c>
      <c r="H1861" s="250">
        <v>1</v>
      </c>
      <c r="I1861" s="250">
        <v>1</v>
      </c>
      <c r="J1861" s="250">
        <v>0</v>
      </c>
      <c r="K1861" s="250">
        <v>1</v>
      </c>
      <c r="L1861" s="250">
        <v>0</v>
      </c>
      <c r="M1861" s="250">
        <v>0</v>
      </c>
      <c r="N1861" s="250">
        <v>0</v>
      </c>
      <c r="O1861" s="257">
        <v>1</v>
      </c>
    </row>
    <row r="1862" spans="1:15">
      <c r="A1862" s="240" t="s">
        <v>71</v>
      </c>
      <c r="B1862" s="47" t="s">
        <v>55</v>
      </c>
      <c r="C1862" s="12">
        <v>0.0453834115805947</v>
      </c>
      <c r="D1862" s="241">
        <v>0.0581395348837209</v>
      </c>
      <c r="E1862" s="241">
        <v>0.0178571428571429</v>
      </c>
      <c r="F1862" s="241">
        <v>0</v>
      </c>
      <c r="G1862" s="241">
        <v>0.0740740740740741</v>
      </c>
      <c r="H1862" s="241">
        <v>0.0277777777777778</v>
      </c>
      <c r="I1862" s="241">
        <v>0.133333333333333</v>
      </c>
      <c r="J1862" s="241">
        <v>0.0454545454545455</v>
      </c>
      <c r="K1862" s="241">
        <v>0.08</v>
      </c>
      <c r="L1862" s="241">
        <v>0.0909090909090909</v>
      </c>
      <c r="M1862" s="241">
        <v>0.02</v>
      </c>
      <c r="N1862" s="241">
        <v>0</v>
      </c>
      <c r="O1862" s="252">
        <v>0.0240963855421687</v>
      </c>
    </row>
    <row r="1863" spans="1:15">
      <c r="A1863" s="242" t="s">
        <v>71</v>
      </c>
      <c r="B1863" s="43" t="s">
        <v>57</v>
      </c>
      <c r="C1863" s="15">
        <v>639</v>
      </c>
      <c r="D1863" s="243">
        <v>86</v>
      </c>
      <c r="E1863" s="243">
        <v>56</v>
      </c>
      <c r="F1863" s="243">
        <v>31</v>
      </c>
      <c r="G1863" s="243">
        <v>27</v>
      </c>
      <c r="H1863" s="243">
        <v>36</v>
      </c>
      <c r="I1863" s="243">
        <v>45</v>
      </c>
      <c r="J1863" s="243">
        <v>44</v>
      </c>
      <c r="K1863" s="243">
        <v>50</v>
      </c>
      <c r="L1863" s="243">
        <v>55</v>
      </c>
      <c r="M1863" s="243">
        <v>50</v>
      </c>
      <c r="N1863" s="243">
        <v>76</v>
      </c>
      <c r="O1863" s="253">
        <v>83</v>
      </c>
    </row>
    <row r="1864" spans="1:15">
      <c r="A1864" s="240" t="s">
        <v>71</v>
      </c>
      <c r="B1864" s="47" t="s">
        <v>59</v>
      </c>
      <c r="C1864" s="15">
        <v>29</v>
      </c>
      <c r="D1864" s="243">
        <v>5</v>
      </c>
      <c r="E1864" s="243">
        <v>1</v>
      </c>
      <c r="F1864" s="243">
        <v>0</v>
      </c>
      <c r="G1864" s="243">
        <v>2</v>
      </c>
      <c r="H1864" s="243">
        <v>1</v>
      </c>
      <c r="I1864" s="243">
        <v>6</v>
      </c>
      <c r="J1864" s="243">
        <v>2</v>
      </c>
      <c r="K1864" s="243">
        <v>4</v>
      </c>
      <c r="L1864" s="243">
        <v>5</v>
      </c>
      <c r="M1864" s="243">
        <v>1</v>
      </c>
      <c r="N1864" s="243">
        <v>0</v>
      </c>
      <c r="O1864" s="253">
        <v>2</v>
      </c>
    </row>
    <row r="1865" spans="1:15">
      <c r="A1865" s="242" t="s">
        <v>71</v>
      </c>
      <c r="B1865" s="43" t="s">
        <v>4</v>
      </c>
      <c r="C1865" s="15">
        <v>38</v>
      </c>
      <c r="D1865" s="244">
        <v>4</v>
      </c>
      <c r="E1865" s="244">
        <v>5</v>
      </c>
      <c r="F1865" s="244">
        <v>4</v>
      </c>
      <c r="G1865" s="244">
        <v>2</v>
      </c>
      <c r="H1865" s="244">
        <v>1</v>
      </c>
      <c r="I1865" s="244">
        <v>2</v>
      </c>
      <c r="J1865" s="244">
        <v>4</v>
      </c>
      <c r="K1865" s="244">
        <v>2</v>
      </c>
      <c r="L1865" s="244">
        <v>1</v>
      </c>
      <c r="M1865" s="244">
        <v>3</v>
      </c>
      <c r="N1865" s="244">
        <v>3</v>
      </c>
      <c r="O1865" s="254">
        <v>7</v>
      </c>
    </row>
    <row r="1866" spans="1:15">
      <c r="A1866" s="240" t="s">
        <v>71</v>
      </c>
      <c r="B1866" s="47" t="s">
        <v>5</v>
      </c>
      <c r="C1866" s="12">
        <v>1.31034482758621</v>
      </c>
      <c r="D1866" s="241">
        <v>0.8</v>
      </c>
      <c r="E1866" s="241">
        <v>5</v>
      </c>
      <c r="F1866" s="241">
        <v>0</v>
      </c>
      <c r="G1866" s="241">
        <v>1</v>
      </c>
      <c r="H1866" s="241">
        <v>1</v>
      </c>
      <c r="I1866" s="241">
        <v>0.333333333333333</v>
      </c>
      <c r="J1866" s="241">
        <v>2</v>
      </c>
      <c r="K1866" s="241">
        <v>0.5</v>
      </c>
      <c r="L1866" s="241">
        <v>0.2</v>
      </c>
      <c r="M1866" s="241">
        <v>3</v>
      </c>
      <c r="N1866" s="241">
        <v>0</v>
      </c>
      <c r="O1866" s="252">
        <v>3.5</v>
      </c>
    </row>
    <row r="1867" spans="1:15">
      <c r="A1867" s="242" t="s">
        <v>71</v>
      </c>
      <c r="B1867" s="43" t="s">
        <v>6</v>
      </c>
      <c r="C1867" s="15">
        <v>7</v>
      </c>
      <c r="D1867" s="244">
        <v>1</v>
      </c>
      <c r="E1867" s="244">
        <v>1</v>
      </c>
      <c r="F1867" s="244">
        <v>0</v>
      </c>
      <c r="G1867" s="244">
        <v>0</v>
      </c>
      <c r="H1867" s="244">
        <v>0</v>
      </c>
      <c r="I1867" s="244">
        <v>0</v>
      </c>
      <c r="J1867" s="244">
        <v>2</v>
      </c>
      <c r="K1867" s="244">
        <v>0</v>
      </c>
      <c r="L1867" s="244">
        <v>1</v>
      </c>
      <c r="M1867" s="244">
        <v>1</v>
      </c>
      <c r="N1867" s="244">
        <v>1</v>
      </c>
      <c r="O1867" s="254">
        <v>0</v>
      </c>
    </row>
    <row r="1868" ht="14.25" spans="1:15">
      <c r="A1868" s="245" t="s">
        <v>71</v>
      </c>
      <c r="B1868" s="52" t="s">
        <v>64</v>
      </c>
      <c r="C1868" s="19">
        <v>0.184210526315789</v>
      </c>
      <c r="D1868" s="250">
        <v>1</v>
      </c>
      <c r="E1868" s="250">
        <v>1</v>
      </c>
      <c r="F1868" s="250">
        <v>0</v>
      </c>
      <c r="G1868" s="250">
        <v>0</v>
      </c>
      <c r="H1868" s="250">
        <v>0</v>
      </c>
      <c r="I1868" s="250">
        <v>0</v>
      </c>
      <c r="J1868" s="250">
        <v>2</v>
      </c>
      <c r="K1868" s="250">
        <v>0</v>
      </c>
      <c r="L1868" s="250">
        <v>1</v>
      </c>
      <c r="M1868" s="250">
        <v>1</v>
      </c>
      <c r="N1868" s="250">
        <v>1</v>
      </c>
      <c r="O1868" s="257">
        <v>0</v>
      </c>
    </row>
    <row r="1869" spans="1:15">
      <c r="A1869" s="240" t="s">
        <v>72</v>
      </c>
      <c r="B1869" s="47" t="s">
        <v>55</v>
      </c>
      <c r="C1869" s="12">
        <v>0.316204051012753</v>
      </c>
      <c r="D1869" s="241">
        <v>0.347222222222222</v>
      </c>
      <c r="E1869" s="241">
        <v>0.388059701492537</v>
      </c>
      <c r="F1869" s="241">
        <v>0.318181818181818</v>
      </c>
      <c r="G1869" s="241">
        <v>0.310344827586207</v>
      </c>
      <c r="H1869" s="241">
        <v>0.357142857142857</v>
      </c>
      <c r="I1869" s="241">
        <v>0.293650793650794</v>
      </c>
      <c r="J1869" s="241">
        <v>0.341880341880342</v>
      </c>
      <c r="K1869" s="241">
        <v>0.286764705882353</v>
      </c>
      <c r="L1869" s="241">
        <v>0.293893129770992</v>
      </c>
      <c r="M1869" s="241">
        <v>0.302325581395349</v>
      </c>
      <c r="N1869" s="241">
        <v>0.290697674418605</v>
      </c>
      <c r="O1869" s="252">
        <v>0.329268292682927</v>
      </c>
    </row>
    <row r="1870" spans="1:15">
      <c r="A1870" s="242" t="s">
        <v>72</v>
      </c>
      <c r="B1870" s="43" t="s">
        <v>57</v>
      </c>
      <c r="C1870" s="15">
        <v>2666</v>
      </c>
      <c r="D1870" s="243">
        <v>216</v>
      </c>
      <c r="E1870" s="243">
        <v>134</v>
      </c>
      <c r="F1870" s="243">
        <v>110</v>
      </c>
      <c r="G1870" s="243">
        <v>116</v>
      </c>
      <c r="H1870" s="243">
        <v>140</v>
      </c>
      <c r="I1870" s="243">
        <v>252</v>
      </c>
      <c r="J1870" s="243">
        <v>234</v>
      </c>
      <c r="K1870" s="243">
        <v>272</v>
      </c>
      <c r="L1870" s="243">
        <v>262</v>
      </c>
      <c r="M1870" s="243">
        <v>258</v>
      </c>
      <c r="N1870" s="243">
        <v>344</v>
      </c>
      <c r="O1870" s="253">
        <v>328</v>
      </c>
    </row>
    <row r="1871" spans="1:15">
      <c r="A1871" s="240" t="s">
        <v>72</v>
      </c>
      <c r="B1871" s="47" t="s">
        <v>59</v>
      </c>
      <c r="C1871" s="15">
        <v>843</v>
      </c>
      <c r="D1871" s="243">
        <v>75</v>
      </c>
      <c r="E1871" s="243">
        <v>52</v>
      </c>
      <c r="F1871" s="243">
        <v>35</v>
      </c>
      <c r="G1871" s="243">
        <v>36</v>
      </c>
      <c r="H1871" s="243">
        <v>50</v>
      </c>
      <c r="I1871" s="243">
        <v>74</v>
      </c>
      <c r="J1871" s="243">
        <v>80</v>
      </c>
      <c r="K1871" s="243">
        <v>78</v>
      </c>
      <c r="L1871" s="243">
        <v>77</v>
      </c>
      <c r="M1871" s="243">
        <v>78</v>
      </c>
      <c r="N1871" s="243">
        <v>100</v>
      </c>
      <c r="O1871" s="253">
        <v>108</v>
      </c>
    </row>
    <row r="1872" spans="1:15">
      <c r="A1872" s="242" t="s">
        <v>72</v>
      </c>
      <c r="B1872" s="43" t="s">
        <v>4</v>
      </c>
      <c r="C1872" s="15">
        <v>27</v>
      </c>
      <c r="D1872" s="244">
        <v>4</v>
      </c>
      <c r="E1872" s="244">
        <v>1</v>
      </c>
      <c r="F1872" s="244">
        <v>2</v>
      </c>
      <c r="G1872" s="244">
        <v>1</v>
      </c>
      <c r="H1872" s="244">
        <v>1</v>
      </c>
      <c r="I1872" s="244">
        <v>1</v>
      </c>
      <c r="J1872" s="244">
        <v>7</v>
      </c>
      <c r="K1872" s="244">
        <v>3</v>
      </c>
      <c r="L1872" s="244">
        <v>1</v>
      </c>
      <c r="M1872" s="244">
        <v>2</v>
      </c>
      <c r="N1872" s="244">
        <v>0</v>
      </c>
      <c r="O1872" s="254">
        <v>4</v>
      </c>
    </row>
    <row r="1873" spans="1:15">
      <c r="A1873" s="240" t="s">
        <v>72</v>
      </c>
      <c r="B1873" s="47" t="s">
        <v>5</v>
      </c>
      <c r="C1873" s="12">
        <v>0.0320284697508897</v>
      </c>
      <c r="D1873" s="241">
        <v>0.0533333333333333</v>
      </c>
      <c r="E1873" s="241">
        <v>0.0192307692307692</v>
      </c>
      <c r="F1873" s="241">
        <v>0.0571428571428571</v>
      </c>
      <c r="G1873" s="241">
        <v>0.0277777777777778</v>
      </c>
      <c r="H1873" s="241">
        <v>0.02</v>
      </c>
      <c r="I1873" s="241">
        <v>0.0135135135135135</v>
      </c>
      <c r="J1873" s="241">
        <v>0.0875</v>
      </c>
      <c r="K1873" s="241">
        <v>0.0384615384615385</v>
      </c>
      <c r="L1873" s="241">
        <v>0.012987012987013</v>
      </c>
      <c r="M1873" s="241">
        <v>0.0256410256410256</v>
      </c>
      <c r="N1873" s="241">
        <v>0</v>
      </c>
      <c r="O1873" s="252">
        <v>0.037037037037037</v>
      </c>
    </row>
    <row r="1874" spans="1:15">
      <c r="A1874" s="242" t="s">
        <v>72</v>
      </c>
      <c r="B1874" s="43" t="s">
        <v>6</v>
      </c>
      <c r="C1874" s="15">
        <v>12</v>
      </c>
      <c r="D1874" s="244">
        <v>2</v>
      </c>
      <c r="E1874" s="244">
        <v>1</v>
      </c>
      <c r="F1874" s="244">
        <v>0</v>
      </c>
      <c r="G1874" s="244">
        <v>0</v>
      </c>
      <c r="H1874" s="244">
        <v>1</v>
      </c>
      <c r="I1874" s="244">
        <v>0</v>
      </c>
      <c r="J1874" s="244">
        <v>1</v>
      </c>
      <c r="K1874" s="244">
        <v>4</v>
      </c>
      <c r="L1874" s="244">
        <v>1</v>
      </c>
      <c r="M1874" s="244">
        <v>1</v>
      </c>
      <c r="N1874" s="244">
        <v>1</v>
      </c>
      <c r="O1874" s="254">
        <v>0</v>
      </c>
    </row>
    <row r="1875" ht="14.25" spans="1:15">
      <c r="A1875" s="245" t="s">
        <v>72</v>
      </c>
      <c r="B1875" s="52" t="s">
        <v>64</v>
      </c>
      <c r="C1875" s="19">
        <v>0.444444444444444</v>
      </c>
      <c r="D1875" s="250">
        <v>2</v>
      </c>
      <c r="E1875" s="250">
        <v>1</v>
      </c>
      <c r="F1875" s="250">
        <v>0</v>
      </c>
      <c r="G1875" s="250">
        <v>0</v>
      </c>
      <c r="H1875" s="250">
        <v>1</v>
      </c>
      <c r="I1875" s="250">
        <v>0</v>
      </c>
      <c r="J1875" s="250">
        <v>1</v>
      </c>
      <c r="K1875" s="250">
        <v>4</v>
      </c>
      <c r="L1875" s="250">
        <v>1</v>
      </c>
      <c r="M1875" s="250">
        <v>1</v>
      </c>
      <c r="N1875" s="250">
        <v>1</v>
      </c>
      <c r="O1875" s="257">
        <v>0</v>
      </c>
    </row>
    <row r="1876" ht="14.25" spans="1:15">
      <c r="A1876" s="237">
        <v>45048</v>
      </c>
      <c r="B1876" s="237"/>
      <c r="C1876" s="237"/>
      <c r="D1876" s="237"/>
      <c r="E1876" s="237"/>
      <c r="F1876" s="237"/>
      <c r="G1876" s="237"/>
      <c r="H1876" s="237"/>
      <c r="I1876" s="237"/>
      <c r="J1876" s="237"/>
      <c r="K1876" s="237"/>
      <c r="L1876" s="237"/>
      <c r="M1876" s="237"/>
      <c r="N1876" s="237"/>
      <c r="O1876" s="237"/>
    </row>
    <row r="1877" spans="1:15">
      <c r="A1877" s="56" t="s">
        <v>1</v>
      </c>
      <c r="B1877" s="238"/>
      <c r="C1877" s="8" t="s">
        <v>42</v>
      </c>
      <c r="D1877" s="239" t="s">
        <v>43</v>
      </c>
      <c r="E1877" s="239" t="s">
        <v>44</v>
      </c>
      <c r="F1877" s="239" t="s">
        <v>45</v>
      </c>
      <c r="G1877" s="239" t="s">
        <v>46</v>
      </c>
      <c r="H1877" s="239" t="s">
        <v>47</v>
      </c>
      <c r="I1877" s="239" t="s">
        <v>48</v>
      </c>
      <c r="J1877" s="239" t="s">
        <v>49</v>
      </c>
      <c r="K1877" s="239" t="s">
        <v>50</v>
      </c>
      <c r="L1877" s="239" t="s">
        <v>51</v>
      </c>
      <c r="M1877" s="239" t="s">
        <v>52</v>
      </c>
      <c r="N1877" s="239" t="s">
        <v>53</v>
      </c>
      <c r="O1877" s="251" t="s">
        <v>54</v>
      </c>
    </row>
    <row r="1878" spans="1:15">
      <c r="A1878" s="240" t="s">
        <v>22</v>
      </c>
      <c r="B1878" s="47" t="s">
        <v>55</v>
      </c>
      <c r="C1878" s="12">
        <v>0.543316831683168</v>
      </c>
      <c r="D1878" s="241">
        <v>0.73125</v>
      </c>
      <c r="E1878" s="241">
        <v>0.523255813953488</v>
      </c>
      <c r="F1878" s="241">
        <v>0.435483870967742</v>
      </c>
      <c r="G1878" s="241">
        <v>0.604651162790698</v>
      </c>
      <c r="H1878" s="241">
        <v>0.59349593495935</v>
      </c>
      <c r="I1878" s="241">
        <v>0.552238805970149</v>
      </c>
      <c r="J1878" s="241">
        <v>0.629370629370629</v>
      </c>
      <c r="K1878" s="241">
        <v>0.518248175182482</v>
      </c>
      <c r="L1878" s="241">
        <v>0.570469798657718</v>
      </c>
      <c r="M1878" s="241">
        <v>0.540880503144654</v>
      </c>
      <c r="N1878" s="241">
        <v>0.428571428571429</v>
      </c>
      <c r="O1878" s="252">
        <v>0.41025641025641</v>
      </c>
    </row>
    <row r="1879" spans="1:15">
      <c r="A1879" s="242" t="s">
        <v>22</v>
      </c>
      <c r="B1879" s="43" t="s">
        <v>57</v>
      </c>
      <c r="C1879" s="15">
        <v>1616</v>
      </c>
      <c r="D1879" s="243">
        <v>160</v>
      </c>
      <c r="E1879" s="243">
        <v>86</v>
      </c>
      <c r="F1879" s="243">
        <v>62</v>
      </c>
      <c r="G1879" s="243">
        <v>86</v>
      </c>
      <c r="H1879" s="243">
        <v>123</v>
      </c>
      <c r="I1879" s="243">
        <v>134</v>
      </c>
      <c r="J1879" s="243">
        <v>143</v>
      </c>
      <c r="K1879" s="243">
        <v>137</v>
      </c>
      <c r="L1879" s="243">
        <v>149</v>
      </c>
      <c r="M1879" s="243">
        <v>159</v>
      </c>
      <c r="N1879" s="243">
        <v>182</v>
      </c>
      <c r="O1879" s="253">
        <v>195</v>
      </c>
    </row>
    <row r="1880" spans="1:15">
      <c r="A1880" s="240" t="s">
        <v>22</v>
      </c>
      <c r="B1880" s="47" t="s">
        <v>59</v>
      </c>
      <c r="C1880" s="15">
        <v>878</v>
      </c>
      <c r="D1880" s="243">
        <v>117</v>
      </c>
      <c r="E1880" s="243">
        <v>45</v>
      </c>
      <c r="F1880" s="243">
        <v>27</v>
      </c>
      <c r="G1880" s="243">
        <v>52</v>
      </c>
      <c r="H1880" s="243">
        <v>73</v>
      </c>
      <c r="I1880" s="243">
        <v>74</v>
      </c>
      <c r="J1880" s="243">
        <v>90</v>
      </c>
      <c r="K1880" s="243">
        <v>71</v>
      </c>
      <c r="L1880" s="243">
        <v>85</v>
      </c>
      <c r="M1880" s="243">
        <v>86</v>
      </c>
      <c r="N1880" s="243">
        <v>78</v>
      </c>
      <c r="O1880" s="253">
        <v>80</v>
      </c>
    </row>
    <row r="1881" spans="1:15">
      <c r="A1881" s="242" t="s">
        <v>22</v>
      </c>
      <c r="B1881" s="43" t="s">
        <v>4</v>
      </c>
      <c r="C1881" s="15">
        <v>40</v>
      </c>
      <c r="D1881" s="244">
        <v>8</v>
      </c>
      <c r="E1881" s="244">
        <v>1</v>
      </c>
      <c r="F1881" s="244">
        <v>3</v>
      </c>
      <c r="G1881" s="244">
        <v>2</v>
      </c>
      <c r="H1881" s="244">
        <v>3</v>
      </c>
      <c r="I1881" s="244">
        <v>2</v>
      </c>
      <c r="J1881" s="244">
        <v>3</v>
      </c>
      <c r="K1881" s="244">
        <v>6</v>
      </c>
      <c r="L1881" s="244">
        <v>2</v>
      </c>
      <c r="M1881" s="244">
        <v>2</v>
      </c>
      <c r="N1881" s="244">
        <v>6</v>
      </c>
      <c r="O1881" s="254">
        <v>2</v>
      </c>
    </row>
    <row r="1882" spans="1:15">
      <c r="A1882" s="240" t="s">
        <v>22</v>
      </c>
      <c r="B1882" s="47" t="s">
        <v>5</v>
      </c>
      <c r="C1882" s="12">
        <v>0.0455580865603645</v>
      </c>
      <c r="D1882" s="241">
        <v>0.0683760683760684</v>
      </c>
      <c r="E1882" s="241">
        <v>0.0222222222222222</v>
      </c>
      <c r="F1882" s="241">
        <v>0.111111111111111</v>
      </c>
      <c r="G1882" s="241">
        <v>0.0384615384615385</v>
      </c>
      <c r="H1882" s="241">
        <v>0.0410958904109589</v>
      </c>
      <c r="I1882" s="241">
        <v>0.027027027027027</v>
      </c>
      <c r="J1882" s="241">
        <v>0.0333333333333333</v>
      </c>
      <c r="K1882" s="241">
        <v>0.0845070422535211</v>
      </c>
      <c r="L1882" s="241">
        <v>0.0235294117647059</v>
      </c>
      <c r="M1882" s="241">
        <v>0.0232558139534884</v>
      </c>
      <c r="N1882" s="241">
        <v>0.0769230769230769</v>
      </c>
      <c r="O1882" s="252">
        <v>0.025</v>
      </c>
    </row>
    <row r="1883" spans="1:15">
      <c r="A1883" s="242" t="s">
        <v>22</v>
      </c>
      <c r="B1883" s="43" t="s">
        <v>6</v>
      </c>
      <c r="C1883" s="15">
        <v>11</v>
      </c>
      <c r="D1883" s="244">
        <v>1</v>
      </c>
      <c r="E1883" s="244">
        <v>0</v>
      </c>
      <c r="F1883" s="244">
        <v>0</v>
      </c>
      <c r="G1883" s="244">
        <v>0</v>
      </c>
      <c r="H1883" s="244">
        <v>1</v>
      </c>
      <c r="I1883" s="244">
        <v>2</v>
      </c>
      <c r="J1883" s="244">
        <v>0</v>
      </c>
      <c r="K1883" s="244">
        <v>1</v>
      </c>
      <c r="L1883" s="244">
        <v>1</v>
      </c>
      <c r="M1883" s="244">
        <v>1</v>
      </c>
      <c r="N1883" s="244">
        <v>3</v>
      </c>
      <c r="O1883" s="254">
        <v>1</v>
      </c>
    </row>
    <row r="1884" ht="14.25" spans="1:15">
      <c r="A1884" s="245" t="s">
        <v>22</v>
      </c>
      <c r="B1884" s="52" t="s">
        <v>64</v>
      </c>
      <c r="C1884" s="19">
        <v>0.275</v>
      </c>
      <c r="D1884" s="246">
        <v>0.125</v>
      </c>
      <c r="E1884" s="246">
        <v>0</v>
      </c>
      <c r="F1884" s="246">
        <v>0</v>
      </c>
      <c r="G1884" s="246">
        <v>0</v>
      </c>
      <c r="H1884" s="246">
        <v>0.333333333333333</v>
      </c>
      <c r="I1884" s="246">
        <v>1</v>
      </c>
      <c r="J1884" s="246">
        <v>0</v>
      </c>
      <c r="K1884" s="246">
        <v>0.166666666666667</v>
      </c>
      <c r="L1884" s="246">
        <v>0.5</v>
      </c>
      <c r="M1884" s="246">
        <v>0.5</v>
      </c>
      <c r="N1884" s="246">
        <v>0.5</v>
      </c>
      <c r="O1884" s="255">
        <v>0.5</v>
      </c>
    </row>
    <row r="1885" spans="1:15">
      <c r="A1885" s="247" t="s">
        <v>66</v>
      </c>
      <c r="B1885" s="248" t="s">
        <v>55</v>
      </c>
      <c r="C1885" s="12">
        <v>0.118122977346278</v>
      </c>
      <c r="D1885" s="249">
        <v>0.069284064665127</v>
      </c>
      <c r="E1885" s="249">
        <v>0.0611764705882353</v>
      </c>
      <c r="F1885" s="249">
        <v>0.0443548387096774</v>
      </c>
      <c r="G1885" s="249">
        <v>0.117021276595745</v>
      </c>
      <c r="H1885" s="249">
        <v>0.138888888888889</v>
      </c>
      <c r="I1885" s="249">
        <v>0.19375</v>
      </c>
      <c r="J1885" s="249">
        <v>0.163265306122449</v>
      </c>
      <c r="K1885" s="249">
        <v>0.130952380952381</v>
      </c>
      <c r="L1885" s="249">
        <v>0.206349206349206</v>
      </c>
      <c r="M1885" s="249">
        <v>0.181818181818182</v>
      </c>
      <c r="N1885" s="249">
        <v>0.233576642335766</v>
      </c>
      <c r="O1885" s="256">
        <v>0.153333333333333</v>
      </c>
    </row>
    <row r="1886" spans="1:15">
      <c r="A1886" s="242" t="s">
        <v>66</v>
      </c>
      <c r="B1886" s="43" t="s">
        <v>57</v>
      </c>
      <c r="C1886" s="15">
        <v>2472</v>
      </c>
      <c r="D1886" s="243">
        <v>433</v>
      </c>
      <c r="E1886" s="243">
        <v>425</v>
      </c>
      <c r="F1886" s="243">
        <v>248</v>
      </c>
      <c r="G1886" s="243">
        <v>188</v>
      </c>
      <c r="H1886" s="243">
        <v>180</v>
      </c>
      <c r="I1886" s="243">
        <v>160</v>
      </c>
      <c r="J1886" s="243">
        <v>147</v>
      </c>
      <c r="K1886" s="243">
        <v>168</v>
      </c>
      <c r="L1886" s="243">
        <v>126</v>
      </c>
      <c r="M1886" s="243">
        <v>110</v>
      </c>
      <c r="N1886" s="243">
        <v>137</v>
      </c>
      <c r="O1886" s="253">
        <v>150</v>
      </c>
    </row>
    <row r="1887" spans="1:15">
      <c r="A1887" s="240" t="s">
        <v>66</v>
      </c>
      <c r="B1887" s="47" t="s">
        <v>59</v>
      </c>
      <c r="C1887" s="15">
        <v>292</v>
      </c>
      <c r="D1887" s="243">
        <v>30</v>
      </c>
      <c r="E1887" s="243">
        <v>26</v>
      </c>
      <c r="F1887" s="243">
        <v>11</v>
      </c>
      <c r="G1887" s="243">
        <v>22</v>
      </c>
      <c r="H1887" s="243">
        <v>25</v>
      </c>
      <c r="I1887" s="243">
        <v>31</v>
      </c>
      <c r="J1887" s="243">
        <v>24</v>
      </c>
      <c r="K1887" s="243">
        <v>22</v>
      </c>
      <c r="L1887" s="243">
        <v>26</v>
      </c>
      <c r="M1887" s="243">
        <v>20</v>
      </c>
      <c r="N1887" s="243">
        <v>32</v>
      </c>
      <c r="O1887" s="253">
        <v>23</v>
      </c>
    </row>
    <row r="1888" spans="1:15">
      <c r="A1888" s="242" t="s">
        <v>66</v>
      </c>
      <c r="B1888" s="43" t="s">
        <v>4</v>
      </c>
      <c r="C1888" s="15">
        <v>19</v>
      </c>
      <c r="D1888" s="244">
        <v>3</v>
      </c>
      <c r="E1888" s="244">
        <v>2</v>
      </c>
      <c r="F1888" s="244">
        <v>1</v>
      </c>
      <c r="G1888" s="244">
        <v>1</v>
      </c>
      <c r="H1888" s="244">
        <v>1</v>
      </c>
      <c r="I1888" s="244">
        <v>3</v>
      </c>
      <c r="J1888" s="244">
        <v>3</v>
      </c>
      <c r="K1888" s="244">
        <v>1</v>
      </c>
      <c r="L1888" s="244">
        <v>1</v>
      </c>
      <c r="M1888" s="244">
        <v>0</v>
      </c>
      <c r="N1888" s="244">
        <v>2</v>
      </c>
      <c r="O1888" s="254">
        <v>1</v>
      </c>
    </row>
    <row r="1889" spans="1:15">
      <c r="A1889" s="240" t="s">
        <v>66</v>
      </c>
      <c r="B1889" s="47" t="s">
        <v>5</v>
      </c>
      <c r="C1889" s="12">
        <v>0.0650684931506849</v>
      </c>
      <c r="D1889" s="241">
        <v>0.1</v>
      </c>
      <c r="E1889" s="241">
        <v>0.0769230769230769</v>
      </c>
      <c r="F1889" s="241">
        <v>0.0909090909090909</v>
      </c>
      <c r="G1889" s="241">
        <v>0.0454545454545455</v>
      </c>
      <c r="H1889" s="241">
        <v>0.04</v>
      </c>
      <c r="I1889" s="241">
        <v>0.0967741935483871</v>
      </c>
      <c r="J1889" s="241">
        <v>0.125</v>
      </c>
      <c r="K1889" s="241">
        <v>0.0454545454545455</v>
      </c>
      <c r="L1889" s="241">
        <v>0.0384615384615385</v>
      </c>
      <c r="M1889" s="241">
        <v>0</v>
      </c>
      <c r="N1889" s="241">
        <v>0.0625</v>
      </c>
      <c r="O1889" s="252">
        <v>0.0434782608695652</v>
      </c>
    </row>
    <row r="1890" spans="1:15">
      <c r="A1890" s="242" t="s">
        <v>66</v>
      </c>
      <c r="B1890" s="43" t="s">
        <v>6</v>
      </c>
      <c r="C1890" s="15">
        <v>7</v>
      </c>
      <c r="D1890" s="244">
        <v>0</v>
      </c>
      <c r="E1890" s="244">
        <v>1</v>
      </c>
      <c r="F1890" s="244">
        <v>0</v>
      </c>
      <c r="G1890" s="244">
        <v>1</v>
      </c>
      <c r="H1890" s="244">
        <v>1</v>
      </c>
      <c r="I1890" s="244">
        <v>0</v>
      </c>
      <c r="J1890" s="244">
        <v>0</v>
      </c>
      <c r="K1890" s="244">
        <v>0</v>
      </c>
      <c r="L1890" s="244">
        <v>1</v>
      </c>
      <c r="M1890" s="244">
        <v>0</v>
      </c>
      <c r="N1890" s="244">
        <v>1</v>
      </c>
      <c r="O1890" s="254">
        <v>2</v>
      </c>
    </row>
    <row r="1891" ht="14.25" spans="1:15">
      <c r="A1891" s="245" t="s">
        <v>66</v>
      </c>
      <c r="B1891" s="52" t="s">
        <v>64</v>
      </c>
      <c r="C1891" s="19">
        <v>0.368421052631579</v>
      </c>
      <c r="D1891" s="246">
        <v>0</v>
      </c>
      <c r="E1891" s="246">
        <v>0.5</v>
      </c>
      <c r="F1891" s="246">
        <v>0</v>
      </c>
      <c r="G1891" s="246">
        <v>1</v>
      </c>
      <c r="H1891" s="246">
        <v>1</v>
      </c>
      <c r="I1891" s="246">
        <v>0</v>
      </c>
      <c r="J1891" s="246">
        <v>0</v>
      </c>
      <c r="K1891" s="246">
        <v>0</v>
      </c>
      <c r="L1891" s="246">
        <v>1</v>
      </c>
      <c r="M1891" s="246">
        <v>0</v>
      </c>
      <c r="N1891" s="246">
        <v>0.5</v>
      </c>
      <c r="O1891" s="255">
        <v>2</v>
      </c>
    </row>
    <row r="1892" spans="1:15">
      <c r="A1892" s="240" t="s">
        <v>67</v>
      </c>
      <c r="B1892" s="47" t="s">
        <v>55</v>
      </c>
      <c r="C1892" s="12">
        <v>0.35</v>
      </c>
      <c r="D1892" s="241">
        <v>0.431818181818182</v>
      </c>
      <c r="E1892" s="241">
        <v>0.267441860465116</v>
      </c>
      <c r="F1892" s="241">
        <v>0.45</v>
      </c>
      <c r="G1892" s="241">
        <v>0.638888888888889</v>
      </c>
      <c r="H1892" s="241">
        <v>0.358974358974359</v>
      </c>
      <c r="I1892" s="241">
        <v>0.36734693877551</v>
      </c>
      <c r="J1892" s="241">
        <v>0.398148148148148</v>
      </c>
      <c r="K1892" s="241">
        <v>0.228813559322034</v>
      </c>
      <c r="L1892" s="241">
        <v>0.272727272727273</v>
      </c>
      <c r="M1892" s="241">
        <v>0.485714285714286</v>
      </c>
      <c r="N1892" s="241">
        <v>0.392857142857143</v>
      </c>
      <c r="O1892" s="252">
        <v>0.25</v>
      </c>
    </row>
    <row r="1893" spans="1:15">
      <c r="A1893" s="242" t="s">
        <v>67</v>
      </c>
      <c r="B1893" s="43" t="s">
        <v>57</v>
      </c>
      <c r="C1893" s="15">
        <v>1080</v>
      </c>
      <c r="D1893" s="243">
        <v>88</v>
      </c>
      <c r="E1893" s="243">
        <v>86</v>
      </c>
      <c r="F1893" s="243">
        <v>40</v>
      </c>
      <c r="G1893" s="243">
        <v>36</v>
      </c>
      <c r="H1893" s="243">
        <v>78</v>
      </c>
      <c r="I1893" s="243">
        <v>98</v>
      </c>
      <c r="J1893" s="243">
        <v>108</v>
      </c>
      <c r="K1893" s="243">
        <v>118</v>
      </c>
      <c r="L1893" s="243">
        <v>110</v>
      </c>
      <c r="M1893" s="243">
        <v>70</v>
      </c>
      <c r="N1893" s="243">
        <v>112</v>
      </c>
      <c r="O1893" s="253">
        <v>136</v>
      </c>
    </row>
    <row r="1894" spans="1:15">
      <c r="A1894" s="240" t="s">
        <v>67</v>
      </c>
      <c r="B1894" s="47" t="s">
        <v>59</v>
      </c>
      <c r="C1894" s="15">
        <v>378</v>
      </c>
      <c r="D1894" s="243">
        <v>38</v>
      </c>
      <c r="E1894" s="243">
        <v>23</v>
      </c>
      <c r="F1894" s="243">
        <v>18</v>
      </c>
      <c r="G1894" s="243">
        <v>23</v>
      </c>
      <c r="H1894" s="243">
        <v>28</v>
      </c>
      <c r="I1894" s="243">
        <v>36</v>
      </c>
      <c r="J1894" s="243">
        <v>43</v>
      </c>
      <c r="K1894" s="243">
        <v>27</v>
      </c>
      <c r="L1894" s="243">
        <v>30</v>
      </c>
      <c r="M1894" s="243">
        <v>34</v>
      </c>
      <c r="N1894" s="243">
        <v>44</v>
      </c>
      <c r="O1894" s="253">
        <v>34</v>
      </c>
    </row>
    <row r="1895" spans="1:15">
      <c r="A1895" s="242" t="s">
        <v>67</v>
      </c>
      <c r="B1895" s="43" t="s">
        <v>4</v>
      </c>
      <c r="C1895" s="15">
        <v>10</v>
      </c>
      <c r="D1895" s="244">
        <v>0</v>
      </c>
      <c r="E1895" s="244">
        <v>0</v>
      </c>
      <c r="F1895" s="244">
        <v>1</v>
      </c>
      <c r="G1895" s="244">
        <v>0</v>
      </c>
      <c r="H1895" s="244">
        <v>1</v>
      </c>
      <c r="I1895" s="244">
        <v>2</v>
      </c>
      <c r="J1895" s="244">
        <v>2</v>
      </c>
      <c r="K1895" s="244">
        <v>1</v>
      </c>
      <c r="L1895" s="244">
        <v>0</v>
      </c>
      <c r="M1895" s="244">
        <v>0</v>
      </c>
      <c r="N1895" s="244">
        <v>2</v>
      </c>
      <c r="O1895" s="254">
        <v>1</v>
      </c>
    </row>
    <row r="1896" spans="1:15">
      <c r="A1896" s="240" t="s">
        <v>67</v>
      </c>
      <c r="B1896" s="47" t="s">
        <v>5</v>
      </c>
      <c r="C1896" s="12">
        <v>0.0264550264550265</v>
      </c>
      <c r="D1896" s="241">
        <v>0</v>
      </c>
      <c r="E1896" s="241">
        <v>0</v>
      </c>
      <c r="F1896" s="241">
        <v>0.0555555555555556</v>
      </c>
      <c r="G1896" s="241">
        <v>0</v>
      </c>
      <c r="H1896" s="241">
        <v>0.0357142857142857</v>
      </c>
      <c r="I1896" s="241">
        <v>0.0555555555555556</v>
      </c>
      <c r="J1896" s="241">
        <v>0.0465116279069767</v>
      </c>
      <c r="K1896" s="241">
        <v>0.037037037037037</v>
      </c>
      <c r="L1896" s="241">
        <v>0</v>
      </c>
      <c r="M1896" s="241">
        <v>0</v>
      </c>
      <c r="N1896" s="241">
        <v>0.0454545454545455</v>
      </c>
      <c r="O1896" s="252">
        <v>0.0294117647058824</v>
      </c>
    </row>
    <row r="1897" spans="1:15">
      <c r="A1897" s="242" t="s">
        <v>67</v>
      </c>
      <c r="B1897" s="43" t="s">
        <v>6</v>
      </c>
      <c r="C1897" s="15">
        <v>5</v>
      </c>
      <c r="D1897" s="244">
        <v>0</v>
      </c>
      <c r="E1897" s="244">
        <v>0</v>
      </c>
      <c r="F1897" s="244">
        <v>0</v>
      </c>
      <c r="G1897" s="244">
        <v>1</v>
      </c>
      <c r="H1897" s="244">
        <v>0</v>
      </c>
      <c r="I1897" s="244">
        <v>0</v>
      </c>
      <c r="J1897" s="244">
        <v>2</v>
      </c>
      <c r="K1897" s="244">
        <v>0</v>
      </c>
      <c r="L1897" s="244">
        <v>0</v>
      </c>
      <c r="M1897" s="244">
        <v>1</v>
      </c>
      <c r="N1897" s="244">
        <v>0</v>
      </c>
      <c r="O1897" s="254">
        <v>1</v>
      </c>
    </row>
    <row r="1898" ht="14.25" spans="1:15">
      <c r="A1898" s="245" t="s">
        <v>67</v>
      </c>
      <c r="B1898" s="52" t="s">
        <v>64</v>
      </c>
      <c r="C1898" s="19">
        <v>0.5</v>
      </c>
      <c r="D1898" s="246">
        <v>0</v>
      </c>
      <c r="E1898" s="246">
        <v>0</v>
      </c>
      <c r="F1898" s="246">
        <v>0</v>
      </c>
      <c r="G1898" s="246">
        <v>0</v>
      </c>
      <c r="H1898" s="246">
        <v>0</v>
      </c>
      <c r="I1898" s="246">
        <v>0</v>
      </c>
      <c r="J1898" s="246">
        <v>1</v>
      </c>
      <c r="K1898" s="246">
        <v>0</v>
      </c>
      <c r="L1898" s="246">
        <v>0</v>
      </c>
      <c r="M1898" s="246">
        <v>0</v>
      </c>
      <c r="N1898" s="246">
        <v>0</v>
      </c>
      <c r="O1898" s="255">
        <v>1</v>
      </c>
    </row>
    <row r="1899" spans="1:15">
      <c r="A1899" s="240" t="s">
        <v>68</v>
      </c>
      <c r="B1899" s="47" t="s">
        <v>55</v>
      </c>
      <c r="C1899" s="12">
        <v>0.0735262821876995</v>
      </c>
      <c r="D1899" s="241">
        <v>0.0967078189300412</v>
      </c>
      <c r="E1899" s="241">
        <v>0.103571428571429</v>
      </c>
      <c r="F1899" s="241">
        <v>0.11875</v>
      </c>
      <c r="G1899" s="241">
        <v>0.0708812260536398</v>
      </c>
      <c r="H1899" s="241">
        <v>0.0812807881773399</v>
      </c>
      <c r="I1899" s="241">
        <v>0.0948275862068965</v>
      </c>
      <c r="J1899" s="241">
        <v>0.0793269230769231</v>
      </c>
      <c r="K1899" s="241">
        <v>0.0669975186104218</v>
      </c>
      <c r="L1899" s="241">
        <v>0.0602678571428571</v>
      </c>
      <c r="M1899" s="241">
        <v>0.060077519379845</v>
      </c>
      <c r="N1899" s="241">
        <v>0.0656488549618321</v>
      </c>
      <c r="O1899" s="252">
        <v>0.0581395348837209</v>
      </c>
    </row>
    <row r="1900" spans="1:15">
      <c r="A1900" s="242" t="s">
        <v>68</v>
      </c>
      <c r="B1900" s="43" t="s">
        <v>57</v>
      </c>
      <c r="C1900" s="15">
        <v>9398</v>
      </c>
      <c r="D1900" s="243">
        <v>486</v>
      </c>
      <c r="E1900" s="243">
        <v>280</v>
      </c>
      <c r="F1900" s="243">
        <v>320</v>
      </c>
      <c r="G1900" s="243">
        <v>522</v>
      </c>
      <c r="H1900" s="243">
        <v>812</v>
      </c>
      <c r="I1900" s="243">
        <v>812</v>
      </c>
      <c r="J1900" s="243">
        <v>832</v>
      </c>
      <c r="K1900" s="243">
        <v>806</v>
      </c>
      <c r="L1900" s="243">
        <v>896</v>
      </c>
      <c r="M1900" s="243">
        <v>1032</v>
      </c>
      <c r="N1900" s="243">
        <v>1310</v>
      </c>
      <c r="O1900" s="253">
        <v>1290</v>
      </c>
    </row>
    <row r="1901" spans="1:15">
      <c r="A1901" s="240" t="s">
        <v>68</v>
      </c>
      <c r="B1901" s="47" t="s">
        <v>59</v>
      </c>
      <c r="C1901" s="15">
        <v>691</v>
      </c>
      <c r="D1901" s="243">
        <v>47</v>
      </c>
      <c r="E1901" s="243">
        <v>29</v>
      </c>
      <c r="F1901" s="243">
        <v>38</v>
      </c>
      <c r="G1901" s="243">
        <v>37</v>
      </c>
      <c r="H1901" s="243">
        <v>66</v>
      </c>
      <c r="I1901" s="243">
        <v>77</v>
      </c>
      <c r="J1901" s="243">
        <v>66</v>
      </c>
      <c r="K1901" s="243">
        <v>54</v>
      </c>
      <c r="L1901" s="243">
        <v>54</v>
      </c>
      <c r="M1901" s="243">
        <v>62</v>
      </c>
      <c r="N1901" s="243">
        <v>86</v>
      </c>
      <c r="O1901" s="253">
        <v>75</v>
      </c>
    </row>
    <row r="1902" spans="1:15">
      <c r="A1902" s="242" t="s">
        <v>68</v>
      </c>
      <c r="B1902" s="43" t="s">
        <v>4</v>
      </c>
      <c r="C1902" s="15">
        <v>52</v>
      </c>
      <c r="D1902" s="244">
        <v>3</v>
      </c>
      <c r="E1902" s="244">
        <v>2</v>
      </c>
      <c r="F1902" s="244">
        <v>2</v>
      </c>
      <c r="G1902" s="244">
        <v>0</v>
      </c>
      <c r="H1902" s="244">
        <v>5</v>
      </c>
      <c r="I1902" s="244">
        <v>7</v>
      </c>
      <c r="J1902" s="244">
        <v>10</v>
      </c>
      <c r="K1902" s="244">
        <v>3</v>
      </c>
      <c r="L1902" s="244">
        <v>3</v>
      </c>
      <c r="M1902" s="244">
        <v>3</v>
      </c>
      <c r="N1902" s="244">
        <v>3</v>
      </c>
      <c r="O1902" s="254">
        <v>11</v>
      </c>
    </row>
    <row r="1903" spans="1:15">
      <c r="A1903" s="240" t="s">
        <v>68</v>
      </c>
      <c r="B1903" s="47" t="s">
        <v>5</v>
      </c>
      <c r="C1903" s="12">
        <v>0.0752532561505065</v>
      </c>
      <c r="D1903" s="241">
        <v>0.0638297872340425</v>
      </c>
      <c r="E1903" s="241">
        <v>0.0689655172413793</v>
      </c>
      <c r="F1903" s="241">
        <v>0.0526315789473684</v>
      </c>
      <c r="G1903" s="241">
        <v>0</v>
      </c>
      <c r="H1903" s="241">
        <v>0.0757575757575758</v>
      </c>
      <c r="I1903" s="241">
        <v>0.0909090909090909</v>
      </c>
      <c r="J1903" s="241">
        <v>0.151515151515152</v>
      </c>
      <c r="K1903" s="241">
        <v>0.0555555555555556</v>
      </c>
      <c r="L1903" s="241">
        <v>0.0555555555555556</v>
      </c>
      <c r="M1903" s="241">
        <v>0.0483870967741935</v>
      </c>
      <c r="N1903" s="241">
        <v>0.0348837209302326</v>
      </c>
      <c r="O1903" s="252">
        <v>0.146666666666667</v>
      </c>
    </row>
    <row r="1904" spans="1:15">
      <c r="A1904" s="242" t="s">
        <v>68</v>
      </c>
      <c r="B1904" s="43" t="s">
        <v>6</v>
      </c>
      <c r="C1904" s="15">
        <v>23</v>
      </c>
      <c r="D1904" s="244">
        <v>1</v>
      </c>
      <c r="E1904" s="244">
        <v>1</v>
      </c>
      <c r="F1904" s="244">
        <v>1</v>
      </c>
      <c r="G1904" s="244">
        <v>0</v>
      </c>
      <c r="H1904" s="244">
        <v>1</v>
      </c>
      <c r="I1904" s="244">
        <v>4</v>
      </c>
      <c r="J1904" s="244">
        <v>1</v>
      </c>
      <c r="K1904" s="244">
        <v>4</v>
      </c>
      <c r="L1904" s="244">
        <v>3</v>
      </c>
      <c r="M1904" s="244">
        <v>3</v>
      </c>
      <c r="N1904" s="244">
        <v>2</v>
      </c>
      <c r="O1904" s="254">
        <v>2</v>
      </c>
    </row>
    <row r="1905" ht="14.25" spans="1:15">
      <c r="A1905" s="245" t="s">
        <v>68</v>
      </c>
      <c r="B1905" s="52" t="s">
        <v>64</v>
      </c>
      <c r="C1905" s="19">
        <v>0.442307692307692</v>
      </c>
      <c r="D1905" s="246">
        <v>0.333333333333333</v>
      </c>
      <c r="E1905" s="246">
        <v>0.5</v>
      </c>
      <c r="F1905" s="246">
        <v>0.5</v>
      </c>
      <c r="G1905" s="246">
        <v>0</v>
      </c>
      <c r="H1905" s="246">
        <v>0.2</v>
      </c>
      <c r="I1905" s="246">
        <v>0.571428571428571</v>
      </c>
      <c r="J1905" s="246">
        <v>0.1</v>
      </c>
      <c r="K1905" s="246">
        <v>1.33333333333333</v>
      </c>
      <c r="L1905" s="246">
        <v>1</v>
      </c>
      <c r="M1905" s="246">
        <v>1</v>
      </c>
      <c r="N1905" s="246">
        <v>0.666666666666667</v>
      </c>
      <c r="O1905" s="255">
        <v>0.181818181818182</v>
      </c>
    </row>
    <row r="1906" spans="1:15">
      <c r="A1906" s="240" t="s">
        <v>69</v>
      </c>
      <c r="B1906" s="47" t="s">
        <v>55</v>
      </c>
      <c r="C1906" s="12">
        <v>0.912655971479501</v>
      </c>
      <c r="D1906" s="241">
        <v>1.14</v>
      </c>
      <c r="E1906" s="241">
        <v>1.04761904761905</v>
      </c>
      <c r="F1906" s="241">
        <v>1.07692307692308</v>
      </c>
      <c r="G1906" s="241">
        <v>1.77272727272727</v>
      </c>
      <c r="H1906" s="241">
        <v>1.02222222222222</v>
      </c>
      <c r="I1906" s="241">
        <v>1.03448275862069</v>
      </c>
      <c r="J1906" s="241">
        <v>0.60655737704918</v>
      </c>
      <c r="K1906" s="241">
        <v>0.73469387755102</v>
      </c>
      <c r="L1906" s="241">
        <v>0.706896551724138</v>
      </c>
      <c r="M1906" s="241">
        <v>1.01851851851852</v>
      </c>
      <c r="N1906" s="241">
        <v>0.833333333333333</v>
      </c>
      <c r="O1906" s="252">
        <v>0.769230769230769</v>
      </c>
    </row>
    <row r="1907" spans="1:15">
      <c r="A1907" s="242" t="s">
        <v>69</v>
      </c>
      <c r="B1907" s="43" t="s">
        <v>57</v>
      </c>
      <c r="C1907" s="15">
        <v>561</v>
      </c>
      <c r="D1907" s="243">
        <v>50</v>
      </c>
      <c r="E1907" s="243">
        <v>21</v>
      </c>
      <c r="F1907" s="243">
        <v>13</v>
      </c>
      <c r="G1907" s="243">
        <v>22</v>
      </c>
      <c r="H1907" s="243">
        <v>45</v>
      </c>
      <c r="I1907" s="243">
        <v>58</v>
      </c>
      <c r="J1907" s="243">
        <v>61</v>
      </c>
      <c r="K1907" s="243">
        <v>49</v>
      </c>
      <c r="L1907" s="243">
        <v>58</v>
      </c>
      <c r="M1907" s="243">
        <v>54</v>
      </c>
      <c r="N1907" s="243">
        <v>78</v>
      </c>
      <c r="O1907" s="253">
        <v>52</v>
      </c>
    </row>
    <row r="1908" spans="1:15">
      <c r="A1908" s="240" t="s">
        <v>69</v>
      </c>
      <c r="B1908" s="47" t="s">
        <v>59</v>
      </c>
      <c r="C1908" s="15">
        <v>512</v>
      </c>
      <c r="D1908" s="243">
        <v>57</v>
      </c>
      <c r="E1908" s="243">
        <v>22</v>
      </c>
      <c r="F1908" s="243">
        <v>14</v>
      </c>
      <c r="G1908" s="243">
        <v>39</v>
      </c>
      <c r="H1908" s="243">
        <v>46</v>
      </c>
      <c r="I1908" s="243">
        <v>60</v>
      </c>
      <c r="J1908" s="243">
        <v>37</v>
      </c>
      <c r="K1908" s="243">
        <v>36</v>
      </c>
      <c r="L1908" s="243">
        <v>41</v>
      </c>
      <c r="M1908" s="243">
        <v>55</v>
      </c>
      <c r="N1908" s="243">
        <v>65</v>
      </c>
      <c r="O1908" s="253">
        <v>40</v>
      </c>
    </row>
    <row r="1909" spans="1:15">
      <c r="A1909" s="242" t="s">
        <v>69</v>
      </c>
      <c r="B1909" s="43" t="s">
        <v>4</v>
      </c>
      <c r="C1909" s="15">
        <v>28</v>
      </c>
      <c r="D1909" s="244">
        <v>4</v>
      </c>
      <c r="E1909" s="244">
        <v>1</v>
      </c>
      <c r="F1909" s="244">
        <v>0</v>
      </c>
      <c r="G1909" s="244">
        <v>1</v>
      </c>
      <c r="H1909" s="244">
        <v>0</v>
      </c>
      <c r="I1909" s="244">
        <v>5</v>
      </c>
      <c r="J1909" s="244">
        <v>3</v>
      </c>
      <c r="K1909" s="244">
        <v>3</v>
      </c>
      <c r="L1909" s="244">
        <v>3</v>
      </c>
      <c r="M1909" s="244">
        <v>5</v>
      </c>
      <c r="N1909" s="244">
        <v>2</v>
      </c>
      <c r="O1909" s="254">
        <v>1</v>
      </c>
    </row>
    <row r="1910" spans="1:15">
      <c r="A1910" s="240" t="s">
        <v>69</v>
      </c>
      <c r="B1910" s="47" t="s">
        <v>5</v>
      </c>
      <c r="C1910" s="12">
        <v>0.0546875</v>
      </c>
      <c r="D1910" s="241">
        <v>0.0701754385964912</v>
      </c>
      <c r="E1910" s="241">
        <v>0.0454545454545455</v>
      </c>
      <c r="F1910" s="241">
        <v>0</v>
      </c>
      <c r="G1910" s="241">
        <v>0.0256410256410256</v>
      </c>
      <c r="H1910" s="241">
        <v>0</v>
      </c>
      <c r="I1910" s="241">
        <v>0.0833333333333333</v>
      </c>
      <c r="J1910" s="241">
        <v>0.0810810810810811</v>
      </c>
      <c r="K1910" s="241">
        <v>0.0833333333333333</v>
      </c>
      <c r="L1910" s="241">
        <v>0.0731707317073171</v>
      </c>
      <c r="M1910" s="241">
        <v>0.0909090909090909</v>
      </c>
      <c r="N1910" s="241">
        <v>0.0307692307692308</v>
      </c>
      <c r="O1910" s="252">
        <v>0.025</v>
      </c>
    </row>
    <row r="1911" spans="1:15">
      <c r="A1911" s="242" t="s">
        <v>69</v>
      </c>
      <c r="B1911" s="43" t="s">
        <v>6</v>
      </c>
      <c r="C1911" s="15">
        <v>7</v>
      </c>
      <c r="D1911" s="244">
        <v>2</v>
      </c>
      <c r="E1911" s="244">
        <v>0</v>
      </c>
      <c r="F1911" s="244">
        <v>0</v>
      </c>
      <c r="G1911" s="244">
        <v>0</v>
      </c>
      <c r="H1911" s="244">
        <v>0</v>
      </c>
      <c r="I1911" s="244">
        <v>0</v>
      </c>
      <c r="J1911" s="244">
        <v>0</v>
      </c>
      <c r="K1911" s="244">
        <v>3</v>
      </c>
      <c r="L1911" s="244">
        <v>0</v>
      </c>
      <c r="M1911" s="244">
        <v>1</v>
      </c>
      <c r="N1911" s="244">
        <v>1</v>
      </c>
      <c r="O1911" s="254">
        <v>0</v>
      </c>
    </row>
    <row r="1912" ht="14.25" spans="1:15">
      <c r="A1912" s="245" t="s">
        <v>69</v>
      </c>
      <c r="B1912" s="52" t="s">
        <v>64</v>
      </c>
      <c r="C1912" s="19">
        <v>0.25</v>
      </c>
      <c r="D1912" s="246">
        <v>0.5</v>
      </c>
      <c r="E1912" s="246">
        <v>0</v>
      </c>
      <c r="F1912" s="246">
        <v>0</v>
      </c>
      <c r="G1912" s="246">
        <v>0</v>
      </c>
      <c r="H1912" s="246">
        <v>0</v>
      </c>
      <c r="I1912" s="246">
        <v>0</v>
      </c>
      <c r="J1912" s="246">
        <v>0</v>
      </c>
      <c r="K1912" s="246">
        <v>1</v>
      </c>
      <c r="L1912" s="246">
        <v>0</v>
      </c>
      <c r="M1912" s="246">
        <v>0.2</v>
      </c>
      <c r="N1912" s="246">
        <v>0.5</v>
      </c>
      <c r="O1912" s="255">
        <v>0</v>
      </c>
    </row>
    <row r="1913" spans="1:15">
      <c r="A1913" s="240" t="s">
        <v>70</v>
      </c>
      <c r="B1913" s="47" t="s">
        <v>55</v>
      </c>
      <c r="C1913" s="12">
        <v>0.579808034127266</v>
      </c>
      <c r="D1913" s="241">
        <v>0.613899613899614</v>
      </c>
      <c r="E1913" s="241">
        <v>0.616666666666667</v>
      </c>
      <c r="F1913" s="241">
        <v>0.626666666666667</v>
      </c>
      <c r="G1913" s="241">
        <v>0.714285714285714</v>
      </c>
      <c r="H1913" s="241">
        <v>0.514150943396226</v>
      </c>
      <c r="I1913" s="241">
        <v>0.607508532423208</v>
      </c>
      <c r="J1913" s="241">
        <v>0.583941605839416</v>
      </c>
      <c r="K1913" s="241">
        <v>0.574912891986063</v>
      </c>
      <c r="L1913" s="241">
        <v>0.537414965986395</v>
      </c>
      <c r="M1913" s="241">
        <v>0.549450549450549</v>
      </c>
      <c r="N1913" s="241">
        <v>0.531914893617021</v>
      </c>
      <c r="O1913" s="252">
        <v>0.611898016997167</v>
      </c>
    </row>
    <row r="1914" spans="1:15">
      <c r="A1914" s="242" t="s">
        <v>70</v>
      </c>
      <c r="B1914" s="43" t="s">
        <v>57</v>
      </c>
      <c r="C1914" s="15">
        <v>2813</v>
      </c>
      <c r="D1914" s="243">
        <v>259</v>
      </c>
      <c r="E1914" s="243">
        <v>120</v>
      </c>
      <c r="F1914" s="243">
        <v>75</v>
      </c>
      <c r="G1914" s="243">
        <v>91</v>
      </c>
      <c r="H1914" s="243">
        <v>212</v>
      </c>
      <c r="I1914" s="243">
        <v>293</v>
      </c>
      <c r="J1914" s="243">
        <v>274</v>
      </c>
      <c r="K1914" s="243">
        <v>287</v>
      </c>
      <c r="L1914" s="243">
        <v>294</v>
      </c>
      <c r="M1914" s="243">
        <v>273</v>
      </c>
      <c r="N1914" s="243">
        <v>282</v>
      </c>
      <c r="O1914" s="253">
        <v>353</v>
      </c>
    </row>
    <row r="1915" spans="1:15">
      <c r="A1915" s="240" t="s">
        <v>70</v>
      </c>
      <c r="B1915" s="47" t="s">
        <v>59</v>
      </c>
      <c r="C1915" s="15">
        <v>1631</v>
      </c>
      <c r="D1915" s="243">
        <v>159</v>
      </c>
      <c r="E1915" s="243">
        <v>74</v>
      </c>
      <c r="F1915" s="243">
        <v>47</v>
      </c>
      <c r="G1915" s="243">
        <v>65</v>
      </c>
      <c r="H1915" s="243">
        <v>109</v>
      </c>
      <c r="I1915" s="243">
        <v>178</v>
      </c>
      <c r="J1915" s="243">
        <v>160</v>
      </c>
      <c r="K1915" s="243">
        <v>165</v>
      </c>
      <c r="L1915" s="243">
        <v>158</v>
      </c>
      <c r="M1915" s="243">
        <v>150</v>
      </c>
      <c r="N1915" s="243">
        <v>150</v>
      </c>
      <c r="O1915" s="253">
        <v>216</v>
      </c>
    </row>
    <row r="1916" spans="1:15">
      <c r="A1916" s="242" t="s">
        <v>70</v>
      </c>
      <c r="B1916" s="43" t="s">
        <v>4</v>
      </c>
      <c r="C1916" s="15">
        <v>20</v>
      </c>
      <c r="D1916" s="244">
        <v>2</v>
      </c>
      <c r="E1916" s="244">
        <v>0</v>
      </c>
      <c r="F1916" s="244">
        <v>1</v>
      </c>
      <c r="G1916" s="244">
        <v>0</v>
      </c>
      <c r="H1916" s="244">
        <v>2</v>
      </c>
      <c r="I1916" s="244">
        <v>2</v>
      </c>
      <c r="J1916" s="244">
        <v>1</v>
      </c>
      <c r="K1916" s="244">
        <v>2</v>
      </c>
      <c r="L1916" s="244">
        <v>1</v>
      </c>
      <c r="M1916" s="244">
        <v>1</v>
      </c>
      <c r="N1916" s="244">
        <v>1</v>
      </c>
      <c r="O1916" s="254">
        <v>7</v>
      </c>
    </row>
    <row r="1917" spans="1:15">
      <c r="A1917" s="240" t="s">
        <v>70</v>
      </c>
      <c r="B1917" s="47" t="s">
        <v>5</v>
      </c>
      <c r="C1917" s="12">
        <v>0.0122624156958921</v>
      </c>
      <c r="D1917" s="241">
        <v>0.0125786163522013</v>
      </c>
      <c r="E1917" s="241">
        <v>0</v>
      </c>
      <c r="F1917" s="241">
        <v>0.0212765957446809</v>
      </c>
      <c r="G1917" s="241">
        <v>0</v>
      </c>
      <c r="H1917" s="241">
        <v>0.018348623853211</v>
      </c>
      <c r="I1917" s="241">
        <v>0.0112359550561798</v>
      </c>
      <c r="J1917" s="241">
        <v>0.00625</v>
      </c>
      <c r="K1917" s="241">
        <v>0.0121212121212121</v>
      </c>
      <c r="L1917" s="241">
        <v>0.00632911392405063</v>
      </c>
      <c r="M1917" s="241">
        <v>0.00666666666666667</v>
      </c>
      <c r="N1917" s="241">
        <v>0.00666666666666667</v>
      </c>
      <c r="O1917" s="252">
        <v>0.0324074074074074</v>
      </c>
    </row>
    <row r="1918" spans="1:15">
      <c r="A1918" s="242" t="s">
        <v>70</v>
      </c>
      <c r="B1918" s="43" t="s">
        <v>6</v>
      </c>
      <c r="C1918" s="15">
        <v>5</v>
      </c>
      <c r="D1918" s="244">
        <v>1</v>
      </c>
      <c r="E1918" s="244">
        <v>0</v>
      </c>
      <c r="F1918" s="244">
        <v>0</v>
      </c>
      <c r="G1918" s="244">
        <v>0</v>
      </c>
      <c r="H1918" s="244">
        <v>1</v>
      </c>
      <c r="I1918" s="244">
        <v>0</v>
      </c>
      <c r="J1918" s="244">
        <v>1</v>
      </c>
      <c r="K1918" s="244">
        <v>1</v>
      </c>
      <c r="L1918" s="244">
        <v>1</v>
      </c>
      <c r="M1918" s="244">
        <v>0</v>
      </c>
      <c r="N1918" s="244">
        <v>0</v>
      </c>
      <c r="O1918" s="254">
        <v>0</v>
      </c>
    </row>
    <row r="1919" ht="14.25" spans="1:15">
      <c r="A1919" s="245" t="s">
        <v>70</v>
      </c>
      <c r="B1919" s="52" t="s">
        <v>64</v>
      </c>
      <c r="C1919" s="19">
        <v>0.25</v>
      </c>
      <c r="D1919" s="246">
        <v>0.5</v>
      </c>
      <c r="E1919" s="246">
        <v>0</v>
      </c>
      <c r="F1919" s="246">
        <v>0</v>
      </c>
      <c r="G1919" s="246">
        <v>0</v>
      </c>
      <c r="H1919" s="246">
        <v>0.5</v>
      </c>
      <c r="I1919" s="246">
        <v>0</v>
      </c>
      <c r="J1919" s="246">
        <v>1</v>
      </c>
      <c r="K1919" s="246">
        <v>0.5</v>
      </c>
      <c r="L1919" s="246">
        <v>1</v>
      </c>
      <c r="M1919" s="246">
        <v>0</v>
      </c>
      <c r="N1919" s="246">
        <v>0</v>
      </c>
      <c r="O1919" s="255">
        <v>0</v>
      </c>
    </row>
    <row r="1920" spans="1:15">
      <c r="A1920" s="240" t="s">
        <v>26</v>
      </c>
      <c r="B1920" s="47" t="s">
        <v>55</v>
      </c>
      <c r="C1920" s="12">
        <v>0.386764705882353</v>
      </c>
      <c r="D1920" s="241">
        <v>0.370748299319728</v>
      </c>
      <c r="E1920" s="241">
        <v>0.303191489361702</v>
      </c>
      <c r="F1920" s="241">
        <v>0.340277777777778</v>
      </c>
      <c r="G1920" s="241">
        <v>0.322368421052632</v>
      </c>
      <c r="H1920" s="241">
        <v>0.768518518518518</v>
      </c>
      <c r="I1920" s="241">
        <v>0.459459459459459</v>
      </c>
      <c r="J1920" s="241">
        <v>0.354166666666667</v>
      </c>
      <c r="K1920" s="241">
        <v>0.363636363636364</v>
      </c>
      <c r="L1920" s="241">
        <v>0.403846153846154</v>
      </c>
      <c r="M1920" s="241">
        <v>0.371323529411765</v>
      </c>
      <c r="N1920" s="241">
        <v>0.37202380952381</v>
      </c>
      <c r="O1920" s="252">
        <v>0.406015037593985</v>
      </c>
    </row>
    <row r="1921" spans="1:15">
      <c r="A1921" s="242" t="s">
        <v>26</v>
      </c>
      <c r="B1921" s="43" t="s">
        <v>57</v>
      </c>
      <c r="C1921" s="15">
        <v>2720</v>
      </c>
      <c r="D1921" s="243">
        <v>294</v>
      </c>
      <c r="E1921" s="243">
        <v>188</v>
      </c>
      <c r="F1921" s="243">
        <v>144</v>
      </c>
      <c r="G1921" s="243">
        <v>152</v>
      </c>
      <c r="H1921" s="243">
        <v>108</v>
      </c>
      <c r="I1921" s="243">
        <v>148</v>
      </c>
      <c r="J1921" s="243">
        <v>288</v>
      </c>
      <c r="K1921" s="243">
        <v>264</v>
      </c>
      <c r="L1921" s="243">
        <v>260</v>
      </c>
      <c r="M1921" s="243">
        <v>272</v>
      </c>
      <c r="N1921" s="243">
        <v>336</v>
      </c>
      <c r="O1921" s="253">
        <v>266</v>
      </c>
    </row>
    <row r="1922" spans="1:15">
      <c r="A1922" s="240" t="s">
        <v>26</v>
      </c>
      <c r="B1922" s="47" t="s">
        <v>59</v>
      </c>
      <c r="C1922" s="15">
        <v>1052</v>
      </c>
      <c r="D1922" s="243">
        <v>109</v>
      </c>
      <c r="E1922" s="243">
        <v>57</v>
      </c>
      <c r="F1922" s="243">
        <v>49</v>
      </c>
      <c r="G1922" s="243">
        <v>49</v>
      </c>
      <c r="H1922" s="243">
        <v>83</v>
      </c>
      <c r="I1922" s="243">
        <v>68</v>
      </c>
      <c r="J1922" s="243">
        <v>102</v>
      </c>
      <c r="K1922" s="243">
        <v>96</v>
      </c>
      <c r="L1922" s="243">
        <v>105</v>
      </c>
      <c r="M1922" s="243">
        <v>101</v>
      </c>
      <c r="N1922" s="243">
        <v>125</v>
      </c>
      <c r="O1922" s="253">
        <v>108</v>
      </c>
    </row>
    <row r="1923" spans="1:15">
      <c r="A1923" s="242" t="s">
        <v>26</v>
      </c>
      <c r="B1923" s="43" t="s">
        <v>4</v>
      </c>
      <c r="C1923" s="15">
        <v>21</v>
      </c>
      <c r="D1923" s="244">
        <v>3</v>
      </c>
      <c r="E1923" s="244">
        <v>1</v>
      </c>
      <c r="F1923" s="244">
        <v>0</v>
      </c>
      <c r="G1923" s="244">
        <v>1</v>
      </c>
      <c r="H1923" s="244">
        <v>1</v>
      </c>
      <c r="I1923" s="244">
        <v>3</v>
      </c>
      <c r="J1923" s="244">
        <v>0</v>
      </c>
      <c r="K1923" s="244">
        <v>3</v>
      </c>
      <c r="L1923" s="244">
        <v>2</v>
      </c>
      <c r="M1923" s="244">
        <v>2</v>
      </c>
      <c r="N1923" s="244">
        <v>5</v>
      </c>
      <c r="O1923" s="254">
        <v>0</v>
      </c>
    </row>
    <row r="1924" spans="1:15">
      <c r="A1924" s="240" t="s">
        <v>26</v>
      </c>
      <c r="B1924" s="47" t="s">
        <v>5</v>
      </c>
      <c r="C1924" s="12">
        <v>0.0199619771863118</v>
      </c>
      <c r="D1924" s="241">
        <v>0.0275229357798165</v>
      </c>
      <c r="E1924" s="241">
        <v>0.0175438596491228</v>
      </c>
      <c r="F1924" s="241">
        <v>0</v>
      </c>
      <c r="G1924" s="241">
        <v>0.0204081632653061</v>
      </c>
      <c r="H1924" s="241">
        <v>0.0120481927710843</v>
      </c>
      <c r="I1924" s="241">
        <v>0.0441176470588235</v>
      </c>
      <c r="J1924" s="241">
        <v>0</v>
      </c>
      <c r="K1924" s="241">
        <v>0.03125</v>
      </c>
      <c r="L1924" s="241">
        <v>0.019047619047619</v>
      </c>
      <c r="M1924" s="241">
        <v>0.0198019801980198</v>
      </c>
      <c r="N1924" s="241">
        <v>0.04</v>
      </c>
      <c r="O1924" s="252">
        <v>0</v>
      </c>
    </row>
    <row r="1925" spans="1:15">
      <c r="A1925" s="242" t="s">
        <v>26</v>
      </c>
      <c r="B1925" s="43" t="s">
        <v>6</v>
      </c>
      <c r="C1925" s="15">
        <v>7</v>
      </c>
      <c r="D1925" s="244">
        <v>2</v>
      </c>
      <c r="E1925" s="244">
        <v>1</v>
      </c>
      <c r="F1925" s="244">
        <v>0</v>
      </c>
      <c r="G1925" s="244">
        <v>0</v>
      </c>
      <c r="H1925" s="244">
        <v>1</v>
      </c>
      <c r="I1925" s="244">
        <v>1</v>
      </c>
      <c r="J1925" s="244">
        <v>0</v>
      </c>
      <c r="K1925" s="244">
        <v>1</v>
      </c>
      <c r="L1925" s="244">
        <v>1</v>
      </c>
      <c r="M1925" s="244">
        <v>0</v>
      </c>
      <c r="N1925" s="244">
        <v>0</v>
      </c>
      <c r="O1925" s="254">
        <v>0</v>
      </c>
    </row>
    <row r="1926" ht="14.25" spans="1:15">
      <c r="A1926" s="245" t="s">
        <v>26</v>
      </c>
      <c r="B1926" s="52" t="s">
        <v>64</v>
      </c>
      <c r="C1926" s="19">
        <v>0.333333333333333</v>
      </c>
      <c r="D1926" s="250">
        <v>2</v>
      </c>
      <c r="E1926" s="250">
        <v>1</v>
      </c>
      <c r="F1926" s="250">
        <v>0</v>
      </c>
      <c r="G1926" s="250">
        <v>0</v>
      </c>
      <c r="H1926" s="250">
        <v>1</v>
      </c>
      <c r="I1926" s="250">
        <v>1</v>
      </c>
      <c r="J1926" s="250">
        <v>0</v>
      </c>
      <c r="K1926" s="250">
        <v>1</v>
      </c>
      <c r="L1926" s="250">
        <v>1</v>
      </c>
      <c r="M1926" s="250">
        <v>0</v>
      </c>
      <c r="N1926" s="250">
        <v>0</v>
      </c>
      <c r="O1926" s="257">
        <v>0</v>
      </c>
    </row>
    <row r="1927" spans="1:15">
      <c r="A1927" s="240" t="s">
        <v>71</v>
      </c>
      <c r="B1927" s="47" t="s">
        <v>55</v>
      </c>
      <c r="C1927" s="12">
        <v>0.0426716141001855</v>
      </c>
      <c r="D1927" s="241">
        <v>0.0307692307692308</v>
      </c>
      <c r="E1927" s="241">
        <v>0.238095238095238</v>
      </c>
      <c r="F1927" s="241">
        <v>0.0588235294117647</v>
      </c>
      <c r="G1927" s="241">
        <v>0</v>
      </c>
      <c r="H1927" s="241">
        <v>0</v>
      </c>
      <c r="I1927" s="241">
        <v>0.0533333333333333</v>
      </c>
      <c r="J1927" s="241">
        <v>0</v>
      </c>
      <c r="K1927" s="241">
        <v>0.0888888888888889</v>
      </c>
      <c r="L1927" s="241">
        <v>0</v>
      </c>
      <c r="M1927" s="241">
        <v>0.0465116279069767</v>
      </c>
      <c r="N1927" s="241">
        <v>0.0540540540540541</v>
      </c>
      <c r="O1927" s="252">
        <v>0.0588235294117647</v>
      </c>
    </row>
    <row r="1928" spans="1:15">
      <c r="A1928" s="242" t="s">
        <v>71</v>
      </c>
      <c r="B1928" s="43" t="s">
        <v>57</v>
      </c>
      <c r="C1928" s="15">
        <v>539</v>
      </c>
      <c r="D1928" s="243">
        <v>65</v>
      </c>
      <c r="E1928" s="243">
        <v>21</v>
      </c>
      <c r="F1928" s="243">
        <v>17</v>
      </c>
      <c r="G1928" s="243">
        <v>33</v>
      </c>
      <c r="H1928" s="243">
        <v>52</v>
      </c>
      <c r="I1928" s="243">
        <v>75</v>
      </c>
      <c r="J1928" s="243">
        <v>44</v>
      </c>
      <c r="K1928" s="243">
        <v>45</v>
      </c>
      <c r="L1928" s="243">
        <v>56</v>
      </c>
      <c r="M1928" s="243">
        <v>43</v>
      </c>
      <c r="N1928" s="243">
        <v>37</v>
      </c>
      <c r="O1928" s="253">
        <v>51</v>
      </c>
    </row>
    <row r="1929" spans="1:15">
      <c r="A1929" s="240" t="s">
        <v>71</v>
      </c>
      <c r="B1929" s="47" t="s">
        <v>59</v>
      </c>
      <c r="C1929" s="15">
        <v>23</v>
      </c>
      <c r="D1929" s="243">
        <v>2</v>
      </c>
      <c r="E1929" s="243">
        <v>5</v>
      </c>
      <c r="F1929" s="243">
        <v>1</v>
      </c>
      <c r="G1929" s="243">
        <v>0</v>
      </c>
      <c r="H1929" s="243">
        <v>0</v>
      </c>
      <c r="I1929" s="243">
        <v>4</v>
      </c>
      <c r="J1929" s="243">
        <v>0</v>
      </c>
      <c r="K1929" s="243">
        <v>4</v>
      </c>
      <c r="L1929" s="243">
        <v>0</v>
      </c>
      <c r="M1929" s="243">
        <v>2</v>
      </c>
      <c r="N1929" s="243">
        <v>2</v>
      </c>
      <c r="O1929" s="253">
        <v>3</v>
      </c>
    </row>
    <row r="1930" spans="1:15">
      <c r="A1930" s="242" t="s">
        <v>71</v>
      </c>
      <c r="B1930" s="43" t="s">
        <v>4</v>
      </c>
      <c r="C1930" s="15">
        <v>31</v>
      </c>
      <c r="D1930" s="244">
        <v>5</v>
      </c>
      <c r="E1930" s="244">
        <v>1</v>
      </c>
      <c r="F1930" s="244">
        <v>2</v>
      </c>
      <c r="G1930" s="244">
        <v>1</v>
      </c>
      <c r="H1930" s="244">
        <v>0</v>
      </c>
      <c r="I1930" s="244">
        <v>4</v>
      </c>
      <c r="J1930" s="244">
        <v>1</v>
      </c>
      <c r="K1930" s="244">
        <v>0</v>
      </c>
      <c r="L1930" s="244">
        <v>3</v>
      </c>
      <c r="M1930" s="244">
        <v>3</v>
      </c>
      <c r="N1930" s="244">
        <v>4</v>
      </c>
      <c r="O1930" s="254">
        <v>7</v>
      </c>
    </row>
    <row r="1931" spans="1:15">
      <c r="A1931" s="240" t="s">
        <v>71</v>
      </c>
      <c r="B1931" s="47" t="s">
        <v>5</v>
      </c>
      <c r="C1931" s="12">
        <v>1.34782608695652</v>
      </c>
      <c r="D1931" s="241">
        <v>2.5</v>
      </c>
      <c r="E1931" s="241">
        <v>0.2</v>
      </c>
      <c r="F1931" s="241">
        <v>2</v>
      </c>
      <c r="G1931" s="241">
        <v>0</v>
      </c>
      <c r="H1931" s="241">
        <v>0</v>
      </c>
      <c r="I1931" s="241">
        <v>1</v>
      </c>
      <c r="J1931" s="241">
        <v>0</v>
      </c>
      <c r="K1931" s="241">
        <v>0</v>
      </c>
      <c r="L1931" s="241">
        <v>0</v>
      </c>
      <c r="M1931" s="241">
        <v>1.5</v>
      </c>
      <c r="N1931" s="241">
        <v>2</v>
      </c>
      <c r="O1931" s="252">
        <v>2.33333333333333</v>
      </c>
    </row>
    <row r="1932" spans="1:15">
      <c r="A1932" s="242" t="s">
        <v>71</v>
      </c>
      <c r="B1932" s="43" t="s">
        <v>6</v>
      </c>
      <c r="C1932" s="15">
        <v>11</v>
      </c>
      <c r="D1932" s="244">
        <v>1</v>
      </c>
      <c r="E1932" s="244">
        <v>1</v>
      </c>
      <c r="F1932" s="244">
        <v>1</v>
      </c>
      <c r="G1932" s="244">
        <v>2</v>
      </c>
      <c r="H1932" s="244">
        <v>1</v>
      </c>
      <c r="I1932" s="244">
        <v>0</v>
      </c>
      <c r="J1932" s="244">
        <v>0</v>
      </c>
      <c r="K1932" s="244">
        <v>0</v>
      </c>
      <c r="L1932" s="244">
        <v>1</v>
      </c>
      <c r="M1932" s="244">
        <v>1</v>
      </c>
      <c r="N1932" s="244">
        <v>2</v>
      </c>
      <c r="O1932" s="254">
        <v>1</v>
      </c>
    </row>
    <row r="1933" ht="14.25" spans="1:15">
      <c r="A1933" s="245" t="s">
        <v>71</v>
      </c>
      <c r="B1933" s="52" t="s">
        <v>64</v>
      </c>
      <c r="C1933" s="19">
        <v>0.354838709677419</v>
      </c>
      <c r="D1933" s="250">
        <v>1</v>
      </c>
      <c r="E1933" s="250">
        <v>1</v>
      </c>
      <c r="F1933" s="250">
        <v>1</v>
      </c>
      <c r="G1933" s="250">
        <v>2</v>
      </c>
      <c r="H1933" s="250">
        <v>1</v>
      </c>
      <c r="I1933" s="250">
        <v>0</v>
      </c>
      <c r="J1933" s="250">
        <v>0</v>
      </c>
      <c r="K1933" s="250">
        <v>0</v>
      </c>
      <c r="L1933" s="250">
        <v>1</v>
      </c>
      <c r="M1933" s="250">
        <v>1</v>
      </c>
      <c r="N1933" s="250">
        <v>2</v>
      </c>
      <c r="O1933" s="257">
        <v>1</v>
      </c>
    </row>
    <row r="1934" spans="1:15">
      <c r="A1934" s="240" t="s">
        <v>72</v>
      </c>
      <c r="B1934" s="47" t="s">
        <v>55</v>
      </c>
      <c r="C1934" s="12">
        <v>0.336565096952909</v>
      </c>
      <c r="D1934" s="241">
        <v>0.34469696969697</v>
      </c>
      <c r="E1934" s="241">
        <v>0.375</v>
      </c>
      <c r="F1934" s="241">
        <v>0.225490196078431</v>
      </c>
      <c r="G1934" s="241">
        <v>0.363095238095238</v>
      </c>
      <c r="H1934" s="241">
        <v>0.277777777777778</v>
      </c>
      <c r="I1934" s="241">
        <v>0.31858407079646</v>
      </c>
      <c r="J1934" s="241">
        <v>0.290322580645161</v>
      </c>
      <c r="K1934" s="241">
        <v>0.292993630573248</v>
      </c>
      <c r="L1934" s="241">
        <v>0.337837837837838</v>
      </c>
      <c r="M1934" s="241">
        <v>0.41025641025641</v>
      </c>
      <c r="N1934" s="241">
        <v>0.359756097560976</v>
      </c>
      <c r="O1934" s="252">
        <v>0.383116883116883</v>
      </c>
    </row>
    <row r="1935" spans="1:15">
      <c r="A1935" s="242" t="s">
        <v>72</v>
      </c>
      <c r="B1935" s="43" t="s">
        <v>57</v>
      </c>
      <c r="C1935" s="15">
        <v>2888</v>
      </c>
      <c r="D1935" s="243">
        <v>264</v>
      </c>
      <c r="E1935" s="243">
        <v>184</v>
      </c>
      <c r="F1935" s="243">
        <v>102</v>
      </c>
      <c r="G1935" s="243">
        <v>168</v>
      </c>
      <c r="H1935" s="243">
        <v>216</v>
      </c>
      <c r="I1935" s="243">
        <v>226</v>
      </c>
      <c r="J1935" s="243">
        <v>248</v>
      </c>
      <c r="K1935" s="243">
        <v>314</v>
      </c>
      <c r="L1935" s="243">
        <v>296</v>
      </c>
      <c r="M1935" s="243">
        <v>234</v>
      </c>
      <c r="N1935" s="243">
        <v>328</v>
      </c>
      <c r="O1935" s="253">
        <v>308</v>
      </c>
    </row>
    <row r="1936" spans="1:15">
      <c r="A1936" s="240" t="s">
        <v>72</v>
      </c>
      <c r="B1936" s="47" t="s">
        <v>59</v>
      </c>
      <c r="C1936" s="15">
        <v>972</v>
      </c>
      <c r="D1936" s="243">
        <v>91</v>
      </c>
      <c r="E1936" s="243">
        <v>69</v>
      </c>
      <c r="F1936" s="243">
        <v>23</v>
      </c>
      <c r="G1936" s="243">
        <v>61</v>
      </c>
      <c r="H1936" s="243">
        <v>60</v>
      </c>
      <c r="I1936" s="243">
        <v>72</v>
      </c>
      <c r="J1936" s="243">
        <v>72</v>
      </c>
      <c r="K1936" s="243">
        <v>92</v>
      </c>
      <c r="L1936" s="243">
        <v>100</v>
      </c>
      <c r="M1936" s="243">
        <v>96</v>
      </c>
      <c r="N1936" s="243">
        <v>118</v>
      </c>
      <c r="O1936" s="253">
        <v>118</v>
      </c>
    </row>
    <row r="1937" spans="1:15">
      <c r="A1937" s="242" t="s">
        <v>72</v>
      </c>
      <c r="B1937" s="43" t="s">
        <v>4</v>
      </c>
      <c r="C1937" s="15">
        <v>26</v>
      </c>
      <c r="D1937" s="244">
        <v>4</v>
      </c>
      <c r="E1937" s="244">
        <v>0</v>
      </c>
      <c r="F1937" s="244">
        <v>1</v>
      </c>
      <c r="G1937" s="244">
        <v>2</v>
      </c>
      <c r="H1937" s="244">
        <v>1</v>
      </c>
      <c r="I1937" s="244">
        <v>3</v>
      </c>
      <c r="J1937" s="244">
        <v>1</v>
      </c>
      <c r="K1937" s="244">
        <v>2</v>
      </c>
      <c r="L1937" s="244">
        <v>2</v>
      </c>
      <c r="M1937" s="244">
        <v>5</v>
      </c>
      <c r="N1937" s="244">
        <v>3</v>
      </c>
      <c r="O1937" s="254">
        <v>2</v>
      </c>
    </row>
    <row r="1938" spans="1:15">
      <c r="A1938" s="240" t="s">
        <v>72</v>
      </c>
      <c r="B1938" s="47" t="s">
        <v>5</v>
      </c>
      <c r="C1938" s="12">
        <v>0.0267489711934156</v>
      </c>
      <c r="D1938" s="241">
        <v>0.043956043956044</v>
      </c>
      <c r="E1938" s="241">
        <v>0</v>
      </c>
      <c r="F1938" s="241">
        <v>0.0434782608695652</v>
      </c>
      <c r="G1938" s="241">
        <v>0.0327868852459016</v>
      </c>
      <c r="H1938" s="241">
        <v>0.0166666666666667</v>
      </c>
      <c r="I1938" s="241">
        <v>0.0416666666666667</v>
      </c>
      <c r="J1938" s="241">
        <v>0.0138888888888889</v>
      </c>
      <c r="K1938" s="241">
        <v>0.0217391304347826</v>
      </c>
      <c r="L1938" s="241">
        <v>0.02</v>
      </c>
      <c r="M1938" s="241">
        <v>0.0520833333333333</v>
      </c>
      <c r="N1938" s="241">
        <v>0.0254237288135593</v>
      </c>
      <c r="O1938" s="252">
        <v>0.0169491525423729</v>
      </c>
    </row>
    <row r="1939" spans="1:15">
      <c r="A1939" s="242" t="s">
        <v>72</v>
      </c>
      <c r="B1939" s="43" t="s">
        <v>6</v>
      </c>
      <c r="C1939" s="15">
        <v>5</v>
      </c>
      <c r="D1939" s="244">
        <v>0</v>
      </c>
      <c r="E1939" s="244">
        <v>0</v>
      </c>
      <c r="F1939" s="244">
        <v>0</v>
      </c>
      <c r="G1939" s="244">
        <v>0</v>
      </c>
      <c r="H1939" s="244">
        <v>0</v>
      </c>
      <c r="I1939" s="244">
        <v>0</v>
      </c>
      <c r="J1939" s="244">
        <v>1</v>
      </c>
      <c r="K1939" s="244">
        <v>0</v>
      </c>
      <c r="L1939" s="244">
        <v>1</v>
      </c>
      <c r="M1939" s="244">
        <v>1</v>
      </c>
      <c r="N1939" s="244">
        <v>2</v>
      </c>
      <c r="O1939" s="254">
        <v>0</v>
      </c>
    </row>
    <row r="1940" ht="14.25" spans="1:15">
      <c r="A1940" s="245" t="s">
        <v>72</v>
      </c>
      <c r="B1940" s="52" t="s">
        <v>64</v>
      </c>
      <c r="C1940" s="19">
        <v>0.192307692307692</v>
      </c>
      <c r="D1940" s="250">
        <v>0</v>
      </c>
      <c r="E1940" s="250">
        <v>0</v>
      </c>
      <c r="F1940" s="250">
        <v>0</v>
      </c>
      <c r="G1940" s="250">
        <v>0</v>
      </c>
      <c r="H1940" s="250">
        <v>0</v>
      </c>
      <c r="I1940" s="250">
        <v>0</v>
      </c>
      <c r="J1940" s="250">
        <v>1</v>
      </c>
      <c r="K1940" s="250">
        <v>0</v>
      </c>
      <c r="L1940" s="250">
        <v>1</v>
      </c>
      <c r="M1940" s="250">
        <v>1</v>
      </c>
      <c r="N1940" s="250">
        <v>2</v>
      </c>
      <c r="O1940" s="257">
        <v>0</v>
      </c>
    </row>
    <row r="1941" ht="14.25" spans="1:15">
      <c r="A1941" s="259">
        <v>45049</v>
      </c>
      <c r="B1941" s="259"/>
      <c r="C1941" s="259"/>
      <c r="D1941" s="259"/>
      <c r="E1941" s="259"/>
      <c r="F1941" s="259"/>
      <c r="G1941" s="259"/>
      <c r="H1941" s="259"/>
      <c r="I1941" s="259"/>
      <c r="J1941" s="259"/>
      <c r="K1941" s="259"/>
      <c r="L1941" s="259"/>
      <c r="M1941" s="259"/>
      <c r="N1941" s="259"/>
      <c r="O1941" s="259"/>
    </row>
    <row r="1942" spans="1:15">
      <c r="A1942" s="260" t="s">
        <v>1</v>
      </c>
      <c r="B1942" s="261"/>
      <c r="C1942" s="8" t="s">
        <v>42</v>
      </c>
      <c r="D1942" s="262" t="s">
        <v>43</v>
      </c>
      <c r="E1942" s="262" t="s">
        <v>44</v>
      </c>
      <c r="F1942" s="262" t="s">
        <v>45</v>
      </c>
      <c r="G1942" s="262" t="s">
        <v>46</v>
      </c>
      <c r="H1942" s="262" t="s">
        <v>47</v>
      </c>
      <c r="I1942" s="262" t="s">
        <v>48</v>
      </c>
      <c r="J1942" s="262" t="s">
        <v>49</v>
      </c>
      <c r="K1942" s="262" t="s">
        <v>50</v>
      </c>
      <c r="L1942" s="262" t="s">
        <v>51</v>
      </c>
      <c r="M1942" s="262" t="s">
        <v>52</v>
      </c>
      <c r="N1942" s="262" t="s">
        <v>53</v>
      </c>
      <c r="O1942" s="276" t="s">
        <v>54</v>
      </c>
    </row>
    <row r="1943" spans="1:15">
      <c r="A1943" s="263" t="s">
        <v>22</v>
      </c>
      <c r="B1943" s="264" t="s">
        <v>55</v>
      </c>
      <c r="C1943" s="12">
        <v>0.535060012634239</v>
      </c>
      <c r="D1943" s="265">
        <v>0.512345679012346</v>
      </c>
      <c r="E1943" s="265">
        <v>0.510204081632653</v>
      </c>
      <c r="F1943" s="265">
        <v>0.594594594594595</v>
      </c>
      <c r="G1943" s="265">
        <v>0.493506493506494</v>
      </c>
      <c r="H1943" s="265">
        <v>0.572463768115942</v>
      </c>
      <c r="I1943" s="265">
        <v>0.521472392638037</v>
      </c>
      <c r="J1943" s="265">
        <v>0.528662420382166</v>
      </c>
      <c r="K1943" s="265">
        <v>0.529069767441861</v>
      </c>
      <c r="L1943" s="265">
        <v>0.541353383458647</v>
      </c>
      <c r="M1943" s="265">
        <v>0.570175438596491</v>
      </c>
      <c r="N1943" s="265">
        <v>0.6</v>
      </c>
      <c r="O1943" s="277">
        <v>0.462068965517241</v>
      </c>
    </row>
    <row r="1944" spans="1:15">
      <c r="A1944" s="266" t="s">
        <v>22</v>
      </c>
      <c r="B1944" s="267" t="s">
        <v>57</v>
      </c>
      <c r="C1944" s="15">
        <v>1583</v>
      </c>
      <c r="D1944" s="268">
        <v>162</v>
      </c>
      <c r="E1944" s="268">
        <v>98</v>
      </c>
      <c r="F1944" s="268">
        <v>74</v>
      </c>
      <c r="G1944" s="268">
        <v>77</v>
      </c>
      <c r="H1944" s="268">
        <v>138</v>
      </c>
      <c r="I1944" s="268">
        <v>163</v>
      </c>
      <c r="J1944" s="268">
        <v>157</v>
      </c>
      <c r="K1944" s="268">
        <v>172</v>
      </c>
      <c r="L1944" s="268">
        <v>133</v>
      </c>
      <c r="M1944" s="268">
        <v>114</v>
      </c>
      <c r="N1944" s="268">
        <v>150</v>
      </c>
      <c r="O1944" s="278">
        <v>145</v>
      </c>
    </row>
    <row r="1945" spans="1:15">
      <c r="A1945" s="263" t="s">
        <v>22</v>
      </c>
      <c r="B1945" s="264" t="s">
        <v>59</v>
      </c>
      <c r="C1945" s="15">
        <v>847</v>
      </c>
      <c r="D1945" s="268">
        <v>83</v>
      </c>
      <c r="E1945" s="268">
        <v>50</v>
      </c>
      <c r="F1945" s="268">
        <v>44</v>
      </c>
      <c r="G1945" s="268">
        <v>38</v>
      </c>
      <c r="H1945" s="268">
        <v>79</v>
      </c>
      <c r="I1945" s="268">
        <v>85</v>
      </c>
      <c r="J1945" s="268">
        <v>83</v>
      </c>
      <c r="K1945" s="268">
        <v>91</v>
      </c>
      <c r="L1945" s="268">
        <v>72</v>
      </c>
      <c r="M1945" s="268">
        <v>65</v>
      </c>
      <c r="N1945" s="268">
        <v>90</v>
      </c>
      <c r="O1945" s="278">
        <v>67</v>
      </c>
    </row>
    <row r="1946" spans="1:15">
      <c r="A1946" s="266" t="s">
        <v>22</v>
      </c>
      <c r="B1946" s="267" t="s">
        <v>4</v>
      </c>
      <c r="C1946" s="15">
        <v>45</v>
      </c>
      <c r="D1946" s="269">
        <v>4</v>
      </c>
      <c r="E1946" s="269">
        <v>5</v>
      </c>
      <c r="F1946" s="269">
        <v>3</v>
      </c>
      <c r="G1946" s="269">
        <v>0</v>
      </c>
      <c r="H1946" s="269">
        <v>3</v>
      </c>
      <c r="I1946" s="269">
        <v>9</v>
      </c>
      <c r="J1946" s="269">
        <v>4</v>
      </c>
      <c r="K1946" s="269">
        <v>5</v>
      </c>
      <c r="L1946" s="269">
        <v>3</v>
      </c>
      <c r="M1946" s="269">
        <v>3</v>
      </c>
      <c r="N1946" s="269">
        <v>1</v>
      </c>
      <c r="O1946" s="279">
        <v>5</v>
      </c>
    </row>
    <row r="1947" spans="1:15">
      <c r="A1947" s="263" t="s">
        <v>22</v>
      </c>
      <c r="B1947" s="264" t="s">
        <v>5</v>
      </c>
      <c r="C1947" s="12">
        <v>0.0531286894923259</v>
      </c>
      <c r="D1947" s="265">
        <v>0.0481927710843374</v>
      </c>
      <c r="E1947" s="265">
        <v>0.1</v>
      </c>
      <c r="F1947" s="265">
        <v>0.0681818181818182</v>
      </c>
      <c r="G1947" s="265">
        <v>0</v>
      </c>
      <c r="H1947" s="265">
        <v>0.0379746835443038</v>
      </c>
      <c r="I1947" s="265">
        <v>0.105882352941176</v>
      </c>
      <c r="J1947" s="265">
        <v>0.0481927710843374</v>
      </c>
      <c r="K1947" s="265">
        <v>0.0549450549450549</v>
      </c>
      <c r="L1947" s="265">
        <v>0.0416666666666667</v>
      </c>
      <c r="M1947" s="265">
        <v>0.0461538461538462</v>
      </c>
      <c r="N1947" s="265">
        <v>0.0111111111111111</v>
      </c>
      <c r="O1947" s="277">
        <v>0.0746268656716418</v>
      </c>
    </row>
    <row r="1948" spans="1:15">
      <c r="A1948" s="266" t="s">
        <v>22</v>
      </c>
      <c r="B1948" s="267" t="s">
        <v>6</v>
      </c>
      <c r="C1948" s="15">
        <v>9</v>
      </c>
      <c r="D1948" s="269">
        <v>2</v>
      </c>
      <c r="E1948" s="269">
        <v>0</v>
      </c>
      <c r="F1948" s="269">
        <v>0</v>
      </c>
      <c r="G1948" s="269">
        <v>0</v>
      </c>
      <c r="H1948" s="269">
        <v>2</v>
      </c>
      <c r="I1948" s="269">
        <v>1</v>
      </c>
      <c r="J1948" s="269">
        <v>1</v>
      </c>
      <c r="K1948" s="269">
        <v>1</v>
      </c>
      <c r="L1948" s="269">
        <v>1</v>
      </c>
      <c r="M1948" s="269">
        <v>0</v>
      </c>
      <c r="N1948" s="269">
        <v>0</v>
      </c>
      <c r="O1948" s="279">
        <v>1</v>
      </c>
    </row>
    <row r="1949" ht="14.25" spans="1:15">
      <c r="A1949" s="270" t="s">
        <v>22</v>
      </c>
      <c r="B1949" s="271" t="s">
        <v>64</v>
      </c>
      <c r="C1949" s="19">
        <v>0.2</v>
      </c>
      <c r="D1949" s="272">
        <v>0.5</v>
      </c>
      <c r="E1949" s="272">
        <v>0</v>
      </c>
      <c r="F1949" s="272">
        <v>0</v>
      </c>
      <c r="G1949" s="272">
        <v>0</v>
      </c>
      <c r="H1949" s="272">
        <v>0.666666666666667</v>
      </c>
      <c r="I1949" s="272">
        <v>0.111111111111111</v>
      </c>
      <c r="J1949" s="272">
        <v>0.25</v>
      </c>
      <c r="K1949" s="272">
        <v>0.2</v>
      </c>
      <c r="L1949" s="272">
        <v>0.333333333333333</v>
      </c>
      <c r="M1949" s="272">
        <v>0</v>
      </c>
      <c r="N1949" s="272">
        <v>0</v>
      </c>
      <c r="O1949" s="280">
        <v>0.2</v>
      </c>
    </row>
    <row r="1950" spans="1:15">
      <c r="A1950" s="273" t="s">
        <v>66</v>
      </c>
      <c r="B1950" s="274" t="s">
        <v>55</v>
      </c>
      <c r="C1950" s="12">
        <v>0.117135761589404</v>
      </c>
      <c r="D1950" s="275">
        <v>0.101587301587302</v>
      </c>
      <c r="E1950" s="275">
        <v>0.045643153526971</v>
      </c>
      <c r="F1950" s="275">
        <v>0.0547945205479452</v>
      </c>
      <c r="G1950" s="275">
        <v>0.0871794871794872</v>
      </c>
      <c r="H1950" s="275">
        <v>0.0885416666666667</v>
      </c>
      <c r="I1950" s="275">
        <v>0.152941176470588</v>
      </c>
      <c r="J1950" s="275">
        <v>0.16025641025641</v>
      </c>
      <c r="K1950" s="275">
        <v>0.18978102189781</v>
      </c>
      <c r="L1950" s="275">
        <v>0.140495867768595</v>
      </c>
      <c r="M1950" s="275">
        <v>0.176991150442478</v>
      </c>
      <c r="N1950" s="275">
        <v>0.208695652173913</v>
      </c>
      <c r="O1950" s="281">
        <v>0.3203125</v>
      </c>
    </row>
    <row r="1951" spans="1:15">
      <c r="A1951" s="266" t="s">
        <v>66</v>
      </c>
      <c r="B1951" s="267" t="s">
        <v>57</v>
      </c>
      <c r="C1951" s="15">
        <v>2416</v>
      </c>
      <c r="D1951" s="268">
        <v>315</v>
      </c>
      <c r="E1951" s="268">
        <v>482</v>
      </c>
      <c r="F1951" s="268">
        <v>292</v>
      </c>
      <c r="G1951" s="268">
        <v>195</v>
      </c>
      <c r="H1951" s="268">
        <v>192</v>
      </c>
      <c r="I1951" s="268">
        <v>170</v>
      </c>
      <c r="J1951" s="268">
        <v>156</v>
      </c>
      <c r="K1951" s="268">
        <v>137</v>
      </c>
      <c r="L1951" s="268">
        <v>121</v>
      </c>
      <c r="M1951" s="268">
        <v>113</v>
      </c>
      <c r="N1951" s="268">
        <v>115</v>
      </c>
      <c r="O1951" s="278">
        <v>128</v>
      </c>
    </row>
    <row r="1952" spans="1:15">
      <c r="A1952" s="263" t="s">
        <v>66</v>
      </c>
      <c r="B1952" s="264" t="s">
        <v>59</v>
      </c>
      <c r="C1952" s="15">
        <v>283</v>
      </c>
      <c r="D1952" s="268">
        <v>32</v>
      </c>
      <c r="E1952" s="268">
        <v>22</v>
      </c>
      <c r="F1952" s="268">
        <v>16</v>
      </c>
      <c r="G1952" s="268">
        <v>17</v>
      </c>
      <c r="H1952" s="268">
        <v>17</v>
      </c>
      <c r="I1952" s="268">
        <v>26</v>
      </c>
      <c r="J1952" s="268">
        <v>25</v>
      </c>
      <c r="K1952" s="268">
        <v>26</v>
      </c>
      <c r="L1952" s="268">
        <v>17</v>
      </c>
      <c r="M1952" s="268">
        <v>20</v>
      </c>
      <c r="N1952" s="268">
        <v>24</v>
      </c>
      <c r="O1952" s="278">
        <v>41</v>
      </c>
    </row>
    <row r="1953" spans="1:15">
      <c r="A1953" s="266" t="s">
        <v>66</v>
      </c>
      <c r="B1953" s="267" t="s">
        <v>4</v>
      </c>
      <c r="C1953" s="15">
        <v>18</v>
      </c>
      <c r="D1953" s="269">
        <v>2</v>
      </c>
      <c r="E1953" s="269">
        <v>4</v>
      </c>
      <c r="F1953" s="269">
        <v>0</v>
      </c>
      <c r="G1953" s="269">
        <v>1</v>
      </c>
      <c r="H1953" s="269">
        <v>0</v>
      </c>
      <c r="I1953" s="269">
        <v>2</v>
      </c>
      <c r="J1953" s="269">
        <v>0</v>
      </c>
      <c r="K1953" s="269">
        <v>0</v>
      </c>
      <c r="L1953" s="269">
        <v>1</v>
      </c>
      <c r="M1953" s="269">
        <v>0</v>
      </c>
      <c r="N1953" s="269">
        <v>4</v>
      </c>
      <c r="O1953" s="279">
        <v>4</v>
      </c>
    </row>
    <row r="1954" spans="1:15">
      <c r="A1954" s="263" t="s">
        <v>66</v>
      </c>
      <c r="B1954" s="264" t="s">
        <v>5</v>
      </c>
      <c r="C1954" s="12">
        <v>0.0636042402826855</v>
      </c>
      <c r="D1954" s="265">
        <v>0.0625</v>
      </c>
      <c r="E1954" s="265">
        <v>0.181818181818182</v>
      </c>
      <c r="F1954" s="265">
        <v>0</v>
      </c>
      <c r="G1954" s="265">
        <v>0.0588235294117647</v>
      </c>
      <c r="H1954" s="265">
        <v>0</v>
      </c>
      <c r="I1954" s="265">
        <v>0.0769230769230769</v>
      </c>
      <c r="J1954" s="265">
        <v>0</v>
      </c>
      <c r="K1954" s="265">
        <v>0</v>
      </c>
      <c r="L1954" s="265">
        <v>0.0588235294117647</v>
      </c>
      <c r="M1954" s="265">
        <v>0</v>
      </c>
      <c r="N1954" s="265">
        <v>0.166666666666667</v>
      </c>
      <c r="O1954" s="277">
        <v>0.0975609756097561</v>
      </c>
    </row>
    <row r="1955" spans="1:15">
      <c r="A1955" s="266" t="s">
        <v>66</v>
      </c>
      <c r="B1955" s="267" t="s">
        <v>6</v>
      </c>
      <c r="C1955" s="15">
        <v>7</v>
      </c>
      <c r="D1955" s="269">
        <v>2</v>
      </c>
      <c r="E1955" s="269">
        <v>0</v>
      </c>
      <c r="F1955" s="269">
        <v>0</v>
      </c>
      <c r="G1955" s="269">
        <v>0</v>
      </c>
      <c r="H1955" s="269">
        <v>0</v>
      </c>
      <c r="I1955" s="269">
        <v>2</v>
      </c>
      <c r="J1955" s="269">
        <v>1</v>
      </c>
      <c r="K1955" s="269">
        <v>0</v>
      </c>
      <c r="L1955" s="269">
        <v>0</v>
      </c>
      <c r="M1955" s="269">
        <v>0</v>
      </c>
      <c r="N1955" s="269">
        <v>1</v>
      </c>
      <c r="O1955" s="279">
        <v>1</v>
      </c>
    </row>
    <row r="1956" ht="14.25" spans="1:15">
      <c r="A1956" s="270" t="s">
        <v>66</v>
      </c>
      <c r="B1956" s="271" t="s">
        <v>64</v>
      </c>
      <c r="C1956" s="19">
        <v>0.388888888888889</v>
      </c>
      <c r="D1956" s="272">
        <v>1</v>
      </c>
      <c r="E1956" s="272">
        <v>0</v>
      </c>
      <c r="F1956" s="272">
        <v>0</v>
      </c>
      <c r="G1956" s="272">
        <v>0</v>
      </c>
      <c r="H1956" s="272">
        <v>0</v>
      </c>
      <c r="I1956" s="272">
        <v>1</v>
      </c>
      <c r="J1956" s="272">
        <v>0</v>
      </c>
      <c r="K1956" s="272">
        <v>0</v>
      </c>
      <c r="L1956" s="272">
        <v>0</v>
      </c>
      <c r="M1956" s="272">
        <v>0</v>
      </c>
      <c r="N1956" s="272">
        <v>0.25</v>
      </c>
      <c r="O1956" s="280">
        <v>0.25</v>
      </c>
    </row>
    <row r="1957" spans="1:15">
      <c r="A1957" s="263" t="s">
        <v>67</v>
      </c>
      <c r="B1957" s="264" t="s">
        <v>55</v>
      </c>
      <c r="C1957" s="12">
        <v>0.371508379888268</v>
      </c>
      <c r="D1957" s="265">
        <v>0.46</v>
      </c>
      <c r="E1957" s="265">
        <v>0.265625</v>
      </c>
      <c r="F1957" s="265">
        <v>0.325</v>
      </c>
      <c r="G1957" s="265">
        <v>0.28125</v>
      </c>
      <c r="H1957" s="265">
        <v>0.355932203389831</v>
      </c>
      <c r="I1957" s="265">
        <v>0.417808219178082</v>
      </c>
      <c r="J1957" s="265">
        <v>0.384615384615385</v>
      </c>
      <c r="K1957" s="265">
        <v>0.308333333333333</v>
      </c>
      <c r="L1957" s="265">
        <v>0.270833333333333</v>
      </c>
      <c r="M1957" s="265">
        <v>0.391891891891892</v>
      </c>
      <c r="N1957" s="265">
        <v>0.569444444444444</v>
      </c>
      <c r="O1957" s="277">
        <v>0.381578947368421</v>
      </c>
    </row>
    <row r="1958" spans="1:15">
      <c r="A1958" s="266" t="s">
        <v>67</v>
      </c>
      <c r="B1958" s="267" t="s">
        <v>57</v>
      </c>
      <c r="C1958" s="15">
        <v>1074</v>
      </c>
      <c r="D1958" s="268">
        <v>100</v>
      </c>
      <c r="E1958" s="268">
        <v>64</v>
      </c>
      <c r="F1958" s="268">
        <v>40</v>
      </c>
      <c r="G1958" s="268">
        <v>64</v>
      </c>
      <c r="H1958" s="268">
        <v>118</v>
      </c>
      <c r="I1958" s="268">
        <v>146</v>
      </c>
      <c r="J1958" s="268">
        <v>104</v>
      </c>
      <c r="K1958" s="268">
        <v>120</v>
      </c>
      <c r="L1958" s="268">
        <v>96</v>
      </c>
      <c r="M1958" s="268">
        <v>74</v>
      </c>
      <c r="N1958" s="268">
        <v>72</v>
      </c>
      <c r="O1958" s="278">
        <v>76</v>
      </c>
    </row>
    <row r="1959" spans="1:15">
      <c r="A1959" s="263" t="s">
        <v>67</v>
      </c>
      <c r="B1959" s="264" t="s">
        <v>59</v>
      </c>
      <c r="C1959" s="15">
        <v>399</v>
      </c>
      <c r="D1959" s="268">
        <v>46</v>
      </c>
      <c r="E1959" s="268">
        <v>17</v>
      </c>
      <c r="F1959" s="268">
        <v>13</v>
      </c>
      <c r="G1959" s="268">
        <v>18</v>
      </c>
      <c r="H1959" s="268">
        <v>42</v>
      </c>
      <c r="I1959" s="268">
        <v>61</v>
      </c>
      <c r="J1959" s="268">
        <v>40</v>
      </c>
      <c r="K1959" s="268">
        <v>37</v>
      </c>
      <c r="L1959" s="268">
        <v>26</v>
      </c>
      <c r="M1959" s="268">
        <v>29</v>
      </c>
      <c r="N1959" s="268">
        <v>41</v>
      </c>
      <c r="O1959" s="278">
        <v>29</v>
      </c>
    </row>
    <row r="1960" spans="1:15">
      <c r="A1960" s="266" t="s">
        <v>67</v>
      </c>
      <c r="B1960" s="267" t="s">
        <v>4</v>
      </c>
      <c r="C1960" s="15">
        <v>21</v>
      </c>
      <c r="D1960" s="269">
        <v>2</v>
      </c>
      <c r="E1960" s="269">
        <v>3</v>
      </c>
      <c r="F1960" s="269">
        <v>2</v>
      </c>
      <c r="G1960" s="269">
        <v>1</v>
      </c>
      <c r="H1960" s="269">
        <v>3</v>
      </c>
      <c r="I1960" s="269">
        <v>1</v>
      </c>
      <c r="J1960" s="269">
        <v>2</v>
      </c>
      <c r="K1960" s="269">
        <v>2</v>
      </c>
      <c r="L1960" s="269">
        <v>1</v>
      </c>
      <c r="M1960" s="269">
        <v>2</v>
      </c>
      <c r="N1960" s="269">
        <v>2</v>
      </c>
      <c r="O1960" s="279">
        <v>0</v>
      </c>
    </row>
    <row r="1961" spans="1:15">
      <c r="A1961" s="263" t="s">
        <v>67</v>
      </c>
      <c r="B1961" s="264" t="s">
        <v>5</v>
      </c>
      <c r="C1961" s="12">
        <v>0.0526315789473684</v>
      </c>
      <c r="D1961" s="265">
        <v>0.0434782608695652</v>
      </c>
      <c r="E1961" s="265">
        <v>0.176470588235294</v>
      </c>
      <c r="F1961" s="265">
        <v>0.153846153846154</v>
      </c>
      <c r="G1961" s="265">
        <v>0.0555555555555556</v>
      </c>
      <c r="H1961" s="265">
        <v>0.0714285714285714</v>
      </c>
      <c r="I1961" s="265">
        <v>0.0163934426229508</v>
      </c>
      <c r="J1961" s="265">
        <v>0.05</v>
      </c>
      <c r="K1961" s="265">
        <v>0.0540540540540541</v>
      </c>
      <c r="L1961" s="265">
        <v>0.0384615384615385</v>
      </c>
      <c r="M1961" s="265">
        <v>0.0689655172413793</v>
      </c>
      <c r="N1961" s="265">
        <v>0.0487804878048781</v>
      </c>
      <c r="O1961" s="277">
        <v>0</v>
      </c>
    </row>
    <row r="1962" spans="1:15">
      <c r="A1962" s="266" t="s">
        <v>67</v>
      </c>
      <c r="B1962" s="267" t="s">
        <v>6</v>
      </c>
      <c r="C1962" s="15">
        <v>9</v>
      </c>
      <c r="D1962" s="269">
        <v>1</v>
      </c>
      <c r="E1962" s="269">
        <v>0</v>
      </c>
      <c r="F1962" s="269">
        <v>0</v>
      </c>
      <c r="G1962" s="269">
        <v>0</v>
      </c>
      <c r="H1962" s="269">
        <v>1</v>
      </c>
      <c r="I1962" s="269">
        <v>0</v>
      </c>
      <c r="J1962" s="269">
        <v>0</v>
      </c>
      <c r="K1962" s="269">
        <v>2</v>
      </c>
      <c r="L1962" s="269">
        <v>2</v>
      </c>
      <c r="M1962" s="269">
        <v>0</v>
      </c>
      <c r="N1962" s="269">
        <v>2</v>
      </c>
      <c r="O1962" s="279">
        <v>1</v>
      </c>
    </row>
    <row r="1963" ht="14.25" spans="1:15">
      <c r="A1963" s="270" t="s">
        <v>67</v>
      </c>
      <c r="B1963" s="271" t="s">
        <v>64</v>
      </c>
      <c r="C1963" s="19">
        <v>0.428571428571429</v>
      </c>
      <c r="D1963" s="272">
        <v>0.5</v>
      </c>
      <c r="E1963" s="272">
        <v>0</v>
      </c>
      <c r="F1963" s="272">
        <v>0</v>
      </c>
      <c r="G1963" s="272">
        <v>0</v>
      </c>
      <c r="H1963" s="272">
        <v>0.333333333333333</v>
      </c>
      <c r="I1963" s="272">
        <v>0</v>
      </c>
      <c r="J1963" s="272">
        <v>0</v>
      </c>
      <c r="K1963" s="272">
        <v>1</v>
      </c>
      <c r="L1963" s="272">
        <v>2</v>
      </c>
      <c r="M1963" s="272">
        <v>0</v>
      </c>
      <c r="N1963" s="272">
        <v>1</v>
      </c>
      <c r="O1963" s="280">
        <v>0</v>
      </c>
    </row>
    <row r="1964" spans="1:15">
      <c r="A1964" s="263" t="s">
        <v>68</v>
      </c>
      <c r="B1964" s="264" t="s">
        <v>55</v>
      </c>
      <c r="C1964" s="12">
        <v>0.0511794138670479</v>
      </c>
      <c r="D1964" s="265">
        <v>0.0479674796747967</v>
      </c>
      <c r="E1964" s="265">
        <v>0.0544303797468354</v>
      </c>
      <c r="F1964" s="265">
        <v>0.0538461538461538</v>
      </c>
      <c r="G1964" s="265">
        <v>0.0315420560747664</v>
      </c>
      <c r="H1964" s="265">
        <v>0.0602006688963211</v>
      </c>
      <c r="I1964" s="265">
        <v>0.071520618556701</v>
      </c>
      <c r="J1964" s="265">
        <v>0.0465489566613162</v>
      </c>
      <c r="K1964" s="265">
        <v>0.0544323483670296</v>
      </c>
      <c r="L1964" s="265">
        <v>0.0383333333333333</v>
      </c>
      <c r="M1964" s="265">
        <v>0.0536912751677852</v>
      </c>
      <c r="N1964" s="265">
        <v>0.0451436388508892</v>
      </c>
      <c r="O1964" s="277">
        <v>0.0483333333333333</v>
      </c>
    </row>
    <row r="1965" spans="1:15">
      <c r="A1965" s="266" t="s">
        <v>68</v>
      </c>
      <c r="B1965" s="267" t="s">
        <v>57</v>
      </c>
      <c r="C1965" s="15">
        <v>13990</v>
      </c>
      <c r="D1965" s="268">
        <v>1230</v>
      </c>
      <c r="E1965" s="268">
        <v>790</v>
      </c>
      <c r="F1965" s="268">
        <v>780</v>
      </c>
      <c r="G1965" s="268">
        <v>856</v>
      </c>
      <c r="H1965" s="268">
        <v>1196</v>
      </c>
      <c r="I1965" s="268">
        <v>1552</v>
      </c>
      <c r="J1965" s="268">
        <v>1246</v>
      </c>
      <c r="K1965" s="268">
        <v>1286</v>
      </c>
      <c r="L1965" s="268">
        <v>1200</v>
      </c>
      <c r="M1965" s="268">
        <v>1192</v>
      </c>
      <c r="N1965" s="268">
        <v>1462</v>
      </c>
      <c r="O1965" s="278">
        <v>1200</v>
      </c>
    </row>
    <row r="1966" spans="1:15">
      <c r="A1966" s="263" t="s">
        <v>68</v>
      </c>
      <c r="B1966" s="264" t="s">
        <v>59</v>
      </c>
      <c r="C1966" s="15">
        <v>716</v>
      </c>
      <c r="D1966" s="268">
        <v>59</v>
      </c>
      <c r="E1966" s="268">
        <v>43</v>
      </c>
      <c r="F1966" s="268">
        <v>42</v>
      </c>
      <c r="G1966" s="268">
        <v>27</v>
      </c>
      <c r="H1966" s="268">
        <v>72</v>
      </c>
      <c r="I1966" s="268">
        <v>111</v>
      </c>
      <c r="J1966" s="268">
        <v>58</v>
      </c>
      <c r="K1966" s="268">
        <v>70</v>
      </c>
      <c r="L1966" s="268">
        <v>46</v>
      </c>
      <c r="M1966" s="268">
        <v>64</v>
      </c>
      <c r="N1966" s="268">
        <v>66</v>
      </c>
      <c r="O1966" s="278">
        <v>58</v>
      </c>
    </row>
    <row r="1967" spans="1:15">
      <c r="A1967" s="266" t="s">
        <v>68</v>
      </c>
      <c r="B1967" s="267" t="s">
        <v>4</v>
      </c>
      <c r="C1967" s="15">
        <v>54</v>
      </c>
      <c r="D1967" s="269">
        <v>5</v>
      </c>
      <c r="E1967" s="269">
        <v>1</v>
      </c>
      <c r="F1967" s="269">
        <v>2</v>
      </c>
      <c r="G1967" s="269">
        <v>2</v>
      </c>
      <c r="H1967" s="269">
        <v>7</v>
      </c>
      <c r="I1967" s="269">
        <v>6</v>
      </c>
      <c r="J1967" s="269">
        <v>4</v>
      </c>
      <c r="K1967" s="269">
        <v>4</v>
      </c>
      <c r="L1967" s="269">
        <v>3</v>
      </c>
      <c r="M1967" s="269">
        <v>5</v>
      </c>
      <c r="N1967" s="269">
        <v>8</v>
      </c>
      <c r="O1967" s="279">
        <v>7</v>
      </c>
    </row>
    <row r="1968" spans="1:15">
      <c r="A1968" s="263" t="s">
        <v>68</v>
      </c>
      <c r="B1968" s="264" t="s">
        <v>5</v>
      </c>
      <c r="C1968" s="12">
        <v>0.0754189944134078</v>
      </c>
      <c r="D1968" s="265">
        <v>0.0847457627118644</v>
      </c>
      <c r="E1968" s="265">
        <v>0.0232558139534884</v>
      </c>
      <c r="F1968" s="265">
        <v>0.0476190476190476</v>
      </c>
      <c r="G1968" s="265">
        <v>0.0740740740740741</v>
      </c>
      <c r="H1968" s="265">
        <v>0.0972222222222222</v>
      </c>
      <c r="I1968" s="265">
        <v>0.0540540540540541</v>
      </c>
      <c r="J1968" s="265">
        <v>0.0689655172413793</v>
      </c>
      <c r="K1968" s="265">
        <v>0.0571428571428571</v>
      </c>
      <c r="L1968" s="265">
        <v>0.0652173913043478</v>
      </c>
      <c r="M1968" s="265">
        <v>0.078125</v>
      </c>
      <c r="N1968" s="265">
        <v>0.121212121212121</v>
      </c>
      <c r="O1968" s="277">
        <v>0.120689655172414</v>
      </c>
    </row>
    <row r="1969" spans="1:15">
      <c r="A1969" s="266" t="s">
        <v>68</v>
      </c>
      <c r="B1969" s="267" t="s">
        <v>6</v>
      </c>
      <c r="C1969" s="15">
        <v>19</v>
      </c>
      <c r="D1969" s="269">
        <v>3</v>
      </c>
      <c r="E1969" s="269">
        <v>0</v>
      </c>
      <c r="F1969" s="269">
        <v>1</v>
      </c>
      <c r="G1969" s="269">
        <v>0</v>
      </c>
      <c r="H1969" s="269">
        <v>2</v>
      </c>
      <c r="I1969" s="269">
        <v>2</v>
      </c>
      <c r="J1969" s="269">
        <v>1</v>
      </c>
      <c r="K1969" s="269">
        <v>0</v>
      </c>
      <c r="L1969" s="269">
        <v>1</v>
      </c>
      <c r="M1969" s="269">
        <v>3</v>
      </c>
      <c r="N1969" s="269">
        <v>4</v>
      </c>
      <c r="O1969" s="279">
        <v>2</v>
      </c>
    </row>
    <row r="1970" ht="14.25" spans="1:15">
      <c r="A1970" s="270" t="s">
        <v>68</v>
      </c>
      <c r="B1970" s="271" t="s">
        <v>64</v>
      </c>
      <c r="C1970" s="19">
        <v>0.351851851851852</v>
      </c>
      <c r="D1970" s="272">
        <v>0.6</v>
      </c>
      <c r="E1970" s="272">
        <v>0</v>
      </c>
      <c r="F1970" s="272">
        <v>0.5</v>
      </c>
      <c r="G1970" s="272">
        <v>0</v>
      </c>
      <c r="H1970" s="272">
        <v>0.285714285714286</v>
      </c>
      <c r="I1970" s="272">
        <v>0.333333333333333</v>
      </c>
      <c r="J1970" s="272">
        <v>0.25</v>
      </c>
      <c r="K1970" s="272">
        <v>0</v>
      </c>
      <c r="L1970" s="272">
        <v>0.333333333333333</v>
      </c>
      <c r="M1970" s="272">
        <v>0.6</v>
      </c>
      <c r="N1970" s="272">
        <v>0.5</v>
      </c>
      <c r="O1970" s="280">
        <v>0.285714285714286</v>
      </c>
    </row>
    <row r="1971" spans="1:15">
      <c r="A1971" s="263" t="s">
        <v>69</v>
      </c>
      <c r="B1971" s="264" t="s">
        <v>55</v>
      </c>
      <c r="C1971" s="12">
        <v>1.0492125984252</v>
      </c>
      <c r="D1971" s="265">
        <v>0.841269841269841</v>
      </c>
      <c r="E1971" s="265">
        <v>1.35</v>
      </c>
      <c r="F1971" s="265">
        <v>0.846153846153846</v>
      </c>
      <c r="G1971" s="265">
        <v>0.875</v>
      </c>
      <c r="H1971" s="265">
        <v>1.26829268292683</v>
      </c>
      <c r="I1971" s="265">
        <v>1</v>
      </c>
      <c r="J1971" s="265">
        <v>1.25581395348837</v>
      </c>
      <c r="K1971" s="265">
        <v>1.02</v>
      </c>
      <c r="L1971" s="265">
        <v>1.24390243902439</v>
      </c>
      <c r="M1971" s="265">
        <v>0.885245901639344</v>
      </c>
      <c r="N1971" s="265">
        <v>1.15094339622642</v>
      </c>
      <c r="O1971" s="277">
        <v>0.979591836734694</v>
      </c>
    </row>
    <row r="1972" spans="1:15">
      <c r="A1972" s="266" t="s">
        <v>69</v>
      </c>
      <c r="B1972" s="267" t="s">
        <v>57</v>
      </c>
      <c r="C1972" s="15">
        <v>508</v>
      </c>
      <c r="D1972" s="268">
        <v>63</v>
      </c>
      <c r="E1972" s="268">
        <v>20</v>
      </c>
      <c r="F1972" s="268">
        <v>13</v>
      </c>
      <c r="G1972" s="268">
        <v>24</v>
      </c>
      <c r="H1972" s="268">
        <v>41</v>
      </c>
      <c r="I1972" s="268">
        <v>50</v>
      </c>
      <c r="J1972" s="268">
        <v>43</v>
      </c>
      <c r="K1972" s="268">
        <v>50</v>
      </c>
      <c r="L1972" s="268">
        <v>41</v>
      </c>
      <c r="M1972" s="268">
        <v>61</v>
      </c>
      <c r="N1972" s="268">
        <v>53</v>
      </c>
      <c r="O1972" s="278">
        <v>49</v>
      </c>
    </row>
    <row r="1973" spans="1:15">
      <c r="A1973" s="263" t="s">
        <v>69</v>
      </c>
      <c r="B1973" s="264" t="s">
        <v>59</v>
      </c>
      <c r="C1973" s="15">
        <v>533</v>
      </c>
      <c r="D1973" s="268">
        <v>53</v>
      </c>
      <c r="E1973" s="268">
        <v>27</v>
      </c>
      <c r="F1973" s="268">
        <v>11</v>
      </c>
      <c r="G1973" s="268">
        <v>21</v>
      </c>
      <c r="H1973" s="268">
        <v>52</v>
      </c>
      <c r="I1973" s="268">
        <v>50</v>
      </c>
      <c r="J1973" s="268">
        <v>54</v>
      </c>
      <c r="K1973" s="268">
        <v>51</v>
      </c>
      <c r="L1973" s="268">
        <v>51</v>
      </c>
      <c r="M1973" s="268">
        <v>54</v>
      </c>
      <c r="N1973" s="268">
        <v>61</v>
      </c>
      <c r="O1973" s="278">
        <v>48</v>
      </c>
    </row>
    <row r="1974" spans="1:15">
      <c r="A1974" s="266" t="s">
        <v>69</v>
      </c>
      <c r="B1974" s="267" t="s">
        <v>4</v>
      </c>
      <c r="C1974" s="15">
        <v>26</v>
      </c>
      <c r="D1974" s="269">
        <v>1</v>
      </c>
      <c r="E1974" s="269">
        <v>1</v>
      </c>
      <c r="F1974" s="269">
        <v>0</v>
      </c>
      <c r="G1974" s="269">
        <v>1</v>
      </c>
      <c r="H1974" s="269">
        <v>3</v>
      </c>
      <c r="I1974" s="269">
        <v>2</v>
      </c>
      <c r="J1974" s="269">
        <v>2</v>
      </c>
      <c r="K1974" s="269">
        <v>4</v>
      </c>
      <c r="L1974" s="269">
        <v>2</v>
      </c>
      <c r="M1974" s="269">
        <v>6</v>
      </c>
      <c r="N1974" s="269">
        <v>2</v>
      </c>
      <c r="O1974" s="279">
        <v>2</v>
      </c>
    </row>
    <row r="1975" spans="1:15">
      <c r="A1975" s="263" t="s">
        <v>69</v>
      </c>
      <c r="B1975" s="264" t="s">
        <v>5</v>
      </c>
      <c r="C1975" s="12">
        <v>0.0487804878048781</v>
      </c>
      <c r="D1975" s="265">
        <v>0.0188679245283019</v>
      </c>
      <c r="E1975" s="265">
        <v>0.037037037037037</v>
      </c>
      <c r="F1975" s="265">
        <v>0</v>
      </c>
      <c r="G1975" s="265">
        <v>0.0476190476190476</v>
      </c>
      <c r="H1975" s="265">
        <v>0.0576923076923077</v>
      </c>
      <c r="I1975" s="265">
        <v>0.04</v>
      </c>
      <c r="J1975" s="265">
        <v>0.037037037037037</v>
      </c>
      <c r="K1975" s="265">
        <v>0.0784313725490196</v>
      </c>
      <c r="L1975" s="265">
        <v>0.0392156862745098</v>
      </c>
      <c r="M1975" s="265">
        <v>0.111111111111111</v>
      </c>
      <c r="N1975" s="265">
        <v>0.0327868852459016</v>
      </c>
      <c r="O1975" s="277">
        <v>0.0416666666666667</v>
      </c>
    </row>
    <row r="1976" spans="1:15">
      <c r="A1976" s="266" t="s">
        <v>69</v>
      </c>
      <c r="B1976" s="267" t="s">
        <v>6</v>
      </c>
      <c r="C1976" s="15">
        <v>12</v>
      </c>
      <c r="D1976" s="269">
        <v>1</v>
      </c>
      <c r="E1976" s="269">
        <v>1</v>
      </c>
      <c r="F1976" s="269">
        <v>0</v>
      </c>
      <c r="G1976" s="269">
        <v>0</v>
      </c>
      <c r="H1976" s="269">
        <v>1</v>
      </c>
      <c r="I1976" s="269">
        <v>0</v>
      </c>
      <c r="J1976" s="269">
        <v>1</v>
      </c>
      <c r="K1976" s="269">
        <v>3</v>
      </c>
      <c r="L1976" s="269">
        <v>0</v>
      </c>
      <c r="M1976" s="269">
        <v>3</v>
      </c>
      <c r="N1976" s="269">
        <v>1</v>
      </c>
      <c r="O1976" s="279">
        <v>1</v>
      </c>
    </row>
    <row r="1977" ht="14.25" spans="1:15">
      <c r="A1977" s="270" t="s">
        <v>69</v>
      </c>
      <c r="B1977" s="271" t="s">
        <v>64</v>
      </c>
      <c r="C1977" s="19">
        <v>0.461538461538462</v>
      </c>
      <c r="D1977" s="272">
        <v>1</v>
      </c>
      <c r="E1977" s="272">
        <v>1</v>
      </c>
      <c r="F1977" s="272">
        <v>0</v>
      </c>
      <c r="G1977" s="272">
        <v>0</v>
      </c>
      <c r="H1977" s="272">
        <v>0.333333333333333</v>
      </c>
      <c r="I1977" s="272">
        <v>0</v>
      </c>
      <c r="J1977" s="272">
        <v>0.5</v>
      </c>
      <c r="K1977" s="272">
        <v>0.75</v>
      </c>
      <c r="L1977" s="272">
        <v>0</v>
      </c>
      <c r="M1977" s="272">
        <v>0.5</v>
      </c>
      <c r="N1977" s="272">
        <v>0.5</v>
      </c>
      <c r="O1977" s="280">
        <v>0.5</v>
      </c>
    </row>
    <row r="1978" spans="1:15">
      <c r="A1978" s="263" t="s">
        <v>70</v>
      </c>
      <c r="B1978" s="264" t="s">
        <v>55</v>
      </c>
      <c r="C1978" s="12">
        <v>0.696923468090516</v>
      </c>
      <c r="D1978" s="265">
        <v>0.613168724279835</v>
      </c>
      <c r="E1978" s="265">
        <v>0.624</v>
      </c>
      <c r="F1978" s="265">
        <v>0.833333333333333</v>
      </c>
      <c r="G1978" s="265">
        <v>0.822222222222222</v>
      </c>
      <c r="H1978" s="265">
        <v>0.684824902723735</v>
      </c>
      <c r="I1978" s="265">
        <v>0.671428571428571</v>
      </c>
      <c r="J1978" s="265">
        <v>0.739473684210526</v>
      </c>
      <c r="K1978" s="265">
        <v>0.657894736842105</v>
      </c>
      <c r="L1978" s="265">
        <v>0.687074829931973</v>
      </c>
      <c r="M1978" s="265">
        <v>0.726582278481013</v>
      </c>
      <c r="N1978" s="265">
        <v>0.699612403100775</v>
      </c>
      <c r="O1978" s="277">
        <v>0.69811320754717</v>
      </c>
    </row>
    <row r="1979" spans="1:15">
      <c r="A1979" s="266" t="s">
        <v>70</v>
      </c>
      <c r="B1979" s="267" t="s">
        <v>57</v>
      </c>
      <c r="C1979" s="15">
        <v>3933</v>
      </c>
      <c r="D1979" s="268">
        <v>243</v>
      </c>
      <c r="E1979" s="268">
        <v>125</v>
      </c>
      <c r="F1979" s="268">
        <v>126</v>
      </c>
      <c r="G1979" s="268">
        <v>135</v>
      </c>
      <c r="H1979" s="268">
        <v>257</v>
      </c>
      <c r="I1979" s="268">
        <v>420</v>
      </c>
      <c r="J1979" s="268">
        <v>380</v>
      </c>
      <c r="K1979" s="268">
        <v>418</v>
      </c>
      <c r="L1979" s="268">
        <v>441</v>
      </c>
      <c r="M1979" s="268">
        <v>395</v>
      </c>
      <c r="N1979" s="268">
        <v>516</v>
      </c>
      <c r="O1979" s="278">
        <v>477</v>
      </c>
    </row>
    <row r="1980" spans="1:15">
      <c r="A1980" s="263" t="s">
        <v>70</v>
      </c>
      <c r="B1980" s="264" t="s">
        <v>59</v>
      </c>
      <c r="C1980" s="15">
        <v>2741</v>
      </c>
      <c r="D1980" s="268">
        <v>149</v>
      </c>
      <c r="E1980" s="268">
        <v>78</v>
      </c>
      <c r="F1980" s="268">
        <v>105</v>
      </c>
      <c r="G1980" s="268">
        <v>111</v>
      </c>
      <c r="H1980" s="268">
        <v>176</v>
      </c>
      <c r="I1980" s="268">
        <v>282</v>
      </c>
      <c r="J1980" s="268">
        <v>281</v>
      </c>
      <c r="K1980" s="268">
        <v>275</v>
      </c>
      <c r="L1980" s="268">
        <v>303</v>
      </c>
      <c r="M1980" s="268">
        <v>287</v>
      </c>
      <c r="N1980" s="268">
        <v>361</v>
      </c>
      <c r="O1980" s="278">
        <v>333</v>
      </c>
    </row>
    <row r="1981" spans="1:15">
      <c r="A1981" s="266" t="s">
        <v>70</v>
      </c>
      <c r="B1981" s="267" t="s">
        <v>4</v>
      </c>
      <c r="C1981" s="15">
        <v>49</v>
      </c>
      <c r="D1981" s="269">
        <v>1</v>
      </c>
      <c r="E1981" s="269">
        <v>1</v>
      </c>
      <c r="F1981" s="269">
        <v>2</v>
      </c>
      <c r="G1981" s="269">
        <v>0</v>
      </c>
      <c r="H1981" s="269">
        <v>0</v>
      </c>
      <c r="I1981" s="269">
        <v>1</v>
      </c>
      <c r="J1981" s="269">
        <v>8</v>
      </c>
      <c r="K1981" s="269">
        <v>4</v>
      </c>
      <c r="L1981" s="269">
        <v>5</v>
      </c>
      <c r="M1981" s="269">
        <v>8</v>
      </c>
      <c r="N1981" s="269">
        <v>8</v>
      </c>
      <c r="O1981" s="279">
        <v>11</v>
      </c>
    </row>
    <row r="1982" spans="1:15">
      <c r="A1982" s="263" t="s">
        <v>70</v>
      </c>
      <c r="B1982" s="264" t="s">
        <v>5</v>
      </c>
      <c r="C1982" s="12">
        <v>0.0178766873403867</v>
      </c>
      <c r="D1982" s="265">
        <v>0.00671140939597315</v>
      </c>
      <c r="E1982" s="265">
        <v>0.0128205128205128</v>
      </c>
      <c r="F1982" s="265">
        <v>0.019047619047619</v>
      </c>
      <c r="G1982" s="265">
        <v>0</v>
      </c>
      <c r="H1982" s="265">
        <v>0</v>
      </c>
      <c r="I1982" s="265">
        <v>0.00354609929078014</v>
      </c>
      <c r="J1982" s="265">
        <v>0.0284697508896797</v>
      </c>
      <c r="K1982" s="265">
        <v>0.0145454545454545</v>
      </c>
      <c r="L1982" s="265">
        <v>0.0165016501650165</v>
      </c>
      <c r="M1982" s="265">
        <v>0.0278745644599303</v>
      </c>
      <c r="N1982" s="265">
        <v>0.0221606648199446</v>
      </c>
      <c r="O1982" s="277">
        <v>0.033033033033033</v>
      </c>
    </row>
    <row r="1983" spans="1:15">
      <c r="A1983" s="266" t="s">
        <v>70</v>
      </c>
      <c r="B1983" s="267" t="s">
        <v>6</v>
      </c>
      <c r="C1983" s="15">
        <v>10</v>
      </c>
      <c r="D1983" s="269">
        <v>0</v>
      </c>
      <c r="E1983" s="269">
        <v>1</v>
      </c>
      <c r="F1983" s="269">
        <v>0</v>
      </c>
      <c r="G1983" s="269">
        <v>0</v>
      </c>
      <c r="H1983" s="269">
        <v>0</v>
      </c>
      <c r="I1983" s="269">
        <v>1</v>
      </c>
      <c r="J1983" s="269">
        <v>2</v>
      </c>
      <c r="K1983" s="269">
        <v>0</v>
      </c>
      <c r="L1983" s="269">
        <v>1</v>
      </c>
      <c r="M1983" s="269">
        <v>1</v>
      </c>
      <c r="N1983" s="269">
        <v>1</v>
      </c>
      <c r="O1983" s="279">
        <v>3</v>
      </c>
    </row>
    <row r="1984" ht="14.25" spans="1:15">
      <c r="A1984" s="270" t="s">
        <v>70</v>
      </c>
      <c r="B1984" s="271" t="s">
        <v>64</v>
      </c>
      <c r="C1984" s="19">
        <v>0.204081632653061</v>
      </c>
      <c r="D1984" s="272">
        <v>0</v>
      </c>
      <c r="E1984" s="272">
        <v>1</v>
      </c>
      <c r="F1984" s="272">
        <v>0</v>
      </c>
      <c r="G1984" s="272">
        <v>0</v>
      </c>
      <c r="H1984" s="272">
        <v>0</v>
      </c>
      <c r="I1984" s="272">
        <v>1</v>
      </c>
      <c r="J1984" s="272">
        <v>0.25</v>
      </c>
      <c r="K1984" s="272">
        <v>0</v>
      </c>
      <c r="L1984" s="272">
        <v>0.2</v>
      </c>
      <c r="M1984" s="272">
        <v>0.125</v>
      </c>
      <c r="N1984" s="272">
        <v>0.125</v>
      </c>
      <c r="O1984" s="280">
        <v>0.272727272727273</v>
      </c>
    </row>
    <row r="1985" spans="1:15">
      <c r="A1985" s="263" t="s">
        <v>26</v>
      </c>
      <c r="B1985" s="264" t="s">
        <v>55</v>
      </c>
      <c r="C1985" s="12">
        <v>0.376113360323887</v>
      </c>
      <c r="D1985" s="265">
        <v>0.415254237288136</v>
      </c>
      <c r="E1985" s="265">
        <v>0.308823529411765</v>
      </c>
      <c r="F1985" s="265">
        <v>0.326086956521739</v>
      </c>
      <c r="G1985" s="265">
        <v>0.373493975903614</v>
      </c>
      <c r="H1985" s="265">
        <v>0.446280991735537</v>
      </c>
      <c r="I1985" s="265">
        <v>0.446280991735537</v>
      </c>
      <c r="J1985" s="265">
        <v>0.436170212765957</v>
      </c>
      <c r="K1985" s="265">
        <v>0.467105263157895</v>
      </c>
      <c r="L1985" s="265">
        <v>0.3828125</v>
      </c>
      <c r="M1985" s="265">
        <v>0.423611111111111</v>
      </c>
      <c r="N1985" s="265">
        <v>0.295698924731183</v>
      </c>
      <c r="O1985" s="277">
        <v>0.285276073619632</v>
      </c>
    </row>
    <row r="1986" spans="1:15">
      <c r="A1986" s="266" t="s">
        <v>26</v>
      </c>
      <c r="B1986" s="267" t="s">
        <v>57</v>
      </c>
      <c r="C1986" s="15">
        <v>2470</v>
      </c>
      <c r="D1986" s="268">
        <v>236</v>
      </c>
      <c r="E1986" s="268">
        <v>136</v>
      </c>
      <c r="F1986" s="268">
        <v>138</v>
      </c>
      <c r="G1986" s="268">
        <v>166</v>
      </c>
      <c r="H1986" s="268">
        <v>242</v>
      </c>
      <c r="I1986" s="268">
        <v>242</v>
      </c>
      <c r="J1986" s="268">
        <v>188</v>
      </c>
      <c r="K1986" s="268">
        <v>152</v>
      </c>
      <c r="L1986" s="268">
        <v>128</v>
      </c>
      <c r="M1986" s="268">
        <v>144</v>
      </c>
      <c r="N1986" s="268">
        <v>372</v>
      </c>
      <c r="O1986" s="278">
        <v>326</v>
      </c>
    </row>
    <row r="1987" spans="1:15">
      <c r="A1987" s="263" t="s">
        <v>26</v>
      </c>
      <c r="B1987" s="264" t="s">
        <v>59</v>
      </c>
      <c r="C1987" s="15">
        <v>929</v>
      </c>
      <c r="D1987" s="268">
        <v>98</v>
      </c>
      <c r="E1987" s="268">
        <v>42</v>
      </c>
      <c r="F1987" s="268">
        <v>45</v>
      </c>
      <c r="G1987" s="268">
        <v>62</v>
      </c>
      <c r="H1987" s="268">
        <v>108</v>
      </c>
      <c r="I1987" s="268">
        <v>108</v>
      </c>
      <c r="J1987" s="268">
        <v>82</v>
      </c>
      <c r="K1987" s="268">
        <v>71</v>
      </c>
      <c r="L1987" s="268">
        <v>49</v>
      </c>
      <c r="M1987" s="268">
        <v>61</v>
      </c>
      <c r="N1987" s="268">
        <v>110</v>
      </c>
      <c r="O1987" s="278">
        <v>93</v>
      </c>
    </row>
    <row r="1988" spans="1:15">
      <c r="A1988" s="266" t="s">
        <v>26</v>
      </c>
      <c r="B1988" s="267" t="s">
        <v>4</v>
      </c>
      <c r="C1988" s="15">
        <v>19</v>
      </c>
      <c r="D1988" s="269">
        <v>2</v>
      </c>
      <c r="E1988" s="269">
        <v>0</v>
      </c>
      <c r="F1988" s="269">
        <v>0</v>
      </c>
      <c r="G1988" s="269">
        <v>1</v>
      </c>
      <c r="H1988" s="269">
        <v>0</v>
      </c>
      <c r="I1988" s="269">
        <v>3</v>
      </c>
      <c r="J1988" s="269">
        <v>2</v>
      </c>
      <c r="K1988" s="269">
        <v>2</v>
      </c>
      <c r="L1988" s="269">
        <v>1</v>
      </c>
      <c r="M1988" s="269">
        <v>2</v>
      </c>
      <c r="N1988" s="269">
        <v>3</v>
      </c>
      <c r="O1988" s="279">
        <v>3</v>
      </c>
    </row>
    <row r="1989" spans="1:15">
      <c r="A1989" s="263" t="s">
        <v>26</v>
      </c>
      <c r="B1989" s="264" t="s">
        <v>5</v>
      </c>
      <c r="C1989" s="12">
        <v>0.0204520990312164</v>
      </c>
      <c r="D1989" s="265">
        <v>0.0204081632653061</v>
      </c>
      <c r="E1989" s="265">
        <v>0</v>
      </c>
      <c r="F1989" s="265">
        <v>0</v>
      </c>
      <c r="G1989" s="265">
        <v>0.0161290322580645</v>
      </c>
      <c r="H1989" s="265">
        <v>0</v>
      </c>
      <c r="I1989" s="265">
        <v>0.0277777777777778</v>
      </c>
      <c r="J1989" s="265">
        <v>0.024390243902439</v>
      </c>
      <c r="K1989" s="265">
        <v>0.028169014084507</v>
      </c>
      <c r="L1989" s="265">
        <v>0.0204081632653061</v>
      </c>
      <c r="M1989" s="265">
        <v>0.0327868852459016</v>
      </c>
      <c r="N1989" s="265">
        <v>0.0272727272727273</v>
      </c>
      <c r="O1989" s="277">
        <v>0.032258064516129</v>
      </c>
    </row>
    <row r="1990" spans="1:15">
      <c r="A1990" s="266" t="s">
        <v>26</v>
      </c>
      <c r="B1990" s="267" t="s">
        <v>6</v>
      </c>
      <c r="C1990" s="15">
        <v>1</v>
      </c>
      <c r="D1990" s="269">
        <v>0</v>
      </c>
      <c r="E1990" s="269">
        <v>0</v>
      </c>
      <c r="F1990" s="269">
        <v>0</v>
      </c>
      <c r="G1990" s="269">
        <v>0</v>
      </c>
      <c r="H1990" s="269">
        <v>0</v>
      </c>
      <c r="I1990" s="269">
        <v>0</v>
      </c>
      <c r="J1990" s="269">
        <v>0</v>
      </c>
      <c r="K1990" s="269">
        <v>0</v>
      </c>
      <c r="L1990" s="269">
        <v>0</v>
      </c>
      <c r="M1990" s="269">
        <v>0</v>
      </c>
      <c r="N1990" s="269">
        <v>0</v>
      </c>
      <c r="O1990" s="279">
        <v>1</v>
      </c>
    </row>
    <row r="1991" ht="14.25" spans="1:15">
      <c r="A1991" s="270" t="s">
        <v>26</v>
      </c>
      <c r="B1991" s="271" t="s">
        <v>64</v>
      </c>
      <c r="C1991" s="19">
        <v>0.0526315789473684</v>
      </c>
      <c r="D1991" s="282">
        <v>0</v>
      </c>
      <c r="E1991" s="282">
        <v>0</v>
      </c>
      <c r="F1991" s="282">
        <v>0</v>
      </c>
      <c r="G1991" s="282">
        <v>0</v>
      </c>
      <c r="H1991" s="282">
        <v>0</v>
      </c>
      <c r="I1991" s="282">
        <v>0</v>
      </c>
      <c r="J1991" s="282">
        <v>0</v>
      </c>
      <c r="K1991" s="282">
        <v>0</v>
      </c>
      <c r="L1991" s="282">
        <v>0</v>
      </c>
      <c r="M1991" s="282">
        <v>0</v>
      </c>
      <c r="N1991" s="282">
        <v>0</v>
      </c>
      <c r="O1991" s="283">
        <v>1</v>
      </c>
    </row>
    <row r="1992" spans="1:15">
      <c r="A1992" s="263" t="s">
        <v>71</v>
      </c>
      <c r="B1992" s="264" t="s">
        <v>55</v>
      </c>
      <c r="C1992" s="12">
        <v>0.0464071856287425</v>
      </c>
      <c r="D1992" s="265">
        <v>0.0769230769230769</v>
      </c>
      <c r="E1992" s="265">
        <v>0.0357142857142857</v>
      </c>
      <c r="F1992" s="265">
        <v>0</v>
      </c>
      <c r="G1992" s="265">
        <v>0.125</v>
      </c>
      <c r="H1992" s="265">
        <v>0</v>
      </c>
      <c r="I1992" s="265">
        <v>0.05</v>
      </c>
      <c r="J1992" s="265">
        <v>0.0684931506849315</v>
      </c>
      <c r="K1992" s="265">
        <v>0.0789473684210526</v>
      </c>
      <c r="L1992" s="265">
        <v>0.02</v>
      </c>
      <c r="M1992" s="265">
        <v>0.0384615384615385</v>
      </c>
      <c r="N1992" s="265">
        <v>0.0192307692307692</v>
      </c>
      <c r="O1992" s="277">
        <v>0.072463768115942</v>
      </c>
    </row>
    <row r="1993" spans="1:15">
      <c r="A1993" s="266" t="s">
        <v>71</v>
      </c>
      <c r="B1993" s="267" t="s">
        <v>57</v>
      </c>
      <c r="C1993" s="15">
        <v>668</v>
      </c>
      <c r="D1993" s="268">
        <v>52</v>
      </c>
      <c r="E1993" s="268">
        <v>28</v>
      </c>
      <c r="F1993" s="268">
        <v>11</v>
      </c>
      <c r="G1993" s="268">
        <v>8</v>
      </c>
      <c r="H1993" s="268">
        <v>81</v>
      </c>
      <c r="I1993" s="268">
        <v>180</v>
      </c>
      <c r="J1993" s="268">
        <v>73</v>
      </c>
      <c r="K1993" s="268">
        <v>38</v>
      </c>
      <c r="L1993" s="268">
        <v>50</v>
      </c>
      <c r="M1993" s="268">
        <v>26</v>
      </c>
      <c r="N1993" s="268">
        <v>52</v>
      </c>
      <c r="O1993" s="278">
        <v>69</v>
      </c>
    </row>
    <row r="1994" spans="1:15">
      <c r="A1994" s="263" t="s">
        <v>71</v>
      </c>
      <c r="B1994" s="264" t="s">
        <v>59</v>
      </c>
      <c r="C1994" s="15">
        <v>31</v>
      </c>
      <c r="D1994" s="268">
        <v>4</v>
      </c>
      <c r="E1994" s="268">
        <v>1</v>
      </c>
      <c r="F1994" s="268">
        <v>0</v>
      </c>
      <c r="G1994" s="268">
        <v>1</v>
      </c>
      <c r="H1994" s="268">
        <v>0</v>
      </c>
      <c r="I1994" s="268">
        <v>9</v>
      </c>
      <c r="J1994" s="268">
        <v>5</v>
      </c>
      <c r="K1994" s="268">
        <v>3</v>
      </c>
      <c r="L1994" s="268">
        <v>1</v>
      </c>
      <c r="M1994" s="268">
        <v>1</v>
      </c>
      <c r="N1994" s="268">
        <v>1</v>
      </c>
      <c r="O1994" s="278">
        <v>5</v>
      </c>
    </row>
    <row r="1995" spans="1:15">
      <c r="A1995" s="266" t="s">
        <v>71</v>
      </c>
      <c r="B1995" s="267" t="s">
        <v>4</v>
      </c>
      <c r="C1995" s="15">
        <v>44</v>
      </c>
      <c r="D1995" s="269">
        <v>6</v>
      </c>
      <c r="E1995" s="269">
        <v>2</v>
      </c>
      <c r="F1995" s="269">
        <v>1</v>
      </c>
      <c r="G1995" s="269">
        <v>0</v>
      </c>
      <c r="H1995" s="269">
        <v>3</v>
      </c>
      <c r="I1995" s="269">
        <v>9</v>
      </c>
      <c r="J1995" s="269">
        <v>4</v>
      </c>
      <c r="K1995" s="269">
        <v>5</v>
      </c>
      <c r="L1995" s="269">
        <v>5</v>
      </c>
      <c r="M1995" s="269">
        <v>1</v>
      </c>
      <c r="N1995" s="269">
        <v>4</v>
      </c>
      <c r="O1995" s="279">
        <v>4</v>
      </c>
    </row>
    <row r="1996" spans="1:15">
      <c r="A1996" s="263" t="s">
        <v>71</v>
      </c>
      <c r="B1996" s="264" t="s">
        <v>5</v>
      </c>
      <c r="C1996" s="12">
        <v>1.41935483870968</v>
      </c>
      <c r="D1996" s="265">
        <v>1.5</v>
      </c>
      <c r="E1996" s="265">
        <v>2</v>
      </c>
      <c r="F1996" s="265">
        <v>0</v>
      </c>
      <c r="G1996" s="265">
        <v>0</v>
      </c>
      <c r="H1996" s="265">
        <v>0</v>
      </c>
      <c r="I1996" s="265">
        <v>1</v>
      </c>
      <c r="J1996" s="265">
        <v>0.8</v>
      </c>
      <c r="K1996" s="265">
        <v>1.66666666666667</v>
      </c>
      <c r="L1996" s="265">
        <v>5</v>
      </c>
      <c r="M1996" s="265">
        <v>1</v>
      </c>
      <c r="N1996" s="265">
        <v>4</v>
      </c>
      <c r="O1996" s="277">
        <v>0.8</v>
      </c>
    </row>
    <row r="1997" spans="1:15">
      <c r="A1997" s="266" t="s">
        <v>71</v>
      </c>
      <c r="B1997" s="267" t="s">
        <v>6</v>
      </c>
      <c r="C1997" s="15">
        <v>4</v>
      </c>
      <c r="D1997" s="269">
        <v>1</v>
      </c>
      <c r="E1997" s="269">
        <v>0</v>
      </c>
      <c r="F1997" s="269">
        <v>0</v>
      </c>
      <c r="G1997" s="269">
        <v>0</v>
      </c>
      <c r="H1997" s="269">
        <v>0</v>
      </c>
      <c r="I1997" s="269">
        <v>1</v>
      </c>
      <c r="J1997" s="269">
        <v>0</v>
      </c>
      <c r="K1997" s="269">
        <v>0</v>
      </c>
      <c r="L1997" s="269">
        <v>0</v>
      </c>
      <c r="M1997" s="269">
        <v>1</v>
      </c>
      <c r="N1997" s="269">
        <v>1</v>
      </c>
      <c r="O1997" s="279">
        <v>0</v>
      </c>
    </row>
    <row r="1998" ht="14.25" spans="1:15">
      <c r="A1998" s="270" t="s">
        <v>71</v>
      </c>
      <c r="B1998" s="271" t="s">
        <v>64</v>
      </c>
      <c r="C1998" s="19">
        <v>0.0909090909090909</v>
      </c>
      <c r="D1998" s="282">
        <v>1</v>
      </c>
      <c r="E1998" s="282">
        <v>0</v>
      </c>
      <c r="F1998" s="282">
        <v>0</v>
      </c>
      <c r="G1998" s="282">
        <v>0</v>
      </c>
      <c r="H1998" s="282">
        <v>0</v>
      </c>
      <c r="I1998" s="282">
        <v>1</v>
      </c>
      <c r="J1998" s="282">
        <v>0</v>
      </c>
      <c r="K1998" s="282">
        <v>0</v>
      </c>
      <c r="L1998" s="282">
        <v>0</v>
      </c>
      <c r="M1998" s="282">
        <v>1</v>
      </c>
      <c r="N1998" s="282">
        <v>1</v>
      </c>
      <c r="O1998" s="283">
        <v>0</v>
      </c>
    </row>
    <row r="1999" spans="1:15">
      <c r="A1999" s="263" t="s">
        <v>72</v>
      </c>
      <c r="B1999" s="264" t="s">
        <v>55</v>
      </c>
      <c r="C1999" s="12">
        <v>0.374421678783873</v>
      </c>
      <c r="D1999" s="265">
        <v>0.396296296296296</v>
      </c>
      <c r="E1999" s="265">
        <v>0.381578947368421</v>
      </c>
      <c r="F1999" s="265">
        <v>0.383928571428571</v>
      </c>
      <c r="G1999" s="265">
        <v>0.422535211267606</v>
      </c>
      <c r="H1999" s="265">
        <v>0.376146788990826</v>
      </c>
      <c r="I1999" s="265">
        <v>0.399253731343284</v>
      </c>
      <c r="J1999" s="265">
        <v>0.365248226950355</v>
      </c>
      <c r="K1999" s="265">
        <v>0.36890243902439</v>
      </c>
      <c r="L1999" s="265">
        <v>0.338028169014085</v>
      </c>
      <c r="M1999" s="265">
        <v>0.356617647058824</v>
      </c>
      <c r="N1999" s="265">
        <v>0.368715083798883</v>
      </c>
      <c r="O1999" s="277">
        <v>0.373529411764706</v>
      </c>
    </row>
    <row r="2000" spans="1:15">
      <c r="A2000" s="266" t="s">
        <v>72</v>
      </c>
      <c r="B2000" s="267" t="s">
        <v>57</v>
      </c>
      <c r="C2000" s="15">
        <v>3026</v>
      </c>
      <c r="D2000" s="268">
        <v>270</v>
      </c>
      <c r="E2000" s="268">
        <v>152</v>
      </c>
      <c r="F2000" s="268">
        <v>112</v>
      </c>
      <c r="G2000" s="268">
        <v>142</v>
      </c>
      <c r="H2000" s="268">
        <v>218</v>
      </c>
      <c r="I2000" s="268">
        <v>268</v>
      </c>
      <c r="J2000" s="268">
        <v>282</v>
      </c>
      <c r="K2000" s="268">
        <v>328</v>
      </c>
      <c r="L2000" s="268">
        <v>284</v>
      </c>
      <c r="M2000" s="268">
        <v>272</v>
      </c>
      <c r="N2000" s="268">
        <v>358</v>
      </c>
      <c r="O2000" s="278">
        <v>340</v>
      </c>
    </row>
    <row r="2001" spans="1:15">
      <c r="A2001" s="263" t="s">
        <v>72</v>
      </c>
      <c r="B2001" s="264" t="s">
        <v>59</v>
      </c>
      <c r="C2001" s="15">
        <v>1133</v>
      </c>
      <c r="D2001" s="268">
        <v>107</v>
      </c>
      <c r="E2001" s="268">
        <v>58</v>
      </c>
      <c r="F2001" s="268">
        <v>43</v>
      </c>
      <c r="G2001" s="268">
        <v>60</v>
      </c>
      <c r="H2001" s="268">
        <v>82</v>
      </c>
      <c r="I2001" s="268">
        <v>107</v>
      </c>
      <c r="J2001" s="268">
        <v>103</v>
      </c>
      <c r="K2001" s="268">
        <v>121</v>
      </c>
      <c r="L2001" s="268">
        <v>96</v>
      </c>
      <c r="M2001" s="268">
        <v>97</v>
      </c>
      <c r="N2001" s="268">
        <v>132</v>
      </c>
      <c r="O2001" s="278">
        <v>127</v>
      </c>
    </row>
    <row r="2002" spans="1:15">
      <c r="A2002" s="266" t="s">
        <v>72</v>
      </c>
      <c r="B2002" s="267" t="s">
        <v>4</v>
      </c>
      <c r="C2002" s="15">
        <v>26</v>
      </c>
      <c r="D2002" s="269">
        <v>4</v>
      </c>
      <c r="E2002" s="269">
        <v>1</v>
      </c>
      <c r="F2002" s="269">
        <v>2</v>
      </c>
      <c r="G2002" s="269">
        <v>1</v>
      </c>
      <c r="H2002" s="269">
        <v>0</v>
      </c>
      <c r="I2002" s="269">
        <v>4</v>
      </c>
      <c r="J2002" s="269">
        <v>0</v>
      </c>
      <c r="K2002" s="269">
        <v>4</v>
      </c>
      <c r="L2002" s="269">
        <v>2</v>
      </c>
      <c r="M2002" s="269">
        <v>2</v>
      </c>
      <c r="N2002" s="269">
        <v>3</v>
      </c>
      <c r="O2002" s="279">
        <v>3</v>
      </c>
    </row>
    <row r="2003" spans="1:15">
      <c r="A2003" s="263" t="s">
        <v>72</v>
      </c>
      <c r="B2003" s="264" t="s">
        <v>5</v>
      </c>
      <c r="C2003" s="12">
        <v>0.0229479258605472</v>
      </c>
      <c r="D2003" s="265">
        <v>0.0373831775700935</v>
      </c>
      <c r="E2003" s="265">
        <v>0.0172413793103448</v>
      </c>
      <c r="F2003" s="265">
        <v>0.0465116279069767</v>
      </c>
      <c r="G2003" s="265">
        <v>0.0166666666666667</v>
      </c>
      <c r="H2003" s="265">
        <v>0</v>
      </c>
      <c r="I2003" s="265">
        <v>0.0373831775700935</v>
      </c>
      <c r="J2003" s="265">
        <v>0</v>
      </c>
      <c r="K2003" s="265">
        <v>0.0330578512396694</v>
      </c>
      <c r="L2003" s="265">
        <v>0.0208333333333333</v>
      </c>
      <c r="M2003" s="265">
        <v>0.0206185567010309</v>
      </c>
      <c r="N2003" s="265">
        <v>0.0227272727272727</v>
      </c>
      <c r="O2003" s="277">
        <v>0.0236220472440945</v>
      </c>
    </row>
    <row r="2004" spans="1:15">
      <c r="A2004" s="266" t="s">
        <v>72</v>
      </c>
      <c r="B2004" s="267" t="s">
        <v>6</v>
      </c>
      <c r="C2004" s="15">
        <v>11</v>
      </c>
      <c r="D2004" s="269">
        <v>2</v>
      </c>
      <c r="E2004" s="269">
        <v>1</v>
      </c>
      <c r="F2004" s="269">
        <v>0</v>
      </c>
      <c r="G2004" s="269">
        <v>0</v>
      </c>
      <c r="H2004" s="269">
        <v>0</v>
      </c>
      <c r="I2004" s="269">
        <v>3</v>
      </c>
      <c r="J2004" s="269">
        <v>0</v>
      </c>
      <c r="K2004" s="269">
        <v>0</v>
      </c>
      <c r="L2004" s="269">
        <v>2</v>
      </c>
      <c r="M2004" s="269">
        <v>2</v>
      </c>
      <c r="N2004" s="269">
        <v>1</v>
      </c>
      <c r="O2004" s="279">
        <v>0</v>
      </c>
    </row>
    <row r="2005" ht="14.25" spans="1:15">
      <c r="A2005" s="270" t="s">
        <v>72</v>
      </c>
      <c r="B2005" s="271" t="s">
        <v>64</v>
      </c>
      <c r="C2005" s="19">
        <v>0.423076923076923</v>
      </c>
      <c r="D2005" s="282">
        <v>2</v>
      </c>
      <c r="E2005" s="282">
        <v>1</v>
      </c>
      <c r="F2005" s="282">
        <v>0</v>
      </c>
      <c r="G2005" s="282">
        <v>0</v>
      </c>
      <c r="H2005" s="282">
        <v>0</v>
      </c>
      <c r="I2005" s="282">
        <v>3</v>
      </c>
      <c r="J2005" s="282">
        <v>0</v>
      </c>
      <c r="K2005" s="282">
        <v>0</v>
      </c>
      <c r="L2005" s="282">
        <v>2</v>
      </c>
      <c r="M2005" s="282">
        <v>2</v>
      </c>
      <c r="N2005" s="282">
        <v>1</v>
      </c>
      <c r="O2005" s="283">
        <v>0</v>
      </c>
    </row>
    <row r="2006" ht="14.25" spans="1:15">
      <c r="A2006" s="237">
        <v>45050</v>
      </c>
      <c r="B2006" s="237"/>
      <c r="C2006" s="237"/>
      <c r="D2006" s="237"/>
      <c r="E2006" s="237"/>
      <c r="F2006" s="237"/>
      <c r="G2006" s="237"/>
      <c r="H2006" s="237"/>
      <c r="I2006" s="237"/>
      <c r="J2006" s="237"/>
      <c r="K2006" s="237"/>
      <c r="L2006" s="237"/>
      <c r="M2006" s="237"/>
      <c r="N2006" s="237"/>
      <c r="O2006" s="237"/>
    </row>
    <row r="2007" spans="1:15">
      <c r="A2007" s="56" t="s">
        <v>1</v>
      </c>
      <c r="B2007" s="238"/>
      <c r="C2007" s="8" t="s">
        <v>42</v>
      </c>
      <c r="D2007" s="239" t="s">
        <v>43</v>
      </c>
      <c r="E2007" s="239" t="s">
        <v>44</v>
      </c>
      <c r="F2007" s="239" t="s">
        <v>45</v>
      </c>
      <c r="G2007" s="239" t="s">
        <v>46</v>
      </c>
      <c r="H2007" s="239" t="s">
        <v>47</v>
      </c>
      <c r="I2007" s="239" t="s">
        <v>48</v>
      </c>
      <c r="J2007" s="239" t="s">
        <v>49</v>
      </c>
      <c r="K2007" s="239" t="s">
        <v>50</v>
      </c>
      <c r="L2007" s="239" t="s">
        <v>51</v>
      </c>
      <c r="M2007" s="239" t="s">
        <v>52</v>
      </c>
      <c r="N2007" s="239" t="s">
        <v>53</v>
      </c>
      <c r="O2007" s="251" t="s">
        <v>54</v>
      </c>
    </row>
    <row r="2008" spans="1:15">
      <c r="A2008" s="240" t="s">
        <v>22</v>
      </c>
      <c r="B2008" s="47" t="s">
        <v>55</v>
      </c>
      <c r="C2008" s="12">
        <v>0.496271186440678</v>
      </c>
      <c r="D2008" s="241">
        <v>0.682170542635659</v>
      </c>
      <c r="E2008" s="241">
        <v>0.554054054054054</v>
      </c>
      <c r="F2008" s="241">
        <v>0.636363636363636</v>
      </c>
      <c r="G2008" s="241">
        <v>0.539473684210526</v>
      </c>
      <c r="H2008" s="241">
        <v>0.533333333333333</v>
      </c>
      <c r="I2008" s="241">
        <v>0.495798319327731</v>
      </c>
      <c r="J2008" s="241">
        <v>0.542372881355932</v>
      </c>
      <c r="K2008" s="241">
        <v>0.423076923076923</v>
      </c>
      <c r="L2008" s="241">
        <v>0.5625</v>
      </c>
      <c r="M2008" s="241">
        <v>0.517985611510791</v>
      </c>
      <c r="N2008" s="241">
        <v>0.432584269662921</v>
      </c>
      <c r="O2008" s="252">
        <v>0.305699481865285</v>
      </c>
    </row>
    <row r="2009" spans="1:15">
      <c r="A2009" s="242" t="s">
        <v>22</v>
      </c>
      <c r="B2009" s="43" t="s">
        <v>57</v>
      </c>
      <c r="C2009" s="15">
        <v>1475</v>
      </c>
      <c r="D2009" s="243">
        <v>129</v>
      </c>
      <c r="E2009" s="243">
        <v>74</v>
      </c>
      <c r="F2009" s="243">
        <v>44</v>
      </c>
      <c r="G2009" s="243">
        <v>76</v>
      </c>
      <c r="H2009" s="243">
        <v>105</v>
      </c>
      <c r="I2009" s="243">
        <v>119</v>
      </c>
      <c r="J2009" s="243">
        <v>118</v>
      </c>
      <c r="K2009" s="243">
        <v>156</v>
      </c>
      <c r="L2009" s="243">
        <v>144</v>
      </c>
      <c r="M2009" s="243">
        <v>139</v>
      </c>
      <c r="N2009" s="243">
        <v>178</v>
      </c>
      <c r="O2009" s="253">
        <v>193</v>
      </c>
    </row>
    <row r="2010" spans="1:15">
      <c r="A2010" s="240" t="s">
        <v>22</v>
      </c>
      <c r="B2010" s="47" t="s">
        <v>59</v>
      </c>
      <c r="C2010" s="15">
        <v>732</v>
      </c>
      <c r="D2010" s="243">
        <v>88</v>
      </c>
      <c r="E2010" s="243">
        <v>41</v>
      </c>
      <c r="F2010" s="243">
        <v>28</v>
      </c>
      <c r="G2010" s="243">
        <v>41</v>
      </c>
      <c r="H2010" s="243">
        <v>56</v>
      </c>
      <c r="I2010" s="243">
        <v>59</v>
      </c>
      <c r="J2010" s="243">
        <v>64</v>
      </c>
      <c r="K2010" s="243">
        <v>66</v>
      </c>
      <c r="L2010" s="243">
        <v>81</v>
      </c>
      <c r="M2010" s="243">
        <v>72</v>
      </c>
      <c r="N2010" s="243">
        <v>77</v>
      </c>
      <c r="O2010" s="253">
        <v>59</v>
      </c>
    </row>
    <row r="2011" spans="1:15">
      <c r="A2011" s="242" t="s">
        <v>22</v>
      </c>
      <c r="B2011" s="43" t="s">
        <v>4</v>
      </c>
      <c r="C2011" s="15">
        <v>31</v>
      </c>
      <c r="D2011" s="244">
        <v>8</v>
      </c>
      <c r="E2011" s="244">
        <v>1</v>
      </c>
      <c r="F2011" s="244">
        <v>1</v>
      </c>
      <c r="G2011" s="244">
        <v>0</v>
      </c>
      <c r="H2011" s="244">
        <v>0</v>
      </c>
      <c r="I2011" s="244">
        <v>3</v>
      </c>
      <c r="J2011" s="244">
        <v>0</v>
      </c>
      <c r="K2011" s="244">
        <v>4</v>
      </c>
      <c r="L2011" s="244">
        <v>4</v>
      </c>
      <c r="M2011" s="244">
        <v>2</v>
      </c>
      <c r="N2011" s="244">
        <v>2</v>
      </c>
      <c r="O2011" s="254">
        <v>6</v>
      </c>
    </row>
    <row r="2012" spans="1:15">
      <c r="A2012" s="240" t="s">
        <v>22</v>
      </c>
      <c r="B2012" s="47" t="s">
        <v>5</v>
      </c>
      <c r="C2012" s="12">
        <v>0.0423497267759563</v>
      </c>
      <c r="D2012" s="241">
        <v>0.0909090909090909</v>
      </c>
      <c r="E2012" s="241">
        <v>0.024390243902439</v>
      </c>
      <c r="F2012" s="241">
        <v>0.0357142857142857</v>
      </c>
      <c r="G2012" s="241">
        <v>0</v>
      </c>
      <c r="H2012" s="241">
        <v>0</v>
      </c>
      <c r="I2012" s="241">
        <v>0.0508474576271186</v>
      </c>
      <c r="J2012" s="241">
        <v>0</v>
      </c>
      <c r="K2012" s="241">
        <v>0.0606060606060606</v>
      </c>
      <c r="L2012" s="241">
        <v>0.0493827160493827</v>
      </c>
      <c r="M2012" s="241">
        <v>0.0277777777777778</v>
      </c>
      <c r="N2012" s="241">
        <v>0.025974025974026</v>
      </c>
      <c r="O2012" s="252">
        <v>0.101694915254237</v>
      </c>
    </row>
    <row r="2013" spans="1:15">
      <c r="A2013" s="242" t="s">
        <v>22</v>
      </c>
      <c r="B2013" s="43" t="s">
        <v>6</v>
      </c>
      <c r="C2013" s="15">
        <v>14</v>
      </c>
      <c r="D2013" s="244">
        <v>2</v>
      </c>
      <c r="E2013" s="244">
        <v>1</v>
      </c>
      <c r="F2013" s="244">
        <v>1</v>
      </c>
      <c r="G2013" s="244">
        <v>0</v>
      </c>
      <c r="H2013" s="244">
        <v>0</v>
      </c>
      <c r="I2013" s="244">
        <v>3</v>
      </c>
      <c r="J2013" s="244">
        <v>0</v>
      </c>
      <c r="K2013" s="244">
        <v>2</v>
      </c>
      <c r="L2013" s="244">
        <v>1</v>
      </c>
      <c r="M2013" s="244">
        <v>2</v>
      </c>
      <c r="N2013" s="244">
        <v>0</v>
      </c>
      <c r="O2013" s="254">
        <v>2</v>
      </c>
    </row>
    <row r="2014" ht="14.25" spans="1:15">
      <c r="A2014" s="245" t="s">
        <v>22</v>
      </c>
      <c r="B2014" s="52" t="s">
        <v>64</v>
      </c>
      <c r="C2014" s="19">
        <v>0.451612903225806</v>
      </c>
      <c r="D2014" s="246">
        <v>0.25</v>
      </c>
      <c r="E2014" s="246">
        <v>1</v>
      </c>
      <c r="F2014" s="246">
        <v>1</v>
      </c>
      <c r="G2014" s="246">
        <v>0</v>
      </c>
      <c r="H2014" s="246">
        <v>0</v>
      </c>
      <c r="I2014" s="246">
        <v>1</v>
      </c>
      <c r="J2014" s="246">
        <v>0</v>
      </c>
      <c r="K2014" s="246">
        <v>0.5</v>
      </c>
      <c r="L2014" s="246">
        <v>0.25</v>
      </c>
      <c r="M2014" s="246">
        <v>1</v>
      </c>
      <c r="N2014" s="246">
        <v>0</v>
      </c>
      <c r="O2014" s="255">
        <v>0.333333333333333</v>
      </c>
    </row>
    <row r="2015" spans="1:15">
      <c r="A2015" s="247" t="s">
        <v>66</v>
      </c>
      <c r="B2015" s="248" t="s">
        <v>55</v>
      </c>
      <c r="C2015" s="12">
        <v>0.104213864975079</v>
      </c>
      <c r="D2015" s="249">
        <v>0.0605263157894737</v>
      </c>
      <c r="E2015" s="249">
        <v>0.0280112044817927</v>
      </c>
      <c r="F2015" s="249">
        <v>0.0277777777777778</v>
      </c>
      <c r="G2015" s="249">
        <v>0.0651162790697674</v>
      </c>
      <c r="H2015" s="249">
        <v>0.12280701754386</v>
      </c>
      <c r="I2015" s="249">
        <v>0.153225806451613</v>
      </c>
      <c r="J2015" s="249">
        <v>0.123287671232877</v>
      </c>
      <c r="K2015" s="249">
        <v>0.11864406779661</v>
      </c>
      <c r="L2015" s="249">
        <v>0.214285714285714</v>
      </c>
      <c r="M2015" s="249">
        <v>0.257731958762887</v>
      </c>
      <c r="N2015" s="249">
        <v>0.241379310344828</v>
      </c>
      <c r="O2015" s="256">
        <v>0.225563909774436</v>
      </c>
    </row>
    <row r="2016" spans="1:15">
      <c r="A2016" s="242" t="s">
        <v>66</v>
      </c>
      <c r="B2016" s="43" t="s">
        <v>57</v>
      </c>
      <c r="C2016" s="15">
        <v>2207</v>
      </c>
      <c r="D2016" s="243">
        <v>380</v>
      </c>
      <c r="E2016" s="243">
        <v>357</v>
      </c>
      <c r="F2016" s="243">
        <v>252</v>
      </c>
      <c r="G2016" s="243">
        <v>215</v>
      </c>
      <c r="H2016" s="243">
        <v>171</v>
      </c>
      <c r="I2016" s="243">
        <v>124</v>
      </c>
      <c r="J2016" s="243">
        <v>146</v>
      </c>
      <c r="K2016" s="243">
        <v>118</v>
      </c>
      <c r="L2016" s="243">
        <v>98</v>
      </c>
      <c r="M2016" s="243">
        <v>97</v>
      </c>
      <c r="N2016" s="243">
        <v>116</v>
      </c>
      <c r="O2016" s="253">
        <v>133</v>
      </c>
    </row>
    <row r="2017" spans="1:15">
      <c r="A2017" s="240" t="s">
        <v>66</v>
      </c>
      <c r="B2017" s="47" t="s">
        <v>59</v>
      </c>
      <c r="C2017" s="15">
        <v>230</v>
      </c>
      <c r="D2017" s="243">
        <v>23</v>
      </c>
      <c r="E2017" s="243">
        <v>10</v>
      </c>
      <c r="F2017" s="243">
        <v>7</v>
      </c>
      <c r="G2017" s="243">
        <v>14</v>
      </c>
      <c r="H2017" s="243">
        <v>21</v>
      </c>
      <c r="I2017" s="243">
        <v>19</v>
      </c>
      <c r="J2017" s="243">
        <v>18</v>
      </c>
      <c r="K2017" s="243">
        <v>14</v>
      </c>
      <c r="L2017" s="243">
        <v>21</v>
      </c>
      <c r="M2017" s="243">
        <v>25</v>
      </c>
      <c r="N2017" s="243">
        <v>28</v>
      </c>
      <c r="O2017" s="253">
        <v>30</v>
      </c>
    </row>
    <row r="2018" spans="1:15">
      <c r="A2018" s="242" t="s">
        <v>66</v>
      </c>
      <c r="B2018" s="43" t="s">
        <v>4</v>
      </c>
      <c r="C2018" s="15">
        <v>17</v>
      </c>
      <c r="D2018" s="244">
        <v>3</v>
      </c>
      <c r="E2018" s="244">
        <v>5</v>
      </c>
      <c r="F2018" s="244">
        <v>0</v>
      </c>
      <c r="G2018" s="244">
        <v>1</v>
      </c>
      <c r="H2018" s="244">
        <v>0</v>
      </c>
      <c r="I2018" s="244">
        <v>0</v>
      </c>
      <c r="J2018" s="244">
        <v>0</v>
      </c>
      <c r="K2018" s="244">
        <v>1</v>
      </c>
      <c r="L2018" s="244">
        <v>1</v>
      </c>
      <c r="M2018" s="244">
        <v>0</v>
      </c>
      <c r="N2018" s="244">
        <v>3</v>
      </c>
      <c r="O2018" s="254">
        <v>3</v>
      </c>
    </row>
    <row r="2019" spans="1:15">
      <c r="A2019" s="240" t="s">
        <v>66</v>
      </c>
      <c r="B2019" s="47" t="s">
        <v>5</v>
      </c>
      <c r="C2019" s="12">
        <v>0.0739130434782609</v>
      </c>
      <c r="D2019" s="241">
        <v>0.130434782608696</v>
      </c>
      <c r="E2019" s="241">
        <v>0.5</v>
      </c>
      <c r="F2019" s="241">
        <v>0</v>
      </c>
      <c r="G2019" s="241">
        <v>0.0714285714285714</v>
      </c>
      <c r="H2019" s="241">
        <v>0</v>
      </c>
      <c r="I2019" s="241">
        <v>0</v>
      </c>
      <c r="J2019" s="241">
        <v>0</v>
      </c>
      <c r="K2019" s="241">
        <v>0.0714285714285714</v>
      </c>
      <c r="L2019" s="241">
        <v>0.0476190476190476</v>
      </c>
      <c r="M2019" s="241">
        <v>0</v>
      </c>
      <c r="N2019" s="241">
        <v>0.107142857142857</v>
      </c>
      <c r="O2019" s="252">
        <v>0.1</v>
      </c>
    </row>
    <row r="2020" spans="1:15">
      <c r="A2020" s="242" t="s">
        <v>66</v>
      </c>
      <c r="B2020" s="43" t="s">
        <v>6</v>
      </c>
      <c r="C2020" s="15">
        <v>7</v>
      </c>
      <c r="D2020" s="244">
        <v>1</v>
      </c>
      <c r="E2020" s="244">
        <v>0</v>
      </c>
      <c r="F2020" s="244">
        <v>0</v>
      </c>
      <c r="G2020" s="244">
        <v>0</v>
      </c>
      <c r="H2020" s="244">
        <v>1</v>
      </c>
      <c r="I2020" s="244">
        <v>0</v>
      </c>
      <c r="J2020" s="244">
        <v>1</v>
      </c>
      <c r="K2020" s="244">
        <v>0</v>
      </c>
      <c r="L2020" s="244">
        <v>1</v>
      </c>
      <c r="M2020" s="244">
        <v>0</v>
      </c>
      <c r="N2020" s="244">
        <v>1</v>
      </c>
      <c r="O2020" s="254">
        <v>2</v>
      </c>
    </row>
    <row r="2021" ht="14.25" spans="1:15">
      <c r="A2021" s="245" t="s">
        <v>66</v>
      </c>
      <c r="B2021" s="52" t="s">
        <v>64</v>
      </c>
      <c r="C2021" s="19">
        <v>0.411764705882353</v>
      </c>
      <c r="D2021" s="246">
        <v>0.333333333333333</v>
      </c>
      <c r="E2021" s="246">
        <v>0</v>
      </c>
      <c r="F2021" s="246">
        <v>0</v>
      </c>
      <c r="G2021" s="246">
        <v>0</v>
      </c>
      <c r="H2021" s="246">
        <v>0</v>
      </c>
      <c r="I2021" s="246">
        <v>0</v>
      </c>
      <c r="J2021" s="246">
        <v>0</v>
      </c>
      <c r="K2021" s="246">
        <v>0</v>
      </c>
      <c r="L2021" s="246">
        <v>1</v>
      </c>
      <c r="M2021" s="246">
        <v>0</v>
      </c>
      <c r="N2021" s="246">
        <v>0.333333333333333</v>
      </c>
      <c r="O2021" s="255">
        <v>0.666666666666667</v>
      </c>
    </row>
    <row r="2022" spans="1:15">
      <c r="A2022" s="240" t="s">
        <v>67</v>
      </c>
      <c r="B2022" s="47" t="s">
        <v>55</v>
      </c>
      <c r="C2022" s="12">
        <v>0.473611111111111</v>
      </c>
      <c r="D2022" s="241">
        <v>0.618421052631579</v>
      </c>
      <c r="E2022" s="241">
        <v>0.578947368421053</v>
      </c>
      <c r="F2022" s="241">
        <v>0.541666666666667</v>
      </c>
      <c r="G2022" s="241">
        <v>0.6875</v>
      </c>
      <c r="H2022" s="241">
        <v>0.6875</v>
      </c>
      <c r="I2022" s="241">
        <v>0.532258064516129</v>
      </c>
      <c r="J2022" s="241">
        <v>0.359375</v>
      </c>
      <c r="K2022" s="241">
        <v>0.455882352941176</v>
      </c>
      <c r="L2022" s="241">
        <v>0.375</v>
      </c>
      <c r="M2022" s="241">
        <v>0.4</v>
      </c>
      <c r="N2022" s="241">
        <v>0.5</v>
      </c>
      <c r="O2022" s="252">
        <v>0.256410256410256</v>
      </c>
    </row>
    <row r="2023" spans="1:15">
      <c r="A2023" s="242" t="s">
        <v>67</v>
      </c>
      <c r="B2023" s="43" t="s">
        <v>57</v>
      </c>
      <c r="C2023" s="15">
        <v>720</v>
      </c>
      <c r="D2023" s="243">
        <v>76</v>
      </c>
      <c r="E2023" s="243">
        <v>38</v>
      </c>
      <c r="F2023" s="243">
        <v>24</v>
      </c>
      <c r="G2023" s="243">
        <v>32</v>
      </c>
      <c r="H2023" s="243">
        <v>48</v>
      </c>
      <c r="I2023" s="243">
        <v>62</v>
      </c>
      <c r="J2023" s="243">
        <v>64</v>
      </c>
      <c r="K2023" s="243">
        <v>68</v>
      </c>
      <c r="L2023" s="243">
        <v>96</v>
      </c>
      <c r="M2023" s="243">
        <v>60</v>
      </c>
      <c r="N2023" s="243">
        <v>74</v>
      </c>
      <c r="O2023" s="253">
        <v>78</v>
      </c>
    </row>
    <row r="2024" spans="1:15">
      <c r="A2024" s="240" t="s">
        <v>67</v>
      </c>
      <c r="B2024" s="47" t="s">
        <v>59</v>
      </c>
      <c r="C2024" s="15">
        <v>341</v>
      </c>
      <c r="D2024" s="243">
        <v>47</v>
      </c>
      <c r="E2024" s="243">
        <v>22</v>
      </c>
      <c r="F2024" s="243">
        <v>13</v>
      </c>
      <c r="G2024" s="243">
        <v>22</v>
      </c>
      <c r="H2024" s="243">
        <v>33</v>
      </c>
      <c r="I2024" s="243">
        <v>33</v>
      </c>
      <c r="J2024" s="243">
        <v>23</v>
      </c>
      <c r="K2024" s="243">
        <v>31</v>
      </c>
      <c r="L2024" s="243">
        <v>36</v>
      </c>
      <c r="M2024" s="243">
        <v>24</v>
      </c>
      <c r="N2024" s="243">
        <v>37</v>
      </c>
      <c r="O2024" s="253">
        <v>20</v>
      </c>
    </row>
    <row r="2025" spans="1:15">
      <c r="A2025" s="242" t="s">
        <v>67</v>
      </c>
      <c r="B2025" s="43" t="s">
        <v>4</v>
      </c>
      <c r="C2025" s="15">
        <v>20</v>
      </c>
      <c r="D2025" s="244">
        <v>3</v>
      </c>
      <c r="E2025" s="244">
        <v>2</v>
      </c>
      <c r="F2025" s="244">
        <v>1</v>
      </c>
      <c r="G2025" s="244">
        <v>0</v>
      </c>
      <c r="H2025" s="244">
        <v>1</v>
      </c>
      <c r="I2025" s="244">
        <v>1</v>
      </c>
      <c r="J2025" s="244">
        <v>0</v>
      </c>
      <c r="K2025" s="244">
        <v>3</v>
      </c>
      <c r="L2025" s="244">
        <v>2</v>
      </c>
      <c r="M2025" s="244">
        <v>2</v>
      </c>
      <c r="N2025" s="244">
        <v>1</v>
      </c>
      <c r="O2025" s="254">
        <v>4</v>
      </c>
    </row>
    <row r="2026" spans="1:15">
      <c r="A2026" s="240" t="s">
        <v>67</v>
      </c>
      <c r="B2026" s="47" t="s">
        <v>5</v>
      </c>
      <c r="C2026" s="12">
        <v>0.0586510263929619</v>
      </c>
      <c r="D2026" s="241">
        <v>0.0638297872340425</v>
      </c>
      <c r="E2026" s="241">
        <v>0.0909090909090909</v>
      </c>
      <c r="F2026" s="241">
        <v>0.0769230769230769</v>
      </c>
      <c r="G2026" s="241">
        <v>0</v>
      </c>
      <c r="H2026" s="241">
        <v>0.0303030303030303</v>
      </c>
      <c r="I2026" s="241">
        <v>0.0303030303030303</v>
      </c>
      <c r="J2026" s="241">
        <v>0</v>
      </c>
      <c r="K2026" s="241">
        <v>0.0967741935483871</v>
      </c>
      <c r="L2026" s="241">
        <v>0.0555555555555556</v>
      </c>
      <c r="M2026" s="241">
        <v>0.0833333333333333</v>
      </c>
      <c r="N2026" s="241">
        <v>0.027027027027027</v>
      </c>
      <c r="O2026" s="252">
        <v>0.2</v>
      </c>
    </row>
    <row r="2027" spans="1:15">
      <c r="A2027" s="242" t="s">
        <v>67</v>
      </c>
      <c r="B2027" s="43" t="s">
        <v>6</v>
      </c>
      <c r="C2027" s="15">
        <v>4</v>
      </c>
      <c r="D2027" s="244">
        <v>0</v>
      </c>
      <c r="E2027" s="244">
        <v>0</v>
      </c>
      <c r="F2027" s="244">
        <v>0</v>
      </c>
      <c r="G2027" s="244">
        <v>0</v>
      </c>
      <c r="H2027" s="244">
        <v>0</v>
      </c>
      <c r="I2027" s="244">
        <v>1</v>
      </c>
      <c r="J2027" s="244">
        <v>0</v>
      </c>
      <c r="K2027" s="244">
        <v>0</v>
      </c>
      <c r="L2027" s="244">
        <v>1</v>
      </c>
      <c r="M2027" s="244">
        <v>0</v>
      </c>
      <c r="N2027" s="244">
        <v>1</v>
      </c>
      <c r="O2027" s="254">
        <v>1</v>
      </c>
    </row>
    <row r="2028" ht="14.25" spans="1:15">
      <c r="A2028" s="245" t="s">
        <v>67</v>
      </c>
      <c r="B2028" s="52" t="s">
        <v>64</v>
      </c>
      <c r="C2028" s="19">
        <v>0.2</v>
      </c>
      <c r="D2028" s="246">
        <v>0</v>
      </c>
      <c r="E2028" s="246">
        <v>0</v>
      </c>
      <c r="F2028" s="246">
        <v>0</v>
      </c>
      <c r="G2028" s="246">
        <v>0</v>
      </c>
      <c r="H2028" s="246">
        <v>0</v>
      </c>
      <c r="I2028" s="246">
        <v>1</v>
      </c>
      <c r="J2028" s="246">
        <v>0</v>
      </c>
      <c r="K2028" s="246">
        <v>0</v>
      </c>
      <c r="L2028" s="246">
        <v>0.5</v>
      </c>
      <c r="M2028" s="246">
        <v>0</v>
      </c>
      <c r="N2028" s="246">
        <v>1</v>
      </c>
      <c r="O2028" s="255">
        <v>0.25</v>
      </c>
    </row>
    <row r="2029" spans="1:15">
      <c r="A2029" s="240" t="s">
        <v>68</v>
      </c>
      <c r="B2029" s="47" t="s">
        <v>55</v>
      </c>
      <c r="C2029" s="12">
        <v>0.0464903526280772</v>
      </c>
      <c r="D2029" s="241">
        <v>0.0706638115631692</v>
      </c>
      <c r="E2029" s="241">
        <v>0.0443786982248521</v>
      </c>
      <c r="F2029" s="241">
        <v>0.0338235294117647</v>
      </c>
      <c r="G2029" s="241">
        <v>0.0368663594470046</v>
      </c>
      <c r="H2029" s="241">
        <v>0.0578034682080925</v>
      </c>
      <c r="I2029" s="241">
        <v>0.056935817805383</v>
      </c>
      <c r="J2029" s="241">
        <v>0.0518234165067179</v>
      </c>
      <c r="K2029" s="241">
        <v>0.0407407407407407</v>
      </c>
      <c r="L2029" s="241">
        <v>0.0368620037807183</v>
      </c>
      <c r="M2029" s="241">
        <v>0.0430894308943089</v>
      </c>
      <c r="N2029" s="241">
        <v>0.042604501607717</v>
      </c>
      <c r="O2029" s="252">
        <v>0.0413907284768212</v>
      </c>
    </row>
    <row r="2030" spans="1:15">
      <c r="A2030" s="242" t="s">
        <v>68</v>
      </c>
      <c r="B2030" s="43" t="s">
        <v>57</v>
      </c>
      <c r="C2030" s="15">
        <v>12024</v>
      </c>
      <c r="D2030" s="243">
        <v>934</v>
      </c>
      <c r="E2030" s="243">
        <v>676</v>
      </c>
      <c r="F2030" s="243">
        <v>680</v>
      </c>
      <c r="G2030" s="243">
        <v>868</v>
      </c>
      <c r="H2030" s="243">
        <v>1038</v>
      </c>
      <c r="I2030" s="243">
        <v>966</v>
      </c>
      <c r="J2030" s="243">
        <v>1042</v>
      </c>
      <c r="K2030" s="243">
        <v>1080</v>
      </c>
      <c r="L2030" s="243">
        <v>1058</v>
      </c>
      <c r="M2030" s="243">
        <v>1230</v>
      </c>
      <c r="N2030" s="243">
        <v>1244</v>
      </c>
      <c r="O2030" s="253">
        <v>1208</v>
      </c>
    </row>
    <row r="2031" spans="1:15">
      <c r="A2031" s="240" t="s">
        <v>68</v>
      </c>
      <c r="B2031" s="47" t="s">
        <v>59</v>
      </c>
      <c r="C2031" s="15">
        <v>559</v>
      </c>
      <c r="D2031" s="243">
        <v>66</v>
      </c>
      <c r="E2031" s="243">
        <v>30</v>
      </c>
      <c r="F2031" s="243">
        <v>23</v>
      </c>
      <c r="G2031" s="243">
        <v>32</v>
      </c>
      <c r="H2031" s="243">
        <v>60</v>
      </c>
      <c r="I2031" s="243">
        <v>55</v>
      </c>
      <c r="J2031" s="243">
        <v>54</v>
      </c>
      <c r="K2031" s="243">
        <v>44</v>
      </c>
      <c r="L2031" s="243">
        <v>39</v>
      </c>
      <c r="M2031" s="243">
        <v>53</v>
      </c>
      <c r="N2031" s="243">
        <v>53</v>
      </c>
      <c r="O2031" s="253">
        <v>50</v>
      </c>
    </row>
    <row r="2032" spans="1:15">
      <c r="A2032" s="242" t="s">
        <v>68</v>
      </c>
      <c r="B2032" s="43" t="s">
        <v>4</v>
      </c>
      <c r="C2032" s="15">
        <v>40</v>
      </c>
      <c r="D2032" s="244">
        <v>13</v>
      </c>
      <c r="E2032" s="244">
        <v>3</v>
      </c>
      <c r="F2032" s="244">
        <v>0</v>
      </c>
      <c r="G2032" s="244">
        <v>0</v>
      </c>
      <c r="H2032" s="244">
        <v>2</v>
      </c>
      <c r="I2032" s="244">
        <v>5</v>
      </c>
      <c r="J2032" s="244">
        <v>0</v>
      </c>
      <c r="K2032" s="244">
        <v>2</v>
      </c>
      <c r="L2032" s="244">
        <v>2</v>
      </c>
      <c r="M2032" s="244">
        <v>2</v>
      </c>
      <c r="N2032" s="244">
        <v>5</v>
      </c>
      <c r="O2032" s="254">
        <v>6</v>
      </c>
    </row>
    <row r="2033" spans="1:15">
      <c r="A2033" s="240" t="s">
        <v>68</v>
      </c>
      <c r="B2033" s="47" t="s">
        <v>5</v>
      </c>
      <c r="C2033" s="12">
        <v>0.0715563506261181</v>
      </c>
      <c r="D2033" s="241">
        <v>0.196969696969697</v>
      </c>
      <c r="E2033" s="241">
        <v>0.1</v>
      </c>
      <c r="F2033" s="241">
        <v>0</v>
      </c>
      <c r="G2033" s="241">
        <v>0</v>
      </c>
      <c r="H2033" s="241">
        <v>0.0333333333333333</v>
      </c>
      <c r="I2033" s="241">
        <v>0.0909090909090909</v>
      </c>
      <c r="J2033" s="241">
        <v>0</v>
      </c>
      <c r="K2033" s="241">
        <v>0.0454545454545455</v>
      </c>
      <c r="L2033" s="241">
        <v>0.0512820512820513</v>
      </c>
      <c r="M2033" s="241">
        <v>0.0377358490566038</v>
      </c>
      <c r="N2033" s="241">
        <v>0.0943396226415094</v>
      </c>
      <c r="O2033" s="252">
        <v>0.12</v>
      </c>
    </row>
    <row r="2034" spans="1:15">
      <c r="A2034" s="242" t="s">
        <v>68</v>
      </c>
      <c r="B2034" s="43" t="s">
        <v>6</v>
      </c>
      <c r="C2034" s="15">
        <v>10</v>
      </c>
      <c r="D2034" s="244">
        <v>1</v>
      </c>
      <c r="E2034" s="244">
        <v>0</v>
      </c>
      <c r="F2034" s="244">
        <v>0</v>
      </c>
      <c r="G2034" s="244">
        <v>0</v>
      </c>
      <c r="H2034" s="244">
        <v>0</v>
      </c>
      <c r="I2034" s="244">
        <v>3</v>
      </c>
      <c r="J2034" s="244">
        <v>0</v>
      </c>
      <c r="K2034" s="244">
        <v>0</v>
      </c>
      <c r="L2034" s="244">
        <v>0</v>
      </c>
      <c r="M2034" s="244">
        <v>0</v>
      </c>
      <c r="N2034" s="244">
        <v>3</v>
      </c>
      <c r="O2034" s="254">
        <v>3</v>
      </c>
    </row>
    <row r="2035" ht="14.25" spans="1:15">
      <c r="A2035" s="245" t="s">
        <v>68</v>
      </c>
      <c r="B2035" s="52" t="s">
        <v>64</v>
      </c>
      <c r="C2035" s="19">
        <v>0.25</v>
      </c>
      <c r="D2035" s="246">
        <v>0.0769230769230769</v>
      </c>
      <c r="E2035" s="246">
        <v>0</v>
      </c>
      <c r="F2035" s="246">
        <v>0</v>
      </c>
      <c r="G2035" s="246">
        <v>0</v>
      </c>
      <c r="H2035" s="246">
        <v>0</v>
      </c>
      <c r="I2035" s="246">
        <v>0.6</v>
      </c>
      <c r="J2035" s="246">
        <v>0</v>
      </c>
      <c r="K2035" s="246">
        <v>0</v>
      </c>
      <c r="L2035" s="246">
        <v>0</v>
      </c>
      <c r="M2035" s="246">
        <v>0</v>
      </c>
      <c r="N2035" s="246">
        <v>0.6</v>
      </c>
      <c r="O2035" s="255">
        <v>0.5</v>
      </c>
    </row>
    <row r="2036" spans="1:15">
      <c r="A2036" s="240" t="s">
        <v>69</v>
      </c>
      <c r="B2036" s="47" t="s">
        <v>55</v>
      </c>
      <c r="C2036" s="12">
        <v>0.875850340136054</v>
      </c>
      <c r="D2036" s="241">
        <v>1.13888888888889</v>
      </c>
      <c r="E2036" s="241">
        <v>1</v>
      </c>
      <c r="F2036" s="241">
        <v>1.3125</v>
      </c>
      <c r="G2036" s="241">
        <v>1.625</v>
      </c>
      <c r="H2036" s="241">
        <v>1</v>
      </c>
      <c r="I2036" s="241">
        <v>0.706896551724138</v>
      </c>
      <c r="J2036" s="241">
        <v>0.754098360655738</v>
      </c>
      <c r="K2036" s="241">
        <v>0.913793103448276</v>
      </c>
      <c r="L2036" s="241">
        <v>0.829787234042553</v>
      </c>
      <c r="M2036" s="241">
        <v>0.821428571428571</v>
      </c>
      <c r="N2036" s="241">
        <v>0.660377358490566</v>
      </c>
      <c r="O2036" s="252">
        <v>0.96969696969697</v>
      </c>
    </row>
    <row r="2037" spans="1:15">
      <c r="A2037" s="242" t="s">
        <v>69</v>
      </c>
      <c r="B2037" s="43" t="s">
        <v>57</v>
      </c>
      <c r="C2037" s="15">
        <v>588</v>
      </c>
      <c r="D2037" s="243">
        <v>36</v>
      </c>
      <c r="E2037" s="243">
        <v>24</v>
      </c>
      <c r="F2037" s="243">
        <v>16</v>
      </c>
      <c r="G2037" s="243">
        <v>16</v>
      </c>
      <c r="H2037" s="243">
        <v>44</v>
      </c>
      <c r="I2037" s="243">
        <v>58</v>
      </c>
      <c r="J2037" s="243">
        <v>61</v>
      </c>
      <c r="K2037" s="243">
        <v>58</v>
      </c>
      <c r="L2037" s="243">
        <v>47</v>
      </c>
      <c r="M2037" s="243">
        <v>56</v>
      </c>
      <c r="N2037" s="243">
        <v>106</v>
      </c>
      <c r="O2037" s="253">
        <v>66</v>
      </c>
    </row>
    <row r="2038" spans="1:15">
      <c r="A2038" s="240" t="s">
        <v>69</v>
      </c>
      <c r="B2038" s="47" t="s">
        <v>59</v>
      </c>
      <c r="C2038" s="15">
        <v>515</v>
      </c>
      <c r="D2038" s="243">
        <v>41</v>
      </c>
      <c r="E2038" s="243">
        <v>24</v>
      </c>
      <c r="F2038" s="243">
        <v>21</v>
      </c>
      <c r="G2038" s="243">
        <v>26</v>
      </c>
      <c r="H2038" s="243">
        <v>44</v>
      </c>
      <c r="I2038" s="243">
        <v>41</v>
      </c>
      <c r="J2038" s="243">
        <v>46</v>
      </c>
      <c r="K2038" s="243">
        <v>53</v>
      </c>
      <c r="L2038" s="243">
        <v>39</v>
      </c>
      <c r="M2038" s="243">
        <v>46</v>
      </c>
      <c r="N2038" s="243">
        <v>70</v>
      </c>
      <c r="O2038" s="253">
        <v>64</v>
      </c>
    </row>
    <row r="2039" spans="1:15">
      <c r="A2039" s="242" t="s">
        <v>69</v>
      </c>
      <c r="B2039" s="43" t="s">
        <v>4</v>
      </c>
      <c r="C2039" s="15">
        <v>22</v>
      </c>
      <c r="D2039" s="244">
        <v>1</v>
      </c>
      <c r="E2039" s="244">
        <v>0</v>
      </c>
      <c r="F2039" s="244">
        <v>0</v>
      </c>
      <c r="G2039" s="244">
        <v>0</v>
      </c>
      <c r="H2039" s="244">
        <v>2</v>
      </c>
      <c r="I2039" s="244">
        <v>3</v>
      </c>
      <c r="J2039" s="244">
        <v>3</v>
      </c>
      <c r="K2039" s="244">
        <v>4</v>
      </c>
      <c r="L2039" s="244">
        <v>3</v>
      </c>
      <c r="M2039" s="244">
        <v>3</v>
      </c>
      <c r="N2039" s="244">
        <v>1</v>
      </c>
      <c r="O2039" s="254">
        <v>2</v>
      </c>
    </row>
    <row r="2040" spans="1:15">
      <c r="A2040" s="240" t="s">
        <v>69</v>
      </c>
      <c r="B2040" s="47" t="s">
        <v>5</v>
      </c>
      <c r="C2040" s="12">
        <v>0.0427184466019417</v>
      </c>
      <c r="D2040" s="241">
        <v>0.024390243902439</v>
      </c>
      <c r="E2040" s="241">
        <v>0</v>
      </c>
      <c r="F2040" s="241">
        <v>0</v>
      </c>
      <c r="G2040" s="241">
        <v>0</v>
      </c>
      <c r="H2040" s="241">
        <v>0.0454545454545455</v>
      </c>
      <c r="I2040" s="241">
        <v>0.0731707317073171</v>
      </c>
      <c r="J2040" s="241">
        <v>0.0652173913043478</v>
      </c>
      <c r="K2040" s="241">
        <v>0.0754716981132075</v>
      </c>
      <c r="L2040" s="241">
        <v>0.0769230769230769</v>
      </c>
      <c r="M2040" s="241">
        <v>0.0652173913043478</v>
      </c>
      <c r="N2040" s="241">
        <v>0.0142857142857143</v>
      </c>
      <c r="O2040" s="252">
        <v>0.03125</v>
      </c>
    </row>
    <row r="2041" spans="1:15">
      <c r="A2041" s="242" t="s">
        <v>69</v>
      </c>
      <c r="B2041" s="43" t="s">
        <v>6</v>
      </c>
      <c r="C2041" s="15">
        <v>6</v>
      </c>
      <c r="D2041" s="244">
        <v>0</v>
      </c>
      <c r="E2041" s="244">
        <v>1</v>
      </c>
      <c r="F2041" s="244">
        <v>0</v>
      </c>
      <c r="G2041" s="244">
        <v>0</v>
      </c>
      <c r="H2041" s="244">
        <v>0</v>
      </c>
      <c r="I2041" s="244">
        <v>0</v>
      </c>
      <c r="J2041" s="244">
        <v>1</v>
      </c>
      <c r="K2041" s="244">
        <v>0</v>
      </c>
      <c r="L2041" s="244">
        <v>0</v>
      </c>
      <c r="M2041" s="244">
        <v>1</v>
      </c>
      <c r="N2041" s="244">
        <v>1</v>
      </c>
      <c r="O2041" s="254">
        <v>2</v>
      </c>
    </row>
    <row r="2042" ht="14.25" spans="1:15">
      <c r="A2042" s="245" t="s">
        <v>69</v>
      </c>
      <c r="B2042" s="52" t="s">
        <v>64</v>
      </c>
      <c r="C2042" s="19">
        <v>0.272727272727273</v>
      </c>
      <c r="D2042" s="246">
        <v>0</v>
      </c>
      <c r="E2042" s="246">
        <v>0</v>
      </c>
      <c r="F2042" s="246">
        <v>0</v>
      </c>
      <c r="G2042" s="246">
        <v>0</v>
      </c>
      <c r="H2042" s="246">
        <v>0</v>
      </c>
      <c r="I2042" s="246">
        <v>0</v>
      </c>
      <c r="J2042" s="246">
        <v>0.333333333333333</v>
      </c>
      <c r="K2042" s="246">
        <v>0</v>
      </c>
      <c r="L2042" s="246">
        <v>0</v>
      </c>
      <c r="M2042" s="246">
        <v>0.333333333333333</v>
      </c>
      <c r="N2042" s="246">
        <v>1</v>
      </c>
      <c r="O2042" s="255">
        <v>1</v>
      </c>
    </row>
    <row r="2043" spans="1:15">
      <c r="A2043" s="240" t="s">
        <v>70</v>
      </c>
      <c r="B2043" s="47" t="s">
        <v>55</v>
      </c>
      <c r="C2043" s="12">
        <v>0.666973321067157</v>
      </c>
      <c r="D2043" s="241">
        <v>0.742160278745645</v>
      </c>
      <c r="E2043" s="241">
        <v>0.75</v>
      </c>
      <c r="F2043" s="241">
        <v>0.813186813186813</v>
      </c>
      <c r="G2043" s="241">
        <v>0.87603305785124</v>
      </c>
      <c r="H2043" s="241">
        <v>0.648068669527897</v>
      </c>
      <c r="I2043" s="241">
        <v>0.529968454258675</v>
      </c>
      <c r="J2043" s="241">
        <v>0.703030303030303</v>
      </c>
      <c r="K2043" s="241">
        <v>0.612535612535613</v>
      </c>
      <c r="L2043" s="241">
        <v>0.580281690140845</v>
      </c>
      <c r="M2043" s="241">
        <v>0.707792207792208</v>
      </c>
      <c r="N2043" s="241">
        <v>0.655826558265583</v>
      </c>
      <c r="O2043" s="252">
        <v>0.683923705722071</v>
      </c>
    </row>
    <row r="2044" spans="1:15">
      <c r="A2044" s="242" t="s">
        <v>70</v>
      </c>
      <c r="B2044" s="43" t="s">
        <v>57</v>
      </c>
      <c r="C2044" s="15">
        <v>3261</v>
      </c>
      <c r="D2044" s="243">
        <v>287</v>
      </c>
      <c r="E2044" s="243">
        <v>132</v>
      </c>
      <c r="F2044" s="243">
        <v>91</v>
      </c>
      <c r="G2044" s="243">
        <v>121</v>
      </c>
      <c r="H2044" s="243">
        <v>233</v>
      </c>
      <c r="I2044" s="243">
        <v>317</v>
      </c>
      <c r="J2044" s="243">
        <v>330</v>
      </c>
      <c r="K2044" s="243">
        <v>351</v>
      </c>
      <c r="L2044" s="243">
        <v>355</v>
      </c>
      <c r="M2044" s="243">
        <v>308</v>
      </c>
      <c r="N2044" s="243">
        <v>369</v>
      </c>
      <c r="O2044" s="253">
        <v>367</v>
      </c>
    </row>
    <row r="2045" spans="1:15">
      <c r="A2045" s="240" t="s">
        <v>70</v>
      </c>
      <c r="B2045" s="47" t="s">
        <v>59</v>
      </c>
      <c r="C2045" s="15">
        <v>2175</v>
      </c>
      <c r="D2045" s="243">
        <v>213</v>
      </c>
      <c r="E2045" s="243">
        <v>99</v>
      </c>
      <c r="F2045" s="243">
        <v>74</v>
      </c>
      <c r="G2045" s="243">
        <v>106</v>
      </c>
      <c r="H2045" s="243">
        <v>151</v>
      </c>
      <c r="I2045" s="243">
        <v>168</v>
      </c>
      <c r="J2045" s="243">
        <v>232</v>
      </c>
      <c r="K2045" s="243">
        <v>215</v>
      </c>
      <c r="L2045" s="243">
        <v>206</v>
      </c>
      <c r="M2045" s="243">
        <v>218</v>
      </c>
      <c r="N2045" s="243">
        <v>242</v>
      </c>
      <c r="O2045" s="253">
        <v>251</v>
      </c>
    </row>
    <row r="2046" spans="1:15">
      <c r="A2046" s="242" t="s">
        <v>70</v>
      </c>
      <c r="B2046" s="43" t="s">
        <v>4</v>
      </c>
      <c r="C2046" s="15">
        <v>77</v>
      </c>
      <c r="D2046" s="244">
        <v>8</v>
      </c>
      <c r="E2046" s="244">
        <v>5</v>
      </c>
      <c r="F2046" s="244">
        <v>3</v>
      </c>
      <c r="G2046" s="244">
        <v>3</v>
      </c>
      <c r="H2046" s="244">
        <v>3</v>
      </c>
      <c r="I2046" s="244">
        <v>4</v>
      </c>
      <c r="J2046" s="244">
        <v>6</v>
      </c>
      <c r="K2046" s="244">
        <v>7</v>
      </c>
      <c r="L2046" s="244">
        <v>5</v>
      </c>
      <c r="M2046" s="244">
        <v>6</v>
      </c>
      <c r="N2046" s="244">
        <v>15</v>
      </c>
      <c r="O2046" s="254">
        <v>12</v>
      </c>
    </row>
    <row r="2047" spans="1:15">
      <c r="A2047" s="240" t="s">
        <v>70</v>
      </c>
      <c r="B2047" s="47" t="s">
        <v>5</v>
      </c>
      <c r="C2047" s="12">
        <v>0.0354022988505747</v>
      </c>
      <c r="D2047" s="241">
        <v>0.0375586854460094</v>
      </c>
      <c r="E2047" s="241">
        <v>0.0505050505050505</v>
      </c>
      <c r="F2047" s="241">
        <v>0.0405405405405405</v>
      </c>
      <c r="G2047" s="241">
        <v>0.0283018867924528</v>
      </c>
      <c r="H2047" s="241">
        <v>0.0198675496688742</v>
      </c>
      <c r="I2047" s="241">
        <v>0.0238095238095238</v>
      </c>
      <c r="J2047" s="241">
        <v>0.0258620689655172</v>
      </c>
      <c r="K2047" s="241">
        <v>0.0325581395348837</v>
      </c>
      <c r="L2047" s="241">
        <v>0.0242718446601942</v>
      </c>
      <c r="M2047" s="241">
        <v>0.0275229357798165</v>
      </c>
      <c r="N2047" s="241">
        <v>0.0619834710743802</v>
      </c>
      <c r="O2047" s="252">
        <v>0.047808764940239</v>
      </c>
    </row>
    <row r="2048" spans="1:15">
      <c r="A2048" s="242" t="s">
        <v>70</v>
      </c>
      <c r="B2048" s="43" t="s">
        <v>6</v>
      </c>
      <c r="C2048" s="15">
        <v>13</v>
      </c>
      <c r="D2048" s="244">
        <v>2</v>
      </c>
      <c r="E2048" s="244">
        <v>0</v>
      </c>
      <c r="F2048" s="244">
        <v>0</v>
      </c>
      <c r="G2048" s="244">
        <v>0</v>
      </c>
      <c r="H2048" s="244">
        <v>0</v>
      </c>
      <c r="I2048" s="244">
        <v>0</v>
      </c>
      <c r="J2048" s="244">
        <v>2</v>
      </c>
      <c r="K2048" s="244">
        <v>1</v>
      </c>
      <c r="L2048" s="244">
        <v>1</v>
      </c>
      <c r="M2048" s="244">
        <v>0</v>
      </c>
      <c r="N2048" s="244">
        <v>3</v>
      </c>
      <c r="O2048" s="254">
        <v>4</v>
      </c>
    </row>
    <row r="2049" ht="14.25" spans="1:15">
      <c r="A2049" s="245" t="s">
        <v>70</v>
      </c>
      <c r="B2049" s="52" t="s">
        <v>64</v>
      </c>
      <c r="C2049" s="19">
        <v>0.168831168831169</v>
      </c>
      <c r="D2049" s="246">
        <v>0.25</v>
      </c>
      <c r="E2049" s="246">
        <v>0</v>
      </c>
      <c r="F2049" s="246">
        <v>0</v>
      </c>
      <c r="G2049" s="246">
        <v>0</v>
      </c>
      <c r="H2049" s="246">
        <v>0</v>
      </c>
      <c r="I2049" s="246">
        <v>0</v>
      </c>
      <c r="J2049" s="246">
        <v>0.333333333333333</v>
      </c>
      <c r="K2049" s="246">
        <v>0.142857142857143</v>
      </c>
      <c r="L2049" s="246">
        <v>0.2</v>
      </c>
      <c r="M2049" s="246">
        <v>0</v>
      </c>
      <c r="N2049" s="246">
        <v>0.2</v>
      </c>
      <c r="O2049" s="255">
        <v>0.333333333333333</v>
      </c>
    </row>
    <row r="2050" spans="1:15">
      <c r="A2050" s="240" t="s">
        <v>26</v>
      </c>
      <c r="B2050" s="47" t="s">
        <v>55</v>
      </c>
      <c r="C2050" s="12">
        <v>0.339785831960461</v>
      </c>
      <c r="D2050" s="241">
        <v>0.395833333333333</v>
      </c>
      <c r="E2050" s="241">
        <v>0.262376237623762</v>
      </c>
      <c r="F2050" s="241">
        <v>0.289156626506024</v>
      </c>
      <c r="G2050" s="241">
        <v>0.297752808988764</v>
      </c>
      <c r="H2050" s="241">
        <v>0.316239316239316</v>
      </c>
      <c r="I2050" s="241">
        <v>0.258064516129032</v>
      </c>
      <c r="J2050" s="241">
        <v>0.44375</v>
      </c>
      <c r="K2050" s="241">
        <v>0.436507936507937</v>
      </c>
      <c r="L2050" s="241">
        <v>0.391666666666667</v>
      </c>
      <c r="M2050" s="241">
        <v>0.559322033898305</v>
      </c>
      <c r="N2050" s="241">
        <v>0.30503144654088</v>
      </c>
      <c r="O2050" s="252">
        <v>0.320754716981132</v>
      </c>
    </row>
    <row r="2051" spans="1:15">
      <c r="A2051" s="242" t="s">
        <v>26</v>
      </c>
      <c r="B2051" s="43" t="s">
        <v>57</v>
      </c>
      <c r="C2051" s="15">
        <v>2428</v>
      </c>
      <c r="D2051" s="243">
        <v>240</v>
      </c>
      <c r="E2051" s="243">
        <v>202</v>
      </c>
      <c r="F2051" s="243">
        <v>166</v>
      </c>
      <c r="G2051" s="243">
        <v>178</v>
      </c>
      <c r="H2051" s="243">
        <v>234</v>
      </c>
      <c r="I2051" s="243">
        <v>248</v>
      </c>
      <c r="J2051" s="243">
        <v>160</v>
      </c>
      <c r="K2051" s="243">
        <v>126</v>
      </c>
      <c r="L2051" s="243">
        <v>120</v>
      </c>
      <c r="M2051" s="243">
        <v>118</v>
      </c>
      <c r="N2051" s="243">
        <v>318</v>
      </c>
      <c r="O2051" s="253">
        <v>318</v>
      </c>
    </row>
    <row r="2052" spans="1:15">
      <c r="A2052" s="240" t="s">
        <v>26</v>
      </c>
      <c r="B2052" s="47" t="s">
        <v>59</v>
      </c>
      <c r="C2052" s="15">
        <v>825</v>
      </c>
      <c r="D2052" s="243">
        <v>95</v>
      </c>
      <c r="E2052" s="243">
        <v>53</v>
      </c>
      <c r="F2052" s="243">
        <v>48</v>
      </c>
      <c r="G2052" s="243">
        <v>53</v>
      </c>
      <c r="H2052" s="243">
        <v>74</v>
      </c>
      <c r="I2052" s="243">
        <v>64</v>
      </c>
      <c r="J2052" s="243">
        <v>71</v>
      </c>
      <c r="K2052" s="243">
        <v>55</v>
      </c>
      <c r="L2052" s="243">
        <v>47</v>
      </c>
      <c r="M2052" s="243">
        <v>66</v>
      </c>
      <c r="N2052" s="243">
        <v>97</v>
      </c>
      <c r="O2052" s="253">
        <v>102</v>
      </c>
    </row>
    <row r="2053" spans="1:15">
      <c r="A2053" s="242" t="s">
        <v>26</v>
      </c>
      <c r="B2053" s="43" t="s">
        <v>4</v>
      </c>
      <c r="C2053" s="15">
        <v>17</v>
      </c>
      <c r="D2053" s="244">
        <v>4</v>
      </c>
      <c r="E2053" s="244">
        <v>0</v>
      </c>
      <c r="F2053" s="244">
        <v>1</v>
      </c>
      <c r="G2053" s="244">
        <v>1</v>
      </c>
      <c r="H2053" s="244">
        <v>0</v>
      </c>
      <c r="I2053" s="244">
        <v>2</v>
      </c>
      <c r="J2053" s="244">
        <v>0</v>
      </c>
      <c r="K2053" s="244">
        <v>0</v>
      </c>
      <c r="L2053" s="244">
        <v>1</v>
      </c>
      <c r="M2053" s="244">
        <v>0</v>
      </c>
      <c r="N2053" s="244">
        <v>5</v>
      </c>
      <c r="O2053" s="254">
        <v>3</v>
      </c>
    </row>
    <row r="2054" spans="1:15">
      <c r="A2054" s="240" t="s">
        <v>26</v>
      </c>
      <c r="B2054" s="47" t="s">
        <v>5</v>
      </c>
      <c r="C2054" s="12">
        <v>0.0206060606060606</v>
      </c>
      <c r="D2054" s="241">
        <v>0.0421052631578947</v>
      </c>
      <c r="E2054" s="241">
        <v>0</v>
      </c>
      <c r="F2054" s="241">
        <v>0.0208333333333333</v>
      </c>
      <c r="G2054" s="241">
        <v>0.0188679245283019</v>
      </c>
      <c r="H2054" s="241">
        <v>0</v>
      </c>
      <c r="I2054" s="241">
        <v>0.03125</v>
      </c>
      <c r="J2054" s="241">
        <v>0</v>
      </c>
      <c r="K2054" s="241">
        <v>0</v>
      </c>
      <c r="L2054" s="241">
        <v>0.0212765957446809</v>
      </c>
      <c r="M2054" s="241">
        <v>0</v>
      </c>
      <c r="N2054" s="241">
        <v>0.0515463917525773</v>
      </c>
      <c r="O2054" s="252">
        <v>0.0294117647058824</v>
      </c>
    </row>
    <row r="2055" spans="1:15">
      <c r="A2055" s="242" t="s">
        <v>26</v>
      </c>
      <c r="B2055" s="43" t="s">
        <v>6</v>
      </c>
      <c r="C2055" s="15">
        <v>4</v>
      </c>
      <c r="D2055" s="244">
        <v>0</v>
      </c>
      <c r="E2055" s="244">
        <v>0</v>
      </c>
      <c r="F2055" s="244">
        <v>0</v>
      </c>
      <c r="G2055" s="244">
        <v>0</v>
      </c>
      <c r="H2055" s="244">
        <v>0</v>
      </c>
      <c r="I2055" s="244">
        <v>0</v>
      </c>
      <c r="J2055" s="244">
        <v>0</v>
      </c>
      <c r="K2055" s="244">
        <v>1</v>
      </c>
      <c r="L2055" s="244">
        <v>3</v>
      </c>
      <c r="M2055" s="244">
        <v>0</v>
      </c>
      <c r="N2055" s="244">
        <v>0</v>
      </c>
      <c r="O2055" s="254">
        <v>0</v>
      </c>
    </row>
    <row r="2056" ht="14.25" spans="1:15">
      <c r="A2056" s="245" t="s">
        <v>26</v>
      </c>
      <c r="B2056" s="52" t="s">
        <v>64</v>
      </c>
      <c r="C2056" s="19">
        <v>0.235294117647059</v>
      </c>
      <c r="D2056" s="250">
        <v>0</v>
      </c>
      <c r="E2056" s="250">
        <v>0</v>
      </c>
      <c r="F2056" s="250">
        <v>0</v>
      </c>
      <c r="G2056" s="250">
        <v>0</v>
      </c>
      <c r="H2056" s="250">
        <v>0</v>
      </c>
      <c r="I2056" s="250">
        <v>0</v>
      </c>
      <c r="J2056" s="250">
        <v>0</v>
      </c>
      <c r="K2056" s="250">
        <v>1</v>
      </c>
      <c r="L2056" s="250">
        <v>3</v>
      </c>
      <c r="M2056" s="250">
        <v>0</v>
      </c>
      <c r="N2056" s="250">
        <v>0</v>
      </c>
      <c r="O2056" s="257">
        <v>0</v>
      </c>
    </row>
    <row r="2057" spans="1:15">
      <c r="A2057" s="240" t="s">
        <v>71</v>
      </c>
      <c r="B2057" s="47" t="s">
        <v>55</v>
      </c>
      <c r="C2057" s="12">
        <v>0.0689655172413793</v>
      </c>
      <c r="D2057" s="241">
        <v>0.0166666666666667</v>
      </c>
      <c r="E2057" s="241">
        <v>0.0869565217391304</v>
      </c>
      <c r="F2057" s="241">
        <v>0.4</v>
      </c>
      <c r="G2057" s="241">
        <v>0.0666666666666667</v>
      </c>
      <c r="H2057" s="241">
        <v>0.0810810810810811</v>
      </c>
      <c r="I2057" s="241">
        <v>0.0833333333333333</v>
      </c>
      <c r="J2057" s="241">
        <v>0</v>
      </c>
      <c r="K2057" s="241">
        <v>0.1</v>
      </c>
      <c r="L2057" s="241">
        <v>0.0975609756097561</v>
      </c>
      <c r="M2057" s="241">
        <v>0.0612244897959184</v>
      </c>
      <c r="N2057" s="241">
        <v>0.102941176470588</v>
      </c>
      <c r="O2057" s="252">
        <v>0.0348837209302326</v>
      </c>
    </row>
    <row r="2058" spans="1:15">
      <c r="A2058" s="242" t="s">
        <v>71</v>
      </c>
      <c r="B2058" s="43" t="s">
        <v>57</v>
      </c>
      <c r="C2058" s="15">
        <v>522</v>
      </c>
      <c r="D2058" s="243">
        <v>60</v>
      </c>
      <c r="E2058" s="243">
        <v>23</v>
      </c>
      <c r="F2058" s="243">
        <v>10</v>
      </c>
      <c r="G2058" s="243">
        <v>15</v>
      </c>
      <c r="H2058" s="243">
        <v>37</v>
      </c>
      <c r="I2058" s="243">
        <v>36</v>
      </c>
      <c r="J2058" s="243">
        <v>47</v>
      </c>
      <c r="K2058" s="243">
        <v>50</v>
      </c>
      <c r="L2058" s="243">
        <v>41</v>
      </c>
      <c r="M2058" s="243">
        <v>49</v>
      </c>
      <c r="N2058" s="243">
        <v>68</v>
      </c>
      <c r="O2058" s="253">
        <v>86</v>
      </c>
    </row>
    <row r="2059" spans="1:15">
      <c r="A2059" s="240" t="s">
        <v>71</v>
      </c>
      <c r="B2059" s="47" t="s">
        <v>59</v>
      </c>
      <c r="C2059" s="15">
        <v>36</v>
      </c>
      <c r="D2059" s="243">
        <v>1</v>
      </c>
      <c r="E2059" s="243">
        <v>2</v>
      </c>
      <c r="F2059" s="243">
        <v>4</v>
      </c>
      <c r="G2059" s="243">
        <v>1</v>
      </c>
      <c r="H2059" s="243">
        <v>3</v>
      </c>
      <c r="I2059" s="243">
        <v>3</v>
      </c>
      <c r="J2059" s="243">
        <v>0</v>
      </c>
      <c r="K2059" s="243">
        <v>5</v>
      </c>
      <c r="L2059" s="243">
        <v>4</v>
      </c>
      <c r="M2059" s="243">
        <v>3</v>
      </c>
      <c r="N2059" s="243">
        <v>7</v>
      </c>
      <c r="O2059" s="253">
        <v>3</v>
      </c>
    </row>
    <row r="2060" spans="1:15">
      <c r="A2060" s="242" t="s">
        <v>71</v>
      </c>
      <c r="B2060" s="43" t="s">
        <v>4</v>
      </c>
      <c r="C2060" s="15">
        <v>41</v>
      </c>
      <c r="D2060" s="244">
        <v>10</v>
      </c>
      <c r="E2060" s="244">
        <v>3</v>
      </c>
      <c r="F2060" s="244">
        <v>1</v>
      </c>
      <c r="G2060" s="244">
        <v>0</v>
      </c>
      <c r="H2060" s="244">
        <v>0</v>
      </c>
      <c r="I2060" s="244">
        <v>2</v>
      </c>
      <c r="J2060" s="244">
        <v>1</v>
      </c>
      <c r="K2060" s="244">
        <v>3</v>
      </c>
      <c r="L2060" s="244">
        <v>3</v>
      </c>
      <c r="M2060" s="244">
        <v>4</v>
      </c>
      <c r="N2060" s="244">
        <v>6</v>
      </c>
      <c r="O2060" s="254">
        <v>8</v>
      </c>
    </row>
    <row r="2061" spans="1:15">
      <c r="A2061" s="240" t="s">
        <v>71</v>
      </c>
      <c r="B2061" s="47" t="s">
        <v>5</v>
      </c>
      <c r="C2061" s="12">
        <v>1.13888888888889</v>
      </c>
      <c r="D2061" s="241">
        <v>10</v>
      </c>
      <c r="E2061" s="241">
        <v>1.5</v>
      </c>
      <c r="F2061" s="241">
        <v>0.25</v>
      </c>
      <c r="G2061" s="241">
        <v>0</v>
      </c>
      <c r="H2061" s="241">
        <v>0</v>
      </c>
      <c r="I2061" s="241">
        <v>0.666666666666667</v>
      </c>
      <c r="J2061" s="241">
        <v>0</v>
      </c>
      <c r="K2061" s="241">
        <v>0.6</v>
      </c>
      <c r="L2061" s="241">
        <v>0.75</v>
      </c>
      <c r="M2061" s="241">
        <v>1.33333333333333</v>
      </c>
      <c r="N2061" s="241">
        <v>0.857142857142857</v>
      </c>
      <c r="O2061" s="252">
        <v>2.66666666666667</v>
      </c>
    </row>
    <row r="2062" spans="1:15">
      <c r="A2062" s="242" t="s">
        <v>71</v>
      </c>
      <c r="B2062" s="43" t="s">
        <v>6</v>
      </c>
      <c r="C2062" s="15">
        <v>13</v>
      </c>
      <c r="D2062" s="244">
        <v>0</v>
      </c>
      <c r="E2062" s="244">
        <v>0</v>
      </c>
      <c r="F2062" s="244">
        <v>0</v>
      </c>
      <c r="G2062" s="244">
        <v>1</v>
      </c>
      <c r="H2062" s="244">
        <v>1</v>
      </c>
      <c r="I2062" s="244">
        <v>1</v>
      </c>
      <c r="J2062" s="244">
        <v>1</v>
      </c>
      <c r="K2062" s="244">
        <v>1</v>
      </c>
      <c r="L2062" s="244">
        <v>1</v>
      </c>
      <c r="M2062" s="244">
        <v>5</v>
      </c>
      <c r="N2062" s="244">
        <v>1</v>
      </c>
      <c r="O2062" s="254">
        <v>1</v>
      </c>
    </row>
    <row r="2063" ht="14.25" spans="1:15">
      <c r="A2063" s="245" t="s">
        <v>71</v>
      </c>
      <c r="B2063" s="52" t="s">
        <v>64</v>
      </c>
      <c r="C2063" s="19">
        <v>0.317073170731707</v>
      </c>
      <c r="D2063" s="250">
        <v>0</v>
      </c>
      <c r="E2063" s="250">
        <v>0</v>
      </c>
      <c r="F2063" s="250">
        <v>0</v>
      </c>
      <c r="G2063" s="250">
        <v>1</v>
      </c>
      <c r="H2063" s="250">
        <v>1</v>
      </c>
      <c r="I2063" s="250">
        <v>1</v>
      </c>
      <c r="J2063" s="250">
        <v>1</v>
      </c>
      <c r="K2063" s="250">
        <v>1</v>
      </c>
      <c r="L2063" s="250">
        <v>1</v>
      </c>
      <c r="M2063" s="250">
        <v>5</v>
      </c>
      <c r="N2063" s="250">
        <v>1</v>
      </c>
      <c r="O2063" s="257">
        <v>1</v>
      </c>
    </row>
    <row r="2064" spans="1:15">
      <c r="A2064" s="240" t="s">
        <v>72</v>
      </c>
      <c r="B2064" s="47" t="s">
        <v>55</v>
      </c>
      <c r="C2064" s="12">
        <v>0.361838278068645</v>
      </c>
      <c r="D2064" s="241">
        <v>0.428057553956835</v>
      </c>
      <c r="E2064" s="241">
        <v>0.3515625</v>
      </c>
      <c r="F2064" s="241">
        <v>0.347457627118644</v>
      </c>
      <c r="G2064" s="241">
        <v>0.348684210526316</v>
      </c>
      <c r="H2064" s="241">
        <v>0.35</v>
      </c>
      <c r="I2064" s="241">
        <v>0.32824427480916</v>
      </c>
      <c r="J2064" s="241">
        <v>0.342105263157895</v>
      </c>
      <c r="K2064" s="241">
        <v>0.333333333333333</v>
      </c>
      <c r="L2064" s="241">
        <v>0.343283582089552</v>
      </c>
      <c r="M2064" s="241">
        <v>0.377005347593583</v>
      </c>
      <c r="N2064" s="241">
        <v>0.383152173913043</v>
      </c>
      <c r="O2064" s="252">
        <v>0.388586956521739</v>
      </c>
    </row>
    <row r="2065" spans="1:15">
      <c r="A2065" s="242" t="s">
        <v>72</v>
      </c>
      <c r="B2065" s="43" t="s">
        <v>57</v>
      </c>
      <c r="C2065" s="15">
        <v>3438</v>
      </c>
      <c r="D2065" s="243">
        <v>278</v>
      </c>
      <c r="E2065" s="243">
        <v>128</v>
      </c>
      <c r="F2065" s="243">
        <v>118</v>
      </c>
      <c r="G2065" s="243">
        <v>152</v>
      </c>
      <c r="H2065" s="243">
        <v>280</v>
      </c>
      <c r="I2065" s="243">
        <v>262</v>
      </c>
      <c r="J2065" s="243">
        <v>342</v>
      </c>
      <c r="K2065" s="243">
        <v>366</v>
      </c>
      <c r="L2065" s="243">
        <v>402</v>
      </c>
      <c r="M2065" s="243">
        <v>374</v>
      </c>
      <c r="N2065" s="243">
        <v>368</v>
      </c>
      <c r="O2065" s="253">
        <v>368</v>
      </c>
    </row>
    <row r="2066" spans="1:15">
      <c r="A2066" s="240" t="s">
        <v>72</v>
      </c>
      <c r="B2066" s="47" t="s">
        <v>59</v>
      </c>
      <c r="C2066" s="15">
        <v>1244</v>
      </c>
      <c r="D2066" s="243">
        <v>119</v>
      </c>
      <c r="E2066" s="243">
        <v>45</v>
      </c>
      <c r="F2066" s="243">
        <v>41</v>
      </c>
      <c r="G2066" s="243">
        <v>53</v>
      </c>
      <c r="H2066" s="243">
        <v>98</v>
      </c>
      <c r="I2066" s="243">
        <v>86</v>
      </c>
      <c r="J2066" s="243">
        <v>117</v>
      </c>
      <c r="K2066" s="243">
        <v>122</v>
      </c>
      <c r="L2066" s="243">
        <v>138</v>
      </c>
      <c r="M2066" s="243">
        <v>141</v>
      </c>
      <c r="N2066" s="243">
        <v>141</v>
      </c>
      <c r="O2066" s="253">
        <v>143</v>
      </c>
    </row>
    <row r="2067" spans="1:15">
      <c r="A2067" s="242" t="s">
        <v>72</v>
      </c>
      <c r="B2067" s="43" t="s">
        <v>4</v>
      </c>
      <c r="C2067" s="15">
        <v>34</v>
      </c>
      <c r="D2067" s="244">
        <v>7</v>
      </c>
      <c r="E2067" s="244">
        <v>3</v>
      </c>
      <c r="F2067" s="244">
        <v>3</v>
      </c>
      <c r="G2067" s="244">
        <v>3</v>
      </c>
      <c r="H2067" s="244">
        <v>0</v>
      </c>
      <c r="I2067" s="244">
        <v>1</v>
      </c>
      <c r="J2067" s="244">
        <v>3</v>
      </c>
      <c r="K2067" s="244">
        <v>0</v>
      </c>
      <c r="L2067" s="244">
        <v>7</v>
      </c>
      <c r="M2067" s="244">
        <v>3</v>
      </c>
      <c r="N2067" s="244">
        <v>1</v>
      </c>
      <c r="O2067" s="254">
        <v>3</v>
      </c>
    </row>
    <row r="2068" spans="1:15">
      <c r="A2068" s="240" t="s">
        <v>72</v>
      </c>
      <c r="B2068" s="47" t="s">
        <v>5</v>
      </c>
      <c r="C2068" s="12">
        <v>0.0273311897106109</v>
      </c>
      <c r="D2068" s="241">
        <v>0.0588235294117647</v>
      </c>
      <c r="E2068" s="241">
        <v>0.0666666666666667</v>
      </c>
      <c r="F2068" s="241">
        <v>0.0731707317073171</v>
      </c>
      <c r="G2068" s="241">
        <v>0.0566037735849057</v>
      </c>
      <c r="H2068" s="241">
        <v>0</v>
      </c>
      <c r="I2068" s="241">
        <v>0.0116279069767442</v>
      </c>
      <c r="J2068" s="241">
        <v>0.0256410256410256</v>
      </c>
      <c r="K2068" s="241">
        <v>0</v>
      </c>
      <c r="L2068" s="241">
        <v>0.0507246376811594</v>
      </c>
      <c r="M2068" s="241">
        <v>0.0212765957446809</v>
      </c>
      <c r="N2068" s="241">
        <v>0.00709219858156028</v>
      </c>
      <c r="O2068" s="252">
        <v>0.020979020979021</v>
      </c>
    </row>
    <row r="2069" spans="1:15">
      <c r="A2069" s="242" t="s">
        <v>72</v>
      </c>
      <c r="B2069" s="43" t="s">
        <v>6</v>
      </c>
      <c r="C2069" s="15">
        <v>7</v>
      </c>
      <c r="D2069" s="244">
        <v>1</v>
      </c>
      <c r="E2069" s="244">
        <v>2</v>
      </c>
      <c r="F2069" s="244">
        <v>0</v>
      </c>
      <c r="G2069" s="244">
        <v>0</v>
      </c>
      <c r="H2069" s="244">
        <v>0</v>
      </c>
      <c r="I2069" s="244">
        <v>0</v>
      </c>
      <c r="J2069" s="244">
        <v>2</v>
      </c>
      <c r="K2069" s="244">
        <v>0</v>
      </c>
      <c r="L2069" s="244">
        <v>2</v>
      </c>
      <c r="M2069" s="244">
        <v>0</v>
      </c>
      <c r="N2069" s="244">
        <v>0</v>
      </c>
      <c r="O2069" s="254">
        <v>0</v>
      </c>
    </row>
    <row r="2070" ht="14.25" spans="1:15">
      <c r="A2070" s="245" t="s">
        <v>72</v>
      </c>
      <c r="B2070" s="52" t="s">
        <v>64</v>
      </c>
      <c r="C2070" s="19">
        <v>0.205882352941176</v>
      </c>
      <c r="D2070" s="250">
        <v>1</v>
      </c>
      <c r="E2070" s="250">
        <v>2</v>
      </c>
      <c r="F2070" s="250">
        <v>0</v>
      </c>
      <c r="G2070" s="250">
        <v>0</v>
      </c>
      <c r="H2070" s="250">
        <v>0</v>
      </c>
      <c r="I2070" s="250">
        <v>0</v>
      </c>
      <c r="J2070" s="250">
        <v>2</v>
      </c>
      <c r="K2070" s="250">
        <v>0</v>
      </c>
      <c r="L2070" s="250">
        <v>2</v>
      </c>
      <c r="M2070" s="250">
        <v>0</v>
      </c>
      <c r="N2070" s="250">
        <v>0</v>
      </c>
      <c r="O2070" s="257">
        <v>0</v>
      </c>
    </row>
    <row r="2071" ht="14.25" spans="1:15">
      <c r="A2071" s="237">
        <v>45051</v>
      </c>
      <c r="B2071" s="237"/>
      <c r="C2071" s="237"/>
      <c r="D2071" s="237"/>
      <c r="E2071" s="237"/>
      <c r="F2071" s="237"/>
      <c r="G2071" s="237"/>
      <c r="H2071" s="237"/>
      <c r="I2071" s="237"/>
      <c r="J2071" s="237"/>
      <c r="K2071" s="237"/>
      <c r="L2071" s="237"/>
      <c r="M2071" s="237"/>
      <c r="N2071" s="237"/>
      <c r="O2071" s="237"/>
    </row>
    <row r="2072" spans="1:15">
      <c r="A2072" s="56" t="s">
        <v>1</v>
      </c>
      <c r="B2072" s="238"/>
      <c r="C2072" s="8" t="s">
        <v>42</v>
      </c>
      <c r="D2072" s="239" t="s">
        <v>43</v>
      </c>
      <c r="E2072" s="239" t="s">
        <v>44</v>
      </c>
      <c r="F2072" s="239" t="s">
        <v>45</v>
      </c>
      <c r="G2072" s="239" t="s">
        <v>46</v>
      </c>
      <c r="H2072" s="239" t="s">
        <v>47</v>
      </c>
      <c r="I2072" s="239" t="s">
        <v>48</v>
      </c>
      <c r="J2072" s="239" t="s">
        <v>49</v>
      </c>
      <c r="K2072" s="239" t="s">
        <v>50</v>
      </c>
      <c r="L2072" s="239" t="s">
        <v>51</v>
      </c>
      <c r="M2072" s="239" t="s">
        <v>52</v>
      </c>
      <c r="N2072" s="239" t="s">
        <v>53</v>
      </c>
      <c r="O2072" s="251" t="s">
        <v>54</v>
      </c>
    </row>
    <row r="2073" spans="1:15">
      <c r="A2073" s="240" t="s">
        <v>22</v>
      </c>
      <c r="B2073" s="47" t="s">
        <v>55</v>
      </c>
      <c r="C2073" s="12">
        <v>0.512180267965895</v>
      </c>
      <c r="D2073" s="241">
        <v>0.576388888888889</v>
      </c>
      <c r="E2073" s="241">
        <v>0.517647058823529</v>
      </c>
      <c r="F2073" s="241">
        <v>0.529411764705882</v>
      </c>
      <c r="G2073" s="241">
        <v>0.720930232558139</v>
      </c>
      <c r="H2073" s="241">
        <v>0.616666666666667</v>
      </c>
      <c r="I2073" s="241">
        <v>0.536231884057971</v>
      </c>
      <c r="J2073" s="241">
        <v>0.529801324503311</v>
      </c>
      <c r="K2073" s="241">
        <v>0.416666666666667</v>
      </c>
      <c r="L2073" s="241">
        <v>0.551020408163265</v>
      </c>
      <c r="M2073" s="241">
        <v>0.456375838926175</v>
      </c>
      <c r="N2073" s="241">
        <v>0.427083333333333</v>
      </c>
      <c r="O2073" s="252">
        <v>0.457286432160804</v>
      </c>
    </row>
    <row r="2074" spans="1:15">
      <c r="A2074" s="242" t="s">
        <v>22</v>
      </c>
      <c r="B2074" s="43" t="s">
        <v>57</v>
      </c>
      <c r="C2074" s="15">
        <v>1642</v>
      </c>
      <c r="D2074" s="243">
        <v>144</v>
      </c>
      <c r="E2074" s="243">
        <v>85</v>
      </c>
      <c r="F2074" s="243">
        <v>51</v>
      </c>
      <c r="G2074" s="243">
        <v>86</v>
      </c>
      <c r="H2074" s="243">
        <v>120</v>
      </c>
      <c r="I2074" s="243">
        <v>138</v>
      </c>
      <c r="J2074" s="243">
        <v>151</v>
      </c>
      <c r="K2074" s="243">
        <v>180</v>
      </c>
      <c r="L2074" s="243">
        <v>147</v>
      </c>
      <c r="M2074" s="243">
        <v>149</v>
      </c>
      <c r="N2074" s="243">
        <v>192</v>
      </c>
      <c r="O2074" s="253">
        <v>199</v>
      </c>
    </row>
    <row r="2075" spans="1:15">
      <c r="A2075" s="240" t="s">
        <v>22</v>
      </c>
      <c r="B2075" s="47" t="s">
        <v>59</v>
      </c>
      <c r="C2075" s="15">
        <v>841</v>
      </c>
      <c r="D2075" s="243">
        <v>83</v>
      </c>
      <c r="E2075" s="243">
        <v>44</v>
      </c>
      <c r="F2075" s="243">
        <v>27</v>
      </c>
      <c r="G2075" s="243">
        <v>62</v>
      </c>
      <c r="H2075" s="243">
        <v>74</v>
      </c>
      <c r="I2075" s="243">
        <v>74</v>
      </c>
      <c r="J2075" s="243">
        <v>80</v>
      </c>
      <c r="K2075" s="243">
        <v>75</v>
      </c>
      <c r="L2075" s="243">
        <v>81</v>
      </c>
      <c r="M2075" s="243">
        <v>68</v>
      </c>
      <c r="N2075" s="243">
        <v>82</v>
      </c>
      <c r="O2075" s="253">
        <v>91</v>
      </c>
    </row>
    <row r="2076" spans="1:15">
      <c r="A2076" s="242" t="s">
        <v>22</v>
      </c>
      <c r="B2076" s="43" t="s">
        <v>4</v>
      </c>
      <c r="C2076" s="15">
        <v>52</v>
      </c>
      <c r="D2076" s="244">
        <v>2</v>
      </c>
      <c r="E2076" s="244">
        <v>5</v>
      </c>
      <c r="F2076" s="244">
        <v>2</v>
      </c>
      <c r="G2076" s="244">
        <v>4</v>
      </c>
      <c r="H2076" s="244">
        <v>3</v>
      </c>
      <c r="I2076" s="244">
        <v>6</v>
      </c>
      <c r="J2076" s="244">
        <v>6</v>
      </c>
      <c r="K2076" s="244">
        <v>4</v>
      </c>
      <c r="L2076" s="244">
        <v>7</v>
      </c>
      <c r="M2076" s="244">
        <v>4</v>
      </c>
      <c r="N2076" s="244">
        <v>2</v>
      </c>
      <c r="O2076" s="254">
        <v>7</v>
      </c>
    </row>
    <row r="2077" spans="1:15">
      <c r="A2077" s="240" t="s">
        <v>22</v>
      </c>
      <c r="B2077" s="47" t="s">
        <v>5</v>
      </c>
      <c r="C2077" s="12">
        <v>0.0618311533888228</v>
      </c>
      <c r="D2077" s="241">
        <v>0.0240963855421687</v>
      </c>
      <c r="E2077" s="241">
        <v>0.113636363636364</v>
      </c>
      <c r="F2077" s="241">
        <v>0.0740740740740741</v>
      </c>
      <c r="G2077" s="241">
        <v>0.0645161290322581</v>
      </c>
      <c r="H2077" s="241">
        <v>0.0405405405405405</v>
      </c>
      <c r="I2077" s="241">
        <v>0.0810810810810811</v>
      </c>
      <c r="J2077" s="241">
        <v>0.075</v>
      </c>
      <c r="K2077" s="241">
        <v>0.0533333333333333</v>
      </c>
      <c r="L2077" s="241">
        <v>0.0864197530864197</v>
      </c>
      <c r="M2077" s="241">
        <v>0.0588235294117647</v>
      </c>
      <c r="N2077" s="241">
        <v>0.024390243902439</v>
      </c>
      <c r="O2077" s="252">
        <v>0.0769230769230769</v>
      </c>
    </row>
    <row r="2078" spans="1:15">
      <c r="A2078" s="242" t="s">
        <v>22</v>
      </c>
      <c r="B2078" s="43" t="s">
        <v>6</v>
      </c>
      <c r="C2078" s="15">
        <v>19</v>
      </c>
      <c r="D2078" s="244">
        <v>1</v>
      </c>
      <c r="E2078" s="244">
        <v>2</v>
      </c>
      <c r="F2078" s="244">
        <v>0</v>
      </c>
      <c r="G2078" s="244">
        <v>0</v>
      </c>
      <c r="H2078" s="244">
        <v>2</v>
      </c>
      <c r="I2078" s="244">
        <v>4</v>
      </c>
      <c r="J2078" s="244">
        <v>0</v>
      </c>
      <c r="K2078" s="244">
        <v>2</v>
      </c>
      <c r="L2078" s="244">
        <v>1</v>
      </c>
      <c r="M2078" s="244">
        <v>3</v>
      </c>
      <c r="N2078" s="244">
        <v>2</v>
      </c>
      <c r="O2078" s="254">
        <v>2</v>
      </c>
    </row>
    <row r="2079" ht="14.25" spans="1:15">
      <c r="A2079" s="245" t="s">
        <v>22</v>
      </c>
      <c r="B2079" s="52" t="s">
        <v>64</v>
      </c>
      <c r="C2079" s="19">
        <v>0.365384615384615</v>
      </c>
      <c r="D2079" s="246">
        <v>0.5</v>
      </c>
      <c r="E2079" s="246">
        <v>0.4</v>
      </c>
      <c r="F2079" s="246">
        <v>0</v>
      </c>
      <c r="G2079" s="246">
        <v>0</v>
      </c>
      <c r="H2079" s="246">
        <v>0.666666666666667</v>
      </c>
      <c r="I2079" s="246">
        <v>0.666666666666667</v>
      </c>
      <c r="J2079" s="246">
        <v>0</v>
      </c>
      <c r="K2079" s="246">
        <v>0.5</v>
      </c>
      <c r="L2079" s="246">
        <v>0.142857142857143</v>
      </c>
      <c r="M2079" s="246">
        <v>0.75</v>
      </c>
      <c r="N2079" s="246">
        <v>1</v>
      </c>
      <c r="O2079" s="255">
        <v>0.285714285714286</v>
      </c>
    </row>
    <row r="2080" spans="1:15">
      <c r="A2080" s="247" t="s">
        <v>66</v>
      </c>
      <c r="B2080" s="248" t="s">
        <v>55</v>
      </c>
      <c r="C2080" s="12">
        <v>0.119798811156836</v>
      </c>
      <c r="D2080" s="249">
        <v>0.0448179271708683</v>
      </c>
      <c r="E2080" s="249">
        <v>0.0547945205479452</v>
      </c>
      <c r="F2080" s="249">
        <v>0.0303030303030303</v>
      </c>
      <c r="G2080" s="249">
        <v>0.0841584158415842</v>
      </c>
      <c r="H2080" s="249">
        <v>0.152317880794702</v>
      </c>
      <c r="I2080" s="249">
        <v>0.140740740740741</v>
      </c>
      <c r="J2080" s="249">
        <v>0.173913043478261</v>
      </c>
      <c r="K2080" s="249">
        <v>0.205128205128205</v>
      </c>
      <c r="L2080" s="249">
        <v>0.23</v>
      </c>
      <c r="M2080" s="249">
        <v>0.263157894736842</v>
      </c>
      <c r="N2080" s="249">
        <v>0.235772357723577</v>
      </c>
      <c r="O2080" s="256">
        <v>0.242857142857143</v>
      </c>
    </row>
    <row r="2081" spans="1:15">
      <c r="A2081" s="242" t="s">
        <v>66</v>
      </c>
      <c r="B2081" s="43" t="s">
        <v>57</v>
      </c>
      <c r="C2081" s="15">
        <v>2187</v>
      </c>
      <c r="D2081" s="243">
        <v>357</v>
      </c>
      <c r="E2081" s="243">
        <v>365</v>
      </c>
      <c r="F2081" s="243">
        <v>264</v>
      </c>
      <c r="G2081" s="243">
        <v>202</v>
      </c>
      <c r="H2081" s="243">
        <v>151</v>
      </c>
      <c r="I2081" s="243">
        <v>135</v>
      </c>
      <c r="J2081" s="243">
        <v>138</v>
      </c>
      <c r="K2081" s="243">
        <v>117</v>
      </c>
      <c r="L2081" s="243">
        <v>100</v>
      </c>
      <c r="M2081" s="243">
        <v>95</v>
      </c>
      <c r="N2081" s="243">
        <v>123</v>
      </c>
      <c r="O2081" s="253">
        <v>140</v>
      </c>
    </row>
    <row r="2082" spans="1:15">
      <c r="A2082" s="240" t="s">
        <v>66</v>
      </c>
      <c r="B2082" s="47" t="s">
        <v>59</v>
      </c>
      <c r="C2082" s="15">
        <v>262</v>
      </c>
      <c r="D2082" s="243">
        <v>16</v>
      </c>
      <c r="E2082" s="243">
        <v>20</v>
      </c>
      <c r="F2082" s="243">
        <v>8</v>
      </c>
      <c r="G2082" s="243">
        <v>17</v>
      </c>
      <c r="H2082" s="243">
        <v>23</v>
      </c>
      <c r="I2082" s="243">
        <v>19</v>
      </c>
      <c r="J2082" s="243">
        <v>24</v>
      </c>
      <c r="K2082" s="243">
        <v>24</v>
      </c>
      <c r="L2082" s="243">
        <v>23</v>
      </c>
      <c r="M2082" s="243">
        <v>25</v>
      </c>
      <c r="N2082" s="243">
        <v>29</v>
      </c>
      <c r="O2082" s="253">
        <v>34</v>
      </c>
    </row>
    <row r="2083" spans="1:15">
      <c r="A2083" s="242" t="s">
        <v>66</v>
      </c>
      <c r="B2083" s="43" t="s">
        <v>4</v>
      </c>
      <c r="C2083" s="15">
        <v>14</v>
      </c>
      <c r="D2083" s="244">
        <v>1</v>
      </c>
      <c r="E2083" s="244">
        <v>1</v>
      </c>
      <c r="F2083" s="244">
        <v>1</v>
      </c>
      <c r="G2083" s="244">
        <v>0</v>
      </c>
      <c r="H2083" s="244">
        <v>2</v>
      </c>
      <c r="I2083" s="244">
        <v>2</v>
      </c>
      <c r="J2083" s="244">
        <v>1</v>
      </c>
      <c r="K2083" s="244">
        <v>0</v>
      </c>
      <c r="L2083" s="244">
        <v>2</v>
      </c>
      <c r="M2083" s="244">
        <v>1</v>
      </c>
      <c r="N2083" s="244">
        <v>1</v>
      </c>
      <c r="O2083" s="254">
        <v>2</v>
      </c>
    </row>
    <row r="2084" spans="1:15">
      <c r="A2084" s="240" t="s">
        <v>66</v>
      </c>
      <c r="B2084" s="47" t="s">
        <v>5</v>
      </c>
      <c r="C2084" s="12">
        <v>0.0534351145038168</v>
      </c>
      <c r="D2084" s="241">
        <v>0.0625</v>
      </c>
      <c r="E2084" s="241">
        <v>0.05</v>
      </c>
      <c r="F2084" s="241">
        <v>0.125</v>
      </c>
      <c r="G2084" s="241">
        <v>0</v>
      </c>
      <c r="H2084" s="241">
        <v>0.0869565217391304</v>
      </c>
      <c r="I2084" s="241">
        <v>0.105263157894737</v>
      </c>
      <c r="J2084" s="241">
        <v>0.0416666666666667</v>
      </c>
      <c r="K2084" s="241">
        <v>0</v>
      </c>
      <c r="L2084" s="241">
        <v>0.0869565217391304</v>
      </c>
      <c r="M2084" s="241">
        <v>0.04</v>
      </c>
      <c r="N2084" s="241">
        <v>0.0344827586206897</v>
      </c>
      <c r="O2084" s="252">
        <v>0.0588235294117647</v>
      </c>
    </row>
    <row r="2085" spans="1:15">
      <c r="A2085" s="242" t="s">
        <v>66</v>
      </c>
      <c r="B2085" s="43" t="s">
        <v>6</v>
      </c>
      <c r="C2085" s="15">
        <v>6</v>
      </c>
      <c r="D2085" s="244">
        <v>0</v>
      </c>
      <c r="E2085" s="244">
        <v>0</v>
      </c>
      <c r="F2085" s="244">
        <v>1</v>
      </c>
      <c r="G2085" s="244">
        <v>0</v>
      </c>
      <c r="H2085" s="244">
        <v>3</v>
      </c>
      <c r="I2085" s="244">
        <v>1</v>
      </c>
      <c r="J2085" s="244">
        <v>0</v>
      </c>
      <c r="K2085" s="244">
        <v>0</v>
      </c>
      <c r="L2085" s="244">
        <v>0</v>
      </c>
      <c r="M2085" s="244">
        <v>1</v>
      </c>
      <c r="N2085" s="244">
        <v>0</v>
      </c>
      <c r="O2085" s="254">
        <v>0</v>
      </c>
    </row>
    <row r="2086" ht="14.25" spans="1:15">
      <c r="A2086" s="245" t="s">
        <v>66</v>
      </c>
      <c r="B2086" s="52" t="s">
        <v>64</v>
      </c>
      <c r="C2086" s="19">
        <v>0.428571428571429</v>
      </c>
      <c r="D2086" s="246">
        <v>0</v>
      </c>
      <c r="E2086" s="246">
        <v>0</v>
      </c>
      <c r="F2086" s="246">
        <v>1</v>
      </c>
      <c r="G2086" s="246">
        <v>0</v>
      </c>
      <c r="H2086" s="246">
        <v>1.5</v>
      </c>
      <c r="I2086" s="246">
        <v>0.5</v>
      </c>
      <c r="J2086" s="246">
        <v>0</v>
      </c>
      <c r="K2086" s="246">
        <v>0</v>
      </c>
      <c r="L2086" s="246">
        <v>0</v>
      </c>
      <c r="M2086" s="246">
        <v>1</v>
      </c>
      <c r="N2086" s="246">
        <v>0</v>
      </c>
      <c r="O2086" s="255">
        <v>0</v>
      </c>
    </row>
    <row r="2087" spans="1:15">
      <c r="A2087" s="240" t="s">
        <v>67</v>
      </c>
      <c r="B2087" s="47" t="s">
        <v>55</v>
      </c>
      <c r="C2087" s="12">
        <v>0.5</v>
      </c>
      <c r="D2087" s="241">
        <v>0.558823529411765</v>
      </c>
      <c r="E2087" s="241">
        <v>0.3125</v>
      </c>
      <c r="F2087" s="241">
        <v>0.428571428571429</v>
      </c>
      <c r="G2087" s="241">
        <v>0.5</v>
      </c>
      <c r="H2087" s="241">
        <v>0.539473684210526</v>
      </c>
      <c r="I2087" s="241">
        <v>0.407894736842105</v>
      </c>
      <c r="J2087" s="241">
        <v>0.535714285714286</v>
      </c>
      <c r="K2087" s="241">
        <v>0.616666666666667</v>
      </c>
      <c r="L2087" s="241">
        <v>0.411764705882353</v>
      </c>
      <c r="M2087" s="241">
        <v>0.678571428571429</v>
      </c>
      <c r="N2087" s="241">
        <v>0.532258064516129</v>
      </c>
      <c r="O2087" s="252">
        <v>0.37037037037037</v>
      </c>
    </row>
    <row r="2088" spans="1:15">
      <c r="A2088" s="242" t="s">
        <v>67</v>
      </c>
      <c r="B2088" s="43" t="s">
        <v>57</v>
      </c>
      <c r="C2088" s="15">
        <v>670</v>
      </c>
      <c r="D2088" s="243">
        <v>68</v>
      </c>
      <c r="E2088" s="243">
        <v>32</v>
      </c>
      <c r="F2088" s="243">
        <v>28</v>
      </c>
      <c r="G2088" s="243">
        <v>34</v>
      </c>
      <c r="H2088" s="243">
        <v>76</v>
      </c>
      <c r="I2088" s="243">
        <v>76</v>
      </c>
      <c r="J2088" s="243">
        <v>56</v>
      </c>
      <c r="K2088" s="243">
        <v>60</v>
      </c>
      <c r="L2088" s="243">
        <v>68</v>
      </c>
      <c r="M2088" s="243">
        <v>56</v>
      </c>
      <c r="N2088" s="243">
        <v>62</v>
      </c>
      <c r="O2088" s="253">
        <v>54</v>
      </c>
    </row>
    <row r="2089" spans="1:15">
      <c r="A2089" s="240" t="s">
        <v>67</v>
      </c>
      <c r="B2089" s="47" t="s">
        <v>59</v>
      </c>
      <c r="C2089" s="15">
        <v>335</v>
      </c>
      <c r="D2089" s="243">
        <v>38</v>
      </c>
      <c r="E2089" s="243">
        <v>10</v>
      </c>
      <c r="F2089" s="243">
        <v>12</v>
      </c>
      <c r="G2089" s="243">
        <v>17</v>
      </c>
      <c r="H2089" s="243">
        <v>41</v>
      </c>
      <c r="I2089" s="243">
        <v>31</v>
      </c>
      <c r="J2089" s="243">
        <v>30</v>
      </c>
      <c r="K2089" s="243">
        <v>37</v>
      </c>
      <c r="L2089" s="243">
        <v>28</v>
      </c>
      <c r="M2089" s="243">
        <v>38</v>
      </c>
      <c r="N2089" s="243">
        <v>33</v>
      </c>
      <c r="O2089" s="253">
        <v>20</v>
      </c>
    </row>
    <row r="2090" spans="1:15">
      <c r="A2090" s="242" t="s">
        <v>67</v>
      </c>
      <c r="B2090" s="43" t="s">
        <v>4</v>
      </c>
      <c r="C2090" s="15">
        <v>12</v>
      </c>
      <c r="D2090" s="244">
        <v>2</v>
      </c>
      <c r="E2090" s="244">
        <v>0</v>
      </c>
      <c r="F2090" s="244">
        <v>0</v>
      </c>
      <c r="G2090" s="244">
        <v>2</v>
      </c>
      <c r="H2090" s="244">
        <v>2</v>
      </c>
      <c r="I2090" s="244">
        <v>1</v>
      </c>
      <c r="J2090" s="244">
        <v>1</v>
      </c>
      <c r="K2090" s="244">
        <v>0</v>
      </c>
      <c r="L2090" s="244">
        <v>0</v>
      </c>
      <c r="M2090" s="244">
        <v>1</v>
      </c>
      <c r="N2090" s="244">
        <v>2</v>
      </c>
      <c r="O2090" s="254">
        <v>1</v>
      </c>
    </row>
    <row r="2091" spans="1:15">
      <c r="A2091" s="240" t="s">
        <v>67</v>
      </c>
      <c r="B2091" s="47" t="s">
        <v>5</v>
      </c>
      <c r="C2091" s="12">
        <v>0.0358208955223881</v>
      </c>
      <c r="D2091" s="241">
        <v>0.0526315789473684</v>
      </c>
      <c r="E2091" s="241">
        <v>0</v>
      </c>
      <c r="F2091" s="241">
        <v>0</v>
      </c>
      <c r="G2091" s="241">
        <v>0.117647058823529</v>
      </c>
      <c r="H2091" s="241">
        <v>0.0487804878048781</v>
      </c>
      <c r="I2091" s="241">
        <v>0.032258064516129</v>
      </c>
      <c r="J2091" s="241">
        <v>0.0333333333333333</v>
      </c>
      <c r="K2091" s="241">
        <v>0</v>
      </c>
      <c r="L2091" s="241">
        <v>0</v>
      </c>
      <c r="M2091" s="241">
        <v>0.0263157894736842</v>
      </c>
      <c r="N2091" s="241">
        <v>0.0606060606060606</v>
      </c>
      <c r="O2091" s="252">
        <v>0.05</v>
      </c>
    </row>
    <row r="2092" spans="1:15">
      <c r="A2092" s="242" t="s">
        <v>67</v>
      </c>
      <c r="B2092" s="43" t="s">
        <v>6</v>
      </c>
      <c r="C2092" s="15">
        <v>5</v>
      </c>
      <c r="D2092" s="244">
        <v>1</v>
      </c>
      <c r="E2092" s="244">
        <v>0</v>
      </c>
      <c r="F2092" s="244">
        <v>0</v>
      </c>
      <c r="G2092" s="244">
        <v>0</v>
      </c>
      <c r="H2092" s="244">
        <v>2</v>
      </c>
      <c r="I2092" s="244">
        <v>0</v>
      </c>
      <c r="J2092" s="244">
        <v>0</v>
      </c>
      <c r="K2092" s="244">
        <v>0</v>
      </c>
      <c r="L2092" s="244">
        <v>0</v>
      </c>
      <c r="M2092" s="244">
        <v>1</v>
      </c>
      <c r="N2092" s="244">
        <v>1</v>
      </c>
      <c r="O2092" s="254">
        <v>0</v>
      </c>
    </row>
    <row r="2093" ht="14.25" spans="1:15">
      <c r="A2093" s="245" t="s">
        <v>67</v>
      </c>
      <c r="B2093" s="52" t="s">
        <v>64</v>
      </c>
      <c r="C2093" s="19">
        <v>0.416666666666667</v>
      </c>
      <c r="D2093" s="246">
        <v>0.5</v>
      </c>
      <c r="E2093" s="246">
        <v>0</v>
      </c>
      <c r="F2093" s="246">
        <v>0</v>
      </c>
      <c r="G2093" s="246">
        <v>0</v>
      </c>
      <c r="H2093" s="246">
        <v>1</v>
      </c>
      <c r="I2093" s="246">
        <v>0</v>
      </c>
      <c r="J2093" s="246">
        <v>0</v>
      </c>
      <c r="K2093" s="246">
        <v>0</v>
      </c>
      <c r="L2093" s="246">
        <v>0</v>
      </c>
      <c r="M2093" s="246">
        <v>1</v>
      </c>
      <c r="N2093" s="246">
        <v>0.5</v>
      </c>
      <c r="O2093" s="255">
        <v>0</v>
      </c>
    </row>
    <row r="2094" spans="1:15">
      <c r="A2094" s="240" t="s">
        <v>68</v>
      </c>
      <c r="B2094" s="47" t="s">
        <v>55</v>
      </c>
      <c r="C2094" s="12">
        <v>0.0533449587824984</v>
      </c>
      <c r="D2094" s="241">
        <v>0.0416012558869702</v>
      </c>
      <c r="E2094" s="241">
        <v>0.0362776025236593</v>
      </c>
      <c r="F2094" s="241">
        <v>0.0420711974110032</v>
      </c>
      <c r="G2094" s="241">
        <v>0.0294811320754717</v>
      </c>
      <c r="H2094" s="241">
        <v>0.0650741350906096</v>
      </c>
      <c r="I2094" s="241">
        <v>0.0739700374531835</v>
      </c>
      <c r="J2094" s="241">
        <v>0.0773480662983425</v>
      </c>
      <c r="K2094" s="241">
        <v>0.060077519379845</v>
      </c>
      <c r="L2094" s="241">
        <v>0.0576923076923077</v>
      </c>
      <c r="M2094" s="241">
        <v>0.0498251748251748</v>
      </c>
      <c r="N2094" s="241">
        <v>0.0546875</v>
      </c>
      <c r="O2094" s="252">
        <v>0.0399129172714078</v>
      </c>
    </row>
    <row r="2095" spans="1:15">
      <c r="A2095" s="242" t="s">
        <v>68</v>
      </c>
      <c r="B2095" s="43" t="s">
        <v>57</v>
      </c>
      <c r="C2095" s="15">
        <v>12616</v>
      </c>
      <c r="D2095" s="243">
        <v>1274</v>
      </c>
      <c r="E2095" s="243">
        <v>634</v>
      </c>
      <c r="F2095" s="243">
        <v>618</v>
      </c>
      <c r="G2095" s="243">
        <v>848</v>
      </c>
      <c r="H2095" s="243">
        <v>1214</v>
      </c>
      <c r="I2095" s="243">
        <v>1068</v>
      </c>
      <c r="J2095" s="243">
        <v>1086</v>
      </c>
      <c r="K2095" s="243">
        <v>1032</v>
      </c>
      <c r="L2095" s="243">
        <v>1040</v>
      </c>
      <c r="M2095" s="243">
        <v>1144</v>
      </c>
      <c r="N2095" s="243">
        <v>1280</v>
      </c>
      <c r="O2095" s="253">
        <v>1378</v>
      </c>
    </row>
    <row r="2096" spans="1:15">
      <c r="A2096" s="240" t="s">
        <v>68</v>
      </c>
      <c r="B2096" s="47" t="s">
        <v>59</v>
      </c>
      <c r="C2096" s="15">
        <v>673</v>
      </c>
      <c r="D2096" s="243">
        <v>53</v>
      </c>
      <c r="E2096" s="243">
        <v>23</v>
      </c>
      <c r="F2096" s="243">
        <v>26</v>
      </c>
      <c r="G2096" s="243">
        <v>25</v>
      </c>
      <c r="H2096" s="243">
        <v>79</v>
      </c>
      <c r="I2096" s="243">
        <v>79</v>
      </c>
      <c r="J2096" s="243">
        <v>84</v>
      </c>
      <c r="K2096" s="243">
        <v>62</v>
      </c>
      <c r="L2096" s="243">
        <v>60</v>
      </c>
      <c r="M2096" s="243">
        <v>57</v>
      </c>
      <c r="N2096" s="243">
        <v>70</v>
      </c>
      <c r="O2096" s="253">
        <v>55</v>
      </c>
    </row>
    <row r="2097" spans="1:15">
      <c r="A2097" s="242" t="s">
        <v>68</v>
      </c>
      <c r="B2097" s="43" t="s">
        <v>4</v>
      </c>
      <c r="C2097" s="15">
        <v>32</v>
      </c>
      <c r="D2097" s="244">
        <v>3</v>
      </c>
      <c r="E2097" s="244">
        <v>1</v>
      </c>
      <c r="F2097" s="244">
        <v>2</v>
      </c>
      <c r="G2097" s="244">
        <v>0</v>
      </c>
      <c r="H2097" s="244">
        <v>7</v>
      </c>
      <c r="I2097" s="244">
        <v>6</v>
      </c>
      <c r="J2097" s="244">
        <v>4</v>
      </c>
      <c r="K2097" s="244">
        <v>2</v>
      </c>
      <c r="L2097" s="244">
        <v>1</v>
      </c>
      <c r="M2097" s="244">
        <v>3</v>
      </c>
      <c r="N2097" s="244">
        <v>0</v>
      </c>
      <c r="O2097" s="254">
        <v>3</v>
      </c>
    </row>
    <row r="2098" spans="1:15">
      <c r="A2098" s="240" t="s">
        <v>68</v>
      </c>
      <c r="B2098" s="47" t="s">
        <v>5</v>
      </c>
      <c r="C2098" s="12">
        <v>0.0475482912332838</v>
      </c>
      <c r="D2098" s="241">
        <v>0.0566037735849057</v>
      </c>
      <c r="E2098" s="241">
        <v>0.0434782608695652</v>
      </c>
      <c r="F2098" s="241">
        <v>0.0769230769230769</v>
      </c>
      <c r="G2098" s="241">
        <v>0</v>
      </c>
      <c r="H2098" s="241">
        <v>0.0886075949367089</v>
      </c>
      <c r="I2098" s="241">
        <v>0.0759493670886076</v>
      </c>
      <c r="J2098" s="241">
        <v>0.0476190476190476</v>
      </c>
      <c r="K2098" s="241">
        <v>0.032258064516129</v>
      </c>
      <c r="L2098" s="241">
        <v>0.0166666666666667</v>
      </c>
      <c r="M2098" s="241">
        <v>0.0526315789473684</v>
      </c>
      <c r="N2098" s="241">
        <v>0</v>
      </c>
      <c r="O2098" s="252">
        <v>0.0545454545454545</v>
      </c>
    </row>
    <row r="2099" spans="1:15">
      <c r="A2099" s="242" t="s">
        <v>68</v>
      </c>
      <c r="B2099" s="43" t="s">
        <v>6</v>
      </c>
      <c r="C2099" s="15">
        <v>11</v>
      </c>
      <c r="D2099" s="244">
        <v>0</v>
      </c>
      <c r="E2099" s="244">
        <v>0</v>
      </c>
      <c r="F2099" s="244">
        <v>2</v>
      </c>
      <c r="G2099" s="244">
        <v>0</v>
      </c>
      <c r="H2099" s="244">
        <v>1</v>
      </c>
      <c r="I2099" s="244">
        <v>3</v>
      </c>
      <c r="J2099" s="244">
        <v>0</v>
      </c>
      <c r="K2099" s="244">
        <v>1</v>
      </c>
      <c r="L2099" s="244">
        <v>1</v>
      </c>
      <c r="M2099" s="244">
        <v>1</v>
      </c>
      <c r="N2099" s="244">
        <v>0</v>
      </c>
      <c r="O2099" s="254">
        <v>2</v>
      </c>
    </row>
    <row r="2100" ht="14.25" spans="1:15">
      <c r="A2100" s="245" t="s">
        <v>68</v>
      </c>
      <c r="B2100" s="52" t="s">
        <v>64</v>
      </c>
      <c r="C2100" s="19">
        <v>0.34375</v>
      </c>
      <c r="D2100" s="246">
        <v>0</v>
      </c>
      <c r="E2100" s="246">
        <v>0</v>
      </c>
      <c r="F2100" s="246">
        <v>1</v>
      </c>
      <c r="G2100" s="246">
        <v>0</v>
      </c>
      <c r="H2100" s="246">
        <v>0.142857142857143</v>
      </c>
      <c r="I2100" s="246">
        <v>0.5</v>
      </c>
      <c r="J2100" s="246">
        <v>0</v>
      </c>
      <c r="K2100" s="246">
        <v>0.5</v>
      </c>
      <c r="L2100" s="246">
        <v>1</v>
      </c>
      <c r="M2100" s="246">
        <v>0.333333333333333</v>
      </c>
      <c r="N2100" s="246">
        <v>0</v>
      </c>
      <c r="O2100" s="255">
        <v>0.666666666666667</v>
      </c>
    </row>
    <row r="2101" spans="1:15">
      <c r="A2101" s="240" t="s">
        <v>69</v>
      </c>
      <c r="B2101" s="47" t="s">
        <v>55</v>
      </c>
      <c r="C2101" s="12">
        <v>0.95903165735568</v>
      </c>
      <c r="D2101" s="241">
        <v>0.959183673469388</v>
      </c>
      <c r="E2101" s="241">
        <v>1.61904761904762</v>
      </c>
      <c r="F2101" s="241">
        <v>1.2</v>
      </c>
      <c r="G2101" s="241">
        <v>1</v>
      </c>
      <c r="H2101" s="241">
        <v>1.11764705882353</v>
      </c>
      <c r="I2101" s="241">
        <v>1.23076923076923</v>
      </c>
      <c r="J2101" s="241">
        <v>0.810344827586207</v>
      </c>
      <c r="K2101" s="241">
        <v>0.807692307692308</v>
      </c>
      <c r="L2101" s="241">
        <v>0.684210526315789</v>
      </c>
      <c r="M2101" s="241">
        <v>0.980392156862745</v>
      </c>
      <c r="N2101" s="241">
        <v>0.878787878787879</v>
      </c>
      <c r="O2101" s="252">
        <v>0.985714285714286</v>
      </c>
    </row>
    <row r="2102" spans="1:15">
      <c r="A2102" s="242" t="s">
        <v>69</v>
      </c>
      <c r="B2102" s="43" t="s">
        <v>57</v>
      </c>
      <c r="C2102" s="15">
        <v>537</v>
      </c>
      <c r="D2102" s="243">
        <v>49</v>
      </c>
      <c r="E2102" s="243">
        <v>21</v>
      </c>
      <c r="F2102" s="243">
        <v>15</v>
      </c>
      <c r="G2102" s="243">
        <v>25</v>
      </c>
      <c r="H2102" s="243">
        <v>34</v>
      </c>
      <c r="I2102" s="243">
        <v>39</v>
      </c>
      <c r="J2102" s="243">
        <v>58</v>
      </c>
      <c r="K2102" s="243">
        <v>52</v>
      </c>
      <c r="L2102" s="243">
        <v>57</v>
      </c>
      <c r="M2102" s="243">
        <v>51</v>
      </c>
      <c r="N2102" s="243">
        <v>66</v>
      </c>
      <c r="O2102" s="253">
        <v>70</v>
      </c>
    </row>
    <row r="2103" spans="1:15">
      <c r="A2103" s="240" t="s">
        <v>69</v>
      </c>
      <c r="B2103" s="47" t="s">
        <v>59</v>
      </c>
      <c r="C2103" s="15">
        <v>515</v>
      </c>
      <c r="D2103" s="243">
        <v>47</v>
      </c>
      <c r="E2103" s="243">
        <v>34</v>
      </c>
      <c r="F2103" s="243">
        <v>18</v>
      </c>
      <c r="G2103" s="243">
        <v>25</v>
      </c>
      <c r="H2103" s="243">
        <v>38</v>
      </c>
      <c r="I2103" s="243">
        <v>48</v>
      </c>
      <c r="J2103" s="243">
        <v>47</v>
      </c>
      <c r="K2103" s="243">
        <v>42</v>
      </c>
      <c r="L2103" s="243">
        <v>39</v>
      </c>
      <c r="M2103" s="243">
        <v>50</v>
      </c>
      <c r="N2103" s="243">
        <v>58</v>
      </c>
      <c r="O2103" s="253">
        <v>69</v>
      </c>
    </row>
    <row r="2104" spans="1:15">
      <c r="A2104" s="242" t="s">
        <v>69</v>
      </c>
      <c r="B2104" s="43" t="s">
        <v>4</v>
      </c>
      <c r="C2104" s="15">
        <v>29</v>
      </c>
      <c r="D2104" s="244">
        <v>1</v>
      </c>
      <c r="E2104" s="244">
        <v>1</v>
      </c>
      <c r="F2104" s="244">
        <v>0</v>
      </c>
      <c r="G2104" s="244">
        <v>0</v>
      </c>
      <c r="H2104" s="244">
        <v>1</v>
      </c>
      <c r="I2104" s="244">
        <v>4</v>
      </c>
      <c r="J2104" s="244">
        <v>5</v>
      </c>
      <c r="K2104" s="244">
        <v>6</v>
      </c>
      <c r="L2104" s="244">
        <v>4</v>
      </c>
      <c r="M2104" s="244">
        <v>3</v>
      </c>
      <c r="N2104" s="244">
        <v>3</v>
      </c>
      <c r="O2104" s="254">
        <v>1</v>
      </c>
    </row>
    <row r="2105" spans="1:15">
      <c r="A2105" s="240" t="s">
        <v>69</v>
      </c>
      <c r="B2105" s="47" t="s">
        <v>5</v>
      </c>
      <c r="C2105" s="12">
        <v>0.0563106796116505</v>
      </c>
      <c r="D2105" s="241">
        <v>0.0212765957446809</v>
      </c>
      <c r="E2105" s="241">
        <v>0.0294117647058824</v>
      </c>
      <c r="F2105" s="241">
        <v>0</v>
      </c>
      <c r="G2105" s="241">
        <v>0</v>
      </c>
      <c r="H2105" s="241">
        <v>0.0263157894736842</v>
      </c>
      <c r="I2105" s="241">
        <v>0.0833333333333333</v>
      </c>
      <c r="J2105" s="241">
        <v>0.106382978723404</v>
      </c>
      <c r="K2105" s="241">
        <v>0.142857142857143</v>
      </c>
      <c r="L2105" s="241">
        <v>0.102564102564103</v>
      </c>
      <c r="M2105" s="241">
        <v>0.06</v>
      </c>
      <c r="N2105" s="241">
        <v>0.0517241379310345</v>
      </c>
      <c r="O2105" s="252">
        <v>0.0144927536231884</v>
      </c>
    </row>
    <row r="2106" spans="1:15">
      <c r="A2106" s="242" t="s">
        <v>69</v>
      </c>
      <c r="B2106" s="43" t="s">
        <v>6</v>
      </c>
      <c r="C2106" s="15">
        <v>8</v>
      </c>
      <c r="D2106" s="244">
        <v>1</v>
      </c>
      <c r="E2106" s="244">
        <v>0</v>
      </c>
      <c r="F2106" s="244">
        <v>1</v>
      </c>
      <c r="G2106" s="244">
        <v>0</v>
      </c>
      <c r="H2106" s="244">
        <v>0</v>
      </c>
      <c r="I2106" s="244">
        <v>0</v>
      </c>
      <c r="J2106" s="244">
        <v>1</v>
      </c>
      <c r="K2106" s="244">
        <v>2</v>
      </c>
      <c r="L2106" s="244">
        <v>1</v>
      </c>
      <c r="M2106" s="244">
        <v>0</v>
      </c>
      <c r="N2106" s="244">
        <v>1</v>
      </c>
      <c r="O2106" s="254">
        <v>1</v>
      </c>
    </row>
    <row r="2107" ht="14.25" spans="1:15">
      <c r="A2107" s="245" t="s">
        <v>69</v>
      </c>
      <c r="B2107" s="52" t="s">
        <v>64</v>
      </c>
      <c r="C2107" s="19">
        <v>0.275862068965517</v>
      </c>
      <c r="D2107" s="246">
        <v>1</v>
      </c>
      <c r="E2107" s="246">
        <v>0</v>
      </c>
      <c r="F2107" s="246">
        <v>0</v>
      </c>
      <c r="G2107" s="246">
        <v>0</v>
      </c>
      <c r="H2107" s="246">
        <v>0</v>
      </c>
      <c r="I2107" s="246">
        <v>0</v>
      </c>
      <c r="J2107" s="246">
        <v>0.2</v>
      </c>
      <c r="K2107" s="246">
        <v>0.333333333333333</v>
      </c>
      <c r="L2107" s="246">
        <v>0.25</v>
      </c>
      <c r="M2107" s="246">
        <v>0</v>
      </c>
      <c r="N2107" s="246">
        <v>0.333333333333333</v>
      </c>
      <c r="O2107" s="255">
        <v>1</v>
      </c>
    </row>
    <row r="2108" spans="1:15">
      <c r="A2108" s="240" t="s">
        <v>70</v>
      </c>
      <c r="B2108" s="47" t="s">
        <v>55</v>
      </c>
      <c r="C2108" s="12">
        <v>0.81625244345155</v>
      </c>
      <c r="D2108" s="241">
        <v>0.776951672862453</v>
      </c>
      <c r="E2108" s="241">
        <v>0.814285714285714</v>
      </c>
      <c r="F2108" s="241">
        <v>0.810810810810811</v>
      </c>
      <c r="G2108" s="241">
        <v>0.806451612903226</v>
      </c>
      <c r="H2108" s="241">
        <v>0.675373134328358</v>
      </c>
      <c r="I2108" s="241">
        <v>0.686335403726708</v>
      </c>
      <c r="J2108" s="241">
        <v>0.818941504178273</v>
      </c>
      <c r="K2108" s="241">
        <v>0.831099195710456</v>
      </c>
      <c r="L2108" s="241">
        <v>0.878419452887538</v>
      </c>
      <c r="M2108" s="241">
        <v>0.856</v>
      </c>
      <c r="N2108" s="241">
        <v>0.873177842565598</v>
      </c>
      <c r="O2108" s="252">
        <v>0.857881136950904</v>
      </c>
    </row>
    <row r="2109" spans="1:15">
      <c r="A2109" s="242" t="s">
        <v>70</v>
      </c>
      <c r="B2109" s="43" t="s">
        <v>57</v>
      </c>
      <c r="C2109" s="15">
        <v>3581</v>
      </c>
      <c r="D2109" s="243">
        <v>269</v>
      </c>
      <c r="E2109" s="243">
        <v>140</v>
      </c>
      <c r="F2109" s="243">
        <v>74</v>
      </c>
      <c r="G2109" s="243">
        <v>124</v>
      </c>
      <c r="H2109" s="243">
        <v>268</v>
      </c>
      <c r="I2109" s="243">
        <v>322</v>
      </c>
      <c r="J2109" s="243">
        <v>359</v>
      </c>
      <c r="K2109" s="243">
        <v>373</v>
      </c>
      <c r="L2109" s="243">
        <v>329</v>
      </c>
      <c r="M2109" s="243">
        <v>250</v>
      </c>
      <c r="N2109" s="243">
        <v>686</v>
      </c>
      <c r="O2109" s="253">
        <v>387</v>
      </c>
    </row>
    <row r="2110" spans="1:15">
      <c r="A2110" s="240" t="s">
        <v>70</v>
      </c>
      <c r="B2110" s="47" t="s">
        <v>59</v>
      </c>
      <c r="C2110" s="15">
        <v>2923</v>
      </c>
      <c r="D2110" s="243">
        <v>209</v>
      </c>
      <c r="E2110" s="243">
        <v>114</v>
      </c>
      <c r="F2110" s="243">
        <v>60</v>
      </c>
      <c r="G2110" s="243">
        <v>100</v>
      </c>
      <c r="H2110" s="243">
        <v>181</v>
      </c>
      <c r="I2110" s="243">
        <v>221</v>
      </c>
      <c r="J2110" s="243">
        <v>294</v>
      </c>
      <c r="K2110" s="243">
        <v>310</v>
      </c>
      <c r="L2110" s="243">
        <v>289</v>
      </c>
      <c r="M2110" s="243">
        <v>214</v>
      </c>
      <c r="N2110" s="243">
        <v>599</v>
      </c>
      <c r="O2110" s="253">
        <v>332</v>
      </c>
    </row>
    <row r="2111" spans="1:15">
      <c r="A2111" s="242" t="s">
        <v>70</v>
      </c>
      <c r="B2111" s="43" t="s">
        <v>4</v>
      </c>
      <c r="C2111" s="15">
        <v>89</v>
      </c>
      <c r="D2111" s="244">
        <v>7</v>
      </c>
      <c r="E2111" s="244">
        <v>5</v>
      </c>
      <c r="F2111" s="244">
        <v>1</v>
      </c>
      <c r="G2111" s="244">
        <v>3</v>
      </c>
      <c r="H2111" s="244">
        <v>7</v>
      </c>
      <c r="I2111" s="244">
        <v>5</v>
      </c>
      <c r="J2111" s="244">
        <v>10</v>
      </c>
      <c r="K2111" s="244">
        <v>8</v>
      </c>
      <c r="L2111" s="244">
        <v>9</v>
      </c>
      <c r="M2111" s="244">
        <v>8</v>
      </c>
      <c r="N2111" s="244">
        <v>15</v>
      </c>
      <c r="O2111" s="254">
        <v>11</v>
      </c>
    </row>
    <row r="2112" spans="1:15">
      <c r="A2112" s="240" t="s">
        <v>70</v>
      </c>
      <c r="B2112" s="47" t="s">
        <v>5</v>
      </c>
      <c r="C2112" s="12">
        <v>0.030448169688676</v>
      </c>
      <c r="D2112" s="241">
        <v>0.0334928229665072</v>
      </c>
      <c r="E2112" s="241">
        <v>0.043859649122807</v>
      </c>
      <c r="F2112" s="241">
        <v>0.0166666666666667</v>
      </c>
      <c r="G2112" s="241">
        <v>0.03</v>
      </c>
      <c r="H2112" s="241">
        <v>0.0386740331491713</v>
      </c>
      <c r="I2112" s="241">
        <v>0.0226244343891403</v>
      </c>
      <c r="J2112" s="241">
        <v>0.0340136054421769</v>
      </c>
      <c r="K2112" s="241">
        <v>0.0258064516129032</v>
      </c>
      <c r="L2112" s="241">
        <v>0.0311418685121107</v>
      </c>
      <c r="M2112" s="241">
        <v>0.0373831775700935</v>
      </c>
      <c r="N2112" s="241">
        <v>0.0250417362270451</v>
      </c>
      <c r="O2112" s="252">
        <v>0.0331325301204819</v>
      </c>
    </row>
    <row r="2113" spans="1:15">
      <c r="A2113" s="242" t="s">
        <v>70</v>
      </c>
      <c r="B2113" s="43" t="s">
        <v>6</v>
      </c>
      <c r="C2113" s="15">
        <v>14</v>
      </c>
      <c r="D2113" s="244">
        <v>1</v>
      </c>
      <c r="E2113" s="244">
        <v>0</v>
      </c>
      <c r="F2113" s="244">
        <v>0</v>
      </c>
      <c r="G2113" s="244">
        <v>0</v>
      </c>
      <c r="H2113" s="244">
        <v>2</v>
      </c>
      <c r="I2113" s="244">
        <v>2</v>
      </c>
      <c r="J2113" s="244">
        <v>1</v>
      </c>
      <c r="K2113" s="244">
        <v>3</v>
      </c>
      <c r="L2113" s="244">
        <v>0</v>
      </c>
      <c r="M2113" s="244">
        <v>1</v>
      </c>
      <c r="N2113" s="244">
        <v>3</v>
      </c>
      <c r="O2113" s="254">
        <v>1</v>
      </c>
    </row>
    <row r="2114" ht="14.25" spans="1:15">
      <c r="A2114" s="245" t="s">
        <v>70</v>
      </c>
      <c r="B2114" s="52" t="s">
        <v>64</v>
      </c>
      <c r="C2114" s="19">
        <v>0.157303370786517</v>
      </c>
      <c r="D2114" s="246">
        <v>0.142857142857143</v>
      </c>
      <c r="E2114" s="246">
        <v>0</v>
      </c>
      <c r="F2114" s="246">
        <v>0</v>
      </c>
      <c r="G2114" s="246">
        <v>0</v>
      </c>
      <c r="H2114" s="246">
        <v>0.285714285714286</v>
      </c>
      <c r="I2114" s="246">
        <v>0.4</v>
      </c>
      <c r="J2114" s="246">
        <v>0.1</v>
      </c>
      <c r="K2114" s="246">
        <v>0.375</v>
      </c>
      <c r="L2114" s="246">
        <v>0</v>
      </c>
      <c r="M2114" s="246">
        <v>0.125</v>
      </c>
      <c r="N2114" s="246">
        <v>0.2</v>
      </c>
      <c r="O2114" s="255">
        <v>0.0909090909090909</v>
      </c>
    </row>
    <row r="2115" spans="1:15">
      <c r="A2115" s="240" t="s">
        <v>26</v>
      </c>
      <c r="B2115" s="47" t="s">
        <v>55</v>
      </c>
      <c r="C2115" s="12">
        <v>0.343971631205674</v>
      </c>
      <c r="D2115" s="241">
        <v>0.337837837837838</v>
      </c>
      <c r="E2115" s="241">
        <v>0.228395061728395</v>
      </c>
      <c r="F2115" s="241">
        <v>0.331460674157303</v>
      </c>
      <c r="G2115" s="241">
        <v>0.22680412371134</v>
      </c>
      <c r="H2115" s="241">
        <v>0.331034482758621</v>
      </c>
      <c r="I2115" s="241">
        <v>0.336601307189543</v>
      </c>
      <c r="J2115" s="241">
        <v>0.32741116751269</v>
      </c>
      <c r="K2115" s="241">
        <v>0.371212121212121</v>
      </c>
      <c r="L2115" s="241">
        <v>0.375796178343949</v>
      </c>
      <c r="M2115" s="241">
        <v>0.382142857142857</v>
      </c>
      <c r="N2115" s="241">
        <v>0.352589641434263</v>
      </c>
      <c r="O2115" s="252">
        <v>0.406779661016949</v>
      </c>
    </row>
    <row r="2116" spans="1:15">
      <c r="A2116" s="242" t="s">
        <v>26</v>
      </c>
      <c r="B2116" s="43" t="s">
        <v>57</v>
      </c>
      <c r="C2116" s="15">
        <v>3666</v>
      </c>
      <c r="D2116" s="243">
        <v>296</v>
      </c>
      <c r="E2116" s="243">
        <v>162</v>
      </c>
      <c r="F2116" s="243">
        <v>178</v>
      </c>
      <c r="G2116" s="243">
        <v>194</v>
      </c>
      <c r="H2116" s="243">
        <v>290</v>
      </c>
      <c r="I2116" s="243">
        <v>306</v>
      </c>
      <c r="J2116" s="243">
        <v>394</v>
      </c>
      <c r="K2116" s="243">
        <v>396</v>
      </c>
      <c r="L2116" s="243">
        <v>314</v>
      </c>
      <c r="M2116" s="243">
        <v>280</v>
      </c>
      <c r="N2116" s="243">
        <v>502</v>
      </c>
      <c r="O2116" s="253">
        <v>354</v>
      </c>
    </row>
    <row r="2117" spans="1:15">
      <c r="A2117" s="240" t="s">
        <v>26</v>
      </c>
      <c r="B2117" s="47" t="s">
        <v>59</v>
      </c>
      <c r="C2117" s="15">
        <v>1261</v>
      </c>
      <c r="D2117" s="243">
        <v>100</v>
      </c>
      <c r="E2117" s="243">
        <v>37</v>
      </c>
      <c r="F2117" s="243">
        <v>59</v>
      </c>
      <c r="G2117" s="243">
        <v>44</v>
      </c>
      <c r="H2117" s="243">
        <v>96</v>
      </c>
      <c r="I2117" s="243">
        <v>103</v>
      </c>
      <c r="J2117" s="243">
        <v>129</v>
      </c>
      <c r="K2117" s="243">
        <v>147</v>
      </c>
      <c r="L2117" s="243">
        <v>118</v>
      </c>
      <c r="M2117" s="243">
        <v>107</v>
      </c>
      <c r="N2117" s="243">
        <v>177</v>
      </c>
      <c r="O2117" s="253">
        <v>144</v>
      </c>
    </row>
    <row r="2118" spans="1:15">
      <c r="A2118" s="242" t="s">
        <v>26</v>
      </c>
      <c r="B2118" s="43" t="s">
        <v>4</v>
      </c>
      <c r="C2118" s="15">
        <v>19</v>
      </c>
      <c r="D2118" s="244">
        <v>3</v>
      </c>
      <c r="E2118" s="244">
        <v>0</v>
      </c>
      <c r="F2118" s="244">
        <v>1</v>
      </c>
      <c r="G2118" s="244">
        <v>1</v>
      </c>
      <c r="H2118" s="244">
        <v>2</v>
      </c>
      <c r="I2118" s="244">
        <v>4</v>
      </c>
      <c r="J2118" s="244">
        <v>2</v>
      </c>
      <c r="K2118" s="244">
        <v>0</v>
      </c>
      <c r="L2118" s="244">
        <v>2</v>
      </c>
      <c r="M2118" s="244">
        <v>1</v>
      </c>
      <c r="N2118" s="244">
        <v>2</v>
      </c>
      <c r="O2118" s="254">
        <v>1</v>
      </c>
    </row>
    <row r="2119" spans="1:15">
      <c r="A2119" s="240" t="s">
        <v>26</v>
      </c>
      <c r="B2119" s="47" t="s">
        <v>5</v>
      </c>
      <c r="C2119" s="12">
        <v>0.0150674068199841</v>
      </c>
      <c r="D2119" s="241">
        <v>0.03</v>
      </c>
      <c r="E2119" s="241">
        <v>0</v>
      </c>
      <c r="F2119" s="241">
        <v>0.0169491525423729</v>
      </c>
      <c r="G2119" s="241">
        <v>0.0227272727272727</v>
      </c>
      <c r="H2119" s="241">
        <v>0.0208333333333333</v>
      </c>
      <c r="I2119" s="241">
        <v>0.0388349514563107</v>
      </c>
      <c r="J2119" s="241">
        <v>0.0155038759689922</v>
      </c>
      <c r="K2119" s="241">
        <v>0</v>
      </c>
      <c r="L2119" s="241">
        <v>0.0169491525423729</v>
      </c>
      <c r="M2119" s="241">
        <v>0.00934579439252336</v>
      </c>
      <c r="N2119" s="241">
        <v>0.0112994350282486</v>
      </c>
      <c r="O2119" s="252">
        <v>0.00694444444444444</v>
      </c>
    </row>
    <row r="2120" spans="1:15">
      <c r="A2120" s="242" t="s">
        <v>26</v>
      </c>
      <c r="B2120" s="43" t="s">
        <v>6</v>
      </c>
      <c r="C2120" s="15">
        <v>7</v>
      </c>
      <c r="D2120" s="244">
        <v>2</v>
      </c>
      <c r="E2120" s="244">
        <v>0</v>
      </c>
      <c r="F2120" s="244">
        <v>0</v>
      </c>
      <c r="G2120" s="244">
        <v>0</v>
      </c>
      <c r="H2120" s="244">
        <v>0</v>
      </c>
      <c r="I2120" s="244">
        <v>2</v>
      </c>
      <c r="J2120" s="244">
        <v>1</v>
      </c>
      <c r="K2120" s="244">
        <v>0</v>
      </c>
      <c r="L2120" s="244">
        <v>1</v>
      </c>
      <c r="M2120" s="244">
        <v>0</v>
      </c>
      <c r="N2120" s="244">
        <v>0</v>
      </c>
      <c r="O2120" s="254">
        <v>1</v>
      </c>
    </row>
    <row r="2121" ht="14.25" spans="1:15">
      <c r="A2121" s="245" t="s">
        <v>26</v>
      </c>
      <c r="B2121" s="52" t="s">
        <v>64</v>
      </c>
      <c r="C2121" s="19">
        <v>0.368421052631579</v>
      </c>
      <c r="D2121" s="250">
        <v>2</v>
      </c>
      <c r="E2121" s="250">
        <v>0</v>
      </c>
      <c r="F2121" s="250">
        <v>0</v>
      </c>
      <c r="G2121" s="250">
        <v>0</v>
      </c>
      <c r="H2121" s="250">
        <v>0</v>
      </c>
      <c r="I2121" s="250">
        <v>2</v>
      </c>
      <c r="J2121" s="250">
        <v>1</v>
      </c>
      <c r="K2121" s="250">
        <v>0</v>
      </c>
      <c r="L2121" s="250">
        <v>1</v>
      </c>
      <c r="M2121" s="250">
        <v>0</v>
      </c>
      <c r="N2121" s="250">
        <v>0</v>
      </c>
      <c r="O2121" s="257">
        <v>1</v>
      </c>
    </row>
    <row r="2122" spans="1:15">
      <c r="A2122" s="240" t="s">
        <v>71</v>
      </c>
      <c r="B2122" s="47" t="s">
        <v>55</v>
      </c>
      <c r="C2122" s="12">
        <v>0.0648414985590778</v>
      </c>
      <c r="D2122" s="241">
        <v>0.0408163265306122</v>
      </c>
      <c r="E2122" s="241">
        <v>0</v>
      </c>
      <c r="F2122" s="241">
        <v>0.1</v>
      </c>
      <c r="G2122" s="241">
        <v>0.0357142857142857</v>
      </c>
      <c r="H2122" s="241">
        <v>0.00657894736842105</v>
      </c>
      <c r="I2122" s="241">
        <v>0.0666666666666667</v>
      </c>
      <c r="J2122" s="241">
        <v>0.152173913043478</v>
      </c>
      <c r="K2122" s="241">
        <v>0.142857142857143</v>
      </c>
      <c r="L2122" s="241">
        <v>0.0851063829787234</v>
      </c>
      <c r="M2122" s="241">
        <v>0.087719298245614</v>
      </c>
      <c r="N2122" s="241">
        <v>0.0634920634920635</v>
      </c>
      <c r="O2122" s="252">
        <v>0.101694915254237</v>
      </c>
    </row>
    <row r="2123" spans="1:15">
      <c r="A2123" s="242" t="s">
        <v>71</v>
      </c>
      <c r="B2123" s="43" t="s">
        <v>57</v>
      </c>
      <c r="C2123" s="15">
        <v>694</v>
      </c>
      <c r="D2123" s="243">
        <v>49</v>
      </c>
      <c r="E2123" s="243">
        <v>29</v>
      </c>
      <c r="F2123" s="243">
        <v>10</v>
      </c>
      <c r="G2123" s="243">
        <v>28</v>
      </c>
      <c r="H2123" s="243">
        <v>152</v>
      </c>
      <c r="I2123" s="243">
        <v>105</v>
      </c>
      <c r="J2123" s="243">
        <v>46</v>
      </c>
      <c r="K2123" s="243">
        <v>49</v>
      </c>
      <c r="L2123" s="243">
        <v>47</v>
      </c>
      <c r="M2123" s="243">
        <v>57</v>
      </c>
      <c r="N2123" s="243">
        <v>63</v>
      </c>
      <c r="O2123" s="253">
        <v>59</v>
      </c>
    </row>
    <row r="2124" spans="1:15">
      <c r="A2124" s="240" t="s">
        <v>71</v>
      </c>
      <c r="B2124" s="47" t="s">
        <v>59</v>
      </c>
      <c r="C2124" s="15">
        <v>45</v>
      </c>
      <c r="D2124" s="243">
        <v>2</v>
      </c>
      <c r="E2124" s="243">
        <v>0</v>
      </c>
      <c r="F2124" s="243">
        <v>1</v>
      </c>
      <c r="G2124" s="243">
        <v>1</v>
      </c>
      <c r="H2124" s="243">
        <v>1</v>
      </c>
      <c r="I2124" s="243">
        <v>7</v>
      </c>
      <c r="J2124" s="243">
        <v>7</v>
      </c>
      <c r="K2124" s="243">
        <v>7</v>
      </c>
      <c r="L2124" s="243">
        <v>4</v>
      </c>
      <c r="M2124" s="243">
        <v>5</v>
      </c>
      <c r="N2124" s="243">
        <v>4</v>
      </c>
      <c r="O2124" s="253">
        <v>6</v>
      </c>
    </row>
    <row r="2125" spans="1:15">
      <c r="A2125" s="242" t="s">
        <v>71</v>
      </c>
      <c r="B2125" s="43" t="s">
        <v>4</v>
      </c>
      <c r="C2125" s="15">
        <v>51</v>
      </c>
      <c r="D2125" s="244">
        <v>2</v>
      </c>
      <c r="E2125" s="244">
        <v>3</v>
      </c>
      <c r="F2125" s="244">
        <v>1</v>
      </c>
      <c r="G2125" s="244">
        <v>3</v>
      </c>
      <c r="H2125" s="244">
        <v>12</v>
      </c>
      <c r="I2125" s="244">
        <v>11</v>
      </c>
      <c r="J2125" s="244">
        <v>4</v>
      </c>
      <c r="K2125" s="244">
        <v>0</v>
      </c>
      <c r="L2125" s="244">
        <v>1</v>
      </c>
      <c r="M2125" s="244">
        <v>5</v>
      </c>
      <c r="N2125" s="244">
        <v>6</v>
      </c>
      <c r="O2125" s="254">
        <v>3</v>
      </c>
    </row>
    <row r="2126" spans="1:15">
      <c r="A2126" s="240" t="s">
        <v>71</v>
      </c>
      <c r="B2126" s="47" t="s">
        <v>5</v>
      </c>
      <c r="C2126" s="12">
        <v>1.13333333333333</v>
      </c>
      <c r="D2126" s="241">
        <v>1</v>
      </c>
      <c r="E2126" s="241">
        <v>0</v>
      </c>
      <c r="F2126" s="241">
        <v>1</v>
      </c>
      <c r="G2126" s="241">
        <v>3</v>
      </c>
      <c r="H2126" s="241">
        <v>12</v>
      </c>
      <c r="I2126" s="241">
        <v>1.57142857142857</v>
      </c>
      <c r="J2126" s="241">
        <v>0.571428571428571</v>
      </c>
      <c r="K2126" s="241">
        <v>0</v>
      </c>
      <c r="L2126" s="241">
        <v>0.25</v>
      </c>
      <c r="M2126" s="241">
        <v>1</v>
      </c>
      <c r="N2126" s="241">
        <v>1.5</v>
      </c>
      <c r="O2126" s="252">
        <v>0.5</v>
      </c>
    </row>
    <row r="2127" spans="1:15">
      <c r="A2127" s="242" t="s">
        <v>71</v>
      </c>
      <c r="B2127" s="43" t="s">
        <v>6</v>
      </c>
      <c r="C2127" s="15">
        <v>9</v>
      </c>
      <c r="D2127" s="244">
        <v>0</v>
      </c>
      <c r="E2127" s="244">
        <v>1</v>
      </c>
      <c r="F2127" s="244">
        <v>0</v>
      </c>
      <c r="G2127" s="244">
        <v>1</v>
      </c>
      <c r="H2127" s="244">
        <v>2</v>
      </c>
      <c r="I2127" s="244">
        <v>2</v>
      </c>
      <c r="J2127" s="244">
        <v>0</v>
      </c>
      <c r="K2127" s="244">
        <v>0</v>
      </c>
      <c r="L2127" s="244">
        <v>0</v>
      </c>
      <c r="M2127" s="244">
        <v>1</v>
      </c>
      <c r="N2127" s="244">
        <v>2</v>
      </c>
      <c r="O2127" s="254">
        <v>0</v>
      </c>
    </row>
    <row r="2128" ht="14.25" spans="1:15">
      <c r="A2128" s="245" t="s">
        <v>71</v>
      </c>
      <c r="B2128" s="52" t="s">
        <v>64</v>
      </c>
      <c r="C2128" s="19">
        <v>0.176470588235294</v>
      </c>
      <c r="D2128" s="250">
        <v>0</v>
      </c>
      <c r="E2128" s="250">
        <v>1</v>
      </c>
      <c r="F2128" s="250">
        <v>0</v>
      </c>
      <c r="G2128" s="250">
        <v>1</v>
      </c>
      <c r="H2128" s="250">
        <v>2</v>
      </c>
      <c r="I2128" s="250">
        <v>2</v>
      </c>
      <c r="J2128" s="250">
        <v>0</v>
      </c>
      <c r="K2128" s="250">
        <v>0</v>
      </c>
      <c r="L2128" s="250">
        <v>0</v>
      </c>
      <c r="M2128" s="250">
        <v>1</v>
      </c>
      <c r="N2128" s="250">
        <v>2</v>
      </c>
      <c r="O2128" s="257">
        <v>0</v>
      </c>
    </row>
    <row r="2129" spans="1:15">
      <c r="A2129" s="240" t="s">
        <v>72</v>
      </c>
      <c r="B2129" s="47" t="s">
        <v>55</v>
      </c>
      <c r="C2129" s="12">
        <v>0.369409166206516</v>
      </c>
      <c r="D2129" s="241">
        <v>0.39041095890411</v>
      </c>
      <c r="E2129" s="241">
        <v>0.41566265060241</v>
      </c>
      <c r="F2129" s="241">
        <v>0.37719298245614</v>
      </c>
      <c r="G2129" s="241">
        <v>0.396825396825397</v>
      </c>
      <c r="H2129" s="241">
        <v>0.341726618705036</v>
      </c>
      <c r="I2129" s="241">
        <v>0.346153846153846</v>
      </c>
      <c r="J2129" s="241">
        <v>0.368055555555556</v>
      </c>
      <c r="K2129" s="241">
        <v>0.342245989304813</v>
      </c>
      <c r="L2129" s="241">
        <v>0.351282051282051</v>
      </c>
      <c r="M2129" s="241">
        <v>0.396875</v>
      </c>
      <c r="N2129" s="241">
        <v>0.354166666666667</v>
      </c>
      <c r="O2129" s="252">
        <v>0.391304347826087</v>
      </c>
    </row>
    <row r="2130" spans="1:15">
      <c r="A2130" s="242" t="s">
        <v>72</v>
      </c>
      <c r="B2130" s="43" t="s">
        <v>57</v>
      </c>
      <c r="C2130" s="15">
        <v>3622</v>
      </c>
      <c r="D2130" s="243">
        <v>292</v>
      </c>
      <c r="E2130" s="243">
        <v>166</v>
      </c>
      <c r="F2130" s="243">
        <v>114</v>
      </c>
      <c r="G2130" s="243">
        <v>126</v>
      </c>
      <c r="H2130" s="243">
        <v>278</v>
      </c>
      <c r="I2130" s="243">
        <v>338</v>
      </c>
      <c r="J2130" s="243">
        <v>288</v>
      </c>
      <c r="K2130" s="243">
        <v>374</v>
      </c>
      <c r="L2130" s="243">
        <v>390</v>
      </c>
      <c r="M2130" s="243">
        <v>320</v>
      </c>
      <c r="N2130" s="243">
        <v>384</v>
      </c>
      <c r="O2130" s="253">
        <v>552</v>
      </c>
    </row>
    <row r="2131" spans="1:15">
      <c r="A2131" s="240" t="s">
        <v>72</v>
      </c>
      <c r="B2131" s="47" t="s">
        <v>59</v>
      </c>
      <c r="C2131" s="15">
        <v>1338</v>
      </c>
      <c r="D2131" s="243">
        <v>114</v>
      </c>
      <c r="E2131" s="243">
        <v>69</v>
      </c>
      <c r="F2131" s="243">
        <v>43</v>
      </c>
      <c r="G2131" s="243">
        <v>50</v>
      </c>
      <c r="H2131" s="243">
        <v>95</v>
      </c>
      <c r="I2131" s="243">
        <v>117</v>
      </c>
      <c r="J2131" s="243">
        <v>106</v>
      </c>
      <c r="K2131" s="243">
        <v>128</v>
      </c>
      <c r="L2131" s="243">
        <v>137</v>
      </c>
      <c r="M2131" s="243">
        <v>127</v>
      </c>
      <c r="N2131" s="243">
        <v>136</v>
      </c>
      <c r="O2131" s="253">
        <v>216</v>
      </c>
    </row>
    <row r="2132" spans="1:15">
      <c r="A2132" s="242" t="s">
        <v>72</v>
      </c>
      <c r="B2132" s="43" t="s">
        <v>4</v>
      </c>
      <c r="C2132" s="15">
        <v>46</v>
      </c>
      <c r="D2132" s="244">
        <v>3</v>
      </c>
      <c r="E2132" s="244">
        <v>7</v>
      </c>
      <c r="F2132" s="244">
        <v>1</v>
      </c>
      <c r="G2132" s="244">
        <v>2</v>
      </c>
      <c r="H2132" s="244">
        <v>4</v>
      </c>
      <c r="I2132" s="244">
        <v>6</v>
      </c>
      <c r="J2132" s="244">
        <v>3</v>
      </c>
      <c r="K2132" s="244">
        <v>2</v>
      </c>
      <c r="L2132" s="244">
        <v>6</v>
      </c>
      <c r="M2132" s="244">
        <v>3</v>
      </c>
      <c r="N2132" s="244">
        <v>5</v>
      </c>
      <c r="O2132" s="254">
        <v>4</v>
      </c>
    </row>
    <row r="2133" spans="1:15">
      <c r="A2133" s="240" t="s">
        <v>72</v>
      </c>
      <c r="B2133" s="47" t="s">
        <v>5</v>
      </c>
      <c r="C2133" s="12">
        <v>0.0343796711509716</v>
      </c>
      <c r="D2133" s="241">
        <v>0.0263157894736842</v>
      </c>
      <c r="E2133" s="241">
        <v>0.101449275362319</v>
      </c>
      <c r="F2133" s="241">
        <v>0.0232558139534884</v>
      </c>
      <c r="G2133" s="241">
        <v>0.04</v>
      </c>
      <c r="H2133" s="241">
        <v>0.0421052631578947</v>
      </c>
      <c r="I2133" s="241">
        <v>0.0512820512820513</v>
      </c>
      <c r="J2133" s="241">
        <v>0.0283018867924528</v>
      </c>
      <c r="K2133" s="241">
        <v>0.015625</v>
      </c>
      <c r="L2133" s="241">
        <v>0.0437956204379562</v>
      </c>
      <c r="M2133" s="241">
        <v>0.0236220472440945</v>
      </c>
      <c r="N2133" s="241">
        <v>0.0367647058823529</v>
      </c>
      <c r="O2133" s="252">
        <v>0.0185185185185185</v>
      </c>
    </row>
    <row r="2134" spans="1:15">
      <c r="A2134" s="242" t="s">
        <v>72</v>
      </c>
      <c r="B2134" s="43" t="s">
        <v>6</v>
      </c>
      <c r="C2134" s="15">
        <v>10</v>
      </c>
      <c r="D2134" s="244">
        <v>0</v>
      </c>
      <c r="E2134" s="244">
        <v>1</v>
      </c>
      <c r="F2134" s="244">
        <v>0</v>
      </c>
      <c r="G2134" s="244">
        <v>0</v>
      </c>
      <c r="H2134" s="244">
        <v>1</v>
      </c>
      <c r="I2134" s="244">
        <v>3</v>
      </c>
      <c r="J2134" s="244">
        <v>3</v>
      </c>
      <c r="K2134" s="244">
        <v>0</v>
      </c>
      <c r="L2134" s="244">
        <v>0</v>
      </c>
      <c r="M2134" s="244">
        <v>1</v>
      </c>
      <c r="N2134" s="244">
        <v>0</v>
      </c>
      <c r="O2134" s="254">
        <v>1</v>
      </c>
    </row>
    <row r="2135" ht="14.25" spans="1:15">
      <c r="A2135" s="245" t="s">
        <v>72</v>
      </c>
      <c r="B2135" s="52" t="s">
        <v>64</v>
      </c>
      <c r="C2135" s="19">
        <v>0.217391304347826</v>
      </c>
      <c r="D2135" s="250">
        <v>0</v>
      </c>
      <c r="E2135" s="250">
        <v>1</v>
      </c>
      <c r="F2135" s="250">
        <v>0</v>
      </c>
      <c r="G2135" s="250">
        <v>0</v>
      </c>
      <c r="H2135" s="250">
        <v>1</v>
      </c>
      <c r="I2135" s="250">
        <v>3</v>
      </c>
      <c r="J2135" s="250">
        <v>3</v>
      </c>
      <c r="K2135" s="250">
        <v>0</v>
      </c>
      <c r="L2135" s="250">
        <v>0</v>
      </c>
      <c r="M2135" s="250">
        <v>1</v>
      </c>
      <c r="N2135" s="250">
        <v>0</v>
      </c>
      <c r="O2135" s="257">
        <v>1</v>
      </c>
    </row>
    <row r="2136" ht="14.25" spans="1:15">
      <c r="A2136" s="237">
        <v>45052</v>
      </c>
      <c r="B2136" s="237"/>
      <c r="C2136" s="237"/>
      <c r="D2136" s="237"/>
      <c r="E2136" s="237"/>
      <c r="F2136" s="237"/>
      <c r="G2136" s="237"/>
      <c r="H2136" s="237"/>
      <c r="I2136" s="237"/>
      <c r="J2136" s="237"/>
      <c r="K2136" s="237"/>
      <c r="L2136" s="237"/>
      <c r="M2136" s="237"/>
      <c r="N2136" s="237"/>
      <c r="O2136" s="237"/>
    </row>
    <row r="2137" spans="1:15">
      <c r="A2137" s="56" t="s">
        <v>1</v>
      </c>
      <c r="B2137" s="238"/>
      <c r="C2137" s="8" t="s">
        <v>42</v>
      </c>
      <c r="D2137" s="239" t="s">
        <v>43</v>
      </c>
      <c r="E2137" s="239" t="s">
        <v>44</v>
      </c>
      <c r="F2137" s="239" t="s">
        <v>45</v>
      </c>
      <c r="G2137" s="239" t="s">
        <v>46</v>
      </c>
      <c r="H2137" s="239" t="s">
        <v>47</v>
      </c>
      <c r="I2137" s="239" t="s">
        <v>48</v>
      </c>
      <c r="J2137" s="239" t="s">
        <v>49</v>
      </c>
      <c r="K2137" s="239" t="s">
        <v>50</v>
      </c>
      <c r="L2137" s="239" t="s">
        <v>51</v>
      </c>
      <c r="M2137" s="239" t="s">
        <v>52</v>
      </c>
      <c r="N2137" s="239" t="s">
        <v>53</v>
      </c>
      <c r="O2137" s="251" t="s">
        <v>54</v>
      </c>
    </row>
    <row r="2138" spans="1:15">
      <c r="A2138" s="240" t="s">
        <v>22</v>
      </c>
      <c r="B2138" s="47" t="s">
        <v>55</v>
      </c>
      <c r="C2138" s="12">
        <v>0.465165007857517</v>
      </c>
      <c r="D2138" s="241">
        <v>0.565217391304348</v>
      </c>
      <c r="E2138" s="241">
        <v>0.4625</v>
      </c>
      <c r="F2138" s="241">
        <v>0.482758620689655</v>
      </c>
      <c r="G2138" s="241">
        <v>0.584269662921348</v>
      </c>
      <c r="H2138" s="241">
        <v>0.577777777777778</v>
      </c>
      <c r="I2138" s="241">
        <v>0.550724637681159</v>
      </c>
      <c r="J2138" s="241">
        <v>0.535211267605634</v>
      </c>
      <c r="K2138" s="241">
        <v>0.440414507772021</v>
      </c>
      <c r="L2138" s="241">
        <v>0.408163265306122</v>
      </c>
      <c r="M2138" s="241">
        <v>0.411764705882353</v>
      </c>
      <c r="N2138" s="241">
        <v>0.399239543726236</v>
      </c>
      <c r="O2138" s="252">
        <v>0.384</v>
      </c>
    </row>
    <row r="2139" spans="1:15">
      <c r="A2139" s="242" t="s">
        <v>22</v>
      </c>
      <c r="B2139" s="43" t="s">
        <v>57</v>
      </c>
      <c r="C2139" s="15">
        <v>1909</v>
      </c>
      <c r="D2139" s="243">
        <v>161</v>
      </c>
      <c r="E2139" s="243">
        <v>80</v>
      </c>
      <c r="F2139" s="243">
        <v>58</v>
      </c>
      <c r="G2139" s="243">
        <v>89</v>
      </c>
      <c r="H2139" s="243">
        <v>135</v>
      </c>
      <c r="I2139" s="243">
        <v>138</v>
      </c>
      <c r="J2139" s="243">
        <v>142</v>
      </c>
      <c r="K2139" s="243">
        <v>193</v>
      </c>
      <c r="L2139" s="243">
        <v>196</v>
      </c>
      <c r="M2139" s="243">
        <v>204</v>
      </c>
      <c r="N2139" s="243">
        <v>263</v>
      </c>
      <c r="O2139" s="253">
        <v>250</v>
      </c>
    </row>
    <row r="2140" spans="1:15">
      <c r="A2140" s="240" t="s">
        <v>22</v>
      </c>
      <c r="B2140" s="47" t="s">
        <v>59</v>
      </c>
      <c r="C2140" s="15">
        <v>888</v>
      </c>
      <c r="D2140" s="243">
        <v>91</v>
      </c>
      <c r="E2140" s="243">
        <v>37</v>
      </c>
      <c r="F2140" s="243">
        <v>28</v>
      </c>
      <c r="G2140" s="243">
        <v>52</v>
      </c>
      <c r="H2140" s="243">
        <v>78</v>
      </c>
      <c r="I2140" s="243">
        <v>76</v>
      </c>
      <c r="J2140" s="243">
        <v>76</v>
      </c>
      <c r="K2140" s="243">
        <v>85</v>
      </c>
      <c r="L2140" s="243">
        <v>80</v>
      </c>
      <c r="M2140" s="243">
        <v>84</v>
      </c>
      <c r="N2140" s="243">
        <v>105</v>
      </c>
      <c r="O2140" s="253">
        <v>96</v>
      </c>
    </row>
    <row r="2141" spans="1:15">
      <c r="A2141" s="242" t="s">
        <v>22</v>
      </c>
      <c r="B2141" s="43" t="s">
        <v>4</v>
      </c>
      <c r="C2141" s="15">
        <v>58</v>
      </c>
      <c r="D2141" s="244">
        <v>7</v>
      </c>
      <c r="E2141" s="244">
        <v>4</v>
      </c>
      <c r="F2141" s="244">
        <v>2</v>
      </c>
      <c r="G2141" s="244">
        <v>1</v>
      </c>
      <c r="H2141" s="244">
        <v>3</v>
      </c>
      <c r="I2141" s="244">
        <v>4</v>
      </c>
      <c r="J2141" s="244">
        <v>9</v>
      </c>
      <c r="K2141" s="244">
        <v>2</v>
      </c>
      <c r="L2141" s="244">
        <v>3</v>
      </c>
      <c r="M2141" s="244">
        <v>6</v>
      </c>
      <c r="N2141" s="244">
        <v>10</v>
      </c>
      <c r="O2141" s="254">
        <v>7</v>
      </c>
    </row>
    <row r="2142" spans="1:15">
      <c r="A2142" s="240" t="s">
        <v>22</v>
      </c>
      <c r="B2142" s="47" t="s">
        <v>5</v>
      </c>
      <c r="C2142" s="12">
        <v>0.0653153153153153</v>
      </c>
      <c r="D2142" s="241">
        <v>0.0769230769230769</v>
      </c>
      <c r="E2142" s="241">
        <v>0.108108108108108</v>
      </c>
      <c r="F2142" s="241">
        <v>0.0714285714285714</v>
      </c>
      <c r="G2142" s="241">
        <v>0.0192307692307692</v>
      </c>
      <c r="H2142" s="241">
        <v>0.0384615384615385</v>
      </c>
      <c r="I2142" s="241">
        <v>0.0526315789473684</v>
      </c>
      <c r="J2142" s="241">
        <v>0.118421052631579</v>
      </c>
      <c r="K2142" s="241">
        <v>0.0235294117647059</v>
      </c>
      <c r="L2142" s="241">
        <v>0.0375</v>
      </c>
      <c r="M2142" s="241">
        <v>0.0714285714285714</v>
      </c>
      <c r="N2142" s="241">
        <v>0.0952380952380952</v>
      </c>
      <c r="O2142" s="252">
        <v>0.0729166666666667</v>
      </c>
    </row>
    <row r="2143" spans="1:15">
      <c r="A2143" s="242" t="s">
        <v>22</v>
      </c>
      <c r="B2143" s="43" t="s">
        <v>6</v>
      </c>
      <c r="C2143" s="15">
        <v>16</v>
      </c>
      <c r="D2143" s="244">
        <v>1</v>
      </c>
      <c r="E2143" s="244">
        <v>1</v>
      </c>
      <c r="F2143" s="244">
        <v>0</v>
      </c>
      <c r="G2143" s="244">
        <v>0</v>
      </c>
      <c r="H2143" s="244">
        <v>2</v>
      </c>
      <c r="I2143" s="244">
        <v>2</v>
      </c>
      <c r="J2143" s="244">
        <v>1</v>
      </c>
      <c r="K2143" s="244">
        <v>2</v>
      </c>
      <c r="L2143" s="244">
        <v>1</v>
      </c>
      <c r="M2143" s="244">
        <v>2</v>
      </c>
      <c r="N2143" s="244">
        <v>2</v>
      </c>
      <c r="O2143" s="254">
        <v>2</v>
      </c>
    </row>
    <row r="2144" ht="14.25" spans="1:15">
      <c r="A2144" s="245" t="s">
        <v>22</v>
      </c>
      <c r="B2144" s="52" t="s">
        <v>64</v>
      </c>
      <c r="C2144" s="19">
        <v>0.275862068965517</v>
      </c>
      <c r="D2144" s="246">
        <v>0.142857142857143</v>
      </c>
      <c r="E2144" s="246">
        <v>0.25</v>
      </c>
      <c r="F2144" s="246">
        <v>0</v>
      </c>
      <c r="G2144" s="246">
        <v>0</v>
      </c>
      <c r="H2144" s="246">
        <v>0.666666666666667</v>
      </c>
      <c r="I2144" s="246">
        <v>0.5</v>
      </c>
      <c r="J2144" s="246">
        <v>0.111111111111111</v>
      </c>
      <c r="K2144" s="246">
        <v>1</v>
      </c>
      <c r="L2144" s="246">
        <v>0.333333333333333</v>
      </c>
      <c r="M2144" s="246">
        <v>0.333333333333333</v>
      </c>
      <c r="N2144" s="246">
        <v>0.2</v>
      </c>
      <c r="O2144" s="255">
        <v>0.285714285714286</v>
      </c>
    </row>
    <row r="2145" spans="1:15">
      <c r="A2145" s="247" t="s">
        <v>66</v>
      </c>
      <c r="B2145" s="248" t="s">
        <v>55</v>
      </c>
      <c r="C2145" s="12">
        <v>0.129346904156064</v>
      </c>
      <c r="D2145" s="249">
        <v>0.107142857142857</v>
      </c>
      <c r="E2145" s="249">
        <v>0.0471204188481675</v>
      </c>
      <c r="F2145" s="249">
        <v>0.0241935483870968</v>
      </c>
      <c r="G2145" s="249">
        <v>0.0841121495327103</v>
      </c>
      <c r="H2145" s="249">
        <v>0.142857142857143</v>
      </c>
      <c r="I2145" s="249">
        <v>0.158823529411765</v>
      </c>
      <c r="J2145" s="249">
        <v>0.187096774193548</v>
      </c>
      <c r="K2145" s="249">
        <v>0.167701863354037</v>
      </c>
      <c r="L2145" s="249">
        <v>0.31</v>
      </c>
      <c r="M2145" s="249">
        <v>0.182795698924731</v>
      </c>
      <c r="N2145" s="249">
        <v>0.246031746031746</v>
      </c>
      <c r="O2145" s="256">
        <v>0.224358974358974</v>
      </c>
    </row>
    <row r="2146" spans="1:15">
      <c r="A2146" s="242" t="s">
        <v>66</v>
      </c>
      <c r="B2146" s="43" t="s">
        <v>57</v>
      </c>
      <c r="C2146" s="15">
        <v>2358</v>
      </c>
      <c r="D2146" s="243">
        <v>364</v>
      </c>
      <c r="E2146" s="243">
        <v>382</v>
      </c>
      <c r="F2146" s="243">
        <v>248</v>
      </c>
      <c r="G2146" s="243">
        <v>214</v>
      </c>
      <c r="H2146" s="243">
        <v>189</v>
      </c>
      <c r="I2146" s="243">
        <v>170</v>
      </c>
      <c r="J2146" s="243">
        <v>155</v>
      </c>
      <c r="K2146" s="243">
        <v>161</v>
      </c>
      <c r="L2146" s="243">
        <v>100</v>
      </c>
      <c r="M2146" s="243">
        <v>93</v>
      </c>
      <c r="N2146" s="243">
        <v>126</v>
      </c>
      <c r="O2146" s="253">
        <v>156</v>
      </c>
    </row>
    <row r="2147" spans="1:15">
      <c r="A2147" s="240" t="s">
        <v>66</v>
      </c>
      <c r="B2147" s="47" t="s">
        <v>59</v>
      </c>
      <c r="C2147" s="15">
        <v>305</v>
      </c>
      <c r="D2147" s="243">
        <v>39</v>
      </c>
      <c r="E2147" s="243">
        <v>18</v>
      </c>
      <c r="F2147" s="243">
        <v>6</v>
      </c>
      <c r="G2147" s="243">
        <v>18</v>
      </c>
      <c r="H2147" s="243">
        <v>27</v>
      </c>
      <c r="I2147" s="243">
        <v>27</v>
      </c>
      <c r="J2147" s="243">
        <v>29</v>
      </c>
      <c r="K2147" s="243">
        <v>27</v>
      </c>
      <c r="L2147" s="243">
        <v>31</v>
      </c>
      <c r="M2147" s="243">
        <v>17</v>
      </c>
      <c r="N2147" s="243">
        <v>31</v>
      </c>
      <c r="O2147" s="253">
        <v>35</v>
      </c>
    </row>
    <row r="2148" spans="1:15">
      <c r="A2148" s="242" t="s">
        <v>66</v>
      </c>
      <c r="B2148" s="43" t="s">
        <v>4</v>
      </c>
      <c r="C2148" s="15">
        <v>18</v>
      </c>
      <c r="D2148" s="244">
        <v>2</v>
      </c>
      <c r="E2148" s="244">
        <v>1</v>
      </c>
      <c r="F2148" s="244">
        <v>0</v>
      </c>
      <c r="G2148" s="244">
        <v>0</v>
      </c>
      <c r="H2148" s="244">
        <v>2</v>
      </c>
      <c r="I2148" s="244">
        <v>2</v>
      </c>
      <c r="J2148" s="244">
        <v>1</v>
      </c>
      <c r="K2148" s="244">
        <v>0</v>
      </c>
      <c r="L2148" s="244">
        <v>2</v>
      </c>
      <c r="M2148" s="244">
        <v>2</v>
      </c>
      <c r="N2148" s="244">
        <v>2</v>
      </c>
      <c r="O2148" s="254">
        <v>4</v>
      </c>
    </row>
    <row r="2149" spans="1:15">
      <c r="A2149" s="240" t="s">
        <v>66</v>
      </c>
      <c r="B2149" s="47" t="s">
        <v>5</v>
      </c>
      <c r="C2149" s="12">
        <v>0.059016393442623</v>
      </c>
      <c r="D2149" s="241">
        <v>0.0512820512820513</v>
      </c>
      <c r="E2149" s="241">
        <v>0.0555555555555556</v>
      </c>
      <c r="F2149" s="241">
        <v>0</v>
      </c>
      <c r="G2149" s="241">
        <v>0</v>
      </c>
      <c r="H2149" s="241">
        <v>0.0740740740740741</v>
      </c>
      <c r="I2149" s="241">
        <v>0.0740740740740741</v>
      </c>
      <c r="J2149" s="241">
        <v>0.0344827586206897</v>
      </c>
      <c r="K2149" s="241">
        <v>0</v>
      </c>
      <c r="L2149" s="241">
        <v>0.0645161290322581</v>
      </c>
      <c r="M2149" s="241">
        <v>0.117647058823529</v>
      </c>
      <c r="N2149" s="241">
        <v>0.0645161290322581</v>
      </c>
      <c r="O2149" s="252">
        <v>0.114285714285714</v>
      </c>
    </row>
    <row r="2150" spans="1:15">
      <c r="A2150" s="242" t="s">
        <v>66</v>
      </c>
      <c r="B2150" s="43" t="s">
        <v>6</v>
      </c>
      <c r="C2150" s="15">
        <v>4</v>
      </c>
      <c r="D2150" s="244">
        <v>1</v>
      </c>
      <c r="E2150" s="244">
        <v>0</v>
      </c>
      <c r="F2150" s="244">
        <v>0</v>
      </c>
      <c r="G2150" s="244">
        <v>0</v>
      </c>
      <c r="H2150" s="244">
        <v>0</v>
      </c>
      <c r="I2150" s="244">
        <v>2</v>
      </c>
      <c r="J2150" s="244">
        <v>0</v>
      </c>
      <c r="K2150" s="244">
        <v>0</v>
      </c>
      <c r="L2150" s="244">
        <v>0</v>
      </c>
      <c r="M2150" s="244">
        <v>0</v>
      </c>
      <c r="N2150" s="244">
        <v>1</v>
      </c>
      <c r="O2150" s="254">
        <v>0</v>
      </c>
    </row>
    <row r="2151" ht="14.25" spans="1:15">
      <c r="A2151" s="245" t="s">
        <v>66</v>
      </c>
      <c r="B2151" s="52" t="s">
        <v>64</v>
      </c>
      <c r="C2151" s="19">
        <v>0.222222222222222</v>
      </c>
      <c r="D2151" s="246">
        <v>0.5</v>
      </c>
      <c r="E2151" s="246">
        <v>0</v>
      </c>
      <c r="F2151" s="246">
        <v>0</v>
      </c>
      <c r="G2151" s="246">
        <v>0</v>
      </c>
      <c r="H2151" s="246">
        <v>0</v>
      </c>
      <c r="I2151" s="246">
        <v>1</v>
      </c>
      <c r="J2151" s="246">
        <v>0</v>
      </c>
      <c r="K2151" s="246">
        <v>0</v>
      </c>
      <c r="L2151" s="246">
        <v>0</v>
      </c>
      <c r="M2151" s="246">
        <v>0</v>
      </c>
      <c r="N2151" s="246">
        <v>0.5</v>
      </c>
      <c r="O2151" s="255">
        <v>0</v>
      </c>
    </row>
    <row r="2152" spans="1:15">
      <c r="A2152" s="240" t="s">
        <v>67</v>
      </c>
      <c r="B2152" s="47" t="s">
        <v>55</v>
      </c>
      <c r="C2152" s="12">
        <v>0.587264150943396</v>
      </c>
      <c r="D2152" s="241">
        <v>0.592592592592593</v>
      </c>
      <c r="E2152" s="241">
        <v>0.75</v>
      </c>
      <c r="F2152" s="241">
        <v>0.5</v>
      </c>
      <c r="G2152" s="241">
        <v>0.722222222222222</v>
      </c>
      <c r="H2152" s="241">
        <v>0.6</v>
      </c>
      <c r="I2152" s="241">
        <v>0.523809523809524</v>
      </c>
      <c r="J2152" s="241">
        <v>0.578947368421053</v>
      </c>
      <c r="K2152" s="241">
        <v>0.304347826086957</v>
      </c>
      <c r="L2152" s="241">
        <v>0.785714285714286</v>
      </c>
      <c r="M2152" s="241">
        <v>0.705882352941177</v>
      </c>
      <c r="N2152" s="241">
        <v>0.766666666666667</v>
      </c>
      <c r="O2152" s="252">
        <v>0.5</v>
      </c>
    </row>
    <row r="2153" spans="1:15">
      <c r="A2153" s="242" t="s">
        <v>67</v>
      </c>
      <c r="B2153" s="43" t="s">
        <v>57</v>
      </c>
      <c r="C2153" s="15">
        <v>424</v>
      </c>
      <c r="D2153" s="243">
        <v>54</v>
      </c>
      <c r="E2153" s="243">
        <v>24</v>
      </c>
      <c r="F2153" s="243">
        <v>20</v>
      </c>
      <c r="G2153" s="243">
        <v>18</v>
      </c>
      <c r="H2153" s="243">
        <v>40</v>
      </c>
      <c r="I2153" s="243">
        <v>42</v>
      </c>
      <c r="J2153" s="243">
        <v>38</v>
      </c>
      <c r="K2153" s="243">
        <v>46</v>
      </c>
      <c r="L2153" s="243">
        <v>28</v>
      </c>
      <c r="M2153" s="243">
        <v>34</v>
      </c>
      <c r="N2153" s="243">
        <v>30</v>
      </c>
      <c r="O2153" s="253">
        <v>50</v>
      </c>
    </row>
    <row r="2154" spans="1:15">
      <c r="A2154" s="240" t="s">
        <v>67</v>
      </c>
      <c r="B2154" s="47" t="s">
        <v>59</v>
      </c>
      <c r="C2154" s="15">
        <v>249</v>
      </c>
      <c r="D2154" s="243">
        <v>32</v>
      </c>
      <c r="E2154" s="243">
        <v>18</v>
      </c>
      <c r="F2154" s="243">
        <v>10</v>
      </c>
      <c r="G2154" s="243">
        <v>13</v>
      </c>
      <c r="H2154" s="243">
        <v>24</v>
      </c>
      <c r="I2154" s="243">
        <v>22</v>
      </c>
      <c r="J2154" s="243">
        <v>22</v>
      </c>
      <c r="K2154" s="243">
        <v>14</v>
      </c>
      <c r="L2154" s="243">
        <v>22</v>
      </c>
      <c r="M2154" s="243">
        <v>24</v>
      </c>
      <c r="N2154" s="243">
        <v>23</v>
      </c>
      <c r="O2154" s="253">
        <v>25</v>
      </c>
    </row>
    <row r="2155" spans="1:15">
      <c r="A2155" s="242" t="s">
        <v>67</v>
      </c>
      <c r="B2155" s="43" t="s">
        <v>4</v>
      </c>
      <c r="C2155" s="15">
        <v>13</v>
      </c>
      <c r="D2155" s="244">
        <v>1</v>
      </c>
      <c r="E2155" s="244">
        <v>0</v>
      </c>
      <c r="F2155" s="244">
        <v>1</v>
      </c>
      <c r="G2155" s="244">
        <v>0</v>
      </c>
      <c r="H2155" s="244">
        <v>3</v>
      </c>
      <c r="I2155" s="244">
        <v>1</v>
      </c>
      <c r="J2155" s="244">
        <v>1</v>
      </c>
      <c r="K2155" s="244">
        <v>1</v>
      </c>
      <c r="L2155" s="244">
        <v>1</v>
      </c>
      <c r="M2155" s="244">
        <v>1</v>
      </c>
      <c r="N2155" s="244">
        <v>1</v>
      </c>
      <c r="O2155" s="254">
        <v>2</v>
      </c>
    </row>
    <row r="2156" spans="1:15">
      <c r="A2156" s="240" t="s">
        <v>67</v>
      </c>
      <c r="B2156" s="47" t="s">
        <v>5</v>
      </c>
      <c r="C2156" s="12">
        <v>0.0522088353413655</v>
      </c>
      <c r="D2156" s="241">
        <v>0.03125</v>
      </c>
      <c r="E2156" s="241">
        <v>0</v>
      </c>
      <c r="F2156" s="241">
        <v>0.1</v>
      </c>
      <c r="G2156" s="241">
        <v>0</v>
      </c>
      <c r="H2156" s="241">
        <v>0.125</v>
      </c>
      <c r="I2156" s="241">
        <v>0.0454545454545455</v>
      </c>
      <c r="J2156" s="241">
        <v>0.0454545454545455</v>
      </c>
      <c r="K2156" s="241">
        <v>0.0714285714285714</v>
      </c>
      <c r="L2156" s="241">
        <v>0.0454545454545455</v>
      </c>
      <c r="M2156" s="241">
        <v>0.0416666666666667</v>
      </c>
      <c r="N2156" s="241">
        <v>0.0434782608695652</v>
      </c>
      <c r="O2156" s="252">
        <v>0.08</v>
      </c>
    </row>
    <row r="2157" spans="1:15">
      <c r="A2157" s="242" t="s">
        <v>67</v>
      </c>
      <c r="B2157" s="43" t="s">
        <v>6</v>
      </c>
      <c r="C2157" s="15">
        <v>4</v>
      </c>
      <c r="D2157" s="244">
        <v>1</v>
      </c>
      <c r="E2157" s="244">
        <v>0</v>
      </c>
      <c r="F2157" s="244">
        <v>0</v>
      </c>
      <c r="G2157" s="244">
        <v>0</v>
      </c>
      <c r="H2157" s="244">
        <v>0</v>
      </c>
      <c r="I2157" s="244">
        <v>0</v>
      </c>
      <c r="J2157" s="244">
        <v>0</v>
      </c>
      <c r="K2157" s="244">
        <v>0</v>
      </c>
      <c r="L2157" s="244">
        <v>1</v>
      </c>
      <c r="M2157" s="244">
        <v>1</v>
      </c>
      <c r="N2157" s="244">
        <v>1</v>
      </c>
      <c r="O2157" s="254">
        <v>0</v>
      </c>
    </row>
    <row r="2158" ht="14.25" spans="1:15">
      <c r="A2158" s="245" t="s">
        <v>67</v>
      </c>
      <c r="B2158" s="52" t="s">
        <v>64</v>
      </c>
      <c r="C2158" s="19">
        <v>0.307692307692308</v>
      </c>
      <c r="D2158" s="246">
        <v>1</v>
      </c>
      <c r="E2158" s="246">
        <v>0</v>
      </c>
      <c r="F2158" s="246">
        <v>0</v>
      </c>
      <c r="G2158" s="246">
        <v>0</v>
      </c>
      <c r="H2158" s="246">
        <v>0</v>
      </c>
      <c r="I2158" s="246">
        <v>0</v>
      </c>
      <c r="J2158" s="246">
        <v>0</v>
      </c>
      <c r="K2158" s="246">
        <v>0</v>
      </c>
      <c r="L2158" s="246">
        <v>1</v>
      </c>
      <c r="M2158" s="246">
        <v>1</v>
      </c>
      <c r="N2158" s="246">
        <v>1</v>
      </c>
      <c r="O2158" s="255">
        <v>0</v>
      </c>
    </row>
    <row r="2159" spans="1:15">
      <c r="A2159" s="240" t="s">
        <v>68</v>
      </c>
      <c r="B2159" s="47" t="s">
        <v>55</v>
      </c>
      <c r="C2159" s="12">
        <v>0.0551549405573962</v>
      </c>
      <c r="D2159" s="241">
        <v>0.0850574712643678</v>
      </c>
      <c r="E2159" s="241">
        <v>0.0452830188679245</v>
      </c>
      <c r="F2159" s="241">
        <v>0.027972027972028</v>
      </c>
      <c r="G2159" s="241">
        <v>0.0416666666666667</v>
      </c>
      <c r="H2159" s="241">
        <v>0.0473684210526316</v>
      </c>
      <c r="I2159" s="241">
        <v>0.0611764705882353</v>
      </c>
      <c r="J2159" s="241">
        <v>0.0595744680851064</v>
      </c>
      <c r="K2159" s="241">
        <v>0.0615550755939525</v>
      </c>
      <c r="L2159" s="241">
        <v>0.053864168618267</v>
      </c>
      <c r="M2159" s="241">
        <v>0.0534274193548387</v>
      </c>
      <c r="N2159" s="241">
        <v>0.0567514677103718</v>
      </c>
      <c r="O2159" s="252">
        <v>0.0536437246963563</v>
      </c>
    </row>
    <row r="2160" spans="1:15">
      <c r="A2160" s="242" t="s">
        <v>68</v>
      </c>
      <c r="B2160" s="43" t="s">
        <v>57</v>
      </c>
      <c r="C2160" s="15">
        <v>10262</v>
      </c>
      <c r="D2160" s="243">
        <v>870</v>
      </c>
      <c r="E2160" s="243">
        <v>530</v>
      </c>
      <c r="F2160" s="243">
        <v>572</v>
      </c>
      <c r="G2160" s="243">
        <v>768</v>
      </c>
      <c r="H2160" s="243">
        <v>950</v>
      </c>
      <c r="I2160" s="243">
        <v>850</v>
      </c>
      <c r="J2160" s="243">
        <v>940</v>
      </c>
      <c r="K2160" s="243">
        <v>926</v>
      </c>
      <c r="L2160" s="243">
        <v>854</v>
      </c>
      <c r="M2160" s="243">
        <v>992</v>
      </c>
      <c r="N2160" s="243">
        <v>1022</v>
      </c>
      <c r="O2160" s="253">
        <v>988</v>
      </c>
    </row>
    <row r="2161" spans="1:15">
      <c r="A2161" s="240" t="s">
        <v>68</v>
      </c>
      <c r="B2161" s="47" t="s">
        <v>59</v>
      </c>
      <c r="C2161" s="15">
        <v>566</v>
      </c>
      <c r="D2161" s="243">
        <v>74</v>
      </c>
      <c r="E2161" s="243">
        <v>24</v>
      </c>
      <c r="F2161" s="243">
        <v>16</v>
      </c>
      <c r="G2161" s="243">
        <v>32</v>
      </c>
      <c r="H2161" s="243">
        <v>45</v>
      </c>
      <c r="I2161" s="243">
        <v>52</v>
      </c>
      <c r="J2161" s="243">
        <v>56</v>
      </c>
      <c r="K2161" s="243">
        <v>57</v>
      </c>
      <c r="L2161" s="243">
        <v>46</v>
      </c>
      <c r="M2161" s="243">
        <v>53</v>
      </c>
      <c r="N2161" s="243">
        <v>58</v>
      </c>
      <c r="O2161" s="253">
        <v>53</v>
      </c>
    </row>
    <row r="2162" spans="1:15">
      <c r="A2162" s="242" t="s">
        <v>68</v>
      </c>
      <c r="B2162" s="43" t="s">
        <v>4</v>
      </c>
      <c r="C2162" s="15">
        <v>26</v>
      </c>
      <c r="D2162" s="244">
        <v>5</v>
      </c>
      <c r="E2162" s="244">
        <v>1</v>
      </c>
      <c r="F2162" s="244">
        <v>1</v>
      </c>
      <c r="G2162" s="244">
        <v>0</v>
      </c>
      <c r="H2162" s="244">
        <v>2</v>
      </c>
      <c r="I2162" s="244">
        <v>4</v>
      </c>
      <c r="J2162" s="244">
        <v>1</v>
      </c>
      <c r="K2162" s="244">
        <v>6</v>
      </c>
      <c r="L2162" s="244">
        <v>0</v>
      </c>
      <c r="M2162" s="244">
        <v>2</v>
      </c>
      <c r="N2162" s="244">
        <v>1</v>
      </c>
      <c r="O2162" s="254">
        <v>3</v>
      </c>
    </row>
    <row r="2163" spans="1:15">
      <c r="A2163" s="240" t="s">
        <v>68</v>
      </c>
      <c r="B2163" s="47" t="s">
        <v>5</v>
      </c>
      <c r="C2163" s="12">
        <v>0.0459363957597173</v>
      </c>
      <c r="D2163" s="241">
        <v>0.0675675675675676</v>
      </c>
      <c r="E2163" s="241">
        <v>0.0416666666666667</v>
      </c>
      <c r="F2163" s="241">
        <v>0.0625</v>
      </c>
      <c r="G2163" s="241">
        <v>0</v>
      </c>
      <c r="H2163" s="241">
        <v>0.0444444444444444</v>
      </c>
      <c r="I2163" s="241">
        <v>0.0769230769230769</v>
      </c>
      <c r="J2163" s="241">
        <v>0.0178571428571429</v>
      </c>
      <c r="K2163" s="241">
        <v>0.105263157894737</v>
      </c>
      <c r="L2163" s="241">
        <v>0</v>
      </c>
      <c r="M2163" s="241">
        <v>0.0377358490566038</v>
      </c>
      <c r="N2163" s="241">
        <v>0.0172413793103448</v>
      </c>
      <c r="O2163" s="252">
        <v>0.0566037735849057</v>
      </c>
    </row>
    <row r="2164" spans="1:15">
      <c r="A2164" s="242" t="s">
        <v>68</v>
      </c>
      <c r="B2164" s="43" t="s">
        <v>6</v>
      </c>
      <c r="C2164" s="15">
        <v>14</v>
      </c>
      <c r="D2164" s="244">
        <v>3</v>
      </c>
      <c r="E2164" s="244">
        <v>0</v>
      </c>
      <c r="F2164" s="244">
        <v>0</v>
      </c>
      <c r="G2164" s="244">
        <v>0</v>
      </c>
      <c r="H2164" s="244">
        <v>1</v>
      </c>
      <c r="I2164" s="244">
        <v>2</v>
      </c>
      <c r="J2164" s="244">
        <v>2</v>
      </c>
      <c r="K2164" s="244">
        <v>1</v>
      </c>
      <c r="L2164" s="244">
        <v>2</v>
      </c>
      <c r="M2164" s="244">
        <v>1</v>
      </c>
      <c r="N2164" s="244">
        <v>2</v>
      </c>
      <c r="O2164" s="254">
        <v>0</v>
      </c>
    </row>
    <row r="2165" ht="14.25" spans="1:15">
      <c r="A2165" s="245" t="s">
        <v>68</v>
      </c>
      <c r="B2165" s="52" t="s">
        <v>64</v>
      </c>
      <c r="C2165" s="19">
        <v>0.538461538461538</v>
      </c>
      <c r="D2165" s="246">
        <v>0.6</v>
      </c>
      <c r="E2165" s="246">
        <v>0</v>
      </c>
      <c r="F2165" s="246">
        <v>0</v>
      </c>
      <c r="G2165" s="246">
        <v>0</v>
      </c>
      <c r="H2165" s="246">
        <v>0.5</v>
      </c>
      <c r="I2165" s="246">
        <v>0.5</v>
      </c>
      <c r="J2165" s="246">
        <v>2</v>
      </c>
      <c r="K2165" s="246">
        <v>0.166666666666667</v>
      </c>
      <c r="L2165" s="246">
        <v>0</v>
      </c>
      <c r="M2165" s="246">
        <v>0.5</v>
      </c>
      <c r="N2165" s="246">
        <v>2</v>
      </c>
      <c r="O2165" s="255">
        <v>0</v>
      </c>
    </row>
    <row r="2166" spans="1:15">
      <c r="A2166" s="240" t="s">
        <v>69</v>
      </c>
      <c r="B2166" s="47" t="s">
        <v>55</v>
      </c>
      <c r="C2166" s="12">
        <v>0.898686679174484</v>
      </c>
      <c r="D2166" s="241">
        <v>1.26470588235294</v>
      </c>
      <c r="E2166" s="241">
        <v>1.10526315789474</v>
      </c>
      <c r="F2166" s="241">
        <v>1</v>
      </c>
      <c r="G2166" s="241">
        <v>1.04761904761905</v>
      </c>
      <c r="H2166" s="241">
        <v>0.868421052631579</v>
      </c>
      <c r="I2166" s="241">
        <v>0.666666666666667</v>
      </c>
      <c r="J2166" s="241">
        <v>0.854166666666667</v>
      </c>
      <c r="K2166" s="241">
        <v>0.787234042553192</v>
      </c>
      <c r="L2166" s="241">
        <v>0.888888888888889</v>
      </c>
      <c r="M2166" s="241">
        <v>0.958333333333333</v>
      </c>
      <c r="N2166" s="241">
        <v>0.853658536585366</v>
      </c>
      <c r="O2166" s="252">
        <v>0.852941176470588</v>
      </c>
    </row>
    <row r="2167" spans="1:15">
      <c r="A2167" s="242" t="s">
        <v>69</v>
      </c>
      <c r="B2167" s="43" t="s">
        <v>57</v>
      </c>
      <c r="C2167" s="15">
        <v>533</v>
      </c>
      <c r="D2167" s="243">
        <v>34</v>
      </c>
      <c r="E2167" s="243">
        <v>19</v>
      </c>
      <c r="F2167" s="243">
        <v>11</v>
      </c>
      <c r="G2167" s="243">
        <v>21</v>
      </c>
      <c r="H2167" s="243">
        <v>38</v>
      </c>
      <c r="I2167" s="243">
        <v>39</v>
      </c>
      <c r="J2167" s="243">
        <v>48</v>
      </c>
      <c r="K2167" s="243">
        <v>47</v>
      </c>
      <c r="L2167" s="243">
        <v>54</v>
      </c>
      <c r="M2167" s="243">
        <v>72</v>
      </c>
      <c r="N2167" s="243">
        <v>82</v>
      </c>
      <c r="O2167" s="253">
        <v>68</v>
      </c>
    </row>
    <row r="2168" spans="1:15">
      <c r="A2168" s="240" t="s">
        <v>69</v>
      </c>
      <c r="B2168" s="47" t="s">
        <v>59</v>
      </c>
      <c r="C2168" s="15">
        <v>479</v>
      </c>
      <c r="D2168" s="243">
        <v>43</v>
      </c>
      <c r="E2168" s="243">
        <v>21</v>
      </c>
      <c r="F2168" s="243">
        <v>11</v>
      </c>
      <c r="G2168" s="243">
        <v>22</v>
      </c>
      <c r="H2168" s="243">
        <v>33</v>
      </c>
      <c r="I2168" s="243">
        <v>26</v>
      </c>
      <c r="J2168" s="243">
        <v>41</v>
      </c>
      <c r="K2168" s="243">
        <v>37</v>
      </c>
      <c r="L2168" s="243">
        <v>48</v>
      </c>
      <c r="M2168" s="243">
        <v>69</v>
      </c>
      <c r="N2168" s="243">
        <v>70</v>
      </c>
      <c r="O2168" s="253">
        <v>58</v>
      </c>
    </row>
    <row r="2169" spans="1:15">
      <c r="A2169" s="242" t="s">
        <v>69</v>
      </c>
      <c r="B2169" s="43" t="s">
        <v>4</v>
      </c>
      <c r="C2169" s="15">
        <v>25</v>
      </c>
      <c r="D2169" s="244">
        <v>1</v>
      </c>
      <c r="E2169" s="244">
        <v>0</v>
      </c>
      <c r="F2169" s="244">
        <v>0</v>
      </c>
      <c r="G2169" s="244">
        <v>0</v>
      </c>
      <c r="H2169" s="244">
        <v>1</v>
      </c>
      <c r="I2169" s="244">
        <v>2</v>
      </c>
      <c r="J2169" s="244">
        <v>7</v>
      </c>
      <c r="K2169" s="244">
        <v>3</v>
      </c>
      <c r="L2169" s="244">
        <v>2</v>
      </c>
      <c r="M2169" s="244">
        <v>6</v>
      </c>
      <c r="N2169" s="244">
        <v>3</v>
      </c>
      <c r="O2169" s="254">
        <v>0</v>
      </c>
    </row>
    <row r="2170" spans="1:15">
      <c r="A2170" s="240" t="s">
        <v>69</v>
      </c>
      <c r="B2170" s="47" t="s">
        <v>5</v>
      </c>
      <c r="C2170" s="12">
        <v>0.0521920668058455</v>
      </c>
      <c r="D2170" s="241">
        <v>0.0232558139534884</v>
      </c>
      <c r="E2170" s="241">
        <v>0</v>
      </c>
      <c r="F2170" s="241">
        <v>0</v>
      </c>
      <c r="G2170" s="241">
        <v>0</v>
      </c>
      <c r="H2170" s="241">
        <v>0.0303030303030303</v>
      </c>
      <c r="I2170" s="241">
        <v>0.0769230769230769</v>
      </c>
      <c r="J2170" s="241">
        <v>0.170731707317073</v>
      </c>
      <c r="K2170" s="241">
        <v>0.0810810810810811</v>
      </c>
      <c r="L2170" s="241">
        <v>0.0416666666666667</v>
      </c>
      <c r="M2170" s="241">
        <v>0.0869565217391304</v>
      </c>
      <c r="N2170" s="241">
        <v>0.0428571428571429</v>
      </c>
      <c r="O2170" s="252">
        <v>0</v>
      </c>
    </row>
    <row r="2171" spans="1:15">
      <c r="A2171" s="242" t="s">
        <v>69</v>
      </c>
      <c r="B2171" s="43" t="s">
        <v>6</v>
      </c>
      <c r="C2171" s="15">
        <v>12</v>
      </c>
      <c r="D2171" s="244">
        <v>0</v>
      </c>
      <c r="E2171" s="244">
        <v>0</v>
      </c>
      <c r="F2171" s="244">
        <v>0</v>
      </c>
      <c r="G2171" s="244">
        <v>0</v>
      </c>
      <c r="H2171" s="244">
        <v>1</v>
      </c>
      <c r="I2171" s="244">
        <v>1</v>
      </c>
      <c r="J2171" s="244">
        <v>3</v>
      </c>
      <c r="K2171" s="244">
        <v>0</v>
      </c>
      <c r="L2171" s="244">
        <v>2</v>
      </c>
      <c r="M2171" s="244">
        <v>0</v>
      </c>
      <c r="N2171" s="244">
        <v>3</v>
      </c>
      <c r="O2171" s="254">
        <v>2</v>
      </c>
    </row>
    <row r="2172" ht="14.25" spans="1:15">
      <c r="A2172" s="245" t="s">
        <v>69</v>
      </c>
      <c r="B2172" s="52" t="s">
        <v>64</v>
      </c>
      <c r="C2172" s="19">
        <v>0.48</v>
      </c>
      <c r="D2172" s="246">
        <v>0</v>
      </c>
      <c r="E2172" s="246">
        <v>0</v>
      </c>
      <c r="F2172" s="246">
        <v>0</v>
      </c>
      <c r="G2172" s="246">
        <v>0</v>
      </c>
      <c r="H2172" s="246">
        <v>1</v>
      </c>
      <c r="I2172" s="246">
        <v>0.5</v>
      </c>
      <c r="J2172" s="246">
        <v>0.428571428571429</v>
      </c>
      <c r="K2172" s="246">
        <v>0</v>
      </c>
      <c r="L2172" s="246">
        <v>1</v>
      </c>
      <c r="M2172" s="246">
        <v>0</v>
      </c>
      <c r="N2172" s="246">
        <v>1</v>
      </c>
      <c r="O2172" s="255">
        <v>0</v>
      </c>
    </row>
    <row r="2173" spans="1:15">
      <c r="A2173" s="240" t="s">
        <v>70</v>
      </c>
      <c r="B2173" s="47" t="s">
        <v>55</v>
      </c>
      <c r="C2173" s="12">
        <v>0.882311977715877</v>
      </c>
      <c r="D2173" s="241">
        <v>0.9296875</v>
      </c>
      <c r="E2173" s="241">
        <v>0.916666666666667</v>
      </c>
      <c r="F2173" s="241">
        <v>0.867647058823529</v>
      </c>
      <c r="G2173" s="241">
        <v>0.946808510638298</v>
      </c>
      <c r="H2173" s="241">
        <v>0.912371134020619</v>
      </c>
      <c r="I2173" s="241">
        <v>0.874538745387454</v>
      </c>
      <c r="J2173" s="241">
        <v>0.894273127753304</v>
      </c>
      <c r="K2173" s="241">
        <v>0.840989399293286</v>
      </c>
      <c r="L2173" s="241">
        <v>0.876811594202899</v>
      </c>
      <c r="M2173" s="241">
        <v>0.87248322147651</v>
      </c>
      <c r="N2173" s="241">
        <v>0.855555555555556</v>
      </c>
      <c r="O2173" s="252">
        <v>0.877647058823529</v>
      </c>
    </row>
    <row r="2174" spans="1:15">
      <c r="A2174" s="242" t="s">
        <v>70</v>
      </c>
      <c r="B2174" s="43" t="s">
        <v>57</v>
      </c>
      <c r="C2174" s="15">
        <v>2872</v>
      </c>
      <c r="D2174" s="243">
        <v>256</v>
      </c>
      <c r="E2174" s="243">
        <v>120</v>
      </c>
      <c r="F2174" s="243">
        <v>68</v>
      </c>
      <c r="G2174" s="243">
        <v>94</v>
      </c>
      <c r="H2174" s="243">
        <v>194</v>
      </c>
      <c r="I2174" s="243">
        <v>271</v>
      </c>
      <c r="J2174" s="243">
        <v>227</v>
      </c>
      <c r="K2174" s="243">
        <v>283</v>
      </c>
      <c r="L2174" s="243">
        <v>276</v>
      </c>
      <c r="M2174" s="243">
        <v>298</v>
      </c>
      <c r="N2174" s="243">
        <v>360</v>
      </c>
      <c r="O2174" s="253">
        <v>425</v>
      </c>
    </row>
    <row r="2175" spans="1:15">
      <c r="A2175" s="240" t="s">
        <v>70</v>
      </c>
      <c r="B2175" s="47" t="s">
        <v>59</v>
      </c>
      <c r="C2175" s="15">
        <v>2534</v>
      </c>
      <c r="D2175" s="243">
        <v>238</v>
      </c>
      <c r="E2175" s="243">
        <v>110</v>
      </c>
      <c r="F2175" s="243">
        <v>59</v>
      </c>
      <c r="G2175" s="243">
        <v>89</v>
      </c>
      <c r="H2175" s="243">
        <v>177</v>
      </c>
      <c r="I2175" s="243">
        <v>237</v>
      </c>
      <c r="J2175" s="243">
        <v>203</v>
      </c>
      <c r="K2175" s="243">
        <v>238</v>
      </c>
      <c r="L2175" s="243">
        <v>242</v>
      </c>
      <c r="M2175" s="243">
        <v>260</v>
      </c>
      <c r="N2175" s="243">
        <v>308</v>
      </c>
      <c r="O2175" s="253">
        <v>373</v>
      </c>
    </row>
    <row r="2176" spans="1:15">
      <c r="A2176" s="242" t="s">
        <v>70</v>
      </c>
      <c r="B2176" s="43" t="s">
        <v>4</v>
      </c>
      <c r="C2176" s="15">
        <v>67</v>
      </c>
      <c r="D2176" s="244">
        <v>8</v>
      </c>
      <c r="E2176" s="244">
        <v>1</v>
      </c>
      <c r="F2176" s="244">
        <v>4</v>
      </c>
      <c r="G2176" s="244">
        <v>0</v>
      </c>
      <c r="H2176" s="244">
        <v>2</v>
      </c>
      <c r="I2176" s="244">
        <v>5</v>
      </c>
      <c r="J2176" s="244">
        <v>4</v>
      </c>
      <c r="K2176" s="244">
        <v>5</v>
      </c>
      <c r="L2176" s="244">
        <v>7</v>
      </c>
      <c r="M2176" s="244">
        <v>14</v>
      </c>
      <c r="N2176" s="244">
        <v>6</v>
      </c>
      <c r="O2176" s="254">
        <v>11</v>
      </c>
    </row>
    <row r="2177" spans="1:15">
      <c r="A2177" s="240" t="s">
        <v>70</v>
      </c>
      <c r="B2177" s="47" t="s">
        <v>5</v>
      </c>
      <c r="C2177" s="12">
        <v>0.026440410418311</v>
      </c>
      <c r="D2177" s="241">
        <v>0.0336134453781513</v>
      </c>
      <c r="E2177" s="241">
        <v>0.00909090909090909</v>
      </c>
      <c r="F2177" s="241">
        <v>0.0677966101694915</v>
      </c>
      <c r="G2177" s="241">
        <v>0</v>
      </c>
      <c r="H2177" s="241">
        <v>0.0112994350282486</v>
      </c>
      <c r="I2177" s="241">
        <v>0.0210970464135021</v>
      </c>
      <c r="J2177" s="241">
        <v>0.0197044334975369</v>
      </c>
      <c r="K2177" s="241">
        <v>0.0210084033613445</v>
      </c>
      <c r="L2177" s="241">
        <v>0.0289256198347107</v>
      </c>
      <c r="M2177" s="241">
        <v>0.0538461538461538</v>
      </c>
      <c r="N2177" s="241">
        <v>0.0194805194805195</v>
      </c>
      <c r="O2177" s="252">
        <v>0.0294906166219839</v>
      </c>
    </row>
    <row r="2178" spans="1:15">
      <c r="A2178" s="242" t="s">
        <v>70</v>
      </c>
      <c r="B2178" s="43" t="s">
        <v>6</v>
      </c>
      <c r="C2178" s="15">
        <v>26</v>
      </c>
      <c r="D2178" s="244">
        <v>4</v>
      </c>
      <c r="E2178" s="244">
        <v>2</v>
      </c>
      <c r="F2178" s="244">
        <v>2</v>
      </c>
      <c r="G2178" s="244">
        <v>0</v>
      </c>
      <c r="H2178" s="244">
        <v>1</v>
      </c>
      <c r="I2178" s="244">
        <v>0</v>
      </c>
      <c r="J2178" s="244">
        <v>2</v>
      </c>
      <c r="K2178" s="244">
        <v>1</v>
      </c>
      <c r="L2178" s="244">
        <v>3</v>
      </c>
      <c r="M2178" s="244">
        <v>4</v>
      </c>
      <c r="N2178" s="244">
        <v>6</v>
      </c>
      <c r="O2178" s="254">
        <v>1</v>
      </c>
    </row>
    <row r="2179" ht="14.25" spans="1:15">
      <c r="A2179" s="245" t="s">
        <v>70</v>
      </c>
      <c r="B2179" s="52" t="s">
        <v>64</v>
      </c>
      <c r="C2179" s="19">
        <v>0.388059701492537</v>
      </c>
      <c r="D2179" s="246">
        <v>0.5</v>
      </c>
      <c r="E2179" s="246">
        <v>2</v>
      </c>
      <c r="F2179" s="246">
        <v>0.5</v>
      </c>
      <c r="G2179" s="246">
        <v>0</v>
      </c>
      <c r="H2179" s="246">
        <v>0.5</v>
      </c>
      <c r="I2179" s="246">
        <v>0</v>
      </c>
      <c r="J2179" s="246">
        <v>0.5</v>
      </c>
      <c r="K2179" s="246">
        <v>0.2</v>
      </c>
      <c r="L2179" s="246">
        <v>0.428571428571429</v>
      </c>
      <c r="M2179" s="246">
        <v>0.285714285714286</v>
      </c>
      <c r="N2179" s="246">
        <v>1</v>
      </c>
      <c r="O2179" s="255">
        <v>0.0909090909090909</v>
      </c>
    </row>
    <row r="2180" spans="1:15">
      <c r="A2180" s="240" t="s">
        <v>26</v>
      </c>
      <c r="B2180" s="47" t="s">
        <v>55</v>
      </c>
      <c r="C2180" s="12">
        <v>0.423484119345525</v>
      </c>
      <c r="D2180" s="241">
        <v>0.433734939759036</v>
      </c>
      <c r="E2180" s="241">
        <v>0.3515625</v>
      </c>
      <c r="F2180" s="241">
        <v>0.421232876712329</v>
      </c>
      <c r="G2180" s="241">
        <v>0.438848920863309</v>
      </c>
      <c r="H2180" s="241">
        <v>0.396067415730337</v>
      </c>
      <c r="I2180" s="241">
        <v>0.450549450549451</v>
      </c>
      <c r="J2180" s="241">
        <v>0.325136612021858</v>
      </c>
      <c r="K2180" s="241">
        <v>0.444767441860465</v>
      </c>
      <c r="L2180" s="241">
        <v>0.420955882352941</v>
      </c>
      <c r="M2180" s="241">
        <v>0.447513812154696</v>
      </c>
      <c r="N2180" s="241">
        <v>0.478915662650602</v>
      </c>
      <c r="O2180" s="252">
        <v>0.466666666666667</v>
      </c>
    </row>
    <row r="2181" spans="1:15">
      <c r="A2181" s="242" t="s">
        <v>26</v>
      </c>
      <c r="B2181" s="43" t="s">
        <v>57</v>
      </c>
      <c r="C2181" s="15">
        <v>4156</v>
      </c>
      <c r="D2181" s="243">
        <v>332</v>
      </c>
      <c r="E2181" s="243">
        <v>256</v>
      </c>
      <c r="F2181" s="243">
        <v>292</v>
      </c>
      <c r="G2181" s="243">
        <v>278</v>
      </c>
      <c r="H2181" s="243">
        <v>356</v>
      </c>
      <c r="I2181" s="243">
        <v>364</v>
      </c>
      <c r="J2181" s="243">
        <v>366</v>
      </c>
      <c r="K2181" s="243">
        <v>344</v>
      </c>
      <c r="L2181" s="243">
        <v>544</v>
      </c>
      <c r="M2181" s="243">
        <v>362</v>
      </c>
      <c r="N2181" s="243">
        <v>332</v>
      </c>
      <c r="O2181" s="253">
        <v>330</v>
      </c>
    </row>
    <row r="2182" spans="1:15">
      <c r="A2182" s="240" t="s">
        <v>26</v>
      </c>
      <c r="B2182" s="47" t="s">
        <v>59</v>
      </c>
      <c r="C2182" s="15">
        <v>1760</v>
      </c>
      <c r="D2182" s="243">
        <v>144</v>
      </c>
      <c r="E2182" s="243">
        <v>90</v>
      </c>
      <c r="F2182" s="243">
        <v>123</v>
      </c>
      <c r="G2182" s="243">
        <v>122</v>
      </c>
      <c r="H2182" s="243">
        <v>141</v>
      </c>
      <c r="I2182" s="243">
        <v>164</v>
      </c>
      <c r="J2182" s="243">
        <v>119</v>
      </c>
      <c r="K2182" s="243">
        <v>153</v>
      </c>
      <c r="L2182" s="243">
        <v>229</v>
      </c>
      <c r="M2182" s="243">
        <v>162</v>
      </c>
      <c r="N2182" s="243">
        <v>159</v>
      </c>
      <c r="O2182" s="253">
        <v>154</v>
      </c>
    </row>
    <row r="2183" spans="1:15">
      <c r="A2183" s="242" t="s">
        <v>26</v>
      </c>
      <c r="B2183" s="43" t="s">
        <v>4</v>
      </c>
      <c r="C2183" s="15">
        <v>13</v>
      </c>
      <c r="D2183" s="244">
        <v>1</v>
      </c>
      <c r="E2183" s="244">
        <v>0</v>
      </c>
      <c r="F2183" s="244">
        <v>0</v>
      </c>
      <c r="G2183" s="244">
        <v>1</v>
      </c>
      <c r="H2183" s="244">
        <v>0</v>
      </c>
      <c r="I2183" s="244">
        <v>1</v>
      </c>
      <c r="J2183" s="244">
        <v>1</v>
      </c>
      <c r="K2183" s="244">
        <v>0</v>
      </c>
      <c r="L2183" s="244">
        <v>0</v>
      </c>
      <c r="M2183" s="244">
        <v>2</v>
      </c>
      <c r="N2183" s="244">
        <v>1</v>
      </c>
      <c r="O2183" s="254">
        <v>6</v>
      </c>
    </row>
    <row r="2184" spans="1:15">
      <c r="A2184" s="240" t="s">
        <v>26</v>
      </c>
      <c r="B2184" s="47" t="s">
        <v>5</v>
      </c>
      <c r="C2184" s="12">
        <v>0.00738636363636364</v>
      </c>
      <c r="D2184" s="241">
        <v>0.00694444444444444</v>
      </c>
      <c r="E2184" s="241">
        <v>0</v>
      </c>
      <c r="F2184" s="241">
        <v>0</v>
      </c>
      <c r="G2184" s="241">
        <v>0.00819672131147541</v>
      </c>
      <c r="H2184" s="241">
        <v>0</v>
      </c>
      <c r="I2184" s="241">
        <v>0.00609756097560976</v>
      </c>
      <c r="J2184" s="241">
        <v>0.00840336134453781</v>
      </c>
      <c r="K2184" s="241">
        <v>0</v>
      </c>
      <c r="L2184" s="241">
        <v>0</v>
      </c>
      <c r="M2184" s="241">
        <v>0.0123456790123457</v>
      </c>
      <c r="N2184" s="241">
        <v>0.00628930817610063</v>
      </c>
      <c r="O2184" s="252">
        <v>0.038961038961039</v>
      </c>
    </row>
    <row r="2185" spans="1:15">
      <c r="A2185" s="242" t="s">
        <v>26</v>
      </c>
      <c r="B2185" s="43" t="s">
        <v>6</v>
      </c>
      <c r="C2185" s="15">
        <v>3</v>
      </c>
      <c r="D2185" s="244">
        <v>0</v>
      </c>
      <c r="E2185" s="244">
        <v>0</v>
      </c>
      <c r="F2185" s="244">
        <v>0</v>
      </c>
      <c r="G2185" s="244">
        <v>1</v>
      </c>
      <c r="H2185" s="244">
        <v>0</v>
      </c>
      <c r="I2185" s="244">
        <v>0</v>
      </c>
      <c r="J2185" s="244">
        <v>0</v>
      </c>
      <c r="K2185" s="244">
        <v>0</v>
      </c>
      <c r="L2185" s="244">
        <v>0</v>
      </c>
      <c r="M2185" s="244">
        <v>0</v>
      </c>
      <c r="N2185" s="244">
        <v>0</v>
      </c>
      <c r="O2185" s="254">
        <v>2</v>
      </c>
    </row>
    <row r="2186" ht="14.25" spans="1:15">
      <c r="A2186" s="245" t="s">
        <v>26</v>
      </c>
      <c r="B2186" s="52" t="s">
        <v>64</v>
      </c>
      <c r="C2186" s="19">
        <v>0.230769230769231</v>
      </c>
      <c r="D2186" s="250">
        <v>0</v>
      </c>
      <c r="E2186" s="250">
        <v>0</v>
      </c>
      <c r="F2186" s="250">
        <v>0</v>
      </c>
      <c r="G2186" s="250">
        <v>1</v>
      </c>
      <c r="H2186" s="250">
        <v>0</v>
      </c>
      <c r="I2186" s="250">
        <v>0</v>
      </c>
      <c r="J2186" s="250">
        <v>0</v>
      </c>
      <c r="K2186" s="250">
        <v>0</v>
      </c>
      <c r="L2186" s="250">
        <v>0</v>
      </c>
      <c r="M2186" s="250">
        <v>0</v>
      </c>
      <c r="N2186" s="250">
        <v>0</v>
      </c>
      <c r="O2186" s="257">
        <v>2</v>
      </c>
    </row>
    <row r="2187" spans="1:15">
      <c r="A2187" s="240" t="s">
        <v>71</v>
      </c>
      <c r="B2187" s="47" t="s">
        <v>55</v>
      </c>
      <c r="C2187" s="12">
        <v>0.0655737704918033</v>
      </c>
      <c r="D2187" s="241">
        <v>0.0681818181818182</v>
      </c>
      <c r="E2187" s="241">
        <v>0.0909090909090909</v>
      </c>
      <c r="F2187" s="241">
        <v>0.2</v>
      </c>
      <c r="G2187" s="241">
        <v>0</v>
      </c>
      <c r="H2187" s="241">
        <v>0.0681818181818182</v>
      </c>
      <c r="I2187" s="241">
        <v>0.0338983050847458</v>
      </c>
      <c r="J2187" s="241">
        <v>0.0163934426229508</v>
      </c>
      <c r="K2187" s="241">
        <v>0.121212121212121</v>
      </c>
      <c r="L2187" s="241">
        <v>0.0967741935483871</v>
      </c>
      <c r="M2187" s="241">
        <v>0.103448275862069</v>
      </c>
      <c r="N2187" s="241">
        <v>0</v>
      </c>
      <c r="O2187" s="252" t="e">
        <v>#DIV/0!</v>
      </c>
    </row>
    <row r="2188" spans="1:15">
      <c r="A2188" s="242" t="s">
        <v>71</v>
      </c>
      <c r="B2188" s="43" t="s">
        <v>57</v>
      </c>
      <c r="C2188" s="15">
        <v>366</v>
      </c>
      <c r="D2188" s="243">
        <v>44</v>
      </c>
      <c r="E2188" s="243">
        <v>11</v>
      </c>
      <c r="F2188" s="243">
        <v>10</v>
      </c>
      <c r="G2188" s="243">
        <v>19</v>
      </c>
      <c r="H2188" s="243">
        <v>44</v>
      </c>
      <c r="I2188" s="243">
        <v>59</v>
      </c>
      <c r="J2188" s="243">
        <v>61</v>
      </c>
      <c r="K2188" s="243">
        <v>33</v>
      </c>
      <c r="L2188" s="243">
        <v>31</v>
      </c>
      <c r="M2188" s="243">
        <v>29</v>
      </c>
      <c r="N2188" s="243">
        <v>25</v>
      </c>
      <c r="O2188" s="253">
        <v>0</v>
      </c>
    </row>
    <row r="2189" spans="1:15">
      <c r="A2189" s="240" t="s">
        <v>71</v>
      </c>
      <c r="B2189" s="47" t="s">
        <v>59</v>
      </c>
      <c r="C2189" s="15">
        <v>24</v>
      </c>
      <c r="D2189" s="243">
        <v>3</v>
      </c>
      <c r="E2189" s="243">
        <v>1</v>
      </c>
      <c r="F2189" s="243">
        <v>2</v>
      </c>
      <c r="G2189" s="243">
        <v>0</v>
      </c>
      <c r="H2189" s="243">
        <v>3</v>
      </c>
      <c r="I2189" s="243">
        <v>2</v>
      </c>
      <c r="J2189" s="243">
        <v>1</v>
      </c>
      <c r="K2189" s="243">
        <v>4</v>
      </c>
      <c r="L2189" s="243">
        <v>3</v>
      </c>
      <c r="M2189" s="243">
        <v>3</v>
      </c>
      <c r="N2189" s="243">
        <v>0</v>
      </c>
      <c r="O2189" s="253">
        <v>2</v>
      </c>
    </row>
    <row r="2190" spans="1:15">
      <c r="A2190" s="242" t="s">
        <v>71</v>
      </c>
      <c r="B2190" s="43" t="s">
        <v>4</v>
      </c>
      <c r="C2190" s="15">
        <v>35</v>
      </c>
      <c r="D2190" s="244">
        <v>3</v>
      </c>
      <c r="E2190" s="244">
        <v>1</v>
      </c>
      <c r="F2190" s="244">
        <v>1</v>
      </c>
      <c r="G2190" s="244">
        <v>0</v>
      </c>
      <c r="H2190" s="244">
        <v>6</v>
      </c>
      <c r="I2190" s="244">
        <v>4</v>
      </c>
      <c r="J2190" s="244">
        <v>3</v>
      </c>
      <c r="K2190" s="244">
        <v>3</v>
      </c>
      <c r="L2190" s="244">
        <v>2</v>
      </c>
      <c r="M2190" s="244">
        <v>3</v>
      </c>
      <c r="N2190" s="244">
        <v>1</v>
      </c>
      <c r="O2190" s="254">
        <v>8</v>
      </c>
    </row>
    <row r="2191" spans="1:15">
      <c r="A2191" s="240" t="s">
        <v>71</v>
      </c>
      <c r="B2191" s="47" t="s">
        <v>5</v>
      </c>
      <c r="C2191" s="12">
        <v>1.45833333333333</v>
      </c>
      <c r="D2191" s="241">
        <v>1</v>
      </c>
      <c r="E2191" s="241">
        <v>1</v>
      </c>
      <c r="F2191" s="241">
        <v>0.5</v>
      </c>
      <c r="G2191" s="241">
        <v>0</v>
      </c>
      <c r="H2191" s="241">
        <v>2</v>
      </c>
      <c r="I2191" s="241">
        <v>2</v>
      </c>
      <c r="J2191" s="241">
        <v>3</v>
      </c>
      <c r="K2191" s="241">
        <v>0.75</v>
      </c>
      <c r="L2191" s="241">
        <v>0.666666666666667</v>
      </c>
      <c r="M2191" s="241">
        <v>1</v>
      </c>
      <c r="N2191" s="241">
        <v>0</v>
      </c>
      <c r="O2191" s="252">
        <v>4</v>
      </c>
    </row>
    <row r="2192" spans="1:15">
      <c r="A2192" s="242" t="s">
        <v>71</v>
      </c>
      <c r="B2192" s="43" t="s">
        <v>6</v>
      </c>
      <c r="C2192" s="15">
        <v>11</v>
      </c>
      <c r="D2192" s="244">
        <v>0</v>
      </c>
      <c r="E2192" s="244">
        <v>0</v>
      </c>
      <c r="F2192" s="244">
        <v>1</v>
      </c>
      <c r="G2192" s="244">
        <v>0</v>
      </c>
      <c r="H2192" s="244">
        <v>1</v>
      </c>
      <c r="I2192" s="244">
        <v>3</v>
      </c>
      <c r="J2192" s="244">
        <v>2</v>
      </c>
      <c r="K2192" s="244">
        <v>1</v>
      </c>
      <c r="L2192" s="244">
        <v>1</v>
      </c>
      <c r="M2192" s="244">
        <v>1</v>
      </c>
      <c r="N2192" s="244">
        <v>0</v>
      </c>
      <c r="O2192" s="254">
        <v>1</v>
      </c>
    </row>
    <row r="2193" ht="14.25" spans="1:15">
      <c r="A2193" s="245" t="s">
        <v>71</v>
      </c>
      <c r="B2193" s="52" t="s">
        <v>64</v>
      </c>
      <c r="C2193" s="19">
        <v>0.314285714285714</v>
      </c>
      <c r="D2193" s="250">
        <v>0</v>
      </c>
      <c r="E2193" s="250">
        <v>0</v>
      </c>
      <c r="F2193" s="250">
        <v>1</v>
      </c>
      <c r="G2193" s="250">
        <v>0</v>
      </c>
      <c r="H2193" s="250">
        <v>1</v>
      </c>
      <c r="I2193" s="250">
        <v>3</v>
      </c>
      <c r="J2193" s="250">
        <v>2</v>
      </c>
      <c r="K2193" s="250">
        <v>1</v>
      </c>
      <c r="L2193" s="250">
        <v>1</v>
      </c>
      <c r="M2193" s="250">
        <v>1</v>
      </c>
      <c r="N2193" s="250">
        <v>0</v>
      </c>
      <c r="O2193" s="257">
        <v>1</v>
      </c>
    </row>
    <row r="2194" spans="1:15">
      <c r="A2194" s="240" t="s">
        <v>72</v>
      </c>
      <c r="B2194" s="47" t="s">
        <v>55</v>
      </c>
      <c r="C2194" s="12">
        <v>0.336303462321792</v>
      </c>
      <c r="D2194" s="241">
        <v>0.399628252788104</v>
      </c>
      <c r="E2194" s="241">
        <v>0.439252336448598</v>
      </c>
      <c r="F2194" s="241">
        <v>0.342465753424658</v>
      </c>
      <c r="G2194" s="241">
        <v>0.39375</v>
      </c>
      <c r="H2194" s="241">
        <v>0.336206896551724</v>
      </c>
      <c r="I2194" s="241">
        <v>0.35625</v>
      </c>
      <c r="J2194" s="241">
        <v>0.388461538461538</v>
      </c>
      <c r="K2194" s="241">
        <v>0.271356783919598</v>
      </c>
      <c r="L2194" s="241">
        <v>0.290419161676647</v>
      </c>
      <c r="M2194" s="241">
        <v>0.28448275862069</v>
      </c>
      <c r="N2194" s="241">
        <v>0.333333333333333</v>
      </c>
      <c r="O2194" s="252">
        <v>0.287878787878788</v>
      </c>
    </row>
    <row r="2195" spans="1:15">
      <c r="A2195" s="242" t="s">
        <v>72</v>
      </c>
      <c r="B2195" s="43" t="s">
        <v>57</v>
      </c>
      <c r="C2195" s="15">
        <v>3928</v>
      </c>
      <c r="D2195" s="243">
        <v>538</v>
      </c>
      <c r="E2195" s="243">
        <v>214</v>
      </c>
      <c r="F2195" s="243">
        <v>146</v>
      </c>
      <c r="G2195" s="243">
        <v>160</v>
      </c>
      <c r="H2195" s="243">
        <v>232</v>
      </c>
      <c r="I2195" s="243">
        <v>320</v>
      </c>
      <c r="J2195" s="243">
        <v>260</v>
      </c>
      <c r="K2195" s="243">
        <v>398</v>
      </c>
      <c r="L2195" s="243">
        <v>334</v>
      </c>
      <c r="M2195" s="243">
        <v>348</v>
      </c>
      <c r="N2195" s="243">
        <v>450</v>
      </c>
      <c r="O2195" s="253">
        <v>528</v>
      </c>
    </row>
    <row r="2196" spans="1:15">
      <c r="A2196" s="240" t="s">
        <v>72</v>
      </c>
      <c r="B2196" s="47" t="s">
        <v>59</v>
      </c>
      <c r="C2196" s="15">
        <v>1321</v>
      </c>
      <c r="D2196" s="243">
        <v>215</v>
      </c>
      <c r="E2196" s="243">
        <v>94</v>
      </c>
      <c r="F2196" s="243">
        <v>50</v>
      </c>
      <c r="G2196" s="243">
        <v>63</v>
      </c>
      <c r="H2196" s="243">
        <v>78</v>
      </c>
      <c r="I2196" s="243">
        <v>114</v>
      </c>
      <c r="J2196" s="243">
        <v>101</v>
      </c>
      <c r="K2196" s="243">
        <v>108</v>
      </c>
      <c r="L2196" s="243">
        <v>97</v>
      </c>
      <c r="M2196" s="243">
        <v>99</v>
      </c>
      <c r="N2196" s="243">
        <v>150</v>
      </c>
      <c r="O2196" s="253">
        <v>152</v>
      </c>
    </row>
    <row r="2197" spans="1:15">
      <c r="A2197" s="242" t="s">
        <v>72</v>
      </c>
      <c r="B2197" s="43" t="s">
        <v>4</v>
      </c>
      <c r="C2197" s="15">
        <v>43</v>
      </c>
      <c r="D2197" s="244">
        <v>5</v>
      </c>
      <c r="E2197" s="244">
        <v>4</v>
      </c>
      <c r="F2197" s="244">
        <v>0</v>
      </c>
      <c r="G2197" s="244">
        <v>1</v>
      </c>
      <c r="H2197" s="244">
        <v>0</v>
      </c>
      <c r="I2197" s="244">
        <v>1</v>
      </c>
      <c r="J2197" s="244">
        <v>3</v>
      </c>
      <c r="K2197" s="244">
        <v>9</v>
      </c>
      <c r="L2197" s="244">
        <v>4</v>
      </c>
      <c r="M2197" s="244">
        <v>2</v>
      </c>
      <c r="N2197" s="244">
        <v>9</v>
      </c>
      <c r="O2197" s="254">
        <v>5</v>
      </c>
    </row>
    <row r="2198" spans="1:15">
      <c r="A2198" s="240" t="s">
        <v>72</v>
      </c>
      <c r="B2198" s="47" t="s">
        <v>5</v>
      </c>
      <c r="C2198" s="12">
        <v>0.032551097653293</v>
      </c>
      <c r="D2198" s="241">
        <v>0.0232558139534884</v>
      </c>
      <c r="E2198" s="241">
        <v>0.0425531914893617</v>
      </c>
      <c r="F2198" s="241">
        <v>0</v>
      </c>
      <c r="G2198" s="241">
        <v>0.0158730158730159</v>
      </c>
      <c r="H2198" s="241">
        <v>0</v>
      </c>
      <c r="I2198" s="241">
        <v>0.0087719298245614</v>
      </c>
      <c r="J2198" s="241">
        <v>0.0297029702970297</v>
      </c>
      <c r="K2198" s="241">
        <v>0.0833333333333333</v>
      </c>
      <c r="L2198" s="241">
        <v>0.0412371134020619</v>
      </c>
      <c r="M2198" s="241">
        <v>0.0202020202020202</v>
      </c>
      <c r="N2198" s="241">
        <v>0.06</v>
      </c>
      <c r="O2198" s="252">
        <v>0.0328947368421053</v>
      </c>
    </row>
    <row r="2199" spans="1:15">
      <c r="A2199" s="242" t="s">
        <v>72</v>
      </c>
      <c r="B2199" s="43" t="s">
        <v>6</v>
      </c>
      <c r="C2199" s="15">
        <v>12</v>
      </c>
      <c r="D2199" s="244">
        <v>1</v>
      </c>
      <c r="E2199" s="244">
        <v>1</v>
      </c>
      <c r="F2199" s="244">
        <v>0</v>
      </c>
      <c r="G2199" s="244">
        <v>1</v>
      </c>
      <c r="H2199" s="244">
        <v>0</v>
      </c>
      <c r="I2199" s="244">
        <v>1</v>
      </c>
      <c r="J2199" s="244">
        <v>0</v>
      </c>
      <c r="K2199" s="244">
        <v>2</v>
      </c>
      <c r="L2199" s="244">
        <v>3</v>
      </c>
      <c r="M2199" s="244">
        <v>1</v>
      </c>
      <c r="N2199" s="244">
        <v>1</v>
      </c>
      <c r="O2199" s="254">
        <v>1</v>
      </c>
    </row>
    <row r="2200" ht="14.25" spans="1:15">
      <c r="A2200" s="245" t="s">
        <v>72</v>
      </c>
      <c r="B2200" s="52" t="s">
        <v>64</v>
      </c>
      <c r="C2200" s="19">
        <v>0.27906976744186</v>
      </c>
      <c r="D2200" s="250">
        <v>1</v>
      </c>
      <c r="E2200" s="250">
        <v>1</v>
      </c>
      <c r="F2200" s="250">
        <v>0</v>
      </c>
      <c r="G2200" s="250">
        <v>1</v>
      </c>
      <c r="H2200" s="250">
        <v>0</v>
      </c>
      <c r="I2200" s="250">
        <v>1</v>
      </c>
      <c r="J2200" s="250">
        <v>0</v>
      </c>
      <c r="K2200" s="250">
        <v>2</v>
      </c>
      <c r="L2200" s="250">
        <v>3</v>
      </c>
      <c r="M2200" s="250">
        <v>1</v>
      </c>
      <c r="N2200" s="250">
        <v>1</v>
      </c>
      <c r="O2200" s="257">
        <v>1</v>
      </c>
    </row>
    <row r="2201" ht="14.25" spans="1:15">
      <c r="A2201" s="237">
        <v>45053</v>
      </c>
      <c r="B2201" s="237"/>
      <c r="C2201" s="237"/>
      <c r="D2201" s="237"/>
      <c r="E2201" s="237"/>
      <c r="F2201" s="237"/>
      <c r="G2201" s="237"/>
      <c r="H2201" s="237"/>
      <c r="I2201" s="237"/>
      <c r="J2201" s="237"/>
      <c r="K2201" s="237"/>
      <c r="L2201" s="237"/>
      <c r="M2201" s="237"/>
      <c r="N2201" s="237"/>
      <c r="O2201" s="237"/>
    </row>
    <row r="2202" spans="1:15">
      <c r="A2202" s="56" t="s">
        <v>1</v>
      </c>
      <c r="B2202" s="238"/>
      <c r="C2202" s="8" t="s">
        <v>42</v>
      </c>
      <c r="D2202" s="239" t="s">
        <v>43</v>
      </c>
      <c r="E2202" s="239" t="s">
        <v>44</v>
      </c>
      <c r="F2202" s="239" t="s">
        <v>45</v>
      </c>
      <c r="G2202" s="239" t="s">
        <v>46</v>
      </c>
      <c r="H2202" s="239" t="s">
        <v>47</v>
      </c>
      <c r="I2202" s="239" t="s">
        <v>48</v>
      </c>
      <c r="J2202" s="239" t="s">
        <v>49</v>
      </c>
      <c r="K2202" s="239" t="s">
        <v>50</v>
      </c>
      <c r="L2202" s="239" t="s">
        <v>51</v>
      </c>
      <c r="M2202" s="239" t="s">
        <v>52</v>
      </c>
      <c r="N2202" s="239" t="s">
        <v>53</v>
      </c>
      <c r="O2202" s="251" t="s">
        <v>54</v>
      </c>
    </row>
    <row r="2203" spans="1:15">
      <c r="A2203" s="240" t="s">
        <v>22</v>
      </c>
      <c r="B2203" s="47" t="s">
        <v>55</v>
      </c>
      <c r="C2203" s="12">
        <v>0.407621804148577</v>
      </c>
      <c r="D2203" s="241">
        <v>0.540909090909091</v>
      </c>
      <c r="E2203" s="241">
        <v>0.483606557377049</v>
      </c>
      <c r="F2203" s="241">
        <v>0.5</v>
      </c>
      <c r="G2203" s="241">
        <v>0.514018691588785</v>
      </c>
      <c r="H2203" s="241">
        <v>0.422360248447205</v>
      </c>
      <c r="I2203" s="241">
        <v>0.392265193370166</v>
      </c>
      <c r="J2203" s="241">
        <v>0.365269461077844</v>
      </c>
      <c r="K2203" s="241">
        <v>0.351219512195122</v>
      </c>
      <c r="L2203" s="241">
        <v>0.303921568627451</v>
      </c>
      <c r="M2203" s="241">
        <v>0.44047619047619</v>
      </c>
      <c r="N2203" s="241">
        <v>0.359223300970874</v>
      </c>
      <c r="O2203" s="252">
        <v>0.354838709677419</v>
      </c>
    </row>
    <row r="2204" spans="1:15">
      <c r="A2204" s="242" t="s">
        <v>22</v>
      </c>
      <c r="B2204" s="43" t="s">
        <v>57</v>
      </c>
      <c r="C2204" s="15">
        <v>2073</v>
      </c>
      <c r="D2204" s="243">
        <v>220</v>
      </c>
      <c r="E2204" s="243">
        <v>122</v>
      </c>
      <c r="F2204" s="243">
        <v>84</v>
      </c>
      <c r="G2204" s="243">
        <v>107</v>
      </c>
      <c r="H2204" s="243">
        <v>161</v>
      </c>
      <c r="I2204" s="243">
        <v>181</v>
      </c>
      <c r="J2204" s="243">
        <v>167</v>
      </c>
      <c r="K2204" s="243">
        <v>205</v>
      </c>
      <c r="L2204" s="243">
        <v>204</v>
      </c>
      <c r="M2204" s="243">
        <v>168</v>
      </c>
      <c r="N2204" s="243">
        <v>206</v>
      </c>
      <c r="O2204" s="253">
        <v>248</v>
      </c>
    </row>
    <row r="2205" spans="1:15">
      <c r="A2205" s="240" t="s">
        <v>22</v>
      </c>
      <c r="B2205" s="47" t="s">
        <v>59</v>
      </c>
      <c r="C2205" s="15">
        <v>845</v>
      </c>
      <c r="D2205" s="243">
        <v>119</v>
      </c>
      <c r="E2205" s="243">
        <v>59</v>
      </c>
      <c r="F2205" s="243">
        <v>42</v>
      </c>
      <c r="G2205" s="243">
        <v>55</v>
      </c>
      <c r="H2205" s="243">
        <v>68</v>
      </c>
      <c r="I2205" s="243">
        <v>71</v>
      </c>
      <c r="J2205" s="243">
        <v>61</v>
      </c>
      <c r="K2205" s="243">
        <v>72</v>
      </c>
      <c r="L2205" s="243">
        <v>62</v>
      </c>
      <c r="M2205" s="243">
        <v>74</v>
      </c>
      <c r="N2205" s="243">
        <v>74</v>
      </c>
      <c r="O2205" s="253">
        <v>88</v>
      </c>
    </row>
    <row r="2206" spans="1:15">
      <c r="A2206" s="242" t="s">
        <v>22</v>
      </c>
      <c r="B2206" s="43" t="s">
        <v>4</v>
      </c>
      <c r="C2206" s="15">
        <v>60</v>
      </c>
      <c r="D2206" s="244">
        <v>5</v>
      </c>
      <c r="E2206" s="244">
        <v>6</v>
      </c>
      <c r="F2206" s="244">
        <v>2</v>
      </c>
      <c r="G2206" s="244">
        <v>0</v>
      </c>
      <c r="H2206" s="244">
        <v>5</v>
      </c>
      <c r="I2206" s="244">
        <v>4</v>
      </c>
      <c r="J2206" s="244">
        <v>3</v>
      </c>
      <c r="K2206" s="244">
        <v>7</v>
      </c>
      <c r="L2206" s="244">
        <v>3</v>
      </c>
      <c r="M2206" s="244">
        <v>7</v>
      </c>
      <c r="N2206" s="244">
        <v>7</v>
      </c>
      <c r="O2206" s="254">
        <v>11</v>
      </c>
    </row>
    <row r="2207" spans="1:15">
      <c r="A2207" s="240" t="s">
        <v>22</v>
      </c>
      <c r="B2207" s="47" t="s">
        <v>5</v>
      </c>
      <c r="C2207" s="12">
        <v>0.0710059171597633</v>
      </c>
      <c r="D2207" s="241">
        <v>0.0420168067226891</v>
      </c>
      <c r="E2207" s="241">
        <v>0.101694915254237</v>
      </c>
      <c r="F2207" s="241">
        <v>0.0476190476190476</v>
      </c>
      <c r="G2207" s="241">
        <v>0</v>
      </c>
      <c r="H2207" s="241">
        <v>0.0735294117647059</v>
      </c>
      <c r="I2207" s="241">
        <v>0.0563380281690141</v>
      </c>
      <c r="J2207" s="241">
        <v>0.0491803278688525</v>
      </c>
      <c r="K2207" s="241">
        <v>0.0972222222222222</v>
      </c>
      <c r="L2207" s="241">
        <v>0.0483870967741935</v>
      </c>
      <c r="M2207" s="241">
        <v>0.0945945945945946</v>
      </c>
      <c r="N2207" s="241">
        <v>0.0945945945945946</v>
      </c>
      <c r="O2207" s="252">
        <v>0.125</v>
      </c>
    </row>
    <row r="2208" spans="1:15">
      <c r="A2208" s="242" t="s">
        <v>22</v>
      </c>
      <c r="B2208" s="43" t="s">
        <v>6</v>
      </c>
      <c r="C2208" s="15">
        <v>25</v>
      </c>
      <c r="D2208" s="244">
        <v>3</v>
      </c>
      <c r="E2208" s="244">
        <v>2</v>
      </c>
      <c r="F2208" s="244">
        <v>1</v>
      </c>
      <c r="G2208" s="244">
        <v>0</v>
      </c>
      <c r="H2208" s="244">
        <v>1</v>
      </c>
      <c r="I2208" s="244">
        <v>4</v>
      </c>
      <c r="J2208" s="244">
        <v>1</v>
      </c>
      <c r="K2208" s="244">
        <v>1</v>
      </c>
      <c r="L2208" s="244">
        <v>2</v>
      </c>
      <c r="M2208" s="244">
        <v>5</v>
      </c>
      <c r="N2208" s="244">
        <v>1</v>
      </c>
      <c r="O2208" s="254">
        <v>4</v>
      </c>
    </row>
    <row r="2209" ht="14.25" spans="1:15">
      <c r="A2209" s="245" t="s">
        <v>22</v>
      </c>
      <c r="B2209" s="52" t="s">
        <v>64</v>
      </c>
      <c r="C2209" s="19">
        <v>0.416666666666667</v>
      </c>
      <c r="D2209" s="246">
        <v>0.6</v>
      </c>
      <c r="E2209" s="246">
        <v>0.333333333333333</v>
      </c>
      <c r="F2209" s="246">
        <v>0.5</v>
      </c>
      <c r="G2209" s="246">
        <v>0</v>
      </c>
      <c r="H2209" s="246">
        <v>0.2</v>
      </c>
      <c r="I2209" s="246">
        <v>1</v>
      </c>
      <c r="J2209" s="246">
        <v>0.333333333333333</v>
      </c>
      <c r="K2209" s="246">
        <v>0.142857142857143</v>
      </c>
      <c r="L2209" s="246">
        <v>0.666666666666667</v>
      </c>
      <c r="M2209" s="246">
        <v>0.714285714285714</v>
      </c>
      <c r="N2209" s="246">
        <v>0.142857142857143</v>
      </c>
      <c r="O2209" s="255">
        <v>0.363636363636364</v>
      </c>
    </row>
    <row r="2210" spans="1:15">
      <c r="A2210" s="247" t="s">
        <v>66</v>
      </c>
      <c r="B2210" s="248" t="s">
        <v>55</v>
      </c>
      <c r="C2210" s="12">
        <v>0.119944211994421</v>
      </c>
      <c r="D2210" s="249">
        <v>0.10188679245283</v>
      </c>
      <c r="E2210" s="249">
        <v>0.0864661654135338</v>
      </c>
      <c r="F2210" s="249">
        <v>0.0561224489795918</v>
      </c>
      <c r="G2210" s="249">
        <v>0.0944444444444444</v>
      </c>
      <c r="H2210" s="249">
        <v>0.112903225806452</v>
      </c>
      <c r="I2210" s="249">
        <v>0.135</v>
      </c>
      <c r="J2210" s="249">
        <v>0.134615384615385</v>
      </c>
      <c r="K2210" s="249">
        <v>0.0903614457831325</v>
      </c>
      <c r="L2210" s="249">
        <v>0.153846153846154</v>
      </c>
      <c r="M2210" s="249">
        <v>0.192</v>
      </c>
      <c r="N2210" s="249">
        <v>0.194244604316547</v>
      </c>
      <c r="O2210" s="256">
        <v>0.178294573643411</v>
      </c>
    </row>
    <row r="2211" spans="1:15">
      <c r="A2211" s="242" t="s">
        <v>66</v>
      </c>
      <c r="B2211" s="43" t="s">
        <v>57</v>
      </c>
      <c r="C2211" s="15">
        <v>2151</v>
      </c>
      <c r="D2211" s="243">
        <v>265</v>
      </c>
      <c r="E2211" s="243">
        <v>266</v>
      </c>
      <c r="F2211" s="243">
        <v>196</v>
      </c>
      <c r="G2211" s="243">
        <v>180</v>
      </c>
      <c r="H2211" s="243">
        <v>186</v>
      </c>
      <c r="I2211" s="243">
        <v>200</v>
      </c>
      <c r="J2211" s="243">
        <v>156</v>
      </c>
      <c r="K2211" s="243">
        <v>166</v>
      </c>
      <c r="L2211" s="243">
        <v>143</v>
      </c>
      <c r="M2211" s="243">
        <v>125</v>
      </c>
      <c r="N2211" s="243">
        <v>139</v>
      </c>
      <c r="O2211" s="253">
        <v>129</v>
      </c>
    </row>
    <row r="2212" spans="1:15">
      <c r="A2212" s="240" t="s">
        <v>66</v>
      </c>
      <c r="B2212" s="47" t="s">
        <v>59</v>
      </c>
      <c r="C2212" s="15">
        <v>258</v>
      </c>
      <c r="D2212" s="243">
        <v>27</v>
      </c>
      <c r="E2212" s="243">
        <v>23</v>
      </c>
      <c r="F2212" s="243">
        <v>11</v>
      </c>
      <c r="G2212" s="243">
        <v>17</v>
      </c>
      <c r="H2212" s="243">
        <v>21</v>
      </c>
      <c r="I2212" s="243">
        <v>27</v>
      </c>
      <c r="J2212" s="243">
        <v>21</v>
      </c>
      <c r="K2212" s="243">
        <v>15</v>
      </c>
      <c r="L2212" s="243">
        <v>22</v>
      </c>
      <c r="M2212" s="243">
        <v>24</v>
      </c>
      <c r="N2212" s="243">
        <v>27</v>
      </c>
      <c r="O2212" s="253">
        <v>23</v>
      </c>
    </row>
    <row r="2213" spans="1:15">
      <c r="A2213" s="242" t="s">
        <v>66</v>
      </c>
      <c r="B2213" s="43" t="s">
        <v>4</v>
      </c>
      <c r="C2213" s="15">
        <v>12</v>
      </c>
      <c r="D2213" s="244">
        <v>2</v>
      </c>
      <c r="E2213" s="244">
        <v>1</v>
      </c>
      <c r="F2213" s="244">
        <v>3</v>
      </c>
      <c r="G2213" s="244">
        <v>2</v>
      </c>
      <c r="H2213" s="244">
        <v>0</v>
      </c>
      <c r="I2213" s="244">
        <v>1</v>
      </c>
      <c r="J2213" s="244">
        <v>1</v>
      </c>
      <c r="K2213" s="244">
        <v>1</v>
      </c>
      <c r="L2213" s="244">
        <v>1</v>
      </c>
      <c r="M2213" s="244">
        <v>0</v>
      </c>
      <c r="N2213" s="244">
        <v>0</v>
      </c>
      <c r="O2213" s="254">
        <v>0</v>
      </c>
    </row>
    <row r="2214" spans="1:15">
      <c r="A2214" s="240" t="s">
        <v>66</v>
      </c>
      <c r="B2214" s="47" t="s">
        <v>5</v>
      </c>
      <c r="C2214" s="12">
        <v>0.0465116279069767</v>
      </c>
      <c r="D2214" s="241">
        <v>0.0740740740740741</v>
      </c>
      <c r="E2214" s="241">
        <v>0.0434782608695652</v>
      </c>
      <c r="F2214" s="241">
        <v>0.272727272727273</v>
      </c>
      <c r="G2214" s="241">
        <v>0.117647058823529</v>
      </c>
      <c r="H2214" s="241">
        <v>0</v>
      </c>
      <c r="I2214" s="241">
        <v>0.037037037037037</v>
      </c>
      <c r="J2214" s="241">
        <v>0.0476190476190476</v>
      </c>
      <c r="K2214" s="241">
        <v>0.0666666666666667</v>
      </c>
      <c r="L2214" s="241">
        <v>0.0454545454545455</v>
      </c>
      <c r="M2214" s="241">
        <v>0</v>
      </c>
      <c r="N2214" s="241">
        <v>0</v>
      </c>
      <c r="O2214" s="252">
        <v>0</v>
      </c>
    </row>
    <row r="2215" spans="1:15">
      <c r="A2215" s="242" t="s">
        <v>66</v>
      </c>
      <c r="B2215" s="43" t="s">
        <v>6</v>
      </c>
      <c r="C2215" s="15">
        <v>3</v>
      </c>
      <c r="D2215" s="244">
        <v>1</v>
      </c>
      <c r="E2215" s="244">
        <v>0</v>
      </c>
      <c r="F2215" s="244">
        <v>0</v>
      </c>
      <c r="G2215" s="244">
        <v>0</v>
      </c>
      <c r="H2215" s="244">
        <v>0</v>
      </c>
      <c r="I2215" s="244">
        <v>0</v>
      </c>
      <c r="J2215" s="244">
        <v>0</v>
      </c>
      <c r="K2215" s="244">
        <v>0</v>
      </c>
      <c r="L2215" s="244">
        <v>1</v>
      </c>
      <c r="M2215" s="244">
        <v>0</v>
      </c>
      <c r="N2215" s="244">
        <v>0</v>
      </c>
      <c r="O2215" s="254">
        <v>1</v>
      </c>
    </row>
    <row r="2216" ht="14.25" spans="1:15">
      <c r="A2216" s="245" t="s">
        <v>66</v>
      </c>
      <c r="B2216" s="52" t="s">
        <v>64</v>
      </c>
      <c r="C2216" s="19">
        <v>0.25</v>
      </c>
      <c r="D2216" s="246">
        <v>0.5</v>
      </c>
      <c r="E2216" s="246">
        <v>0</v>
      </c>
      <c r="F2216" s="246">
        <v>0</v>
      </c>
      <c r="G2216" s="246">
        <v>0</v>
      </c>
      <c r="H2216" s="246">
        <v>0</v>
      </c>
      <c r="I2216" s="246">
        <v>0</v>
      </c>
      <c r="J2216" s="246">
        <v>0</v>
      </c>
      <c r="K2216" s="246">
        <v>0</v>
      </c>
      <c r="L2216" s="246">
        <v>1</v>
      </c>
      <c r="M2216" s="246">
        <v>0</v>
      </c>
      <c r="N2216" s="246">
        <v>0</v>
      </c>
      <c r="O2216" s="255">
        <v>0</v>
      </c>
    </row>
    <row r="2217" spans="1:15">
      <c r="A2217" s="240" t="s">
        <v>67</v>
      </c>
      <c r="B2217" s="47" t="s">
        <v>55</v>
      </c>
      <c r="C2217" s="12">
        <v>0.557603686635945</v>
      </c>
      <c r="D2217" s="241">
        <v>0.528571428571429</v>
      </c>
      <c r="E2217" s="241">
        <v>0.333333333333333</v>
      </c>
      <c r="F2217" s="241">
        <v>1.33333333333333</v>
      </c>
      <c r="G2217" s="241">
        <v>0.944444444444444</v>
      </c>
      <c r="H2217" s="241">
        <v>0.452380952380952</v>
      </c>
      <c r="I2217" s="241">
        <v>0.375</v>
      </c>
      <c r="J2217" s="241">
        <v>0.714285714285714</v>
      </c>
      <c r="K2217" s="241">
        <v>0.722222222222222</v>
      </c>
      <c r="L2217" s="241">
        <v>0.75</v>
      </c>
      <c r="M2217" s="241">
        <v>0.638888888888889</v>
      </c>
      <c r="N2217" s="241">
        <v>0.558823529411765</v>
      </c>
      <c r="O2217" s="252">
        <v>0.409090909090909</v>
      </c>
    </row>
    <row r="2218" spans="1:15">
      <c r="A2218" s="242" t="s">
        <v>67</v>
      </c>
      <c r="B2218" s="43" t="s">
        <v>57</v>
      </c>
      <c r="C2218" s="15">
        <v>434</v>
      </c>
      <c r="D2218" s="243">
        <v>70</v>
      </c>
      <c r="E2218" s="243">
        <v>48</v>
      </c>
      <c r="F2218" s="243">
        <v>6</v>
      </c>
      <c r="G2218" s="243">
        <v>18</v>
      </c>
      <c r="H2218" s="243">
        <v>42</v>
      </c>
      <c r="I2218" s="243">
        <v>40</v>
      </c>
      <c r="J2218" s="243">
        <v>28</v>
      </c>
      <c r="K2218" s="243">
        <v>36</v>
      </c>
      <c r="L2218" s="243">
        <v>32</v>
      </c>
      <c r="M2218" s="243">
        <v>36</v>
      </c>
      <c r="N2218" s="243">
        <v>34</v>
      </c>
      <c r="O2218" s="253">
        <v>44</v>
      </c>
    </row>
    <row r="2219" spans="1:15">
      <c r="A2219" s="240" t="s">
        <v>67</v>
      </c>
      <c r="B2219" s="47" t="s">
        <v>59</v>
      </c>
      <c r="C2219" s="15">
        <v>242</v>
      </c>
      <c r="D2219" s="243">
        <v>37</v>
      </c>
      <c r="E2219" s="243">
        <v>16</v>
      </c>
      <c r="F2219" s="243">
        <v>8</v>
      </c>
      <c r="G2219" s="243">
        <v>17</v>
      </c>
      <c r="H2219" s="243">
        <v>19</v>
      </c>
      <c r="I2219" s="243">
        <v>15</v>
      </c>
      <c r="J2219" s="243">
        <v>20</v>
      </c>
      <c r="K2219" s="243">
        <v>26</v>
      </c>
      <c r="L2219" s="243">
        <v>24</v>
      </c>
      <c r="M2219" s="243">
        <v>23</v>
      </c>
      <c r="N2219" s="243">
        <v>19</v>
      </c>
      <c r="O2219" s="253">
        <v>18</v>
      </c>
    </row>
    <row r="2220" spans="1:15">
      <c r="A2220" s="242" t="s">
        <v>67</v>
      </c>
      <c r="B2220" s="43" t="s">
        <v>4</v>
      </c>
      <c r="C2220" s="15">
        <v>8</v>
      </c>
      <c r="D2220" s="244">
        <v>0</v>
      </c>
      <c r="E2220" s="244">
        <v>2</v>
      </c>
      <c r="F2220" s="244">
        <v>0</v>
      </c>
      <c r="G2220" s="244">
        <v>0</v>
      </c>
      <c r="H2220" s="244">
        <v>1</v>
      </c>
      <c r="I2220" s="244">
        <v>1</v>
      </c>
      <c r="J2220" s="244">
        <v>0</v>
      </c>
      <c r="K2220" s="244">
        <v>1</v>
      </c>
      <c r="L2220" s="244">
        <v>1</v>
      </c>
      <c r="M2220" s="244">
        <v>0</v>
      </c>
      <c r="N2220" s="244">
        <v>1</v>
      </c>
      <c r="O2220" s="254">
        <v>1</v>
      </c>
    </row>
    <row r="2221" spans="1:15">
      <c r="A2221" s="240" t="s">
        <v>67</v>
      </c>
      <c r="B2221" s="47" t="s">
        <v>5</v>
      </c>
      <c r="C2221" s="12">
        <v>0.0330578512396694</v>
      </c>
      <c r="D2221" s="241">
        <v>0</v>
      </c>
      <c r="E2221" s="241">
        <v>0.125</v>
      </c>
      <c r="F2221" s="241">
        <v>0</v>
      </c>
      <c r="G2221" s="241">
        <v>0</v>
      </c>
      <c r="H2221" s="241">
        <v>0.0526315789473684</v>
      </c>
      <c r="I2221" s="241">
        <v>0.0666666666666667</v>
      </c>
      <c r="J2221" s="241">
        <v>0</v>
      </c>
      <c r="K2221" s="241">
        <v>0.0384615384615385</v>
      </c>
      <c r="L2221" s="241">
        <v>0.0416666666666667</v>
      </c>
      <c r="M2221" s="241">
        <v>0</v>
      </c>
      <c r="N2221" s="241">
        <v>0.0526315789473684</v>
      </c>
      <c r="O2221" s="252">
        <v>0.0555555555555556</v>
      </c>
    </row>
    <row r="2222" spans="1:15">
      <c r="A2222" s="242" t="s">
        <v>67</v>
      </c>
      <c r="B2222" s="43" t="s">
        <v>6</v>
      </c>
      <c r="C2222" s="15">
        <v>12</v>
      </c>
      <c r="D2222" s="244">
        <v>1</v>
      </c>
      <c r="E2222" s="244">
        <v>0</v>
      </c>
      <c r="F2222" s="244">
        <v>0</v>
      </c>
      <c r="G2222" s="244">
        <v>1</v>
      </c>
      <c r="H2222" s="244">
        <v>1</v>
      </c>
      <c r="I2222" s="244">
        <v>2</v>
      </c>
      <c r="J2222" s="244">
        <v>1</v>
      </c>
      <c r="K2222" s="244">
        <v>2</v>
      </c>
      <c r="L2222" s="244">
        <v>2</v>
      </c>
      <c r="M2222" s="244">
        <v>2</v>
      </c>
      <c r="N2222" s="244">
        <v>0</v>
      </c>
      <c r="O2222" s="254">
        <v>0</v>
      </c>
    </row>
    <row r="2223" ht="14.25" spans="1:15">
      <c r="A2223" s="245" t="s">
        <v>67</v>
      </c>
      <c r="B2223" s="52" t="s">
        <v>64</v>
      </c>
      <c r="C2223" s="19">
        <v>1.5</v>
      </c>
      <c r="D2223" s="246">
        <v>0</v>
      </c>
      <c r="E2223" s="246">
        <v>0</v>
      </c>
      <c r="F2223" s="246">
        <v>0</v>
      </c>
      <c r="G2223" s="246">
        <v>0</v>
      </c>
      <c r="H2223" s="246">
        <v>1</v>
      </c>
      <c r="I2223" s="246">
        <v>2</v>
      </c>
      <c r="J2223" s="246">
        <v>0</v>
      </c>
      <c r="K2223" s="246">
        <v>2</v>
      </c>
      <c r="L2223" s="246">
        <v>2</v>
      </c>
      <c r="M2223" s="246">
        <v>0</v>
      </c>
      <c r="N2223" s="246">
        <v>0</v>
      </c>
      <c r="O2223" s="255">
        <v>0</v>
      </c>
    </row>
    <row r="2224" spans="1:15">
      <c r="A2224" s="240" t="s">
        <v>68</v>
      </c>
      <c r="B2224" s="47" t="s">
        <v>55</v>
      </c>
      <c r="C2224" s="12">
        <v>0.0765506807866868</v>
      </c>
      <c r="D2224" s="241">
        <v>0.109717868338558</v>
      </c>
      <c r="E2224" s="241">
        <v>0.0625</v>
      </c>
      <c r="F2224" s="241">
        <v>0.0778443113772455</v>
      </c>
      <c r="G2224" s="241">
        <v>0.100446428571429</v>
      </c>
      <c r="H2224" s="241">
        <v>0.0866666666666667</v>
      </c>
      <c r="I2224" s="241">
        <v>0.0593525179856115</v>
      </c>
      <c r="J2224" s="241">
        <v>0.0574712643678161</v>
      </c>
      <c r="K2224" s="241">
        <v>0.0735694822888283</v>
      </c>
      <c r="L2224" s="241">
        <v>0.0634615384615385</v>
      </c>
      <c r="M2224" s="241">
        <v>0.0555555555555556</v>
      </c>
      <c r="N2224" s="241">
        <v>0.0797546012269939</v>
      </c>
      <c r="O2224" s="252">
        <v>0.0865384615384615</v>
      </c>
    </row>
    <row r="2225" spans="1:15">
      <c r="A2225" s="242" t="s">
        <v>68</v>
      </c>
      <c r="B2225" s="43" t="s">
        <v>57</v>
      </c>
      <c r="C2225" s="15">
        <v>6610</v>
      </c>
      <c r="D2225" s="243">
        <v>638</v>
      </c>
      <c r="E2225" s="243">
        <v>352</v>
      </c>
      <c r="F2225" s="243">
        <v>334</v>
      </c>
      <c r="G2225" s="243">
        <v>448</v>
      </c>
      <c r="H2225" s="243">
        <v>600</v>
      </c>
      <c r="I2225" s="243">
        <v>556</v>
      </c>
      <c r="J2225" s="243">
        <v>522</v>
      </c>
      <c r="K2225" s="243">
        <v>734</v>
      </c>
      <c r="L2225" s="243">
        <v>520</v>
      </c>
      <c r="M2225" s="243">
        <v>630</v>
      </c>
      <c r="N2225" s="243">
        <v>652</v>
      </c>
      <c r="O2225" s="253">
        <v>624</v>
      </c>
    </row>
    <row r="2226" spans="1:15">
      <c r="A2226" s="240" t="s">
        <v>68</v>
      </c>
      <c r="B2226" s="47" t="s">
        <v>59</v>
      </c>
      <c r="C2226" s="15">
        <v>506</v>
      </c>
      <c r="D2226" s="243">
        <v>70</v>
      </c>
      <c r="E2226" s="243">
        <v>22</v>
      </c>
      <c r="F2226" s="243">
        <v>26</v>
      </c>
      <c r="G2226" s="243">
        <v>45</v>
      </c>
      <c r="H2226" s="243">
        <v>52</v>
      </c>
      <c r="I2226" s="243">
        <v>33</v>
      </c>
      <c r="J2226" s="243">
        <v>30</v>
      </c>
      <c r="K2226" s="243">
        <v>54</v>
      </c>
      <c r="L2226" s="243">
        <v>33</v>
      </c>
      <c r="M2226" s="243">
        <v>35</v>
      </c>
      <c r="N2226" s="243">
        <v>52</v>
      </c>
      <c r="O2226" s="253">
        <v>54</v>
      </c>
    </row>
    <row r="2227" spans="1:15">
      <c r="A2227" s="242" t="s">
        <v>68</v>
      </c>
      <c r="B2227" s="43" t="s">
        <v>4</v>
      </c>
      <c r="C2227" s="15">
        <v>25</v>
      </c>
      <c r="D2227" s="244">
        <v>3</v>
      </c>
      <c r="E2227" s="244">
        <v>4</v>
      </c>
      <c r="F2227" s="244">
        <v>1</v>
      </c>
      <c r="G2227" s="244">
        <v>0</v>
      </c>
      <c r="H2227" s="244">
        <v>1</v>
      </c>
      <c r="I2227" s="244">
        <v>3</v>
      </c>
      <c r="J2227" s="244">
        <v>3</v>
      </c>
      <c r="K2227" s="244">
        <v>1</v>
      </c>
      <c r="L2227" s="244">
        <v>0</v>
      </c>
      <c r="M2227" s="244">
        <v>3</v>
      </c>
      <c r="N2227" s="244">
        <v>3</v>
      </c>
      <c r="O2227" s="254">
        <v>3</v>
      </c>
    </row>
    <row r="2228" spans="1:15">
      <c r="A2228" s="240" t="s">
        <v>68</v>
      </c>
      <c r="B2228" s="47" t="s">
        <v>5</v>
      </c>
      <c r="C2228" s="12">
        <v>0.0494071146245059</v>
      </c>
      <c r="D2228" s="241">
        <v>0.0428571428571429</v>
      </c>
      <c r="E2228" s="241">
        <v>0.181818181818182</v>
      </c>
      <c r="F2228" s="241">
        <v>0.0384615384615385</v>
      </c>
      <c r="G2228" s="241">
        <v>0</v>
      </c>
      <c r="H2228" s="241">
        <v>0.0192307692307692</v>
      </c>
      <c r="I2228" s="241">
        <v>0.0909090909090909</v>
      </c>
      <c r="J2228" s="241">
        <v>0.1</v>
      </c>
      <c r="K2228" s="241">
        <v>0.0185185185185185</v>
      </c>
      <c r="L2228" s="241">
        <v>0</v>
      </c>
      <c r="M2228" s="241">
        <v>0.0857142857142857</v>
      </c>
      <c r="N2228" s="241">
        <v>0.0576923076923077</v>
      </c>
      <c r="O2228" s="252">
        <v>0.0555555555555556</v>
      </c>
    </row>
    <row r="2229" spans="1:15">
      <c r="A2229" s="242" t="s">
        <v>68</v>
      </c>
      <c r="B2229" s="43" t="s">
        <v>6</v>
      </c>
      <c r="C2229" s="15">
        <v>13</v>
      </c>
      <c r="D2229" s="244">
        <v>3</v>
      </c>
      <c r="E2229" s="244">
        <v>0</v>
      </c>
      <c r="F2229" s="244">
        <v>0</v>
      </c>
      <c r="G2229" s="244">
        <v>1</v>
      </c>
      <c r="H2229" s="244">
        <v>0</v>
      </c>
      <c r="I2229" s="244">
        <v>2</v>
      </c>
      <c r="J2229" s="244">
        <v>1</v>
      </c>
      <c r="K2229" s="244">
        <v>3</v>
      </c>
      <c r="L2229" s="244">
        <v>0</v>
      </c>
      <c r="M2229" s="244">
        <v>1</v>
      </c>
      <c r="N2229" s="244">
        <v>0</v>
      </c>
      <c r="O2229" s="254">
        <v>2</v>
      </c>
    </row>
    <row r="2230" ht="14.25" spans="1:15">
      <c r="A2230" s="245" t="s">
        <v>68</v>
      </c>
      <c r="B2230" s="52" t="s">
        <v>64</v>
      </c>
      <c r="C2230" s="19">
        <v>0.52</v>
      </c>
      <c r="D2230" s="246">
        <v>1</v>
      </c>
      <c r="E2230" s="246">
        <v>0</v>
      </c>
      <c r="F2230" s="246">
        <v>0</v>
      </c>
      <c r="G2230" s="246">
        <v>0</v>
      </c>
      <c r="H2230" s="246">
        <v>0</v>
      </c>
      <c r="I2230" s="246">
        <v>0.666666666666667</v>
      </c>
      <c r="J2230" s="246">
        <v>0.333333333333333</v>
      </c>
      <c r="K2230" s="246">
        <v>3</v>
      </c>
      <c r="L2230" s="246">
        <v>0</v>
      </c>
      <c r="M2230" s="246">
        <v>0.333333333333333</v>
      </c>
      <c r="N2230" s="246">
        <v>0</v>
      </c>
      <c r="O2230" s="255">
        <v>0.666666666666667</v>
      </c>
    </row>
    <row r="2231" spans="1:15">
      <c r="A2231" s="240" t="s">
        <v>69</v>
      </c>
      <c r="B2231" s="47" t="s">
        <v>55</v>
      </c>
      <c r="C2231" s="12">
        <v>0.932743362831858</v>
      </c>
      <c r="D2231" s="241">
        <v>1.26530612244898</v>
      </c>
      <c r="E2231" s="241">
        <v>1</v>
      </c>
      <c r="F2231" s="241">
        <v>0.846153846153846</v>
      </c>
      <c r="G2231" s="241">
        <v>1.30434782608696</v>
      </c>
      <c r="H2231" s="241">
        <v>0.719298245614035</v>
      </c>
      <c r="I2231" s="241">
        <v>0.837837837837838</v>
      </c>
      <c r="J2231" s="241">
        <v>0.851851851851852</v>
      </c>
      <c r="K2231" s="241">
        <v>0.877551020408163</v>
      </c>
      <c r="L2231" s="241">
        <v>0.711864406779661</v>
      </c>
      <c r="M2231" s="241">
        <v>0.934782608695652</v>
      </c>
      <c r="N2231" s="241">
        <v>0.879518072289157</v>
      </c>
      <c r="O2231" s="252">
        <v>1.14925373134328</v>
      </c>
    </row>
    <row r="2232" spans="1:15">
      <c r="A2232" s="242" t="s">
        <v>69</v>
      </c>
      <c r="B2232" s="43" t="s">
        <v>57</v>
      </c>
      <c r="C2232" s="15">
        <v>565</v>
      </c>
      <c r="D2232" s="243">
        <v>49</v>
      </c>
      <c r="E2232" s="243">
        <v>28</v>
      </c>
      <c r="F2232" s="243">
        <v>13</v>
      </c>
      <c r="G2232" s="243">
        <v>23</v>
      </c>
      <c r="H2232" s="243">
        <v>57</v>
      </c>
      <c r="I2232" s="243">
        <v>37</v>
      </c>
      <c r="J2232" s="243">
        <v>54</v>
      </c>
      <c r="K2232" s="243">
        <v>49</v>
      </c>
      <c r="L2232" s="243">
        <v>59</v>
      </c>
      <c r="M2232" s="243">
        <v>46</v>
      </c>
      <c r="N2232" s="243">
        <v>83</v>
      </c>
      <c r="O2232" s="253">
        <v>67</v>
      </c>
    </row>
    <row r="2233" spans="1:15">
      <c r="A2233" s="240" t="s">
        <v>69</v>
      </c>
      <c r="B2233" s="47" t="s">
        <v>59</v>
      </c>
      <c r="C2233" s="15">
        <v>527</v>
      </c>
      <c r="D2233" s="243">
        <v>62</v>
      </c>
      <c r="E2233" s="243">
        <v>28</v>
      </c>
      <c r="F2233" s="243">
        <v>11</v>
      </c>
      <c r="G2233" s="243">
        <v>30</v>
      </c>
      <c r="H2233" s="243">
        <v>41</v>
      </c>
      <c r="I2233" s="243">
        <v>31</v>
      </c>
      <c r="J2233" s="243">
        <v>46</v>
      </c>
      <c r="K2233" s="243">
        <v>43</v>
      </c>
      <c r="L2233" s="243">
        <v>42</v>
      </c>
      <c r="M2233" s="243">
        <v>43</v>
      </c>
      <c r="N2233" s="243">
        <v>73</v>
      </c>
      <c r="O2233" s="253">
        <v>77</v>
      </c>
    </row>
    <row r="2234" spans="1:15">
      <c r="A2234" s="242" t="s">
        <v>69</v>
      </c>
      <c r="B2234" s="43" t="s">
        <v>4</v>
      </c>
      <c r="C2234" s="15">
        <v>27</v>
      </c>
      <c r="D2234" s="244">
        <v>1</v>
      </c>
      <c r="E2234" s="244">
        <v>1</v>
      </c>
      <c r="F2234" s="244">
        <v>0</v>
      </c>
      <c r="G2234" s="244">
        <v>1</v>
      </c>
      <c r="H2234" s="244">
        <v>3</v>
      </c>
      <c r="I2234" s="244">
        <v>2</v>
      </c>
      <c r="J2234" s="244">
        <v>5</v>
      </c>
      <c r="K2234" s="244">
        <v>4</v>
      </c>
      <c r="L2234" s="244">
        <v>3</v>
      </c>
      <c r="M2234" s="244">
        <v>1</v>
      </c>
      <c r="N2234" s="244">
        <v>4</v>
      </c>
      <c r="O2234" s="254">
        <v>2</v>
      </c>
    </row>
    <row r="2235" spans="1:15">
      <c r="A2235" s="240" t="s">
        <v>69</v>
      </c>
      <c r="B2235" s="47" t="s">
        <v>5</v>
      </c>
      <c r="C2235" s="12">
        <v>0.0512333965844402</v>
      </c>
      <c r="D2235" s="241">
        <v>0.0161290322580645</v>
      </c>
      <c r="E2235" s="241">
        <v>0.0357142857142857</v>
      </c>
      <c r="F2235" s="241">
        <v>0</v>
      </c>
      <c r="G2235" s="241">
        <v>0.0333333333333333</v>
      </c>
      <c r="H2235" s="241">
        <v>0.0731707317073171</v>
      </c>
      <c r="I2235" s="241">
        <v>0.0645161290322581</v>
      </c>
      <c r="J2235" s="241">
        <v>0.108695652173913</v>
      </c>
      <c r="K2235" s="241">
        <v>0.0930232558139535</v>
      </c>
      <c r="L2235" s="241">
        <v>0.0714285714285714</v>
      </c>
      <c r="M2235" s="241">
        <v>0.0232558139534884</v>
      </c>
      <c r="N2235" s="241">
        <v>0.0547945205479452</v>
      </c>
      <c r="O2235" s="252">
        <v>0.025974025974026</v>
      </c>
    </row>
    <row r="2236" spans="1:15">
      <c r="A2236" s="242" t="s">
        <v>69</v>
      </c>
      <c r="B2236" s="43" t="s">
        <v>6</v>
      </c>
      <c r="C2236" s="15">
        <v>9</v>
      </c>
      <c r="D2236" s="244">
        <v>0</v>
      </c>
      <c r="E2236" s="244">
        <v>0</v>
      </c>
      <c r="F2236" s="244">
        <v>0</v>
      </c>
      <c r="G2236" s="244">
        <v>0</v>
      </c>
      <c r="H2236" s="244">
        <v>1</v>
      </c>
      <c r="I2236" s="244">
        <v>1</v>
      </c>
      <c r="J2236" s="244">
        <v>2</v>
      </c>
      <c r="K2236" s="244">
        <v>1</v>
      </c>
      <c r="L2236" s="244">
        <v>0</v>
      </c>
      <c r="M2236" s="244">
        <v>1</v>
      </c>
      <c r="N2236" s="244">
        <v>1</v>
      </c>
      <c r="O2236" s="254">
        <v>2</v>
      </c>
    </row>
    <row r="2237" ht="14.25" spans="1:15">
      <c r="A2237" s="245" t="s">
        <v>69</v>
      </c>
      <c r="B2237" s="52" t="s">
        <v>64</v>
      </c>
      <c r="C2237" s="19">
        <v>0.333333333333333</v>
      </c>
      <c r="D2237" s="246">
        <v>0</v>
      </c>
      <c r="E2237" s="246">
        <v>0</v>
      </c>
      <c r="F2237" s="246">
        <v>0</v>
      </c>
      <c r="G2237" s="246">
        <v>0</v>
      </c>
      <c r="H2237" s="246">
        <v>0.333333333333333</v>
      </c>
      <c r="I2237" s="246">
        <v>0.5</v>
      </c>
      <c r="J2237" s="246">
        <v>0.4</v>
      </c>
      <c r="K2237" s="246">
        <v>0.25</v>
      </c>
      <c r="L2237" s="246">
        <v>0</v>
      </c>
      <c r="M2237" s="246">
        <v>1</v>
      </c>
      <c r="N2237" s="246">
        <v>0.25</v>
      </c>
      <c r="O2237" s="255">
        <v>1</v>
      </c>
    </row>
    <row r="2238" spans="1:15">
      <c r="A2238" s="240" t="s">
        <v>70</v>
      </c>
      <c r="B2238" s="47" t="s">
        <v>55</v>
      </c>
      <c r="C2238" s="12">
        <v>0.876984126984127</v>
      </c>
      <c r="D2238" s="241">
        <v>0.911111111111111</v>
      </c>
      <c r="E2238" s="241">
        <v>0.933333333333333</v>
      </c>
      <c r="F2238" s="241">
        <v>0.85</v>
      </c>
      <c r="G2238" s="241">
        <v>0.954545454545455</v>
      </c>
      <c r="H2238" s="241">
        <v>0.871244635193133</v>
      </c>
      <c r="I2238" s="241">
        <v>0.848837209302326</v>
      </c>
      <c r="J2238" s="241">
        <v>0.859712230215827</v>
      </c>
      <c r="K2238" s="241">
        <v>0.880645161290323</v>
      </c>
      <c r="L2238" s="241">
        <v>0.873287671232877</v>
      </c>
      <c r="M2238" s="241">
        <v>0.865248226950355</v>
      </c>
      <c r="N2238" s="241">
        <v>0.876750700280112</v>
      </c>
      <c r="O2238" s="252">
        <v>0.855614973262032</v>
      </c>
    </row>
    <row r="2239" spans="1:15">
      <c r="A2239" s="242" t="s">
        <v>70</v>
      </c>
      <c r="B2239" s="43" t="s">
        <v>57</v>
      </c>
      <c r="C2239" s="15">
        <v>3024</v>
      </c>
      <c r="D2239" s="243">
        <v>315</v>
      </c>
      <c r="E2239" s="243">
        <v>135</v>
      </c>
      <c r="F2239" s="243">
        <v>80</v>
      </c>
      <c r="G2239" s="243">
        <v>110</v>
      </c>
      <c r="H2239" s="243">
        <v>233</v>
      </c>
      <c r="I2239" s="243">
        <v>258</v>
      </c>
      <c r="J2239" s="243">
        <v>278</v>
      </c>
      <c r="K2239" s="243">
        <v>310</v>
      </c>
      <c r="L2239" s="243">
        <v>292</v>
      </c>
      <c r="M2239" s="243">
        <v>282</v>
      </c>
      <c r="N2239" s="243">
        <v>357</v>
      </c>
      <c r="O2239" s="253">
        <v>374</v>
      </c>
    </row>
    <row r="2240" spans="1:15">
      <c r="A2240" s="240" t="s">
        <v>70</v>
      </c>
      <c r="B2240" s="47" t="s">
        <v>59</v>
      </c>
      <c r="C2240" s="15">
        <v>2652</v>
      </c>
      <c r="D2240" s="243">
        <v>287</v>
      </c>
      <c r="E2240" s="243">
        <v>126</v>
      </c>
      <c r="F2240" s="243">
        <v>68</v>
      </c>
      <c r="G2240" s="243">
        <v>105</v>
      </c>
      <c r="H2240" s="243">
        <v>203</v>
      </c>
      <c r="I2240" s="243">
        <v>219</v>
      </c>
      <c r="J2240" s="243">
        <v>239</v>
      </c>
      <c r="K2240" s="243">
        <v>273</v>
      </c>
      <c r="L2240" s="243">
        <v>255</v>
      </c>
      <c r="M2240" s="243">
        <v>244</v>
      </c>
      <c r="N2240" s="243">
        <v>313</v>
      </c>
      <c r="O2240" s="253">
        <v>320</v>
      </c>
    </row>
    <row r="2241" spans="1:15">
      <c r="A2241" s="242" t="s">
        <v>70</v>
      </c>
      <c r="B2241" s="43" t="s">
        <v>4</v>
      </c>
      <c r="C2241" s="15">
        <v>96</v>
      </c>
      <c r="D2241" s="244">
        <v>11</v>
      </c>
      <c r="E2241" s="244">
        <v>6</v>
      </c>
      <c r="F2241" s="244">
        <v>5</v>
      </c>
      <c r="G2241" s="244">
        <v>5</v>
      </c>
      <c r="H2241" s="244">
        <v>10</v>
      </c>
      <c r="I2241" s="244">
        <v>5</v>
      </c>
      <c r="J2241" s="244">
        <v>7</v>
      </c>
      <c r="K2241" s="244">
        <v>7</v>
      </c>
      <c r="L2241" s="244">
        <v>12</v>
      </c>
      <c r="M2241" s="244">
        <v>6</v>
      </c>
      <c r="N2241" s="244">
        <v>10</v>
      </c>
      <c r="O2241" s="254">
        <v>12</v>
      </c>
    </row>
    <row r="2242" spans="1:15">
      <c r="A2242" s="240" t="s">
        <v>70</v>
      </c>
      <c r="B2242" s="47" t="s">
        <v>5</v>
      </c>
      <c r="C2242" s="12">
        <v>0.0361990950226244</v>
      </c>
      <c r="D2242" s="241">
        <v>0.0383275261324042</v>
      </c>
      <c r="E2242" s="241">
        <v>0.0476190476190476</v>
      </c>
      <c r="F2242" s="241">
        <v>0.0735294117647059</v>
      </c>
      <c r="G2242" s="241">
        <v>0.0476190476190476</v>
      </c>
      <c r="H2242" s="241">
        <v>0.0492610837438424</v>
      </c>
      <c r="I2242" s="241">
        <v>0.0228310502283105</v>
      </c>
      <c r="J2242" s="241">
        <v>0.0292887029288703</v>
      </c>
      <c r="K2242" s="241">
        <v>0.0256410256410256</v>
      </c>
      <c r="L2242" s="241">
        <v>0.0470588235294118</v>
      </c>
      <c r="M2242" s="241">
        <v>0.0245901639344262</v>
      </c>
      <c r="N2242" s="241">
        <v>0.0319488817891374</v>
      </c>
      <c r="O2242" s="252">
        <v>0.0375</v>
      </c>
    </row>
    <row r="2243" spans="1:15">
      <c r="A2243" s="242" t="s">
        <v>70</v>
      </c>
      <c r="B2243" s="43" t="s">
        <v>6</v>
      </c>
      <c r="C2243" s="15">
        <v>28</v>
      </c>
      <c r="D2243" s="244">
        <v>4</v>
      </c>
      <c r="E2243" s="244">
        <v>3</v>
      </c>
      <c r="F2243" s="244">
        <v>0</v>
      </c>
      <c r="G2243" s="244">
        <v>1</v>
      </c>
      <c r="H2243" s="244">
        <v>4</v>
      </c>
      <c r="I2243" s="244">
        <v>3</v>
      </c>
      <c r="J2243" s="244">
        <v>3</v>
      </c>
      <c r="K2243" s="244">
        <v>1</v>
      </c>
      <c r="L2243" s="244">
        <v>3</v>
      </c>
      <c r="M2243" s="244">
        <v>2</v>
      </c>
      <c r="N2243" s="244">
        <v>2</v>
      </c>
      <c r="O2243" s="254">
        <v>2</v>
      </c>
    </row>
    <row r="2244" ht="14.25" spans="1:15">
      <c r="A2244" s="245" t="s">
        <v>70</v>
      </c>
      <c r="B2244" s="52" t="s">
        <v>64</v>
      </c>
      <c r="C2244" s="19">
        <v>0.291666666666667</v>
      </c>
      <c r="D2244" s="246">
        <v>0.363636363636364</v>
      </c>
      <c r="E2244" s="246">
        <v>0.5</v>
      </c>
      <c r="F2244" s="246">
        <v>0</v>
      </c>
      <c r="G2244" s="246">
        <v>0.2</v>
      </c>
      <c r="H2244" s="246">
        <v>0.4</v>
      </c>
      <c r="I2244" s="246">
        <v>0.6</v>
      </c>
      <c r="J2244" s="246">
        <v>0.428571428571429</v>
      </c>
      <c r="K2244" s="246">
        <v>0.142857142857143</v>
      </c>
      <c r="L2244" s="246">
        <v>0.25</v>
      </c>
      <c r="M2244" s="246">
        <v>0.333333333333333</v>
      </c>
      <c r="N2244" s="246">
        <v>0.2</v>
      </c>
      <c r="O2244" s="255">
        <v>0.166666666666667</v>
      </c>
    </row>
    <row r="2245" spans="1:15">
      <c r="A2245" s="240" t="s">
        <v>26</v>
      </c>
      <c r="B2245" s="47" t="s">
        <v>55</v>
      </c>
      <c r="C2245" s="12">
        <v>0.487227124941941</v>
      </c>
      <c r="D2245" s="241">
        <v>0.477722772277228</v>
      </c>
      <c r="E2245" s="241">
        <v>0.396</v>
      </c>
      <c r="F2245" s="241">
        <v>0.448356807511737</v>
      </c>
      <c r="G2245" s="241">
        <v>0.495884773662551</v>
      </c>
      <c r="H2245" s="241">
        <v>0.490697674418605</v>
      </c>
      <c r="I2245" s="241">
        <v>0.489795918367347</v>
      </c>
      <c r="J2245" s="241">
        <v>0.470588235294118</v>
      </c>
      <c r="K2245" s="241">
        <v>0.527777777777778</v>
      </c>
      <c r="L2245" s="241">
        <v>0.506622516556291</v>
      </c>
      <c r="M2245" s="241">
        <v>0.537190082644628</v>
      </c>
      <c r="N2245" s="241">
        <v>0.552631578947368</v>
      </c>
      <c r="O2245" s="252">
        <v>0.542307692307692</v>
      </c>
    </row>
    <row r="2246" spans="1:15">
      <c r="A2246" s="242" t="s">
        <v>26</v>
      </c>
      <c r="B2246" s="43" t="s">
        <v>57</v>
      </c>
      <c r="C2246" s="15">
        <v>4306</v>
      </c>
      <c r="D2246" s="243">
        <v>404</v>
      </c>
      <c r="E2246" s="243">
        <v>500</v>
      </c>
      <c r="F2246" s="243">
        <v>426</v>
      </c>
      <c r="G2246" s="243">
        <v>486</v>
      </c>
      <c r="H2246" s="243">
        <v>430</v>
      </c>
      <c r="I2246" s="243">
        <v>392</v>
      </c>
      <c r="J2246" s="243">
        <v>272</v>
      </c>
      <c r="K2246" s="243">
        <v>288</v>
      </c>
      <c r="L2246" s="243">
        <v>302</v>
      </c>
      <c r="M2246" s="243">
        <v>242</v>
      </c>
      <c r="N2246" s="243">
        <v>304</v>
      </c>
      <c r="O2246" s="253">
        <v>260</v>
      </c>
    </row>
    <row r="2247" spans="1:15">
      <c r="A2247" s="240" t="s">
        <v>26</v>
      </c>
      <c r="B2247" s="47" t="s">
        <v>59</v>
      </c>
      <c r="C2247" s="15">
        <v>2098</v>
      </c>
      <c r="D2247" s="243">
        <v>193</v>
      </c>
      <c r="E2247" s="243">
        <v>198</v>
      </c>
      <c r="F2247" s="243">
        <v>191</v>
      </c>
      <c r="G2247" s="243">
        <v>241</v>
      </c>
      <c r="H2247" s="243">
        <v>211</v>
      </c>
      <c r="I2247" s="243">
        <v>192</v>
      </c>
      <c r="J2247" s="243">
        <v>128</v>
      </c>
      <c r="K2247" s="243">
        <v>152</v>
      </c>
      <c r="L2247" s="243">
        <v>153</v>
      </c>
      <c r="M2247" s="243">
        <v>130</v>
      </c>
      <c r="N2247" s="243">
        <v>168</v>
      </c>
      <c r="O2247" s="253">
        <v>141</v>
      </c>
    </row>
    <row r="2248" spans="1:15">
      <c r="A2248" s="242" t="s">
        <v>26</v>
      </c>
      <c r="B2248" s="43" t="s">
        <v>4</v>
      </c>
      <c r="C2248" s="15">
        <v>24</v>
      </c>
      <c r="D2248" s="244">
        <v>3</v>
      </c>
      <c r="E2248" s="244">
        <v>2</v>
      </c>
      <c r="F2248" s="244">
        <v>1</v>
      </c>
      <c r="G2248" s="244">
        <v>0</v>
      </c>
      <c r="H2248" s="244">
        <v>1</v>
      </c>
      <c r="I2248" s="244">
        <v>1</v>
      </c>
      <c r="J2248" s="244">
        <v>3</v>
      </c>
      <c r="K2248" s="244">
        <v>3</v>
      </c>
      <c r="L2248" s="244">
        <v>1</v>
      </c>
      <c r="M2248" s="244">
        <v>1</v>
      </c>
      <c r="N2248" s="244">
        <v>3</v>
      </c>
      <c r="O2248" s="254">
        <v>5</v>
      </c>
    </row>
    <row r="2249" spans="1:15">
      <c r="A2249" s="240" t="s">
        <v>26</v>
      </c>
      <c r="B2249" s="47" t="s">
        <v>5</v>
      </c>
      <c r="C2249" s="12">
        <v>0.0114394661582459</v>
      </c>
      <c r="D2249" s="241">
        <v>0.0155440414507772</v>
      </c>
      <c r="E2249" s="241">
        <v>0.0101010101010101</v>
      </c>
      <c r="F2249" s="241">
        <v>0.00523560209424084</v>
      </c>
      <c r="G2249" s="241">
        <v>0</v>
      </c>
      <c r="H2249" s="241">
        <v>0.004739336492891</v>
      </c>
      <c r="I2249" s="241">
        <v>0.00520833333333333</v>
      </c>
      <c r="J2249" s="241">
        <v>0.0234375</v>
      </c>
      <c r="K2249" s="241">
        <v>0.0197368421052632</v>
      </c>
      <c r="L2249" s="241">
        <v>0.0065359477124183</v>
      </c>
      <c r="M2249" s="241">
        <v>0.00769230769230769</v>
      </c>
      <c r="N2249" s="241">
        <v>0.0178571428571429</v>
      </c>
      <c r="O2249" s="252">
        <v>0.0354609929078014</v>
      </c>
    </row>
    <row r="2250" spans="1:15">
      <c r="A2250" s="242" t="s">
        <v>26</v>
      </c>
      <c r="B2250" s="43" t="s">
        <v>6</v>
      </c>
      <c r="C2250" s="15">
        <v>8</v>
      </c>
      <c r="D2250" s="244">
        <v>1</v>
      </c>
      <c r="E2250" s="244">
        <v>0</v>
      </c>
      <c r="F2250" s="244">
        <v>0</v>
      </c>
      <c r="G2250" s="244">
        <v>1</v>
      </c>
      <c r="H2250" s="244">
        <v>1</v>
      </c>
      <c r="I2250" s="244">
        <v>2</v>
      </c>
      <c r="J2250" s="244">
        <v>0</v>
      </c>
      <c r="K2250" s="244">
        <v>0</v>
      </c>
      <c r="L2250" s="244">
        <v>1</v>
      </c>
      <c r="M2250" s="244">
        <v>0</v>
      </c>
      <c r="N2250" s="244">
        <v>0</v>
      </c>
      <c r="O2250" s="254">
        <v>2</v>
      </c>
    </row>
    <row r="2251" ht="14.25" spans="1:15">
      <c r="A2251" s="245" t="s">
        <v>26</v>
      </c>
      <c r="B2251" s="52" t="s">
        <v>64</v>
      </c>
      <c r="C2251" s="19">
        <v>0.333333333333333</v>
      </c>
      <c r="D2251" s="250">
        <v>1</v>
      </c>
      <c r="E2251" s="250">
        <v>0</v>
      </c>
      <c r="F2251" s="250">
        <v>0</v>
      </c>
      <c r="G2251" s="250">
        <v>1</v>
      </c>
      <c r="H2251" s="250">
        <v>1</v>
      </c>
      <c r="I2251" s="250">
        <v>2</v>
      </c>
      <c r="J2251" s="250">
        <v>0</v>
      </c>
      <c r="K2251" s="250">
        <v>0</v>
      </c>
      <c r="L2251" s="250">
        <v>1</v>
      </c>
      <c r="M2251" s="250">
        <v>0</v>
      </c>
      <c r="N2251" s="250">
        <v>0</v>
      </c>
      <c r="O2251" s="257">
        <v>2</v>
      </c>
    </row>
    <row r="2252" spans="1:15">
      <c r="A2252" s="240" t="s">
        <v>71</v>
      </c>
      <c r="B2252" s="47" t="s">
        <v>55</v>
      </c>
      <c r="C2252" s="12">
        <v>14</v>
      </c>
      <c r="D2252" s="241" t="e">
        <v>#DIV/0!</v>
      </c>
      <c r="E2252" s="241" t="e">
        <v>#DIV/0!</v>
      </c>
      <c r="F2252" s="241" t="e">
        <v>#DIV/0!</v>
      </c>
      <c r="G2252" s="241" t="e">
        <v>#DIV/0!</v>
      </c>
      <c r="H2252" s="241" t="e">
        <v>#DIV/0!</v>
      </c>
      <c r="I2252" s="241" t="e">
        <v>#DIV/0!</v>
      </c>
      <c r="J2252" s="241" t="e">
        <v>#DIV/0!</v>
      </c>
      <c r="K2252" s="241" t="e">
        <v>#DIV/0!</v>
      </c>
      <c r="L2252" s="241">
        <v>2</v>
      </c>
      <c r="M2252" s="241" t="e">
        <v>#DIV/0!</v>
      </c>
      <c r="N2252" s="241" t="e">
        <v>#DIV/0!</v>
      </c>
      <c r="O2252" s="252" t="e">
        <v>#DIV/0!</v>
      </c>
    </row>
    <row r="2253" spans="1:15">
      <c r="A2253" s="242" t="s">
        <v>71</v>
      </c>
      <c r="B2253" s="43" t="s">
        <v>57</v>
      </c>
      <c r="C2253" s="15">
        <v>1</v>
      </c>
      <c r="D2253" s="243">
        <v>0</v>
      </c>
      <c r="E2253" s="243">
        <v>0</v>
      </c>
      <c r="F2253" s="243">
        <v>0</v>
      </c>
      <c r="G2253" s="243">
        <v>0</v>
      </c>
      <c r="H2253" s="243">
        <v>0</v>
      </c>
      <c r="I2253" s="243">
        <v>0</v>
      </c>
      <c r="J2253" s="243">
        <v>0</v>
      </c>
      <c r="K2253" s="243">
        <v>0</v>
      </c>
      <c r="L2253" s="243">
        <v>1</v>
      </c>
      <c r="M2253" s="243">
        <v>0</v>
      </c>
      <c r="N2253" s="243">
        <v>0</v>
      </c>
      <c r="O2253" s="253">
        <v>0</v>
      </c>
    </row>
    <row r="2254" spans="1:15">
      <c r="A2254" s="240" t="s">
        <v>71</v>
      </c>
      <c r="B2254" s="47" t="s">
        <v>59</v>
      </c>
      <c r="C2254" s="15">
        <v>14</v>
      </c>
      <c r="D2254" s="243">
        <v>3</v>
      </c>
      <c r="E2254" s="243">
        <v>1</v>
      </c>
      <c r="F2254" s="243">
        <v>0</v>
      </c>
      <c r="G2254" s="243">
        <v>0</v>
      </c>
      <c r="H2254" s="243">
        <v>1</v>
      </c>
      <c r="I2254" s="243">
        <v>0</v>
      </c>
      <c r="J2254" s="243">
        <v>2</v>
      </c>
      <c r="K2254" s="243">
        <v>1</v>
      </c>
      <c r="L2254" s="243">
        <v>2</v>
      </c>
      <c r="M2254" s="243">
        <v>2</v>
      </c>
      <c r="N2254" s="243">
        <v>1</v>
      </c>
      <c r="O2254" s="253">
        <v>1</v>
      </c>
    </row>
    <row r="2255" spans="1:15">
      <c r="A2255" s="242" t="s">
        <v>71</v>
      </c>
      <c r="B2255" s="43" t="s">
        <v>4</v>
      </c>
      <c r="C2255" s="15">
        <v>47</v>
      </c>
      <c r="D2255" s="244">
        <v>7</v>
      </c>
      <c r="E2255" s="244">
        <v>4</v>
      </c>
      <c r="F2255" s="244">
        <v>0</v>
      </c>
      <c r="G2255" s="244">
        <v>2</v>
      </c>
      <c r="H2255" s="244">
        <v>6</v>
      </c>
      <c r="I2255" s="244">
        <v>5</v>
      </c>
      <c r="J2255" s="244">
        <v>3</v>
      </c>
      <c r="K2255" s="244">
        <v>5</v>
      </c>
      <c r="L2255" s="244">
        <v>6</v>
      </c>
      <c r="M2255" s="244">
        <v>5</v>
      </c>
      <c r="N2255" s="244">
        <v>1</v>
      </c>
      <c r="O2255" s="254">
        <v>3</v>
      </c>
    </row>
    <row r="2256" spans="1:15">
      <c r="A2256" s="240" t="s">
        <v>71</v>
      </c>
      <c r="B2256" s="47" t="s">
        <v>5</v>
      </c>
      <c r="C2256" s="12">
        <v>3.35714285714286</v>
      </c>
      <c r="D2256" s="241">
        <v>2.33333333333333</v>
      </c>
      <c r="E2256" s="241">
        <v>4</v>
      </c>
      <c r="F2256" s="241">
        <v>0</v>
      </c>
      <c r="G2256" s="241">
        <v>0</v>
      </c>
      <c r="H2256" s="241">
        <v>6</v>
      </c>
      <c r="I2256" s="241">
        <v>0</v>
      </c>
      <c r="J2256" s="241">
        <v>1.5</v>
      </c>
      <c r="K2256" s="241">
        <v>5</v>
      </c>
      <c r="L2256" s="241">
        <v>3</v>
      </c>
      <c r="M2256" s="241">
        <v>2.5</v>
      </c>
      <c r="N2256" s="241">
        <v>1</v>
      </c>
      <c r="O2256" s="252">
        <v>3</v>
      </c>
    </row>
    <row r="2257" spans="1:15">
      <c r="A2257" s="242" t="s">
        <v>71</v>
      </c>
      <c r="B2257" s="43" t="s">
        <v>6</v>
      </c>
      <c r="C2257" s="15">
        <v>15</v>
      </c>
      <c r="D2257" s="244">
        <v>2</v>
      </c>
      <c r="E2257" s="244">
        <v>2</v>
      </c>
      <c r="F2257" s="244">
        <v>0</v>
      </c>
      <c r="G2257" s="244">
        <v>3</v>
      </c>
      <c r="H2257" s="244">
        <v>1</v>
      </c>
      <c r="I2257" s="244">
        <v>3</v>
      </c>
      <c r="J2257" s="244">
        <v>0</v>
      </c>
      <c r="K2257" s="244">
        <v>3</v>
      </c>
      <c r="L2257" s="244">
        <v>0</v>
      </c>
      <c r="M2257" s="244">
        <v>1</v>
      </c>
      <c r="N2257" s="244">
        <v>0</v>
      </c>
      <c r="O2257" s="254">
        <v>0</v>
      </c>
    </row>
    <row r="2258" ht="14.25" spans="1:15">
      <c r="A2258" s="245" t="s">
        <v>71</v>
      </c>
      <c r="B2258" s="52" t="s">
        <v>64</v>
      </c>
      <c r="C2258" s="19">
        <v>0.319148936170213</v>
      </c>
      <c r="D2258" s="250">
        <v>2</v>
      </c>
      <c r="E2258" s="250">
        <v>2</v>
      </c>
      <c r="F2258" s="250">
        <v>0</v>
      </c>
      <c r="G2258" s="250">
        <v>3</v>
      </c>
      <c r="H2258" s="250">
        <v>1</v>
      </c>
      <c r="I2258" s="250">
        <v>3</v>
      </c>
      <c r="J2258" s="250">
        <v>0</v>
      </c>
      <c r="K2258" s="250">
        <v>3</v>
      </c>
      <c r="L2258" s="250">
        <v>0</v>
      </c>
      <c r="M2258" s="250">
        <v>1</v>
      </c>
      <c r="N2258" s="250">
        <v>0</v>
      </c>
      <c r="O2258" s="257">
        <v>0</v>
      </c>
    </row>
    <row r="2259" spans="1:15">
      <c r="A2259" s="240" t="s">
        <v>72</v>
      </c>
      <c r="B2259" s="47" t="s">
        <v>55</v>
      </c>
      <c r="C2259" s="12">
        <v>0.335607094133697</v>
      </c>
      <c r="D2259" s="241">
        <v>0.371657754010695</v>
      </c>
      <c r="E2259" s="241">
        <v>0.355932203389831</v>
      </c>
      <c r="F2259" s="241">
        <v>0.294117647058824</v>
      </c>
      <c r="G2259" s="241">
        <v>0.363157894736842</v>
      </c>
      <c r="H2259" s="241">
        <v>0.345161290322581</v>
      </c>
      <c r="I2259" s="241">
        <v>0.321621621621622</v>
      </c>
      <c r="J2259" s="241">
        <v>0.315533980582524</v>
      </c>
      <c r="K2259" s="241">
        <v>0.295366795366795</v>
      </c>
      <c r="L2259" s="241">
        <v>0.311111111111111</v>
      </c>
      <c r="M2259" s="241">
        <v>0.310240963855422</v>
      </c>
      <c r="N2259" s="241">
        <v>0.344827586206897</v>
      </c>
      <c r="O2259" s="252">
        <v>0.382838283828383</v>
      </c>
    </row>
    <row r="2260" spans="1:15">
      <c r="A2260" s="242" t="s">
        <v>72</v>
      </c>
      <c r="B2260" s="43" t="s">
        <v>57</v>
      </c>
      <c r="C2260" s="15">
        <v>4398</v>
      </c>
      <c r="D2260" s="243">
        <v>374</v>
      </c>
      <c r="E2260" s="243">
        <v>236</v>
      </c>
      <c r="F2260" s="243">
        <v>136</v>
      </c>
      <c r="G2260" s="243">
        <v>190</v>
      </c>
      <c r="H2260" s="243">
        <v>310</v>
      </c>
      <c r="I2260" s="243">
        <v>370</v>
      </c>
      <c r="J2260" s="243">
        <v>412</v>
      </c>
      <c r="K2260" s="243">
        <v>518</v>
      </c>
      <c r="L2260" s="243">
        <v>450</v>
      </c>
      <c r="M2260" s="243">
        <v>332</v>
      </c>
      <c r="N2260" s="243">
        <v>464</v>
      </c>
      <c r="O2260" s="253">
        <v>606</v>
      </c>
    </row>
    <row r="2261" spans="1:15">
      <c r="A2261" s="240" t="s">
        <v>72</v>
      </c>
      <c r="B2261" s="47" t="s">
        <v>59</v>
      </c>
      <c r="C2261" s="15">
        <v>1476</v>
      </c>
      <c r="D2261" s="243">
        <v>139</v>
      </c>
      <c r="E2261" s="243">
        <v>84</v>
      </c>
      <c r="F2261" s="243">
        <v>40</v>
      </c>
      <c r="G2261" s="243">
        <v>69</v>
      </c>
      <c r="H2261" s="243">
        <v>107</v>
      </c>
      <c r="I2261" s="243">
        <v>119</v>
      </c>
      <c r="J2261" s="243">
        <v>130</v>
      </c>
      <c r="K2261" s="243">
        <v>153</v>
      </c>
      <c r="L2261" s="243">
        <v>140</v>
      </c>
      <c r="M2261" s="243">
        <v>103</v>
      </c>
      <c r="N2261" s="243">
        <v>160</v>
      </c>
      <c r="O2261" s="253">
        <v>232</v>
      </c>
    </row>
    <row r="2262" spans="1:15">
      <c r="A2262" s="242" t="s">
        <v>72</v>
      </c>
      <c r="B2262" s="43" t="s">
        <v>4</v>
      </c>
      <c r="C2262" s="15">
        <v>49</v>
      </c>
      <c r="D2262" s="244">
        <v>4</v>
      </c>
      <c r="E2262" s="244">
        <v>2</v>
      </c>
      <c r="F2262" s="244">
        <v>6</v>
      </c>
      <c r="G2262" s="244">
        <v>0</v>
      </c>
      <c r="H2262" s="244">
        <v>1</v>
      </c>
      <c r="I2262" s="244">
        <v>8</v>
      </c>
      <c r="J2262" s="244">
        <v>8</v>
      </c>
      <c r="K2262" s="244">
        <v>1</v>
      </c>
      <c r="L2262" s="244">
        <v>10</v>
      </c>
      <c r="M2262" s="244">
        <v>4</v>
      </c>
      <c r="N2262" s="244">
        <v>2</v>
      </c>
      <c r="O2262" s="254">
        <v>3</v>
      </c>
    </row>
    <row r="2263" spans="1:15">
      <c r="A2263" s="240" t="s">
        <v>72</v>
      </c>
      <c r="B2263" s="47" t="s">
        <v>5</v>
      </c>
      <c r="C2263" s="12">
        <v>0.0331978319783198</v>
      </c>
      <c r="D2263" s="241">
        <v>0.0287769784172662</v>
      </c>
      <c r="E2263" s="241">
        <v>0.0238095238095238</v>
      </c>
      <c r="F2263" s="241">
        <v>0.15</v>
      </c>
      <c r="G2263" s="241">
        <v>0</v>
      </c>
      <c r="H2263" s="241">
        <v>0.00934579439252336</v>
      </c>
      <c r="I2263" s="241">
        <v>0.0672268907563025</v>
      </c>
      <c r="J2263" s="241">
        <v>0.0615384615384615</v>
      </c>
      <c r="K2263" s="241">
        <v>0.0065359477124183</v>
      </c>
      <c r="L2263" s="241">
        <v>0.0714285714285714</v>
      </c>
      <c r="M2263" s="241">
        <v>0.0388349514563107</v>
      </c>
      <c r="N2263" s="241">
        <v>0.0125</v>
      </c>
      <c r="O2263" s="252">
        <v>0.0129310344827586</v>
      </c>
    </row>
    <row r="2264" spans="1:15">
      <c r="A2264" s="242" t="s">
        <v>72</v>
      </c>
      <c r="B2264" s="43" t="s">
        <v>6</v>
      </c>
      <c r="C2264" s="15">
        <v>16</v>
      </c>
      <c r="D2264" s="244">
        <v>5</v>
      </c>
      <c r="E2264" s="244">
        <v>1</v>
      </c>
      <c r="F2264" s="244">
        <v>0</v>
      </c>
      <c r="G2264" s="244">
        <v>1</v>
      </c>
      <c r="H2264" s="244">
        <v>0</v>
      </c>
      <c r="I2264" s="244">
        <v>3</v>
      </c>
      <c r="J2264" s="244">
        <v>0</v>
      </c>
      <c r="K2264" s="244">
        <v>2</v>
      </c>
      <c r="L2264" s="244">
        <v>1</v>
      </c>
      <c r="M2264" s="244">
        <v>1</v>
      </c>
      <c r="N2264" s="244">
        <v>2</v>
      </c>
      <c r="O2264" s="254">
        <v>0</v>
      </c>
    </row>
    <row r="2265" ht="14.25" spans="1:15">
      <c r="A2265" s="245" t="s">
        <v>72</v>
      </c>
      <c r="B2265" s="52" t="s">
        <v>64</v>
      </c>
      <c r="C2265" s="19">
        <v>0.326530612244898</v>
      </c>
      <c r="D2265" s="250">
        <v>5</v>
      </c>
      <c r="E2265" s="250">
        <v>1</v>
      </c>
      <c r="F2265" s="250">
        <v>0</v>
      </c>
      <c r="G2265" s="250">
        <v>1</v>
      </c>
      <c r="H2265" s="250">
        <v>0</v>
      </c>
      <c r="I2265" s="250">
        <v>3</v>
      </c>
      <c r="J2265" s="250">
        <v>0</v>
      </c>
      <c r="K2265" s="250">
        <v>2</v>
      </c>
      <c r="L2265" s="250">
        <v>1</v>
      </c>
      <c r="M2265" s="250">
        <v>1</v>
      </c>
      <c r="N2265" s="250">
        <v>2</v>
      </c>
      <c r="O2265" s="257">
        <v>0</v>
      </c>
    </row>
    <row r="2266" ht="14.25" spans="1:15">
      <c r="A2266" s="237">
        <v>45054</v>
      </c>
      <c r="B2266" s="237"/>
      <c r="C2266" s="237"/>
      <c r="D2266" s="237"/>
      <c r="E2266" s="237"/>
      <c r="F2266" s="237"/>
      <c r="G2266" s="237"/>
      <c r="H2266" s="237"/>
      <c r="I2266" s="237"/>
      <c r="J2266" s="237"/>
      <c r="K2266" s="237"/>
      <c r="L2266" s="237"/>
      <c r="M2266" s="237"/>
      <c r="N2266" s="237"/>
      <c r="O2266" s="237"/>
    </row>
    <row r="2267" spans="1:15">
      <c r="A2267" s="56" t="s">
        <v>1</v>
      </c>
      <c r="B2267" s="238"/>
      <c r="C2267" s="8" t="s">
        <v>42</v>
      </c>
      <c r="D2267" s="239" t="s">
        <v>43</v>
      </c>
      <c r="E2267" s="239" t="s">
        <v>44</v>
      </c>
      <c r="F2267" s="239" t="s">
        <v>45</v>
      </c>
      <c r="G2267" s="239" t="s">
        <v>46</v>
      </c>
      <c r="H2267" s="239" t="s">
        <v>47</v>
      </c>
      <c r="I2267" s="239" t="s">
        <v>48</v>
      </c>
      <c r="J2267" s="239" t="s">
        <v>49</v>
      </c>
      <c r="K2267" s="239" t="s">
        <v>50</v>
      </c>
      <c r="L2267" s="239" t="s">
        <v>51</v>
      </c>
      <c r="M2267" s="239" t="s">
        <v>52</v>
      </c>
      <c r="N2267" s="239" t="s">
        <v>53</v>
      </c>
      <c r="O2267" s="251" t="s">
        <v>54</v>
      </c>
    </row>
    <row r="2268" spans="1:15">
      <c r="A2268" s="240" t="s">
        <v>22</v>
      </c>
      <c r="B2268" s="47" t="s">
        <v>55</v>
      </c>
      <c r="C2268" s="12">
        <v>0.447047340165935</v>
      </c>
      <c r="D2268" s="241">
        <v>0.628415300546448</v>
      </c>
      <c r="E2268" s="241">
        <v>0.5546875</v>
      </c>
      <c r="F2268" s="241">
        <v>0.3125</v>
      </c>
      <c r="G2268" s="241">
        <v>0.694117647058824</v>
      </c>
      <c r="H2268" s="241">
        <v>0.517857142857143</v>
      </c>
      <c r="I2268" s="241">
        <v>0.493421052631579</v>
      </c>
      <c r="J2268" s="241">
        <v>0.421052631578947</v>
      </c>
      <c r="K2268" s="241">
        <v>0.327014218009479</v>
      </c>
      <c r="L2268" s="241">
        <v>0.419354838709677</v>
      </c>
      <c r="M2268" s="241">
        <v>0.459459459459459</v>
      </c>
      <c r="N2268" s="241">
        <v>0.353790613718412</v>
      </c>
      <c r="O2268" s="252">
        <v>0.391304347826087</v>
      </c>
    </row>
    <row r="2269" spans="1:15">
      <c r="A2269" s="242" t="s">
        <v>22</v>
      </c>
      <c r="B2269" s="43" t="s">
        <v>57</v>
      </c>
      <c r="C2269" s="15">
        <v>2049</v>
      </c>
      <c r="D2269" s="243">
        <v>183</v>
      </c>
      <c r="E2269" s="243">
        <v>128</v>
      </c>
      <c r="F2269" s="243">
        <v>64</v>
      </c>
      <c r="G2269" s="243">
        <v>85</v>
      </c>
      <c r="H2269" s="243">
        <v>112</v>
      </c>
      <c r="I2269" s="243">
        <v>152</v>
      </c>
      <c r="J2269" s="243">
        <v>190</v>
      </c>
      <c r="K2269" s="243">
        <v>211</v>
      </c>
      <c r="L2269" s="243">
        <v>186</v>
      </c>
      <c r="M2269" s="243">
        <v>185</v>
      </c>
      <c r="N2269" s="243">
        <v>277</v>
      </c>
      <c r="O2269" s="253">
        <v>276</v>
      </c>
    </row>
    <row r="2270" spans="1:15">
      <c r="A2270" s="240" t="s">
        <v>22</v>
      </c>
      <c r="B2270" s="47" t="s">
        <v>59</v>
      </c>
      <c r="C2270" s="15">
        <v>916</v>
      </c>
      <c r="D2270" s="243">
        <v>115</v>
      </c>
      <c r="E2270" s="243">
        <v>71</v>
      </c>
      <c r="F2270" s="243">
        <v>20</v>
      </c>
      <c r="G2270" s="243">
        <v>59</v>
      </c>
      <c r="H2270" s="243">
        <v>58</v>
      </c>
      <c r="I2270" s="243">
        <v>75</v>
      </c>
      <c r="J2270" s="243">
        <v>80</v>
      </c>
      <c r="K2270" s="243">
        <v>69</v>
      </c>
      <c r="L2270" s="243">
        <v>78</v>
      </c>
      <c r="M2270" s="243">
        <v>85</v>
      </c>
      <c r="N2270" s="243">
        <v>98</v>
      </c>
      <c r="O2270" s="253">
        <v>108</v>
      </c>
    </row>
    <row r="2271" spans="1:15">
      <c r="A2271" s="242" t="s">
        <v>22</v>
      </c>
      <c r="B2271" s="43" t="s">
        <v>4</v>
      </c>
      <c r="C2271" s="15">
        <v>60</v>
      </c>
      <c r="D2271" s="244">
        <v>8</v>
      </c>
      <c r="E2271" s="244">
        <v>6</v>
      </c>
      <c r="F2271" s="244">
        <v>3</v>
      </c>
      <c r="G2271" s="244">
        <v>1</v>
      </c>
      <c r="H2271" s="244">
        <v>1</v>
      </c>
      <c r="I2271" s="244">
        <v>5</v>
      </c>
      <c r="J2271" s="244">
        <v>11</v>
      </c>
      <c r="K2271" s="244">
        <v>4</v>
      </c>
      <c r="L2271" s="244">
        <v>6</v>
      </c>
      <c r="M2271" s="244">
        <v>4</v>
      </c>
      <c r="N2271" s="244">
        <v>6</v>
      </c>
      <c r="O2271" s="254">
        <v>5</v>
      </c>
    </row>
    <row r="2272" spans="1:15">
      <c r="A2272" s="240" t="s">
        <v>22</v>
      </c>
      <c r="B2272" s="47" t="s">
        <v>5</v>
      </c>
      <c r="C2272" s="12">
        <v>0.0655021834061135</v>
      </c>
      <c r="D2272" s="241">
        <v>0.0695652173913043</v>
      </c>
      <c r="E2272" s="241">
        <v>0.0845070422535211</v>
      </c>
      <c r="F2272" s="241">
        <v>0.15</v>
      </c>
      <c r="G2272" s="241">
        <v>0.0169491525423729</v>
      </c>
      <c r="H2272" s="241">
        <v>0.0172413793103448</v>
      </c>
      <c r="I2272" s="241">
        <v>0.0666666666666667</v>
      </c>
      <c r="J2272" s="241">
        <v>0.1375</v>
      </c>
      <c r="K2272" s="241">
        <v>0.0579710144927536</v>
      </c>
      <c r="L2272" s="241">
        <v>0.0769230769230769</v>
      </c>
      <c r="M2272" s="241">
        <v>0.0470588235294118</v>
      </c>
      <c r="N2272" s="241">
        <v>0.0612244897959184</v>
      </c>
      <c r="O2272" s="252">
        <v>0.0462962962962963</v>
      </c>
    </row>
    <row r="2273" spans="1:15">
      <c r="A2273" s="242" t="s">
        <v>22</v>
      </c>
      <c r="B2273" s="43" t="s">
        <v>6</v>
      </c>
      <c r="C2273" s="15">
        <v>20</v>
      </c>
      <c r="D2273" s="244">
        <v>2</v>
      </c>
      <c r="E2273" s="244">
        <v>1</v>
      </c>
      <c r="F2273" s="244">
        <v>0</v>
      </c>
      <c r="G2273" s="244">
        <v>1</v>
      </c>
      <c r="H2273" s="244">
        <v>1</v>
      </c>
      <c r="I2273" s="244">
        <v>2</v>
      </c>
      <c r="J2273" s="244">
        <v>1</v>
      </c>
      <c r="K2273" s="244">
        <v>2</v>
      </c>
      <c r="L2273" s="244">
        <v>3</v>
      </c>
      <c r="M2273" s="244">
        <v>3</v>
      </c>
      <c r="N2273" s="244">
        <v>1</v>
      </c>
      <c r="O2273" s="254">
        <v>3</v>
      </c>
    </row>
    <row r="2274" ht="14.25" spans="1:15">
      <c r="A2274" s="245" t="s">
        <v>22</v>
      </c>
      <c r="B2274" s="52" t="s">
        <v>64</v>
      </c>
      <c r="C2274" s="19">
        <v>0.333333333333333</v>
      </c>
      <c r="D2274" s="246">
        <v>0.25</v>
      </c>
      <c r="E2274" s="246">
        <v>0.166666666666667</v>
      </c>
      <c r="F2274" s="246">
        <v>0</v>
      </c>
      <c r="G2274" s="246">
        <v>1</v>
      </c>
      <c r="H2274" s="246">
        <v>1</v>
      </c>
      <c r="I2274" s="246">
        <v>0.4</v>
      </c>
      <c r="J2274" s="246">
        <v>0.0909090909090909</v>
      </c>
      <c r="K2274" s="246">
        <v>0.5</v>
      </c>
      <c r="L2274" s="246">
        <v>0.5</v>
      </c>
      <c r="M2274" s="246">
        <v>0.75</v>
      </c>
      <c r="N2274" s="246">
        <v>0.166666666666667</v>
      </c>
      <c r="O2274" s="255">
        <v>0.6</v>
      </c>
    </row>
    <row r="2275" spans="1:15">
      <c r="A2275" s="247" t="s">
        <v>66</v>
      </c>
      <c r="B2275" s="248" t="s">
        <v>55</v>
      </c>
      <c r="C2275" s="12">
        <v>0.113138686131387</v>
      </c>
      <c r="D2275" s="249">
        <v>0.0836653386454183</v>
      </c>
      <c r="E2275" s="249">
        <v>0.0364238410596026</v>
      </c>
      <c r="F2275" s="249">
        <v>0.0476190476190476</v>
      </c>
      <c r="G2275" s="249">
        <v>0.0758293838862559</v>
      </c>
      <c r="H2275" s="249">
        <v>0.148351648351648</v>
      </c>
      <c r="I2275" s="249">
        <v>0.116883116883117</v>
      </c>
      <c r="J2275" s="249">
        <v>0.107784431137725</v>
      </c>
      <c r="K2275" s="249">
        <v>0.150837988826816</v>
      </c>
      <c r="L2275" s="249">
        <v>0.166666666666667</v>
      </c>
      <c r="M2275" s="249">
        <v>0.208333333333333</v>
      </c>
      <c r="N2275" s="249">
        <v>0.178861788617886</v>
      </c>
      <c r="O2275" s="256">
        <v>0.21875</v>
      </c>
    </row>
    <row r="2276" spans="1:15">
      <c r="A2276" s="242" t="s">
        <v>66</v>
      </c>
      <c r="B2276" s="43" t="s">
        <v>57</v>
      </c>
      <c r="C2276" s="15">
        <v>2192</v>
      </c>
      <c r="D2276" s="243">
        <v>251</v>
      </c>
      <c r="E2276" s="243">
        <v>302</v>
      </c>
      <c r="F2276" s="243">
        <v>231</v>
      </c>
      <c r="G2276" s="243">
        <v>211</v>
      </c>
      <c r="H2276" s="243">
        <v>182</v>
      </c>
      <c r="I2276" s="243">
        <v>154</v>
      </c>
      <c r="J2276" s="243">
        <v>167</v>
      </c>
      <c r="K2276" s="243">
        <v>179</v>
      </c>
      <c r="L2276" s="243">
        <v>144</v>
      </c>
      <c r="M2276" s="243">
        <v>120</v>
      </c>
      <c r="N2276" s="243">
        <v>123</v>
      </c>
      <c r="O2276" s="253">
        <v>128</v>
      </c>
    </row>
    <row r="2277" spans="1:15">
      <c r="A2277" s="240" t="s">
        <v>66</v>
      </c>
      <c r="B2277" s="47" t="s">
        <v>59</v>
      </c>
      <c r="C2277" s="15">
        <v>248</v>
      </c>
      <c r="D2277" s="243">
        <v>21</v>
      </c>
      <c r="E2277" s="243">
        <v>11</v>
      </c>
      <c r="F2277" s="243">
        <v>11</v>
      </c>
      <c r="G2277" s="243">
        <v>16</v>
      </c>
      <c r="H2277" s="243">
        <v>27</v>
      </c>
      <c r="I2277" s="243">
        <v>18</v>
      </c>
      <c r="J2277" s="243">
        <v>18</v>
      </c>
      <c r="K2277" s="243">
        <v>27</v>
      </c>
      <c r="L2277" s="243">
        <v>24</v>
      </c>
      <c r="M2277" s="243">
        <v>25</v>
      </c>
      <c r="N2277" s="243">
        <v>22</v>
      </c>
      <c r="O2277" s="253">
        <v>28</v>
      </c>
    </row>
    <row r="2278" spans="1:15">
      <c r="A2278" s="242" t="s">
        <v>66</v>
      </c>
      <c r="B2278" s="43" t="s">
        <v>4</v>
      </c>
      <c r="C2278" s="15">
        <v>15</v>
      </c>
      <c r="D2278" s="244">
        <v>1</v>
      </c>
      <c r="E2278" s="244">
        <v>2</v>
      </c>
      <c r="F2278" s="244">
        <v>0</v>
      </c>
      <c r="G2278" s="244">
        <v>1</v>
      </c>
      <c r="H2278" s="244">
        <v>1</v>
      </c>
      <c r="I2278" s="244">
        <v>0</v>
      </c>
      <c r="J2278" s="244">
        <v>2</v>
      </c>
      <c r="K2278" s="244">
        <v>1</v>
      </c>
      <c r="L2278" s="244">
        <v>2</v>
      </c>
      <c r="M2278" s="244">
        <v>0</v>
      </c>
      <c r="N2278" s="244">
        <v>3</v>
      </c>
      <c r="O2278" s="254">
        <v>2</v>
      </c>
    </row>
    <row r="2279" spans="1:15">
      <c r="A2279" s="240" t="s">
        <v>66</v>
      </c>
      <c r="B2279" s="47" t="s">
        <v>5</v>
      </c>
      <c r="C2279" s="12">
        <v>0.0604838709677419</v>
      </c>
      <c r="D2279" s="241">
        <v>0.0476190476190476</v>
      </c>
      <c r="E2279" s="241">
        <v>0.181818181818182</v>
      </c>
      <c r="F2279" s="241">
        <v>0</v>
      </c>
      <c r="G2279" s="241">
        <v>0.0625</v>
      </c>
      <c r="H2279" s="241">
        <v>0.037037037037037</v>
      </c>
      <c r="I2279" s="241">
        <v>0</v>
      </c>
      <c r="J2279" s="241">
        <v>0.111111111111111</v>
      </c>
      <c r="K2279" s="241">
        <v>0.037037037037037</v>
      </c>
      <c r="L2279" s="241">
        <v>0.0833333333333333</v>
      </c>
      <c r="M2279" s="241">
        <v>0</v>
      </c>
      <c r="N2279" s="241">
        <v>0.136363636363636</v>
      </c>
      <c r="O2279" s="252">
        <v>0.0714285714285714</v>
      </c>
    </row>
    <row r="2280" spans="1:15">
      <c r="A2280" s="242" t="s">
        <v>66</v>
      </c>
      <c r="B2280" s="43" t="s">
        <v>6</v>
      </c>
      <c r="C2280" s="15">
        <v>2</v>
      </c>
      <c r="D2280" s="244">
        <v>0</v>
      </c>
      <c r="E2280" s="244">
        <v>0</v>
      </c>
      <c r="F2280" s="244">
        <v>0</v>
      </c>
      <c r="G2280" s="244">
        <v>0</v>
      </c>
      <c r="H2280" s="244">
        <v>0</v>
      </c>
      <c r="I2280" s="244">
        <v>0</v>
      </c>
      <c r="J2280" s="244">
        <v>0</v>
      </c>
      <c r="K2280" s="244">
        <v>0</v>
      </c>
      <c r="L2280" s="244">
        <v>0</v>
      </c>
      <c r="M2280" s="244">
        <v>2</v>
      </c>
      <c r="N2280" s="244">
        <v>0</v>
      </c>
      <c r="O2280" s="254">
        <v>0</v>
      </c>
    </row>
    <row r="2281" ht="14.25" spans="1:15">
      <c r="A2281" s="245" t="s">
        <v>66</v>
      </c>
      <c r="B2281" s="52" t="s">
        <v>64</v>
      </c>
      <c r="C2281" s="19">
        <v>0.133333333333333</v>
      </c>
      <c r="D2281" s="246">
        <v>0</v>
      </c>
      <c r="E2281" s="246">
        <v>0</v>
      </c>
      <c r="F2281" s="246">
        <v>0</v>
      </c>
      <c r="G2281" s="246">
        <v>0</v>
      </c>
      <c r="H2281" s="246">
        <v>0</v>
      </c>
      <c r="I2281" s="246">
        <v>0</v>
      </c>
      <c r="J2281" s="246">
        <v>0</v>
      </c>
      <c r="K2281" s="246">
        <v>0</v>
      </c>
      <c r="L2281" s="246">
        <v>0</v>
      </c>
      <c r="M2281" s="246">
        <v>0</v>
      </c>
      <c r="N2281" s="246">
        <v>0</v>
      </c>
      <c r="O2281" s="255">
        <v>0</v>
      </c>
    </row>
    <row r="2282" spans="1:15">
      <c r="A2282" s="240" t="s">
        <v>67</v>
      </c>
      <c r="B2282" s="47" t="s">
        <v>55</v>
      </c>
      <c r="C2282" s="12">
        <v>0.765822784810127</v>
      </c>
      <c r="D2282" s="241">
        <v>0.923076923076923</v>
      </c>
      <c r="E2282" s="241">
        <v>0.666666666666667</v>
      </c>
      <c r="F2282" s="241">
        <v>1.2</v>
      </c>
      <c r="G2282" s="241">
        <v>1.41666666666667</v>
      </c>
      <c r="H2282" s="241">
        <v>0.863636363636364</v>
      </c>
      <c r="I2282" s="241">
        <v>0.541666666666667</v>
      </c>
      <c r="J2282" s="241">
        <v>0.607142857142857</v>
      </c>
      <c r="K2282" s="241">
        <v>0.555555555555556</v>
      </c>
      <c r="L2282" s="241">
        <v>0.933333333333333</v>
      </c>
      <c r="M2282" s="241">
        <v>0.892857142857143</v>
      </c>
      <c r="N2282" s="241">
        <v>0.65625</v>
      </c>
      <c r="O2282" s="252">
        <v>0.684210526315789</v>
      </c>
    </row>
    <row r="2283" spans="1:15">
      <c r="A2283" s="242" t="s">
        <v>67</v>
      </c>
      <c r="B2283" s="43" t="s">
        <v>57</v>
      </c>
      <c r="C2283" s="15">
        <v>316</v>
      </c>
      <c r="D2283" s="243">
        <v>26</v>
      </c>
      <c r="E2283" s="243">
        <v>30</v>
      </c>
      <c r="F2283" s="243">
        <v>10</v>
      </c>
      <c r="G2283" s="243">
        <v>12</v>
      </c>
      <c r="H2283" s="243">
        <v>22</v>
      </c>
      <c r="I2283" s="243">
        <v>24</v>
      </c>
      <c r="J2283" s="243">
        <v>28</v>
      </c>
      <c r="K2283" s="243">
        <v>36</v>
      </c>
      <c r="L2283" s="243">
        <v>30</v>
      </c>
      <c r="M2283" s="243">
        <v>28</v>
      </c>
      <c r="N2283" s="243">
        <v>32</v>
      </c>
      <c r="O2283" s="253">
        <v>38</v>
      </c>
    </row>
    <row r="2284" spans="1:15">
      <c r="A2284" s="240" t="s">
        <v>67</v>
      </c>
      <c r="B2284" s="47" t="s">
        <v>59</v>
      </c>
      <c r="C2284" s="15">
        <v>242</v>
      </c>
      <c r="D2284" s="243">
        <v>24</v>
      </c>
      <c r="E2284" s="243">
        <v>20</v>
      </c>
      <c r="F2284" s="243">
        <v>12</v>
      </c>
      <c r="G2284" s="243">
        <v>17</v>
      </c>
      <c r="H2284" s="243">
        <v>19</v>
      </c>
      <c r="I2284" s="243">
        <v>13</v>
      </c>
      <c r="J2284" s="243">
        <v>17</v>
      </c>
      <c r="K2284" s="243">
        <v>20</v>
      </c>
      <c r="L2284" s="243">
        <v>28</v>
      </c>
      <c r="M2284" s="243">
        <v>25</v>
      </c>
      <c r="N2284" s="243">
        <v>21</v>
      </c>
      <c r="O2284" s="253">
        <v>26</v>
      </c>
    </row>
    <row r="2285" spans="1:15">
      <c r="A2285" s="242" t="s">
        <v>67</v>
      </c>
      <c r="B2285" s="43" t="s">
        <v>4</v>
      </c>
      <c r="C2285" s="15">
        <v>8</v>
      </c>
      <c r="D2285" s="244">
        <v>2</v>
      </c>
      <c r="E2285" s="244">
        <v>0</v>
      </c>
      <c r="F2285" s="244">
        <v>1</v>
      </c>
      <c r="G2285" s="244">
        <v>0</v>
      </c>
      <c r="H2285" s="244">
        <v>0</v>
      </c>
      <c r="I2285" s="244">
        <v>0</v>
      </c>
      <c r="J2285" s="244">
        <v>0</v>
      </c>
      <c r="K2285" s="244">
        <v>1</v>
      </c>
      <c r="L2285" s="244">
        <v>0</v>
      </c>
      <c r="M2285" s="244">
        <v>0</v>
      </c>
      <c r="N2285" s="244">
        <v>1</v>
      </c>
      <c r="O2285" s="254">
        <v>3</v>
      </c>
    </row>
    <row r="2286" spans="1:15">
      <c r="A2286" s="240" t="s">
        <v>67</v>
      </c>
      <c r="B2286" s="47" t="s">
        <v>5</v>
      </c>
      <c r="C2286" s="12">
        <v>0.0330578512396694</v>
      </c>
      <c r="D2286" s="241">
        <v>0.0833333333333333</v>
      </c>
      <c r="E2286" s="241">
        <v>0</v>
      </c>
      <c r="F2286" s="241">
        <v>0.0833333333333333</v>
      </c>
      <c r="G2286" s="241">
        <v>0</v>
      </c>
      <c r="H2286" s="241">
        <v>0</v>
      </c>
      <c r="I2286" s="241">
        <v>0</v>
      </c>
      <c r="J2286" s="241">
        <v>0</v>
      </c>
      <c r="K2286" s="241">
        <v>0.05</v>
      </c>
      <c r="L2286" s="241">
        <v>0</v>
      </c>
      <c r="M2286" s="241">
        <v>0</v>
      </c>
      <c r="N2286" s="241">
        <v>0.0476190476190476</v>
      </c>
      <c r="O2286" s="252">
        <v>0.115384615384615</v>
      </c>
    </row>
    <row r="2287" spans="1:15">
      <c r="A2287" s="242" t="s">
        <v>67</v>
      </c>
      <c r="B2287" s="43" t="s">
        <v>6</v>
      </c>
      <c r="C2287" s="15">
        <v>4</v>
      </c>
      <c r="D2287" s="244">
        <v>0</v>
      </c>
      <c r="E2287" s="244">
        <v>0</v>
      </c>
      <c r="F2287" s="244">
        <v>0</v>
      </c>
      <c r="G2287" s="244">
        <v>0</v>
      </c>
      <c r="H2287" s="244">
        <v>0</v>
      </c>
      <c r="I2287" s="244">
        <v>0</v>
      </c>
      <c r="J2287" s="244">
        <v>1</v>
      </c>
      <c r="K2287" s="244">
        <v>0</v>
      </c>
      <c r="L2287" s="244">
        <v>0</v>
      </c>
      <c r="M2287" s="244">
        <v>0</v>
      </c>
      <c r="N2287" s="244">
        <v>0</v>
      </c>
      <c r="O2287" s="254">
        <v>3</v>
      </c>
    </row>
    <row r="2288" ht="14.25" spans="1:15">
      <c r="A2288" s="245" t="s">
        <v>67</v>
      </c>
      <c r="B2288" s="52" t="s">
        <v>64</v>
      </c>
      <c r="C2288" s="19">
        <v>0.5</v>
      </c>
      <c r="D2288" s="246">
        <v>0</v>
      </c>
      <c r="E2288" s="246">
        <v>0</v>
      </c>
      <c r="F2288" s="246">
        <v>0</v>
      </c>
      <c r="G2288" s="246">
        <v>0</v>
      </c>
      <c r="H2288" s="246">
        <v>0</v>
      </c>
      <c r="I2288" s="246">
        <v>0</v>
      </c>
      <c r="J2288" s="246">
        <v>0</v>
      </c>
      <c r="K2288" s="246">
        <v>0</v>
      </c>
      <c r="L2288" s="246">
        <v>0</v>
      </c>
      <c r="M2288" s="246">
        <v>0</v>
      </c>
      <c r="N2288" s="246">
        <v>0</v>
      </c>
      <c r="O2288" s="255">
        <v>1</v>
      </c>
    </row>
    <row r="2289" spans="1:15">
      <c r="A2289" s="240" t="s">
        <v>68</v>
      </c>
      <c r="B2289" s="47" t="s">
        <v>55</v>
      </c>
      <c r="C2289" s="12">
        <v>0.0679585152838428</v>
      </c>
      <c r="D2289" s="241">
        <v>0.0917431192660551</v>
      </c>
      <c r="E2289" s="241">
        <v>0.0795918367346939</v>
      </c>
      <c r="F2289" s="241">
        <v>0.0420353982300885</v>
      </c>
      <c r="G2289" s="241">
        <v>0.0665236051502146</v>
      </c>
      <c r="H2289" s="241">
        <v>0.0714285714285714</v>
      </c>
      <c r="I2289" s="241">
        <v>0.0740131578947368</v>
      </c>
      <c r="J2289" s="241">
        <v>0.0662460567823344</v>
      </c>
      <c r="K2289" s="241">
        <v>0.0707395498392283</v>
      </c>
      <c r="L2289" s="241">
        <v>0.0574018126888218</v>
      </c>
      <c r="M2289" s="241">
        <v>0.0688073394495413</v>
      </c>
      <c r="N2289" s="241">
        <v>0.0618556701030928</v>
      </c>
      <c r="O2289" s="252">
        <v>0.0619596541786743</v>
      </c>
    </row>
    <row r="2290" spans="1:15">
      <c r="A2290" s="242" t="s">
        <v>68</v>
      </c>
      <c r="B2290" s="43" t="s">
        <v>57</v>
      </c>
      <c r="C2290" s="15">
        <v>7328</v>
      </c>
      <c r="D2290" s="243">
        <v>654</v>
      </c>
      <c r="E2290" s="243">
        <v>490</v>
      </c>
      <c r="F2290" s="243">
        <v>452</v>
      </c>
      <c r="G2290" s="243">
        <v>466</v>
      </c>
      <c r="H2290" s="243">
        <v>616</v>
      </c>
      <c r="I2290" s="243">
        <v>608</v>
      </c>
      <c r="J2290" s="243">
        <v>634</v>
      </c>
      <c r="K2290" s="243">
        <v>622</v>
      </c>
      <c r="L2290" s="243">
        <v>662</v>
      </c>
      <c r="M2290" s="243">
        <v>654</v>
      </c>
      <c r="N2290" s="243">
        <v>776</v>
      </c>
      <c r="O2290" s="253">
        <v>694</v>
      </c>
    </row>
    <row r="2291" spans="1:15">
      <c r="A2291" s="240" t="s">
        <v>68</v>
      </c>
      <c r="B2291" s="47" t="s">
        <v>59</v>
      </c>
      <c r="C2291" s="15">
        <v>498</v>
      </c>
      <c r="D2291" s="243">
        <v>60</v>
      </c>
      <c r="E2291" s="243">
        <v>39</v>
      </c>
      <c r="F2291" s="243">
        <v>19</v>
      </c>
      <c r="G2291" s="243">
        <v>31</v>
      </c>
      <c r="H2291" s="243">
        <v>44</v>
      </c>
      <c r="I2291" s="243">
        <v>45</v>
      </c>
      <c r="J2291" s="243">
        <v>42</v>
      </c>
      <c r="K2291" s="243">
        <v>44</v>
      </c>
      <c r="L2291" s="243">
        <v>38</v>
      </c>
      <c r="M2291" s="243">
        <v>45</v>
      </c>
      <c r="N2291" s="243">
        <v>48</v>
      </c>
      <c r="O2291" s="253">
        <v>43</v>
      </c>
    </row>
    <row r="2292" spans="1:15">
      <c r="A2292" s="242" t="s">
        <v>68</v>
      </c>
      <c r="B2292" s="43" t="s">
        <v>4</v>
      </c>
      <c r="C2292" s="15">
        <v>15</v>
      </c>
      <c r="D2292" s="244">
        <v>0</v>
      </c>
      <c r="E2292" s="244">
        <v>3</v>
      </c>
      <c r="F2292" s="244">
        <v>0</v>
      </c>
      <c r="G2292" s="244">
        <v>0</v>
      </c>
      <c r="H2292" s="244">
        <v>2</v>
      </c>
      <c r="I2292" s="244">
        <v>0</v>
      </c>
      <c r="J2292" s="244">
        <v>1</v>
      </c>
      <c r="K2292" s="244">
        <v>1</v>
      </c>
      <c r="L2292" s="244">
        <v>3</v>
      </c>
      <c r="M2292" s="244">
        <v>1</v>
      </c>
      <c r="N2292" s="244">
        <v>1</v>
      </c>
      <c r="O2292" s="254">
        <v>3</v>
      </c>
    </row>
    <row r="2293" spans="1:15">
      <c r="A2293" s="240" t="s">
        <v>68</v>
      </c>
      <c r="B2293" s="47" t="s">
        <v>5</v>
      </c>
      <c r="C2293" s="12">
        <v>0.0301204819277108</v>
      </c>
      <c r="D2293" s="241">
        <v>0</v>
      </c>
      <c r="E2293" s="241">
        <v>0.0769230769230769</v>
      </c>
      <c r="F2293" s="241">
        <v>0</v>
      </c>
      <c r="G2293" s="241">
        <v>0</v>
      </c>
      <c r="H2293" s="241">
        <v>0.0454545454545455</v>
      </c>
      <c r="I2293" s="241">
        <v>0</v>
      </c>
      <c r="J2293" s="241">
        <v>0.0238095238095238</v>
      </c>
      <c r="K2293" s="241">
        <v>0.0227272727272727</v>
      </c>
      <c r="L2293" s="241">
        <v>0.0789473684210526</v>
      </c>
      <c r="M2293" s="241">
        <v>0.0222222222222222</v>
      </c>
      <c r="N2293" s="241">
        <v>0.0208333333333333</v>
      </c>
      <c r="O2293" s="252">
        <v>0.0697674418604651</v>
      </c>
    </row>
    <row r="2294" spans="1:15">
      <c r="A2294" s="242" t="s">
        <v>68</v>
      </c>
      <c r="B2294" s="43" t="s">
        <v>6</v>
      </c>
      <c r="C2294" s="15">
        <v>6</v>
      </c>
      <c r="D2294" s="244">
        <v>1</v>
      </c>
      <c r="E2294" s="244">
        <v>0</v>
      </c>
      <c r="F2294" s="244">
        <v>0</v>
      </c>
      <c r="G2294" s="244">
        <v>0</v>
      </c>
      <c r="H2294" s="244">
        <v>0</v>
      </c>
      <c r="I2294" s="244">
        <v>1</v>
      </c>
      <c r="J2294" s="244">
        <v>1</v>
      </c>
      <c r="K2294" s="244">
        <v>1</v>
      </c>
      <c r="L2294" s="244">
        <v>0</v>
      </c>
      <c r="M2294" s="244">
        <v>0</v>
      </c>
      <c r="N2294" s="244">
        <v>0</v>
      </c>
      <c r="O2294" s="254">
        <v>2</v>
      </c>
    </row>
    <row r="2295" ht="14.25" spans="1:15">
      <c r="A2295" s="245" t="s">
        <v>68</v>
      </c>
      <c r="B2295" s="52" t="s">
        <v>64</v>
      </c>
      <c r="C2295" s="19">
        <v>0.4</v>
      </c>
      <c r="D2295" s="246">
        <v>0</v>
      </c>
      <c r="E2295" s="246">
        <v>0</v>
      </c>
      <c r="F2295" s="246">
        <v>0</v>
      </c>
      <c r="G2295" s="246">
        <v>0</v>
      </c>
      <c r="H2295" s="246">
        <v>0</v>
      </c>
      <c r="I2295" s="246">
        <v>0</v>
      </c>
      <c r="J2295" s="246">
        <v>1</v>
      </c>
      <c r="K2295" s="246">
        <v>1</v>
      </c>
      <c r="L2295" s="246">
        <v>0</v>
      </c>
      <c r="M2295" s="246">
        <v>0</v>
      </c>
      <c r="N2295" s="246">
        <v>0</v>
      </c>
      <c r="O2295" s="255">
        <v>0.666666666666667</v>
      </c>
    </row>
    <row r="2296" spans="1:15">
      <c r="A2296" s="240" t="s">
        <v>69</v>
      </c>
      <c r="B2296" s="47" t="s">
        <v>55</v>
      </c>
      <c r="C2296" s="12">
        <v>0.925724637681159</v>
      </c>
      <c r="D2296" s="241">
        <v>0.911111111111111</v>
      </c>
      <c r="E2296" s="241">
        <v>1.38095238095238</v>
      </c>
      <c r="F2296" s="241">
        <v>1</v>
      </c>
      <c r="G2296" s="241">
        <v>1.20833333333333</v>
      </c>
      <c r="H2296" s="241">
        <v>0.880952380952381</v>
      </c>
      <c r="I2296" s="241">
        <v>0.893617021276596</v>
      </c>
      <c r="J2296" s="241">
        <v>0.87037037037037</v>
      </c>
      <c r="K2296" s="241">
        <v>0.823529411764706</v>
      </c>
      <c r="L2296" s="241">
        <v>1</v>
      </c>
      <c r="M2296" s="241">
        <v>0.803571428571429</v>
      </c>
      <c r="N2296" s="241">
        <v>0.88</v>
      </c>
      <c r="O2296" s="252">
        <v>0.9375</v>
      </c>
    </row>
    <row r="2297" spans="1:15">
      <c r="A2297" s="242" t="s">
        <v>69</v>
      </c>
      <c r="B2297" s="43" t="s">
        <v>57</v>
      </c>
      <c r="C2297" s="15">
        <v>552</v>
      </c>
      <c r="D2297" s="243">
        <v>45</v>
      </c>
      <c r="E2297" s="243">
        <v>21</v>
      </c>
      <c r="F2297" s="243">
        <v>17</v>
      </c>
      <c r="G2297" s="243">
        <v>24</v>
      </c>
      <c r="H2297" s="243">
        <v>42</v>
      </c>
      <c r="I2297" s="243">
        <v>47</v>
      </c>
      <c r="J2297" s="243">
        <v>54</v>
      </c>
      <c r="K2297" s="243">
        <v>51</v>
      </c>
      <c r="L2297" s="243">
        <v>56</v>
      </c>
      <c r="M2297" s="243">
        <v>56</v>
      </c>
      <c r="N2297" s="243">
        <v>75</v>
      </c>
      <c r="O2297" s="253">
        <v>64</v>
      </c>
    </row>
    <row r="2298" spans="1:15">
      <c r="A2298" s="240" t="s">
        <v>69</v>
      </c>
      <c r="B2298" s="47" t="s">
        <v>59</v>
      </c>
      <c r="C2298" s="15">
        <v>511</v>
      </c>
      <c r="D2298" s="243">
        <v>41</v>
      </c>
      <c r="E2298" s="243">
        <v>29</v>
      </c>
      <c r="F2298" s="243">
        <v>17</v>
      </c>
      <c r="G2298" s="243">
        <v>29</v>
      </c>
      <c r="H2298" s="243">
        <v>37</v>
      </c>
      <c r="I2298" s="243">
        <v>42</v>
      </c>
      <c r="J2298" s="243">
        <v>47</v>
      </c>
      <c r="K2298" s="243">
        <v>42</v>
      </c>
      <c r="L2298" s="243">
        <v>56</v>
      </c>
      <c r="M2298" s="243">
        <v>45</v>
      </c>
      <c r="N2298" s="243">
        <v>66</v>
      </c>
      <c r="O2298" s="253">
        <v>60</v>
      </c>
    </row>
    <row r="2299" spans="1:15">
      <c r="A2299" s="242" t="s">
        <v>69</v>
      </c>
      <c r="B2299" s="43" t="s">
        <v>4</v>
      </c>
      <c r="C2299" s="15">
        <v>25</v>
      </c>
      <c r="D2299" s="244">
        <v>0</v>
      </c>
      <c r="E2299" s="244">
        <v>2</v>
      </c>
      <c r="F2299" s="244">
        <v>0</v>
      </c>
      <c r="G2299" s="244">
        <v>1</v>
      </c>
      <c r="H2299" s="244">
        <v>2</v>
      </c>
      <c r="I2299" s="244">
        <v>1</v>
      </c>
      <c r="J2299" s="244">
        <v>3</v>
      </c>
      <c r="K2299" s="244">
        <v>5</v>
      </c>
      <c r="L2299" s="244">
        <v>4</v>
      </c>
      <c r="M2299" s="244">
        <v>2</v>
      </c>
      <c r="N2299" s="244">
        <v>1</v>
      </c>
      <c r="O2299" s="254">
        <v>4</v>
      </c>
    </row>
    <row r="2300" spans="1:15">
      <c r="A2300" s="240" t="s">
        <v>69</v>
      </c>
      <c r="B2300" s="47" t="s">
        <v>5</v>
      </c>
      <c r="C2300" s="12">
        <v>0.0489236790606654</v>
      </c>
      <c r="D2300" s="241">
        <v>0</v>
      </c>
      <c r="E2300" s="241">
        <v>0.0689655172413793</v>
      </c>
      <c r="F2300" s="241">
        <v>0</v>
      </c>
      <c r="G2300" s="241">
        <v>0.0344827586206897</v>
      </c>
      <c r="H2300" s="241">
        <v>0.0540540540540541</v>
      </c>
      <c r="I2300" s="241">
        <v>0.0238095238095238</v>
      </c>
      <c r="J2300" s="241">
        <v>0.0638297872340425</v>
      </c>
      <c r="K2300" s="241">
        <v>0.119047619047619</v>
      </c>
      <c r="L2300" s="241">
        <v>0.0714285714285714</v>
      </c>
      <c r="M2300" s="241">
        <v>0.0444444444444444</v>
      </c>
      <c r="N2300" s="241">
        <v>0.0151515151515152</v>
      </c>
      <c r="O2300" s="252">
        <v>0.0666666666666667</v>
      </c>
    </row>
    <row r="2301" spans="1:15">
      <c r="A2301" s="242" t="s">
        <v>69</v>
      </c>
      <c r="B2301" s="43" t="s">
        <v>6</v>
      </c>
      <c r="C2301" s="15">
        <v>6</v>
      </c>
      <c r="D2301" s="244">
        <v>0</v>
      </c>
      <c r="E2301" s="244">
        <v>0</v>
      </c>
      <c r="F2301" s="244">
        <v>0</v>
      </c>
      <c r="G2301" s="244">
        <v>0</v>
      </c>
      <c r="H2301" s="244">
        <v>0</v>
      </c>
      <c r="I2301" s="244">
        <v>1</v>
      </c>
      <c r="J2301" s="244">
        <v>0</v>
      </c>
      <c r="K2301" s="244">
        <v>1</v>
      </c>
      <c r="L2301" s="244">
        <v>2</v>
      </c>
      <c r="M2301" s="244">
        <v>0</v>
      </c>
      <c r="N2301" s="244">
        <v>0</v>
      </c>
      <c r="O2301" s="254">
        <v>2</v>
      </c>
    </row>
    <row r="2302" ht="14.25" spans="1:15">
      <c r="A2302" s="245" t="s">
        <v>69</v>
      </c>
      <c r="B2302" s="52" t="s">
        <v>64</v>
      </c>
      <c r="C2302" s="19">
        <v>0.24</v>
      </c>
      <c r="D2302" s="246">
        <v>0</v>
      </c>
      <c r="E2302" s="246">
        <v>0</v>
      </c>
      <c r="F2302" s="246">
        <v>0</v>
      </c>
      <c r="G2302" s="246">
        <v>0</v>
      </c>
      <c r="H2302" s="246">
        <v>0</v>
      </c>
      <c r="I2302" s="246">
        <v>1</v>
      </c>
      <c r="J2302" s="246">
        <v>0</v>
      </c>
      <c r="K2302" s="246">
        <v>0.2</v>
      </c>
      <c r="L2302" s="246">
        <v>0.5</v>
      </c>
      <c r="M2302" s="246">
        <v>0</v>
      </c>
      <c r="N2302" s="246">
        <v>0</v>
      </c>
      <c r="O2302" s="255">
        <v>0.5</v>
      </c>
    </row>
    <row r="2303" spans="1:15">
      <c r="A2303" s="240" t="s">
        <v>70</v>
      </c>
      <c r="B2303" s="47" t="s">
        <v>55</v>
      </c>
      <c r="C2303" s="12">
        <v>0.880071813285458</v>
      </c>
      <c r="D2303" s="241">
        <v>0.909871244635193</v>
      </c>
      <c r="E2303" s="241">
        <v>0.974576271186441</v>
      </c>
      <c r="F2303" s="241">
        <v>0.878787878787879</v>
      </c>
      <c r="G2303" s="241">
        <v>0.962264150943396</v>
      </c>
      <c r="H2303" s="241">
        <v>0.965174129353234</v>
      </c>
      <c r="I2303" s="241">
        <v>0.921810699588477</v>
      </c>
      <c r="J2303" s="241">
        <v>0.925581395348837</v>
      </c>
      <c r="K2303" s="241">
        <v>0.875886524822695</v>
      </c>
      <c r="L2303" s="241">
        <v>0.895752895752896</v>
      </c>
      <c r="M2303" s="241">
        <v>0.888489208633094</v>
      </c>
      <c r="N2303" s="241">
        <v>0.7775</v>
      </c>
      <c r="O2303" s="252">
        <v>0.807291666666667</v>
      </c>
    </row>
    <row r="2304" spans="1:15">
      <c r="A2304" s="242" t="s">
        <v>70</v>
      </c>
      <c r="B2304" s="43" t="s">
        <v>57</v>
      </c>
      <c r="C2304" s="15">
        <v>2785</v>
      </c>
      <c r="D2304" s="243">
        <v>233</v>
      </c>
      <c r="E2304" s="243">
        <v>118</v>
      </c>
      <c r="F2304" s="243">
        <v>66</v>
      </c>
      <c r="G2304" s="243">
        <v>106</v>
      </c>
      <c r="H2304" s="243">
        <v>201</v>
      </c>
      <c r="I2304" s="243">
        <v>243</v>
      </c>
      <c r="J2304" s="243">
        <v>215</v>
      </c>
      <c r="K2304" s="243">
        <v>282</v>
      </c>
      <c r="L2304" s="243">
        <v>259</v>
      </c>
      <c r="M2304" s="243">
        <v>278</v>
      </c>
      <c r="N2304" s="243">
        <v>400</v>
      </c>
      <c r="O2304" s="253">
        <v>384</v>
      </c>
    </row>
    <row r="2305" spans="1:15">
      <c r="A2305" s="240" t="s">
        <v>70</v>
      </c>
      <c r="B2305" s="47" t="s">
        <v>59</v>
      </c>
      <c r="C2305" s="15">
        <v>2451</v>
      </c>
      <c r="D2305" s="243">
        <v>212</v>
      </c>
      <c r="E2305" s="243">
        <v>115</v>
      </c>
      <c r="F2305" s="243">
        <v>58</v>
      </c>
      <c r="G2305" s="243">
        <v>102</v>
      </c>
      <c r="H2305" s="243">
        <v>194</v>
      </c>
      <c r="I2305" s="243">
        <v>224</v>
      </c>
      <c r="J2305" s="243">
        <v>199</v>
      </c>
      <c r="K2305" s="243">
        <v>247</v>
      </c>
      <c r="L2305" s="243">
        <v>232</v>
      </c>
      <c r="M2305" s="243">
        <v>247</v>
      </c>
      <c r="N2305" s="243">
        <v>311</v>
      </c>
      <c r="O2305" s="253">
        <v>310</v>
      </c>
    </row>
    <row r="2306" spans="1:15">
      <c r="A2306" s="242" t="s">
        <v>70</v>
      </c>
      <c r="B2306" s="43" t="s">
        <v>4</v>
      </c>
      <c r="C2306" s="15">
        <v>78</v>
      </c>
      <c r="D2306" s="244">
        <v>5</v>
      </c>
      <c r="E2306" s="244">
        <v>4</v>
      </c>
      <c r="F2306" s="244">
        <v>2</v>
      </c>
      <c r="G2306" s="244">
        <v>2</v>
      </c>
      <c r="H2306" s="244">
        <v>10</v>
      </c>
      <c r="I2306" s="244">
        <v>3</v>
      </c>
      <c r="J2306" s="244">
        <v>8</v>
      </c>
      <c r="K2306" s="244">
        <v>13</v>
      </c>
      <c r="L2306" s="244">
        <v>7</v>
      </c>
      <c r="M2306" s="244">
        <v>3</v>
      </c>
      <c r="N2306" s="244">
        <v>11</v>
      </c>
      <c r="O2306" s="254">
        <v>10</v>
      </c>
    </row>
    <row r="2307" spans="1:15">
      <c r="A2307" s="240" t="s">
        <v>70</v>
      </c>
      <c r="B2307" s="47" t="s">
        <v>5</v>
      </c>
      <c r="C2307" s="12">
        <v>0.0318237454100367</v>
      </c>
      <c r="D2307" s="241">
        <v>0.0235849056603774</v>
      </c>
      <c r="E2307" s="241">
        <v>0.0347826086956522</v>
      </c>
      <c r="F2307" s="241">
        <v>0.0344827586206897</v>
      </c>
      <c r="G2307" s="241">
        <v>0.0196078431372549</v>
      </c>
      <c r="H2307" s="241">
        <v>0.0515463917525773</v>
      </c>
      <c r="I2307" s="241">
        <v>0.0133928571428571</v>
      </c>
      <c r="J2307" s="241">
        <v>0.0402010050251256</v>
      </c>
      <c r="K2307" s="241">
        <v>0.0526315789473684</v>
      </c>
      <c r="L2307" s="241">
        <v>0.0301724137931034</v>
      </c>
      <c r="M2307" s="241">
        <v>0.0121457489878543</v>
      </c>
      <c r="N2307" s="241">
        <v>0.0353697749196141</v>
      </c>
      <c r="O2307" s="252">
        <v>0.032258064516129</v>
      </c>
    </row>
    <row r="2308" spans="1:15">
      <c r="A2308" s="242" t="s">
        <v>70</v>
      </c>
      <c r="B2308" s="43" t="s">
        <v>6</v>
      </c>
      <c r="C2308" s="15">
        <v>24</v>
      </c>
      <c r="D2308" s="244">
        <v>2</v>
      </c>
      <c r="E2308" s="244">
        <v>1</v>
      </c>
      <c r="F2308" s="244">
        <v>1</v>
      </c>
      <c r="G2308" s="244">
        <v>1</v>
      </c>
      <c r="H2308" s="244">
        <v>2</v>
      </c>
      <c r="I2308" s="244">
        <v>0</v>
      </c>
      <c r="J2308" s="244">
        <v>2</v>
      </c>
      <c r="K2308" s="244">
        <v>3</v>
      </c>
      <c r="L2308" s="244">
        <v>3</v>
      </c>
      <c r="M2308" s="244">
        <v>2</v>
      </c>
      <c r="N2308" s="244">
        <v>3</v>
      </c>
      <c r="O2308" s="254">
        <v>4</v>
      </c>
    </row>
    <row r="2309" ht="14.25" spans="1:15">
      <c r="A2309" s="245" t="s">
        <v>70</v>
      </c>
      <c r="B2309" s="52" t="s">
        <v>64</v>
      </c>
      <c r="C2309" s="19">
        <v>0.307692307692308</v>
      </c>
      <c r="D2309" s="246">
        <v>0.4</v>
      </c>
      <c r="E2309" s="246">
        <v>0.25</v>
      </c>
      <c r="F2309" s="246">
        <v>0.5</v>
      </c>
      <c r="G2309" s="246">
        <v>0.5</v>
      </c>
      <c r="H2309" s="246">
        <v>0.2</v>
      </c>
      <c r="I2309" s="246">
        <v>0</v>
      </c>
      <c r="J2309" s="246">
        <v>0.25</v>
      </c>
      <c r="K2309" s="246">
        <v>0.230769230769231</v>
      </c>
      <c r="L2309" s="246">
        <v>0.428571428571429</v>
      </c>
      <c r="M2309" s="246">
        <v>0.666666666666667</v>
      </c>
      <c r="N2309" s="246">
        <v>0.272727272727273</v>
      </c>
      <c r="O2309" s="255">
        <v>0.4</v>
      </c>
    </row>
    <row r="2310" spans="1:15">
      <c r="A2310" s="240" t="s">
        <v>26</v>
      </c>
      <c r="B2310" s="47" t="s">
        <v>55</v>
      </c>
      <c r="C2310" s="12">
        <v>0.480354575946334</v>
      </c>
      <c r="D2310" s="241">
        <v>0.419732441471572</v>
      </c>
      <c r="E2310" s="241">
        <v>0.419191919191919</v>
      </c>
      <c r="F2310" s="241">
        <v>0.448863636363636</v>
      </c>
      <c r="G2310" s="241">
        <v>0.513392857142857</v>
      </c>
      <c r="H2310" s="241">
        <v>0.533707865168539</v>
      </c>
      <c r="I2310" s="241">
        <v>0.48780487804878</v>
      </c>
      <c r="J2310" s="241">
        <v>0.486631016042781</v>
      </c>
      <c r="K2310" s="241">
        <v>0.519774011299435</v>
      </c>
      <c r="L2310" s="241">
        <v>0.453947368421053</v>
      </c>
      <c r="M2310" s="241">
        <v>0.533742331288344</v>
      </c>
      <c r="N2310" s="241">
        <v>0.487261146496815</v>
      </c>
      <c r="O2310" s="252">
        <v>0.540322580645161</v>
      </c>
    </row>
    <row r="2311" spans="1:15">
      <c r="A2311" s="242" t="s">
        <v>26</v>
      </c>
      <c r="B2311" s="43" t="s">
        <v>57</v>
      </c>
      <c r="C2311" s="15">
        <v>4174</v>
      </c>
      <c r="D2311" s="243">
        <v>598</v>
      </c>
      <c r="E2311" s="243">
        <v>396</v>
      </c>
      <c r="F2311" s="243">
        <v>352</v>
      </c>
      <c r="G2311" s="243">
        <v>224</v>
      </c>
      <c r="H2311" s="243">
        <v>356</v>
      </c>
      <c r="I2311" s="243">
        <v>328</v>
      </c>
      <c r="J2311" s="243">
        <v>374</v>
      </c>
      <c r="K2311" s="243">
        <v>354</v>
      </c>
      <c r="L2311" s="243">
        <v>304</v>
      </c>
      <c r="M2311" s="243">
        <v>326</v>
      </c>
      <c r="N2311" s="243">
        <v>314</v>
      </c>
      <c r="O2311" s="253">
        <v>248</v>
      </c>
    </row>
    <row r="2312" spans="1:15">
      <c r="A2312" s="240" t="s">
        <v>26</v>
      </c>
      <c r="B2312" s="47" t="s">
        <v>59</v>
      </c>
      <c r="C2312" s="15">
        <v>2005</v>
      </c>
      <c r="D2312" s="243">
        <v>251</v>
      </c>
      <c r="E2312" s="243">
        <v>166</v>
      </c>
      <c r="F2312" s="243">
        <v>158</v>
      </c>
      <c r="G2312" s="243">
        <v>115</v>
      </c>
      <c r="H2312" s="243">
        <v>190</v>
      </c>
      <c r="I2312" s="243">
        <v>160</v>
      </c>
      <c r="J2312" s="243">
        <v>182</v>
      </c>
      <c r="K2312" s="243">
        <v>184</v>
      </c>
      <c r="L2312" s="243">
        <v>138</v>
      </c>
      <c r="M2312" s="243">
        <v>174</v>
      </c>
      <c r="N2312" s="243">
        <v>153</v>
      </c>
      <c r="O2312" s="253">
        <v>134</v>
      </c>
    </row>
    <row r="2313" spans="1:15">
      <c r="A2313" s="242" t="s">
        <v>26</v>
      </c>
      <c r="B2313" s="43" t="s">
        <v>4</v>
      </c>
      <c r="C2313" s="15">
        <v>15</v>
      </c>
      <c r="D2313" s="244">
        <v>3</v>
      </c>
      <c r="E2313" s="244">
        <v>0</v>
      </c>
      <c r="F2313" s="244">
        <v>1</v>
      </c>
      <c r="G2313" s="244">
        <v>0</v>
      </c>
      <c r="H2313" s="244">
        <v>1</v>
      </c>
      <c r="I2313" s="244">
        <v>1</v>
      </c>
      <c r="J2313" s="244">
        <v>3</v>
      </c>
      <c r="K2313" s="244">
        <v>1</v>
      </c>
      <c r="L2313" s="244">
        <v>0</v>
      </c>
      <c r="M2313" s="244">
        <v>1</v>
      </c>
      <c r="N2313" s="244">
        <v>1</v>
      </c>
      <c r="O2313" s="254">
        <v>3</v>
      </c>
    </row>
    <row r="2314" spans="1:15">
      <c r="A2314" s="240" t="s">
        <v>26</v>
      </c>
      <c r="B2314" s="47" t="s">
        <v>5</v>
      </c>
      <c r="C2314" s="12">
        <v>0.00748129675810474</v>
      </c>
      <c r="D2314" s="241">
        <v>0.0119521912350598</v>
      </c>
      <c r="E2314" s="241">
        <v>0</v>
      </c>
      <c r="F2314" s="241">
        <v>0.00632911392405063</v>
      </c>
      <c r="G2314" s="241">
        <v>0</v>
      </c>
      <c r="H2314" s="241">
        <v>0.00526315789473684</v>
      </c>
      <c r="I2314" s="241">
        <v>0.00625</v>
      </c>
      <c r="J2314" s="241">
        <v>0.0164835164835165</v>
      </c>
      <c r="K2314" s="241">
        <v>0.00543478260869565</v>
      </c>
      <c r="L2314" s="241">
        <v>0</v>
      </c>
      <c r="M2314" s="241">
        <v>0.00574712643678161</v>
      </c>
      <c r="N2314" s="241">
        <v>0.0065359477124183</v>
      </c>
      <c r="O2314" s="252">
        <v>0.0223880597014925</v>
      </c>
    </row>
    <row r="2315" spans="1:15">
      <c r="A2315" s="242" t="s">
        <v>26</v>
      </c>
      <c r="B2315" s="43" t="s">
        <v>6</v>
      </c>
      <c r="C2315" s="15">
        <v>5</v>
      </c>
      <c r="D2315" s="244">
        <v>0</v>
      </c>
      <c r="E2315" s="244">
        <v>0</v>
      </c>
      <c r="F2315" s="244">
        <v>0</v>
      </c>
      <c r="G2315" s="244">
        <v>0</v>
      </c>
      <c r="H2315" s="244">
        <v>1</v>
      </c>
      <c r="I2315" s="244">
        <v>0</v>
      </c>
      <c r="J2315" s="244">
        <v>0</v>
      </c>
      <c r="K2315" s="244">
        <v>1</v>
      </c>
      <c r="L2315" s="244">
        <v>2</v>
      </c>
      <c r="M2315" s="244">
        <v>0</v>
      </c>
      <c r="N2315" s="244">
        <v>1</v>
      </c>
      <c r="O2315" s="254">
        <v>0</v>
      </c>
    </row>
    <row r="2316" ht="14.25" spans="1:15">
      <c r="A2316" s="245" t="s">
        <v>26</v>
      </c>
      <c r="B2316" s="52" t="s">
        <v>64</v>
      </c>
      <c r="C2316" s="19">
        <v>0.333333333333333</v>
      </c>
      <c r="D2316" s="250">
        <v>0</v>
      </c>
      <c r="E2316" s="250">
        <v>0</v>
      </c>
      <c r="F2316" s="250">
        <v>0</v>
      </c>
      <c r="G2316" s="250">
        <v>0</v>
      </c>
      <c r="H2316" s="250">
        <v>1</v>
      </c>
      <c r="I2316" s="250">
        <v>0</v>
      </c>
      <c r="J2316" s="250">
        <v>0</v>
      </c>
      <c r="K2316" s="250">
        <v>1</v>
      </c>
      <c r="L2316" s="250">
        <v>2</v>
      </c>
      <c r="M2316" s="250">
        <v>0</v>
      </c>
      <c r="N2316" s="250">
        <v>1</v>
      </c>
      <c r="O2316" s="257">
        <v>0</v>
      </c>
    </row>
    <row r="2317" spans="1:15">
      <c r="A2317" s="240" t="s">
        <v>71</v>
      </c>
      <c r="B2317" s="47" t="s">
        <v>55</v>
      </c>
      <c r="C2317" s="12">
        <v>5</v>
      </c>
      <c r="D2317" s="241" t="e">
        <v>#DIV/0!</v>
      </c>
      <c r="E2317" s="241" t="e">
        <v>#DIV/0!</v>
      </c>
      <c r="F2317" s="241" t="e">
        <v>#DIV/0!</v>
      </c>
      <c r="G2317" s="241" t="e">
        <v>#DIV/0!</v>
      </c>
      <c r="H2317" s="241" t="e">
        <v>#DIV/0!</v>
      </c>
      <c r="I2317" s="241" t="e">
        <v>#DIV/0!</v>
      </c>
      <c r="J2317" s="241">
        <v>0</v>
      </c>
      <c r="K2317" s="241" t="e">
        <v>#DIV/0!</v>
      </c>
      <c r="L2317" s="241" t="e">
        <v>#DIV/0!</v>
      </c>
      <c r="M2317" s="241">
        <v>1</v>
      </c>
      <c r="N2317" s="241" t="e">
        <v>#DIV/0!</v>
      </c>
      <c r="O2317" s="252" t="e">
        <v>#DIV/0!</v>
      </c>
    </row>
    <row r="2318" spans="1:15">
      <c r="A2318" s="242" t="s">
        <v>71</v>
      </c>
      <c r="B2318" s="43" t="s">
        <v>57</v>
      </c>
      <c r="C2318" s="15">
        <v>2</v>
      </c>
      <c r="D2318" s="243">
        <v>0</v>
      </c>
      <c r="E2318" s="243">
        <v>0</v>
      </c>
      <c r="F2318" s="243">
        <v>0</v>
      </c>
      <c r="G2318" s="243">
        <v>0</v>
      </c>
      <c r="H2318" s="243">
        <v>0</v>
      </c>
      <c r="I2318" s="243">
        <v>0</v>
      </c>
      <c r="J2318" s="243">
        <v>1</v>
      </c>
      <c r="K2318" s="243">
        <v>0</v>
      </c>
      <c r="L2318" s="243">
        <v>0</v>
      </c>
      <c r="M2318" s="243">
        <v>1</v>
      </c>
      <c r="N2318" s="243">
        <v>0</v>
      </c>
      <c r="O2318" s="253">
        <v>0</v>
      </c>
    </row>
    <row r="2319" spans="1:15">
      <c r="A2319" s="240" t="s">
        <v>71</v>
      </c>
      <c r="B2319" s="47" t="s">
        <v>59</v>
      </c>
      <c r="C2319" s="15">
        <v>10</v>
      </c>
      <c r="D2319" s="243">
        <v>0</v>
      </c>
      <c r="E2319" s="243">
        <v>1</v>
      </c>
      <c r="F2319" s="243">
        <v>0</v>
      </c>
      <c r="G2319" s="243">
        <v>0</v>
      </c>
      <c r="H2319" s="243">
        <v>1</v>
      </c>
      <c r="I2319" s="243">
        <v>3</v>
      </c>
      <c r="J2319" s="243">
        <v>0</v>
      </c>
      <c r="K2319" s="243">
        <v>1</v>
      </c>
      <c r="L2319" s="243">
        <v>0</v>
      </c>
      <c r="M2319" s="243">
        <v>1</v>
      </c>
      <c r="N2319" s="243">
        <v>1</v>
      </c>
      <c r="O2319" s="253">
        <v>2</v>
      </c>
    </row>
    <row r="2320" spans="1:15">
      <c r="A2320" s="242" t="s">
        <v>71</v>
      </c>
      <c r="B2320" s="43" t="s">
        <v>4</v>
      </c>
      <c r="C2320" s="15">
        <v>34</v>
      </c>
      <c r="D2320" s="244">
        <v>5</v>
      </c>
      <c r="E2320" s="244">
        <v>5</v>
      </c>
      <c r="F2320" s="244">
        <v>2</v>
      </c>
      <c r="G2320" s="244">
        <v>2</v>
      </c>
      <c r="H2320" s="244">
        <v>1</v>
      </c>
      <c r="I2320" s="244">
        <v>2</v>
      </c>
      <c r="J2320" s="244">
        <v>2</v>
      </c>
      <c r="K2320" s="244">
        <v>1</v>
      </c>
      <c r="L2320" s="244">
        <v>2</v>
      </c>
      <c r="M2320" s="244">
        <v>2</v>
      </c>
      <c r="N2320" s="244">
        <v>4</v>
      </c>
      <c r="O2320" s="254">
        <v>6</v>
      </c>
    </row>
    <row r="2321" spans="1:15">
      <c r="A2321" s="240" t="s">
        <v>71</v>
      </c>
      <c r="B2321" s="47" t="s">
        <v>5</v>
      </c>
      <c r="C2321" s="12">
        <v>3.4</v>
      </c>
      <c r="D2321" s="241">
        <v>0</v>
      </c>
      <c r="E2321" s="241">
        <v>5</v>
      </c>
      <c r="F2321" s="241">
        <v>0</v>
      </c>
      <c r="G2321" s="241">
        <v>0</v>
      </c>
      <c r="H2321" s="241">
        <v>1</v>
      </c>
      <c r="I2321" s="241">
        <v>0.666666666666667</v>
      </c>
      <c r="J2321" s="241">
        <v>0</v>
      </c>
      <c r="K2321" s="241">
        <v>1</v>
      </c>
      <c r="L2321" s="241">
        <v>0</v>
      </c>
      <c r="M2321" s="241">
        <v>2</v>
      </c>
      <c r="N2321" s="241">
        <v>4</v>
      </c>
      <c r="O2321" s="252">
        <v>3</v>
      </c>
    </row>
    <row r="2322" spans="1:15">
      <c r="A2322" s="242" t="s">
        <v>71</v>
      </c>
      <c r="B2322" s="43" t="s">
        <v>6</v>
      </c>
      <c r="C2322" s="15">
        <v>7</v>
      </c>
      <c r="D2322" s="244">
        <v>1</v>
      </c>
      <c r="E2322" s="244">
        <v>0</v>
      </c>
      <c r="F2322" s="244">
        <v>0</v>
      </c>
      <c r="G2322" s="244">
        <v>0</v>
      </c>
      <c r="H2322" s="244">
        <v>1</v>
      </c>
      <c r="I2322" s="244">
        <v>0</v>
      </c>
      <c r="J2322" s="244">
        <v>1</v>
      </c>
      <c r="K2322" s="244">
        <v>1</v>
      </c>
      <c r="L2322" s="244">
        <v>2</v>
      </c>
      <c r="M2322" s="244">
        <v>0</v>
      </c>
      <c r="N2322" s="244">
        <v>1</v>
      </c>
      <c r="O2322" s="254">
        <v>0</v>
      </c>
    </row>
    <row r="2323" ht="14.25" spans="1:15">
      <c r="A2323" s="245" t="s">
        <v>71</v>
      </c>
      <c r="B2323" s="52" t="s">
        <v>64</v>
      </c>
      <c r="C2323" s="19">
        <v>0.205882352941176</v>
      </c>
      <c r="D2323" s="250">
        <v>1</v>
      </c>
      <c r="E2323" s="250">
        <v>0</v>
      </c>
      <c r="F2323" s="250">
        <v>0</v>
      </c>
      <c r="G2323" s="250">
        <v>0</v>
      </c>
      <c r="H2323" s="250">
        <v>1</v>
      </c>
      <c r="I2323" s="250">
        <v>0</v>
      </c>
      <c r="J2323" s="250">
        <v>1</v>
      </c>
      <c r="K2323" s="250">
        <v>1</v>
      </c>
      <c r="L2323" s="250">
        <v>2</v>
      </c>
      <c r="M2323" s="250">
        <v>0</v>
      </c>
      <c r="N2323" s="250">
        <v>1</v>
      </c>
      <c r="O2323" s="257">
        <v>0</v>
      </c>
    </row>
    <row r="2324" spans="1:15">
      <c r="A2324" s="240" t="s">
        <v>72</v>
      </c>
      <c r="B2324" s="47" t="s">
        <v>55</v>
      </c>
      <c r="C2324" s="12">
        <v>0.310275800711744</v>
      </c>
      <c r="D2324" s="241">
        <v>0.326315789473684</v>
      </c>
      <c r="E2324" s="241">
        <v>0.321428571428571</v>
      </c>
      <c r="F2324" s="241">
        <v>0.357894736842105</v>
      </c>
      <c r="G2324" s="241">
        <v>0.306818181818182</v>
      </c>
      <c r="H2324" s="241">
        <v>0.317073170731707</v>
      </c>
      <c r="I2324" s="241">
        <v>0.268348623853211</v>
      </c>
      <c r="J2324" s="241">
        <v>0.314410480349345</v>
      </c>
      <c r="K2324" s="241">
        <v>0.27843137254902</v>
      </c>
      <c r="L2324" s="241">
        <v>0.387892376681614</v>
      </c>
      <c r="M2324" s="241">
        <v>0.350282485875706</v>
      </c>
      <c r="N2324" s="241">
        <v>0.285992217898833</v>
      </c>
      <c r="O2324" s="252">
        <v>0.2625</v>
      </c>
    </row>
    <row r="2325" spans="1:15">
      <c r="A2325" s="242" t="s">
        <v>72</v>
      </c>
      <c r="B2325" s="43" t="s">
        <v>57</v>
      </c>
      <c r="C2325" s="15">
        <v>4496</v>
      </c>
      <c r="D2325" s="243">
        <v>380</v>
      </c>
      <c r="E2325" s="243">
        <v>224</v>
      </c>
      <c r="F2325" s="243">
        <v>190</v>
      </c>
      <c r="G2325" s="243">
        <v>176</v>
      </c>
      <c r="H2325" s="243">
        <v>328</v>
      </c>
      <c r="I2325" s="243">
        <v>436</v>
      </c>
      <c r="J2325" s="243">
        <v>458</v>
      </c>
      <c r="K2325" s="243">
        <v>510</v>
      </c>
      <c r="L2325" s="243">
        <v>446</v>
      </c>
      <c r="M2325" s="243">
        <v>354</v>
      </c>
      <c r="N2325" s="243">
        <v>514</v>
      </c>
      <c r="O2325" s="253">
        <v>480</v>
      </c>
    </row>
    <row r="2326" spans="1:15">
      <c r="A2326" s="240" t="s">
        <v>72</v>
      </c>
      <c r="B2326" s="47" t="s">
        <v>59</v>
      </c>
      <c r="C2326" s="15">
        <v>1395</v>
      </c>
      <c r="D2326" s="243">
        <v>124</v>
      </c>
      <c r="E2326" s="243">
        <v>72</v>
      </c>
      <c r="F2326" s="243">
        <v>68</v>
      </c>
      <c r="G2326" s="243">
        <v>54</v>
      </c>
      <c r="H2326" s="243">
        <v>104</v>
      </c>
      <c r="I2326" s="243">
        <v>117</v>
      </c>
      <c r="J2326" s="243">
        <v>144</v>
      </c>
      <c r="K2326" s="243">
        <v>142</v>
      </c>
      <c r="L2326" s="243">
        <v>173</v>
      </c>
      <c r="M2326" s="243">
        <v>124</v>
      </c>
      <c r="N2326" s="243">
        <v>147</v>
      </c>
      <c r="O2326" s="253">
        <v>126</v>
      </c>
    </row>
    <row r="2327" spans="1:15">
      <c r="A2327" s="242" t="s">
        <v>72</v>
      </c>
      <c r="B2327" s="43" t="s">
        <v>4</v>
      </c>
      <c r="C2327" s="15">
        <v>43</v>
      </c>
      <c r="D2327" s="244">
        <v>3</v>
      </c>
      <c r="E2327" s="244">
        <v>2</v>
      </c>
      <c r="F2327" s="244">
        <v>3</v>
      </c>
      <c r="G2327" s="244">
        <v>0</v>
      </c>
      <c r="H2327" s="244">
        <v>3</v>
      </c>
      <c r="I2327" s="244">
        <v>7</v>
      </c>
      <c r="J2327" s="244">
        <v>3</v>
      </c>
      <c r="K2327" s="244">
        <v>4</v>
      </c>
      <c r="L2327" s="244">
        <v>1</v>
      </c>
      <c r="M2327" s="244">
        <v>3</v>
      </c>
      <c r="N2327" s="244">
        <v>5</v>
      </c>
      <c r="O2327" s="254">
        <v>9</v>
      </c>
    </row>
    <row r="2328" spans="1:15">
      <c r="A2328" s="240" t="s">
        <v>72</v>
      </c>
      <c r="B2328" s="47" t="s">
        <v>5</v>
      </c>
      <c r="C2328" s="12">
        <v>0.0308243727598566</v>
      </c>
      <c r="D2328" s="241">
        <v>0.0241935483870968</v>
      </c>
      <c r="E2328" s="241">
        <v>0.0277777777777778</v>
      </c>
      <c r="F2328" s="241">
        <v>0.0441176470588235</v>
      </c>
      <c r="G2328" s="241">
        <v>0</v>
      </c>
      <c r="H2328" s="241">
        <v>0.0288461538461538</v>
      </c>
      <c r="I2328" s="241">
        <v>0.0598290598290598</v>
      </c>
      <c r="J2328" s="241">
        <v>0.0208333333333333</v>
      </c>
      <c r="K2328" s="241">
        <v>0.028169014084507</v>
      </c>
      <c r="L2328" s="241">
        <v>0.00578034682080925</v>
      </c>
      <c r="M2328" s="241">
        <v>0.0241935483870968</v>
      </c>
      <c r="N2328" s="241">
        <v>0.0340136054421769</v>
      </c>
      <c r="O2328" s="252">
        <v>0.0714285714285714</v>
      </c>
    </row>
    <row r="2329" spans="1:15">
      <c r="A2329" s="242" t="s">
        <v>72</v>
      </c>
      <c r="B2329" s="43" t="s">
        <v>6</v>
      </c>
      <c r="C2329" s="15">
        <v>13</v>
      </c>
      <c r="D2329" s="244">
        <v>2</v>
      </c>
      <c r="E2329" s="244">
        <v>2</v>
      </c>
      <c r="F2329" s="244">
        <v>1</v>
      </c>
      <c r="G2329" s="244">
        <v>1</v>
      </c>
      <c r="H2329" s="244">
        <v>1</v>
      </c>
      <c r="I2329" s="244">
        <v>2</v>
      </c>
      <c r="J2329" s="244">
        <v>1</v>
      </c>
      <c r="K2329" s="244">
        <v>0</v>
      </c>
      <c r="L2329" s="244">
        <v>0</v>
      </c>
      <c r="M2329" s="244">
        <v>0</v>
      </c>
      <c r="N2329" s="244">
        <v>1</v>
      </c>
      <c r="O2329" s="254">
        <v>2</v>
      </c>
    </row>
    <row r="2330" ht="14.25" spans="1:15">
      <c r="A2330" s="245" t="s">
        <v>72</v>
      </c>
      <c r="B2330" s="52" t="s">
        <v>64</v>
      </c>
      <c r="C2330" s="19">
        <v>0.302325581395349</v>
      </c>
      <c r="D2330" s="250">
        <v>2</v>
      </c>
      <c r="E2330" s="250">
        <v>2</v>
      </c>
      <c r="F2330" s="250">
        <v>1</v>
      </c>
      <c r="G2330" s="250">
        <v>1</v>
      </c>
      <c r="H2330" s="250">
        <v>1</v>
      </c>
      <c r="I2330" s="250">
        <v>2</v>
      </c>
      <c r="J2330" s="250">
        <v>1</v>
      </c>
      <c r="K2330" s="250">
        <v>0</v>
      </c>
      <c r="L2330" s="250">
        <v>0</v>
      </c>
      <c r="M2330" s="250">
        <v>0</v>
      </c>
      <c r="N2330" s="250">
        <v>1</v>
      </c>
      <c r="O2330" s="257">
        <v>2</v>
      </c>
    </row>
    <row r="2331" ht="14.25" spans="1:15">
      <c r="A2331" s="237">
        <v>45055</v>
      </c>
      <c r="B2331" s="237"/>
      <c r="C2331" s="237"/>
      <c r="D2331" s="237"/>
      <c r="E2331" s="237"/>
      <c r="F2331" s="237"/>
      <c r="G2331" s="237"/>
      <c r="H2331" s="237"/>
      <c r="I2331" s="237"/>
      <c r="J2331" s="237"/>
      <c r="K2331" s="237"/>
      <c r="L2331" s="237"/>
      <c r="M2331" s="237"/>
      <c r="N2331" s="237"/>
      <c r="O2331" s="237"/>
    </row>
    <row r="2332" spans="1:15">
      <c r="A2332" s="56" t="s">
        <v>1</v>
      </c>
      <c r="B2332" s="238"/>
      <c r="C2332" s="8" t="s">
        <v>42</v>
      </c>
      <c r="D2332" s="239" t="s">
        <v>43</v>
      </c>
      <c r="E2332" s="239" t="s">
        <v>44</v>
      </c>
      <c r="F2332" s="239" t="s">
        <v>45</v>
      </c>
      <c r="G2332" s="239" t="s">
        <v>46</v>
      </c>
      <c r="H2332" s="239" t="s">
        <v>47</v>
      </c>
      <c r="I2332" s="239" t="s">
        <v>48</v>
      </c>
      <c r="J2332" s="239" t="s">
        <v>49</v>
      </c>
      <c r="K2332" s="239" t="s">
        <v>50</v>
      </c>
      <c r="L2332" s="239" t="s">
        <v>51</v>
      </c>
      <c r="M2332" s="239" t="s">
        <v>52</v>
      </c>
      <c r="N2332" s="239" t="s">
        <v>53</v>
      </c>
      <c r="O2332" s="251" t="s">
        <v>54</v>
      </c>
    </row>
    <row r="2333" spans="1:15">
      <c r="A2333" s="240" t="s">
        <v>22</v>
      </c>
      <c r="B2333" s="47" t="s">
        <v>55</v>
      </c>
      <c r="C2333" s="12">
        <v>0.414429530201342</v>
      </c>
      <c r="D2333" s="241">
        <v>0.511013215859031</v>
      </c>
      <c r="E2333" s="241">
        <v>0.358490566037736</v>
      </c>
      <c r="F2333" s="241">
        <v>0.379310344827586</v>
      </c>
      <c r="G2333" s="241">
        <v>0.532608695652174</v>
      </c>
      <c r="H2333" s="241">
        <v>0.468208092485549</v>
      </c>
      <c r="I2333" s="241">
        <v>0.377659574468085</v>
      </c>
      <c r="J2333" s="241">
        <v>0.461883408071749</v>
      </c>
      <c r="K2333" s="241">
        <v>0.383141762452107</v>
      </c>
      <c r="L2333" s="241">
        <v>0.409302325581395</v>
      </c>
      <c r="M2333" s="241">
        <v>0.385365853658537</v>
      </c>
      <c r="N2333" s="241">
        <v>0.444015444015444</v>
      </c>
      <c r="O2333" s="252">
        <v>0.330459770114943</v>
      </c>
    </row>
    <row r="2334" spans="1:15">
      <c r="A2334" s="242" t="s">
        <v>22</v>
      </c>
      <c r="B2334" s="43" t="s">
        <v>57</v>
      </c>
      <c r="C2334" s="15">
        <v>2384</v>
      </c>
      <c r="D2334" s="243">
        <v>227</v>
      </c>
      <c r="E2334" s="243">
        <v>106</v>
      </c>
      <c r="F2334" s="243">
        <v>87</v>
      </c>
      <c r="G2334" s="243">
        <v>92</v>
      </c>
      <c r="H2334" s="243">
        <v>173</v>
      </c>
      <c r="I2334" s="243">
        <v>188</v>
      </c>
      <c r="J2334" s="243">
        <v>223</v>
      </c>
      <c r="K2334" s="243">
        <v>261</v>
      </c>
      <c r="L2334" s="243">
        <v>215</v>
      </c>
      <c r="M2334" s="243">
        <v>205</v>
      </c>
      <c r="N2334" s="243">
        <v>259</v>
      </c>
      <c r="O2334" s="253">
        <v>348</v>
      </c>
    </row>
    <row r="2335" spans="1:15">
      <c r="A2335" s="240" t="s">
        <v>22</v>
      </c>
      <c r="B2335" s="47" t="s">
        <v>59</v>
      </c>
      <c r="C2335" s="15">
        <v>988</v>
      </c>
      <c r="D2335" s="243">
        <v>116</v>
      </c>
      <c r="E2335" s="243">
        <v>38</v>
      </c>
      <c r="F2335" s="243">
        <v>33</v>
      </c>
      <c r="G2335" s="243">
        <v>49</v>
      </c>
      <c r="H2335" s="243">
        <v>81</v>
      </c>
      <c r="I2335" s="243">
        <v>71</v>
      </c>
      <c r="J2335" s="243">
        <v>103</v>
      </c>
      <c r="K2335" s="243">
        <v>100</v>
      </c>
      <c r="L2335" s="243">
        <v>88</v>
      </c>
      <c r="M2335" s="243">
        <v>79</v>
      </c>
      <c r="N2335" s="243">
        <v>115</v>
      </c>
      <c r="O2335" s="253">
        <v>115</v>
      </c>
    </row>
    <row r="2336" spans="1:15">
      <c r="A2336" s="242" t="s">
        <v>22</v>
      </c>
      <c r="B2336" s="43" t="s">
        <v>4</v>
      </c>
      <c r="C2336" s="15">
        <v>64</v>
      </c>
      <c r="D2336" s="244">
        <v>5</v>
      </c>
      <c r="E2336" s="244">
        <v>6</v>
      </c>
      <c r="F2336" s="244">
        <v>3</v>
      </c>
      <c r="G2336" s="244">
        <v>3</v>
      </c>
      <c r="H2336" s="244">
        <v>5</v>
      </c>
      <c r="I2336" s="244">
        <v>4</v>
      </c>
      <c r="J2336" s="244">
        <v>6</v>
      </c>
      <c r="K2336" s="244">
        <v>4</v>
      </c>
      <c r="L2336" s="244">
        <v>5</v>
      </c>
      <c r="M2336" s="244">
        <v>4</v>
      </c>
      <c r="N2336" s="244">
        <v>12</v>
      </c>
      <c r="O2336" s="254">
        <v>7</v>
      </c>
    </row>
    <row r="2337" spans="1:15">
      <c r="A2337" s="240" t="s">
        <v>22</v>
      </c>
      <c r="B2337" s="47" t="s">
        <v>5</v>
      </c>
      <c r="C2337" s="12">
        <v>0.0647773279352227</v>
      </c>
      <c r="D2337" s="241">
        <v>0.0431034482758621</v>
      </c>
      <c r="E2337" s="241">
        <v>0.157894736842105</v>
      </c>
      <c r="F2337" s="241">
        <v>0.0909090909090909</v>
      </c>
      <c r="G2337" s="241">
        <v>0.0612244897959184</v>
      </c>
      <c r="H2337" s="241">
        <v>0.0617283950617284</v>
      </c>
      <c r="I2337" s="241">
        <v>0.0563380281690141</v>
      </c>
      <c r="J2337" s="241">
        <v>0.058252427184466</v>
      </c>
      <c r="K2337" s="241">
        <v>0.04</v>
      </c>
      <c r="L2337" s="241">
        <v>0.0568181818181818</v>
      </c>
      <c r="M2337" s="241">
        <v>0.0506329113924051</v>
      </c>
      <c r="N2337" s="241">
        <v>0.104347826086957</v>
      </c>
      <c r="O2337" s="252">
        <v>0.0608695652173913</v>
      </c>
    </row>
    <row r="2338" spans="1:15">
      <c r="A2338" s="242" t="s">
        <v>22</v>
      </c>
      <c r="B2338" s="43" t="s">
        <v>6</v>
      </c>
      <c r="C2338" s="15">
        <v>18</v>
      </c>
      <c r="D2338" s="244">
        <v>4</v>
      </c>
      <c r="E2338" s="244">
        <v>2</v>
      </c>
      <c r="F2338" s="244">
        <v>1</v>
      </c>
      <c r="G2338" s="244">
        <v>2</v>
      </c>
      <c r="H2338" s="244">
        <v>0</v>
      </c>
      <c r="I2338" s="244">
        <v>0</v>
      </c>
      <c r="J2338" s="244">
        <v>1</v>
      </c>
      <c r="K2338" s="244">
        <v>1</v>
      </c>
      <c r="L2338" s="244">
        <v>1</v>
      </c>
      <c r="M2338" s="244">
        <v>1</v>
      </c>
      <c r="N2338" s="244">
        <v>2</v>
      </c>
      <c r="O2338" s="254">
        <v>3</v>
      </c>
    </row>
    <row r="2339" ht="14.25" spans="1:15">
      <c r="A2339" s="245" t="s">
        <v>22</v>
      </c>
      <c r="B2339" s="52" t="s">
        <v>64</v>
      </c>
      <c r="C2339" s="19">
        <v>0.28125</v>
      </c>
      <c r="D2339" s="246">
        <v>0.8</v>
      </c>
      <c r="E2339" s="246">
        <v>0.333333333333333</v>
      </c>
      <c r="F2339" s="246">
        <v>0.333333333333333</v>
      </c>
      <c r="G2339" s="246">
        <v>0.666666666666667</v>
      </c>
      <c r="H2339" s="246">
        <v>0</v>
      </c>
      <c r="I2339" s="246">
        <v>0</v>
      </c>
      <c r="J2339" s="246">
        <v>0.166666666666667</v>
      </c>
      <c r="K2339" s="246">
        <v>0.25</v>
      </c>
      <c r="L2339" s="246">
        <v>0.2</v>
      </c>
      <c r="M2339" s="246">
        <v>0.25</v>
      </c>
      <c r="N2339" s="246">
        <v>0.166666666666667</v>
      </c>
      <c r="O2339" s="255">
        <v>0.428571428571429</v>
      </c>
    </row>
    <row r="2340" spans="1:15">
      <c r="A2340" s="247" t="s">
        <v>66</v>
      </c>
      <c r="B2340" s="248" t="s">
        <v>55</v>
      </c>
      <c r="C2340" s="12">
        <v>0.118960802187785</v>
      </c>
      <c r="D2340" s="249">
        <v>0.0903426791277259</v>
      </c>
      <c r="E2340" s="249">
        <v>0.0235602094240838</v>
      </c>
      <c r="F2340" s="249">
        <v>0.0247933884297521</v>
      </c>
      <c r="G2340" s="249">
        <v>0.0718232044198895</v>
      </c>
      <c r="H2340" s="249">
        <v>0.176470588235294</v>
      </c>
      <c r="I2340" s="249">
        <v>0.136363636363636</v>
      </c>
      <c r="J2340" s="249">
        <v>0.14367816091954</v>
      </c>
      <c r="K2340" s="249">
        <v>0.154411764705882</v>
      </c>
      <c r="L2340" s="249">
        <v>0.235849056603774</v>
      </c>
      <c r="M2340" s="249">
        <v>0.198019801980198</v>
      </c>
      <c r="N2340" s="249">
        <v>0.298387096774194</v>
      </c>
      <c r="O2340" s="256">
        <v>0.21830985915493</v>
      </c>
    </row>
    <row r="2341" spans="1:15">
      <c r="A2341" s="242" t="s">
        <v>66</v>
      </c>
      <c r="B2341" s="43" t="s">
        <v>57</v>
      </c>
      <c r="C2341" s="15">
        <v>2194</v>
      </c>
      <c r="D2341" s="243">
        <v>321</v>
      </c>
      <c r="E2341" s="243">
        <v>382</v>
      </c>
      <c r="F2341" s="243">
        <v>242</v>
      </c>
      <c r="G2341" s="243">
        <v>181</v>
      </c>
      <c r="H2341" s="243">
        <v>153</v>
      </c>
      <c r="I2341" s="243">
        <v>132</v>
      </c>
      <c r="J2341" s="243">
        <v>174</v>
      </c>
      <c r="K2341" s="243">
        <v>136</v>
      </c>
      <c r="L2341" s="243">
        <v>106</v>
      </c>
      <c r="M2341" s="243">
        <v>101</v>
      </c>
      <c r="N2341" s="243">
        <v>124</v>
      </c>
      <c r="O2341" s="253">
        <v>142</v>
      </c>
    </row>
    <row r="2342" spans="1:15">
      <c r="A2342" s="240" t="s">
        <v>66</v>
      </c>
      <c r="B2342" s="47" t="s">
        <v>59</v>
      </c>
      <c r="C2342" s="15">
        <v>261</v>
      </c>
      <c r="D2342" s="243">
        <v>29</v>
      </c>
      <c r="E2342" s="243">
        <v>9</v>
      </c>
      <c r="F2342" s="243">
        <v>6</v>
      </c>
      <c r="G2342" s="243">
        <v>13</v>
      </c>
      <c r="H2342" s="243">
        <v>27</v>
      </c>
      <c r="I2342" s="243">
        <v>18</v>
      </c>
      <c r="J2342" s="243">
        <v>25</v>
      </c>
      <c r="K2342" s="243">
        <v>21</v>
      </c>
      <c r="L2342" s="243">
        <v>25</v>
      </c>
      <c r="M2342" s="243">
        <v>20</v>
      </c>
      <c r="N2342" s="243">
        <v>37</v>
      </c>
      <c r="O2342" s="253">
        <v>31</v>
      </c>
    </row>
    <row r="2343" spans="1:15">
      <c r="A2343" s="242" t="s">
        <v>66</v>
      </c>
      <c r="B2343" s="43" t="s">
        <v>4</v>
      </c>
      <c r="C2343" s="15">
        <v>10</v>
      </c>
      <c r="D2343" s="244">
        <v>1</v>
      </c>
      <c r="E2343" s="244">
        <v>1</v>
      </c>
      <c r="F2343" s="244">
        <v>0</v>
      </c>
      <c r="G2343" s="244">
        <v>0</v>
      </c>
      <c r="H2343" s="244">
        <v>1</v>
      </c>
      <c r="I2343" s="244">
        <v>0</v>
      </c>
      <c r="J2343" s="244">
        <v>0</v>
      </c>
      <c r="K2343" s="244">
        <v>1</v>
      </c>
      <c r="L2343" s="244">
        <v>1</v>
      </c>
      <c r="M2343" s="244">
        <v>1</v>
      </c>
      <c r="N2343" s="244">
        <v>0</v>
      </c>
      <c r="O2343" s="254">
        <v>4</v>
      </c>
    </row>
    <row r="2344" spans="1:15">
      <c r="A2344" s="240" t="s">
        <v>66</v>
      </c>
      <c r="B2344" s="47" t="s">
        <v>5</v>
      </c>
      <c r="C2344" s="12">
        <v>0.0383141762452107</v>
      </c>
      <c r="D2344" s="241">
        <v>0.0344827586206897</v>
      </c>
      <c r="E2344" s="241">
        <v>0.111111111111111</v>
      </c>
      <c r="F2344" s="241">
        <v>0</v>
      </c>
      <c r="G2344" s="241">
        <v>0</v>
      </c>
      <c r="H2344" s="241">
        <v>0.037037037037037</v>
      </c>
      <c r="I2344" s="241">
        <v>0</v>
      </c>
      <c r="J2344" s="241">
        <v>0</v>
      </c>
      <c r="K2344" s="241">
        <v>0.0476190476190476</v>
      </c>
      <c r="L2344" s="241">
        <v>0.04</v>
      </c>
      <c r="M2344" s="241">
        <v>0.05</v>
      </c>
      <c r="N2344" s="241">
        <v>0</v>
      </c>
      <c r="O2344" s="252">
        <v>0.129032258064516</v>
      </c>
    </row>
    <row r="2345" spans="1:15">
      <c r="A2345" s="242" t="s">
        <v>66</v>
      </c>
      <c r="B2345" s="43" t="s">
        <v>6</v>
      </c>
      <c r="C2345" s="15">
        <v>2</v>
      </c>
      <c r="D2345" s="244">
        <v>1</v>
      </c>
      <c r="E2345" s="244">
        <v>0</v>
      </c>
      <c r="F2345" s="244">
        <v>0</v>
      </c>
      <c r="G2345" s="244">
        <v>0</v>
      </c>
      <c r="H2345" s="244">
        <v>0</v>
      </c>
      <c r="I2345" s="244">
        <v>0</v>
      </c>
      <c r="J2345" s="244">
        <v>0</v>
      </c>
      <c r="K2345" s="244">
        <v>0</v>
      </c>
      <c r="L2345" s="244">
        <v>0</v>
      </c>
      <c r="M2345" s="244">
        <v>0</v>
      </c>
      <c r="N2345" s="244">
        <v>0</v>
      </c>
      <c r="O2345" s="254">
        <v>1</v>
      </c>
    </row>
    <row r="2346" ht="14.25" spans="1:15">
      <c r="A2346" s="245" t="s">
        <v>66</v>
      </c>
      <c r="B2346" s="52" t="s">
        <v>64</v>
      </c>
      <c r="C2346" s="19">
        <v>0.2</v>
      </c>
      <c r="D2346" s="246">
        <v>1</v>
      </c>
      <c r="E2346" s="246">
        <v>0</v>
      </c>
      <c r="F2346" s="246">
        <v>0</v>
      </c>
      <c r="G2346" s="246">
        <v>0</v>
      </c>
      <c r="H2346" s="246">
        <v>0</v>
      </c>
      <c r="I2346" s="246">
        <v>0</v>
      </c>
      <c r="J2346" s="246">
        <v>0</v>
      </c>
      <c r="K2346" s="246">
        <v>0</v>
      </c>
      <c r="L2346" s="246">
        <v>0</v>
      </c>
      <c r="M2346" s="246">
        <v>0</v>
      </c>
      <c r="N2346" s="246">
        <v>0</v>
      </c>
      <c r="O2346" s="255">
        <v>0.25</v>
      </c>
    </row>
    <row r="2347" spans="1:15">
      <c r="A2347" s="240" t="s">
        <v>67</v>
      </c>
      <c r="B2347" s="47" t="s">
        <v>55</v>
      </c>
      <c r="C2347" s="12">
        <v>0.859477124183007</v>
      </c>
      <c r="D2347" s="241">
        <v>0.921052631578947</v>
      </c>
      <c r="E2347" s="241">
        <v>0.4375</v>
      </c>
      <c r="F2347" s="241">
        <v>0.692307692307692</v>
      </c>
      <c r="G2347" s="241">
        <v>1.41666666666667</v>
      </c>
      <c r="H2347" s="241">
        <v>0.833333333333333</v>
      </c>
      <c r="I2347" s="241">
        <v>0.868421052631579</v>
      </c>
      <c r="J2347" s="241">
        <v>0.695652173913043</v>
      </c>
      <c r="K2347" s="241">
        <v>1.1304347826087</v>
      </c>
      <c r="L2347" s="241">
        <v>1</v>
      </c>
      <c r="M2347" s="241">
        <v>0.68</v>
      </c>
      <c r="N2347" s="241">
        <v>0.91304347826087</v>
      </c>
      <c r="O2347" s="252">
        <v>0.916666666666667</v>
      </c>
    </row>
    <row r="2348" spans="1:15">
      <c r="A2348" s="242" t="s">
        <v>67</v>
      </c>
      <c r="B2348" s="43" t="s">
        <v>57</v>
      </c>
      <c r="C2348" s="15">
        <v>306</v>
      </c>
      <c r="D2348" s="243">
        <v>38</v>
      </c>
      <c r="E2348" s="243">
        <v>16</v>
      </c>
      <c r="F2348" s="243">
        <v>13</v>
      </c>
      <c r="G2348" s="243">
        <v>12</v>
      </c>
      <c r="H2348" s="243">
        <v>24</v>
      </c>
      <c r="I2348" s="243">
        <v>38</v>
      </c>
      <c r="J2348" s="243">
        <v>46</v>
      </c>
      <c r="K2348" s="243">
        <v>23</v>
      </c>
      <c r="L2348" s="243">
        <v>24</v>
      </c>
      <c r="M2348" s="243">
        <v>25</v>
      </c>
      <c r="N2348" s="243">
        <v>23</v>
      </c>
      <c r="O2348" s="253">
        <v>24</v>
      </c>
    </row>
    <row r="2349" spans="1:15">
      <c r="A2349" s="240" t="s">
        <v>67</v>
      </c>
      <c r="B2349" s="47" t="s">
        <v>59</v>
      </c>
      <c r="C2349" s="15">
        <v>263</v>
      </c>
      <c r="D2349" s="243">
        <v>35</v>
      </c>
      <c r="E2349" s="243">
        <v>7</v>
      </c>
      <c r="F2349" s="243">
        <v>9</v>
      </c>
      <c r="G2349" s="243">
        <v>17</v>
      </c>
      <c r="H2349" s="243">
        <v>20</v>
      </c>
      <c r="I2349" s="243">
        <v>33</v>
      </c>
      <c r="J2349" s="243">
        <v>32</v>
      </c>
      <c r="K2349" s="243">
        <v>26</v>
      </c>
      <c r="L2349" s="243">
        <v>24</v>
      </c>
      <c r="M2349" s="243">
        <v>17</v>
      </c>
      <c r="N2349" s="243">
        <v>21</v>
      </c>
      <c r="O2349" s="253">
        <v>22</v>
      </c>
    </row>
    <row r="2350" spans="1:15">
      <c r="A2350" s="242" t="s">
        <v>67</v>
      </c>
      <c r="B2350" s="43" t="s">
        <v>4</v>
      </c>
      <c r="C2350" s="15">
        <v>9</v>
      </c>
      <c r="D2350" s="244">
        <v>1</v>
      </c>
      <c r="E2350" s="244">
        <v>0</v>
      </c>
      <c r="F2350" s="244">
        <v>0</v>
      </c>
      <c r="G2350" s="244">
        <v>0</v>
      </c>
      <c r="H2350" s="244">
        <v>0</v>
      </c>
      <c r="I2350" s="244">
        <v>2</v>
      </c>
      <c r="J2350" s="244">
        <v>2</v>
      </c>
      <c r="K2350" s="244">
        <v>1</v>
      </c>
      <c r="L2350" s="244">
        <v>0</v>
      </c>
      <c r="M2350" s="244">
        <v>0</v>
      </c>
      <c r="N2350" s="244">
        <v>1</v>
      </c>
      <c r="O2350" s="254">
        <v>2</v>
      </c>
    </row>
    <row r="2351" spans="1:15">
      <c r="A2351" s="240" t="s">
        <v>67</v>
      </c>
      <c r="B2351" s="47" t="s">
        <v>5</v>
      </c>
      <c r="C2351" s="12">
        <v>0.0342205323193916</v>
      </c>
      <c r="D2351" s="241">
        <v>0.0285714285714286</v>
      </c>
      <c r="E2351" s="241">
        <v>0</v>
      </c>
      <c r="F2351" s="241">
        <v>0</v>
      </c>
      <c r="G2351" s="241">
        <v>0</v>
      </c>
      <c r="H2351" s="241">
        <v>0</v>
      </c>
      <c r="I2351" s="241">
        <v>0.0606060606060606</v>
      </c>
      <c r="J2351" s="241">
        <v>0.0625</v>
      </c>
      <c r="K2351" s="241">
        <v>0.0384615384615385</v>
      </c>
      <c r="L2351" s="241">
        <v>0</v>
      </c>
      <c r="M2351" s="241">
        <v>0</v>
      </c>
      <c r="N2351" s="241">
        <v>0.0476190476190476</v>
      </c>
      <c r="O2351" s="252">
        <v>0.0909090909090909</v>
      </c>
    </row>
    <row r="2352" spans="1:15">
      <c r="A2352" s="242" t="s">
        <v>67</v>
      </c>
      <c r="B2352" s="43" t="s">
        <v>6</v>
      </c>
      <c r="C2352" s="15">
        <v>3</v>
      </c>
      <c r="D2352" s="244">
        <v>1</v>
      </c>
      <c r="E2352" s="244">
        <v>0</v>
      </c>
      <c r="F2352" s="244">
        <v>0</v>
      </c>
      <c r="G2352" s="244">
        <v>0</v>
      </c>
      <c r="H2352" s="244">
        <v>0</v>
      </c>
      <c r="I2352" s="244">
        <v>1</v>
      </c>
      <c r="J2352" s="244">
        <v>0</v>
      </c>
      <c r="K2352" s="244">
        <v>0</v>
      </c>
      <c r="L2352" s="244">
        <v>0</v>
      </c>
      <c r="M2352" s="244">
        <v>0</v>
      </c>
      <c r="N2352" s="244">
        <v>1</v>
      </c>
      <c r="O2352" s="254">
        <v>0</v>
      </c>
    </row>
    <row r="2353" ht="14.25" spans="1:15">
      <c r="A2353" s="245" t="s">
        <v>67</v>
      </c>
      <c r="B2353" s="52" t="s">
        <v>64</v>
      </c>
      <c r="C2353" s="19">
        <v>0.333333333333333</v>
      </c>
      <c r="D2353" s="246">
        <v>1</v>
      </c>
      <c r="E2353" s="246">
        <v>0</v>
      </c>
      <c r="F2353" s="246">
        <v>0</v>
      </c>
      <c r="G2353" s="246">
        <v>0</v>
      </c>
      <c r="H2353" s="246">
        <v>0</v>
      </c>
      <c r="I2353" s="246">
        <v>0.5</v>
      </c>
      <c r="J2353" s="246">
        <v>0</v>
      </c>
      <c r="K2353" s="246">
        <v>0</v>
      </c>
      <c r="L2353" s="246">
        <v>0</v>
      </c>
      <c r="M2353" s="246">
        <v>0</v>
      </c>
      <c r="N2353" s="246">
        <v>1</v>
      </c>
      <c r="O2353" s="255">
        <v>0</v>
      </c>
    </row>
    <row r="2354" spans="1:15">
      <c r="A2354" s="240" t="s">
        <v>68</v>
      </c>
      <c r="B2354" s="47" t="s">
        <v>55</v>
      </c>
      <c r="C2354" s="12">
        <v>0.125160462130937</v>
      </c>
      <c r="D2354" s="241">
        <v>0.180645161290323</v>
      </c>
      <c r="E2354" s="241">
        <v>0.0884955752212389</v>
      </c>
      <c r="F2354" s="241">
        <v>0.0895522388059701</v>
      </c>
      <c r="G2354" s="241">
        <v>0.0954773869346734</v>
      </c>
      <c r="H2354" s="241">
        <v>0.155709342560554</v>
      </c>
      <c r="I2354" s="241">
        <v>0.151873767258383</v>
      </c>
      <c r="J2354" s="241">
        <v>0.129511677282378</v>
      </c>
      <c r="K2354" s="241">
        <v>0.125592417061611</v>
      </c>
      <c r="L2354" s="241">
        <v>0.156818181818182</v>
      </c>
      <c r="M2354" s="241">
        <v>0.120283018867925</v>
      </c>
      <c r="N2354" s="241">
        <v>0.112436115843271</v>
      </c>
      <c r="O2354" s="252">
        <v>0.0836120401337793</v>
      </c>
    </row>
    <row r="2355" spans="1:15">
      <c r="A2355" s="242" t="s">
        <v>68</v>
      </c>
      <c r="B2355" s="43" t="s">
        <v>57</v>
      </c>
      <c r="C2355" s="15">
        <v>4674</v>
      </c>
      <c r="D2355" s="243">
        <v>310</v>
      </c>
      <c r="E2355" s="243">
        <v>226</v>
      </c>
      <c r="F2355" s="243">
        <v>201</v>
      </c>
      <c r="G2355" s="243">
        <v>199</v>
      </c>
      <c r="H2355" s="243">
        <v>289</v>
      </c>
      <c r="I2355" s="243">
        <v>507</v>
      </c>
      <c r="J2355" s="243">
        <v>471</v>
      </c>
      <c r="K2355" s="243">
        <v>422</v>
      </c>
      <c r="L2355" s="243">
        <v>440</v>
      </c>
      <c r="M2355" s="243">
        <v>424</v>
      </c>
      <c r="N2355" s="243">
        <v>587</v>
      </c>
      <c r="O2355" s="253">
        <v>598</v>
      </c>
    </row>
    <row r="2356" spans="1:15">
      <c r="A2356" s="240" t="s">
        <v>68</v>
      </c>
      <c r="B2356" s="47" t="s">
        <v>59</v>
      </c>
      <c r="C2356" s="15">
        <v>585</v>
      </c>
      <c r="D2356" s="243">
        <v>56</v>
      </c>
      <c r="E2356" s="243">
        <v>20</v>
      </c>
      <c r="F2356" s="243">
        <v>18</v>
      </c>
      <c r="G2356" s="243">
        <v>19</v>
      </c>
      <c r="H2356" s="243">
        <v>45</v>
      </c>
      <c r="I2356" s="243">
        <v>77</v>
      </c>
      <c r="J2356" s="243">
        <v>61</v>
      </c>
      <c r="K2356" s="243">
        <v>53</v>
      </c>
      <c r="L2356" s="243">
        <v>69</v>
      </c>
      <c r="M2356" s="243">
        <v>51</v>
      </c>
      <c r="N2356" s="243">
        <v>66</v>
      </c>
      <c r="O2356" s="253">
        <v>50</v>
      </c>
    </row>
    <row r="2357" spans="1:15">
      <c r="A2357" s="242" t="s">
        <v>68</v>
      </c>
      <c r="B2357" s="43" t="s">
        <v>4</v>
      </c>
      <c r="C2357" s="15">
        <v>20</v>
      </c>
      <c r="D2357" s="244">
        <v>1</v>
      </c>
      <c r="E2357" s="244">
        <v>2</v>
      </c>
      <c r="F2357" s="244">
        <v>0</v>
      </c>
      <c r="G2357" s="244">
        <v>0</v>
      </c>
      <c r="H2357" s="244">
        <v>0</v>
      </c>
      <c r="I2357" s="244">
        <v>2</v>
      </c>
      <c r="J2357" s="244">
        <v>3</v>
      </c>
      <c r="K2357" s="244">
        <v>1</v>
      </c>
      <c r="L2357" s="244">
        <v>1</v>
      </c>
      <c r="M2357" s="244">
        <v>3</v>
      </c>
      <c r="N2357" s="244">
        <v>4</v>
      </c>
      <c r="O2357" s="254">
        <v>3</v>
      </c>
    </row>
    <row r="2358" spans="1:15">
      <c r="A2358" s="240" t="s">
        <v>68</v>
      </c>
      <c r="B2358" s="47" t="s">
        <v>5</v>
      </c>
      <c r="C2358" s="12">
        <v>0.0341880341880342</v>
      </c>
      <c r="D2358" s="241">
        <v>0.0178571428571429</v>
      </c>
      <c r="E2358" s="241">
        <v>0.1</v>
      </c>
      <c r="F2358" s="241">
        <v>0</v>
      </c>
      <c r="G2358" s="241">
        <v>0</v>
      </c>
      <c r="H2358" s="241">
        <v>0</v>
      </c>
      <c r="I2358" s="241">
        <v>0.025974025974026</v>
      </c>
      <c r="J2358" s="241">
        <v>0.0491803278688525</v>
      </c>
      <c r="K2358" s="241">
        <v>0.0188679245283019</v>
      </c>
      <c r="L2358" s="241">
        <v>0.0144927536231884</v>
      </c>
      <c r="M2358" s="241">
        <v>0.0588235294117647</v>
      </c>
      <c r="N2358" s="241">
        <v>0.0606060606060606</v>
      </c>
      <c r="O2358" s="252">
        <v>0.06</v>
      </c>
    </row>
    <row r="2359" spans="1:15">
      <c r="A2359" s="242" t="s">
        <v>68</v>
      </c>
      <c r="B2359" s="43" t="s">
        <v>6</v>
      </c>
      <c r="C2359" s="15">
        <v>12</v>
      </c>
      <c r="D2359" s="244">
        <v>1</v>
      </c>
      <c r="E2359" s="244">
        <v>2</v>
      </c>
      <c r="F2359" s="244">
        <v>1</v>
      </c>
      <c r="G2359" s="244">
        <v>1</v>
      </c>
      <c r="H2359" s="244">
        <v>0</v>
      </c>
      <c r="I2359" s="244">
        <v>1</v>
      </c>
      <c r="J2359" s="244">
        <v>0</v>
      </c>
      <c r="K2359" s="244">
        <v>0</v>
      </c>
      <c r="L2359" s="244">
        <v>0</v>
      </c>
      <c r="M2359" s="244">
        <v>1</v>
      </c>
      <c r="N2359" s="244">
        <v>1</v>
      </c>
      <c r="O2359" s="254">
        <v>4</v>
      </c>
    </row>
    <row r="2360" ht="14.25" spans="1:15">
      <c r="A2360" s="245" t="s">
        <v>68</v>
      </c>
      <c r="B2360" s="52" t="s">
        <v>64</v>
      </c>
      <c r="C2360" s="19">
        <v>0.6</v>
      </c>
      <c r="D2360" s="246">
        <v>1</v>
      </c>
      <c r="E2360" s="246">
        <v>1</v>
      </c>
      <c r="F2360" s="246">
        <v>0</v>
      </c>
      <c r="G2360" s="246">
        <v>0</v>
      </c>
      <c r="H2360" s="246">
        <v>0</v>
      </c>
      <c r="I2360" s="246">
        <v>0.5</v>
      </c>
      <c r="J2360" s="246">
        <v>0</v>
      </c>
      <c r="K2360" s="246">
        <v>0</v>
      </c>
      <c r="L2360" s="246">
        <v>0</v>
      </c>
      <c r="M2360" s="246">
        <v>0.333333333333333</v>
      </c>
      <c r="N2360" s="246">
        <v>0.25</v>
      </c>
      <c r="O2360" s="255">
        <v>1.33333333333333</v>
      </c>
    </row>
    <row r="2361" spans="1:15">
      <c r="A2361" s="240" t="s">
        <v>69</v>
      </c>
      <c r="B2361" s="47" t="s">
        <v>55</v>
      </c>
      <c r="C2361" s="12">
        <v>0.975481611208406</v>
      </c>
      <c r="D2361" s="241">
        <v>1.27272727272727</v>
      </c>
      <c r="E2361" s="241">
        <v>1.29411764705882</v>
      </c>
      <c r="F2361" s="241">
        <v>1</v>
      </c>
      <c r="G2361" s="241">
        <v>1.30434782608696</v>
      </c>
      <c r="H2361" s="241">
        <v>1.31914893617021</v>
      </c>
      <c r="I2361" s="241">
        <v>0.85</v>
      </c>
      <c r="J2361" s="241">
        <v>1.0625</v>
      </c>
      <c r="K2361" s="241">
        <v>0.8125</v>
      </c>
      <c r="L2361" s="241">
        <v>0.914893617021277</v>
      </c>
      <c r="M2361" s="241">
        <v>0.759259259259259</v>
      </c>
      <c r="N2361" s="241">
        <v>0.835443037974684</v>
      </c>
      <c r="O2361" s="252">
        <v>0.921875</v>
      </c>
    </row>
    <row r="2362" spans="1:15">
      <c r="A2362" s="242" t="s">
        <v>69</v>
      </c>
      <c r="B2362" s="43" t="s">
        <v>57</v>
      </c>
      <c r="C2362" s="15">
        <v>571</v>
      </c>
      <c r="D2362" s="243">
        <v>44</v>
      </c>
      <c r="E2362" s="243">
        <v>17</v>
      </c>
      <c r="F2362" s="243">
        <v>24</v>
      </c>
      <c r="G2362" s="243">
        <v>23</v>
      </c>
      <c r="H2362" s="243">
        <v>47</v>
      </c>
      <c r="I2362" s="243">
        <v>60</v>
      </c>
      <c r="J2362" s="243">
        <v>48</v>
      </c>
      <c r="K2362" s="243">
        <v>64</v>
      </c>
      <c r="L2362" s="243">
        <v>47</v>
      </c>
      <c r="M2362" s="243">
        <v>54</v>
      </c>
      <c r="N2362" s="243">
        <v>79</v>
      </c>
      <c r="O2362" s="253">
        <v>64</v>
      </c>
    </row>
    <row r="2363" spans="1:15">
      <c r="A2363" s="240" t="s">
        <v>69</v>
      </c>
      <c r="B2363" s="47" t="s">
        <v>59</v>
      </c>
      <c r="C2363" s="15">
        <v>557</v>
      </c>
      <c r="D2363" s="243">
        <v>56</v>
      </c>
      <c r="E2363" s="243">
        <v>22</v>
      </c>
      <c r="F2363" s="243">
        <v>24</v>
      </c>
      <c r="G2363" s="243">
        <v>30</v>
      </c>
      <c r="H2363" s="243">
        <v>62</v>
      </c>
      <c r="I2363" s="243">
        <v>51</v>
      </c>
      <c r="J2363" s="243">
        <v>51</v>
      </c>
      <c r="K2363" s="243">
        <v>52</v>
      </c>
      <c r="L2363" s="243">
        <v>43</v>
      </c>
      <c r="M2363" s="243">
        <v>41</v>
      </c>
      <c r="N2363" s="243">
        <v>66</v>
      </c>
      <c r="O2363" s="253">
        <v>59</v>
      </c>
    </row>
    <row r="2364" spans="1:15">
      <c r="A2364" s="242" t="s">
        <v>69</v>
      </c>
      <c r="B2364" s="43" t="s">
        <v>4</v>
      </c>
      <c r="C2364" s="15">
        <v>23</v>
      </c>
      <c r="D2364" s="244">
        <v>2</v>
      </c>
      <c r="E2364" s="244">
        <v>0</v>
      </c>
      <c r="F2364" s="244">
        <v>1</v>
      </c>
      <c r="G2364" s="244">
        <v>0</v>
      </c>
      <c r="H2364" s="244">
        <v>1</v>
      </c>
      <c r="I2364" s="244">
        <v>2</v>
      </c>
      <c r="J2364" s="244">
        <v>3</v>
      </c>
      <c r="K2364" s="244">
        <v>7</v>
      </c>
      <c r="L2364" s="244">
        <v>1</v>
      </c>
      <c r="M2364" s="244">
        <v>2</v>
      </c>
      <c r="N2364" s="244">
        <v>4</v>
      </c>
      <c r="O2364" s="254">
        <v>0</v>
      </c>
    </row>
    <row r="2365" spans="1:15">
      <c r="A2365" s="240" t="s">
        <v>69</v>
      </c>
      <c r="B2365" s="47" t="s">
        <v>5</v>
      </c>
      <c r="C2365" s="12">
        <v>0.0412926391382406</v>
      </c>
      <c r="D2365" s="241">
        <v>0.0357142857142857</v>
      </c>
      <c r="E2365" s="241">
        <v>0</v>
      </c>
      <c r="F2365" s="241">
        <v>0.0416666666666667</v>
      </c>
      <c r="G2365" s="241">
        <v>0</v>
      </c>
      <c r="H2365" s="241">
        <v>0.0161290322580645</v>
      </c>
      <c r="I2365" s="241">
        <v>0.0392156862745098</v>
      </c>
      <c r="J2365" s="241">
        <v>0.0588235294117647</v>
      </c>
      <c r="K2365" s="241">
        <v>0.134615384615385</v>
      </c>
      <c r="L2365" s="241">
        <v>0.0232558139534884</v>
      </c>
      <c r="M2365" s="241">
        <v>0.0487804878048781</v>
      </c>
      <c r="N2365" s="241">
        <v>0.0606060606060606</v>
      </c>
      <c r="O2365" s="252">
        <v>0</v>
      </c>
    </row>
    <row r="2366" spans="1:15">
      <c r="A2366" s="242" t="s">
        <v>69</v>
      </c>
      <c r="B2366" s="43" t="s">
        <v>6</v>
      </c>
      <c r="C2366" s="15">
        <v>9</v>
      </c>
      <c r="D2366" s="244">
        <v>0</v>
      </c>
      <c r="E2366" s="244">
        <v>0</v>
      </c>
      <c r="F2366" s="244">
        <v>0</v>
      </c>
      <c r="G2366" s="244">
        <v>0</v>
      </c>
      <c r="H2366" s="244">
        <v>2</v>
      </c>
      <c r="I2366" s="244">
        <v>1</v>
      </c>
      <c r="J2366" s="244">
        <v>2</v>
      </c>
      <c r="K2366" s="244">
        <v>2</v>
      </c>
      <c r="L2366" s="244">
        <v>0</v>
      </c>
      <c r="M2366" s="244">
        <v>0</v>
      </c>
      <c r="N2366" s="244">
        <v>2</v>
      </c>
      <c r="O2366" s="254">
        <v>0</v>
      </c>
    </row>
    <row r="2367" ht="14.25" spans="1:15">
      <c r="A2367" s="245" t="s">
        <v>69</v>
      </c>
      <c r="B2367" s="52" t="s">
        <v>64</v>
      </c>
      <c r="C2367" s="19">
        <v>0.391304347826087</v>
      </c>
      <c r="D2367" s="246">
        <v>0</v>
      </c>
      <c r="E2367" s="246">
        <v>0</v>
      </c>
      <c r="F2367" s="246">
        <v>0</v>
      </c>
      <c r="G2367" s="246">
        <v>0</v>
      </c>
      <c r="H2367" s="246">
        <v>2</v>
      </c>
      <c r="I2367" s="246">
        <v>0.5</v>
      </c>
      <c r="J2367" s="246">
        <v>0.666666666666667</v>
      </c>
      <c r="K2367" s="246">
        <v>0.285714285714286</v>
      </c>
      <c r="L2367" s="246">
        <v>0</v>
      </c>
      <c r="M2367" s="246">
        <v>0</v>
      </c>
      <c r="N2367" s="246">
        <v>0.5</v>
      </c>
      <c r="O2367" s="255">
        <v>0</v>
      </c>
    </row>
    <row r="2368" spans="1:15">
      <c r="A2368" s="240" t="s">
        <v>70</v>
      </c>
      <c r="B2368" s="47" t="s">
        <v>55</v>
      </c>
      <c r="C2368" s="12">
        <v>0.894477317554241</v>
      </c>
      <c r="D2368" s="241">
        <v>0.914590747330961</v>
      </c>
      <c r="E2368" s="241">
        <v>0.929824561403509</v>
      </c>
      <c r="F2368" s="241">
        <v>0.905263157894737</v>
      </c>
      <c r="G2368" s="241">
        <v>0.88785046728972</v>
      </c>
      <c r="H2368" s="241">
        <v>0.919431279620853</v>
      </c>
      <c r="I2368" s="241">
        <v>0.895131086142322</v>
      </c>
      <c r="J2368" s="241">
        <v>0.937254901960784</v>
      </c>
      <c r="K2368" s="241">
        <v>0.874213836477987</v>
      </c>
      <c r="L2368" s="241">
        <v>0.888888888888889</v>
      </c>
      <c r="M2368" s="241">
        <v>0.880503144654088</v>
      </c>
      <c r="N2368" s="241">
        <v>0.863760217983651</v>
      </c>
      <c r="O2368" s="252">
        <v>0.888361045130641</v>
      </c>
    </row>
    <row r="2369" spans="1:15">
      <c r="A2369" s="242" t="s">
        <v>70</v>
      </c>
      <c r="B2369" s="43" t="s">
        <v>57</v>
      </c>
      <c r="C2369" s="15">
        <v>3042</v>
      </c>
      <c r="D2369" s="243">
        <v>281</v>
      </c>
      <c r="E2369" s="243">
        <v>114</v>
      </c>
      <c r="F2369" s="243">
        <v>95</v>
      </c>
      <c r="G2369" s="243">
        <v>107</v>
      </c>
      <c r="H2369" s="243">
        <v>211</v>
      </c>
      <c r="I2369" s="243">
        <v>267</v>
      </c>
      <c r="J2369" s="243">
        <v>255</v>
      </c>
      <c r="K2369" s="243">
        <v>318</v>
      </c>
      <c r="L2369" s="243">
        <v>288</v>
      </c>
      <c r="M2369" s="243">
        <v>318</v>
      </c>
      <c r="N2369" s="243">
        <v>367</v>
      </c>
      <c r="O2369" s="253">
        <v>421</v>
      </c>
    </row>
    <row r="2370" spans="1:15">
      <c r="A2370" s="240" t="s">
        <v>70</v>
      </c>
      <c r="B2370" s="47" t="s">
        <v>59</v>
      </c>
      <c r="C2370" s="15">
        <v>2721</v>
      </c>
      <c r="D2370" s="243">
        <v>257</v>
      </c>
      <c r="E2370" s="243">
        <v>106</v>
      </c>
      <c r="F2370" s="243">
        <v>86</v>
      </c>
      <c r="G2370" s="243">
        <v>95</v>
      </c>
      <c r="H2370" s="243">
        <v>194</v>
      </c>
      <c r="I2370" s="243">
        <v>239</v>
      </c>
      <c r="J2370" s="243">
        <v>239</v>
      </c>
      <c r="K2370" s="243">
        <v>278</v>
      </c>
      <c r="L2370" s="243">
        <v>256</v>
      </c>
      <c r="M2370" s="243">
        <v>280</v>
      </c>
      <c r="N2370" s="243">
        <v>317</v>
      </c>
      <c r="O2370" s="253">
        <v>374</v>
      </c>
    </row>
    <row r="2371" spans="1:15">
      <c r="A2371" s="242" t="s">
        <v>70</v>
      </c>
      <c r="B2371" s="43" t="s">
        <v>4</v>
      </c>
      <c r="C2371" s="15">
        <v>104</v>
      </c>
      <c r="D2371" s="244">
        <v>10</v>
      </c>
      <c r="E2371" s="244">
        <v>8</v>
      </c>
      <c r="F2371" s="244">
        <v>9</v>
      </c>
      <c r="G2371" s="244">
        <v>2</v>
      </c>
      <c r="H2371" s="244">
        <v>3</v>
      </c>
      <c r="I2371" s="244">
        <v>10</v>
      </c>
      <c r="J2371" s="244">
        <v>13</v>
      </c>
      <c r="K2371" s="244">
        <v>9</v>
      </c>
      <c r="L2371" s="244">
        <v>6</v>
      </c>
      <c r="M2371" s="244">
        <v>10</v>
      </c>
      <c r="N2371" s="244">
        <v>14</v>
      </c>
      <c r="O2371" s="254">
        <v>10</v>
      </c>
    </row>
    <row r="2372" spans="1:15">
      <c r="A2372" s="240" t="s">
        <v>70</v>
      </c>
      <c r="B2372" s="47" t="s">
        <v>5</v>
      </c>
      <c r="C2372" s="12">
        <v>0.0382212421903712</v>
      </c>
      <c r="D2372" s="241">
        <v>0.0389105058365759</v>
      </c>
      <c r="E2372" s="241">
        <v>0.0754716981132075</v>
      </c>
      <c r="F2372" s="241">
        <v>0.104651162790698</v>
      </c>
      <c r="G2372" s="241">
        <v>0.0210526315789474</v>
      </c>
      <c r="H2372" s="241">
        <v>0.0154639175257732</v>
      </c>
      <c r="I2372" s="241">
        <v>0.0418410041841004</v>
      </c>
      <c r="J2372" s="241">
        <v>0.0543933054393305</v>
      </c>
      <c r="K2372" s="241">
        <v>0.0323741007194245</v>
      </c>
      <c r="L2372" s="241">
        <v>0.0234375</v>
      </c>
      <c r="M2372" s="241">
        <v>0.0357142857142857</v>
      </c>
      <c r="N2372" s="241">
        <v>0.0441640378548896</v>
      </c>
      <c r="O2372" s="252">
        <v>0.0267379679144385</v>
      </c>
    </row>
    <row r="2373" spans="1:15">
      <c r="A2373" s="242" t="s">
        <v>70</v>
      </c>
      <c r="B2373" s="43" t="s">
        <v>6</v>
      </c>
      <c r="C2373" s="15">
        <v>30</v>
      </c>
      <c r="D2373" s="244">
        <v>4</v>
      </c>
      <c r="E2373" s="244">
        <v>4</v>
      </c>
      <c r="F2373" s="244">
        <v>0</v>
      </c>
      <c r="G2373" s="244">
        <v>0</v>
      </c>
      <c r="H2373" s="244">
        <v>3</v>
      </c>
      <c r="I2373" s="244">
        <v>1</v>
      </c>
      <c r="J2373" s="244">
        <v>6</v>
      </c>
      <c r="K2373" s="244">
        <v>1</v>
      </c>
      <c r="L2373" s="244">
        <v>2</v>
      </c>
      <c r="M2373" s="244">
        <v>1</v>
      </c>
      <c r="N2373" s="244">
        <v>8</v>
      </c>
      <c r="O2373" s="254">
        <v>0</v>
      </c>
    </row>
    <row r="2374" ht="14.25" spans="1:15">
      <c r="A2374" s="245" t="s">
        <v>70</v>
      </c>
      <c r="B2374" s="52" t="s">
        <v>64</v>
      </c>
      <c r="C2374" s="19">
        <v>0.288461538461538</v>
      </c>
      <c r="D2374" s="246">
        <v>0.4</v>
      </c>
      <c r="E2374" s="246">
        <v>0.5</v>
      </c>
      <c r="F2374" s="246">
        <v>0</v>
      </c>
      <c r="G2374" s="246">
        <v>0</v>
      </c>
      <c r="H2374" s="246">
        <v>1</v>
      </c>
      <c r="I2374" s="246">
        <v>0.1</v>
      </c>
      <c r="J2374" s="246">
        <v>0.461538461538462</v>
      </c>
      <c r="K2374" s="246">
        <v>0.111111111111111</v>
      </c>
      <c r="L2374" s="246">
        <v>0.333333333333333</v>
      </c>
      <c r="M2374" s="246">
        <v>0.1</v>
      </c>
      <c r="N2374" s="246">
        <v>0.571428571428571</v>
      </c>
      <c r="O2374" s="255">
        <v>0</v>
      </c>
    </row>
    <row r="2375" spans="1:15">
      <c r="A2375" s="240" t="s">
        <v>26</v>
      </c>
      <c r="B2375" s="47" t="s">
        <v>55</v>
      </c>
      <c r="C2375" s="12">
        <v>0.605642834241744</v>
      </c>
      <c r="D2375" s="241">
        <v>0.545045045045045</v>
      </c>
      <c r="E2375" s="241">
        <v>0.523510971786834</v>
      </c>
      <c r="F2375" s="241">
        <v>0.58421052631579</v>
      </c>
      <c r="G2375" s="241">
        <v>0.581967213114754</v>
      </c>
      <c r="H2375" s="241">
        <v>0.643939393939394</v>
      </c>
      <c r="I2375" s="241">
        <v>0.618055555555556</v>
      </c>
      <c r="J2375" s="241">
        <v>0.617647058823529</v>
      </c>
      <c r="K2375" s="241">
        <v>0.65530303030303</v>
      </c>
      <c r="L2375" s="241">
        <v>0.609375</v>
      </c>
      <c r="M2375" s="241">
        <v>0.623015873015873</v>
      </c>
      <c r="N2375" s="241">
        <v>0.659574468085106</v>
      </c>
      <c r="O2375" s="252">
        <v>0.661971830985915</v>
      </c>
    </row>
    <row r="2376" spans="1:15">
      <c r="A2376" s="242" t="s">
        <v>26</v>
      </c>
      <c r="B2376" s="43" t="s">
        <v>57</v>
      </c>
      <c r="C2376" s="15">
        <v>3119</v>
      </c>
      <c r="D2376" s="243">
        <v>444</v>
      </c>
      <c r="E2376" s="243">
        <v>319</v>
      </c>
      <c r="F2376" s="243">
        <v>190</v>
      </c>
      <c r="G2376" s="243">
        <v>122</v>
      </c>
      <c r="H2376" s="243">
        <v>264</v>
      </c>
      <c r="I2376" s="243">
        <v>288</v>
      </c>
      <c r="J2376" s="243">
        <v>272</v>
      </c>
      <c r="K2376" s="243">
        <v>264</v>
      </c>
      <c r="L2376" s="243">
        <v>256</v>
      </c>
      <c r="M2376" s="243">
        <v>252</v>
      </c>
      <c r="N2376" s="243">
        <v>235</v>
      </c>
      <c r="O2376" s="253">
        <v>213</v>
      </c>
    </row>
    <row r="2377" spans="1:15">
      <c r="A2377" s="240" t="s">
        <v>26</v>
      </c>
      <c r="B2377" s="47" t="s">
        <v>59</v>
      </c>
      <c r="C2377" s="15">
        <v>1889</v>
      </c>
      <c r="D2377" s="243">
        <v>242</v>
      </c>
      <c r="E2377" s="243">
        <v>167</v>
      </c>
      <c r="F2377" s="243">
        <v>111</v>
      </c>
      <c r="G2377" s="243">
        <v>71</v>
      </c>
      <c r="H2377" s="243">
        <v>170</v>
      </c>
      <c r="I2377" s="243">
        <v>178</v>
      </c>
      <c r="J2377" s="243">
        <v>168</v>
      </c>
      <c r="K2377" s="243">
        <v>173</v>
      </c>
      <c r="L2377" s="243">
        <v>156</v>
      </c>
      <c r="M2377" s="243">
        <v>157</v>
      </c>
      <c r="N2377" s="243">
        <v>155</v>
      </c>
      <c r="O2377" s="253">
        <v>141</v>
      </c>
    </row>
    <row r="2378" spans="1:15">
      <c r="A2378" s="242" t="s">
        <v>26</v>
      </c>
      <c r="B2378" s="43" t="s">
        <v>4</v>
      </c>
      <c r="C2378" s="15">
        <v>20</v>
      </c>
      <c r="D2378" s="244">
        <v>4</v>
      </c>
      <c r="E2378" s="244">
        <v>0</v>
      </c>
      <c r="F2378" s="244">
        <v>0</v>
      </c>
      <c r="G2378" s="244">
        <v>1</v>
      </c>
      <c r="H2378" s="244">
        <v>0</v>
      </c>
      <c r="I2378" s="244">
        <v>0</v>
      </c>
      <c r="J2378" s="244">
        <v>4</v>
      </c>
      <c r="K2378" s="244">
        <v>2</v>
      </c>
      <c r="L2378" s="244">
        <v>0</v>
      </c>
      <c r="M2378" s="244">
        <v>2</v>
      </c>
      <c r="N2378" s="244">
        <v>4</v>
      </c>
      <c r="O2378" s="254">
        <v>3</v>
      </c>
    </row>
    <row r="2379" spans="1:15">
      <c r="A2379" s="240" t="s">
        <v>26</v>
      </c>
      <c r="B2379" s="47" t="s">
        <v>5</v>
      </c>
      <c r="C2379" s="12">
        <v>0.0105876124933827</v>
      </c>
      <c r="D2379" s="241">
        <v>0.0165289256198347</v>
      </c>
      <c r="E2379" s="241">
        <v>0</v>
      </c>
      <c r="F2379" s="241">
        <v>0</v>
      </c>
      <c r="G2379" s="241">
        <v>0.0140845070422535</v>
      </c>
      <c r="H2379" s="241">
        <v>0</v>
      </c>
      <c r="I2379" s="241">
        <v>0</v>
      </c>
      <c r="J2379" s="241">
        <v>0.0238095238095238</v>
      </c>
      <c r="K2379" s="241">
        <v>0.0115606936416185</v>
      </c>
      <c r="L2379" s="241">
        <v>0</v>
      </c>
      <c r="M2379" s="241">
        <v>0.0127388535031847</v>
      </c>
      <c r="N2379" s="241">
        <v>0.0258064516129032</v>
      </c>
      <c r="O2379" s="252">
        <v>0.0212765957446809</v>
      </c>
    </row>
    <row r="2380" spans="1:15">
      <c r="A2380" s="242" t="s">
        <v>26</v>
      </c>
      <c r="B2380" s="43" t="s">
        <v>6</v>
      </c>
      <c r="C2380" s="15">
        <v>5</v>
      </c>
      <c r="D2380" s="244">
        <v>0</v>
      </c>
      <c r="E2380" s="244">
        <v>2</v>
      </c>
      <c r="F2380" s="244">
        <v>0</v>
      </c>
      <c r="G2380" s="244">
        <v>0</v>
      </c>
      <c r="H2380" s="244">
        <v>0</v>
      </c>
      <c r="I2380" s="244">
        <v>0</v>
      </c>
      <c r="J2380" s="244">
        <v>1</v>
      </c>
      <c r="K2380" s="244">
        <v>0</v>
      </c>
      <c r="L2380" s="244">
        <v>0</v>
      </c>
      <c r="M2380" s="244">
        <v>0</v>
      </c>
      <c r="N2380" s="244">
        <v>1</v>
      </c>
      <c r="O2380" s="254">
        <v>1</v>
      </c>
    </row>
    <row r="2381" ht="14.25" spans="1:15">
      <c r="A2381" s="245" t="s">
        <v>26</v>
      </c>
      <c r="B2381" s="52" t="s">
        <v>64</v>
      </c>
      <c r="C2381" s="19">
        <v>0.25</v>
      </c>
      <c r="D2381" s="19">
        <v>0</v>
      </c>
      <c r="E2381" s="19" t="e">
        <v>#DIV/0!</v>
      </c>
      <c r="F2381" s="19" t="e">
        <v>#DIV/0!</v>
      </c>
      <c r="G2381" s="19">
        <v>0</v>
      </c>
      <c r="H2381" s="19" t="e">
        <v>#DIV/0!</v>
      </c>
      <c r="I2381" s="19" t="e">
        <v>#DIV/0!</v>
      </c>
      <c r="J2381" s="19">
        <v>0.25</v>
      </c>
      <c r="K2381" s="19">
        <v>0</v>
      </c>
      <c r="L2381" s="19" t="e">
        <v>#DIV/0!</v>
      </c>
      <c r="M2381" s="19">
        <v>0</v>
      </c>
      <c r="N2381" s="19">
        <v>0.25</v>
      </c>
      <c r="O2381" s="19">
        <v>0.333333333333333</v>
      </c>
    </row>
    <row r="2382" spans="1:15">
      <c r="A2382" s="240" t="s">
        <v>71</v>
      </c>
      <c r="B2382" s="47" t="s">
        <v>55</v>
      </c>
      <c r="C2382" s="12">
        <v>16</v>
      </c>
      <c r="D2382" s="241" t="e">
        <v>#DIV/0!</v>
      </c>
      <c r="E2382" s="241" t="e">
        <v>#DIV/0!</v>
      </c>
      <c r="F2382" s="241" t="e">
        <v>#DIV/0!</v>
      </c>
      <c r="G2382" s="241" t="e">
        <v>#DIV/0!</v>
      </c>
      <c r="H2382" s="241" t="e">
        <v>#DIV/0!</v>
      </c>
      <c r="I2382" s="241">
        <v>2</v>
      </c>
      <c r="J2382" s="241" t="e">
        <v>#DIV/0!</v>
      </c>
      <c r="K2382" s="241" t="e">
        <v>#DIV/0!</v>
      </c>
      <c r="L2382" s="241" t="e">
        <v>#DIV/0!</v>
      </c>
      <c r="M2382" s="241" t="e">
        <v>#DIV/0!</v>
      </c>
      <c r="N2382" s="241" t="e">
        <v>#DIV/0!</v>
      </c>
      <c r="O2382" s="252" t="e">
        <v>#DIV/0!</v>
      </c>
    </row>
    <row r="2383" spans="1:15">
      <c r="A2383" s="242" t="s">
        <v>71</v>
      </c>
      <c r="B2383" s="43" t="s">
        <v>57</v>
      </c>
      <c r="C2383" s="15">
        <v>1</v>
      </c>
      <c r="D2383" s="243">
        <v>0</v>
      </c>
      <c r="E2383" s="243">
        <v>0</v>
      </c>
      <c r="F2383" s="243">
        <v>0</v>
      </c>
      <c r="G2383" s="243">
        <v>0</v>
      </c>
      <c r="H2383" s="243">
        <v>0</v>
      </c>
      <c r="I2383" s="243">
        <v>1</v>
      </c>
      <c r="J2383" s="243">
        <v>0</v>
      </c>
      <c r="K2383" s="243">
        <v>0</v>
      </c>
      <c r="L2383" s="243">
        <v>0</v>
      </c>
      <c r="M2383" s="243">
        <v>0</v>
      </c>
      <c r="N2383" s="243">
        <v>0</v>
      </c>
      <c r="O2383" s="253">
        <v>0</v>
      </c>
    </row>
    <row r="2384" spans="1:15">
      <c r="A2384" s="240" t="s">
        <v>71</v>
      </c>
      <c r="B2384" s="47" t="s">
        <v>59</v>
      </c>
      <c r="C2384" s="15">
        <v>16</v>
      </c>
      <c r="D2384" s="243">
        <v>0</v>
      </c>
      <c r="E2384" s="243">
        <v>0</v>
      </c>
      <c r="F2384" s="243">
        <v>0</v>
      </c>
      <c r="G2384" s="243">
        <v>0</v>
      </c>
      <c r="H2384" s="243">
        <v>3</v>
      </c>
      <c r="I2384" s="243">
        <v>2</v>
      </c>
      <c r="J2384" s="243">
        <v>2</v>
      </c>
      <c r="K2384" s="243">
        <v>0</v>
      </c>
      <c r="L2384" s="243">
        <v>1</v>
      </c>
      <c r="M2384" s="243">
        <v>6</v>
      </c>
      <c r="N2384" s="243">
        <v>0</v>
      </c>
      <c r="O2384" s="253">
        <v>2</v>
      </c>
    </row>
    <row r="2385" spans="1:15">
      <c r="A2385" s="242" t="s">
        <v>71</v>
      </c>
      <c r="B2385" s="43" t="s">
        <v>4</v>
      </c>
      <c r="C2385" s="15">
        <v>41</v>
      </c>
      <c r="D2385" s="244">
        <v>4</v>
      </c>
      <c r="E2385" s="244">
        <v>1</v>
      </c>
      <c r="F2385" s="244">
        <v>1</v>
      </c>
      <c r="G2385" s="244">
        <v>0</v>
      </c>
      <c r="H2385" s="244">
        <v>1</v>
      </c>
      <c r="I2385" s="244">
        <v>6</v>
      </c>
      <c r="J2385" s="244">
        <v>4</v>
      </c>
      <c r="K2385" s="244">
        <v>7</v>
      </c>
      <c r="L2385" s="244">
        <v>0</v>
      </c>
      <c r="M2385" s="244">
        <v>4</v>
      </c>
      <c r="N2385" s="244">
        <v>10</v>
      </c>
      <c r="O2385" s="254">
        <v>3</v>
      </c>
    </row>
    <row r="2386" spans="1:15">
      <c r="A2386" s="240" t="s">
        <v>71</v>
      </c>
      <c r="B2386" s="47" t="s">
        <v>5</v>
      </c>
      <c r="C2386" s="241">
        <v>2.5625</v>
      </c>
      <c r="D2386" s="241">
        <v>0</v>
      </c>
      <c r="E2386" s="241">
        <v>0</v>
      </c>
      <c r="F2386" s="241">
        <v>0</v>
      </c>
      <c r="G2386" s="241">
        <v>0</v>
      </c>
      <c r="H2386" s="241">
        <v>0.333333333333333</v>
      </c>
      <c r="I2386" s="241">
        <v>3</v>
      </c>
      <c r="J2386" s="241">
        <v>2</v>
      </c>
      <c r="K2386" s="241">
        <v>0</v>
      </c>
      <c r="L2386" s="241">
        <v>0</v>
      </c>
      <c r="M2386" s="241">
        <v>0.666666666666667</v>
      </c>
      <c r="N2386" s="241">
        <v>0</v>
      </c>
      <c r="O2386" s="252">
        <v>1.5</v>
      </c>
    </row>
    <row r="2387" spans="1:15">
      <c r="A2387" s="242" t="s">
        <v>71</v>
      </c>
      <c r="B2387" s="43" t="s">
        <v>6</v>
      </c>
      <c r="C2387" s="15">
        <v>8</v>
      </c>
      <c r="D2387" s="244">
        <v>1</v>
      </c>
      <c r="E2387" s="244">
        <v>0</v>
      </c>
      <c r="F2387" s="244">
        <v>1</v>
      </c>
      <c r="G2387" s="244">
        <v>0</v>
      </c>
      <c r="H2387" s="244">
        <v>0</v>
      </c>
      <c r="I2387" s="244">
        <v>1</v>
      </c>
      <c r="J2387" s="244">
        <v>0</v>
      </c>
      <c r="K2387" s="244">
        <v>3</v>
      </c>
      <c r="L2387" s="244">
        <v>0</v>
      </c>
      <c r="M2387" s="244">
        <v>0</v>
      </c>
      <c r="N2387" s="244">
        <v>1</v>
      </c>
      <c r="O2387" s="254">
        <v>1</v>
      </c>
    </row>
    <row r="2388" ht="14.25" spans="1:15">
      <c r="A2388" s="245" t="s">
        <v>71</v>
      </c>
      <c r="B2388" s="52" t="s">
        <v>64</v>
      </c>
      <c r="C2388" s="19">
        <v>0.195121951219512</v>
      </c>
      <c r="D2388" s="19">
        <v>0.25</v>
      </c>
      <c r="E2388" s="19">
        <v>0</v>
      </c>
      <c r="F2388" s="19">
        <v>1</v>
      </c>
      <c r="G2388" s="19" t="e">
        <v>#DIV/0!</v>
      </c>
      <c r="H2388" s="19">
        <v>0</v>
      </c>
      <c r="I2388" s="19">
        <v>0.166666666666667</v>
      </c>
      <c r="J2388" s="19">
        <v>0</v>
      </c>
      <c r="K2388" s="19">
        <v>0.428571428571429</v>
      </c>
      <c r="L2388" s="19" t="e">
        <v>#DIV/0!</v>
      </c>
      <c r="M2388" s="19">
        <v>0</v>
      </c>
      <c r="N2388" s="19">
        <v>0.1</v>
      </c>
      <c r="O2388" s="19">
        <v>0.333333333333333</v>
      </c>
    </row>
    <row r="2389" spans="1:15">
      <c r="A2389" s="240" t="s">
        <v>72</v>
      </c>
      <c r="B2389" s="47" t="s">
        <v>55</v>
      </c>
      <c r="C2389" s="12">
        <v>0.434909670563231</v>
      </c>
      <c r="D2389" s="241">
        <v>0.368983957219251</v>
      </c>
      <c r="E2389" s="241">
        <v>0.373626373626374</v>
      </c>
      <c r="F2389" s="241">
        <v>0.472868217054264</v>
      </c>
      <c r="G2389" s="241">
        <v>0.464285714285714</v>
      </c>
      <c r="H2389" s="241">
        <v>0.340248962655602</v>
      </c>
      <c r="I2389" s="241">
        <v>0.350785340314136</v>
      </c>
      <c r="J2389" s="241">
        <v>0.419243986254296</v>
      </c>
      <c r="K2389" s="241">
        <v>0.401617250673854</v>
      </c>
      <c r="L2389" s="241">
        <v>0.405405405405405</v>
      </c>
      <c r="M2389" s="241">
        <v>0.508474576271186</v>
      </c>
      <c r="N2389" s="241">
        <v>0.547344110854504</v>
      </c>
      <c r="O2389" s="252">
        <v>0.505030181086519</v>
      </c>
    </row>
    <row r="2390" spans="1:15">
      <c r="A2390" s="242" t="s">
        <v>72</v>
      </c>
      <c r="B2390" s="43" t="s">
        <v>57</v>
      </c>
      <c r="C2390" s="15">
        <v>3764</v>
      </c>
      <c r="D2390" s="243">
        <v>374</v>
      </c>
      <c r="E2390" s="243">
        <v>182</v>
      </c>
      <c r="F2390" s="243">
        <v>129</v>
      </c>
      <c r="G2390" s="243">
        <v>140</v>
      </c>
      <c r="H2390" s="243">
        <v>241</v>
      </c>
      <c r="I2390" s="243">
        <v>382</v>
      </c>
      <c r="J2390" s="243">
        <v>291</v>
      </c>
      <c r="K2390" s="243">
        <v>371</v>
      </c>
      <c r="L2390" s="243">
        <v>370</v>
      </c>
      <c r="M2390" s="243">
        <v>354</v>
      </c>
      <c r="N2390" s="243">
        <v>433</v>
      </c>
      <c r="O2390" s="253">
        <v>497</v>
      </c>
    </row>
    <row r="2391" spans="1:15">
      <c r="A2391" s="240" t="s">
        <v>72</v>
      </c>
      <c r="B2391" s="47" t="s">
        <v>59</v>
      </c>
      <c r="C2391" s="15">
        <v>1637</v>
      </c>
      <c r="D2391" s="243">
        <v>138</v>
      </c>
      <c r="E2391" s="243">
        <v>68</v>
      </c>
      <c r="F2391" s="243">
        <v>61</v>
      </c>
      <c r="G2391" s="243">
        <v>65</v>
      </c>
      <c r="H2391" s="243">
        <v>82</v>
      </c>
      <c r="I2391" s="243">
        <v>134</v>
      </c>
      <c r="J2391" s="243">
        <v>122</v>
      </c>
      <c r="K2391" s="243">
        <v>149</v>
      </c>
      <c r="L2391" s="243">
        <v>150</v>
      </c>
      <c r="M2391" s="243">
        <v>180</v>
      </c>
      <c r="N2391" s="243">
        <v>237</v>
      </c>
      <c r="O2391" s="253">
        <v>251</v>
      </c>
    </row>
    <row r="2392" spans="1:15">
      <c r="A2392" s="242" t="s">
        <v>72</v>
      </c>
      <c r="B2392" s="43" t="s">
        <v>4</v>
      </c>
      <c r="C2392" s="15">
        <v>62</v>
      </c>
      <c r="D2392" s="244">
        <v>7</v>
      </c>
      <c r="E2392" s="244">
        <v>3</v>
      </c>
      <c r="F2392" s="244">
        <v>3</v>
      </c>
      <c r="G2392" s="244">
        <v>6</v>
      </c>
      <c r="H2392" s="244">
        <v>2</v>
      </c>
      <c r="I2392" s="244">
        <v>5</v>
      </c>
      <c r="J2392" s="244">
        <v>5</v>
      </c>
      <c r="K2392" s="244">
        <v>11</v>
      </c>
      <c r="L2392" s="244">
        <v>2</v>
      </c>
      <c r="M2392" s="244">
        <v>6</v>
      </c>
      <c r="N2392" s="244">
        <v>5</v>
      </c>
      <c r="O2392" s="254">
        <v>7</v>
      </c>
    </row>
    <row r="2393" spans="1:15">
      <c r="A2393" s="240" t="s">
        <v>72</v>
      </c>
      <c r="B2393" s="47" t="s">
        <v>5</v>
      </c>
      <c r="C2393" s="12">
        <v>0.0378741600488699</v>
      </c>
      <c r="D2393" s="241">
        <v>0.0507246376811594</v>
      </c>
      <c r="E2393" s="241">
        <v>0.0441176470588235</v>
      </c>
      <c r="F2393" s="241">
        <v>0.0491803278688525</v>
      </c>
      <c r="G2393" s="241">
        <v>0.0923076923076923</v>
      </c>
      <c r="H2393" s="241">
        <v>0.024390243902439</v>
      </c>
      <c r="I2393" s="241">
        <v>0.0373134328358209</v>
      </c>
      <c r="J2393" s="241">
        <v>0.040983606557377</v>
      </c>
      <c r="K2393" s="241">
        <v>0.0738255033557047</v>
      </c>
      <c r="L2393" s="241">
        <v>0.0133333333333333</v>
      </c>
      <c r="M2393" s="241">
        <v>0.0333333333333333</v>
      </c>
      <c r="N2393" s="241">
        <v>0.0210970464135021</v>
      </c>
      <c r="O2393" s="252">
        <v>0.0278884462151394</v>
      </c>
    </row>
    <row r="2394" spans="1:15">
      <c r="A2394" s="242" t="s">
        <v>72</v>
      </c>
      <c r="B2394" s="43" t="s">
        <v>6</v>
      </c>
      <c r="C2394" s="15">
        <v>14</v>
      </c>
      <c r="D2394" s="244">
        <v>5</v>
      </c>
      <c r="E2394" s="244">
        <v>1</v>
      </c>
      <c r="F2394" s="244">
        <v>0</v>
      </c>
      <c r="G2394" s="244">
        <v>1</v>
      </c>
      <c r="H2394" s="244">
        <v>1</v>
      </c>
      <c r="I2394" s="244">
        <v>0</v>
      </c>
      <c r="J2394" s="244">
        <v>1</v>
      </c>
      <c r="K2394" s="244">
        <v>2</v>
      </c>
      <c r="L2394" s="244">
        <v>1</v>
      </c>
      <c r="M2394" s="244">
        <v>1</v>
      </c>
      <c r="N2394" s="244">
        <v>0</v>
      </c>
      <c r="O2394" s="254">
        <v>1</v>
      </c>
    </row>
    <row r="2395" ht="14.25" spans="1:15">
      <c r="A2395" s="245" t="s">
        <v>72</v>
      </c>
      <c r="B2395" s="52" t="s">
        <v>64</v>
      </c>
      <c r="C2395" s="19">
        <v>0.225806451612903</v>
      </c>
      <c r="D2395" s="19">
        <v>0.714285714285714</v>
      </c>
      <c r="E2395" s="19">
        <v>0.333333333333333</v>
      </c>
      <c r="F2395" s="19">
        <v>0</v>
      </c>
      <c r="G2395" s="19">
        <v>0.166666666666667</v>
      </c>
      <c r="H2395" s="19">
        <v>0.5</v>
      </c>
      <c r="I2395" s="19">
        <v>0</v>
      </c>
      <c r="J2395" s="19">
        <v>0.2</v>
      </c>
      <c r="K2395" s="19">
        <v>0.181818181818182</v>
      </c>
      <c r="L2395" s="19">
        <v>0.5</v>
      </c>
      <c r="M2395" s="19">
        <v>0.166666666666667</v>
      </c>
      <c r="N2395" s="19">
        <v>0</v>
      </c>
      <c r="O2395" s="19">
        <v>0.142857142857143</v>
      </c>
    </row>
    <row r="2396" ht="14.25" spans="1:15">
      <c r="A2396" s="237">
        <v>45056</v>
      </c>
      <c r="B2396" s="237"/>
      <c r="C2396" s="237"/>
      <c r="D2396" s="237"/>
      <c r="E2396" s="237"/>
      <c r="F2396" s="237"/>
      <c r="G2396" s="237"/>
      <c r="H2396" s="237"/>
      <c r="I2396" s="237"/>
      <c r="J2396" s="237"/>
      <c r="K2396" s="237"/>
      <c r="L2396" s="237"/>
      <c r="M2396" s="237"/>
      <c r="N2396" s="237"/>
      <c r="O2396" s="237"/>
    </row>
    <row r="2397" spans="1:15">
      <c r="A2397" s="56" t="s">
        <v>1</v>
      </c>
      <c r="B2397" s="238"/>
      <c r="C2397" s="8" t="s">
        <v>42</v>
      </c>
      <c r="D2397" s="239" t="s">
        <v>43</v>
      </c>
      <c r="E2397" s="239" t="s">
        <v>44</v>
      </c>
      <c r="F2397" s="239" t="s">
        <v>45</v>
      </c>
      <c r="G2397" s="239" t="s">
        <v>46</v>
      </c>
      <c r="H2397" s="239" t="s">
        <v>47</v>
      </c>
      <c r="I2397" s="239" t="s">
        <v>48</v>
      </c>
      <c r="J2397" s="239" t="s">
        <v>49</v>
      </c>
      <c r="K2397" s="239" t="s">
        <v>50</v>
      </c>
      <c r="L2397" s="239" t="s">
        <v>51</v>
      </c>
      <c r="M2397" s="239" t="s">
        <v>52</v>
      </c>
      <c r="N2397" s="239" t="s">
        <v>53</v>
      </c>
      <c r="O2397" s="251" t="s">
        <v>54</v>
      </c>
    </row>
    <row r="2398" spans="1:15">
      <c r="A2398" s="240" t="s">
        <v>22</v>
      </c>
      <c r="B2398" s="47" t="s">
        <v>55</v>
      </c>
      <c r="C2398" s="12">
        <v>0.473036896877956</v>
      </c>
      <c r="D2398" s="241">
        <v>0.548523206751055</v>
      </c>
      <c r="E2398" s="241">
        <v>0.435714285714286</v>
      </c>
      <c r="F2398" s="241">
        <v>0.4</v>
      </c>
      <c r="G2398" s="241">
        <v>0.580357142857143</v>
      </c>
      <c r="H2398" s="241">
        <v>0.522012578616352</v>
      </c>
      <c r="I2398" s="241">
        <v>0.549668874172185</v>
      </c>
      <c r="J2398" s="241">
        <v>0.428571428571429</v>
      </c>
      <c r="K2398" s="241">
        <v>0.509615384615385</v>
      </c>
      <c r="L2398" s="241">
        <v>0.414141414141414</v>
      </c>
      <c r="M2398" s="241">
        <v>0.459302325581395</v>
      </c>
      <c r="N2398" s="241">
        <v>0.44758064516129</v>
      </c>
      <c r="O2398" s="252">
        <v>0.396551724137931</v>
      </c>
    </row>
    <row r="2399" spans="1:15">
      <c r="A2399" s="242" t="s">
        <v>22</v>
      </c>
      <c r="B2399" s="43" t="s">
        <v>57</v>
      </c>
      <c r="C2399" s="15">
        <v>2114</v>
      </c>
      <c r="D2399" s="243">
        <v>237</v>
      </c>
      <c r="E2399" s="243">
        <v>140</v>
      </c>
      <c r="F2399" s="243">
        <v>75</v>
      </c>
      <c r="G2399" s="243">
        <v>112</v>
      </c>
      <c r="H2399" s="243">
        <v>159</v>
      </c>
      <c r="I2399" s="243">
        <v>151</v>
      </c>
      <c r="J2399" s="243">
        <v>182</v>
      </c>
      <c r="K2399" s="243">
        <v>208</v>
      </c>
      <c r="L2399" s="243">
        <v>198</v>
      </c>
      <c r="M2399" s="243">
        <v>172</v>
      </c>
      <c r="N2399" s="243">
        <v>248</v>
      </c>
      <c r="O2399" s="253">
        <v>232</v>
      </c>
    </row>
    <row r="2400" spans="1:15">
      <c r="A2400" s="240" t="s">
        <v>22</v>
      </c>
      <c r="B2400" s="47" t="s">
        <v>59</v>
      </c>
      <c r="C2400" s="15">
        <v>1000</v>
      </c>
      <c r="D2400" s="243">
        <v>130</v>
      </c>
      <c r="E2400" s="243">
        <v>61</v>
      </c>
      <c r="F2400" s="243">
        <v>30</v>
      </c>
      <c r="G2400" s="243">
        <v>65</v>
      </c>
      <c r="H2400" s="243">
        <v>83</v>
      </c>
      <c r="I2400" s="243">
        <v>83</v>
      </c>
      <c r="J2400" s="243">
        <v>78</v>
      </c>
      <c r="K2400" s="243">
        <v>106</v>
      </c>
      <c r="L2400" s="243">
        <v>82</v>
      </c>
      <c r="M2400" s="243">
        <v>79</v>
      </c>
      <c r="N2400" s="243">
        <v>111</v>
      </c>
      <c r="O2400" s="253">
        <v>92</v>
      </c>
    </row>
    <row r="2401" spans="1:15">
      <c r="A2401" s="242" t="s">
        <v>22</v>
      </c>
      <c r="B2401" s="43" t="s">
        <v>4</v>
      </c>
      <c r="C2401" s="15">
        <v>71</v>
      </c>
      <c r="D2401" s="244">
        <v>8</v>
      </c>
      <c r="E2401" s="244">
        <v>6</v>
      </c>
      <c r="F2401" s="244">
        <v>4</v>
      </c>
      <c r="G2401" s="244">
        <v>6</v>
      </c>
      <c r="H2401" s="244">
        <v>5</v>
      </c>
      <c r="I2401" s="244">
        <v>4</v>
      </c>
      <c r="J2401" s="244">
        <v>4</v>
      </c>
      <c r="K2401" s="244">
        <v>7</v>
      </c>
      <c r="L2401" s="244">
        <v>3</v>
      </c>
      <c r="M2401" s="244">
        <v>7</v>
      </c>
      <c r="N2401" s="244">
        <v>10</v>
      </c>
      <c r="O2401" s="254">
        <v>7</v>
      </c>
    </row>
    <row r="2402" spans="1:15">
      <c r="A2402" s="240" t="s">
        <v>22</v>
      </c>
      <c r="B2402" s="47" t="s">
        <v>5</v>
      </c>
      <c r="C2402" s="12">
        <v>0.071</v>
      </c>
      <c r="D2402" s="241">
        <v>0.0615384615384615</v>
      </c>
      <c r="E2402" s="241">
        <v>0.0983606557377049</v>
      </c>
      <c r="F2402" s="241">
        <v>0.133333333333333</v>
      </c>
      <c r="G2402" s="241">
        <v>0.0923076923076923</v>
      </c>
      <c r="H2402" s="241">
        <v>0.0602409638554217</v>
      </c>
      <c r="I2402" s="241">
        <v>0.0481927710843374</v>
      </c>
      <c r="J2402" s="241">
        <v>0.0512820512820513</v>
      </c>
      <c r="K2402" s="241">
        <v>0.0660377358490566</v>
      </c>
      <c r="L2402" s="241">
        <v>0.0365853658536585</v>
      </c>
      <c r="M2402" s="241">
        <v>0.0886075949367089</v>
      </c>
      <c r="N2402" s="241">
        <v>0.0900900900900901</v>
      </c>
      <c r="O2402" s="252">
        <v>0.0760869565217391</v>
      </c>
    </row>
    <row r="2403" spans="1:15">
      <c r="A2403" s="242" t="s">
        <v>22</v>
      </c>
      <c r="B2403" s="43" t="s">
        <v>6</v>
      </c>
      <c r="C2403" s="15">
        <v>24</v>
      </c>
      <c r="D2403" s="244">
        <v>2</v>
      </c>
      <c r="E2403" s="244">
        <v>3</v>
      </c>
      <c r="F2403" s="244">
        <v>0</v>
      </c>
      <c r="G2403" s="244">
        <v>1</v>
      </c>
      <c r="H2403" s="244">
        <v>3</v>
      </c>
      <c r="I2403" s="244">
        <v>0</v>
      </c>
      <c r="J2403" s="244">
        <v>1</v>
      </c>
      <c r="K2403" s="244">
        <v>4</v>
      </c>
      <c r="L2403" s="244">
        <v>1</v>
      </c>
      <c r="M2403" s="244">
        <v>4</v>
      </c>
      <c r="N2403" s="244">
        <v>4</v>
      </c>
      <c r="O2403" s="254">
        <v>1</v>
      </c>
    </row>
    <row r="2404" ht="14.25" spans="1:15">
      <c r="A2404" s="245" t="s">
        <v>22</v>
      </c>
      <c r="B2404" s="52" t="s">
        <v>64</v>
      </c>
      <c r="C2404" s="19">
        <v>0.338028169014085</v>
      </c>
      <c r="D2404" s="246">
        <v>0.25</v>
      </c>
      <c r="E2404" s="246">
        <v>0.5</v>
      </c>
      <c r="F2404" s="246">
        <v>0</v>
      </c>
      <c r="G2404" s="246">
        <v>0.166666666666667</v>
      </c>
      <c r="H2404" s="246">
        <v>0.6</v>
      </c>
      <c r="I2404" s="246">
        <v>0</v>
      </c>
      <c r="J2404" s="246">
        <v>0.25</v>
      </c>
      <c r="K2404" s="246">
        <v>0.571428571428571</v>
      </c>
      <c r="L2404" s="246">
        <v>0.333333333333333</v>
      </c>
      <c r="M2404" s="246">
        <v>0.571428571428571</v>
      </c>
      <c r="N2404" s="246">
        <v>0.4</v>
      </c>
      <c r="O2404" s="255">
        <v>0.142857142857143</v>
      </c>
    </row>
    <row r="2405" spans="1:15">
      <c r="A2405" s="247" t="s">
        <v>66</v>
      </c>
      <c r="B2405" s="248" t="s">
        <v>55</v>
      </c>
      <c r="C2405" s="12">
        <v>0.119511090991399</v>
      </c>
      <c r="D2405" s="249">
        <v>0.0968660968660969</v>
      </c>
      <c r="E2405" s="249">
        <v>0.032520325203252</v>
      </c>
      <c r="F2405" s="249">
        <v>0.0395256916996047</v>
      </c>
      <c r="G2405" s="249">
        <v>0.0974358974358974</v>
      </c>
      <c r="H2405" s="249">
        <v>0.150753768844221</v>
      </c>
      <c r="I2405" s="249">
        <v>0.152777777777778</v>
      </c>
      <c r="J2405" s="249">
        <v>0.120567375886525</v>
      </c>
      <c r="K2405" s="249">
        <v>0.133333333333333</v>
      </c>
      <c r="L2405" s="249">
        <v>0.0891089108910891</v>
      </c>
      <c r="M2405" s="249">
        <v>0.352941176470588</v>
      </c>
      <c r="N2405" s="249">
        <v>0.234234234234234</v>
      </c>
      <c r="O2405" s="256">
        <v>0.278571428571429</v>
      </c>
    </row>
    <row r="2406" spans="1:15">
      <c r="A2406" s="242" t="s">
        <v>66</v>
      </c>
      <c r="B2406" s="43" t="s">
        <v>57</v>
      </c>
      <c r="C2406" s="15">
        <v>2209</v>
      </c>
      <c r="D2406" s="243">
        <v>351</v>
      </c>
      <c r="E2406" s="243">
        <v>369</v>
      </c>
      <c r="F2406" s="243">
        <v>253</v>
      </c>
      <c r="G2406" s="243">
        <v>195</v>
      </c>
      <c r="H2406" s="243">
        <v>199</v>
      </c>
      <c r="I2406" s="243">
        <v>144</v>
      </c>
      <c r="J2406" s="243">
        <v>141</v>
      </c>
      <c r="K2406" s="243">
        <v>120</v>
      </c>
      <c r="L2406" s="243">
        <v>101</v>
      </c>
      <c r="M2406" s="243">
        <v>85</v>
      </c>
      <c r="N2406" s="243">
        <v>111</v>
      </c>
      <c r="O2406" s="253">
        <v>140</v>
      </c>
    </row>
    <row r="2407" spans="1:15">
      <c r="A2407" s="240" t="s">
        <v>66</v>
      </c>
      <c r="B2407" s="47" t="s">
        <v>59</v>
      </c>
      <c r="C2407" s="15">
        <v>264</v>
      </c>
      <c r="D2407" s="243">
        <v>34</v>
      </c>
      <c r="E2407" s="243">
        <v>12</v>
      </c>
      <c r="F2407" s="243">
        <v>10</v>
      </c>
      <c r="G2407" s="243">
        <v>19</v>
      </c>
      <c r="H2407" s="243">
        <v>30</v>
      </c>
      <c r="I2407" s="243">
        <v>22</v>
      </c>
      <c r="J2407" s="243">
        <v>17</v>
      </c>
      <c r="K2407" s="243">
        <v>16</v>
      </c>
      <c r="L2407" s="243">
        <v>9</v>
      </c>
      <c r="M2407" s="243">
        <v>30</v>
      </c>
      <c r="N2407" s="243">
        <v>26</v>
      </c>
      <c r="O2407" s="253">
        <v>39</v>
      </c>
    </row>
    <row r="2408" spans="1:15">
      <c r="A2408" s="242" t="s">
        <v>66</v>
      </c>
      <c r="B2408" s="43" t="s">
        <v>4</v>
      </c>
      <c r="C2408" s="15">
        <v>11</v>
      </c>
      <c r="D2408" s="244">
        <v>2</v>
      </c>
      <c r="E2408" s="244">
        <v>1</v>
      </c>
      <c r="F2408" s="244">
        <v>0</v>
      </c>
      <c r="G2408" s="244">
        <v>0</v>
      </c>
      <c r="H2408" s="244">
        <v>1</v>
      </c>
      <c r="I2408" s="244">
        <v>2</v>
      </c>
      <c r="J2408" s="244">
        <v>2</v>
      </c>
      <c r="K2408" s="244">
        <v>0</v>
      </c>
      <c r="L2408" s="244">
        <v>2</v>
      </c>
      <c r="M2408" s="244">
        <v>1</v>
      </c>
      <c r="N2408" s="244">
        <v>0</v>
      </c>
      <c r="O2408" s="254">
        <v>0</v>
      </c>
    </row>
    <row r="2409" spans="1:15">
      <c r="A2409" s="240" t="s">
        <v>66</v>
      </c>
      <c r="B2409" s="47" t="s">
        <v>5</v>
      </c>
      <c r="C2409" s="12">
        <v>0.0416666666666667</v>
      </c>
      <c r="D2409" s="241">
        <v>0.0588235294117647</v>
      </c>
      <c r="E2409" s="241">
        <v>0.0833333333333333</v>
      </c>
      <c r="F2409" s="241">
        <v>0</v>
      </c>
      <c r="G2409" s="241">
        <v>0</v>
      </c>
      <c r="H2409" s="241">
        <v>0.0333333333333333</v>
      </c>
      <c r="I2409" s="241">
        <v>0.0909090909090909</v>
      </c>
      <c r="J2409" s="241">
        <v>0.117647058823529</v>
      </c>
      <c r="K2409" s="241">
        <v>0</v>
      </c>
      <c r="L2409" s="241">
        <v>0.222222222222222</v>
      </c>
      <c r="M2409" s="241">
        <v>0.0333333333333333</v>
      </c>
      <c r="N2409" s="241">
        <v>0</v>
      </c>
      <c r="O2409" s="252">
        <v>0</v>
      </c>
    </row>
    <row r="2410" spans="1:15">
      <c r="A2410" s="242" t="s">
        <v>66</v>
      </c>
      <c r="B2410" s="43" t="s">
        <v>6</v>
      </c>
      <c r="C2410" s="15">
        <v>8</v>
      </c>
      <c r="D2410" s="244">
        <v>1</v>
      </c>
      <c r="E2410" s="244">
        <v>1</v>
      </c>
      <c r="F2410" s="244">
        <v>1</v>
      </c>
      <c r="G2410" s="244">
        <v>0</v>
      </c>
      <c r="H2410" s="244">
        <v>1</v>
      </c>
      <c r="I2410" s="244">
        <v>1</v>
      </c>
      <c r="J2410" s="244">
        <v>1</v>
      </c>
      <c r="K2410" s="244">
        <v>0</v>
      </c>
      <c r="L2410" s="244">
        <v>0</v>
      </c>
      <c r="M2410" s="244">
        <v>1</v>
      </c>
      <c r="N2410" s="244">
        <v>1</v>
      </c>
      <c r="O2410" s="254">
        <v>0</v>
      </c>
    </row>
    <row r="2411" ht="14.25" spans="1:15">
      <c r="A2411" s="245" t="s">
        <v>66</v>
      </c>
      <c r="B2411" s="52" t="s">
        <v>64</v>
      </c>
      <c r="C2411" s="19">
        <v>0.727272727272727</v>
      </c>
      <c r="D2411" s="246">
        <v>0.5</v>
      </c>
      <c r="E2411" s="246">
        <v>1</v>
      </c>
      <c r="F2411" s="246">
        <v>0</v>
      </c>
      <c r="G2411" s="246">
        <v>0</v>
      </c>
      <c r="H2411" s="246">
        <v>1</v>
      </c>
      <c r="I2411" s="246">
        <v>0.5</v>
      </c>
      <c r="J2411" s="246">
        <v>0.5</v>
      </c>
      <c r="K2411" s="246">
        <v>0</v>
      </c>
      <c r="L2411" s="246">
        <v>0</v>
      </c>
      <c r="M2411" s="246">
        <v>1</v>
      </c>
      <c r="N2411" s="246">
        <v>0</v>
      </c>
      <c r="O2411" s="255">
        <v>0</v>
      </c>
    </row>
    <row r="2412" spans="1:15">
      <c r="A2412" s="240" t="s">
        <v>67</v>
      </c>
      <c r="B2412" s="47" t="s">
        <v>55</v>
      </c>
      <c r="C2412" s="12">
        <v>0.703583061889251</v>
      </c>
      <c r="D2412" s="241">
        <v>0.833333333333333</v>
      </c>
      <c r="E2412" s="241">
        <v>0.3125</v>
      </c>
      <c r="F2412" s="241">
        <v>0.318181818181818</v>
      </c>
      <c r="G2412" s="241">
        <v>0.818181818181818</v>
      </c>
      <c r="H2412" s="241">
        <v>1</v>
      </c>
      <c r="I2412" s="241">
        <v>0.733333333333333</v>
      </c>
      <c r="J2412" s="241">
        <v>0.909090909090909</v>
      </c>
      <c r="K2412" s="241">
        <v>0.703703703703704</v>
      </c>
      <c r="L2412" s="241">
        <v>0.894736842105263</v>
      </c>
      <c r="M2412" s="241">
        <v>0.827586206896552</v>
      </c>
      <c r="N2412" s="241">
        <v>0.435897435897436</v>
      </c>
      <c r="O2412" s="252">
        <v>1.05</v>
      </c>
    </row>
    <row r="2413" spans="1:15">
      <c r="A2413" s="242" t="s">
        <v>67</v>
      </c>
      <c r="B2413" s="43" t="s">
        <v>57</v>
      </c>
      <c r="C2413" s="15">
        <v>307</v>
      </c>
      <c r="D2413" s="243">
        <v>24</v>
      </c>
      <c r="E2413" s="243">
        <v>32</v>
      </c>
      <c r="F2413" s="243">
        <v>22</v>
      </c>
      <c r="G2413" s="243">
        <v>22</v>
      </c>
      <c r="H2413" s="243">
        <v>21</v>
      </c>
      <c r="I2413" s="243">
        <v>30</v>
      </c>
      <c r="J2413" s="243">
        <v>22</v>
      </c>
      <c r="K2413" s="243">
        <v>27</v>
      </c>
      <c r="L2413" s="243">
        <v>19</v>
      </c>
      <c r="M2413" s="243">
        <v>29</v>
      </c>
      <c r="N2413" s="243">
        <v>39</v>
      </c>
      <c r="O2413" s="253">
        <v>20</v>
      </c>
    </row>
    <row r="2414" spans="1:15">
      <c r="A2414" s="240" t="s">
        <v>67</v>
      </c>
      <c r="B2414" s="47" t="s">
        <v>59</v>
      </c>
      <c r="C2414" s="15">
        <v>216</v>
      </c>
      <c r="D2414" s="243">
        <v>20</v>
      </c>
      <c r="E2414" s="243">
        <v>10</v>
      </c>
      <c r="F2414" s="243">
        <v>7</v>
      </c>
      <c r="G2414" s="243">
        <v>18</v>
      </c>
      <c r="H2414" s="243">
        <v>21</v>
      </c>
      <c r="I2414" s="243">
        <v>22</v>
      </c>
      <c r="J2414" s="243">
        <v>20</v>
      </c>
      <c r="K2414" s="243">
        <v>19</v>
      </c>
      <c r="L2414" s="243">
        <v>17</v>
      </c>
      <c r="M2414" s="243">
        <v>24</v>
      </c>
      <c r="N2414" s="243">
        <v>17</v>
      </c>
      <c r="O2414" s="253">
        <v>21</v>
      </c>
    </row>
    <row r="2415" spans="1:15">
      <c r="A2415" s="242" t="s">
        <v>67</v>
      </c>
      <c r="B2415" s="43" t="s">
        <v>4</v>
      </c>
      <c r="C2415" s="15">
        <v>7</v>
      </c>
      <c r="D2415" s="244">
        <v>1</v>
      </c>
      <c r="E2415" s="244">
        <v>0</v>
      </c>
      <c r="F2415" s="244">
        <v>0</v>
      </c>
      <c r="G2415" s="244">
        <v>0</v>
      </c>
      <c r="H2415" s="244">
        <v>0</v>
      </c>
      <c r="I2415" s="244">
        <v>1</v>
      </c>
      <c r="J2415" s="244">
        <v>0</v>
      </c>
      <c r="K2415" s="244">
        <v>0</v>
      </c>
      <c r="L2415" s="244">
        <v>2</v>
      </c>
      <c r="M2415" s="244">
        <v>3</v>
      </c>
      <c r="N2415" s="244">
        <v>0</v>
      </c>
      <c r="O2415" s="254">
        <v>0</v>
      </c>
    </row>
    <row r="2416" spans="1:15">
      <c r="A2416" s="240" t="s">
        <v>67</v>
      </c>
      <c r="B2416" s="47" t="s">
        <v>5</v>
      </c>
      <c r="C2416" s="12">
        <v>0.0324074074074074</v>
      </c>
      <c r="D2416" s="241">
        <v>0.05</v>
      </c>
      <c r="E2416" s="241">
        <v>0</v>
      </c>
      <c r="F2416" s="241">
        <v>0</v>
      </c>
      <c r="G2416" s="241">
        <v>0</v>
      </c>
      <c r="H2416" s="241">
        <v>0</v>
      </c>
      <c r="I2416" s="241">
        <v>0.0454545454545455</v>
      </c>
      <c r="J2416" s="241">
        <v>0</v>
      </c>
      <c r="K2416" s="241">
        <v>0</v>
      </c>
      <c r="L2416" s="241">
        <v>0.117647058823529</v>
      </c>
      <c r="M2416" s="241">
        <v>0.125</v>
      </c>
      <c r="N2416" s="241">
        <v>0</v>
      </c>
      <c r="O2416" s="252">
        <v>0</v>
      </c>
    </row>
    <row r="2417" spans="1:15">
      <c r="A2417" s="242" t="s">
        <v>67</v>
      </c>
      <c r="B2417" s="43" t="s">
        <v>6</v>
      </c>
      <c r="C2417" s="15">
        <v>3</v>
      </c>
      <c r="D2417" s="244">
        <v>0</v>
      </c>
      <c r="E2417" s="244">
        <v>0</v>
      </c>
      <c r="F2417" s="244">
        <v>0</v>
      </c>
      <c r="G2417" s="244">
        <v>0</v>
      </c>
      <c r="H2417" s="244">
        <v>0</v>
      </c>
      <c r="I2417" s="244">
        <v>0</v>
      </c>
      <c r="J2417" s="244">
        <v>0</v>
      </c>
      <c r="K2417" s="244">
        <v>0</v>
      </c>
      <c r="L2417" s="244">
        <v>2</v>
      </c>
      <c r="M2417" s="244">
        <v>1</v>
      </c>
      <c r="N2417" s="244">
        <v>0</v>
      </c>
      <c r="O2417" s="254">
        <v>0</v>
      </c>
    </row>
    <row r="2418" ht="14.25" spans="1:15">
      <c r="A2418" s="245" t="s">
        <v>67</v>
      </c>
      <c r="B2418" s="52" t="s">
        <v>64</v>
      </c>
      <c r="C2418" s="19">
        <v>0.428571428571429</v>
      </c>
      <c r="D2418" s="246">
        <v>0</v>
      </c>
      <c r="E2418" s="246">
        <v>0</v>
      </c>
      <c r="F2418" s="246">
        <v>0</v>
      </c>
      <c r="G2418" s="246">
        <v>0</v>
      </c>
      <c r="H2418" s="246">
        <v>0</v>
      </c>
      <c r="I2418" s="246">
        <v>0</v>
      </c>
      <c r="J2418" s="246">
        <v>0</v>
      </c>
      <c r="K2418" s="246">
        <v>0</v>
      </c>
      <c r="L2418" s="246">
        <v>1</v>
      </c>
      <c r="M2418" s="246">
        <v>0.333333333333333</v>
      </c>
      <c r="N2418" s="246">
        <v>0</v>
      </c>
      <c r="O2418" s="255">
        <v>0</v>
      </c>
    </row>
    <row r="2419" spans="1:15">
      <c r="A2419" s="240" t="s">
        <v>68</v>
      </c>
      <c r="B2419" s="47" t="s">
        <v>55</v>
      </c>
      <c r="C2419" s="12">
        <v>0.0816997443078047</v>
      </c>
      <c r="D2419" s="241">
        <v>0.0833333333333333</v>
      </c>
      <c r="E2419" s="241">
        <v>0.0641711229946524</v>
      </c>
      <c r="F2419" s="241">
        <v>0.0423280423280423</v>
      </c>
      <c r="G2419" s="241">
        <v>0.0412186379928315</v>
      </c>
      <c r="H2419" s="241">
        <v>0.0862619808306709</v>
      </c>
      <c r="I2419" s="241">
        <v>0.109819121447028</v>
      </c>
      <c r="J2419" s="241">
        <v>0.0698005698005698</v>
      </c>
      <c r="K2419" s="241">
        <v>0.0934065934065934</v>
      </c>
      <c r="L2419" s="241">
        <v>0.100699300699301</v>
      </c>
      <c r="M2419" s="241">
        <v>0.0879888268156425</v>
      </c>
      <c r="N2419" s="241">
        <v>0.0896921017402945</v>
      </c>
      <c r="O2419" s="252">
        <v>0.0876747141041931</v>
      </c>
    </row>
    <row r="2420" spans="1:15">
      <c r="A2420" s="242" t="s">
        <v>68</v>
      </c>
      <c r="B2420" s="43" t="s">
        <v>57</v>
      </c>
      <c r="C2420" s="15">
        <v>8213</v>
      </c>
      <c r="D2420" s="243">
        <v>732</v>
      </c>
      <c r="E2420" s="243">
        <v>561</v>
      </c>
      <c r="F2420" s="243">
        <v>567</v>
      </c>
      <c r="G2420" s="243">
        <v>558</v>
      </c>
      <c r="H2420" s="243">
        <v>626</v>
      </c>
      <c r="I2420" s="243">
        <v>774</v>
      </c>
      <c r="J2420" s="243">
        <v>702</v>
      </c>
      <c r="K2420" s="243">
        <v>728</v>
      </c>
      <c r="L2420" s="243">
        <v>715</v>
      </c>
      <c r="M2420" s="243">
        <v>716</v>
      </c>
      <c r="N2420" s="243">
        <v>747</v>
      </c>
      <c r="O2420" s="253">
        <v>787</v>
      </c>
    </row>
    <row r="2421" spans="1:15">
      <c r="A2421" s="240" t="s">
        <v>68</v>
      </c>
      <c r="B2421" s="47" t="s">
        <v>59</v>
      </c>
      <c r="C2421" s="15">
        <v>671</v>
      </c>
      <c r="D2421" s="243">
        <v>61</v>
      </c>
      <c r="E2421" s="243">
        <v>36</v>
      </c>
      <c r="F2421" s="243">
        <v>24</v>
      </c>
      <c r="G2421" s="243">
        <v>23</v>
      </c>
      <c r="H2421" s="243">
        <v>54</v>
      </c>
      <c r="I2421" s="243">
        <v>85</v>
      </c>
      <c r="J2421" s="243">
        <v>49</v>
      </c>
      <c r="K2421" s="243">
        <v>68</v>
      </c>
      <c r="L2421" s="243">
        <v>72</v>
      </c>
      <c r="M2421" s="243">
        <v>63</v>
      </c>
      <c r="N2421" s="243">
        <v>67</v>
      </c>
      <c r="O2421" s="253">
        <v>69</v>
      </c>
    </row>
    <row r="2422" spans="1:15">
      <c r="A2422" s="242" t="s">
        <v>68</v>
      </c>
      <c r="B2422" s="43" t="s">
        <v>4</v>
      </c>
      <c r="C2422" s="15">
        <v>32</v>
      </c>
      <c r="D2422" s="244">
        <v>3</v>
      </c>
      <c r="E2422" s="244">
        <v>4</v>
      </c>
      <c r="F2422" s="244">
        <v>2</v>
      </c>
      <c r="G2422" s="244">
        <v>0</v>
      </c>
      <c r="H2422" s="244">
        <v>1</v>
      </c>
      <c r="I2422" s="244">
        <v>2</v>
      </c>
      <c r="J2422" s="244">
        <v>1</v>
      </c>
      <c r="K2422" s="244">
        <v>2</v>
      </c>
      <c r="L2422" s="244">
        <v>3</v>
      </c>
      <c r="M2422" s="244">
        <v>3</v>
      </c>
      <c r="N2422" s="244">
        <v>6</v>
      </c>
      <c r="O2422" s="254">
        <v>5</v>
      </c>
    </row>
    <row r="2423" spans="1:15">
      <c r="A2423" s="240" t="s">
        <v>68</v>
      </c>
      <c r="B2423" s="47" t="s">
        <v>5</v>
      </c>
      <c r="C2423" s="12">
        <v>0.0476900149031297</v>
      </c>
      <c r="D2423" s="241">
        <v>0.0491803278688525</v>
      </c>
      <c r="E2423" s="241">
        <v>0.111111111111111</v>
      </c>
      <c r="F2423" s="241">
        <v>0.0833333333333333</v>
      </c>
      <c r="G2423" s="241">
        <v>0</v>
      </c>
      <c r="H2423" s="241">
        <v>0.0185185185185185</v>
      </c>
      <c r="I2423" s="241">
        <v>0.0235294117647059</v>
      </c>
      <c r="J2423" s="241">
        <v>0.0204081632653061</v>
      </c>
      <c r="K2423" s="241">
        <v>0.0294117647058824</v>
      </c>
      <c r="L2423" s="241">
        <v>0.0416666666666667</v>
      </c>
      <c r="M2423" s="241">
        <v>0.0476190476190476</v>
      </c>
      <c r="N2423" s="241">
        <v>0.0895522388059701</v>
      </c>
      <c r="O2423" s="252">
        <v>0.072463768115942</v>
      </c>
    </row>
    <row r="2424" spans="1:15">
      <c r="A2424" s="242" t="s">
        <v>68</v>
      </c>
      <c r="B2424" s="43" t="s">
        <v>6</v>
      </c>
      <c r="C2424" s="15">
        <v>14</v>
      </c>
      <c r="D2424" s="244">
        <v>1</v>
      </c>
      <c r="E2424" s="244">
        <v>3</v>
      </c>
      <c r="F2424" s="244">
        <v>1</v>
      </c>
      <c r="G2424" s="244">
        <v>1</v>
      </c>
      <c r="H2424" s="244">
        <v>1</v>
      </c>
      <c r="I2424" s="244">
        <v>2</v>
      </c>
      <c r="J2424" s="244">
        <v>0</v>
      </c>
      <c r="K2424" s="244">
        <v>0</v>
      </c>
      <c r="L2424" s="244">
        <v>2</v>
      </c>
      <c r="M2424" s="244">
        <v>0</v>
      </c>
      <c r="N2424" s="244">
        <v>3</v>
      </c>
      <c r="O2424" s="254">
        <v>0</v>
      </c>
    </row>
    <row r="2425" ht="14.25" spans="1:15">
      <c r="A2425" s="245" t="s">
        <v>68</v>
      </c>
      <c r="B2425" s="52" t="s">
        <v>64</v>
      </c>
      <c r="C2425" s="19">
        <v>0.4375</v>
      </c>
      <c r="D2425" s="246">
        <v>0.333333333333333</v>
      </c>
      <c r="E2425" s="246">
        <v>0.75</v>
      </c>
      <c r="F2425" s="246">
        <v>0.5</v>
      </c>
      <c r="G2425" s="246">
        <v>0</v>
      </c>
      <c r="H2425" s="246">
        <v>1</v>
      </c>
      <c r="I2425" s="246">
        <v>1</v>
      </c>
      <c r="J2425" s="246">
        <v>0</v>
      </c>
      <c r="K2425" s="246">
        <v>0</v>
      </c>
      <c r="L2425" s="246">
        <v>0.666666666666667</v>
      </c>
      <c r="M2425" s="246">
        <v>0</v>
      </c>
      <c r="N2425" s="246">
        <v>0.5</v>
      </c>
      <c r="O2425" s="255">
        <v>0</v>
      </c>
    </row>
    <row r="2426" spans="1:15">
      <c r="A2426" s="240" t="s">
        <v>69</v>
      </c>
      <c r="B2426" s="47" t="s">
        <v>55</v>
      </c>
      <c r="C2426" s="12">
        <v>0.892109500805153</v>
      </c>
      <c r="D2426" s="241">
        <v>1.35</v>
      </c>
      <c r="E2426" s="241">
        <v>1.12820512820513</v>
      </c>
      <c r="F2426" s="241">
        <v>1.46666666666667</v>
      </c>
      <c r="G2426" s="241">
        <v>1.33333333333333</v>
      </c>
      <c r="H2426" s="241">
        <v>0.823529411764706</v>
      </c>
      <c r="I2426" s="241">
        <v>0.915254237288136</v>
      </c>
      <c r="J2426" s="241">
        <v>0.688888888888889</v>
      </c>
      <c r="K2426" s="241">
        <v>0.8</v>
      </c>
      <c r="L2426" s="241">
        <v>0.833333333333333</v>
      </c>
      <c r="M2426" s="241">
        <v>0.782608695652174</v>
      </c>
      <c r="N2426" s="241">
        <v>0.810526315789474</v>
      </c>
      <c r="O2426" s="252">
        <v>0.704225352112676</v>
      </c>
    </row>
    <row r="2427" spans="1:15">
      <c r="A2427" s="242" t="s">
        <v>69</v>
      </c>
      <c r="B2427" s="43" t="s">
        <v>57</v>
      </c>
      <c r="C2427" s="15">
        <v>621</v>
      </c>
      <c r="D2427" s="243">
        <v>40</v>
      </c>
      <c r="E2427" s="243">
        <v>39</v>
      </c>
      <c r="F2427" s="243">
        <v>15</v>
      </c>
      <c r="G2427" s="243">
        <v>27</v>
      </c>
      <c r="H2427" s="243">
        <v>51</v>
      </c>
      <c r="I2427" s="243">
        <v>59</v>
      </c>
      <c r="J2427" s="243">
        <v>45</v>
      </c>
      <c r="K2427" s="243">
        <v>50</v>
      </c>
      <c r="L2427" s="243">
        <v>60</v>
      </c>
      <c r="M2427" s="243">
        <v>69</v>
      </c>
      <c r="N2427" s="243">
        <v>95</v>
      </c>
      <c r="O2427" s="253">
        <v>71</v>
      </c>
    </row>
    <row r="2428" spans="1:15">
      <c r="A2428" s="240" t="s">
        <v>69</v>
      </c>
      <c r="B2428" s="47" t="s">
        <v>59</v>
      </c>
      <c r="C2428" s="15">
        <v>554</v>
      </c>
      <c r="D2428" s="243">
        <v>54</v>
      </c>
      <c r="E2428" s="243">
        <v>44</v>
      </c>
      <c r="F2428" s="243">
        <v>22</v>
      </c>
      <c r="G2428" s="243">
        <v>36</v>
      </c>
      <c r="H2428" s="243">
        <v>42</v>
      </c>
      <c r="I2428" s="243">
        <v>54</v>
      </c>
      <c r="J2428" s="243">
        <v>31</v>
      </c>
      <c r="K2428" s="243">
        <v>40</v>
      </c>
      <c r="L2428" s="243">
        <v>50</v>
      </c>
      <c r="M2428" s="243">
        <v>54</v>
      </c>
      <c r="N2428" s="243">
        <v>77</v>
      </c>
      <c r="O2428" s="253">
        <v>50</v>
      </c>
    </row>
    <row r="2429" spans="1:15">
      <c r="A2429" s="242" t="s">
        <v>69</v>
      </c>
      <c r="B2429" s="43" t="s">
        <v>4</v>
      </c>
      <c r="C2429" s="15">
        <v>26</v>
      </c>
      <c r="D2429" s="244">
        <v>0</v>
      </c>
      <c r="E2429" s="244">
        <v>2</v>
      </c>
      <c r="F2429" s="244">
        <v>0</v>
      </c>
      <c r="G2429" s="244">
        <v>0</v>
      </c>
      <c r="H2429" s="244">
        <v>1</v>
      </c>
      <c r="I2429" s="244">
        <v>2</v>
      </c>
      <c r="J2429" s="244">
        <v>4</v>
      </c>
      <c r="K2429" s="244">
        <v>4</v>
      </c>
      <c r="L2429" s="244">
        <v>3</v>
      </c>
      <c r="M2429" s="244">
        <v>4</v>
      </c>
      <c r="N2429" s="244">
        <v>6</v>
      </c>
      <c r="O2429" s="254">
        <v>0</v>
      </c>
    </row>
    <row r="2430" spans="1:15">
      <c r="A2430" s="240" t="s">
        <v>69</v>
      </c>
      <c r="B2430" s="47" t="s">
        <v>5</v>
      </c>
      <c r="C2430" s="12">
        <v>0.0469314079422383</v>
      </c>
      <c r="D2430" s="241">
        <v>0</v>
      </c>
      <c r="E2430" s="241">
        <v>0.0454545454545455</v>
      </c>
      <c r="F2430" s="241">
        <v>0</v>
      </c>
      <c r="G2430" s="241">
        <v>0</v>
      </c>
      <c r="H2430" s="241">
        <v>0.0238095238095238</v>
      </c>
      <c r="I2430" s="241">
        <v>0.037037037037037</v>
      </c>
      <c r="J2430" s="241">
        <v>0.129032258064516</v>
      </c>
      <c r="K2430" s="241">
        <v>0.1</v>
      </c>
      <c r="L2430" s="241">
        <v>0.06</v>
      </c>
      <c r="M2430" s="241">
        <v>0.0740740740740741</v>
      </c>
      <c r="N2430" s="241">
        <v>0.0779220779220779</v>
      </c>
      <c r="O2430" s="252">
        <v>0</v>
      </c>
    </row>
    <row r="2431" spans="1:15">
      <c r="A2431" s="242" t="s">
        <v>69</v>
      </c>
      <c r="B2431" s="43" t="s">
        <v>6</v>
      </c>
      <c r="C2431" s="15">
        <v>11</v>
      </c>
      <c r="D2431" s="244">
        <v>1</v>
      </c>
      <c r="E2431" s="244">
        <v>1</v>
      </c>
      <c r="F2431" s="244">
        <v>0</v>
      </c>
      <c r="G2431" s="244">
        <v>0</v>
      </c>
      <c r="H2431" s="244">
        <v>0</v>
      </c>
      <c r="I2431" s="244">
        <v>1</v>
      </c>
      <c r="J2431" s="244">
        <v>2</v>
      </c>
      <c r="K2431" s="244">
        <v>2</v>
      </c>
      <c r="L2431" s="244">
        <v>0</v>
      </c>
      <c r="M2431" s="244">
        <v>0</v>
      </c>
      <c r="N2431" s="244">
        <v>2</v>
      </c>
      <c r="O2431" s="254">
        <v>2</v>
      </c>
    </row>
    <row r="2432" ht="14.25" spans="1:15">
      <c r="A2432" s="245" t="s">
        <v>69</v>
      </c>
      <c r="B2432" s="52" t="s">
        <v>64</v>
      </c>
      <c r="C2432" s="19">
        <v>0.423076923076923</v>
      </c>
      <c r="D2432" s="246">
        <v>0</v>
      </c>
      <c r="E2432" s="246">
        <v>0.5</v>
      </c>
      <c r="F2432" s="246">
        <v>0</v>
      </c>
      <c r="G2432" s="246">
        <v>0</v>
      </c>
      <c r="H2432" s="246">
        <v>0</v>
      </c>
      <c r="I2432" s="246">
        <v>0.5</v>
      </c>
      <c r="J2432" s="246">
        <v>0.5</v>
      </c>
      <c r="K2432" s="246">
        <v>0.5</v>
      </c>
      <c r="L2432" s="246">
        <v>0</v>
      </c>
      <c r="M2432" s="246">
        <v>0</v>
      </c>
      <c r="N2432" s="246">
        <v>0.333333333333333</v>
      </c>
      <c r="O2432" s="255">
        <v>0</v>
      </c>
    </row>
    <row r="2433" spans="1:15">
      <c r="A2433" s="240" t="s">
        <v>70</v>
      </c>
      <c r="B2433" s="47" t="s">
        <v>55</v>
      </c>
      <c r="C2433" s="12">
        <v>0.894663894663895</v>
      </c>
      <c r="D2433" s="241">
        <v>0.893129770992366</v>
      </c>
      <c r="E2433" s="241">
        <v>0.936170212765957</v>
      </c>
      <c r="F2433" s="241">
        <v>0.969072164948454</v>
      </c>
      <c r="G2433" s="241">
        <v>0.922330097087379</v>
      </c>
      <c r="H2433" s="241">
        <v>0.949748743718593</v>
      </c>
      <c r="I2433" s="241">
        <v>0.898039215686275</v>
      </c>
      <c r="J2433" s="241">
        <v>0.934782608695652</v>
      </c>
      <c r="K2433" s="241">
        <v>0.909090909090909</v>
      </c>
      <c r="L2433" s="241">
        <v>0.857142857142857</v>
      </c>
      <c r="M2433" s="241">
        <v>0.850498338870432</v>
      </c>
      <c r="N2433" s="241">
        <v>0.876484560570071</v>
      </c>
      <c r="O2433" s="252">
        <v>0.868493150684931</v>
      </c>
    </row>
    <row r="2434" spans="1:15">
      <c r="A2434" s="242" t="s">
        <v>70</v>
      </c>
      <c r="B2434" s="43" t="s">
        <v>57</v>
      </c>
      <c r="C2434" s="15">
        <v>2886</v>
      </c>
      <c r="D2434" s="243">
        <v>262</v>
      </c>
      <c r="E2434" s="243">
        <v>141</v>
      </c>
      <c r="F2434" s="243">
        <v>97</v>
      </c>
      <c r="G2434" s="243">
        <v>103</v>
      </c>
      <c r="H2434" s="243">
        <v>199</v>
      </c>
      <c r="I2434" s="243">
        <v>255</v>
      </c>
      <c r="J2434" s="243">
        <v>230</v>
      </c>
      <c r="K2434" s="243">
        <v>253</v>
      </c>
      <c r="L2434" s="243">
        <v>259</v>
      </c>
      <c r="M2434" s="243">
        <v>301</v>
      </c>
      <c r="N2434" s="243">
        <v>421</v>
      </c>
      <c r="O2434" s="253">
        <v>365</v>
      </c>
    </row>
    <row r="2435" spans="1:15">
      <c r="A2435" s="240" t="s">
        <v>70</v>
      </c>
      <c r="B2435" s="47" t="s">
        <v>59</v>
      </c>
      <c r="C2435" s="15">
        <v>2582</v>
      </c>
      <c r="D2435" s="243">
        <v>234</v>
      </c>
      <c r="E2435" s="243">
        <v>132</v>
      </c>
      <c r="F2435" s="243">
        <v>94</v>
      </c>
      <c r="G2435" s="243">
        <v>95</v>
      </c>
      <c r="H2435" s="243">
        <v>189</v>
      </c>
      <c r="I2435" s="243">
        <v>229</v>
      </c>
      <c r="J2435" s="243">
        <v>215</v>
      </c>
      <c r="K2435" s="243">
        <v>230</v>
      </c>
      <c r="L2435" s="243">
        <v>222</v>
      </c>
      <c r="M2435" s="243">
        <v>256</v>
      </c>
      <c r="N2435" s="243">
        <v>369</v>
      </c>
      <c r="O2435" s="253">
        <v>317</v>
      </c>
    </row>
    <row r="2436" spans="1:15">
      <c r="A2436" s="242" t="s">
        <v>70</v>
      </c>
      <c r="B2436" s="43" t="s">
        <v>4</v>
      </c>
      <c r="C2436" s="15">
        <v>91</v>
      </c>
      <c r="D2436" s="244">
        <v>7</v>
      </c>
      <c r="E2436" s="244">
        <v>13</v>
      </c>
      <c r="F2436" s="244">
        <v>3</v>
      </c>
      <c r="G2436" s="244">
        <v>2</v>
      </c>
      <c r="H2436" s="244">
        <v>3</v>
      </c>
      <c r="I2436" s="244">
        <v>7</v>
      </c>
      <c r="J2436" s="244">
        <v>9</v>
      </c>
      <c r="K2436" s="244">
        <v>4</v>
      </c>
      <c r="L2436" s="244">
        <v>13</v>
      </c>
      <c r="M2436" s="244">
        <v>9</v>
      </c>
      <c r="N2436" s="244">
        <v>11</v>
      </c>
      <c r="O2436" s="254">
        <v>10</v>
      </c>
    </row>
    <row r="2437" spans="1:15">
      <c r="A2437" s="240" t="s">
        <v>70</v>
      </c>
      <c r="B2437" s="47" t="s">
        <v>5</v>
      </c>
      <c r="C2437" s="12">
        <v>0.0352439969016266</v>
      </c>
      <c r="D2437" s="241">
        <v>0.0299145299145299</v>
      </c>
      <c r="E2437" s="241">
        <v>0.0984848484848485</v>
      </c>
      <c r="F2437" s="241">
        <v>0.0319148936170213</v>
      </c>
      <c r="G2437" s="241">
        <v>0.0210526315789474</v>
      </c>
      <c r="H2437" s="241">
        <v>0.0158730158730159</v>
      </c>
      <c r="I2437" s="241">
        <v>0.0305676855895196</v>
      </c>
      <c r="J2437" s="241">
        <v>0.0418604651162791</v>
      </c>
      <c r="K2437" s="241">
        <v>0.0173913043478261</v>
      </c>
      <c r="L2437" s="241">
        <v>0.0585585585585586</v>
      </c>
      <c r="M2437" s="241">
        <v>0.03515625</v>
      </c>
      <c r="N2437" s="241">
        <v>0.029810298102981</v>
      </c>
      <c r="O2437" s="252">
        <v>0.0315457413249211</v>
      </c>
    </row>
    <row r="2438" spans="1:15">
      <c r="A2438" s="242" t="s">
        <v>70</v>
      </c>
      <c r="B2438" s="43" t="s">
        <v>6</v>
      </c>
      <c r="C2438" s="15">
        <v>22</v>
      </c>
      <c r="D2438" s="244">
        <v>3</v>
      </c>
      <c r="E2438" s="244">
        <v>3</v>
      </c>
      <c r="F2438" s="244">
        <v>1</v>
      </c>
      <c r="G2438" s="244">
        <v>0</v>
      </c>
      <c r="H2438" s="244">
        <v>1</v>
      </c>
      <c r="I2438" s="244">
        <v>1</v>
      </c>
      <c r="J2438" s="244">
        <v>1</v>
      </c>
      <c r="K2438" s="244">
        <v>2</v>
      </c>
      <c r="L2438" s="244">
        <v>2</v>
      </c>
      <c r="M2438" s="244">
        <v>3</v>
      </c>
      <c r="N2438" s="244">
        <v>2</v>
      </c>
      <c r="O2438" s="254">
        <v>3</v>
      </c>
    </row>
    <row r="2439" ht="14.25" spans="1:15">
      <c r="A2439" s="245" t="s">
        <v>70</v>
      </c>
      <c r="B2439" s="52" t="s">
        <v>64</v>
      </c>
      <c r="C2439" s="19">
        <v>0.241758241758242</v>
      </c>
      <c r="D2439" s="246">
        <v>0.428571428571429</v>
      </c>
      <c r="E2439" s="246">
        <v>0.230769230769231</v>
      </c>
      <c r="F2439" s="246">
        <v>0.333333333333333</v>
      </c>
      <c r="G2439" s="246">
        <v>0</v>
      </c>
      <c r="H2439" s="246">
        <v>0.333333333333333</v>
      </c>
      <c r="I2439" s="246">
        <v>0.142857142857143</v>
      </c>
      <c r="J2439" s="246">
        <v>0.111111111111111</v>
      </c>
      <c r="K2439" s="246">
        <v>0.5</v>
      </c>
      <c r="L2439" s="246">
        <v>0.153846153846154</v>
      </c>
      <c r="M2439" s="246">
        <v>0.333333333333333</v>
      </c>
      <c r="N2439" s="246">
        <v>0.181818181818182</v>
      </c>
      <c r="O2439" s="255">
        <v>0.3</v>
      </c>
    </row>
    <row r="2440" spans="1:15">
      <c r="A2440" s="240" t="s">
        <v>26</v>
      </c>
      <c r="B2440" s="47" t="s">
        <v>55</v>
      </c>
      <c r="C2440" s="12">
        <v>0.622050017611835</v>
      </c>
      <c r="D2440" s="241">
        <v>0.576923076923077</v>
      </c>
      <c r="E2440" s="241">
        <v>0.521897810218978</v>
      </c>
      <c r="F2440" s="241">
        <v>0.607329842931937</v>
      </c>
      <c r="G2440" s="241">
        <v>0.513966480446927</v>
      </c>
      <c r="H2440" s="241">
        <v>0.70873786407767</v>
      </c>
      <c r="I2440" s="241">
        <v>0.631147540983607</v>
      </c>
      <c r="J2440" s="241">
        <v>0.672</v>
      </c>
      <c r="K2440" s="241">
        <v>0.633333333333333</v>
      </c>
      <c r="L2440" s="241">
        <v>0.607305936073059</v>
      </c>
      <c r="M2440" s="241">
        <v>0.703703703703704</v>
      </c>
      <c r="N2440" s="241">
        <v>0.652985074626866</v>
      </c>
      <c r="O2440" s="252">
        <v>0.651639344262295</v>
      </c>
    </row>
    <row r="2441" spans="1:15">
      <c r="A2441" s="242" t="s">
        <v>26</v>
      </c>
      <c r="B2441" s="43" t="s">
        <v>57</v>
      </c>
      <c r="C2441" s="15">
        <v>2839</v>
      </c>
      <c r="D2441" s="243">
        <v>338</v>
      </c>
      <c r="E2441" s="243">
        <v>274</v>
      </c>
      <c r="F2441" s="243">
        <v>191</v>
      </c>
      <c r="G2441" s="243">
        <v>179</v>
      </c>
      <c r="H2441" s="243">
        <v>206</v>
      </c>
      <c r="I2441" s="243">
        <v>244</v>
      </c>
      <c r="J2441" s="243">
        <v>250</v>
      </c>
      <c r="K2441" s="243">
        <v>210</v>
      </c>
      <c r="L2441" s="243">
        <v>219</v>
      </c>
      <c r="M2441" s="243">
        <v>216</v>
      </c>
      <c r="N2441" s="243">
        <v>268</v>
      </c>
      <c r="O2441" s="253">
        <v>244</v>
      </c>
    </row>
    <row r="2442" spans="1:15">
      <c r="A2442" s="240" t="s">
        <v>26</v>
      </c>
      <c r="B2442" s="47" t="s">
        <v>59</v>
      </c>
      <c r="C2442" s="15">
        <v>1766</v>
      </c>
      <c r="D2442" s="243">
        <v>195</v>
      </c>
      <c r="E2442" s="243">
        <v>143</v>
      </c>
      <c r="F2442" s="243">
        <v>116</v>
      </c>
      <c r="G2442" s="243">
        <v>92</v>
      </c>
      <c r="H2442" s="243">
        <v>146</v>
      </c>
      <c r="I2442" s="243">
        <v>154</v>
      </c>
      <c r="J2442" s="243">
        <v>168</v>
      </c>
      <c r="K2442" s="243">
        <v>133</v>
      </c>
      <c r="L2442" s="243">
        <v>133</v>
      </c>
      <c r="M2442" s="243">
        <v>152</v>
      </c>
      <c r="N2442" s="243">
        <v>175</v>
      </c>
      <c r="O2442" s="253">
        <v>159</v>
      </c>
    </row>
    <row r="2443" spans="1:15">
      <c r="A2443" s="242" t="s">
        <v>26</v>
      </c>
      <c r="B2443" s="43" t="s">
        <v>4</v>
      </c>
      <c r="C2443" s="15">
        <v>19</v>
      </c>
      <c r="D2443" s="244">
        <v>0</v>
      </c>
      <c r="E2443" s="244">
        <v>5</v>
      </c>
      <c r="F2443" s="244">
        <v>0</v>
      </c>
      <c r="G2443" s="244">
        <v>0</v>
      </c>
      <c r="H2443" s="244">
        <v>1</v>
      </c>
      <c r="I2443" s="244">
        <v>2</v>
      </c>
      <c r="J2443" s="244">
        <v>1</v>
      </c>
      <c r="K2443" s="244">
        <v>1</v>
      </c>
      <c r="L2443" s="244">
        <v>1</v>
      </c>
      <c r="M2443" s="244">
        <v>2</v>
      </c>
      <c r="N2443" s="244">
        <v>2</v>
      </c>
      <c r="O2443" s="254">
        <v>4</v>
      </c>
    </row>
    <row r="2444" spans="1:15">
      <c r="A2444" s="240" t="s">
        <v>26</v>
      </c>
      <c r="B2444" s="47" t="s">
        <v>5</v>
      </c>
      <c r="C2444" s="12">
        <v>0.0107587768969422</v>
      </c>
      <c r="D2444" s="241">
        <v>0</v>
      </c>
      <c r="E2444" s="241">
        <v>0.034965034965035</v>
      </c>
      <c r="F2444" s="241">
        <v>0</v>
      </c>
      <c r="G2444" s="241">
        <v>0</v>
      </c>
      <c r="H2444" s="241">
        <v>0.00684931506849315</v>
      </c>
      <c r="I2444" s="241">
        <v>0.012987012987013</v>
      </c>
      <c r="J2444" s="241">
        <v>0.00595238095238095</v>
      </c>
      <c r="K2444" s="241">
        <v>0.0075187969924812</v>
      </c>
      <c r="L2444" s="241">
        <v>0.0075187969924812</v>
      </c>
      <c r="M2444" s="241">
        <v>0.0131578947368421</v>
      </c>
      <c r="N2444" s="241">
        <v>0.0114285714285714</v>
      </c>
      <c r="O2444" s="252">
        <v>0.0251572327044025</v>
      </c>
    </row>
    <row r="2445" spans="1:15">
      <c r="A2445" s="242" t="s">
        <v>26</v>
      </c>
      <c r="B2445" s="43" t="s">
        <v>6</v>
      </c>
      <c r="C2445" s="15">
        <v>6</v>
      </c>
      <c r="D2445" s="244">
        <v>0</v>
      </c>
      <c r="E2445" s="244">
        <v>2</v>
      </c>
      <c r="F2445" s="244">
        <v>0</v>
      </c>
      <c r="G2445" s="244">
        <v>0</v>
      </c>
      <c r="H2445" s="244">
        <v>1</v>
      </c>
      <c r="I2445" s="244">
        <v>2</v>
      </c>
      <c r="J2445" s="244">
        <v>0</v>
      </c>
      <c r="K2445" s="244">
        <v>0</v>
      </c>
      <c r="L2445" s="244">
        <v>0</v>
      </c>
      <c r="M2445" s="244">
        <v>0</v>
      </c>
      <c r="N2445" s="244">
        <v>1</v>
      </c>
      <c r="O2445" s="254">
        <v>0</v>
      </c>
    </row>
    <row r="2446" ht="14.25" spans="1:15">
      <c r="A2446" s="245" t="s">
        <v>26</v>
      </c>
      <c r="B2446" s="52" t="s">
        <v>64</v>
      </c>
      <c r="C2446" s="19">
        <v>0.315789473684211</v>
      </c>
      <c r="D2446" s="19" t="e">
        <v>#DIV/0!</v>
      </c>
      <c r="E2446" s="19">
        <v>0.4</v>
      </c>
      <c r="F2446" s="19" t="e">
        <v>#DIV/0!</v>
      </c>
      <c r="G2446" s="19" t="e">
        <v>#DIV/0!</v>
      </c>
      <c r="H2446" s="19">
        <v>1</v>
      </c>
      <c r="I2446" s="19">
        <v>1</v>
      </c>
      <c r="J2446" s="19">
        <v>0</v>
      </c>
      <c r="K2446" s="19">
        <v>0</v>
      </c>
      <c r="L2446" s="19">
        <v>0</v>
      </c>
      <c r="M2446" s="19">
        <v>0</v>
      </c>
      <c r="N2446" s="19">
        <v>0.5</v>
      </c>
      <c r="O2446" s="19">
        <v>0</v>
      </c>
    </row>
    <row r="2447" spans="1:15">
      <c r="A2447" s="240" t="s">
        <v>71</v>
      </c>
      <c r="B2447" s="47" t="s">
        <v>55</v>
      </c>
      <c r="C2447" s="12" t="e">
        <v>#DIV/0!</v>
      </c>
      <c r="D2447" s="241" t="e">
        <v>#DIV/0!</v>
      </c>
      <c r="E2447" s="241" t="e">
        <v>#DIV/0!</v>
      </c>
      <c r="F2447" s="241" t="e">
        <v>#DIV/0!</v>
      </c>
      <c r="G2447" s="241" t="e">
        <v>#DIV/0!</v>
      </c>
      <c r="H2447" s="241" t="e">
        <v>#DIV/0!</v>
      </c>
      <c r="I2447" s="241" t="e">
        <v>#DIV/0!</v>
      </c>
      <c r="J2447" s="241" t="e">
        <v>#DIV/0!</v>
      </c>
      <c r="K2447" s="241" t="e">
        <v>#DIV/0!</v>
      </c>
      <c r="L2447" s="241" t="e">
        <v>#DIV/0!</v>
      </c>
      <c r="M2447" s="241" t="e">
        <v>#DIV/0!</v>
      </c>
      <c r="N2447" s="241" t="e">
        <v>#DIV/0!</v>
      </c>
      <c r="O2447" s="252" t="e">
        <v>#DIV/0!</v>
      </c>
    </row>
    <row r="2448" spans="1:15">
      <c r="A2448" s="242" t="s">
        <v>71</v>
      </c>
      <c r="B2448" s="43" t="s">
        <v>57</v>
      </c>
      <c r="C2448" s="15">
        <v>0</v>
      </c>
      <c r="D2448" s="243">
        <v>0</v>
      </c>
      <c r="E2448" s="243">
        <v>0</v>
      </c>
      <c r="F2448" s="243">
        <v>0</v>
      </c>
      <c r="G2448" s="243">
        <v>0</v>
      </c>
      <c r="H2448" s="243">
        <v>0</v>
      </c>
      <c r="I2448" s="243">
        <v>0</v>
      </c>
      <c r="J2448" s="243">
        <v>0</v>
      </c>
      <c r="K2448" s="243">
        <v>0</v>
      </c>
      <c r="L2448" s="243">
        <v>0</v>
      </c>
      <c r="M2448" s="243">
        <v>0</v>
      </c>
      <c r="N2448" s="243">
        <v>0</v>
      </c>
      <c r="O2448" s="253">
        <v>0</v>
      </c>
    </row>
    <row r="2449" spans="1:15">
      <c r="A2449" s="240" t="s">
        <v>71</v>
      </c>
      <c r="B2449" s="47" t="s">
        <v>59</v>
      </c>
      <c r="C2449" s="15">
        <v>14</v>
      </c>
      <c r="D2449" s="243">
        <v>2</v>
      </c>
      <c r="E2449" s="243">
        <v>2</v>
      </c>
      <c r="F2449" s="243">
        <v>0</v>
      </c>
      <c r="G2449" s="243">
        <v>0</v>
      </c>
      <c r="H2449" s="243">
        <v>1</v>
      </c>
      <c r="I2449" s="243">
        <v>4</v>
      </c>
      <c r="J2449" s="243">
        <v>1</v>
      </c>
      <c r="K2449" s="243">
        <v>2</v>
      </c>
      <c r="L2449" s="243">
        <v>1</v>
      </c>
      <c r="M2449" s="243">
        <v>0</v>
      </c>
      <c r="N2449" s="243">
        <v>0</v>
      </c>
      <c r="O2449" s="253">
        <v>1</v>
      </c>
    </row>
    <row r="2450" spans="1:15">
      <c r="A2450" s="242" t="s">
        <v>71</v>
      </c>
      <c r="B2450" s="43" t="s">
        <v>4</v>
      </c>
      <c r="C2450" s="15">
        <v>31</v>
      </c>
      <c r="D2450" s="244">
        <v>4</v>
      </c>
      <c r="E2450" s="244">
        <v>4</v>
      </c>
      <c r="F2450" s="244">
        <v>3</v>
      </c>
      <c r="G2450" s="244">
        <v>3</v>
      </c>
      <c r="H2450" s="244">
        <v>3</v>
      </c>
      <c r="I2450" s="244">
        <v>4</v>
      </c>
      <c r="J2450" s="244">
        <v>3</v>
      </c>
      <c r="K2450" s="244">
        <v>0</v>
      </c>
      <c r="L2450" s="244">
        <v>3</v>
      </c>
      <c r="M2450" s="244">
        <v>0</v>
      </c>
      <c r="N2450" s="244">
        <v>3</v>
      </c>
      <c r="O2450" s="254">
        <v>1</v>
      </c>
    </row>
    <row r="2451" spans="1:15">
      <c r="A2451" s="240" t="s">
        <v>71</v>
      </c>
      <c r="B2451" s="47" t="s">
        <v>5</v>
      </c>
      <c r="C2451" s="241">
        <v>2.21428571428571</v>
      </c>
      <c r="D2451" s="241">
        <v>2</v>
      </c>
      <c r="E2451" s="241">
        <v>2</v>
      </c>
      <c r="F2451" s="241">
        <v>0</v>
      </c>
      <c r="G2451" s="241">
        <v>0</v>
      </c>
      <c r="H2451" s="241">
        <v>3</v>
      </c>
      <c r="I2451" s="241">
        <v>1</v>
      </c>
      <c r="J2451" s="241">
        <v>3</v>
      </c>
      <c r="K2451" s="241">
        <v>0</v>
      </c>
      <c r="L2451" s="241">
        <v>3</v>
      </c>
      <c r="M2451" s="241">
        <v>0</v>
      </c>
      <c r="N2451" s="241">
        <v>0</v>
      </c>
      <c r="O2451" s="252">
        <v>1</v>
      </c>
    </row>
    <row r="2452" spans="1:15">
      <c r="A2452" s="242" t="s">
        <v>71</v>
      </c>
      <c r="B2452" s="43" t="s">
        <v>6</v>
      </c>
      <c r="C2452" s="15">
        <v>5</v>
      </c>
      <c r="D2452" s="244">
        <v>1</v>
      </c>
      <c r="E2452" s="244">
        <v>1</v>
      </c>
      <c r="F2452" s="244">
        <v>0</v>
      </c>
      <c r="G2452" s="244">
        <v>0</v>
      </c>
      <c r="H2452" s="244">
        <v>1</v>
      </c>
      <c r="I2452" s="244">
        <v>0</v>
      </c>
      <c r="J2452" s="244">
        <v>1</v>
      </c>
      <c r="K2452" s="244">
        <v>0</v>
      </c>
      <c r="L2452" s="244">
        <v>0</v>
      </c>
      <c r="M2452" s="244">
        <v>0</v>
      </c>
      <c r="N2452" s="244">
        <v>1</v>
      </c>
      <c r="O2452" s="254">
        <v>0</v>
      </c>
    </row>
    <row r="2453" ht="14.25" spans="1:15">
      <c r="A2453" s="245" t="s">
        <v>71</v>
      </c>
      <c r="B2453" s="52" t="s">
        <v>64</v>
      </c>
      <c r="C2453" s="19">
        <v>0.161290322580645</v>
      </c>
      <c r="D2453" s="19">
        <v>0.25</v>
      </c>
      <c r="E2453" s="19">
        <v>0.25</v>
      </c>
      <c r="F2453" s="19">
        <v>0</v>
      </c>
      <c r="G2453" s="19">
        <v>0</v>
      </c>
      <c r="H2453" s="19">
        <v>0.333333333333333</v>
      </c>
      <c r="I2453" s="19">
        <v>0</v>
      </c>
      <c r="J2453" s="19">
        <v>0.333333333333333</v>
      </c>
      <c r="K2453" s="19" t="e">
        <v>#DIV/0!</v>
      </c>
      <c r="L2453" s="19">
        <v>0</v>
      </c>
      <c r="M2453" s="19" t="e">
        <v>#DIV/0!</v>
      </c>
      <c r="N2453" s="19">
        <v>0.333333333333333</v>
      </c>
      <c r="O2453" s="19">
        <v>0</v>
      </c>
    </row>
    <row r="2454" spans="1:15">
      <c r="A2454" s="240" t="s">
        <v>72</v>
      </c>
      <c r="B2454" s="47" t="s">
        <v>55</v>
      </c>
      <c r="C2454" s="12">
        <v>0.524626317079147</v>
      </c>
      <c r="D2454" s="241">
        <v>0.561253561253561</v>
      </c>
      <c r="E2454" s="241">
        <v>0.5</v>
      </c>
      <c r="F2454" s="241">
        <v>0.466666666666667</v>
      </c>
      <c r="G2454" s="241">
        <v>0.596590909090909</v>
      </c>
      <c r="H2454" s="241">
        <v>0.553398058252427</v>
      </c>
      <c r="I2454" s="241">
        <v>0.519553072625698</v>
      </c>
      <c r="J2454" s="241">
        <v>0.519886363636364</v>
      </c>
      <c r="K2454" s="241">
        <v>0.507425742574257</v>
      </c>
      <c r="L2454" s="241">
        <v>0.477223427331887</v>
      </c>
      <c r="M2454" s="241">
        <v>0.550531914893617</v>
      </c>
      <c r="N2454" s="241">
        <v>0.516971279373368</v>
      </c>
      <c r="O2454" s="252">
        <v>0.541125541125541</v>
      </c>
    </row>
    <row r="2455" spans="1:15">
      <c r="A2455" s="242" t="s">
        <v>72</v>
      </c>
      <c r="B2455" s="43" t="s">
        <v>57</v>
      </c>
      <c r="C2455" s="15">
        <v>4081</v>
      </c>
      <c r="D2455" s="243">
        <v>351</v>
      </c>
      <c r="E2455" s="243">
        <v>284</v>
      </c>
      <c r="F2455" s="243">
        <v>165</v>
      </c>
      <c r="G2455" s="243">
        <v>176</v>
      </c>
      <c r="H2455" s="243">
        <v>309</v>
      </c>
      <c r="I2455" s="243">
        <v>358</v>
      </c>
      <c r="J2455" s="243">
        <v>352</v>
      </c>
      <c r="K2455" s="243">
        <v>404</v>
      </c>
      <c r="L2455" s="243">
        <v>461</v>
      </c>
      <c r="M2455" s="243">
        <v>376</v>
      </c>
      <c r="N2455" s="243">
        <v>383</v>
      </c>
      <c r="O2455" s="253">
        <v>462</v>
      </c>
    </row>
    <row r="2456" spans="1:15">
      <c r="A2456" s="240" t="s">
        <v>72</v>
      </c>
      <c r="B2456" s="47" t="s">
        <v>59</v>
      </c>
      <c r="C2456" s="15">
        <v>2141</v>
      </c>
      <c r="D2456" s="243">
        <v>197</v>
      </c>
      <c r="E2456" s="243">
        <v>142</v>
      </c>
      <c r="F2456" s="243">
        <v>77</v>
      </c>
      <c r="G2456" s="243">
        <v>105</v>
      </c>
      <c r="H2456" s="243">
        <v>171</v>
      </c>
      <c r="I2456" s="243">
        <v>186</v>
      </c>
      <c r="J2456" s="243">
        <v>183</v>
      </c>
      <c r="K2456" s="243">
        <v>205</v>
      </c>
      <c r="L2456" s="243">
        <v>220</v>
      </c>
      <c r="M2456" s="243">
        <v>207</v>
      </c>
      <c r="N2456" s="243">
        <v>198</v>
      </c>
      <c r="O2456" s="253">
        <v>250</v>
      </c>
    </row>
    <row r="2457" spans="1:15">
      <c r="A2457" s="242" t="s">
        <v>72</v>
      </c>
      <c r="B2457" s="43" t="s">
        <v>4</v>
      </c>
      <c r="C2457" s="15">
        <v>71</v>
      </c>
      <c r="D2457" s="244">
        <v>2</v>
      </c>
      <c r="E2457" s="244">
        <v>6</v>
      </c>
      <c r="F2457" s="244">
        <v>0</v>
      </c>
      <c r="G2457" s="244">
        <v>2</v>
      </c>
      <c r="H2457" s="244">
        <v>2</v>
      </c>
      <c r="I2457" s="244">
        <v>10</v>
      </c>
      <c r="J2457" s="244">
        <v>5</v>
      </c>
      <c r="K2457" s="244">
        <v>11</v>
      </c>
      <c r="L2457" s="244">
        <v>9</v>
      </c>
      <c r="M2457" s="244">
        <v>6</v>
      </c>
      <c r="N2457" s="244">
        <v>6</v>
      </c>
      <c r="O2457" s="254">
        <v>12</v>
      </c>
    </row>
    <row r="2458" spans="1:15">
      <c r="A2458" s="240" t="s">
        <v>72</v>
      </c>
      <c r="B2458" s="47" t="s">
        <v>5</v>
      </c>
      <c r="C2458" s="12">
        <v>0.033162073797291</v>
      </c>
      <c r="D2458" s="241">
        <v>0.0101522842639594</v>
      </c>
      <c r="E2458" s="241">
        <v>0.0422535211267606</v>
      </c>
      <c r="F2458" s="241">
        <v>0</v>
      </c>
      <c r="G2458" s="241">
        <v>0.019047619047619</v>
      </c>
      <c r="H2458" s="241">
        <v>0.0116959064327485</v>
      </c>
      <c r="I2458" s="241">
        <v>0.0537634408602151</v>
      </c>
      <c r="J2458" s="241">
        <v>0.0273224043715847</v>
      </c>
      <c r="K2458" s="241">
        <v>0.0536585365853659</v>
      </c>
      <c r="L2458" s="241">
        <v>0.0409090909090909</v>
      </c>
      <c r="M2458" s="241">
        <v>0.0289855072463768</v>
      </c>
      <c r="N2458" s="241">
        <v>0.0303030303030303</v>
      </c>
      <c r="O2458" s="252">
        <v>0.048</v>
      </c>
    </row>
    <row r="2459" spans="1:15">
      <c r="A2459" s="242" t="s">
        <v>72</v>
      </c>
      <c r="B2459" s="43" t="s">
        <v>6</v>
      </c>
      <c r="C2459" s="15">
        <v>14</v>
      </c>
      <c r="D2459" s="244">
        <v>2</v>
      </c>
      <c r="E2459" s="244">
        <v>1</v>
      </c>
      <c r="F2459" s="244">
        <v>0</v>
      </c>
      <c r="G2459" s="244">
        <v>1</v>
      </c>
      <c r="H2459" s="244">
        <v>0</v>
      </c>
      <c r="I2459" s="244">
        <v>3</v>
      </c>
      <c r="J2459" s="244">
        <v>0</v>
      </c>
      <c r="K2459" s="244">
        <v>0</v>
      </c>
      <c r="L2459" s="244">
        <v>1</v>
      </c>
      <c r="M2459" s="244">
        <v>2</v>
      </c>
      <c r="N2459" s="244">
        <v>3</v>
      </c>
      <c r="O2459" s="254">
        <v>1</v>
      </c>
    </row>
    <row r="2460" ht="14.25" spans="1:15">
      <c r="A2460" s="245" t="s">
        <v>72</v>
      </c>
      <c r="B2460" s="52" t="s">
        <v>64</v>
      </c>
      <c r="C2460" s="19">
        <v>0.197183098591549</v>
      </c>
      <c r="D2460" s="19">
        <v>1</v>
      </c>
      <c r="E2460" s="19">
        <v>0.166666666666667</v>
      </c>
      <c r="F2460" s="19" t="e">
        <v>#DIV/0!</v>
      </c>
      <c r="G2460" s="19">
        <v>0.5</v>
      </c>
      <c r="H2460" s="19">
        <v>0</v>
      </c>
      <c r="I2460" s="19">
        <v>0.3</v>
      </c>
      <c r="J2460" s="19">
        <v>0</v>
      </c>
      <c r="K2460" s="19">
        <v>0</v>
      </c>
      <c r="L2460" s="19">
        <v>0.111111111111111</v>
      </c>
      <c r="M2460" s="19">
        <v>0.333333333333333</v>
      </c>
      <c r="N2460" s="19">
        <v>0.5</v>
      </c>
      <c r="O2460" s="19">
        <v>0.0833333333333333</v>
      </c>
    </row>
    <row r="2461" ht="14.25" spans="1:15">
      <c r="A2461" s="237">
        <v>45057</v>
      </c>
      <c r="B2461" s="237"/>
      <c r="C2461" s="237"/>
      <c r="D2461" s="237"/>
      <c r="E2461" s="237"/>
      <c r="F2461" s="237"/>
      <c r="G2461" s="237"/>
      <c r="H2461" s="237"/>
      <c r="I2461" s="237"/>
      <c r="J2461" s="237"/>
      <c r="K2461" s="237"/>
      <c r="L2461" s="237"/>
      <c r="M2461" s="237"/>
      <c r="N2461" s="237"/>
      <c r="O2461" s="237"/>
    </row>
    <row r="2462" spans="1:15">
      <c r="A2462" s="56" t="s">
        <v>1</v>
      </c>
      <c r="B2462" s="238"/>
      <c r="C2462" s="8" t="s">
        <v>42</v>
      </c>
      <c r="D2462" s="239" t="s">
        <v>43</v>
      </c>
      <c r="E2462" s="239" t="s">
        <v>44</v>
      </c>
      <c r="F2462" s="239" t="s">
        <v>45</v>
      </c>
      <c r="G2462" s="239" t="s">
        <v>46</v>
      </c>
      <c r="H2462" s="239" t="s">
        <v>47</v>
      </c>
      <c r="I2462" s="239" t="s">
        <v>48</v>
      </c>
      <c r="J2462" s="239" t="s">
        <v>49</v>
      </c>
      <c r="K2462" s="239" t="s">
        <v>50</v>
      </c>
      <c r="L2462" s="239" t="s">
        <v>51</v>
      </c>
      <c r="M2462" s="239" t="s">
        <v>52</v>
      </c>
      <c r="N2462" s="239" t="s">
        <v>53</v>
      </c>
      <c r="O2462" s="251" t="s">
        <v>54</v>
      </c>
    </row>
    <row r="2463" spans="1:15">
      <c r="A2463" s="240" t="s">
        <v>22</v>
      </c>
      <c r="B2463" s="47" t="s">
        <v>55</v>
      </c>
      <c r="C2463" s="12">
        <v>0.420326223337516</v>
      </c>
      <c r="D2463" s="241">
        <v>0.504424778761062</v>
      </c>
      <c r="E2463" s="241">
        <v>0.435483870967742</v>
      </c>
      <c r="F2463" s="241">
        <v>0.560975609756098</v>
      </c>
      <c r="G2463" s="241">
        <v>0.538461538461538</v>
      </c>
      <c r="H2463" s="241">
        <v>0.5</v>
      </c>
      <c r="I2463" s="241">
        <v>0.462264150943396</v>
      </c>
      <c r="J2463" s="241">
        <v>0.440677966101695</v>
      </c>
      <c r="K2463" s="241">
        <v>0.354581673306773</v>
      </c>
      <c r="L2463" s="241">
        <v>0.372881355932203</v>
      </c>
      <c r="M2463" s="241">
        <v>0.419811320754717</v>
      </c>
      <c r="N2463" s="241">
        <v>0.360714285714286</v>
      </c>
      <c r="O2463" s="252">
        <v>0.349112426035503</v>
      </c>
    </row>
    <row r="2464" spans="1:15">
      <c r="A2464" s="242" t="s">
        <v>22</v>
      </c>
      <c r="B2464" s="43" t="s">
        <v>57</v>
      </c>
      <c r="C2464" s="15">
        <v>2391</v>
      </c>
      <c r="D2464" s="243">
        <v>226</v>
      </c>
      <c r="E2464" s="243">
        <v>124</v>
      </c>
      <c r="F2464" s="243">
        <v>82</v>
      </c>
      <c r="G2464" s="243">
        <v>91</v>
      </c>
      <c r="H2464" s="243">
        <v>162</v>
      </c>
      <c r="I2464" s="243">
        <v>212</v>
      </c>
      <c r="J2464" s="243">
        <v>177</v>
      </c>
      <c r="K2464" s="243">
        <v>251</v>
      </c>
      <c r="L2464" s="243">
        <v>236</v>
      </c>
      <c r="M2464" s="243">
        <v>212</v>
      </c>
      <c r="N2464" s="243">
        <v>280</v>
      </c>
      <c r="O2464" s="253">
        <v>338</v>
      </c>
    </row>
    <row r="2465" spans="1:15">
      <c r="A2465" s="240" t="s">
        <v>22</v>
      </c>
      <c r="B2465" s="47" t="s">
        <v>59</v>
      </c>
      <c r="C2465" s="15">
        <v>1005</v>
      </c>
      <c r="D2465" s="243">
        <v>114</v>
      </c>
      <c r="E2465" s="243">
        <v>54</v>
      </c>
      <c r="F2465" s="243">
        <v>46</v>
      </c>
      <c r="G2465" s="243">
        <v>49</v>
      </c>
      <c r="H2465" s="243">
        <v>81</v>
      </c>
      <c r="I2465" s="243">
        <v>98</v>
      </c>
      <c r="J2465" s="243">
        <v>78</v>
      </c>
      <c r="K2465" s="243">
        <v>89</v>
      </c>
      <c r="L2465" s="243">
        <v>88</v>
      </c>
      <c r="M2465" s="243">
        <v>89</v>
      </c>
      <c r="N2465" s="243">
        <v>101</v>
      </c>
      <c r="O2465" s="253">
        <v>118</v>
      </c>
    </row>
    <row r="2466" spans="1:15">
      <c r="A2466" s="242" t="s">
        <v>22</v>
      </c>
      <c r="B2466" s="43" t="s">
        <v>4</v>
      </c>
      <c r="C2466" s="15">
        <v>64</v>
      </c>
      <c r="D2466" s="244">
        <v>12</v>
      </c>
      <c r="E2466" s="244">
        <v>5</v>
      </c>
      <c r="F2466" s="244">
        <v>1</v>
      </c>
      <c r="G2466" s="244">
        <v>0</v>
      </c>
      <c r="H2466" s="244">
        <v>3</v>
      </c>
      <c r="I2466" s="244">
        <v>4</v>
      </c>
      <c r="J2466" s="244">
        <v>6</v>
      </c>
      <c r="K2466" s="244">
        <v>6</v>
      </c>
      <c r="L2466" s="244">
        <v>4</v>
      </c>
      <c r="M2466" s="244">
        <v>5</v>
      </c>
      <c r="N2466" s="244">
        <v>6</v>
      </c>
      <c r="O2466" s="254">
        <v>12</v>
      </c>
    </row>
    <row r="2467" spans="1:15">
      <c r="A2467" s="240" t="s">
        <v>22</v>
      </c>
      <c r="B2467" s="47" t="s">
        <v>5</v>
      </c>
      <c r="C2467" s="12">
        <v>0.063681592039801</v>
      </c>
      <c r="D2467" s="241">
        <v>0.105263157894737</v>
      </c>
      <c r="E2467" s="241">
        <v>0.0925925925925926</v>
      </c>
      <c r="F2467" s="241">
        <v>0.0217391304347826</v>
      </c>
      <c r="G2467" s="241">
        <v>0</v>
      </c>
      <c r="H2467" s="241">
        <v>0.037037037037037</v>
      </c>
      <c r="I2467" s="241">
        <v>0.0408163265306122</v>
      </c>
      <c r="J2467" s="241">
        <v>0.0769230769230769</v>
      </c>
      <c r="K2467" s="241">
        <v>0.0674157303370786</v>
      </c>
      <c r="L2467" s="241">
        <v>0.0454545454545455</v>
      </c>
      <c r="M2467" s="241">
        <v>0.0561797752808989</v>
      </c>
      <c r="N2467" s="241">
        <v>0.0594059405940594</v>
      </c>
      <c r="O2467" s="252">
        <v>0.101694915254237</v>
      </c>
    </row>
    <row r="2468" spans="1:15">
      <c r="A2468" s="242" t="s">
        <v>22</v>
      </c>
      <c r="B2468" s="43" t="s">
        <v>6</v>
      </c>
      <c r="C2468" s="15">
        <v>27</v>
      </c>
      <c r="D2468" s="244">
        <v>6</v>
      </c>
      <c r="E2468" s="244">
        <v>2</v>
      </c>
      <c r="F2468" s="244">
        <v>0</v>
      </c>
      <c r="G2468" s="244">
        <v>1</v>
      </c>
      <c r="H2468" s="244">
        <v>2</v>
      </c>
      <c r="I2468" s="244">
        <v>3</v>
      </c>
      <c r="J2468" s="244">
        <v>2</v>
      </c>
      <c r="K2468" s="244">
        <v>2</v>
      </c>
      <c r="L2468" s="244">
        <v>0</v>
      </c>
      <c r="M2468" s="244">
        <v>3</v>
      </c>
      <c r="N2468" s="244">
        <v>3</v>
      </c>
      <c r="O2468" s="254">
        <v>3</v>
      </c>
    </row>
    <row r="2469" ht="14.25" spans="1:15">
      <c r="A2469" s="245" t="s">
        <v>22</v>
      </c>
      <c r="B2469" s="52" t="s">
        <v>64</v>
      </c>
      <c r="C2469" s="19">
        <v>0.421875</v>
      </c>
      <c r="D2469" s="246">
        <v>0.5</v>
      </c>
      <c r="E2469" s="246">
        <v>0.4</v>
      </c>
      <c r="F2469" s="246">
        <v>0</v>
      </c>
      <c r="G2469" s="246">
        <v>0</v>
      </c>
      <c r="H2469" s="246">
        <v>0.666666666666667</v>
      </c>
      <c r="I2469" s="246">
        <v>0.75</v>
      </c>
      <c r="J2469" s="246">
        <v>0.333333333333333</v>
      </c>
      <c r="K2469" s="246">
        <v>0.333333333333333</v>
      </c>
      <c r="L2469" s="246">
        <v>0</v>
      </c>
      <c r="M2469" s="246">
        <v>0.6</v>
      </c>
      <c r="N2469" s="246">
        <v>0.5</v>
      </c>
      <c r="O2469" s="255">
        <v>0.25</v>
      </c>
    </row>
    <row r="2470" spans="1:15">
      <c r="A2470" s="247" t="s">
        <v>66</v>
      </c>
      <c r="B2470" s="248" t="s">
        <v>55</v>
      </c>
      <c r="C2470" s="12">
        <v>0.11270207852194</v>
      </c>
      <c r="D2470" s="249">
        <v>0.0682492581602374</v>
      </c>
      <c r="E2470" s="249">
        <v>0.0453333333333333</v>
      </c>
      <c r="F2470" s="249">
        <v>0.0590405904059041</v>
      </c>
      <c r="G2470" s="249">
        <v>0.0625</v>
      </c>
      <c r="H2470" s="249">
        <v>0.143712574850299</v>
      </c>
      <c r="I2470" s="249">
        <v>0.111111111111111</v>
      </c>
      <c r="J2470" s="249">
        <v>0.172131147540984</v>
      </c>
      <c r="K2470" s="249">
        <v>0.201754385964912</v>
      </c>
      <c r="L2470" s="249">
        <v>0.231404958677686</v>
      </c>
      <c r="M2470" s="249">
        <v>0.16504854368932</v>
      </c>
      <c r="N2470" s="249">
        <v>0.25</v>
      </c>
      <c r="O2470" s="256">
        <v>0.16793893129771</v>
      </c>
    </row>
    <row r="2471" spans="1:15">
      <c r="A2471" s="242" t="s">
        <v>66</v>
      </c>
      <c r="B2471" s="43" t="s">
        <v>57</v>
      </c>
      <c r="C2471" s="15">
        <v>2165</v>
      </c>
      <c r="D2471" s="243">
        <v>337</v>
      </c>
      <c r="E2471" s="243">
        <v>375</v>
      </c>
      <c r="F2471" s="243">
        <v>271</v>
      </c>
      <c r="G2471" s="243">
        <v>176</v>
      </c>
      <c r="H2471" s="243">
        <v>167</v>
      </c>
      <c r="I2471" s="243">
        <v>144</v>
      </c>
      <c r="J2471" s="243">
        <v>122</v>
      </c>
      <c r="K2471" s="243">
        <v>114</v>
      </c>
      <c r="L2471" s="243">
        <v>121</v>
      </c>
      <c r="M2471" s="243">
        <v>103</v>
      </c>
      <c r="N2471" s="243">
        <v>104</v>
      </c>
      <c r="O2471" s="253">
        <v>131</v>
      </c>
    </row>
    <row r="2472" spans="1:15">
      <c r="A2472" s="240" t="s">
        <v>66</v>
      </c>
      <c r="B2472" s="47" t="s">
        <v>59</v>
      </c>
      <c r="C2472" s="15">
        <v>244</v>
      </c>
      <c r="D2472" s="243">
        <v>23</v>
      </c>
      <c r="E2472" s="243">
        <v>17</v>
      </c>
      <c r="F2472" s="243">
        <v>16</v>
      </c>
      <c r="G2472" s="243">
        <v>11</v>
      </c>
      <c r="H2472" s="243">
        <v>24</v>
      </c>
      <c r="I2472" s="243">
        <v>16</v>
      </c>
      <c r="J2472" s="243">
        <v>21</v>
      </c>
      <c r="K2472" s="243">
        <v>23</v>
      </c>
      <c r="L2472" s="243">
        <v>28</v>
      </c>
      <c r="M2472" s="243">
        <v>17</v>
      </c>
      <c r="N2472" s="243">
        <v>26</v>
      </c>
      <c r="O2472" s="253">
        <v>22</v>
      </c>
    </row>
    <row r="2473" spans="1:15">
      <c r="A2473" s="242" t="s">
        <v>66</v>
      </c>
      <c r="B2473" s="43" t="s">
        <v>4</v>
      </c>
      <c r="C2473" s="15">
        <v>12</v>
      </c>
      <c r="D2473" s="244">
        <v>1</v>
      </c>
      <c r="E2473" s="244">
        <v>2</v>
      </c>
      <c r="F2473" s="244">
        <v>0</v>
      </c>
      <c r="G2473" s="244">
        <v>1</v>
      </c>
      <c r="H2473" s="244">
        <v>0</v>
      </c>
      <c r="I2473" s="244">
        <v>1</v>
      </c>
      <c r="J2473" s="244">
        <v>0</v>
      </c>
      <c r="K2473" s="244">
        <v>1</v>
      </c>
      <c r="L2473" s="244">
        <v>1</v>
      </c>
      <c r="M2473" s="244">
        <v>2</v>
      </c>
      <c r="N2473" s="244">
        <v>2</v>
      </c>
      <c r="O2473" s="254">
        <v>1</v>
      </c>
    </row>
    <row r="2474" spans="1:15">
      <c r="A2474" s="240" t="s">
        <v>66</v>
      </c>
      <c r="B2474" s="47" t="s">
        <v>5</v>
      </c>
      <c r="C2474" s="12">
        <v>0.0491803278688525</v>
      </c>
      <c r="D2474" s="241">
        <v>0.0434782608695652</v>
      </c>
      <c r="E2474" s="241">
        <v>0.117647058823529</v>
      </c>
      <c r="F2474" s="241">
        <v>0</v>
      </c>
      <c r="G2474" s="241">
        <v>0.0909090909090909</v>
      </c>
      <c r="H2474" s="241">
        <v>0</v>
      </c>
      <c r="I2474" s="241">
        <v>0.0625</v>
      </c>
      <c r="J2474" s="241">
        <v>0</v>
      </c>
      <c r="K2474" s="241">
        <v>0.0434782608695652</v>
      </c>
      <c r="L2474" s="241">
        <v>0.0357142857142857</v>
      </c>
      <c r="M2474" s="241">
        <v>0.117647058823529</v>
      </c>
      <c r="N2474" s="241">
        <v>0.0769230769230769</v>
      </c>
      <c r="O2474" s="252">
        <v>0.0454545454545455</v>
      </c>
    </row>
    <row r="2475" spans="1:15">
      <c r="A2475" s="242" t="s">
        <v>66</v>
      </c>
      <c r="B2475" s="43" t="s">
        <v>6</v>
      </c>
      <c r="C2475" s="15">
        <v>5</v>
      </c>
      <c r="D2475" s="244">
        <v>0</v>
      </c>
      <c r="E2475" s="244">
        <v>1</v>
      </c>
      <c r="F2475" s="244">
        <v>0</v>
      </c>
      <c r="G2475" s="244">
        <v>0</v>
      </c>
      <c r="H2475" s="244">
        <v>1</v>
      </c>
      <c r="I2475" s="244">
        <v>1</v>
      </c>
      <c r="J2475" s="244">
        <v>0</v>
      </c>
      <c r="K2475" s="244">
        <v>1</v>
      </c>
      <c r="L2475" s="244">
        <v>1</v>
      </c>
      <c r="M2475" s="244">
        <v>0</v>
      </c>
      <c r="N2475" s="244">
        <v>0</v>
      </c>
      <c r="O2475" s="254">
        <v>0</v>
      </c>
    </row>
    <row r="2476" ht="14.25" spans="1:15">
      <c r="A2476" s="245" t="s">
        <v>66</v>
      </c>
      <c r="B2476" s="52" t="s">
        <v>64</v>
      </c>
      <c r="C2476" s="19">
        <v>0.416666666666667</v>
      </c>
      <c r="D2476" s="246">
        <v>0</v>
      </c>
      <c r="E2476" s="246">
        <v>0.5</v>
      </c>
      <c r="F2476" s="246">
        <v>0</v>
      </c>
      <c r="G2476" s="246">
        <v>0</v>
      </c>
      <c r="H2476" s="246">
        <v>0</v>
      </c>
      <c r="I2476" s="246">
        <v>1</v>
      </c>
      <c r="J2476" s="246">
        <v>0</v>
      </c>
      <c r="K2476" s="246">
        <v>1</v>
      </c>
      <c r="L2476" s="246">
        <v>1</v>
      </c>
      <c r="M2476" s="246">
        <v>0</v>
      </c>
      <c r="N2476" s="246">
        <v>0</v>
      </c>
      <c r="O2476" s="255">
        <v>0</v>
      </c>
    </row>
    <row r="2477" spans="1:15">
      <c r="A2477" s="240" t="s">
        <v>67</v>
      </c>
      <c r="B2477" s="47" t="s">
        <v>55</v>
      </c>
      <c r="C2477" s="12">
        <v>0.836575875486381</v>
      </c>
      <c r="D2477" s="241">
        <v>1.11111111111111</v>
      </c>
      <c r="E2477" s="241">
        <v>0.947368421052632</v>
      </c>
      <c r="F2477" s="241">
        <v>0.777777777777778</v>
      </c>
      <c r="G2477" s="241">
        <v>6</v>
      </c>
      <c r="H2477" s="241">
        <v>2</v>
      </c>
      <c r="I2477" s="241">
        <v>0.794117647058823</v>
      </c>
      <c r="J2477" s="241">
        <v>0.5</v>
      </c>
      <c r="K2477" s="241">
        <v>0.833333333333333</v>
      </c>
      <c r="L2477" s="241">
        <v>0.740740740740741</v>
      </c>
      <c r="M2477" s="241">
        <v>0.818181818181818</v>
      </c>
      <c r="N2477" s="241">
        <v>0.513513513513513</v>
      </c>
      <c r="O2477" s="252">
        <v>0.515151515151515</v>
      </c>
    </row>
    <row r="2478" spans="1:15">
      <c r="A2478" s="242" t="s">
        <v>67</v>
      </c>
      <c r="B2478" s="43" t="s">
        <v>57</v>
      </c>
      <c r="C2478" s="15">
        <v>257</v>
      </c>
      <c r="D2478" s="243">
        <v>18</v>
      </c>
      <c r="E2478" s="243">
        <v>19</v>
      </c>
      <c r="F2478" s="243">
        <v>9</v>
      </c>
      <c r="G2478" s="243">
        <v>2</v>
      </c>
      <c r="H2478" s="243">
        <v>14</v>
      </c>
      <c r="I2478" s="243">
        <v>34</v>
      </c>
      <c r="J2478" s="243">
        <v>18</v>
      </c>
      <c r="K2478" s="243">
        <v>24</v>
      </c>
      <c r="L2478" s="243">
        <v>27</v>
      </c>
      <c r="M2478" s="243">
        <v>22</v>
      </c>
      <c r="N2478" s="243">
        <v>37</v>
      </c>
      <c r="O2478" s="253">
        <v>33</v>
      </c>
    </row>
    <row r="2479" spans="1:15">
      <c r="A2479" s="240" t="s">
        <v>67</v>
      </c>
      <c r="B2479" s="47" t="s">
        <v>59</v>
      </c>
      <c r="C2479" s="15">
        <v>215</v>
      </c>
      <c r="D2479" s="243">
        <v>20</v>
      </c>
      <c r="E2479" s="243">
        <v>18</v>
      </c>
      <c r="F2479" s="243">
        <v>7</v>
      </c>
      <c r="G2479" s="243">
        <v>12</v>
      </c>
      <c r="H2479" s="243">
        <v>28</v>
      </c>
      <c r="I2479" s="243">
        <v>27</v>
      </c>
      <c r="J2479" s="243">
        <v>9</v>
      </c>
      <c r="K2479" s="243">
        <v>20</v>
      </c>
      <c r="L2479" s="243">
        <v>20</v>
      </c>
      <c r="M2479" s="243">
        <v>18</v>
      </c>
      <c r="N2479" s="243">
        <v>19</v>
      </c>
      <c r="O2479" s="253">
        <v>17</v>
      </c>
    </row>
    <row r="2480" spans="1:15">
      <c r="A2480" s="242" t="s">
        <v>67</v>
      </c>
      <c r="B2480" s="43" t="s">
        <v>4</v>
      </c>
      <c r="C2480" s="15">
        <v>11</v>
      </c>
      <c r="D2480" s="244">
        <v>1</v>
      </c>
      <c r="E2480" s="244">
        <v>2</v>
      </c>
      <c r="F2480" s="244">
        <v>0</v>
      </c>
      <c r="G2480" s="244">
        <v>0</v>
      </c>
      <c r="H2480" s="244">
        <v>0</v>
      </c>
      <c r="I2480" s="244">
        <v>0</v>
      </c>
      <c r="J2480" s="244">
        <v>0</v>
      </c>
      <c r="K2480" s="244">
        <v>1</v>
      </c>
      <c r="L2480" s="244">
        <v>3</v>
      </c>
      <c r="M2480" s="244">
        <v>0</v>
      </c>
      <c r="N2480" s="244">
        <v>2</v>
      </c>
      <c r="O2480" s="254">
        <v>2</v>
      </c>
    </row>
    <row r="2481" spans="1:15">
      <c r="A2481" s="240" t="s">
        <v>67</v>
      </c>
      <c r="B2481" s="47" t="s">
        <v>5</v>
      </c>
      <c r="C2481" s="12">
        <v>0.0511627906976744</v>
      </c>
      <c r="D2481" s="241">
        <v>0.05</v>
      </c>
      <c r="E2481" s="241">
        <v>0.111111111111111</v>
      </c>
      <c r="F2481" s="241">
        <v>0</v>
      </c>
      <c r="G2481" s="241">
        <v>0</v>
      </c>
      <c r="H2481" s="241">
        <v>0</v>
      </c>
      <c r="I2481" s="241">
        <v>0</v>
      </c>
      <c r="J2481" s="241">
        <v>0</v>
      </c>
      <c r="K2481" s="241">
        <v>0.05</v>
      </c>
      <c r="L2481" s="241">
        <v>0.15</v>
      </c>
      <c r="M2481" s="241">
        <v>0</v>
      </c>
      <c r="N2481" s="241">
        <v>0.105263157894737</v>
      </c>
      <c r="O2481" s="252">
        <v>0.117647058823529</v>
      </c>
    </row>
    <row r="2482" spans="1:15">
      <c r="A2482" s="242" t="s">
        <v>67</v>
      </c>
      <c r="B2482" s="43" t="s">
        <v>6</v>
      </c>
      <c r="C2482" s="15">
        <v>7</v>
      </c>
      <c r="D2482" s="244">
        <v>2</v>
      </c>
      <c r="E2482" s="244">
        <v>0</v>
      </c>
      <c r="F2482" s="244">
        <v>0</v>
      </c>
      <c r="G2482" s="244">
        <v>0</v>
      </c>
      <c r="H2482" s="244">
        <v>0</v>
      </c>
      <c r="I2482" s="244">
        <v>0</v>
      </c>
      <c r="J2482" s="244">
        <v>0</v>
      </c>
      <c r="K2482" s="244">
        <v>0</v>
      </c>
      <c r="L2482" s="244">
        <v>1</v>
      </c>
      <c r="M2482" s="244">
        <v>0</v>
      </c>
      <c r="N2482" s="244">
        <v>3</v>
      </c>
      <c r="O2482" s="254">
        <v>1</v>
      </c>
    </row>
    <row r="2483" ht="14.25" spans="1:15">
      <c r="A2483" s="245" t="s">
        <v>67</v>
      </c>
      <c r="B2483" s="52" t="s">
        <v>64</v>
      </c>
      <c r="C2483" s="19">
        <v>0.636363636363636</v>
      </c>
      <c r="D2483" s="246">
        <v>2</v>
      </c>
      <c r="E2483" s="246">
        <v>0</v>
      </c>
      <c r="F2483" s="246">
        <v>0</v>
      </c>
      <c r="G2483" s="246">
        <v>0</v>
      </c>
      <c r="H2483" s="246">
        <v>0</v>
      </c>
      <c r="I2483" s="246">
        <v>0</v>
      </c>
      <c r="J2483" s="246">
        <v>0</v>
      </c>
      <c r="K2483" s="246">
        <v>0</v>
      </c>
      <c r="L2483" s="246">
        <v>0.333333333333333</v>
      </c>
      <c r="M2483" s="246">
        <v>0</v>
      </c>
      <c r="N2483" s="246">
        <v>1.5</v>
      </c>
      <c r="O2483" s="255">
        <v>0.5</v>
      </c>
    </row>
    <row r="2484" spans="1:15">
      <c r="A2484" s="240" t="s">
        <v>68</v>
      </c>
      <c r="B2484" s="47" t="s">
        <v>55</v>
      </c>
      <c r="C2484" s="12">
        <v>0.0876180482686254</v>
      </c>
      <c r="D2484" s="241">
        <v>0.0757142857142857</v>
      </c>
      <c r="E2484" s="241">
        <v>0.0580524344569288</v>
      </c>
      <c r="F2484" s="241">
        <v>0.049800796812749</v>
      </c>
      <c r="G2484" s="241">
        <v>0.0502793296089385</v>
      </c>
      <c r="H2484" s="241">
        <v>0.101307189542484</v>
      </c>
      <c r="I2484" s="241">
        <v>0.113416320885201</v>
      </c>
      <c r="J2484" s="241">
        <v>0.116279069767442</v>
      </c>
      <c r="K2484" s="241">
        <v>0.100981767180926</v>
      </c>
      <c r="L2484" s="241">
        <v>0.109567901234568</v>
      </c>
      <c r="M2484" s="241">
        <v>0.0918836140888208</v>
      </c>
      <c r="N2484" s="241">
        <v>0.0906298003072197</v>
      </c>
      <c r="O2484" s="252">
        <v>0.0693815987933635</v>
      </c>
    </row>
    <row r="2485" spans="1:15">
      <c r="A2485" s="242" t="s">
        <v>68</v>
      </c>
      <c r="B2485" s="43" t="s">
        <v>57</v>
      </c>
      <c r="C2485" s="15">
        <v>7624</v>
      </c>
      <c r="D2485" s="243">
        <v>700</v>
      </c>
      <c r="E2485" s="243">
        <v>534</v>
      </c>
      <c r="F2485" s="243">
        <v>502</v>
      </c>
      <c r="G2485" s="243">
        <v>537</v>
      </c>
      <c r="H2485" s="243">
        <v>612</v>
      </c>
      <c r="I2485" s="243">
        <v>723</v>
      </c>
      <c r="J2485" s="243">
        <v>688</v>
      </c>
      <c r="K2485" s="243">
        <v>713</v>
      </c>
      <c r="L2485" s="243">
        <v>648</v>
      </c>
      <c r="M2485" s="243">
        <v>653</v>
      </c>
      <c r="N2485" s="243">
        <v>651</v>
      </c>
      <c r="O2485" s="253">
        <v>663</v>
      </c>
    </row>
    <row r="2486" spans="1:15">
      <c r="A2486" s="240" t="s">
        <v>68</v>
      </c>
      <c r="B2486" s="47" t="s">
        <v>59</v>
      </c>
      <c r="C2486" s="15">
        <v>668</v>
      </c>
      <c r="D2486" s="243">
        <v>53</v>
      </c>
      <c r="E2486" s="243">
        <v>31</v>
      </c>
      <c r="F2486" s="243">
        <v>25</v>
      </c>
      <c r="G2486" s="243">
        <v>27</v>
      </c>
      <c r="H2486" s="243">
        <v>62</v>
      </c>
      <c r="I2486" s="243">
        <v>82</v>
      </c>
      <c r="J2486" s="243">
        <v>80</v>
      </c>
      <c r="K2486" s="243">
        <v>72</v>
      </c>
      <c r="L2486" s="243">
        <v>71</v>
      </c>
      <c r="M2486" s="243">
        <v>60</v>
      </c>
      <c r="N2486" s="243">
        <v>59</v>
      </c>
      <c r="O2486" s="253">
        <v>46</v>
      </c>
    </row>
    <row r="2487" spans="1:15">
      <c r="A2487" s="242" t="s">
        <v>68</v>
      </c>
      <c r="B2487" s="43" t="s">
        <v>4</v>
      </c>
      <c r="C2487" s="15">
        <v>25</v>
      </c>
      <c r="D2487" s="244">
        <v>4</v>
      </c>
      <c r="E2487" s="244">
        <v>1</v>
      </c>
      <c r="F2487" s="244">
        <v>1</v>
      </c>
      <c r="G2487" s="244">
        <v>0</v>
      </c>
      <c r="H2487" s="244">
        <v>1</v>
      </c>
      <c r="I2487" s="244">
        <v>2</v>
      </c>
      <c r="J2487" s="244">
        <v>6</v>
      </c>
      <c r="K2487" s="244">
        <v>0</v>
      </c>
      <c r="L2487" s="244">
        <v>2</v>
      </c>
      <c r="M2487" s="244">
        <v>2</v>
      </c>
      <c r="N2487" s="244">
        <v>4</v>
      </c>
      <c r="O2487" s="254">
        <v>2</v>
      </c>
    </row>
    <row r="2488" spans="1:15">
      <c r="A2488" s="240" t="s">
        <v>68</v>
      </c>
      <c r="B2488" s="47" t="s">
        <v>5</v>
      </c>
      <c r="C2488" s="12">
        <v>0.0374251497005988</v>
      </c>
      <c r="D2488" s="241">
        <v>0.0754716981132075</v>
      </c>
      <c r="E2488" s="241">
        <v>0.032258064516129</v>
      </c>
      <c r="F2488" s="241">
        <v>0.04</v>
      </c>
      <c r="G2488" s="241">
        <v>0</v>
      </c>
      <c r="H2488" s="241">
        <v>0.0161290322580645</v>
      </c>
      <c r="I2488" s="241">
        <v>0.024390243902439</v>
      </c>
      <c r="J2488" s="241">
        <v>0.075</v>
      </c>
      <c r="K2488" s="241">
        <v>0</v>
      </c>
      <c r="L2488" s="241">
        <v>0.028169014084507</v>
      </c>
      <c r="M2488" s="241">
        <v>0.0333333333333333</v>
      </c>
      <c r="N2488" s="241">
        <v>0.0677966101694915</v>
      </c>
      <c r="O2488" s="252">
        <v>0.0434782608695652</v>
      </c>
    </row>
    <row r="2489" spans="1:15">
      <c r="A2489" s="242" t="s">
        <v>68</v>
      </c>
      <c r="B2489" s="43" t="s">
        <v>6</v>
      </c>
      <c r="C2489" s="15">
        <v>9</v>
      </c>
      <c r="D2489" s="244">
        <v>1</v>
      </c>
      <c r="E2489" s="244">
        <v>1</v>
      </c>
      <c r="F2489" s="244">
        <v>0</v>
      </c>
      <c r="G2489" s="244">
        <v>1</v>
      </c>
      <c r="H2489" s="244">
        <v>0</v>
      </c>
      <c r="I2489" s="244">
        <v>0</v>
      </c>
      <c r="J2489" s="244">
        <v>1</v>
      </c>
      <c r="K2489" s="244">
        <v>0</v>
      </c>
      <c r="L2489" s="244">
        <v>3</v>
      </c>
      <c r="M2489" s="244">
        <v>0</v>
      </c>
      <c r="N2489" s="244">
        <v>1</v>
      </c>
      <c r="O2489" s="254">
        <v>1</v>
      </c>
    </row>
    <row r="2490" ht="14.25" spans="1:15">
      <c r="A2490" s="245" t="s">
        <v>68</v>
      </c>
      <c r="B2490" s="52" t="s">
        <v>64</v>
      </c>
      <c r="C2490" s="19">
        <v>0.36</v>
      </c>
      <c r="D2490" s="246">
        <v>0.25</v>
      </c>
      <c r="E2490" s="246">
        <v>1</v>
      </c>
      <c r="F2490" s="246">
        <v>0</v>
      </c>
      <c r="G2490" s="246">
        <v>0</v>
      </c>
      <c r="H2490" s="246">
        <v>0</v>
      </c>
      <c r="I2490" s="246">
        <v>0</v>
      </c>
      <c r="J2490" s="246">
        <v>0.166666666666667</v>
      </c>
      <c r="K2490" s="246">
        <v>0</v>
      </c>
      <c r="L2490" s="246">
        <v>1.5</v>
      </c>
      <c r="M2490" s="246">
        <v>0</v>
      </c>
      <c r="N2490" s="246">
        <v>0.25</v>
      </c>
      <c r="O2490" s="255">
        <v>0.5</v>
      </c>
    </row>
    <row r="2491" spans="1:15">
      <c r="A2491" s="240" t="s">
        <v>69</v>
      </c>
      <c r="B2491" s="47" t="s">
        <v>55</v>
      </c>
      <c r="C2491" s="12">
        <v>0.835971223021583</v>
      </c>
      <c r="D2491" s="241">
        <v>1.16666666666667</v>
      </c>
      <c r="E2491" s="241">
        <v>1.29166666666667</v>
      </c>
      <c r="F2491" s="241">
        <v>1.5</v>
      </c>
      <c r="G2491" s="241">
        <v>0.92</v>
      </c>
      <c r="H2491" s="241">
        <v>1.08888888888889</v>
      </c>
      <c r="I2491" s="241">
        <v>0.777777777777778</v>
      </c>
      <c r="J2491" s="241">
        <v>0.815384615384615</v>
      </c>
      <c r="K2491" s="241">
        <v>0.587301587301587</v>
      </c>
      <c r="L2491" s="241">
        <v>0.571428571428571</v>
      </c>
      <c r="M2491" s="241">
        <v>0.775</v>
      </c>
      <c r="N2491" s="241">
        <v>0.820754716981132</v>
      </c>
      <c r="O2491" s="252">
        <v>0.91358024691358</v>
      </c>
    </row>
    <row r="2492" spans="1:15">
      <c r="A2492" s="242" t="s">
        <v>69</v>
      </c>
      <c r="B2492" s="43" t="s">
        <v>57</v>
      </c>
      <c r="C2492" s="15">
        <v>695</v>
      </c>
      <c r="D2492" s="243">
        <v>42</v>
      </c>
      <c r="E2492" s="243">
        <v>24</v>
      </c>
      <c r="F2492" s="243">
        <v>10</v>
      </c>
      <c r="G2492" s="243">
        <v>25</v>
      </c>
      <c r="H2492" s="243">
        <v>45</v>
      </c>
      <c r="I2492" s="243">
        <v>63</v>
      </c>
      <c r="J2492" s="243">
        <v>65</v>
      </c>
      <c r="K2492" s="243">
        <v>63</v>
      </c>
      <c r="L2492" s="243">
        <v>91</v>
      </c>
      <c r="M2492" s="243">
        <v>80</v>
      </c>
      <c r="N2492" s="243">
        <v>106</v>
      </c>
      <c r="O2492" s="253">
        <v>81</v>
      </c>
    </row>
    <row r="2493" spans="1:15">
      <c r="A2493" s="240" t="s">
        <v>69</v>
      </c>
      <c r="B2493" s="47" t="s">
        <v>59</v>
      </c>
      <c r="C2493" s="15">
        <v>581</v>
      </c>
      <c r="D2493" s="243">
        <v>49</v>
      </c>
      <c r="E2493" s="243">
        <v>31</v>
      </c>
      <c r="F2493" s="243">
        <v>15</v>
      </c>
      <c r="G2493" s="243">
        <v>23</v>
      </c>
      <c r="H2493" s="243">
        <v>49</v>
      </c>
      <c r="I2493" s="243">
        <v>49</v>
      </c>
      <c r="J2493" s="243">
        <v>53</v>
      </c>
      <c r="K2493" s="243">
        <v>37</v>
      </c>
      <c r="L2493" s="243">
        <v>52</v>
      </c>
      <c r="M2493" s="243">
        <v>62</v>
      </c>
      <c r="N2493" s="243">
        <v>87</v>
      </c>
      <c r="O2493" s="253">
        <v>74</v>
      </c>
    </row>
    <row r="2494" spans="1:15">
      <c r="A2494" s="242" t="s">
        <v>69</v>
      </c>
      <c r="B2494" s="43" t="s">
        <v>4</v>
      </c>
      <c r="C2494" s="15">
        <v>26</v>
      </c>
      <c r="D2494" s="244">
        <v>1</v>
      </c>
      <c r="E2494" s="244">
        <v>0</v>
      </c>
      <c r="F2494" s="244">
        <v>0</v>
      </c>
      <c r="G2494" s="244">
        <v>1</v>
      </c>
      <c r="H2494" s="244">
        <v>1</v>
      </c>
      <c r="I2494" s="244">
        <v>3</v>
      </c>
      <c r="J2494" s="244">
        <v>6</v>
      </c>
      <c r="K2494" s="244">
        <v>2</v>
      </c>
      <c r="L2494" s="244">
        <v>0</v>
      </c>
      <c r="M2494" s="244">
        <v>5</v>
      </c>
      <c r="N2494" s="244">
        <v>2</v>
      </c>
      <c r="O2494" s="254">
        <v>5</v>
      </c>
    </row>
    <row r="2495" spans="1:15">
      <c r="A2495" s="240" t="s">
        <v>69</v>
      </c>
      <c r="B2495" s="47" t="s">
        <v>5</v>
      </c>
      <c r="C2495" s="12">
        <v>0.044750430292599</v>
      </c>
      <c r="D2495" s="241">
        <v>0.0204081632653061</v>
      </c>
      <c r="E2495" s="241">
        <v>0</v>
      </c>
      <c r="F2495" s="241">
        <v>0</v>
      </c>
      <c r="G2495" s="241">
        <v>0.0434782608695652</v>
      </c>
      <c r="H2495" s="241">
        <v>0.0204081632653061</v>
      </c>
      <c r="I2495" s="241">
        <v>0.0612244897959184</v>
      </c>
      <c r="J2495" s="241">
        <v>0.113207547169811</v>
      </c>
      <c r="K2495" s="241">
        <v>0.0540540540540541</v>
      </c>
      <c r="L2495" s="241">
        <v>0</v>
      </c>
      <c r="M2495" s="241">
        <v>0.0806451612903226</v>
      </c>
      <c r="N2495" s="241">
        <v>0.0229885057471264</v>
      </c>
      <c r="O2495" s="252">
        <v>0.0675675675675676</v>
      </c>
    </row>
    <row r="2496" spans="1:15">
      <c r="A2496" s="242" t="s">
        <v>69</v>
      </c>
      <c r="B2496" s="43" t="s">
        <v>6</v>
      </c>
      <c r="C2496" s="15">
        <v>14</v>
      </c>
      <c r="D2496" s="244">
        <v>0</v>
      </c>
      <c r="E2496" s="244">
        <v>1</v>
      </c>
      <c r="F2496" s="244">
        <v>2</v>
      </c>
      <c r="G2496" s="244">
        <v>0</v>
      </c>
      <c r="H2496" s="244">
        <v>1</v>
      </c>
      <c r="I2496" s="244">
        <v>2</v>
      </c>
      <c r="J2496" s="244">
        <v>1</v>
      </c>
      <c r="K2496" s="244">
        <v>0</v>
      </c>
      <c r="L2496" s="244">
        <v>1</v>
      </c>
      <c r="M2496" s="244">
        <v>2</v>
      </c>
      <c r="N2496" s="244">
        <v>1</v>
      </c>
      <c r="O2496" s="254">
        <v>3</v>
      </c>
    </row>
    <row r="2497" ht="14.25" spans="1:15">
      <c r="A2497" s="245" t="s">
        <v>69</v>
      </c>
      <c r="B2497" s="52" t="s">
        <v>64</v>
      </c>
      <c r="C2497" s="19">
        <v>0.538461538461538</v>
      </c>
      <c r="D2497" s="246">
        <v>0</v>
      </c>
      <c r="E2497" s="246">
        <v>0</v>
      </c>
      <c r="F2497" s="246">
        <v>0</v>
      </c>
      <c r="G2497" s="246">
        <v>0</v>
      </c>
      <c r="H2497" s="246">
        <v>1</v>
      </c>
      <c r="I2497" s="246">
        <v>0.666666666666667</v>
      </c>
      <c r="J2497" s="246">
        <v>0.166666666666667</v>
      </c>
      <c r="K2497" s="246">
        <v>0</v>
      </c>
      <c r="L2497" s="246">
        <v>0</v>
      </c>
      <c r="M2497" s="246">
        <v>0.4</v>
      </c>
      <c r="N2497" s="246">
        <v>0.5</v>
      </c>
      <c r="O2497" s="255">
        <v>0.6</v>
      </c>
    </row>
    <row r="2498" spans="1:15">
      <c r="A2498" s="240" t="s">
        <v>70</v>
      </c>
      <c r="B2498" s="47" t="s">
        <v>55</v>
      </c>
      <c r="C2498" s="12">
        <v>0.921575846833579</v>
      </c>
      <c r="D2498" s="241">
        <v>0.985915492957746</v>
      </c>
      <c r="E2498" s="241">
        <v>0.924657534246575</v>
      </c>
      <c r="F2498" s="241">
        <v>1.0126582278481</v>
      </c>
      <c r="G2498" s="241">
        <v>1.06730769230769</v>
      </c>
      <c r="H2498" s="241">
        <v>1.0188679245283</v>
      </c>
      <c r="I2498" s="241">
        <v>0.903930131004367</v>
      </c>
      <c r="J2498" s="241">
        <v>0.991341991341991</v>
      </c>
      <c r="K2498" s="241">
        <v>0.919230769230769</v>
      </c>
      <c r="L2498" s="241">
        <v>0.837638376383764</v>
      </c>
      <c r="M2498" s="241">
        <v>0.837004405286344</v>
      </c>
      <c r="N2498" s="241">
        <v>0.878787878787879</v>
      </c>
      <c r="O2498" s="252">
        <v>0.871720116618076</v>
      </c>
    </row>
    <row r="2499" spans="1:15">
      <c r="A2499" s="242" t="s">
        <v>70</v>
      </c>
      <c r="B2499" s="43" t="s">
        <v>57</v>
      </c>
      <c r="C2499" s="15">
        <v>2716</v>
      </c>
      <c r="D2499" s="243">
        <v>284</v>
      </c>
      <c r="E2499" s="243">
        <v>146</v>
      </c>
      <c r="F2499" s="243">
        <v>79</v>
      </c>
      <c r="G2499" s="243">
        <v>104</v>
      </c>
      <c r="H2499" s="243">
        <v>212</v>
      </c>
      <c r="I2499" s="243">
        <v>229</v>
      </c>
      <c r="J2499" s="243">
        <v>231</v>
      </c>
      <c r="K2499" s="243">
        <v>260</v>
      </c>
      <c r="L2499" s="243">
        <v>271</v>
      </c>
      <c r="M2499" s="243">
        <v>227</v>
      </c>
      <c r="N2499" s="243">
        <v>330</v>
      </c>
      <c r="O2499" s="253">
        <v>343</v>
      </c>
    </row>
    <row r="2500" spans="1:15">
      <c r="A2500" s="240" t="s">
        <v>70</v>
      </c>
      <c r="B2500" s="47" t="s">
        <v>59</v>
      </c>
      <c r="C2500" s="15">
        <v>2503</v>
      </c>
      <c r="D2500" s="243">
        <v>280</v>
      </c>
      <c r="E2500" s="243">
        <v>135</v>
      </c>
      <c r="F2500" s="243">
        <v>80</v>
      </c>
      <c r="G2500" s="243">
        <v>111</v>
      </c>
      <c r="H2500" s="243">
        <v>216</v>
      </c>
      <c r="I2500" s="243">
        <v>207</v>
      </c>
      <c r="J2500" s="243">
        <v>229</v>
      </c>
      <c r="K2500" s="243">
        <v>239</v>
      </c>
      <c r="L2500" s="243">
        <v>227</v>
      </c>
      <c r="M2500" s="243">
        <v>190</v>
      </c>
      <c r="N2500" s="243">
        <v>290</v>
      </c>
      <c r="O2500" s="253">
        <v>299</v>
      </c>
    </row>
    <row r="2501" spans="1:15">
      <c r="A2501" s="242" t="s">
        <v>70</v>
      </c>
      <c r="B2501" s="43" t="s">
        <v>4</v>
      </c>
      <c r="C2501" s="15">
        <v>90</v>
      </c>
      <c r="D2501" s="244">
        <v>14</v>
      </c>
      <c r="E2501" s="244">
        <v>8</v>
      </c>
      <c r="F2501" s="244">
        <v>3</v>
      </c>
      <c r="G2501" s="244">
        <v>4</v>
      </c>
      <c r="H2501" s="244">
        <v>8</v>
      </c>
      <c r="I2501" s="244">
        <v>8</v>
      </c>
      <c r="J2501" s="244">
        <v>5</v>
      </c>
      <c r="K2501" s="244">
        <v>8</v>
      </c>
      <c r="L2501" s="244">
        <v>7</v>
      </c>
      <c r="M2501" s="244">
        <v>6</v>
      </c>
      <c r="N2501" s="244">
        <v>7</v>
      </c>
      <c r="O2501" s="254">
        <v>12</v>
      </c>
    </row>
    <row r="2502" spans="1:15">
      <c r="A2502" s="240" t="s">
        <v>70</v>
      </c>
      <c r="B2502" s="47" t="s">
        <v>5</v>
      </c>
      <c r="C2502" s="12">
        <v>0.0359568517778666</v>
      </c>
      <c r="D2502" s="241">
        <v>0.05</v>
      </c>
      <c r="E2502" s="241">
        <v>0.0592592592592593</v>
      </c>
      <c r="F2502" s="241">
        <v>0.0375</v>
      </c>
      <c r="G2502" s="241">
        <v>0.036036036036036</v>
      </c>
      <c r="H2502" s="241">
        <v>0.037037037037037</v>
      </c>
      <c r="I2502" s="241">
        <v>0.0386473429951691</v>
      </c>
      <c r="J2502" s="241">
        <v>0.0218340611353712</v>
      </c>
      <c r="K2502" s="241">
        <v>0.0334728033472803</v>
      </c>
      <c r="L2502" s="241">
        <v>0.0308370044052863</v>
      </c>
      <c r="M2502" s="241">
        <v>0.0315789473684211</v>
      </c>
      <c r="N2502" s="241">
        <v>0.0241379310344828</v>
      </c>
      <c r="O2502" s="252">
        <v>0.040133779264214</v>
      </c>
    </row>
    <row r="2503" spans="1:15">
      <c r="A2503" s="242" t="s">
        <v>70</v>
      </c>
      <c r="B2503" s="43" t="s">
        <v>6</v>
      </c>
      <c r="C2503" s="15">
        <v>24</v>
      </c>
      <c r="D2503" s="244">
        <v>3</v>
      </c>
      <c r="E2503" s="244">
        <v>5</v>
      </c>
      <c r="F2503" s="244">
        <v>1</v>
      </c>
      <c r="G2503" s="244">
        <v>0</v>
      </c>
      <c r="H2503" s="244">
        <v>1</v>
      </c>
      <c r="I2503" s="244">
        <v>1</v>
      </c>
      <c r="J2503" s="244">
        <v>5</v>
      </c>
      <c r="K2503" s="244">
        <v>2</v>
      </c>
      <c r="L2503" s="244">
        <v>2</v>
      </c>
      <c r="M2503" s="244">
        <v>4</v>
      </c>
      <c r="N2503" s="244">
        <v>0</v>
      </c>
      <c r="O2503" s="254">
        <v>0</v>
      </c>
    </row>
    <row r="2504" ht="14.25" spans="1:15">
      <c r="A2504" s="245" t="s">
        <v>70</v>
      </c>
      <c r="B2504" s="52" t="s">
        <v>64</v>
      </c>
      <c r="C2504" s="19">
        <v>0.266666666666667</v>
      </c>
      <c r="D2504" s="246">
        <v>0.214285714285714</v>
      </c>
      <c r="E2504" s="246">
        <v>0.625</v>
      </c>
      <c r="F2504" s="246">
        <v>0.333333333333333</v>
      </c>
      <c r="G2504" s="246">
        <v>0</v>
      </c>
      <c r="H2504" s="246">
        <v>0.125</v>
      </c>
      <c r="I2504" s="246">
        <v>0.125</v>
      </c>
      <c r="J2504" s="246">
        <v>1</v>
      </c>
      <c r="K2504" s="246">
        <v>0.25</v>
      </c>
      <c r="L2504" s="246">
        <v>0.285714285714286</v>
      </c>
      <c r="M2504" s="246">
        <v>0.666666666666667</v>
      </c>
      <c r="N2504" s="246">
        <v>0</v>
      </c>
      <c r="O2504" s="255">
        <v>0</v>
      </c>
    </row>
    <row r="2505" spans="1:15">
      <c r="A2505" s="240" t="s">
        <v>26</v>
      </c>
      <c r="B2505" s="47" t="s">
        <v>55</v>
      </c>
      <c r="C2505" s="12">
        <v>0.645046329294369</v>
      </c>
      <c r="D2505" s="241">
        <v>0.669902912621359</v>
      </c>
      <c r="E2505" s="241">
        <v>0.536423841059603</v>
      </c>
      <c r="F2505" s="241">
        <v>0.613138686131387</v>
      </c>
      <c r="G2505" s="241">
        <v>0.673076923076923</v>
      </c>
      <c r="H2505" s="241">
        <v>0.81294964028777</v>
      </c>
      <c r="I2505" s="241">
        <v>0.773049645390071</v>
      </c>
      <c r="J2505" s="241">
        <v>0.622568093385214</v>
      </c>
      <c r="K2505" s="241">
        <v>0.519408502772643</v>
      </c>
      <c r="L2505" s="241">
        <v>0.767441860465116</v>
      </c>
      <c r="M2505" s="241">
        <v>0.676363636363636</v>
      </c>
      <c r="N2505" s="241">
        <v>0.712074303405573</v>
      </c>
      <c r="O2505" s="252">
        <v>0.563063063063063</v>
      </c>
    </row>
    <row r="2506" spans="1:15">
      <c r="A2506" s="242" t="s">
        <v>26</v>
      </c>
      <c r="B2506" s="43" t="s">
        <v>57</v>
      </c>
      <c r="C2506" s="15">
        <v>2806</v>
      </c>
      <c r="D2506" s="243">
        <v>206</v>
      </c>
      <c r="E2506" s="243">
        <v>151</v>
      </c>
      <c r="F2506" s="243">
        <v>137</v>
      </c>
      <c r="G2506" s="243">
        <v>156</v>
      </c>
      <c r="H2506" s="243">
        <v>139</v>
      </c>
      <c r="I2506" s="243">
        <v>141</v>
      </c>
      <c r="J2506" s="243">
        <v>257</v>
      </c>
      <c r="K2506" s="243">
        <v>541</v>
      </c>
      <c r="L2506" s="243">
        <v>258</v>
      </c>
      <c r="M2506" s="243">
        <v>275</v>
      </c>
      <c r="N2506" s="243">
        <v>323</v>
      </c>
      <c r="O2506" s="253">
        <v>222</v>
      </c>
    </row>
    <row r="2507" spans="1:15">
      <c r="A2507" s="240" t="s">
        <v>26</v>
      </c>
      <c r="B2507" s="47" t="s">
        <v>59</v>
      </c>
      <c r="C2507" s="15">
        <v>1810</v>
      </c>
      <c r="D2507" s="243">
        <v>138</v>
      </c>
      <c r="E2507" s="243">
        <v>81</v>
      </c>
      <c r="F2507" s="243">
        <v>84</v>
      </c>
      <c r="G2507" s="243">
        <v>105</v>
      </c>
      <c r="H2507" s="243">
        <v>113</v>
      </c>
      <c r="I2507" s="243">
        <v>109</v>
      </c>
      <c r="J2507" s="243">
        <v>160</v>
      </c>
      <c r="K2507" s="243">
        <v>281</v>
      </c>
      <c r="L2507" s="243">
        <v>198</v>
      </c>
      <c r="M2507" s="243">
        <v>186</v>
      </c>
      <c r="N2507" s="243">
        <v>230</v>
      </c>
      <c r="O2507" s="253">
        <v>125</v>
      </c>
    </row>
    <row r="2508" spans="1:15">
      <c r="A2508" s="242" t="s">
        <v>26</v>
      </c>
      <c r="B2508" s="43" t="s">
        <v>4</v>
      </c>
      <c r="C2508" s="15">
        <v>12</v>
      </c>
      <c r="D2508" s="244">
        <v>0</v>
      </c>
      <c r="E2508" s="244">
        <v>0</v>
      </c>
      <c r="F2508" s="244">
        <v>1</v>
      </c>
      <c r="G2508" s="244">
        <v>0</v>
      </c>
      <c r="H2508" s="244">
        <v>1</v>
      </c>
      <c r="I2508" s="244">
        <v>1</v>
      </c>
      <c r="J2508" s="244">
        <v>0</v>
      </c>
      <c r="K2508" s="244">
        <v>2</v>
      </c>
      <c r="L2508" s="244">
        <v>1</v>
      </c>
      <c r="M2508" s="244">
        <v>0</v>
      </c>
      <c r="N2508" s="244">
        <v>1</v>
      </c>
      <c r="O2508" s="254">
        <v>5</v>
      </c>
    </row>
    <row r="2509" spans="1:15">
      <c r="A2509" s="240" t="s">
        <v>26</v>
      </c>
      <c r="B2509" s="47" t="s">
        <v>5</v>
      </c>
      <c r="C2509" s="12">
        <v>0.00662983425414365</v>
      </c>
      <c r="D2509" s="241">
        <v>0</v>
      </c>
      <c r="E2509" s="241">
        <v>0</v>
      </c>
      <c r="F2509" s="241">
        <v>0.0119047619047619</v>
      </c>
      <c r="G2509" s="241">
        <v>0</v>
      </c>
      <c r="H2509" s="241">
        <v>0.00884955752212389</v>
      </c>
      <c r="I2509" s="241">
        <v>0.00917431192660551</v>
      </c>
      <c r="J2509" s="241">
        <v>0</v>
      </c>
      <c r="K2509" s="241">
        <v>0.00711743772241993</v>
      </c>
      <c r="L2509" s="241">
        <v>0.00505050505050505</v>
      </c>
      <c r="M2509" s="241">
        <v>0</v>
      </c>
      <c r="N2509" s="241">
        <v>0.00434782608695652</v>
      </c>
      <c r="O2509" s="252">
        <v>0.04</v>
      </c>
    </row>
    <row r="2510" spans="1:15">
      <c r="A2510" s="242" t="s">
        <v>26</v>
      </c>
      <c r="B2510" s="43" t="s">
        <v>6</v>
      </c>
      <c r="C2510" s="15">
        <v>7</v>
      </c>
      <c r="D2510" s="244">
        <v>2</v>
      </c>
      <c r="E2510" s="244">
        <v>1</v>
      </c>
      <c r="F2510" s="244">
        <v>1</v>
      </c>
      <c r="G2510" s="244">
        <v>0</v>
      </c>
      <c r="H2510" s="244">
        <v>0</v>
      </c>
      <c r="I2510" s="244">
        <v>0</v>
      </c>
      <c r="J2510" s="244">
        <v>0</v>
      </c>
      <c r="K2510" s="244">
        <v>0</v>
      </c>
      <c r="L2510" s="244">
        <v>0</v>
      </c>
      <c r="M2510" s="244">
        <v>1</v>
      </c>
      <c r="N2510" s="244">
        <v>0</v>
      </c>
      <c r="O2510" s="254">
        <v>2</v>
      </c>
    </row>
    <row r="2511" ht="14.25" spans="1:15">
      <c r="A2511" s="245" t="s">
        <v>26</v>
      </c>
      <c r="B2511" s="52" t="s">
        <v>64</v>
      </c>
      <c r="C2511" s="19">
        <v>0.583333333333333</v>
      </c>
      <c r="D2511" s="19" t="e">
        <v>#DIV/0!</v>
      </c>
      <c r="E2511" s="19" t="e">
        <v>#DIV/0!</v>
      </c>
      <c r="F2511" s="19">
        <v>1</v>
      </c>
      <c r="G2511" s="19" t="e">
        <v>#DIV/0!</v>
      </c>
      <c r="H2511" s="19">
        <v>0</v>
      </c>
      <c r="I2511" s="19">
        <v>0</v>
      </c>
      <c r="J2511" s="19" t="e">
        <v>#DIV/0!</v>
      </c>
      <c r="K2511" s="19">
        <v>0</v>
      </c>
      <c r="L2511" s="19">
        <v>0</v>
      </c>
      <c r="M2511" s="19" t="e">
        <v>#DIV/0!</v>
      </c>
      <c r="N2511" s="19">
        <v>0</v>
      </c>
      <c r="O2511" s="19">
        <v>0.4</v>
      </c>
    </row>
    <row r="2512" spans="1:15">
      <c r="A2512" s="240" t="s">
        <v>71</v>
      </c>
      <c r="B2512" s="47" t="s">
        <v>55</v>
      </c>
      <c r="C2512" s="12" t="e">
        <v>#DIV/0!</v>
      </c>
      <c r="D2512" s="241" t="e">
        <v>#DIV/0!</v>
      </c>
      <c r="E2512" s="241" t="e">
        <v>#DIV/0!</v>
      </c>
      <c r="F2512" s="241" t="e">
        <v>#DIV/0!</v>
      </c>
      <c r="G2512" s="241" t="e">
        <v>#DIV/0!</v>
      </c>
      <c r="H2512" s="241" t="e">
        <v>#DIV/0!</v>
      </c>
      <c r="I2512" s="241" t="e">
        <v>#DIV/0!</v>
      </c>
      <c r="J2512" s="241" t="e">
        <v>#DIV/0!</v>
      </c>
      <c r="K2512" s="241" t="e">
        <v>#DIV/0!</v>
      </c>
      <c r="L2512" s="241" t="e">
        <v>#DIV/0!</v>
      </c>
      <c r="M2512" s="241" t="e">
        <v>#DIV/0!</v>
      </c>
      <c r="N2512" s="241" t="e">
        <v>#DIV/0!</v>
      </c>
      <c r="O2512" s="252" t="e">
        <v>#DIV/0!</v>
      </c>
    </row>
    <row r="2513" spans="1:15">
      <c r="A2513" s="242" t="s">
        <v>71</v>
      </c>
      <c r="B2513" s="43" t="s">
        <v>57</v>
      </c>
      <c r="C2513" s="15">
        <v>0</v>
      </c>
      <c r="D2513" s="243">
        <v>0</v>
      </c>
      <c r="E2513" s="243">
        <v>0</v>
      </c>
      <c r="F2513" s="243">
        <v>0</v>
      </c>
      <c r="G2513" s="243">
        <v>0</v>
      </c>
      <c r="H2513" s="243">
        <v>0</v>
      </c>
      <c r="I2513" s="243">
        <v>0</v>
      </c>
      <c r="J2513" s="243">
        <v>0</v>
      </c>
      <c r="K2513" s="243">
        <v>0</v>
      </c>
      <c r="L2513" s="243">
        <v>0</v>
      </c>
      <c r="M2513" s="243">
        <v>0</v>
      </c>
      <c r="N2513" s="243">
        <v>0</v>
      </c>
      <c r="O2513" s="253">
        <v>0</v>
      </c>
    </row>
    <row r="2514" spans="1:15">
      <c r="A2514" s="240" t="s">
        <v>71</v>
      </c>
      <c r="B2514" s="47" t="s">
        <v>59</v>
      </c>
      <c r="C2514" s="15">
        <v>27</v>
      </c>
      <c r="D2514" s="243">
        <v>0</v>
      </c>
      <c r="E2514" s="243">
        <v>1</v>
      </c>
      <c r="F2514" s="243">
        <v>2</v>
      </c>
      <c r="G2514" s="243">
        <v>0</v>
      </c>
      <c r="H2514" s="243">
        <v>1</v>
      </c>
      <c r="I2514" s="243">
        <v>1</v>
      </c>
      <c r="J2514" s="243">
        <v>6</v>
      </c>
      <c r="K2514" s="243">
        <v>5</v>
      </c>
      <c r="L2514" s="243">
        <v>0</v>
      </c>
      <c r="M2514" s="243">
        <v>3</v>
      </c>
      <c r="N2514" s="243">
        <v>3</v>
      </c>
      <c r="O2514" s="253">
        <v>5</v>
      </c>
    </row>
    <row r="2515" spans="1:15">
      <c r="A2515" s="242" t="s">
        <v>71</v>
      </c>
      <c r="B2515" s="43" t="s">
        <v>4</v>
      </c>
      <c r="C2515" s="15">
        <v>31</v>
      </c>
      <c r="D2515" s="244">
        <v>3</v>
      </c>
      <c r="E2515" s="244">
        <v>3</v>
      </c>
      <c r="F2515" s="244">
        <v>2</v>
      </c>
      <c r="G2515" s="244">
        <v>0</v>
      </c>
      <c r="H2515" s="244">
        <v>1</v>
      </c>
      <c r="I2515" s="244">
        <v>7</v>
      </c>
      <c r="J2515" s="244">
        <v>4</v>
      </c>
      <c r="K2515" s="244">
        <v>2</v>
      </c>
      <c r="L2515" s="244">
        <v>2</v>
      </c>
      <c r="M2515" s="244">
        <v>2</v>
      </c>
      <c r="N2515" s="244">
        <v>2</v>
      </c>
      <c r="O2515" s="254">
        <v>3</v>
      </c>
    </row>
    <row r="2516" spans="1:15">
      <c r="A2516" s="240" t="s">
        <v>71</v>
      </c>
      <c r="B2516" s="47" t="s">
        <v>5</v>
      </c>
      <c r="C2516" s="241">
        <v>1.14814814814815</v>
      </c>
      <c r="D2516" s="241">
        <v>0</v>
      </c>
      <c r="E2516" s="241">
        <v>3</v>
      </c>
      <c r="F2516" s="241">
        <v>1</v>
      </c>
      <c r="G2516" s="241">
        <v>0</v>
      </c>
      <c r="H2516" s="241">
        <v>1</v>
      </c>
      <c r="I2516" s="241">
        <v>7</v>
      </c>
      <c r="J2516" s="241">
        <v>0.666666666666667</v>
      </c>
      <c r="K2516" s="241">
        <v>0.4</v>
      </c>
      <c r="L2516" s="241">
        <v>0</v>
      </c>
      <c r="M2516" s="241">
        <v>0.666666666666667</v>
      </c>
      <c r="N2516" s="241">
        <v>0.666666666666667</v>
      </c>
      <c r="O2516" s="252">
        <v>0.6</v>
      </c>
    </row>
    <row r="2517" spans="1:15">
      <c r="A2517" s="242" t="s">
        <v>71</v>
      </c>
      <c r="B2517" s="43" t="s">
        <v>6</v>
      </c>
      <c r="C2517" s="15">
        <v>5</v>
      </c>
      <c r="D2517" s="244">
        <v>0</v>
      </c>
      <c r="E2517" s="244">
        <v>1</v>
      </c>
      <c r="F2517" s="244">
        <v>0</v>
      </c>
      <c r="G2517" s="244">
        <v>0</v>
      </c>
      <c r="H2517" s="244">
        <v>1</v>
      </c>
      <c r="I2517" s="244">
        <v>0</v>
      </c>
      <c r="J2517" s="244">
        <v>1</v>
      </c>
      <c r="K2517" s="244">
        <v>0</v>
      </c>
      <c r="L2517" s="244">
        <v>0</v>
      </c>
      <c r="M2517" s="244">
        <v>0</v>
      </c>
      <c r="N2517" s="244">
        <v>1</v>
      </c>
      <c r="O2517" s="254">
        <v>1</v>
      </c>
    </row>
    <row r="2518" ht="14.25" spans="1:15">
      <c r="A2518" s="245" t="s">
        <v>71</v>
      </c>
      <c r="B2518" s="52" t="s">
        <v>64</v>
      </c>
      <c r="C2518" s="19">
        <v>0.161290322580645</v>
      </c>
      <c r="D2518" s="19">
        <v>0</v>
      </c>
      <c r="E2518" s="19">
        <v>0.333333333333333</v>
      </c>
      <c r="F2518" s="19">
        <v>0</v>
      </c>
      <c r="G2518" s="19" t="e">
        <v>#DIV/0!</v>
      </c>
      <c r="H2518" s="19">
        <v>1</v>
      </c>
      <c r="I2518" s="19">
        <v>0</v>
      </c>
      <c r="J2518" s="19">
        <v>0.25</v>
      </c>
      <c r="K2518" s="19">
        <v>0</v>
      </c>
      <c r="L2518" s="19">
        <v>0</v>
      </c>
      <c r="M2518" s="19">
        <v>0</v>
      </c>
      <c r="N2518" s="19">
        <v>0.5</v>
      </c>
      <c r="O2518" s="19">
        <v>0.333333333333333</v>
      </c>
    </row>
    <row r="2519" spans="1:15">
      <c r="A2519" s="240" t="s">
        <v>72</v>
      </c>
      <c r="B2519" s="47" t="s">
        <v>55</v>
      </c>
      <c r="C2519" s="12">
        <v>0.436775942814888</v>
      </c>
      <c r="D2519" s="241">
        <v>0.558886509635974</v>
      </c>
      <c r="E2519" s="241">
        <v>0.42433234421365</v>
      </c>
      <c r="F2519" s="241">
        <v>0.568306010928962</v>
      </c>
      <c r="G2519" s="241">
        <v>0.581151832460733</v>
      </c>
      <c r="H2519" s="241">
        <v>0.580769230769231</v>
      </c>
      <c r="I2519" s="241">
        <v>0.463182897862233</v>
      </c>
      <c r="J2519" s="241">
        <v>0.405405405405405</v>
      </c>
      <c r="K2519" s="241">
        <v>0.540816326530612</v>
      </c>
      <c r="L2519" s="241">
        <v>0.439882697947214</v>
      </c>
      <c r="M2519" s="241">
        <v>0.325842696629214</v>
      </c>
      <c r="N2519" s="241">
        <v>0.42643391521197</v>
      </c>
      <c r="O2519" s="252">
        <v>0.160676532769556</v>
      </c>
    </row>
    <row r="2520" spans="1:15">
      <c r="A2520" s="242" t="s">
        <v>72</v>
      </c>
      <c r="B2520" s="43" t="s">
        <v>57</v>
      </c>
      <c r="C2520" s="15">
        <v>4057</v>
      </c>
      <c r="D2520" s="243">
        <v>467</v>
      </c>
      <c r="E2520" s="243">
        <v>337</v>
      </c>
      <c r="F2520" s="243">
        <v>183</v>
      </c>
      <c r="G2520" s="243">
        <v>191</v>
      </c>
      <c r="H2520" s="243">
        <v>260</v>
      </c>
      <c r="I2520" s="243">
        <v>421</v>
      </c>
      <c r="J2520" s="243">
        <v>333</v>
      </c>
      <c r="K2520" s="243">
        <v>294</v>
      </c>
      <c r="L2520" s="243">
        <v>341</v>
      </c>
      <c r="M2520" s="243">
        <v>356</v>
      </c>
      <c r="N2520" s="243">
        <v>401</v>
      </c>
      <c r="O2520" s="253">
        <v>473</v>
      </c>
    </row>
    <row r="2521" spans="1:15">
      <c r="A2521" s="240" t="s">
        <v>72</v>
      </c>
      <c r="B2521" s="47" t="s">
        <v>59</v>
      </c>
      <c r="C2521" s="15">
        <v>1772</v>
      </c>
      <c r="D2521" s="243">
        <v>261</v>
      </c>
      <c r="E2521" s="243">
        <v>143</v>
      </c>
      <c r="F2521" s="243">
        <v>104</v>
      </c>
      <c r="G2521" s="243">
        <v>111</v>
      </c>
      <c r="H2521" s="243">
        <v>151</v>
      </c>
      <c r="I2521" s="243">
        <v>195</v>
      </c>
      <c r="J2521" s="243">
        <v>135</v>
      </c>
      <c r="K2521" s="243">
        <v>159</v>
      </c>
      <c r="L2521" s="243">
        <v>150</v>
      </c>
      <c r="M2521" s="243">
        <v>116</v>
      </c>
      <c r="N2521" s="243">
        <v>171</v>
      </c>
      <c r="O2521" s="253">
        <v>76</v>
      </c>
    </row>
    <row r="2522" spans="1:15">
      <c r="A2522" s="242" t="s">
        <v>72</v>
      </c>
      <c r="B2522" s="43" t="s">
        <v>4</v>
      </c>
      <c r="C2522" s="15">
        <v>55</v>
      </c>
      <c r="D2522" s="244">
        <v>7</v>
      </c>
      <c r="E2522" s="244">
        <v>3</v>
      </c>
      <c r="F2522" s="244">
        <v>2</v>
      </c>
      <c r="G2522" s="244">
        <v>3</v>
      </c>
      <c r="H2522" s="244">
        <v>4</v>
      </c>
      <c r="I2522" s="244">
        <v>6</v>
      </c>
      <c r="J2522" s="244">
        <v>5</v>
      </c>
      <c r="K2522" s="244">
        <v>1</v>
      </c>
      <c r="L2522" s="244">
        <v>5</v>
      </c>
      <c r="M2522" s="244">
        <v>3</v>
      </c>
      <c r="N2522" s="244">
        <v>4</v>
      </c>
      <c r="O2522" s="254">
        <v>12</v>
      </c>
    </row>
    <row r="2523" spans="1:15">
      <c r="A2523" s="240" t="s">
        <v>72</v>
      </c>
      <c r="B2523" s="47" t="s">
        <v>5</v>
      </c>
      <c r="C2523" s="12">
        <v>0.031038374717833</v>
      </c>
      <c r="D2523" s="241">
        <v>0.0268199233716475</v>
      </c>
      <c r="E2523" s="241">
        <v>0.020979020979021</v>
      </c>
      <c r="F2523" s="241">
        <v>0.0192307692307692</v>
      </c>
      <c r="G2523" s="241">
        <v>0.027027027027027</v>
      </c>
      <c r="H2523" s="241">
        <v>0.0264900662251656</v>
      </c>
      <c r="I2523" s="241">
        <v>0.0307692307692308</v>
      </c>
      <c r="J2523" s="241">
        <v>0.037037037037037</v>
      </c>
      <c r="K2523" s="241">
        <v>0.00628930817610063</v>
      </c>
      <c r="L2523" s="241">
        <v>0.0333333333333333</v>
      </c>
      <c r="M2523" s="241">
        <v>0.0258620689655172</v>
      </c>
      <c r="N2523" s="241">
        <v>0.0233918128654971</v>
      </c>
      <c r="O2523" s="252">
        <v>0.157894736842105</v>
      </c>
    </row>
    <row r="2524" spans="1:15">
      <c r="A2524" s="242" t="s">
        <v>72</v>
      </c>
      <c r="B2524" s="43" t="s">
        <v>6</v>
      </c>
      <c r="C2524" s="15">
        <v>14</v>
      </c>
      <c r="D2524" s="244">
        <v>1</v>
      </c>
      <c r="E2524" s="244">
        <v>1</v>
      </c>
      <c r="F2524" s="244">
        <v>1</v>
      </c>
      <c r="G2524" s="244">
        <v>0</v>
      </c>
      <c r="H2524" s="244">
        <v>4</v>
      </c>
      <c r="I2524" s="244">
        <v>1</v>
      </c>
      <c r="J2524" s="244">
        <v>2</v>
      </c>
      <c r="K2524" s="244">
        <v>2</v>
      </c>
      <c r="L2524" s="244">
        <v>1</v>
      </c>
      <c r="M2524" s="244">
        <v>0</v>
      </c>
      <c r="N2524" s="244">
        <v>0</v>
      </c>
      <c r="O2524" s="254">
        <v>1</v>
      </c>
    </row>
    <row r="2525" ht="14.25" spans="1:15">
      <c r="A2525" s="245" t="s">
        <v>72</v>
      </c>
      <c r="B2525" s="52" t="s">
        <v>64</v>
      </c>
      <c r="C2525" s="19">
        <v>0.254545454545455</v>
      </c>
      <c r="D2525" s="19">
        <v>0.142857142857143</v>
      </c>
      <c r="E2525" s="19">
        <v>0.333333333333333</v>
      </c>
      <c r="F2525" s="19">
        <v>0.5</v>
      </c>
      <c r="G2525" s="19">
        <v>0</v>
      </c>
      <c r="H2525" s="19">
        <v>1</v>
      </c>
      <c r="I2525" s="19">
        <v>0.166666666666667</v>
      </c>
      <c r="J2525" s="19">
        <v>0.4</v>
      </c>
      <c r="K2525" s="19">
        <v>2</v>
      </c>
      <c r="L2525" s="19">
        <v>0.2</v>
      </c>
      <c r="M2525" s="19">
        <v>0</v>
      </c>
      <c r="N2525" s="19">
        <v>0</v>
      </c>
      <c r="O2525" s="19">
        <v>0.0833333333333333</v>
      </c>
    </row>
    <row r="2526" ht="14.25" spans="1:15">
      <c r="A2526" s="237">
        <v>45058</v>
      </c>
      <c r="B2526" s="237"/>
      <c r="C2526" s="237"/>
      <c r="D2526" s="237"/>
      <c r="E2526" s="237"/>
      <c r="F2526" s="237"/>
      <c r="G2526" s="237"/>
      <c r="H2526" s="237"/>
      <c r="I2526" s="237"/>
      <c r="J2526" s="237"/>
      <c r="K2526" s="237"/>
      <c r="L2526" s="237"/>
      <c r="M2526" s="237"/>
      <c r="N2526" s="237"/>
      <c r="O2526" s="237"/>
    </row>
    <row r="2527" spans="1:15">
      <c r="A2527" s="56" t="s">
        <v>1</v>
      </c>
      <c r="B2527" s="238"/>
      <c r="C2527" s="8" t="s">
        <v>42</v>
      </c>
      <c r="D2527" s="239" t="s">
        <v>43</v>
      </c>
      <c r="E2527" s="239" t="s">
        <v>44</v>
      </c>
      <c r="F2527" s="239" t="s">
        <v>45</v>
      </c>
      <c r="G2527" s="239" t="s">
        <v>46</v>
      </c>
      <c r="H2527" s="239" t="s">
        <v>47</v>
      </c>
      <c r="I2527" s="239" t="s">
        <v>48</v>
      </c>
      <c r="J2527" s="239" t="s">
        <v>49</v>
      </c>
      <c r="K2527" s="239" t="s">
        <v>50</v>
      </c>
      <c r="L2527" s="239" t="s">
        <v>51</v>
      </c>
      <c r="M2527" s="239" t="s">
        <v>52</v>
      </c>
      <c r="N2527" s="239" t="s">
        <v>53</v>
      </c>
      <c r="O2527" s="251" t="s">
        <v>54</v>
      </c>
    </row>
    <row r="2528" spans="1:15">
      <c r="A2528" s="240" t="s">
        <v>22</v>
      </c>
      <c r="B2528" s="47" t="s">
        <v>55</v>
      </c>
      <c r="C2528" s="12">
        <v>0.401547388781431</v>
      </c>
      <c r="D2528" s="241">
        <v>0.450592885375494</v>
      </c>
      <c r="E2528" s="241">
        <v>0.471830985915493</v>
      </c>
      <c r="F2528" s="241">
        <v>0.418367346938776</v>
      </c>
      <c r="G2528" s="241">
        <v>0.596774193548387</v>
      </c>
      <c r="H2528" s="241">
        <v>0.434343434343434</v>
      </c>
      <c r="I2528" s="241">
        <v>0.418848167539267</v>
      </c>
      <c r="J2528" s="241">
        <v>0.418604651162791</v>
      </c>
      <c r="K2528" s="241">
        <v>0.353383458646617</v>
      </c>
      <c r="L2528" s="241">
        <v>0.368</v>
      </c>
      <c r="M2528" s="241">
        <v>0.415094339622642</v>
      </c>
      <c r="N2528" s="241">
        <v>0.340823970037453</v>
      </c>
      <c r="O2528" s="252">
        <v>0.327913279132791</v>
      </c>
    </row>
    <row r="2529" spans="1:15">
      <c r="A2529" s="242" t="s">
        <v>22</v>
      </c>
      <c r="B2529" s="43" t="s">
        <v>57</v>
      </c>
      <c r="C2529" s="15">
        <v>2585</v>
      </c>
      <c r="D2529" s="243">
        <v>253</v>
      </c>
      <c r="E2529" s="243">
        <v>142</v>
      </c>
      <c r="F2529" s="243">
        <v>98</v>
      </c>
      <c r="G2529" s="243">
        <v>124</v>
      </c>
      <c r="H2529" s="243">
        <v>198</v>
      </c>
      <c r="I2529" s="243">
        <v>191</v>
      </c>
      <c r="J2529" s="243">
        <v>215</v>
      </c>
      <c r="K2529" s="243">
        <v>266</v>
      </c>
      <c r="L2529" s="243">
        <v>250</v>
      </c>
      <c r="M2529" s="243">
        <v>212</v>
      </c>
      <c r="N2529" s="243">
        <v>267</v>
      </c>
      <c r="O2529" s="253">
        <v>369</v>
      </c>
    </row>
    <row r="2530" spans="1:15">
      <c r="A2530" s="240" t="s">
        <v>22</v>
      </c>
      <c r="B2530" s="47" t="s">
        <v>59</v>
      </c>
      <c r="C2530" s="15">
        <v>1038</v>
      </c>
      <c r="D2530" s="243">
        <v>114</v>
      </c>
      <c r="E2530" s="243">
        <v>67</v>
      </c>
      <c r="F2530" s="243">
        <v>41</v>
      </c>
      <c r="G2530" s="243">
        <v>74</v>
      </c>
      <c r="H2530" s="243">
        <v>86</v>
      </c>
      <c r="I2530" s="243">
        <v>80</v>
      </c>
      <c r="J2530" s="243">
        <v>90</v>
      </c>
      <c r="K2530" s="243">
        <v>94</v>
      </c>
      <c r="L2530" s="243">
        <v>92</v>
      </c>
      <c r="M2530" s="243">
        <v>88</v>
      </c>
      <c r="N2530" s="243">
        <v>91</v>
      </c>
      <c r="O2530" s="253">
        <v>121</v>
      </c>
    </row>
    <row r="2531" spans="1:15">
      <c r="A2531" s="242" t="s">
        <v>22</v>
      </c>
      <c r="B2531" s="43" t="s">
        <v>4</v>
      </c>
      <c r="C2531" s="15">
        <v>81</v>
      </c>
      <c r="D2531" s="244">
        <v>9</v>
      </c>
      <c r="E2531" s="244">
        <v>7</v>
      </c>
      <c r="F2531" s="244">
        <v>4</v>
      </c>
      <c r="G2531" s="244">
        <v>3</v>
      </c>
      <c r="H2531" s="244">
        <v>8</v>
      </c>
      <c r="I2531" s="244">
        <v>6</v>
      </c>
      <c r="J2531" s="244">
        <v>7</v>
      </c>
      <c r="K2531" s="244">
        <v>6</v>
      </c>
      <c r="L2531" s="244">
        <v>7</v>
      </c>
      <c r="M2531" s="244">
        <v>5</v>
      </c>
      <c r="N2531" s="244">
        <v>7</v>
      </c>
      <c r="O2531" s="254">
        <v>12</v>
      </c>
    </row>
    <row r="2532" spans="1:15">
      <c r="A2532" s="240" t="s">
        <v>22</v>
      </c>
      <c r="B2532" s="47" t="s">
        <v>5</v>
      </c>
      <c r="C2532" s="12">
        <v>0.0780346820809249</v>
      </c>
      <c r="D2532" s="241">
        <v>0.0789473684210526</v>
      </c>
      <c r="E2532" s="241">
        <v>0.104477611940299</v>
      </c>
      <c r="F2532" s="241">
        <v>0.0975609756097561</v>
      </c>
      <c r="G2532" s="241">
        <v>0.0405405405405405</v>
      </c>
      <c r="H2532" s="241">
        <v>0.0930232558139535</v>
      </c>
      <c r="I2532" s="241">
        <v>0.075</v>
      </c>
      <c r="J2532" s="241">
        <v>0.0777777777777778</v>
      </c>
      <c r="K2532" s="241">
        <v>0.0638297872340425</v>
      </c>
      <c r="L2532" s="241">
        <v>0.0760869565217391</v>
      </c>
      <c r="M2532" s="241">
        <v>0.0568181818181818</v>
      </c>
      <c r="N2532" s="241">
        <v>0.0769230769230769</v>
      </c>
      <c r="O2532" s="252">
        <v>0.0991735537190083</v>
      </c>
    </row>
    <row r="2533" spans="1:15">
      <c r="A2533" s="242" t="s">
        <v>22</v>
      </c>
      <c r="B2533" s="43" t="s">
        <v>6</v>
      </c>
      <c r="C2533" s="15">
        <v>28</v>
      </c>
      <c r="D2533" s="244">
        <v>3</v>
      </c>
      <c r="E2533" s="244">
        <v>2</v>
      </c>
      <c r="F2533" s="244">
        <v>0</v>
      </c>
      <c r="G2533" s="244">
        <v>0</v>
      </c>
      <c r="H2533" s="244">
        <v>3</v>
      </c>
      <c r="I2533" s="244">
        <v>0</v>
      </c>
      <c r="J2533" s="244">
        <v>3</v>
      </c>
      <c r="K2533" s="244">
        <v>0</v>
      </c>
      <c r="L2533" s="244">
        <v>6</v>
      </c>
      <c r="M2533" s="244">
        <v>2</v>
      </c>
      <c r="N2533" s="244">
        <v>5</v>
      </c>
      <c r="O2533" s="254">
        <v>4</v>
      </c>
    </row>
    <row r="2534" ht="14.25" spans="1:15">
      <c r="A2534" s="245" t="s">
        <v>22</v>
      </c>
      <c r="B2534" s="52" t="s">
        <v>64</v>
      </c>
      <c r="C2534" s="19">
        <v>0.345679012345679</v>
      </c>
      <c r="D2534" s="246">
        <v>0.333333333333333</v>
      </c>
      <c r="E2534" s="246">
        <v>0.285714285714286</v>
      </c>
      <c r="F2534" s="246">
        <v>0</v>
      </c>
      <c r="G2534" s="246">
        <v>0</v>
      </c>
      <c r="H2534" s="246">
        <v>0.375</v>
      </c>
      <c r="I2534" s="246">
        <v>0</v>
      </c>
      <c r="J2534" s="246">
        <v>0.428571428571429</v>
      </c>
      <c r="K2534" s="246">
        <v>0</v>
      </c>
      <c r="L2534" s="246">
        <v>0.857142857142857</v>
      </c>
      <c r="M2534" s="246">
        <v>0.4</v>
      </c>
      <c r="N2534" s="246">
        <v>0.714285714285714</v>
      </c>
      <c r="O2534" s="255">
        <v>0.333333333333333</v>
      </c>
    </row>
    <row r="2535" spans="1:15">
      <c r="A2535" s="247" t="s">
        <v>66</v>
      </c>
      <c r="B2535" s="248" t="s">
        <v>55</v>
      </c>
      <c r="C2535" s="12">
        <v>0.0961262553802009</v>
      </c>
      <c r="D2535" s="249">
        <v>0.079734219269103</v>
      </c>
      <c r="E2535" s="249">
        <v>0.0234375</v>
      </c>
      <c r="F2535" s="249">
        <v>0.0303030303030303</v>
      </c>
      <c r="G2535" s="249">
        <v>0.087719298245614</v>
      </c>
      <c r="H2535" s="249">
        <v>0.179487179487179</v>
      </c>
      <c r="I2535" s="249">
        <v>0.139072847682119</v>
      </c>
      <c r="J2535" s="249">
        <v>0.129770992366412</v>
      </c>
      <c r="K2535" s="249">
        <v>0.116666666666667</v>
      </c>
      <c r="L2535" s="249">
        <v>0.137931034482759</v>
      </c>
      <c r="M2535" s="249">
        <v>0.0697674418604651</v>
      </c>
      <c r="N2535" s="249">
        <v>0.232558139534884</v>
      </c>
      <c r="O2535" s="256">
        <v>0.184</v>
      </c>
    </row>
    <row r="2536" spans="1:15">
      <c r="A2536" s="242" t="s">
        <v>66</v>
      </c>
      <c r="B2536" s="43" t="s">
        <v>57</v>
      </c>
      <c r="C2536" s="15">
        <v>2091</v>
      </c>
      <c r="D2536" s="243">
        <v>301</v>
      </c>
      <c r="E2536" s="243">
        <v>384</v>
      </c>
      <c r="F2536" s="243">
        <v>264</v>
      </c>
      <c r="G2536" s="243">
        <v>171</v>
      </c>
      <c r="H2536" s="243">
        <v>156</v>
      </c>
      <c r="I2536" s="243">
        <v>151</v>
      </c>
      <c r="J2536" s="243">
        <v>131</v>
      </c>
      <c r="K2536" s="243">
        <v>120</v>
      </c>
      <c r="L2536" s="243">
        <v>116</v>
      </c>
      <c r="M2536" s="243">
        <v>86</v>
      </c>
      <c r="N2536" s="243">
        <v>86</v>
      </c>
      <c r="O2536" s="253">
        <v>125</v>
      </c>
    </row>
    <row r="2537" spans="1:15">
      <c r="A2537" s="240" t="s">
        <v>66</v>
      </c>
      <c r="B2537" s="47" t="s">
        <v>59</v>
      </c>
      <c r="C2537" s="15">
        <v>201</v>
      </c>
      <c r="D2537" s="243">
        <v>24</v>
      </c>
      <c r="E2537" s="243">
        <v>9</v>
      </c>
      <c r="F2537" s="243">
        <v>8</v>
      </c>
      <c r="G2537" s="243">
        <v>15</v>
      </c>
      <c r="H2537" s="243">
        <v>28</v>
      </c>
      <c r="I2537" s="243">
        <v>21</v>
      </c>
      <c r="J2537" s="243">
        <v>17</v>
      </c>
      <c r="K2537" s="243">
        <v>14</v>
      </c>
      <c r="L2537" s="243">
        <v>16</v>
      </c>
      <c r="M2537" s="243">
        <v>6</v>
      </c>
      <c r="N2537" s="243">
        <v>20</v>
      </c>
      <c r="O2537" s="253">
        <v>23</v>
      </c>
    </row>
    <row r="2538" spans="1:15">
      <c r="A2538" s="242" t="s">
        <v>66</v>
      </c>
      <c r="B2538" s="43" t="s">
        <v>4</v>
      </c>
      <c r="C2538" s="15">
        <v>10</v>
      </c>
      <c r="D2538" s="244">
        <v>1</v>
      </c>
      <c r="E2538" s="244">
        <v>1</v>
      </c>
      <c r="F2538" s="244">
        <v>0</v>
      </c>
      <c r="G2538" s="244">
        <v>0</v>
      </c>
      <c r="H2538" s="244">
        <v>0</v>
      </c>
      <c r="I2538" s="244">
        <v>3</v>
      </c>
      <c r="J2538" s="244">
        <v>0</v>
      </c>
      <c r="K2538" s="244">
        <v>1</v>
      </c>
      <c r="L2538" s="244">
        <v>2</v>
      </c>
      <c r="M2538" s="244">
        <v>0</v>
      </c>
      <c r="N2538" s="244">
        <v>2</v>
      </c>
      <c r="O2538" s="254">
        <v>0</v>
      </c>
    </row>
    <row r="2539" spans="1:15">
      <c r="A2539" s="240" t="s">
        <v>66</v>
      </c>
      <c r="B2539" s="47" t="s">
        <v>5</v>
      </c>
      <c r="C2539" s="12">
        <v>0.0497512437810945</v>
      </c>
      <c r="D2539" s="241">
        <v>0.0416666666666667</v>
      </c>
      <c r="E2539" s="241">
        <v>0.111111111111111</v>
      </c>
      <c r="F2539" s="241">
        <v>0</v>
      </c>
      <c r="G2539" s="241">
        <v>0</v>
      </c>
      <c r="H2539" s="241">
        <v>0</v>
      </c>
      <c r="I2539" s="241">
        <v>0.142857142857143</v>
      </c>
      <c r="J2539" s="241">
        <v>0</v>
      </c>
      <c r="K2539" s="241">
        <v>0.0714285714285714</v>
      </c>
      <c r="L2539" s="241">
        <v>0.125</v>
      </c>
      <c r="M2539" s="241">
        <v>0</v>
      </c>
      <c r="N2539" s="241">
        <v>0.1</v>
      </c>
      <c r="O2539" s="252">
        <v>0</v>
      </c>
    </row>
    <row r="2540" spans="1:15">
      <c r="A2540" s="242" t="s">
        <v>66</v>
      </c>
      <c r="B2540" s="43" t="s">
        <v>6</v>
      </c>
      <c r="C2540" s="15">
        <v>4</v>
      </c>
      <c r="D2540" s="244">
        <v>1</v>
      </c>
      <c r="E2540" s="244">
        <v>0</v>
      </c>
      <c r="F2540" s="244">
        <v>0</v>
      </c>
      <c r="G2540" s="244">
        <v>0</v>
      </c>
      <c r="H2540" s="244">
        <v>0</v>
      </c>
      <c r="I2540" s="244">
        <v>1</v>
      </c>
      <c r="J2540" s="244">
        <v>0</v>
      </c>
      <c r="K2540" s="244">
        <v>1</v>
      </c>
      <c r="L2540" s="244">
        <v>0</v>
      </c>
      <c r="M2540" s="244">
        <v>1</v>
      </c>
      <c r="N2540" s="244">
        <v>0</v>
      </c>
      <c r="O2540" s="254">
        <v>0</v>
      </c>
    </row>
    <row r="2541" ht="14.25" spans="1:15">
      <c r="A2541" s="245" t="s">
        <v>66</v>
      </c>
      <c r="B2541" s="52" t="s">
        <v>64</v>
      </c>
      <c r="C2541" s="19">
        <v>0.4</v>
      </c>
      <c r="D2541" s="246">
        <v>1</v>
      </c>
      <c r="E2541" s="246">
        <v>0</v>
      </c>
      <c r="F2541" s="246">
        <v>0</v>
      </c>
      <c r="G2541" s="246">
        <v>0</v>
      </c>
      <c r="H2541" s="246">
        <v>0</v>
      </c>
      <c r="I2541" s="246">
        <v>0.333333333333333</v>
      </c>
      <c r="J2541" s="246">
        <v>0</v>
      </c>
      <c r="K2541" s="246">
        <v>1</v>
      </c>
      <c r="L2541" s="246">
        <v>0</v>
      </c>
      <c r="M2541" s="246">
        <v>0</v>
      </c>
      <c r="N2541" s="246">
        <v>0</v>
      </c>
      <c r="O2541" s="255">
        <v>0</v>
      </c>
    </row>
    <row r="2542" spans="1:15">
      <c r="A2542" s="240" t="s">
        <v>67</v>
      </c>
      <c r="B2542" s="47" t="s">
        <v>55</v>
      </c>
      <c r="C2542" s="12">
        <v>0.786561264822134</v>
      </c>
      <c r="D2542" s="241">
        <v>1.34782608695652</v>
      </c>
      <c r="E2542" s="241">
        <v>0.611111111111111</v>
      </c>
      <c r="F2542" s="241">
        <v>1</v>
      </c>
      <c r="G2542" s="241">
        <v>1.14285714285714</v>
      </c>
      <c r="H2542" s="241">
        <v>0.866666666666667</v>
      </c>
      <c r="I2542" s="241">
        <v>0.457142857142857</v>
      </c>
      <c r="J2542" s="241">
        <v>1.04545454545455</v>
      </c>
      <c r="K2542" s="241">
        <v>0.620689655172414</v>
      </c>
      <c r="L2542" s="241">
        <v>0.636363636363636</v>
      </c>
      <c r="M2542" s="241">
        <v>0.947368421052632</v>
      </c>
      <c r="N2542" s="241">
        <v>0.727272727272727</v>
      </c>
      <c r="O2542" s="252">
        <v>0.739130434782609</v>
      </c>
    </row>
    <row r="2543" spans="1:15">
      <c r="A2543" s="242" t="s">
        <v>67</v>
      </c>
      <c r="B2543" s="43" t="s">
        <v>57</v>
      </c>
      <c r="C2543" s="15">
        <v>253</v>
      </c>
      <c r="D2543" s="243">
        <v>23</v>
      </c>
      <c r="E2543" s="243">
        <v>18</v>
      </c>
      <c r="F2543" s="243">
        <v>7</v>
      </c>
      <c r="G2543" s="243">
        <v>7</v>
      </c>
      <c r="H2543" s="243">
        <v>15</v>
      </c>
      <c r="I2543" s="243">
        <v>35</v>
      </c>
      <c r="J2543" s="243">
        <v>22</v>
      </c>
      <c r="K2543" s="243">
        <v>29</v>
      </c>
      <c r="L2543" s="243">
        <v>33</v>
      </c>
      <c r="M2543" s="243">
        <v>19</v>
      </c>
      <c r="N2543" s="243">
        <v>22</v>
      </c>
      <c r="O2543" s="253">
        <v>23</v>
      </c>
    </row>
    <row r="2544" spans="1:15">
      <c r="A2544" s="240" t="s">
        <v>67</v>
      </c>
      <c r="B2544" s="47" t="s">
        <v>59</v>
      </c>
      <c r="C2544" s="15">
        <v>199</v>
      </c>
      <c r="D2544" s="243">
        <v>31</v>
      </c>
      <c r="E2544" s="243">
        <v>11</v>
      </c>
      <c r="F2544" s="243">
        <v>7</v>
      </c>
      <c r="G2544" s="243">
        <v>8</v>
      </c>
      <c r="H2544" s="243">
        <v>13</v>
      </c>
      <c r="I2544" s="243">
        <v>16</v>
      </c>
      <c r="J2544" s="243">
        <v>23</v>
      </c>
      <c r="K2544" s="243">
        <v>18</v>
      </c>
      <c r="L2544" s="243">
        <v>21</v>
      </c>
      <c r="M2544" s="243">
        <v>18</v>
      </c>
      <c r="N2544" s="243">
        <v>16</v>
      </c>
      <c r="O2544" s="253">
        <v>17</v>
      </c>
    </row>
    <row r="2545" spans="1:15">
      <c r="A2545" s="242" t="s">
        <v>67</v>
      </c>
      <c r="B2545" s="43" t="s">
        <v>4</v>
      </c>
      <c r="C2545" s="15">
        <v>9</v>
      </c>
      <c r="D2545" s="244">
        <v>0</v>
      </c>
      <c r="E2545" s="244">
        <v>1</v>
      </c>
      <c r="F2545" s="244">
        <v>0</v>
      </c>
      <c r="G2545" s="244">
        <v>0</v>
      </c>
      <c r="H2545" s="244">
        <v>0</v>
      </c>
      <c r="I2545" s="244">
        <v>1</v>
      </c>
      <c r="J2545" s="244">
        <v>2</v>
      </c>
      <c r="K2545" s="244">
        <v>2</v>
      </c>
      <c r="L2545" s="244">
        <v>0</v>
      </c>
      <c r="M2545" s="244">
        <v>1</v>
      </c>
      <c r="N2545" s="244">
        <v>2</v>
      </c>
      <c r="O2545" s="254">
        <v>0</v>
      </c>
    </row>
    <row r="2546" spans="1:15">
      <c r="A2546" s="240" t="s">
        <v>67</v>
      </c>
      <c r="B2546" s="47" t="s">
        <v>5</v>
      </c>
      <c r="C2546" s="12">
        <v>0.0452261306532663</v>
      </c>
      <c r="D2546" s="241">
        <v>0</v>
      </c>
      <c r="E2546" s="241">
        <v>0.0909090909090909</v>
      </c>
      <c r="F2546" s="241">
        <v>0</v>
      </c>
      <c r="G2546" s="241">
        <v>0</v>
      </c>
      <c r="H2546" s="241">
        <v>0</v>
      </c>
      <c r="I2546" s="241">
        <v>0.0625</v>
      </c>
      <c r="J2546" s="241">
        <v>0.0869565217391304</v>
      </c>
      <c r="K2546" s="241">
        <v>0.111111111111111</v>
      </c>
      <c r="L2546" s="241">
        <v>0</v>
      </c>
      <c r="M2546" s="241">
        <v>0.0555555555555556</v>
      </c>
      <c r="N2546" s="241">
        <v>0.125</v>
      </c>
      <c r="O2546" s="252">
        <v>0</v>
      </c>
    </row>
    <row r="2547" spans="1:15">
      <c r="A2547" s="242" t="s">
        <v>67</v>
      </c>
      <c r="B2547" s="43" t="s">
        <v>6</v>
      </c>
      <c r="C2547" s="15">
        <v>3</v>
      </c>
      <c r="D2547" s="244">
        <v>0</v>
      </c>
      <c r="E2547" s="244">
        <v>0</v>
      </c>
      <c r="F2547" s="244">
        <v>0</v>
      </c>
      <c r="G2547" s="244">
        <v>0</v>
      </c>
      <c r="H2547" s="244">
        <v>1</v>
      </c>
      <c r="I2547" s="244">
        <v>0</v>
      </c>
      <c r="J2547" s="244">
        <v>1</v>
      </c>
      <c r="K2547" s="244">
        <v>0</v>
      </c>
      <c r="L2547" s="244">
        <v>0</v>
      </c>
      <c r="M2547" s="244">
        <v>0</v>
      </c>
      <c r="N2547" s="244">
        <v>0</v>
      </c>
      <c r="O2547" s="254">
        <v>1</v>
      </c>
    </row>
    <row r="2548" ht="14.25" spans="1:15">
      <c r="A2548" s="245" t="s">
        <v>67</v>
      </c>
      <c r="B2548" s="52" t="s">
        <v>64</v>
      </c>
      <c r="C2548" s="19">
        <v>0.333333333333333</v>
      </c>
      <c r="D2548" s="246">
        <v>0</v>
      </c>
      <c r="E2548" s="246">
        <v>0</v>
      </c>
      <c r="F2548" s="246">
        <v>0</v>
      </c>
      <c r="G2548" s="246">
        <v>0</v>
      </c>
      <c r="H2548" s="246">
        <v>0</v>
      </c>
      <c r="I2548" s="246">
        <v>0</v>
      </c>
      <c r="J2548" s="246">
        <v>0.5</v>
      </c>
      <c r="K2548" s="246">
        <v>0</v>
      </c>
      <c r="L2548" s="246">
        <v>0</v>
      </c>
      <c r="M2548" s="246">
        <v>0</v>
      </c>
      <c r="N2548" s="246">
        <v>0</v>
      </c>
      <c r="O2548" s="255">
        <v>0</v>
      </c>
    </row>
    <row r="2549" spans="1:15">
      <c r="A2549" s="240" t="s">
        <v>68</v>
      </c>
      <c r="B2549" s="47" t="s">
        <v>55</v>
      </c>
      <c r="C2549" s="12">
        <v>0.169566346403532</v>
      </c>
      <c r="D2549" s="241">
        <v>0.269430051813472</v>
      </c>
      <c r="E2549" s="241">
        <v>0.3125</v>
      </c>
      <c r="F2549" s="241">
        <v>0.282051282051282</v>
      </c>
      <c r="G2549" s="241">
        <v>0.282442748091603</v>
      </c>
      <c r="H2549" s="241">
        <v>0.296</v>
      </c>
      <c r="I2549" s="241">
        <v>0.308823529411765</v>
      </c>
      <c r="J2549" s="241">
        <v>0.280373831775701</v>
      </c>
      <c r="K2549" s="241">
        <v>0.162376237623762</v>
      </c>
      <c r="L2549" s="241">
        <v>0.094188376753507</v>
      </c>
      <c r="M2549" s="241">
        <v>0.109207708779443</v>
      </c>
      <c r="N2549" s="241">
        <v>0.112932604735883</v>
      </c>
      <c r="O2549" s="252">
        <v>0.080895008605852</v>
      </c>
    </row>
    <row r="2550" spans="1:15">
      <c r="A2550" s="242" t="s">
        <v>68</v>
      </c>
      <c r="B2550" s="43" t="s">
        <v>57</v>
      </c>
      <c r="C2550" s="15">
        <v>3851</v>
      </c>
      <c r="D2550" s="243">
        <v>193</v>
      </c>
      <c r="E2550" s="243">
        <v>112</v>
      </c>
      <c r="F2550" s="243">
        <v>78</v>
      </c>
      <c r="G2550" s="243">
        <v>131</v>
      </c>
      <c r="H2550" s="243">
        <v>250</v>
      </c>
      <c r="I2550" s="243">
        <v>272</v>
      </c>
      <c r="J2550" s="243">
        <v>214</v>
      </c>
      <c r="K2550" s="243">
        <v>505</v>
      </c>
      <c r="L2550" s="243">
        <v>499</v>
      </c>
      <c r="M2550" s="243">
        <v>467</v>
      </c>
      <c r="N2550" s="243">
        <v>549</v>
      </c>
      <c r="O2550" s="253">
        <v>581</v>
      </c>
    </row>
    <row r="2551" spans="1:15">
      <c r="A2551" s="240" t="s">
        <v>68</v>
      </c>
      <c r="B2551" s="47" t="s">
        <v>59</v>
      </c>
      <c r="C2551" s="15">
        <v>653</v>
      </c>
      <c r="D2551" s="243">
        <v>52</v>
      </c>
      <c r="E2551" s="243">
        <v>35</v>
      </c>
      <c r="F2551" s="243">
        <v>22</v>
      </c>
      <c r="G2551" s="243">
        <v>37</v>
      </c>
      <c r="H2551" s="243">
        <v>74</v>
      </c>
      <c r="I2551" s="243">
        <v>84</v>
      </c>
      <c r="J2551" s="243">
        <v>60</v>
      </c>
      <c r="K2551" s="243">
        <v>82</v>
      </c>
      <c r="L2551" s="243">
        <v>47</v>
      </c>
      <c r="M2551" s="243">
        <v>51</v>
      </c>
      <c r="N2551" s="243">
        <v>62</v>
      </c>
      <c r="O2551" s="253">
        <v>47</v>
      </c>
    </row>
    <row r="2552" spans="1:15">
      <c r="A2552" s="242" t="s">
        <v>68</v>
      </c>
      <c r="B2552" s="43" t="s">
        <v>4</v>
      </c>
      <c r="C2552" s="15">
        <v>18</v>
      </c>
      <c r="D2552" s="244">
        <v>2</v>
      </c>
      <c r="E2552" s="244">
        <v>1</v>
      </c>
      <c r="F2552" s="244">
        <v>1</v>
      </c>
      <c r="G2552" s="244">
        <v>0</v>
      </c>
      <c r="H2552" s="244">
        <v>3</v>
      </c>
      <c r="I2552" s="244">
        <v>3</v>
      </c>
      <c r="J2552" s="244">
        <v>2</v>
      </c>
      <c r="K2552" s="244">
        <v>2</v>
      </c>
      <c r="L2552" s="244">
        <v>0</v>
      </c>
      <c r="M2552" s="244">
        <v>1</v>
      </c>
      <c r="N2552" s="244">
        <v>2</v>
      </c>
      <c r="O2552" s="254">
        <v>1</v>
      </c>
    </row>
    <row r="2553" spans="1:15">
      <c r="A2553" s="240" t="s">
        <v>68</v>
      </c>
      <c r="B2553" s="47" t="s">
        <v>5</v>
      </c>
      <c r="C2553" s="12">
        <v>0.0275650842266462</v>
      </c>
      <c r="D2553" s="241">
        <v>0.0384615384615385</v>
      </c>
      <c r="E2553" s="241">
        <v>0.0285714285714286</v>
      </c>
      <c r="F2553" s="241">
        <v>0.0454545454545455</v>
      </c>
      <c r="G2553" s="241">
        <v>0</v>
      </c>
      <c r="H2553" s="241">
        <v>0.0405405405405405</v>
      </c>
      <c r="I2553" s="241">
        <v>0.0357142857142857</v>
      </c>
      <c r="J2553" s="241">
        <v>0.0333333333333333</v>
      </c>
      <c r="K2553" s="241">
        <v>0.024390243902439</v>
      </c>
      <c r="L2553" s="241">
        <v>0</v>
      </c>
      <c r="M2553" s="241">
        <v>0.0196078431372549</v>
      </c>
      <c r="N2553" s="241">
        <v>0.032258064516129</v>
      </c>
      <c r="O2553" s="252">
        <v>0.0212765957446809</v>
      </c>
    </row>
    <row r="2554" spans="1:15">
      <c r="A2554" s="242" t="s">
        <v>68</v>
      </c>
      <c r="B2554" s="43" t="s">
        <v>6</v>
      </c>
      <c r="C2554" s="15">
        <v>11</v>
      </c>
      <c r="D2554" s="244">
        <v>1</v>
      </c>
      <c r="E2554" s="244">
        <v>1</v>
      </c>
      <c r="F2554" s="244">
        <v>1</v>
      </c>
      <c r="G2554" s="244">
        <v>1</v>
      </c>
      <c r="H2554" s="244">
        <v>1</v>
      </c>
      <c r="I2554" s="244">
        <v>3</v>
      </c>
      <c r="J2554" s="244">
        <v>0</v>
      </c>
      <c r="K2554" s="244">
        <v>1</v>
      </c>
      <c r="L2554" s="244">
        <v>2</v>
      </c>
      <c r="M2554" s="244">
        <v>0</v>
      </c>
      <c r="N2554" s="244">
        <v>0</v>
      </c>
      <c r="O2554" s="254">
        <v>0</v>
      </c>
    </row>
    <row r="2555" ht="14.25" spans="1:15">
      <c r="A2555" s="245" t="s">
        <v>68</v>
      </c>
      <c r="B2555" s="52" t="s">
        <v>64</v>
      </c>
      <c r="C2555" s="19">
        <v>0.611111111111111</v>
      </c>
      <c r="D2555" s="246">
        <v>0.5</v>
      </c>
      <c r="E2555" s="246">
        <v>1</v>
      </c>
      <c r="F2555" s="246">
        <v>1</v>
      </c>
      <c r="G2555" s="246">
        <v>0</v>
      </c>
      <c r="H2555" s="246">
        <v>0.333333333333333</v>
      </c>
      <c r="I2555" s="246">
        <v>1</v>
      </c>
      <c r="J2555" s="246">
        <v>0</v>
      </c>
      <c r="K2555" s="246">
        <v>0.5</v>
      </c>
      <c r="L2555" s="246">
        <v>0</v>
      </c>
      <c r="M2555" s="246">
        <v>0</v>
      </c>
      <c r="N2555" s="246">
        <v>0</v>
      </c>
      <c r="O2555" s="255">
        <v>0</v>
      </c>
    </row>
    <row r="2556" spans="1:15">
      <c r="A2556" s="240" t="s">
        <v>69</v>
      </c>
      <c r="B2556" s="47" t="s">
        <v>55</v>
      </c>
      <c r="C2556" s="12">
        <v>0.868117797695263</v>
      </c>
      <c r="D2556" s="241">
        <v>0.954545454545455</v>
      </c>
      <c r="E2556" s="241">
        <v>1.25</v>
      </c>
      <c r="F2556" s="241">
        <v>0.933333333333333</v>
      </c>
      <c r="G2556" s="241">
        <v>1</v>
      </c>
      <c r="H2556" s="241">
        <v>0.824561403508772</v>
      </c>
      <c r="I2556" s="241">
        <v>0.741176470588235</v>
      </c>
      <c r="J2556" s="241">
        <v>0.830769230769231</v>
      </c>
      <c r="K2556" s="241">
        <v>0.861538461538462</v>
      </c>
      <c r="L2556" s="241">
        <v>0.847058823529412</v>
      </c>
      <c r="M2556" s="241">
        <v>0.9625</v>
      </c>
      <c r="N2556" s="241">
        <v>0.767676767676768</v>
      </c>
      <c r="O2556" s="252">
        <v>0.817073170731707</v>
      </c>
    </row>
    <row r="2557" spans="1:15">
      <c r="A2557" s="242" t="s">
        <v>69</v>
      </c>
      <c r="B2557" s="43" t="s">
        <v>57</v>
      </c>
      <c r="C2557" s="15">
        <v>781</v>
      </c>
      <c r="D2557" s="243">
        <v>66</v>
      </c>
      <c r="E2557" s="243">
        <v>32</v>
      </c>
      <c r="F2557" s="243">
        <v>30</v>
      </c>
      <c r="G2557" s="243">
        <v>35</v>
      </c>
      <c r="H2557" s="243">
        <v>57</v>
      </c>
      <c r="I2557" s="243">
        <v>85</v>
      </c>
      <c r="J2557" s="243">
        <v>65</v>
      </c>
      <c r="K2557" s="243">
        <v>65</v>
      </c>
      <c r="L2557" s="243">
        <v>85</v>
      </c>
      <c r="M2557" s="243">
        <v>80</v>
      </c>
      <c r="N2557" s="243">
        <v>99</v>
      </c>
      <c r="O2557" s="253">
        <v>82</v>
      </c>
    </row>
    <row r="2558" spans="1:15">
      <c r="A2558" s="240" t="s">
        <v>69</v>
      </c>
      <c r="B2558" s="47" t="s">
        <v>59</v>
      </c>
      <c r="C2558" s="15">
        <v>678</v>
      </c>
      <c r="D2558" s="243">
        <v>63</v>
      </c>
      <c r="E2558" s="243">
        <v>40</v>
      </c>
      <c r="F2558" s="243">
        <v>28</v>
      </c>
      <c r="G2558" s="243">
        <v>35</v>
      </c>
      <c r="H2558" s="243">
        <v>47</v>
      </c>
      <c r="I2558" s="243">
        <v>63</v>
      </c>
      <c r="J2558" s="243">
        <v>54</v>
      </c>
      <c r="K2558" s="243">
        <v>56</v>
      </c>
      <c r="L2558" s="243">
        <v>72</v>
      </c>
      <c r="M2558" s="243">
        <v>77</v>
      </c>
      <c r="N2558" s="243">
        <v>76</v>
      </c>
      <c r="O2558" s="253">
        <v>67</v>
      </c>
    </row>
    <row r="2559" spans="1:15">
      <c r="A2559" s="242" t="s">
        <v>69</v>
      </c>
      <c r="B2559" s="43" t="s">
        <v>4</v>
      </c>
      <c r="C2559" s="15">
        <v>26</v>
      </c>
      <c r="D2559" s="244">
        <v>1</v>
      </c>
      <c r="E2559" s="244">
        <v>2</v>
      </c>
      <c r="F2559" s="244">
        <v>0</v>
      </c>
      <c r="G2559" s="244">
        <v>0</v>
      </c>
      <c r="H2559" s="244">
        <v>4</v>
      </c>
      <c r="I2559" s="244">
        <v>2</v>
      </c>
      <c r="J2559" s="244">
        <v>0</v>
      </c>
      <c r="K2559" s="244">
        <v>4</v>
      </c>
      <c r="L2559" s="244">
        <v>4</v>
      </c>
      <c r="M2559" s="244">
        <v>5</v>
      </c>
      <c r="N2559" s="244">
        <v>2</v>
      </c>
      <c r="O2559" s="254">
        <v>2</v>
      </c>
    </row>
    <row r="2560" spans="1:15">
      <c r="A2560" s="240" t="s">
        <v>69</v>
      </c>
      <c r="B2560" s="47" t="s">
        <v>5</v>
      </c>
      <c r="C2560" s="12">
        <v>0.0383480825958702</v>
      </c>
      <c r="D2560" s="241">
        <v>0.0158730158730159</v>
      </c>
      <c r="E2560" s="241">
        <v>0.05</v>
      </c>
      <c r="F2560" s="241">
        <v>0</v>
      </c>
      <c r="G2560" s="241">
        <v>0</v>
      </c>
      <c r="H2560" s="241">
        <v>0.0851063829787234</v>
      </c>
      <c r="I2560" s="241">
        <v>0.0317460317460317</v>
      </c>
      <c r="J2560" s="241">
        <v>0</v>
      </c>
      <c r="K2560" s="241">
        <v>0.0714285714285714</v>
      </c>
      <c r="L2560" s="241">
        <v>0.0555555555555556</v>
      </c>
      <c r="M2560" s="241">
        <v>0.0649350649350649</v>
      </c>
      <c r="N2560" s="241">
        <v>0.0263157894736842</v>
      </c>
      <c r="O2560" s="252">
        <v>0.0298507462686567</v>
      </c>
    </row>
    <row r="2561" spans="1:15">
      <c r="A2561" s="242" t="s">
        <v>69</v>
      </c>
      <c r="B2561" s="43" t="s">
        <v>6</v>
      </c>
      <c r="C2561" s="15">
        <v>8</v>
      </c>
      <c r="D2561" s="244">
        <v>1</v>
      </c>
      <c r="E2561" s="244">
        <v>2</v>
      </c>
      <c r="F2561" s="244">
        <v>0</v>
      </c>
      <c r="G2561" s="244">
        <v>0</v>
      </c>
      <c r="H2561" s="244">
        <v>3</v>
      </c>
      <c r="I2561" s="244">
        <v>0</v>
      </c>
      <c r="J2561" s="244">
        <v>0</v>
      </c>
      <c r="K2561" s="244">
        <v>0</v>
      </c>
      <c r="L2561" s="244">
        <v>0</v>
      </c>
      <c r="M2561" s="244">
        <v>1</v>
      </c>
      <c r="N2561" s="244">
        <v>0</v>
      </c>
      <c r="O2561" s="254">
        <v>1</v>
      </c>
    </row>
    <row r="2562" ht="14.25" spans="1:15">
      <c r="A2562" s="245" t="s">
        <v>69</v>
      </c>
      <c r="B2562" s="52" t="s">
        <v>64</v>
      </c>
      <c r="C2562" s="19">
        <v>0.307692307692308</v>
      </c>
      <c r="D2562" s="246">
        <v>1</v>
      </c>
      <c r="E2562" s="246">
        <v>1</v>
      </c>
      <c r="F2562" s="246">
        <v>0</v>
      </c>
      <c r="G2562" s="246">
        <v>0</v>
      </c>
      <c r="H2562" s="246">
        <v>0.75</v>
      </c>
      <c r="I2562" s="246">
        <v>0</v>
      </c>
      <c r="J2562" s="246">
        <v>0</v>
      </c>
      <c r="K2562" s="246">
        <v>0</v>
      </c>
      <c r="L2562" s="246">
        <v>0</v>
      </c>
      <c r="M2562" s="246">
        <v>0.2</v>
      </c>
      <c r="N2562" s="246">
        <v>0</v>
      </c>
      <c r="O2562" s="255">
        <v>0.5</v>
      </c>
    </row>
    <row r="2563" spans="1:15">
      <c r="A2563" s="240" t="s">
        <v>70</v>
      </c>
      <c r="B2563" s="47" t="s">
        <v>55</v>
      </c>
      <c r="C2563" s="12">
        <v>0.879761510433918</v>
      </c>
      <c r="D2563" s="241">
        <v>0.881679389312977</v>
      </c>
      <c r="E2563" s="241">
        <v>0.947368421052632</v>
      </c>
      <c r="F2563" s="241">
        <v>0.794117647058823</v>
      </c>
      <c r="G2563" s="241">
        <v>0.915966386554622</v>
      </c>
      <c r="H2563" s="241">
        <v>0.923469387755102</v>
      </c>
      <c r="I2563" s="241">
        <v>0.901709401709402</v>
      </c>
      <c r="J2563" s="241">
        <v>0.931297709923664</v>
      </c>
      <c r="K2563" s="241">
        <v>0.850162866449511</v>
      </c>
      <c r="L2563" s="241">
        <v>0.876666666666667</v>
      </c>
      <c r="M2563" s="241">
        <v>0.854785478547855</v>
      </c>
      <c r="N2563" s="241">
        <v>0.882513661202186</v>
      </c>
      <c r="O2563" s="252">
        <v>0.835555555555556</v>
      </c>
    </row>
    <row r="2564" spans="1:15">
      <c r="A2564" s="242" t="s">
        <v>70</v>
      </c>
      <c r="B2564" s="43" t="s">
        <v>57</v>
      </c>
      <c r="C2564" s="15">
        <v>3019</v>
      </c>
      <c r="D2564" s="243">
        <v>262</v>
      </c>
      <c r="E2564" s="243">
        <v>152</v>
      </c>
      <c r="F2564" s="243">
        <v>68</v>
      </c>
      <c r="G2564" s="243">
        <v>119</v>
      </c>
      <c r="H2564" s="243">
        <v>196</v>
      </c>
      <c r="I2564" s="243">
        <v>234</v>
      </c>
      <c r="J2564" s="243">
        <v>262</v>
      </c>
      <c r="K2564" s="243">
        <v>307</v>
      </c>
      <c r="L2564" s="243">
        <v>300</v>
      </c>
      <c r="M2564" s="243">
        <v>303</v>
      </c>
      <c r="N2564" s="243">
        <v>366</v>
      </c>
      <c r="O2564" s="253">
        <v>450</v>
      </c>
    </row>
    <row r="2565" spans="1:15">
      <c r="A2565" s="240" t="s">
        <v>70</v>
      </c>
      <c r="B2565" s="47" t="s">
        <v>59</v>
      </c>
      <c r="C2565" s="15">
        <v>2656</v>
      </c>
      <c r="D2565" s="243">
        <v>231</v>
      </c>
      <c r="E2565" s="243">
        <v>144</v>
      </c>
      <c r="F2565" s="243">
        <v>54</v>
      </c>
      <c r="G2565" s="243">
        <v>109</v>
      </c>
      <c r="H2565" s="243">
        <v>181</v>
      </c>
      <c r="I2565" s="243">
        <v>211</v>
      </c>
      <c r="J2565" s="243">
        <v>244</v>
      </c>
      <c r="K2565" s="243">
        <v>261</v>
      </c>
      <c r="L2565" s="243">
        <v>263</v>
      </c>
      <c r="M2565" s="243">
        <v>259</v>
      </c>
      <c r="N2565" s="243">
        <v>323</v>
      </c>
      <c r="O2565" s="253">
        <v>376</v>
      </c>
    </row>
    <row r="2566" spans="1:15">
      <c r="A2566" s="242" t="s">
        <v>70</v>
      </c>
      <c r="B2566" s="43" t="s">
        <v>4</v>
      </c>
      <c r="C2566" s="15">
        <v>83</v>
      </c>
      <c r="D2566" s="244">
        <v>9</v>
      </c>
      <c r="E2566" s="244">
        <v>8</v>
      </c>
      <c r="F2566" s="244">
        <v>4</v>
      </c>
      <c r="G2566" s="244">
        <v>0</v>
      </c>
      <c r="H2566" s="244">
        <v>8</v>
      </c>
      <c r="I2566" s="244">
        <v>5</v>
      </c>
      <c r="J2566" s="244">
        <v>8</v>
      </c>
      <c r="K2566" s="244">
        <v>7</v>
      </c>
      <c r="L2566" s="244">
        <v>5</v>
      </c>
      <c r="M2566" s="244">
        <v>9</v>
      </c>
      <c r="N2566" s="244">
        <v>7</v>
      </c>
      <c r="O2566" s="254">
        <v>13</v>
      </c>
    </row>
    <row r="2567" spans="1:15">
      <c r="A2567" s="240" t="s">
        <v>70</v>
      </c>
      <c r="B2567" s="47" t="s">
        <v>5</v>
      </c>
      <c r="C2567" s="12">
        <v>0.03125</v>
      </c>
      <c r="D2567" s="241">
        <v>0.038961038961039</v>
      </c>
      <c r="E2567" s="241">
        <v>0.0555555555555556</v>
      </c>
      <c r="F2567" s="241">
        <v>0.0740740740740741</v>
      </c>
      <c r="G2567" s="241">
        <v>0</v>
      </c>
      <c r="H2567" s="241">
        <v>0.0441988950276243</v>
      </c>
      <c r="I2567" s="241">
        <v>0.023696682464455</v>
      </c>
      <c r="J2567" s="241">
        <v>0.0327868852459016</v>
      </c>
      <c r="K2567" s="241">
        <v>0.0268199233716475</v>
      </c>
      <c r="L2567" s="241">
        <v>0.0190114068441065</v>
      </c>
      <c r="M2567" s="241">
        <v>0.0347490347490347</v>
      </c>
      <c r="N2567" s="241">
        <v>0.021671826625387</v>
      </c>
      <c r="O2567" s="252">
        <v>0.0345744680851064</v>
      </c>
    </row>
    <row r="2568" spans="1:15">
      <c r="A2568" s="242" t="s">
        <v>70</v>
      </c>
      <c r="B2568" s="43" t="s">
        <v>6</v>
      </c>
      <c r="C2568" s="15">
        <v>19</v>
      </c>
      <c r="D2568" s="244">
        <v>3</v>
      </c>
      <c r="E2568" s="244">
        <v>1</v>
      </c>
      <c r="F2568" s="244">
        <v>1</v>
      </c>
      <c r="G2568" s="244">
        <v>0</v>
      </c>
      <c r="H2568" s="244">
        <v>2</v>
      </c>
      <c r="I2568" s="244">
        <v>2</v>
      </c>
      <c r="J2568" s="244">
        <v>1</v>
      </c>
      <c r="K2568" s="244">
        <v>2</v>
      </c>
      <c r="L2568" s="244">
        <v>1</v>
      </c>
      <c r="M2568" s="244">
        <v>2</v>
      </c>
      <c r="N2568" s="244">
        <v>2</v>
      </c>
      <c r="O2568" s="254">
        <v>2</v>
      </c>
    </row>
    <row r="2569" ht="14.25" spans="1:15">
      <c r="A2569" s="245" t="s">
        <v>70</v>
      </c>
      <c r="B2569" s="52" t="s">
        <v>64</v>
      </c>
      <c r="C2569" s="19">
        <v>0.228915662650602</v>
      </c>
      <c r="D2569" s="246">
        <v>0.333333333333333</v>
      </c>
      <c r="E2569" s="246">
        <v>0.125</v>
      </c>
      <c r="F2569" s="246">
        <v>0.25</v>
      </c>
      <c r="G2569" s="246">
        <v>0</v>
      </c>
      <c r="H2569" s="246">
        <v>0.25</v>
      </c>
      <c r="I2569" s="246">
        <v>0.4</v>
      </c>
      <c r="J2569" s="246">
        <v>0.125</v>
      </c>
      <c r="K2569" s="246">
        <v>0.285714285714286</v>
      </c>
      <c r="L2569" s="246">
        <v>0.2</v>
      </c>
      <c r="M2569" s="246">
        <v>0.222222222222222</v>
      </c>
      <c r="N2569" s="246">
        <v>0.285714285714286</v>
      </c>
      <c r="O2569" s="255">
        <v>0.153846153846154</v>
      </c>
    </row>
    <row r="2570" spans="1:15">
      <c r="A2570" s="240" t="s">
        <v>26</v>
      </c>
      <c r="B2570" s="47" t="s">
        <v>55</v>
      </c>
      <c r="C2570" s="12">
        <v>0.646345687564946</v>
      </c>
      <c r="D2570" s="241">
        <v>0.613207547169811</v>
      </c>
      <c r="E2570" s="241">
        <v>0.546610169491525</v>
      </c>
      <c r="F2570" s="241">
        <v>0.590909090909091</v>
      </c>
      <c r="G2570" s="241">
        <v>0.611111111111111</v>
      </c>
      <c r="H2570" s="241">
        <v>0.69212962962963</v>
      </c>
      <c r="I2570" s="241">
        <v>0.555555555555556</v>
      </c>
      <c r="J2570" s="241">
        <v>0.715846994535519</v>
      </c>
      <c r="K2570" s="241">
        <v>0.691860465116279</v>
      </c>
      <c r="L2570" s="241">
        <v>0.685185185185185</v>
      </c>
      <c r="M2570" s="241">
        <v>0.810126582278481</v>
      </c>
      <c r="N2570" s="241">
        <v>0.725</v>
      </c>
      <c r="O2570" s="252">
        <v>0.64021164021164</v>
      </c>
    </row>
    <row r="2571" spans="1:15">
      <c r="A2571" s="242" t="s">
        <v>26</v>
      </c>
      <c r="B2571" s="43" t="s">
        <v>57</v>
      </c>
      <c r="C2571" s="15">
        <v>2887</v>
      </c>
      <c r="D2571" s="243">
        <v>318</v>
      </c>
      <c r="E2571" s="243">
        <v>236</v>
      </c>
      <c r="F2571" s="243">
        <v>198</v>
      </c>
      <c r="G2571" s="243">
        <v>288</v>
      </c>
      <c r="H2571" s="243">
        <v>432</v>
      </c>
      <c r="I2571" s="243">
        <v>351</v>
      </c>
      <c r="J2571" s="243">
        <v>183</v>
      </c>
      <c r="K2571" s="243">
        <v>172</v>
      </c>
      <c r="L2571" s="243">
        <v>162</v>
      </c>
      <c r="M2571" s="243">
        <v>158</v>
      </c>
      <c r="N2571" s="243">
        <v>200</v>
      </c>
      <c r="O2571" s="253">
        <v>189</v>
      </c>
    </row>
    <row r="2572" spans="1:15">
      <c r="A2572" s="240" t="s">
        <v>26</v>
      </c>
      <c r="B2572" s="47" t="s">
        <v>59</v>
      </c>
      <c r="C2572" s="15">
        <v>1866</v>
      </c>
      <c r="D2572" s="243">
        <v>195</v>
      </c>
      <c r="E2572" s="243">
        <v>129</v>
      </c>
      <c r="F2572" s="243">
        <v>117</v>
      </c>
      <c r="G2572" s="243">
        <v>176</v>
      </c>
      <c r="H2572" s="243">
        <v>299</v>
      </c>
      <c r="I2572" s="243">
        <v>195</v>
      </c>
      <c r="J2572" s="243">
        <v>131</v>
      </c>
      <c r="K2572" s="243">
        <v>119</v>
      </c>
      <c r="L2572" s="243">
        <v>111</v>
      </c>
      <c r="M2572" s="243">
        <v>128</v>
      </c>
      <c r="N2572" s="243">
        <v>145</v>
      </c>
      <c r="O2572" s="253">
        <v>121</v>
      </c>
    </row>
    <row r="2573" spans="1:15">
      <c r="A2573" s="242" t="s">
        <v>26</v>
      </c>
      <c r="B2573" s="43" t="s">
        <v>4</v>
      </c>
      <c r="C2573" s="15">
        <v>12</v>
      </c>
      <c r="D2573" s="244">
        <v>0</v>
      </c>
      <c r="E2573" s="244">
        <v>0</v>
      </c>
      <c r="F2573" s="244">
        <v>0</v>
      </c>
      <c r="G2573" s="244">
        <v>2</v>
      </c>
      <c r="H2573" s="244">
        <v>1</v>
      </c>
      <c r="I2573" s="244">
        <v>1</v>
      </c>
      <c r="J2573" s="244">
        <v>2</v>
      </c>
      <c r="K2573" s="244">
        <v>0</v>
      </c>
      <c r="L2573" s="244">
        <v>2</v>
      </c>
      <c r="M2573" s="244">
        <v>0</v>
      </c>
      <c r="N2573" s="244">
        <v>3</v>
      </c>
      <c r="O2573" s="254">
        <v>1</v>
      </c>
    </row>
    <row r="2574" spans="1:15">
      <c r="A2574" s="240" t="s">
        <v>26</v>
      </c>
      <c r="B2574" s="47" t="s">
        <v>5</v>
      </c>
      <c r="C2574" s="12">
        <v>0.00643086816720257</v>
      </c>
      <c r="D2574" s="241">
        <v>0</v>
      </c>
      <c r="E2574" s="241">
        <v>0</v>
      </c>
      <c r="F2574" s="241">
        <v>0</v>
      </c>
      <c r="G2574" s="241">
        <v>0.0113636363636364</v>
      </c>
      <c r="H2574" s="241">
        <v>0.00334448160535117</v>
      </c>
      <c r="I2574" s="241">
        <v>0.00512820512820513</v>
      </c>
      <c r="J2574" s="241">
        <v>0.0152671755725191</v>
      </c>
      <c r="K2574" s="241">
        <v>0</v>
      </c>
      <c r="L2574" s="241">
        <v>0.018018018018018</v>
      </c>
      <c r="M2574" s="241">
        <v>0</v>
      </c>
      <c r="N2574" s="241">
        <v>0.0206896551724138</v>
      </c>
      <c r="O2574" s="252">
        <v>0.00826446280991736</v>
      </c>
    </row>
    <row r="2575" spans="1:15">
      <c r="A2575" s="242" t="s">
        <v>26</v>
      </c>
      <c r="B2575" s="43" t="s">
        <v>6</v>
      </c>
      <c r="C2575" s="15">
        <v>8</v>
      </c>
      <c r="D2575" s="244">
        <v>1</v>
      </c>
      <c r="E2575" s="244">
        <v>0</v>
      </c>
      <c r="F2575" s="244">
        <v>0</v>
      </c>
      <c r="G2575" s="244">
        <v>2</v>
      </c>
      <c r="H2575" s="244">
        <v>0</v>
      </c>
      <c r="I2575" s="244">
        <v>1</v>
      </c>
      <c r="J2575" s="244">
        <v>0</v>
      </c>
      <c r="K2575" s="244">
        <v>0</v>
      </c>
      <c r="L2575" s="244">
        <v>1</v>
      </c>
      <c r="M2575" s="244">
        <v>2</v>
      </c>
      <c r="N2575" s="244">
        <v>1</v>
      </c>
      <c r="O2575" s="254">
        <v>0</v>
      </c>
    </row>
    <row r="2576" ht="14.25" spans="1:15">
      <c r="A2576" s="245" t="s">
        <v>26</v>
      </c>
      <c r="B2576" s="52" t="s">
        <v>64</v>
      </c>
      <c r="C2576" s="19">
        <v>0.666666666666667</v>
      </c>
      <c r="D2576" s="19" t="e">
        <v>#DIV/0!</v>
      </c>
      <c r="E2576" s="19" t="e">
        <v>#DIV/0!</v>
      </c>
      <c r="F2576" s="19" t="e">
        <v>#DIV/0!</v>
      </c>
      <c r="G2576" s="19">
        <v>1</v>
      </c>
      <c r="H2576" s="19">
        <v>0</v>
      </c>
      <c r="I2576" s="19">
        <v>1</v>
      </c>
      <c r="J2576" s="19">
        <v>0</v>
      </c>
      <c r="K2576" s="19" t="e">
        <v>#DIV/0!</v>
      </c>
      <c r="L2576" s="19">
        <v>0.5</v>
      </c>
      <c r="M2576" s="19" t="e">
        <v>#DIV/0!</v>
      </c>
      <c r="N2576" s="19">
        <v>0.333333333333333</v>
      </c>
      <c r="O2576" s="19">
        <v>0</v>
      </c>
    </row>
    <row r="2577" spans="1:15">
      <c r="A2577" s="240" t="s">
        <v>71</v>
      </c>
      <c r="B2577" s="47" t="s">
        <v>55</v>
      </c>
      <c r="C2577" s="12">
        <v>5</v>
      </c>
      <c r="D2577" s="241" t="e">
        <v>#DIV/0!</v>
      </c>
      <c r="E2577" s="241" t="e">
        <v>#DIV/0!</v>
      </c>
      <c r="F2577" s="241" t="e">
        <v>#DIV/0!</v>
      </c>
      <c r="G2577" s="241" t="e">
        <v>#DIV/0!</v>
      </c>
      <c r="H2577" s="241" t="e">
        <v>#DIV/0!</v>
      </c>
      <c r="I2577" s="241" t="e">
        <v>#DIV/0!</v>
      </c>
      <c r="J2577" s="241" t="e">
        <v>#DIV/0!</v>
      </c>
      <c r="K2577" s="241">
        <v>2</v>
      </c>
      <c r="L2577" s="241" t="e">
        <v>#DIV/0!</v>
      </c>
      <c r="M2577" s="241">
        <v>2</v>
      </c>
      <c r="N2577" s="241" t="e">
        <v>#DIV/0!</v>
      </c>
      <c r="O2577" s="252" t="e">
        <v>#DIV/0!</v>
      </c>
    </row>
    <row r="2578" spans="1:15">
      <c r="A2578" s="242" t="s">
        <v>71</v>
      </c>
      <c r="B2578" s="43" t="s">
        <v>57</v>
      </c>
      <c r="C2578" s="15">
        <v>2</v>
      </c>
      <c r="D2578" s="243">
        <v>0</v>
      </c>
      <c r="E2578" s="243">
        <v>0</v>
      </c>
      <c r="F2578" s="243">
        <v>0</v>
      </c>
      <c r="G2578" s="243">
        <v>0</v>
      </c>
      <c r="H2578" s="243">
        <v>0</v>
      </c>
      <c r="I2578" s="243">
        <v>0</v>
      </c>
      <c r="J2578" s="243">
        <v>0</v>
      </c>
      <c r="K2578" s="243">
        <v>1</v>
      </c>
      <c r="L2578" s="243">
        <v>0</v>
      </c>
      <c r="M2578" s="243">
        <v>1</v>
      </c>
      <c r="N2578" s="243">
        <v>0</v>
      </c>
      <c r="O2578" s="253">
        <v>0</v>
      </c>
    </row>
    <row r="2579" spans="1:15">
      <c r="A2579" s="240" t="s">
        <v>71</v>
      </c>
      <c r="B2579" s="47" t="s">
        <v>59</v>
      </c>
      <c r="C2579" s="15">
        <v>10</v>
      </c>
      <c r="D2579" s="243">
        <v>0</v>
      </c>
      <c r="E2579" s="243">
        <v>1</v>
      </c>
      <c r="F2579" s="243">
        <v>0</v>
      </c>
      <c r="G2579" s="243">
        <v>0</v>
      </c>
      <c r="H2579" s="243">
        <v>2</v>
      </c>
      <c r="I2579" s="243">
        <v>0</v>
      </c>
      <c r="J2579" s="243">
        <v>0</v>
      </c>
      <c r="K2579" s="243">
        <v>2</v>
      </c>
      <c r="L2579" s="243">
        <v>0</v>
      </c>
      <c r="M2579" s="243">
        <v>2</v>
      </c>
      <c r="N2579" s="243">
        <v>0</v>
      </c>
      <c r="O2579" s="253">
        <v>3</v>
      </c>
    </row>
    <row r="2580" spans="1:15">
      <c r="A2580" s="242" t="s">
        <v>71</v>
      </c>
      <c r="B2580" s="43" t="s">
        <v>4</v>
      </c>
      <c r="C2580" s="15">
        <v>26</v>
      </c>
      <c r="D2580" s="244">
        <v>3</v>
      </c>
      <c r="E2580" s="244">
        <v>2</v>
      </c>
      <c r="F2580" s="244">
        <v>1</v>
      </c>
      <c r="G2580" s="244">
        <v>0</v>
      </c>
      <c r="H2580" s="244">
        <v>0</v>
      </c>
      <c r="I2580" s="244">
        <v>2</v>
      </c>
      <c r="J2580" s="244">
        <v>3</v>
      </c>
      <c r="K2580" s="244">
        <v>3</v>
      </c>
      <c r="L2580" s="244">
        <v>2</v>
      </c>
      <c r="M2580" s="244">
        <v>2</v>
      </c>
      <c r="N2580" s="244">
        <v>1</v>
      </c>
      <c r="O2580" s="254">
        <v>7</v>
      </c>
    </row>
    <row r="2581" spans="1:15">
      <c r="A2581" s="240" t="s">
        <v>71</v>
      </c>
      <c r="B2581" s="47" t="s">
        <v>5</v>
      </c>
      <c r="C2581" s="241">
        <v>2.6</v>
      </c>
      <c r="D2581" s="241">
        <v>0</v>
      </c>
      <c r="E2581" s="241">
        <v>2</v>
      </c>
      <c r="F2581" s="241">
        <v>0</v>
      </c>
      <c r="G2581" s="241">
        <v>0</v>
      </c>
      <c r="H2581" s="241">
        <v>0</v>
      </c>
      <c r="I2581" s="241">
        <v>0</v>
      </c>
      <c r="J2581" s="241">
        <v>0</v>
      </c>
      <c r="K2581" s="241">
        <v>1.5</v>
      </c>
      <c r="L2581" s="241">
        <v>0</v>
      </c>
      <c r="M2581" s="241">
        <v>1</v>
      </c>
      <c r="N2581" s="241">
        <v>0</v>
      </c>
      <c r="O2581" s="252">
        <v>2.33333333333333</v>
      </c>
    </row>
    <row r="2582" spans="1:15">
      <c r="A2582" s="242" t="s">
        <v>71</v>
      </c>
      <c r="B2582" s="43" t="s">
        <v>6</v>
      </c>
      <c r="C2582" s="15">
        <v>8</v>
      </c>
      <c r="D2582" s="244">
        <v>1</v>
      </c>
      <c r="E2582" s="244">
        <v>0</v>
      </c>
      <c r="F2582" s="244">
        <v>0</v>
      </c>
      <c r="G2582" s="244">
        <v>0</v>
      </c>
      <c r="H2582" s="244">
        <v>0</v>
      </c>
      <c r="I2582" s="244">
        <v>1</v>
      </c>
      <c r="J2582" s="244">
        <v>0</v>
      </c>
      <c r="K2582" s="244">
        <v>3</v>
      </c>
      <c r="L2582" s="244">
        <v>1</v>
      </c>
      <c r="M2582" s="244">
        <v>2</v>
      </c>
      <c r="N2582" s="244">
        <v>0</v>
      </c>
      <c r="O2582" s="254">
        <v>0</v>
      </c>
    </row>
    <row r="2583" ht="14.25" spans="1:15">
      <c r="A2583" s="245" t="s">
        <v>71</v>
      </c>
      <c r="B2583" s="52" t="s">
        <v>64</v>
      </c>
      <c r="C2583" s="19">
        <v>0.307692307692308</v>
      </c>
      <c r="D2583" s="19">
        <v>0.333333333333333</v>
      </c>
      <c r="E2583" s="19">
        <v>0</v>
      </c>
      <c r="F2583" s="19">
        <v>0</v>
      </c>
      <c r="G2583" s="19" t="e">
        <v>#DIV/0!</v>
      </c>
      <c r="H2583" s="19" t="e">
        <v>#DIV/0!</v>
      </c>
      <c r="I2583" s="19">
        <v>0.5</v>
      </c>
      <c r="J2583" s="19">
        <v>0</v>
      </c>
      <c r="K2583" s="19">
        <v>1</v>
      </c>
      <c r="L2583" s="19">
        <v>0.5</v>
      </c>
      <c r="M2583" s="19">
        <v>1</v>
      </c>
      <c r="N2583" s="19">
        <v>0</v>
      </c>
      <c r="O2583" s="19">
        <v>0</v>
      </c>
    </row>
    <row r="2584" spans="1:15">
      <c r="A2584" s="240" t="s">
        <v>72</v>
      </c>
      <c r="B2584" s="47" t="s">
        <v>55</v>
      </c>
      <c r="C2584" s="12">
        <v>0.220474540122634</v>
      </c>
      <c r="D2584" s="241">
        <v>0.242424242424242</v>
      </c>
      <c r="E2584" s="241">
        <v>0.210810810810811</v>
      </c>
      <c r="F2584" s="241">
        <v>0.208333333333333</v>
      </c>
      <c r="G2584" s="241">
        <v>0.289855072463768</v>
      </c>
      <c r="H2584" s="241">
        <v>0.271375464684015</v>
      </c>
      <c r="I2584" s="241">
        <v>0.238095238095238</v>
      </c>
      <c r="J2584" s="241">
        <v>0.230769230769231</v>
      </c>
      <c r="K2584" s="241">
        <v>0.218120805369128</v>
      </c>
      <c r="L2584" s="241">
        <v>0.219101123595506</v>
      </c>
      <c r="M2584" s="241">
        <v>0.207831325301205</v>
      </c>
      <c r="N2584" s="241">
        <v>0.164473684210526</v>
      </c>
      <c r="O2584" s="252">
        <v>0.208872458410351</v>
      </c>
    </row>
    <row r="2585" spans="1:15">
      <c r="A2585" s="242" t="s">
        <v>72</v>
      </c>
      <c r="B2585" s="43" t="s">
        <v>57</v>
      </c>
      <c r="C2585" s="15">
        <v>3751</v>
      </c>
      <c r="D2585" s="243">
        <v>363</v>
      </c>
      <c r="E2585" s="243">
        <v>185</v>
      </c>
      <c r="F2585" s="243">
        <v>144</v>
      </c>
      <c r="G2585" s="243">
        <v>138</v>
      </c>
      <c r="H2585" s="243">
        <v>269</v>
      </c>
      <c r="I2585" s="243">
        <v>357</v>
      </c>
      <c r="J2585" s="243">
        <v>312</v>
      </c>
      <c r="K2585" s="243">
        <v>298</v>
      </c>
      <c r="L2585" s="243">
        <v>356</v>
      </c>
      <c r="M2585" s="243">
        <v>332</v>
      </c>
      <c r="N2585" s="243">
        <v>456</v>
      </c>
      <c r="O2585" s="253">
        <v>541</v>
      </c>
    </row>
    <row r="2586" spans="1:15">
      <c r="A2586" s="240" t="s">
        <v>72</v>
      </c>
      <c r="B2586" s="47" t="s">
        <v>59</v>
      </c>
      <c r="C2586" s="15">
        <v>827</v>
      </c>
      <c r="D2586" s="243">
        <v>88</v>
      </c>
      <c r="E2586" s="243">
        <v>39</v>
      </c>
      <c r="F2586" s="243">
        <v>30</v>
      </c>
      <c r="G2586" s="243">
        <v>40</v>
      </c>
      <c r="H2586" s="243">
        <v>73</v>
      </c>
      <c r="I2586" s="243">
        <v>85</v>
      </c>
      <c r="J2586" s="243">
        <v>72</v>
      </c>
      <c r="K2586" s="243">
        <v>65</v>
      </c>
      <c r="L2586" s="243">
        <v>78</v>
      </c>
      <c r="M2586" s="243">
        <v>69</v>
      </c>
      <c r="N2586" s="243">
        <v>75</v>
      </c>
      <c r="O2586" s="253">
        <v>113</v>
      </c>
    </row>
    <row r="2587" spans="1:15">
      <c r="A2587" s="242" t="s">
        <v>72</v>
      </c>
      <c r="B2587" s="43" t="s">
        <v>4</v>
      </c>
      <c r="C2587" s="15">
        <v>77</v>
      </c>
      <c r="D2587" s="244">
        <v>5</v>
      </c>
      <c r="E2587" s="244">
        <v>7</v>
      </c>
      <c r="F2587" s="244">
        <v>3</v>
      </c>
      <c r="G2587" s="244">
        <v>2</v>
      </c>
      <c r="H2587" s="244">
        <v>3</v>
      </c>
      <c r="I2587" s="244">
        <v>9</v>
      </c>
      <c r="J2587" s="244">
        <v>5</v>
      </c>
      <c r="K2587" s="244">
        <v>7</v>
      </c>
      <c r="L2587" s="244">
        <v>9</v>
      </c>
      <c r="M2587" s="244">
        <v>13</v>
      </c>
      <c r="N2587" s="244">
        <v>3</v>
      </c>
      <c r="O2587" s="254">
        <v>11</v>
      </c>
    </row>
    <row r="2588" spans="1:15">
      <c r="A2588" s="240" t="s">
        <v>72</v>
      </c>
      <c r="B2588" s="47" t="s">
        <v>5</v>
      </c>
      <c r="C2588" s="12">
        <v>0.0931076178960097</v>
      </c>
      <c r="D2588" s="241">
        <v>0.0568181818181818</v>
      </c>
      <c r="E2588" s="241">
        <v>0.179487179487179</v>
      </c>
      <c r="F2588" s="241">
        <v>0.1</v>
      </c>
      <c r="G2588" s="241">
        <v>0.05</v>
      </c>
      <c r="H2588" s="241">
        <v>0.0410958904109589</v>
      </c>
      <c r="I2588" s="241">
        <v>0.105882352941176</v>
      </c>
      <c r="J2588" s="241">
        <v>0.0694444444444444</v>
      </c>
      <c r="K2588" s="241">
        <v>0.107692307692308</v>
      </c>
      <c r="L2588" s="241">
        <v>0.115384615384615</v>
      </c>
      <c r="M2588" s="241">
        <v>0.188405797101449</v>
      </c>
      <c r="N2588" s="241">
        <v>0.04</v>
      </c>
      <c r="O2588" s="252">
        <v>0.0973451327433628</v>
      </c>
    </row>
    <row r="2589" spans="1:15">
      <c r="A2589" s="242" t="s">
        <v>72</v>
      </c>
      <c r="B2589" s="43" t="s">
        <v>6</v>
      </c>
      <c r="C2589" s="15">
        <v>27</v>
      </c>
      <c r="D2589" s="244">
        <v>2</v>
      </c>
      <c r="E2589" s="244">
        <v>2</v>
      </c>
      <c r="F2589" s="244">
        <v>0</v>
      </c>
      <c r="G2589" s="244">
        <v>1</v>
      </c>
      <c r="H2589" s="244">
        <v>2</v>
      </c>
      <c r="I2589" s="244">
        <v>6</v>
      </c>
      <c r="J2589" s="244">
        <v>1</v>
      </c>
      <c r="K2589" s="244">
        <v>2</v>
      </c>
      <c r="L2589" s="244">
        <v>4</v>
      </c>
      <c r="M2589" s="244">
        <v>2</v>
      </c>
      <c r="N2589" s="244">
        <v>4</v>
      </c>
      <c r="O2589" s="254">
        <v>1</v>
      </c>
    </row>
    <row r="2590" ht="14.25" spans="1:15">
      <c r="A2590" s="245" t="s">
        <v>72</v>
      </c>
      <c r="B2590" s="52" t="s">
        <v>64</v>
      </c>
      <c r="C2590" s="19">
        <v>0.350649350649351</v>
      </c>
      <c r="D2590" s="19">
        <v>0.4</v>
      </c>
      <c r="E2590" s="19">
        <v>0.285714285714286</v>
      </c>
      <c r="F2590" s="19">
        <v>0</v>
      </c>
      <c r="G2590" s="19">
        <v>0.5</v>
      </c>
      <c r="H2590" s="19">
        <v>0.666666666666667</v>
      </c>
      <c r="I2590" s="19">
        <v>0.666666666666667</v>
      </c>
      <c r="J2590" s="19">
        <v>0.2</v>
      </c>
      <c r="K2590" s="19">
        <v>0.285714285714286</v>
      </c>
      <c r="L2590" s="19">
        <v>0.444444444444444</v>
      </c>
      <c r="M2590" s="19">
        <v>0.153846153846154</v>
      </c>
      <c r="N2590" s="19">
        <v>1.33333333333333</v>
      </c>
      <c r="O2590" s="19">
        <v>0.0909090909090909</v>
      </c>
    </row>
    <row r="2591" ht="14.25" spans="1:15">
      <c r="A2591" s="237">
        <v>45059</v>
      </c>
      <c r="B2591" s="237"/>
      <c r="C2591" s="237"/>
      <c r="D2591" s="237"/>
      <c r="E2591" s="237"/>
      <c r="F2591" s="237"/>
      <c r="G2591" s="237"/>
      <c r="H2591" s="237"/>
      <c r="I2591" s="237"/>
      <c r="J2591" s="237"/>
      <c r="K2591" s="237"/>
      <c r="L2591" s="237"/>
      <c r="M2591" s="237"/>
      <c r="N2591" s="237"/>
      <c r="O2591" s="237"/>
    </row>
    <row r="2592" spans="1:15">
      <c r="A2592" s="56" t="s">
        <v>1</v>
      </c>
      <c r="B2592" s="238"/>
      <c r="C2592" s="8" t="s">
        <v>42</v>
      </c>
      <c r="D2592" s="239" t="s">
        <v>43</v>
      </c>
      <c r="E2592" s="239" t="s">
        <v>44</v>
      </c>
      <c r="F2592" s="239" t="s">
        <v>45</v>
      </c>
      <c r="G2592" s="239" t="s">
        <v>46</v>
      </c>
      <c r="H2592" s="239" t="s">
        <v>47</v>
      </c>
      <c r="I2592" s="239" t="s">
        <v>48</v>
      </c>
      <c r="J2592" s="239" t="s">
        <v>49</v>
      </c>
      <c r="K2592" s="239" t="s">
        <v>50</v>
      </c>
      <c r="L2592" s="239" t="s">
        <v>51</v>
      </c>
      <c r="M2592" s="239" t="s">
        <v>52</v>
      </c>
      <c r="N2592" s="239" t="s">
        <v>53</v>
      </c>
      <c r="O2592" s="251" t="s">
        <v>54</v>
      </c>
    </row>
    <row r="2593" spans="1:15">
      <c r="A2593" s="240" t="s">
        <v>22</v>
      </c>
      <c r="B2593" s="47" t="s">
        <v>55</v>
      </c>
      <c r="C2593" s="12">
        <v>0.40295358649789</v>
      </c>
      <c r="D2593" s="241">
        <v>0.410774410774411</v>
      </c>
      <c r="E2593" s="241">
        <v>0.425806451612903</v>
      </c>
      <c r="F2593" s="241">
        <v>0.342857142857143</v>
      </c>
      <c r="G2593" s="241">
        <v>0.36144578313253</v>
      </c>
      <c r="H2593" s="241">
        <v>0.40948275862069</v>
      </c>
      <c r="I2593" s="241">
        <v>0.45374449339207</v>
      </c>
      <c r="J2593" s="241">
        <v>0.361111111111111</v>
      </c>
      <c r="K2593" s="241">
        <v>0.425675675675676</v>
      </c>
      <c r="L2593" s="241">
        <v>0.465753424657534</v>
      </c>
      <c r="M2593" s="241">
        <v>0.433179723502304</v>
      </c>
      <c r="N2593" s="241">
        <v>0.383116883116883</v>
      </c>
      <c r="O2593" s="252">
        <v>0.359459459459459</v>
      </c>
    </row>
    <row r="2594" spans="1:15">
      <c r="A2594" s="242" t="s">
        <v>22</v>
      </c>
      <c r="B2594" s="43" t="s">
        <v>57</v>
      </c>
      <c r="C2594" s="15">
        <v>2844</v>
      </c>
      <c r="D2594" s="243">
        <v>297</v>
      </c>
      <c r="E2594" s="243">
        <v>155</v>
      </c>
      <c r="F2594" s="243">
        <v>105</v>
      </c>
      <c r="G2594" s="243">
        <v>166</v>
      </c>
      <c r="H2594" s="243">
        <v>232</v>
      </c>
      <c r="I2594" s="243">
        <v>227</v>
      </c>
      <c r="J2594" s="243">
        <v>252</v>
      </c>
      <c r="K2594" s="243">
        <v>296</v>
      </c>
      <c r="L2594" s="243">
        <v>219</v>
      </c>
      <c r="M2594" s="243">
        <v>217</v>
      </c>
      <c r="N2594" s="243">
        <v>308</v>
      </c>
      <c r="O2594" s="253">
        <v>370</v>
      </c>
    </row>
    <row r="2595" spans="1:15">
      <c r="A2595" s="240" t="s">
        <v>22</v>
      </c>
      <c r="B2595" s="47" t="s">
        <v>59</v>
      </c>
      <c r="C2595" s="15">
        <v>1146</v>
      </c>
      <c r="D2595" s="243">
        <v>122</v>
      </c>
      <c r="E2595" s="243">
        <v>66</v>
      </c>
      <c r="F2595" s="243">
        <v>36</v>
      </c>
      <c r="G2595" s="243">
        <v>60</v>
      </c>
      <c r="H2595" s="243">
        <v>95</v>
      </c>
      <c r="I2595" s="243">
        <v>103</v>
      </c>
      <c r="J2595" s="243">
        <v>91</v>
      </c>
      <c r="K2595" s="243">
        <v>126</v>
      </c>
      <c r="L2595" s="243">
        <v>102</v>
      </c>
      <c r="M2595" s="243">
        <v>94</v>
      </c>
      <c r="N2595" s="243">
        <v>118</v>
      </c>
      <c r="O2595" s="253">
        <v>133</v>
      </c>
    </row>
    <row r="2596" spans="1:15">
      <c r="A2596" s="242" t="s">
        <v>22</v>
      </c>
      <c r="B2596" s="43" t="s">
        <v>4</v>
      </c>
      <c r="C2596" s="15">
        <v>93</v>
      </c>
      <c r="D2596" s="244">
        <v>5</v>
      </c>
      <c r="E2596" s="244">
        <v>7</v>
      </c>
      <c r="F2596" s="244">
        <v>3</v>
      </c>
      <c r="G2596" s="244">
        <v>4</v>
      </c>
      <c r="H2596" s="244">
        <v>11</v>
      </c>
      <c r="I2596" s="244">
        <v>10</v>
      </c>
      <c r="J2596" s="244">
        <v>5</v>
      </c>
      <c r="K2596" s="244">
        <v>9</v>
      </c>
      <c r="L2596" s="244">
        <v>9</v>
      </c>
      <c r="M2596" s="244">
        <v>5</v>
      </c>
      <c r="N2596" s="244">
        <v>12</v>
      </c>
      <c r="O2596" s="254">
        <v>13</v>
      </c>
    </row>
    <row r="2597" spans="1:15">
      <c r="A2597" s="240" t="s">
        <v>22</v>
      </c>
      <c r="B2597" s="47" t="s">
        <v>5</v>
      </c>
      <c r="C2597" s="12">
        <v>0.081151832460733</v>
      </c>
      <c r="D2597" s="241">
        <v>0.040983606557377</v>
      </c>
      <c r="E2597" s="241">
        <v>0.106060606060606</v>
      </c>
      <c r="F2597" s="241">
        <v>0.0833333333333333</v>
      </c>
      <c r="G2597" s="241">
        <v>0.0666666666666667</v>
      </c>
      <c r="H2597" s="241">
        <v>0.115789473684211</v>
      </c>
      <c r="I2597" s="241">
        <v>0.0970873786407767</v>
      </c>
      <c r="J2597" s="241">
        <v>0.0549450549450549</v>
      </c>
      <c r="K2597" s="241">
        <v>0.0714285714285714</v>
      </c>
      <c r="L2597" s="241">
        <v>0.0882352941176471</v>
      </c>
      <c r="M2597" s="241">
        <v>0.0531914893617021</v>
      </c>
      <c r="N2597" s="241">
        <v>0.101694915254237</v>
      </c>
      <c r="O2597" s="252">
        <v>0.0977443609022556</v>
      </c>
    </row>
    <row r="2598" spans="1:15">
      <c r="A2598" s="242" t="s">
        <v>22</v>
      </c>
      <c r="B2598" s="43" t="s">
        <v>6</v>
      </c>
      <c r="C2598" s="15">
        <v>26</v>
      </c>
      <c r="D2598" s="244">
        <v>1</v>
      </c>
      <c r="E2598" s="244">
        <v>1</v>
      </c>
      <c r="F2598" s="244">
        <v>0</v>
      </c>
      <c r="G2598" s="244">
        <v>0</v>
      </c>
      <c r="H2598" s="244">
        <v>5</v>
      </c>
      <c r="I2598" s="244">
        <v>3</v>
      </c>
      <c r="J2598" s="244">
        <v>2</v>
      </c>
      <c r="K2598" s="244">
        <v>5</v>
      </c>
      <c r="L2598" s="244">
        <v>3</v>
      </c>
      <c r="M2598" s="244">
        <v>0</v>
      </c>
      <c r="N2598" s="244">
        <v>4</v>
      </c>
      <c r="O2598" s="254">
        <v>2</v>
      </c>
    </row>
    <row r="2599" ht="14.25" spans="1:15">
      <c r="A2599" s="245" t="s">
        <v>22</v>
      </c>
      <c r="B2599" s="52" t="s">
        <v>64</v>
      </c>
      <c r="C2599" s="19">
        <v>0.279569892473118</v>
      </c>
      <c r="D2599" s="246">
        <v>0.2</v>
      </c>
      <c r="E2599" s="246">
        <v>0.142857142857143</v>
      </c>
      <c r="F2599" s="246">
        <v>0</v>
      </c>
      <c r="G2599" s="246">
        <v>0</v>
      </c>
      <c r="H2599" s="246">
        <v>0.454545454545455</v>
      </c>
      <c r="I2599" s="246">
        <v>0.3</v>
      </c>
      <c r="J2599" s="246">
        <v>0.4</v>
      </c>
      <c r="K2599" s="246">
        <v>0.555555555555556</v>
      </c>
      <c r="L2599" s="246">
        <v>0.333333333333333</v>
      </c>
      <c r="M2599" s="246">
        <v>0</v>
      </c>
      <c r="N2599" s="246">
        <v>0.333333333333333</v>
      </c>
      <c r="O2599" s="255">
        <v>0.153846153846154</v>
      </c>
    </row>
    <row r="2600" spans="1:15">
      <c r="A2600" s="247" t="s">
        <v>66</v>
      </c>
      <c r="B2600" s="248" t="s">
        <v>55</v>
      </c>
      <c r="C2600" s="12">
        <v>0.0916196265740339</v>
      </c>
      <c r="D2600" s="249">
        <v>0.0652173913043478</v>
      </c>
      <c r="E2600" s="249">
        <v>0.0392156862745098</v>
      </c>
      <c r="F2600" s="249">
        <v>0.0219298245614035</v>
      </c>
      <c r="G2600" s="249">
        <v>0.0588235294117647</v>
      </c>
      <c r="H2600" s="249">
        <v>0.0971428571428571</v>
      </c>
      <c r="I2600" s="249">
        <v>0.12962962962963</v>
      </c>
      <c r="J2600" s="249">
        <v>0.132183908045977</v>
      </c>
      <c r="K2600" s="249">
        <v>0.14</v>
      </c>
      <c r="L2600" s="249">
        <v>0.092436974789916</v>
      </c>
      <c r="M2600" s="249">
        <v>0.237113402061856</v>
      </c>
      <c r="N2600" s="249">
        <v>0.159663865546218</v>
      </c>
      <c r="O2600" s="256">
        <v>0.144927536231884</v>
      </c>
    </row>
    <row r="2601" spans="1:15">
      <c r="A2601" s="242" t="s">
        <v>66</v>
      </c>
      <c r="B2601" s="43" t="s">
        <v>57</v>
      </c>
      <c r="C2601" s="15">
        <v>2303</v>
      </c>
      <c r="D2601" s="243">
        <v>414</v>
      </c>
      <c r="E2601" s="243">
        <v>357</v>
      </c>
      <c r="F2601" s="243">
        <v>228</v>
      </c>
      <c r="G2601" s="243">
        <v>170</v>
      </c>
      <c r="H2601" s="243">
        <v>175</v>
      </c>
      <c r="I2601" s="243">
        <v>162</v>
      </c>
      <c r="J2601" s="243">
        <v>174</v>
      </c>
      <c r="K2601" s="243">
        <v>150</v>
      </c>
      <c r="L2601" s="243">
        <v>119</v>
      </c>
      <c r="M2601" s="243">
        <v>97</v>
      </c>
      <c r="N2601" s="243">
        <v>119</v>
      </c>
      <c r="O2601" s="253">
        <v>138</v>
      </c>
    </row>
    <row r="2602" spans="1:15">
      <c r="A2602" s="240" t="s">
        <v>66</v>
      </c>
      <c r="B2602" s="47" t="s">
        <v>59</v>
      </c>
      <c r="C2602" s="15">
        <v>211</v>
      </c>
      <c r="D2602" s="243">
        <v>27</v>
      </c>
      <c r="E2602" s="243">
        <v>14</v>
      </c>
      <c r="F2602" s="243">
        <v>5</v>
      </c>
      <c r="G2602" s="243">
        <v>10</v>
      </c>
      <c r="H2602" s="243">
        <v>17</v>
      </c>
      <c r="I2602" s="243">
        <v>21</v>
      </c>
      <c r="J2602" s="243">
        <v>23</v>
      </c>
      <c r="K2602" s="243">
        <v>21</v>
      </c>
      <c r="L2602" s="243">
        <v>11</v>
      </c>
      <c r="M2602" s="243">
        <v>23</v>
      </c>
      <c r="N2602" s="243">
        <v>19</v>
      </c>
      <c r="O2602" s="253">
        <v>20</v>
      </c>
    </row>
    <row r="2603" spans="1:15">
      <c r="A2603" s="242" t="s">
        <v>66</v>
      </c>
      <c r="B2603" s="43" t="s">
        <v>4</v>
      </c>
      <c r="C2603" s="15">
        <v>16</v>
      </c>
      <c r="D2603" s="244">
        <v>2</v>
      </c>
      <c r="E2603" s="244">
        <v>0</v>
      </c>
      <c r="F2603" s="244">
        <v>0</v>
      </c>
      <c r="G2603" s="244">
        <v>0</v>
      </c>
      <c r="H2603" s="244">
        <v>0</v>
      </c>
      <c r="I2603" s="244">
        <v>1</v>
      </c>
      <c r="J2603" s="244">
        <v>0</v>
      </c>
      <c r="K2603" s="244">
        <v>4</v>
      </c>
      <c r="L2603" s="244">
        <v>2</v>
      </c>
      <c r="M2603" s="244">
        <v>1</v>
      </c>
      <c r="N2603" s="244">
        <v>3</v>
      </c>
      <c r="O2603" s="254">
        <v>3</v>
      </c>
    </row>
    <row r="2604" spans="1:15">
      <c r="A2604" s="240" t="s">
        <v>66</v>
      </c>
      <c r="B2604" s="47" t="s">
        <v>5</v>
      </c>
      <c r="C2604" s="12">
        <v>0.0758293838862559</v>
      </c>
      <c r="D2604" s="241">
        <v>0.0740740740740741</v>
      </c>
      <c r="E2604" s="241">
        <v>0</v>
      </c>
      <c r="F2604" s="241">
        <v>0</v>
      </c>
      <c r="G2604" s="241">
        <v>0</v>
      </c>
      <c r="H2604" s="241">
        <v>0</v>
      </c>
      <c r="I2604" s="241">
        <v>0.0476190476190476</v>
      </c>
      <c r="J2604" s="241">
        <v>0</v>
      </c>
      <c r="K2604" s="241">
        <v>0.19047619047619</v>
      </c>
      <c r="L2604" s="241">
        <v>0.181818181818182</v>
      </c>
      <c r="M2604" s="241">
        <v>0.0434782608695652</v>
      </c>
      <c r="N2604" s="241">
        <v>0.157894736842105</v>
      </c>
      <c r="O2604" s="252">
        <v>0.15</v>
      </c>
    </row>
    <row r="2605" spans="1:15">
      <c r="A2605" s="242" t="s">
        <v>66</v>
      </c>
      <c r="B2605" s="43" t="s">
        <v>6</v>
      </c>
      <c r="C2605" s="15">
        <v>7</v>
      </c>
      <c r="D2605" s="244">
        <v>1</v>
      </c>
      <c r="E2605" s="244">
        <v>0</v>
      </c>
      <c r="F2605" s="244">
        <v>0</v>
      </c>
      <c r="G2605" s="244">
        <v>0</v>
      </c>
      <c r="H2605" s="244">
        <v>0</v>
      </c>
      <c r="I2605" s="244">
        <v>0</v>
      </c>
      <c r="J2605" s="244">
        <v>0</v>
      </c>
      <c r="K2605" s="244">
        <v>1</v>
      </c>
      <c r="L2605" s="244">
        <v>2</v>
      </c>
      <c r="M2605" s="244">
        <v>1</v>
      </c>
      <c r="N2605" s="244">
        <v>2</v>
      </c>
      <c r="O2605" s="254">
        <v>0</v>
      </c>
    </row>
    <row r="2606" ht="14.25" spans="1:15">
      <c r="A2606" s="245" t="s">
        <v>66</v>
      </c>
      <c r="B2606" s="52" t="s">
        <v>64</v>
      </c>
      <c r="C2606" s="19">
        <v>0.4375</v>
      </c>
      <c r="D2606" s="246">
        <v>0.5</v>
      </c>
      <c r="E2606" s="246">
        <v>0</v>
      </c>
      <c r="F2606" s="246">
        <v>0</v>
      </c>
      <c r="G2606" s="246">
        <v>0</v>
      </c>
      <c r="H2606" s="246">
        <v>0</v>
      </c>
      <c r="I2606" s="246">
        <v>0</v>
      </c>
      <c r="J2606" s="246">
        <v>0</v>
      </c>
      <c r="K2606" s="246">
        <v>0.25</v>
      </c>
      <c r="L2606" s="246">
        <v>1</v>
      </c>
      <c r="M2606" s="246">
        <v>1</v>
      </c>
      <c r="N2606" s="246">
        <v>0.666666666666667</v>
      </c>
      <c r="O2606" s="255">
        <v>0</v>
      </c>
    </row>
    <row r="2607" spans="1:15">
      <c r="A2607" s="240" t="s">
        <v>67</v>
      </c>
      <c r="B2607" s="47" t="s">
        <v>55</v>
      </c>
      <c r="C2607" s="12">
        <v>0.848591549295775</v>
      </c>
      <c r="D2607" s="241">
        <v>0.833333333333333</v>
      </c>
      <c r="E2607" s="241">
        <v>0.769230769230769</v>
      </c>
      <c r="F2607" s="241">
        <v>0.588235294117647</v>
      </c>
      <c r="G2607" s="241">
        <v>2.8</v>
      </c>
      <c r="H2607" s="241">
        <v>1.26923076923077</v>
      </c>
      <c r="I2607" s="241">
        <v>1</v>
      </c>
      <c r="J2607" s="241">
        <v>0.625</v>
      </c>
      <c r="K2607" s="241">
        <v>0.88</v>
      </c>
      <c r="L2607" s="241">
        <v>0.485714285714286</v>
      </c>
      <c r="M2607" s="241">
        <v>0.944444444444444</v>
      </c>
      <c r="N2607" s="241">
        <v>1.17647058823529</v>
      </c>
      <c r="O2607" s="252">
        <v>0.59375</v>
      </c>
    </row>
    <row r="2608" spans="1:15">
      <c r="A2608" s="242" t="s">
        <v>67</v>
      </c>
      <c r="B2608" s="43" t="s">
        <v>57</v>
      </c>
      <c r="C2608" s="15">
        <v>284</v>
      </c>
      <c r="D2608" s="243">
        <v>30</v>
      </c>
      <c r="E2608" s="243">
        <v>13</v>
      </c>
      <c r="F2608" s="243">
        <v>17</v>
      </c>
      <c r="G2608" s="243">
        <v>5</v>
      </c>
      <c r="H2608" s="243">
        <v>26</v>
      </c>
      <c r="I2608" s="243">
        <v>34</v>
      </c>
      <c r="J2608" s="243">
        <v>32</v>
      </c>
      <c r="K2608" s="243">
        <v>25</v>
      </c>
      <c r="L2608" s="243">
        <v>35</v>
      </c>
      <c r="M2608" s="243">
        <v>18</v>
      </c>
      <c r="N2608" s="243">
        <v>17</v>
      </c>
      <c r="O2608" s="253">
        <v>32</v>
      </c>
    </row>
    <row r="2609" spans="1:15">
      <c r="A2609" s="240" t="s">
        <v>67</v>
      </c>
      <c r="B2609" s="47" t="s">
        <v>59</v>
      </c>
      <c r="C2609" s="15">
        <v>241</v>
      </c>
      <c r="D2609" s="243">
        <v>25</v>
      </c>
      <c r="E2609" s="243">
        <v>10</v>
      </c>
      <c r="F2609" s="243">
        <v>10</v>
      </c>
      <c r="G2609" s="243">
        <v>14</v>
      </c>
      <c r="H2609" s="243">
        <v>33</v>
      </c>
      <c r="I2609" s="243">
        <v>34</v>
      </c>
      <c r="J2609" s="243">
        <v>20</v>
      </c>
      <c r="K2609" s="243">
        <v>22</v>
      </c>
      <c r="L2609" s="243">
        <v>17</v>
      </c>
      <c r="M2609" s="243">
        <v>17</v>
      </c>
      <c r="N2609" s="243">
        <v>20</v>
      </c>
      <c r="O2609" s="253">
        <v>19</v>
      </c>
    </row>
    <row r="2610" spans="1:15">
      <c r="A2610" s="242" t="s">
        <v>67</v>
      </c>
      <c r="B2610" s="43" t="s">
        <v>4</v>
      </c>
      <c r="C2610" s="15">
        <v>13</v>
      </c>
      <c r="D2610" s="244">
        <v>2</v>
      </c>
      <c r="E2610" s="244">
        <v>0</v>
      </c>
      <c r="F2610" s="244">
        <v>2</v>
      </c>
      <c r="G2610" s="244">
        <v>1</v>
      </c>
      <c r="H2610" s="244">
        <v>2</v>
      </c>
      <c r="I2610" s="244">
        <v>0</v>
      </c>
      <c r="J2610" s="244">
        <v>2</v>
      </c>
      <c r="K2610" s="244">
        <v>0</v>
      </c>
      <c r="L2610" s="244">
        <v>0</v>
      </c>
      <c r="M2610" s="244">
        <v>1</v>
      </c>
      <c r="N2610" s="244">
        <v>0</v>
      </c>
      <c r="O2610" s="254">
        <v>3</v>
      </c>
    </row>
    <row r="2611" spans="1:15">
      <c r="A2611" s="240" t="s">
        <v>67</v>
      </c>
      <c r="B2611" s="47" t="s">
        <v>5</v>
      </c>
      <c r="C2611" s="12">
        <v>0.0539419087136929</v>
      </c>
      <c r="D2611" s="241">
        <v>0.08</v>
      </c>
      <c r="E2611" s="241">
        <v>0</v>
      </c>
      <c r="F2611" s="241">
        <v>0.2</v>
      </c>
      <c r="G2611" s="241">
        <v>0.0714285714285714</v>
      </c>
      <c r="H2611" s="241">
        <v>0.0606060606060606</v>
      </c>
      <c r="I2611" s="241">
        <v>0</v>
      </c>
      <c r="J2611" s="241">
        <v>0.1</v>
      </c>
      <c r="K2611" s="241">
        <v>0</v>
      </c>
      <c r="L2611" s="241">
        <v>0</v>
      </c>
      <c r="M2611" s="241">
        <v>0.0588235294117647</v>
      </c>
      <c r="N2611" s="241">
        <v>0</v>
      </c>
      <c r="O2611" s="252">
        <v>0.157894736842105</v>
      </c>
    </row>
    <row r="2612" spans="1:15">
      <c r="A2612" s="242" t="s">
        <v>67</v>
      </c>
      <c r="B2612" s="43" t="s">
        <v>6</v>
      </c>
      <c r="C2612" s="15">
        <v>6</v>
      </c>
      <c r="D2612" s="244">
        <v>1</v>
      </c>
      <c r="E2612" s="244">
        <v>0</v>
      </c>
      <c r="F2612" s="244">
        <v>0</v>
      </c>
      <c r="G2612" s="244">
        <v>1</v>
      </c>
      <c r="H2612" s="244">
        <v>1</v>
      </c>
      <c r="I2612" s="244">
        <v>0</v>
      </c>
      <c r="J2612" s="244">
        <v>2</v>
      </c>
      <c r="K2612" s="244">
        <v>0</v>
      </c>
      <c r="L2612" s="244">
        <v>0</v>
      </c>
      <c r="M2612" s="244">
        <v>0</v>
      </c>
      <c r="N2612" s="244">
        <v>0</v>
      </c>
      <c r="O2612" s="254">
        <v>1</v>
      </c>
    </row>
    <row r="2613" ht="14.25" spans="1:15">
      <c r="A2613" s="245" t="s">
        <v>67</v>
      </c>
      <c r="B2613" s="52" t="s">
        <v>64</v>
      </c>
      <c r="C2613" s="19">
        <v>0.461538461538462</v>
      </c>
      <c r="D2613" s="246">
        <v>0.5</v>
      </c>
      <c r="E2613" s="246">
        <v>0</v>
      </c>
      <c r="F2613" s="246">
        <v>0</v>
      </c>
      <c r="G2613" s="246">
        <v>1</v>
      </c>
      <c r="H2613" s="246">
        <v>0.5</v>
      </c>
      <c r="I2613" s="246">
        <v>0</v>
      </c>
      <c r="J2613" s="246">
        <v>1</v>
      </c>
      <c r="K2613" s="246">
        <v>0</v>
      </c>
      <c r="L2613" s="246">
        <v>0</v>
      </c>
      <c r="M2613" s="246">
        <v>0</v>
      </c>
      <c r="N2613" s="246">
        <v>0</v>
      </c>
      <c r="O2613" s="255">
        <v>0.333333333333333</v>
      </c>
    </row>
    <row r="2614" spans="1:15">
      <c r="A2614" s="240" t="s">
        <v>68</v>
      </c>
      <c r="B2614" s="47" t="s">
        <v>55</v>
      </c>
      <c r="C2614" s="12">
        <v>0.0760752366119564</v>
      </c>
      <c r="D2614" s="241">
        <v>0.0807453416149068</v>
      </c>
      <c r="E2614" s="241">
        <v>0.0554493307839388</v>
      </c>
      <c r="F2614" s="241">
        <v>0.0542797494780793</v>
      </c>
      <c r="G2614" s="241">
        <v>0.0498084291187739</v>
      </c>
      <c r="H2614" s="241">
        <v>0.0903614457831325</v>
      </c>
      <c r="I2614" s="241">
        <v>0.118725868725869</v>
      </c>
      <c r="J2614" s="241">
        <v>0.058898847631242</v>
      </c>
      <c r="K2614" s="241">
        <v>0.0610263522884882</v>
      </c>
      <c r="L2614" s="241">
        <v>0.0562248995983936</v>
      </c>
      <c r="M2614" s="241">
        <v>0.0816023738872404</v>
      </c>
      <c r="N2614" s="241">
        <v>0.0962566844919786</v>
      </c>
      <c r="O2614" s="252">
        <v>0.0742574257425743</v>
      </c>
    </row>
    <row r="2615" spans="1:15">
      <c r="A2615" s="242" t="s">
        <v>68</v>
      </c>
      <c r="B2615" s="43" t="s">
        <v>57</v>
      </c>
      <c r="C2615" s="15">
        <v>8347</v>
      </c>
      <c r="D2615" s="243">
        <v>644</v>
      </c>
      <c r="E2615" s="243">
        <v>523</v>
      </c>
      <c r="F2615" s="243">
        <v>479</v>
      </c>
      <c r="G2615" s="243">
        <v>522</v>
      </c>
      <c r="H2615" s="243">
        <v>664</v>
      </c>
      <c r="I2615" s="243">
        <v>1036</v>
      </c>
      <c r="J2615" s="243">
        <v>781</v>
      </c>
      <c r="K2615" s="243">
        <v>721</v>
      </c>
      <c r="L2615" s="243">
        <v>747</v>
      </c>
      <c r="M2615" s="243">
        <v>674</v>
      </c>
      <c r="N2615" s="243">
        <v>748</v>
      </c>
      <c r="O2615" s="253">
        <v>808</v>
      </c>
    </row>
    <row r="2616" spans="1:15">
      <c r="A2616" s="240" t="s">
        <v>68</v>
      </c>
      <c r="B2616" s="47" t="s">
        <v>59</v>
      </c>
      <c r="C2616" s="15">
        <v>635</v>
      </c>
      <c r="D2616" s="243">
        <v>52</v>
      </c>
      <c r="E2616" s="243">
        <v>29</v>
      </c>
      <c r="F2616" s="243">
        <v>26</v>
      </c>
      <c r="G2616" s="243">
        <v>26</v>
      </c>
      <c r="H2616" s="243">
        <v>60</v>
      </c>
      <c r="I2616" s="243">
        <v>123</v>
      </c>
      <c r="J2616" s="243">
        <v>46</v>
      </c>
      <c r="K2616" s="243">
        <v>44</v>
      </c>
      <c r="L2616" s="243">
        <v>42</v>
      </c>
      <c r="M2616" s="243">
        <v>55</v>
      </c>
      <c r="N2616" s="243">
        <v>72</v>
      </c>
      <c r="O2616" s="253">
        <v>60</v>
      </c>
    </row>
    <row r="2617" spans="1:15">
      <c r="A2617" s="242" t="s">
        <v>68</v>
      </c>
      <c r="B2617" s="43" t="s">
        <v>4</v>
      </c>
      <c r="C2617" s="15">
        <v>23</v>
      </c>
      <c r="D2617" s="244">
        <v>0</v>
      </c>
      <c r="E2617" s="244">
        <v>1</v>
      </c>
      <c r="F2617" s="244">
        <v>1</v>
      </c>
      <c r="G2617" s="244">
        <v>2</v>
      </c>
      <c r="H2617" s="244">
        <v>2</v>
      </c>
      <c r="I2617" s="244">
        <v>4</v>
      </c>
      <c r="J2617" s="244">
        <v>3</v>
      </c>
      <c r="K2617" s="244">
        <v>1</v>
      </c>
      <c r="L2617" s="244">
        <v>2</v>
      </c>
      <c r="M2617" s="244">
        <v>1</v>
      </c>
      <c r="N2617" s="244">
        <v>3</v>
      </c>
      <c r="O2617" s="254">
        <v>3</v>
      </c>
    </row>
    <row r="2618" spans="1:15">
      <c r="A2618" s="240" t="s">
        <v>68</v>
      </c>
      <c r="B2618" s="47" t="s">
        <v>5</v>
      </c>
      <c r="C2618" s="12">
        <v>0.0362204724409449</v>
      </c>
      <c r="D2618" s="241">
        <v>0</v>
      </c>
      <c r="E2618" s="241">
        <v>0.0344827586206897</v>
      </c>
      <c r="F2618" s="241">
        <v>0.0384615384615385</v>
      </c>
      <c r="G2618" s="241">
        <v>0.0769230769230769</v>
      </c>
      <c r="H2618" s="241">
        <v>0.0333333333333333</v>
      </c>
      <c r="I2618" s="241">
        <v>0.032520325203252</v>
      </c>
      <c r="J2618" s="241">
        <v>0.0652173913043478</v>
      </c>
      <c r="K2618" s="241">
        <v>0.0227272727272727</v>
      </c>
      <c r="L2618" s="241">
        <v>0.0476190476190476</v>
      </c>
      <c r="M2618" s="241">
        <v>0.0181818181818182</v>
      </c>
      <c r="N2618" s="241">
        <v>0.0416666666666667</v>
      </c>
      <c r="O2618" s="252">
        <v>0.05</v>
      </c>
    </row>
    <row r="2619" spans="1:15">
      <c r="A2619" s="242" t="s">
        <v>68</v>
      </c>
      <c r="B2619" s="43" t="s">
        <v>6</v>
      </c>
      <c r="C2619" s="15">
        <v>13</v>
      </c>
      <c r="D2619" s="244">
        <v>1</v>
      </c>
      <c r="E2619" s="244">
        <v>0</v>
      </c>
      <c r="F2619" s="244">
        <v>0</v>
      </c>
      <c r="G2619" s="244">
        <v>1</v>
      </c>
      <c r="H2619" s="244">
        <v>3</v>
      </c>
      <c r="I2619" s="244">
        <v>1</v>
      </c>
      <c r="J2619" s="244">
        <v>1</v>
      </c>
      <c r="K2619" s="244">
        <v>2</v>
      </c>
      <c r="L2619" s="244">
        <v>1</v>
      </c>
      <c r="M2619" s="244">
        <v>0</v>
      </c>
      <c r="N2619" s="244">
        <v>3</v>
      </c>
      <c r="O2619" s="254">
        <v>0</v>
      </c>
    </row>
    <row r="2620" ht="14.25" spans="1:15">
      <c r="A2620" s="245" t="s">
        <v>68</v>
      </c>
      <c r="B2620" s="52" t="s">
        <v>64</v>
      </c>
      <c r="C2620" s="19">
        <v>0.565217391304348</v>
      </c>
      <c r="D2620" s="246">
        <v>0</v>
      </c>
      <c r="E2620" s="246">
        <v>0</v>
      </c>
      <c r="F2620" s="246">
        <v>0</v>
      </c>
      <c r="G2620" s="246">
        <v>0.5</v>
      </c>
      <c r="H2620" s="246">
        <v>1.5</v>
      </c>
      <c r="I2620" s="246">
        <v>0.25</v>
      </c>
      <c r="J2620" s="246">
        <v>0.333333333333333</v>
      </c>
      <c r="K2620" s="246">
        <v>2</v>
      </c>
      <c r="L2620" s="246">
        <v>0.5</v>
      </c>
      <c r="M2620" s="246">
        <v>0</v>
      </c>
      <c r="N2620" s="246">
        <v>1</v>
      </c>
      <c r="O2620" s="255">
        <v>0</v>
      </c>
    </row>
    <row r="2621" spans="1:15">
      <c r="A2621" s="240" t="s">
        <v>69</v>
      </c>
      <c r="B2621" s="47" t="s">
        <v>55</v>
      </c>
      <c r="C2621" s="12">
        <v>0.822295805739514</v>
      </c>
      <c r="D2621" s="241">
        <v>1.03896103896104</v>
      </c>
      <c r="E2621" s="241">
        <v>1</v>
      </c>
      <c r="F2621" s="241">
        <v>0.793103448275862</v>
      </c>
      <c r="G2621" s="241">
        <v>0.875</v>
      </c>
      <c r="H2621" s="241">
        <v>0.970588235294118</v>
      </c>
      <c r="I2621" s="241">
        <v>0.919540229885057</v>
      </c>
      <c r="J2621" s="241">
        <v>0.670454545454545</v>
      </c>
      <c r="K2621" s="241">
        <v>0.686868686868687</v>
      </c>
      <c r="L2621" s="241">
        <v>0.776470588235294</v>
      </c>
      <c r="M2621" s="241">
        <v>0.736842105263158</v>
      </c>
      <c r="N2621" s="241">
        <v>0.814159292035398</v>
      </c>
      <c r="O2621" s="252">
        <v>0.760416666666667</v>
      </c>
    </row>
    <row r="2622" spans="1:15">
      <c r="A2622" s="242" t="s">
        <v>69</v>
      </c>
      <c r="B2622" s="43" t="s">
        <v>57</v>
      </c>
      <c r="C2622" s="15">
        <v>906</v>
      </c>
      <c r="D2622" s="243">
        <v>77</v>
      </c>
      <c r="E2622" s="243">
        <v>40</v>
      </c>
      <c r="F2622" s="243">
        <v>29</v>
      </c>
      <c r="G2622" s="243">
        <v>48</v>
      </c>
      <c r="H2622" s="243">
        <v>68</v>
      </c>
      <c r="I2622" s="243">
        <v>87</v>
      </c>
      <c r="J2622" s="243">
        <v>88</v>
      </c>
      <c r="K2622" s="243">
        <v>99</v>
      </c>
      <c r="L2622" s="243">
        <v>85</v>
      </c>
      <c r="M2622" s="243">
        <v>76</v>
      </c>
      <c r="N2622" s="243">
        <v>113</v>
      </c>
      <c r="O2622" s="253">
        <v>96</v>
      </c>
    </row>
    <row r="2623" spans="1:15">
      <c r="A2623" s="240" t="s">
        <v>69</v>
      </c>
      <c r="B2623" s="47" t="s">
        <v>59</v>
      </c>
      <c r="C2623" s="15">
        <v>745</v>
      </c>
      <c r="D2623" s="243">
        <v>80</v>
      </c>
      <c r="E2623" s="243">
        <v>40</v>
      </c>
      <c r="F2623" s="243">
        <v>23</v>
      </c>
      <c r="G2623" s="243">
        <v>42</v>
      </c>
      <c r="H2623" s="243">
        <v>66</v>
      </c>
      <c r="I2623" s="243">
        <v>80</v>
      </c>
      <c r="J2623" s="243">
        <v>59</v>
      </c>
      <c r="K2623" s="243">
        <v>68</v>
      </c>
      <c r="L2623" s="243">
        <v>66</v>
      </c>
      <c r="M2623" s="243">
        <v>56</v>
      </c>
      <c r="N2623" s="243">
        <v>92</v>
      </c>
      <c r="O2623" s="253">
        <v>73</v>
      </c>
    </row>
    <row r="2624" spans="1:15">
      <c r="A2624" s="242" t="s">
        <v>69</v>
      </c>
      <c r="B2624" s="43" t="s">
        <v>4</v>
      </c>
      <c r="C2624" s="15">
        <v>33</v>
      </c>
      <c r="D2624" s="244">
        <v>3</v>
      </c>
      <c r="E2624" s="244">
        <v>0</v>
      </c>
      <c r="F2624" s="244">
        <v>0</v>
      </c>
      <c r="G2624" s="244">
        <v>1</v>
      </c>
      <c r="H2624" s="244">
        <v>3</v>
      </c>
      <c r="I2624" s="244">
        <v>8</v>
      </c>
      <c r="J2624" s="244">
        <v>3</v>
      </c>
      <c r="K2624" s="244">
        <v>4</v>
      </c>
      <c r="L2624" s="244">
        <v>5</v>
      </c>
      <c r="M2624" s="244">
        <v>1</v>
      </c>
      <c r="N2624" s="244">
        <v>4</v>
      </c>
      <c r="O2624" s="254">
        <v>1</v>
      </c>
    </row>
    <row r="2625" spans="1:15">
      <c r="A2625" s="240" t="s">
        <v>69</v>
      </c>
      <c r="B2625" s="47" t="s">
        <v>5</v>
      </c>
      <c r="C2625" s="12">
        <v>0.0442953020134228</v>
      </c>
      <c r="D2625" s="241">
        <v>0.0375</v>
      </c>
      <c r="E2625" s="241">
        <v>0</v>
      </c>
      <c r="F2625" s="241">
        <v>0</v>
      </c>
      <c r="G2625" s="241">
        <v>0.0238095238095238</v>
      </c>
      <c r="H2625" s="241">
        <v>0.0454545454545455</v>
      </c>
      <c r="I2625" s="241">
        <v>0.1</v>
      </c>
      <c r="J2625" s="241">
        <v>0.0508474576271186</v>
      </c>
      <c r="K2625" s="241">
        <v>0.0588235294117647</v>
      </c>
      <c r="L2625" s="241">
        <v>0.0757575757575758</v>
      </c>
      <c r="M2625" s="241">
        <v>0.0178571428571429</v>
      </c>
      <c r="N2625" s="241">
        <v>0.0434782608695652</v>
      </c>
      <c r="O2625" s="252">
        <v>0.0136986301369863</v>
      </c>
    </row>
    <row r="2626" spans="1:15">
      <c r="A2626" s="242" t="s">
        <v>69</v>
      </c>
      <c r="B2626" s="43" t="s">
        <v>6</v>
      </c>
      <c r="C2626" s="15">
        <v>8</v>
      </c>
      <c r="D2626" s="244">
        <v>0</v>
      </c>
      <c r="E2626" s="244">
        <v>0</v>
      </c>
      <c r="F2626" s="244">
        <v>0</v>
      </c>
      <c r="G2626" s="244">
        <v>0</v>
      </c>
      <c r="H2626" s="244">
        <v>1</v>
      </c>
      <c r="I2626" s="244">
        <v>3</v>
      </c>
      <c r="J2626" s="244">
        <v>0</v>
      </c>
      <c r="K2626" s="244">
        <v>1</v>
      </c>
      <c r="L2626" s="244">
        <v>1</v>
      </c>
      <c r="M2626" s="244">
        <v>1</v>
      </c>
      <c r="N2626" s="244">
        <v>1</v>
      </c>
      <c r="O2626" s="254">
        <v>0</v>
      </c>
    </row>
    <row r="2627" ht="14.25" spans="1:15">
      <c r="A2627" s="245" t="s">
        <v>69</v>
      </c>
      <c r="B2627" s="52" t="s">
        <v>64</v>
      </c>
      <c r="C2627" s="19">
        <v>0.242424242424242</v>
      </c>
      <c r="D2627" s="246">
        <v>0</v>
      </c>
      <c r="E2627" s="246">
        <v>0</v>
      </c>
      <c r="F2627" s="246">
        <v>0</v>
      </c>
      <c r="G2627" s="246">
        <v>0</v>
      </c>
      <c r="H2627" s="246">
        <v>0.333333333333333</v>
      </c>
      <c r="I2627" s="246">
        <v>0.375</v>
      </c>
      <c r="J2627" s="246">
        <v>0</v>
      </c>
      <c r="K2627" s="246">
        <v>0.25</v>
      </c>
      <c r="L2627" s="246">
        <v>0.2</v>
      </c>
      <c r="M2627" s="246">
        <v>1</v>
      </c>
      <c r="N2627" s="246">
        <v>0.25</v>
      </c>
      <c r="O2627" s="255">
        <v>0</v>
      </c>
    </row>
    <row r="2628" spans="1:15">
      <c r="A2628" s="240" t="s">
        <v>70</v>
      </c>
      <c r="B2628" s="47" t="s">
        <v>55</v>
      </c>
      <c r="C2628" s="12">
        <v>0.865979381443299</v>
      </c>
      <c r="D2628" s="241">
        <v>0.935153583617747</v>
      </c>
      <c r="E2628" s="241">
        <v>0.941558441558442</v>
      </c>
      <c r="F2628" s="241">
        <v>0.938144329896907</v>
      </c>
      <c r="G2628" s="241">
        <v>0.86046511627907</v>
      </c>
      <c r="H2628" s="241">
        <v>0.8359375</v>
      </c>
      <c r="I2628" s="241">
        <v>0.862962962962963</v>
      </c>
      <c r="J2628" s="241">
        <v>0.87109375</v>
      </c>
      <c r="K2628" s="241">
        <v>0.853092783505155</v>
      </c>
      <c r="L2628" s="241">
        <v>0.811209439528024</v>
      </c>
      <c r="M2628" s="241">
        <v>0.918149466192171</v>
      </c>
      <c r="N2628" s="241">
        <v>0.879120879120879</v>
      </c>
      <c r="O2628" s="252">
        <v>0.808917197452229</v>
      </c>
    </row>
    <row r="2629" spans="1:15">
      <c r="A2629" s="242" t="s">
        <v>70</v>
      </c>
      <c r="B2629" s="43" t="s">
        <v>57</v>
      </c>
      <c r="C2629" s="15">
        <v>3298</v>
      </c>
      <c r="D2629" s="243">
        <v>293</v>
      </c>
      <c r="E2629" s="243">
        <v>154</v>
      </c>
      <c r="F2629" s="243">
        <v>97</v>
      </c>
      <c r="G2629" s="243">
        <v>129</v>
      </c>
      <c r="H2629" s="243">
        <v>256</v>
      </c>
      <c r="I2629" s="243">
        <v>270</v>
      </c>
      <c r="J2629" s="243">
        <v>256</v>
      </c>
      <c r="K2629" s="243">
        <v>388</v>
      </c>
      <c r="L2629" s="243">
        <v>339</v>
      </c>
      <c r="M2629" s="243">
        <v>281</v>
      </c>
      <c r="N2629" s="243">
        <v>364</v>
      </c>
      <c r="O2629" s="253">
        <v>471</v>
      </c>
    </row>
    <row r="2630" spans="1:15">
      <c r="A2630" s="240" t="s">
        <v>70</v>
      </c>
      <c r="B2630" s="47" t="s">
        <v>59</v>
      </c>
      <c r="C2630" s="15">
        <v>2856</v>
      </c>
      <c r="D2630" s="243">
        <v>274</v>
      </c>
      <c r="E2630" s="243">
        <v>145</v>
      </c>
      <c r="F2630" s="243">
        <v>91</v>
      </c>
      <c r="G2630" s="243">
        <v>111</v>
      </c>
      <c r="H2630" s="243">
        <v>214</v>
      </c>
      <c r="I2630" s="243">
        <v>233</v>
      </c>
      <c r="J2630" s="243">
        <v>223</v>
      </c>
      <c r="K2630" s="243">
        <v>331</v>
      </c>
      <c r="L2630" s="243">
        <v>275</v>
      </c>
      <c r="M2630" s="243">
        <v>258</v>
      </c>
      <c r="N2630" s="243">
        <v>320</v>
      </c>
      <c r="O2630" s="253">
        <v>381</v>
      </c>
    </row>
    <row r="2631" spans="1:15">
      <c r="A2631" s="242" t="s">
        <v>70</v>
      </c>
      <c r="B2631" s="43" t="s">
        <v>4</v>
      </c>
      <c r="C2631" s="15">
        <v>80</v>
      </c>
      <c r="D2631" s="244">
        <v>9</v>
      </c>
      <c r="E2631" s="244">
        <v>3</v>
      </c>
      <c r="F2631" s="244">
        <v>3</v>
      </c>
      <c r="G2631" s="244">
        <v>3</v>
      </c>
      <c r="H2631" s="244">
        <v>7</v>
      </c>
      <c r="I2631" s="244">
        <v>10</v>
      </c>
      <c r="J2631" s="244">
        <v>8</v>
      </c>
      <c r="K2631" s="244">
        <v>9</v>
      </c>
      <c r="L2631" s="244">
        <v>6</v>
      </c>
      <c r="M2631" s="244">
        <v>8</v>
      </c>
      <c r="N2631" s="244">
        <v>4</v>
      </c>
      <c r="O2631" s="254">
        <v>10</v>
      </c>
    </row>
    <row r="2632" spans="1:15">
      <c r="A2632" s="240" t="s">
        <v>70</v>
      </c>
      <c r="B2632" s="47" t="s">
        <v>5</v>
      </c>
      <c r="C2632" s="12">
        <v>0.0280112044817927</v>
      </c>
      <c r="D2632" s="241">
        <v>0.0328467153284672</v>
      </c>
      <c r="E2632" s="241">
        <v>0.0206896551724138</v>
      </c>
      <c r="F2632" s="241">
        <v>0.032967032967033</v>
      </c>
      <c r="G2632" s="241">
        <v>0.027027027027027</v>
      </c>
      <c r="H2632" s="241">
        <v>0.0327102803738318</v>
      </c>
      <c r="I2632" s="241">
        <v>0.0429184549356223</v>
      </c>
      <c r="J2632" s="241">
        <v>0.0358744394618834</v>
      </c>
      <c r="K2632" s="241">
        <v>0.027190332326284</v>
      </c>
      <c r="L2632" s="241">
        <v>0.0218181818181818</v>
      </c>
      <c r="M2632" s="241">
        <v>0.0310077519379845</v>
      </c>
      <c r="N2632" s="241">
        <v>0.0125</v>
      </c>
      <c r="O2632" s="252">
        <v>0.026246719160105</v>
      </c>
    </row>
    <row r="2633" spans="1:15">
      <c r="A2633" s="242" t="s">
        <v>70</v>
      </c>
      <c r="B2633" s="43" t="s">
        <v>6</v>
      </c>
      <c r="C2633" s="15">
        <v>19</v>
      </c>
      <c r="D2633" s="244">
        <v>1</v>
      </c>
      <c r="E2633" s="244">
        <v>1</v>
      </c>
      <c r="F2633" s="244">
        <v>3</v>
      </c>
      <c r="G2633" s="244">
        <v>1</v>
      </c>
      <c r="H2633" s="244">
        <v>0</v>
      </c>
      <c r="I2633" s="244">
        <v>3</v>
      </c>
      <c r="J2633" s="244">
        <v>2</v>
      </c>
      <c r="K2633" s="244">
        <v>1</v>
      </c>
      <c r="L2633" s="244">
        <v>0</v>
      </c>
      <c r="M2633" s="244">
        <v>4</v>
      </c>
      <c r="N2633" s="244">
        <v>1</v>
      </c>
      <c r="O2633" s="254">
        <v>2</v>
      </c>
    </row>
    <row r="2634" ht="14.25" spans="1:15">
      <c r="A2634" s="245" t="s">
        <v>70</v>
      </c>
      <c r="B2634" s="52" t="s">
        <v>64</v>
      </c>
      <c r="C2634" s="19">
        <v>0.2375</v>
      </c>
      <c r="D2634" s="246">
        <v>0.111111111111111</v>
      </c>
      <c r="E2634" s="246">
        <v>0.333333333333333</v>
      </c>
      <c r="F2634" s="246">
        <v>1</v>
      </c>
      <c r="G2634" s="246">
        <v>0.333333333333333</v>
      </c>
      <c r="H2634" s="246">
        <v>0</v>
      </c>
      <c r="I2634" s="246">
        <v>0.3</v>
      </c>
      <c r="J2634" s="246">
        <v>0.25</v>
      </c>
      <c r="K2634" s="246">
        <v>0.111111111111111</v>
      </c>
      <c r="L2634" s="246">
        <v>0</v>
      </c>
      <c r="M2634" s="246">
        <v>0.5</v>
      </c>
      <c r="N2634" s="246">
        <v>0.25</v>
      </c>
      <c r="O2634" s="255">
        <v>0.2</v>
      </c>
    </row>
    <row r="2635" spans="1:15">
      <c r="A2635" s="240" t="s">
        <v>26</v>
      </c>
      <c r="B2635" s="47" t="s">
        <v>55</v>
      </c>
      <c r="C2635" s="12">
        <v>0.546549479166667</v>
      </c>
      <c r="D2635" s="241">
        <v>0.598553345388788</v>
      </c>
      <c r="E2635" s="241">
        <v>0.505154639175258</v>
      </c>
      <c r="F2635" s="241">
        <v>0.572463768115942</v>
      </c>
      <c r="G2635" s="241">
        <v>0.612745098039216</v>
      </c>
      <c r="H2635" s="241">
        <v>0.745283018867924</v>
      </c>
      <c r="I2635" s="241">
        <v>0.833333333333333</v>
      </c>
      <c r="J2635" s="241">
        <v>0.662983425414365</v>
      </c>
      <c r="K2635" s="241">
        <v>0.509708737864078</v>
      </c>
      <c r="L2635" s="241">
        <v>0.348623853211009</v>
      </c>
      <c r="M2635" s="241">
        <v>0.392638036809816</v>
      </c>
      <c r="N2635" s="241">
        <v>0.398104265402844</v>
      </c>
      <c r="O2635" s="252">
        <v>0.309941520467836</v>
      </c>
    </row>
    <row r="2636" spans="1:15">
      <c r="A2636" s="242" t="s">
        <v>26</v>
      </c>
      <c r="B2636" s="43" t="s">
        <v>57</v>
      </c>
      <c r="C2636" s="15">
        <v>3072</v>
      </c>
      <c r="D2636" s="243">
        <v>553</v>
      </c>
      <c r="E2636" s="243">
        <v>485</v>
      </c>
      <c r="F2636" s="243">
        <v>276</v>
      </c>
      <c r="G2636" s="243">
        <v>204</v>
      </c>
      <c r="H2636" s="243">
        <v>212</v>
      </c>
      <c r="I2636" s="243">
        <v>192</v>
      </c>
      <c r="J2636" s="243">
        <v>181</v>
      </c>
      <c r="K2636" s="243">
        <v>206</v>
      </c>
      <c r="L2636" s="243">
        <v>218</v>
      </c>
      <c r="M2636" s="243">
        <v>163</v>
      </c>
      <c r="N2636" s="243">
        <v>211</v>
      </c>
      <c r="O2636" s="253">
        <v>171</v>
      </c>
    </row>
    <row r="2637" spans="1:15">
      <c r="A2637" s="240" t="s">
        <v>26</v>
      </c>
      <c r="B2637" s="47" t="s">
        <v>59</v>
      </c>
      <c r="C2637" s="15">
        <v>1679</v>
      </c>
      <c r="D2637" s="243">
        <v>331</v>
      </c>
      <c r="E2637" s="243">
        <v>245</v>
      </c>
      <c r="F2637" s="243">
        <v>158</v>
      </c>
      <c r="G2637" s="243">
        <v>125</v>
      </c>
      <c r="H2637" s="243">
        <v>158</v>
      </c>
      <c r="I2637" s="243">
        <v>160</v>
      </c>
      <c r="J2637" s="243">
        <v>120</v>
      </c>
      <c r="K2637" s="243">
        <v>105</v>
      </c>
      <c r="L2637" s="243">
        <v>76</v>
      </c>
      <c r="M2637" s="243">
        <v>64</v>
      </c>
      <c r="N2637" s="243">
        <v>84</v>
      </c>
      <c r="O2637" s="253">
        <v>53</v>
      </c>
    </row>
    <row r="2638" spans="1:15">
      <c r="A2638" s="242" t="s">
        <v>26</v>
      </c>
      <c r="B2638" s="43" t="s">
        <v>4</v>
      </c>
      <c r="C2638" s="15">
        <v>15</v>
      </c>
      <c r="D2638" s="244">
        <v>2</v>
      </c>
      <c r="E2638" s="244">
        <v>0</v>
      </c>
      <c r="F2638" s="244">
        <v>0</v>
      </c>
      <c r="G2638" s="244">
        <v>2</v>
      </c>
      <c r="H2638" s="244">
        <v>1</v>
      </c>
      <c r="I2638" s="244">
        <v>1</v>
      </c>
      <c r="J2638" s="244">
        <v>3</v>
      </c>
      <c r="K2638" s="244">
        <v>0</v>
      </c>
      <c r="L2638" s="244">
        <v>2</v>
      </c>
      <c r="M2638" s="244">
        <v>2</v>
      </c>
      <c r="N2638" s="244">
        <v>2</v>
      </c>
      <c r="O2638" s="254">
        <v>0</v>
      </c>
    </row>
    <row r="2639" spans="1:15">
      <c r="A2639" s="240" t="s">
        <v>26</v>
      </c>
      <c r="B2639" s="47" t="s">
        <v>5</v>
      </c>
      <c r="C2639" s="12">
        <v>0.00893388921977368</v>
      </c>
      <c r="D2639" s="241">
        <v>0.00604229607250755</v>
      </c>
      <c r="E2639" s="241">
        <v>0</v>
      </c>
      <c r="F2639" s="241">
        <v>0</v>
      </c>
      <c r="G2639" s="241">
        <v>0.016</v>
      </c>
      <c r="H2639" s="241">
        <v>0.00632911392405063</v>
      </c>
      <c r="I2639" s="241">
        <v>0.00625</v>
      </c>
      <c r="J2639" s="241">
        <v>0.025</v>
      </c>
      <c r="K2639" s="241">
        <v>0</v>
      </c>
      <c r="L2639" s="241">
        <v>0.0263157894736842</v>
      </c>
      <c r="M2639" s="241">
        <v>0.03125</v>
      </c>
      <c r="N2639" s="241">
        <v>0.0238095238095238</v>
      </c>
      <c r="O2639" s="252">
        <v>0</v>
      </c>
    </row>
    <row r="2640" spans="1:15">
      <c r="A2640" s="242" t="s">
        <v>26</v>
      </c>
      <c r="B2640" s="43" t="s">
        <v>6</v>
      </c>
      <c r="C2640" s="15">
        <v>9</v>
      </c>
      <c r="D2640" s="244">
        <v>2</v>
      </c>
      <c r="E2640" s="244">
        <v>0</v>
      </c>
      <c r="F2640" s="244">
        <v>0</v>
      </c>
      <c r="G2640" s="244">
        <v>1</v>
      </c>
      <c r="H2640" s="244">
        <v>0</v>
      </c>
      <c r="I2640" s="244">
        <v>0</v>
      </c>
      <c r="J2640" s="244">
        <v>1</v>
      </c>
      <c r="K2640" s="244">
        <v>2</v>
      </c>
      <c r="L2640" s="244">
        <v>1</v>
      </c>
      <c r="M2640" s="244">
        <v>0</v>
      </c>
      <c r="N2640" s="244">
        <v>1</v>
      </c>
      <c r="O2640" s="254">
        <v>1</v>
      </c>
    </row>
    <row r="2641" ht="14.25" spans="1:15">
      <c r="A2641" s="245" t="s">
        <v>26</v>
      </c>
      <c r="B2641" s="52" t="s">
        <v>64</v>
      </c>
      <c r="C2641" s="19">
        <v>0.6</v>
      </c>
      <c r="D2641" s="19">
        <v>1</v>
      </c>
      <c r="E2641" s="19" t="e">
        <v>#DIV/0!</v>
      </c>
      <c r="F2641" s="19" t="e">
        <v>#DIV/0!</v>
      </c>
      <c r="G2641" s="19">
        <v>0.5</v>
      </c>
      <c r="H2641" s="19">
        <v>0</v>
      </c>
      <c r="I2641" s="19">
        <v>0</v>
      </c>
      <c r="J2641" s="19">
        <v>0.333333333333333</v>
      </c>
      <c r="K2641" s="19" t="e">
        <v>#DIV/0!</v>
      </c>
      <c r="L2641" s="19">
        <v>0.5</v>
      </c>
      <c r="M2641" s="19">
        <v>0</v>
      </c>
      <c r="N2641" s="19">
        <v>0.5</v>
      </c>
      <c r="O2641" s="19" t="e">
        <v>#DIV/0!</v>
      </c>
    </row>
    <row r="2642" spans="1:15">
      <c r="A2642" s="240" t="s">
        <v>71</v>
      </c>
      <c r="B2642" s="47" t="s">
        <v>55</v>
      </c>
      <c r="C2642" s="12" t="e">
        <v>#DIV/0!</v>
      </c>
      <c r="D2642" s="241" t="e">
        <v>#DIV/0!</v>
      </c>
      <c r="E2642" s="241" t="e">
        <v>#DIV/0!</v>
      </c>
      <c r="F2642" s="241" t="e">
        <v>#DIV/0!</v>
      </c>
      <c r="G2642" s="241" t="e">
        <v>#DIV/0!</v>
      </c>
      <c r="H2642" s="241" t="e">
        <v>#DIV/0!</v>
      </c>
      <c r="I2642" s="241" t="e">
        <v>#DIV/0!</v>
      </c>
      <c r="J2642" s="241" t="e">
        <v>#DIV/0!</v>
      </c>
      <c r="K2642" s="241" t="e">
        <v>#DIV/0!</v>
      </c>
      <c r="L2642" s="241" t="e">
        <v>#DIV/0!</v>
      </c>
      <c r="M2642" s="241" t="e">
        <v>#DIV/0!</v>
      </c>
      <c r="N2642" s="241" t="e">
        <v>#DIV/0!</v>
      </c>
      <c r="O2642" s="252" t="e">
        <v>#DIV/0!</v>
      </c>
    </row>
    <row r="2643" spans="1:15">
      <c r="A2643" s="242" t="s">
        <v>71</v>
      </c>
      <c r="B2643" s="43" t="s">
        <v>57</v>
      </c>
      <c r="C2643" s="15">
        <v>0</v>
      </c>
      <c r="D2643" s="243">
        <v>0</v>
      </c>
      <c r="E2643" s="243">
        <v>0</v>
      </c>
      <c r="F2643" s="243">
        <v>0</v>
      </c>
      <c r="G2643" s="243">
        <v>0</v>
      </c>
      <c r="H2643" s="243">
        <v>0</v>
      </c>
      <c r="I2643" s="243">
        <v>0</v>
      </c>
      <c r="J2643" s="243">
        <v>0</v>
      </c>
      <c r="K2643" s="243">
        <v>0</v>
      </c>
      <c r="L2643" s="243">
        <v>0</v>
      </c>
      <c r="M2643" s="243">
        <v>0</v>
      </c>
      <c r="N2643" s="243">
        <v>0</v>
      </c>
      <c r="O2643" s="253">
        <v>0</v>
      </c>
    </row>
    <row r="2644" spans="1:15">
      <c r="A2644" s="240" t="s">
        <v>71</v>
      </c>
      <c r="B2644" s="47" t="s">
        <v>59</v>
      </c>
      <c r="C2644" s="15">
        <v>31</v>
      </c>
      <c r="D2644" s="243">
        <v>12</v>
      </c>
      <c r="E2644" s="243">
        <v>2</v>
      </c>
      <c r="F2644" s="243">
        <v>1</v>
      </c>
      <c r="G2644" s="243">
        <v>1</v>
      </c>
      <c r="H2644" s="243">
        <v>1</v>
      </c>
      <c r="I2644" s="243">
        <v>1</v>
      </c>
      <c r="J2644" s="243">
        <v>3</v>
      </c>
      <c r="K2644" s="243">
        <v>4</v>
      </c>
      <c r="L2644" s="243">
        <v>4</v>
      </c>
      <c r="M2644" s="243">
        <v>0</v>
      </c>
      <c r="N2644" s="243">
        <v>1</v>
      </c>
      <c r="O2644" s="253">
        <v>1</v>
      </c>
    </row>
    <row r="2645" spans="1:15">
      <c r="A2645" s="242" t="s">
        <v>71</v>
      </c>
      <c r="B2645" s="43" t="s">
        <v>4</v>
      </c>
      <c r="C2645" s="15">
        <v>29</v>
      </c>
      <c r="D2645" s="244">
        <v>3</v>
      </c>
      <c r="E2645" s="244">
        <v>0</v>
      </c>
      <c r="F2645" s="244">
        <v>0</v>
      </c>
      <c r="G2645" s="244">
        <v>1</v>
      </c>
      <c r="H2645" s="244">
        <v>1</v>
      </c>
      <c r="I2645" s="244">
        <v>5</v>
      </c>
      <c r="J2645" s="244">
        <v>2</v>
      </c>
      <c r="K2645" s="244">
        <v>4</v>
      </c>
      <c r="L2645" s="244">
        <v>3</v>
      </c>
      <c r="M2645" s="244">
        <v>4</v>
      </c>
      <c r="N2645" s="244">
        <v>3</v>
      </c>
      <c r="O2645" s="254">
        <v>3</v>
      </c>
    </row>
    <row r="2646" spans="1:15">
      <c r="A2646" s="240" t="s">
        <v>71</v>
      </c>
      <c r="B2646" s="47" t="s">
        <v>5</v>
      </c>
      <c r="C2646" s="241">
        <v>0.935483870967742</v>
      </c>
      <c r="D2646" s="241">
        <v>0.25</v>
      </c>
      <c r="E2646" s="241">
        <v>0</v>
      </c>
      <c r="F2646" s="241">
        <v>0</v>
      </c>
      <c r="G2646" s="241">
        <v>1</v>
      </c>
      <c r="H2646" s="241">
        <v>1</v>
      </c>
      <c r="I2646" s="241">
        <v>5</v>
      </c>
      <c r="J2646" s="241">
        <v>0.666666666666667</v>
      </c>
      <c r="K2646" s="241">
        <v>1</v>
      </c>
      <c r="L2646" s="241">
        <v>0.75</v>
      </c>
      <c r="M2646" s="241">
        <v>0</v>
      </c>
      <c r="N2646" s="241">
        <v>3</v>
      </c>
      <c r="O2646" s="252">
        <v>3</v>
      </c>
    </row>
    <row r="2647" spans="1:15">
      <c r="A2647" s="242" t="s">
        <v>71</v>
      </c>
      <c r="B2647" s="43" t="s">
        <v>6</v>
      </c>
      <c r="C2647" s="15">
        <v>6</v>
      </c>
      <c r="D2647" s="244">
        <v>0</v>
      </c>
      <c r="E2647" s="244">
        <v>0</v>
      </c>
      <c r="F2647" s="244">
        <v>0</v>
      </c>
      <c r="G2647" s="244">
        <v>0</v>
      </c>
      <c r="H2647" s="244">
        <v>0</v>
      </c>
      <c r="I2647" s="244">
        <v>0</v>
      </c>
      <c r="J2647" s="244">
        <v>3</v>
      </c>
      <c r="K2647" s="244">
        <v>2</v>
      </c>
      <c r="L2647" s="244">
        <v>0</v>
      </c>
      <c r="M2647" s="244">
        <v>0</v>
      </c>
      <c r="N2647" s="244">
        <v>0</v>
      </c>
      <c r="O2647" s="254">
        <v>1</v>
      </c>
    </row>
    <row r="2648" ht="14.25" spans="1:15">
      <c r="A2648" s="245" t="s">
        <v>71</v>
      </c>
      <c r="B2648" s="52" t="s">
        <v>64</v>
      </c>
      <c r="C2648" s="19">
        <v>0.206896551724138</v>
      </c>
      <c r="D2648" s="19">
        <v>0</v>
      </c>
      <c r="E2648" s="19" t="e">
        <v>#DIV/0!</v>
      </c>
      <c r="F2648" s="19" t="e">
        <v>#DIV/0!</v>
      </c>
      <c r="G2648" s="19">
        <v>0</v>
      </c>
      <c r="H2648" s="19">
        <v>0</v>
      </c>
      <c r="I2648" s="19">
        <v>0</v>
      </c>
      <c r="J2648" s="19">
        <v>1.5</v>
      </c>
      <c r="K2648" s="19">
        <v>0.5</v>
      </c>
      <c r="L2648" s="19">
        <v>0</v>
      </c>
      <c r="M2648" s="19">
        <v>0</v>
      </c>
      <c r="N2648" s="19">
        <v>0</v>
      </c>
      <c r="O2648" s="19">
        <v>0.333333333333333</v>
      </c>
    </row>
    <row r="2649" spans="1:15">
      <c r="A2649" s="240" t="s">
        <v>72</v>
      </c>
      <c r="B2649" s="47" t="s">
        <v>55</v>
      </c>
      <c r="C2649" s="12">
        <v>0.222716049382716</v>
      </c>
      <c r="D2649" s="241">
        <v>0.271493212669683</v>
      </c>
      <c r="E2649" s="241">
        <v>0.211822660098522</v>
      </c>
      <c r="F2649" s="241">
        <v>0.232394366197183</v>
      </c>
      <c r="G2649" s="241">
        <v>0.201117318435754</v>
      </c>
      <c r="H2649" s="241">
        <v>0.254416961130742</v>
      </c>
      <c r="I2649" s="241">
        <v>0.253298153034301</v>
      </c>
      <c r="J2649" s="241">
        <v>0.234375</v>
      </c>
      <c r="K2649" s="241">
        <v>0.221635883905013</v>
      </c>
      <c r="L2649" s="241">
        <v>0.177514792899408</v>
      </c>
      <c r="M2649" s="241">
        <v>0.215339233038348</v>
      </c>
      <c r="N2649" s="241">
        <v>0.205405405405405</v>
      </c>
      <c r="O2649" s="252">
        <v>0.195519348268839</v>
      </c>
    </row>
    <row r="2650" spans="1:15">
      <c r="A2650" s="242" t="s">
        <v>72</v>
      </c>
      <c r="B2650" s="43" t="s">
        <v>57</v>
      </c>
      <c r="C2650" s="15">
        <v>4050</v>
      </c>
      <c r="D2650" s="243">
        <v>442</v>
      </c>
      <c r="E2650" s="243">
        <v>203</v>
      </c>
      <c r="F2650" s="243">
        <v>142</v>
      </c>
      <c r="G2650" s="243">
        <v>179</v>
      </c>
      <c r="H2650" s="243">
        <v>283</v>
      </c>
      <c r="I2650" s="243">
        <v>379</v>
      </c>
      <c r="J2650" s="243">
        <v>320</v>
      </c>
      <c r="K2650" s="243">
        <v>379</v>
      </c>
      <c r="L2650" s="243">
        <v>338</v>
      </c>
      <c r="M2650" s="243">
        <v>339</v>
      </c>
      <c r="N2650" s="243">
        <v>555</v>
      </c>
      <c r="O2650" s="253">
        <v>491</v>
      </c>
    </row>
    <row r="2651" spans="1:15">
      <c r="A2651" s="240" t="s">
        <v>72</v>
      </c>
      <c r="B2651" s="47" t="s">
        <v>59</v>
      </c>
      <c r="C2651" s="15">
        <v>902</v>
      </c>
      <c r="D2651" s="243">
        <v>120</v>
      </c>
      <c r="E2651" s="243">
        <v>43</v>
      </c>
      <c r="F2651" s="243">
        <v>33</v>
      </c>
      <c r="G2651" s="243">
        <v>36</v>
      </c>
      <c r="H2651" s="243">
        <v>72</v>
      </c>
      <c r="I2651" s="243">
        <v>96</v>
      </c>
      <c r="J2651" s="243">
        <v>75</v>
      </c>
      <c r="K2651" s="243">
        <v>84</v>
      </c>
      <c r="L2651" s="243">
        <v>60</v>
      </c>
      <c r="M2651" s="243">
        <v>73</v>
      </c>
      <c r="N2651" s="243">
        <v>114</v>
      </c>
      <c r="O2651" s="253">
        <v>96</v>
      </c>
    </row>
    <row r="2652" spans="1:15">
      <c r="A2652" s="242" t="s">
        <v>72</v>
      </c>
      <c r="B2652" s="43" t="s">
        <v>4</v>
      </c>
      <c r="C2652" s="15">
        <v>101</v>
      </c>
      <c r="D2652" s="244">
        <v>10</v>
      </c>
      <c r="E2652" s="244">
        <v>5</v>
      </c>
      <c r="F2652" s="244">
        <v>2</v>
      </c>
      <c r="G2652" s="244">
        <v>6</v>
      </c>
      <c r="H2652" s="244">
        <v>12</v>
      </c>
      <c r="I2652" s="244">
        <v>16</v>
      </c>
      <c r="J2652" s="244">
        <v>4</v>
      </c>
      <c r="K2652" s="244">
        <v>5</v>
      </c>
      <c r="L2652" s="244">
        <v>4</v>
      </c>
      <c r="M2652" s="244">
        <v>9</v>
      </c>
      <c r="N2652" s="244">
        <v>15</v>
      </c>
      <c r="O2652" s="254">
        <v>13</v>
      </c>
    </row>
    <row r="2653" spans="1:15">
      <c r="A2653" s="240" t="s">
        <v>72</v>
      </c>
      <c r="B2653" s="47" t="s">
        <v>5</v>
      </c>
      <c r="C2653" s="12">
        <v>0.111973392461197</v>
      </c>
      <c r="D2653" s="241">
        <v>0.0833333333333333</v>
      </c>
      <c r="E2653" s="241">
        <v>0.116279069767442</v>
      </c>
      <c r="F2653" s="241">
        <v>0.0606060606060606</v>
      </c>
      <c r="G2653" s="241">
        <v>0.166666666666667</v>
      </c>
      <c r="H2653" s="241">
        <v>0.166666666666667</v>
      </c>
      <c r="I2653" s="241">
        <v>0.166666666666667</v>
      </c>
      <c r="J2653" s="241">
        <v>0.0533333333333333</v>
      </c>
      <c r="K2653" s="241">
        <v>0.0595238095238095</v>
      </c>
      <c r="L2653" s="241">
        <v>0.0666666666666667</v>
      </c>
      <c r="M2653" s="241">
        <v>0.123287671232877</v>
      </c>
      <c r="N2653" s="241">
        <v>0.131578947368421</v>
      </c>
      <c r="O2653" s="252">
        <v>0.135416666666667</v>
      </c>
    </row>
    <row r="2654" spans="1:15">
      <c r="A2654" s="242" t="s">
        <v>72</v>
      </c>
      <c r="B2654" s="43" t="s">
        <v>6</v>
      </c>
      <c r="C2654" s="15">
        <v>32</v>
      </c>
      <c r="D2654" s="244">
        <v>3</v>
      </c>
      <c r="E2654" s="244">
        <v>1</v>
      </c>
      <c r="F2654" s="244">
        <v>1</v>
      </c>
      <c r="G2654" s="244">
        <v>1</v>
      </c>
      <c r="H2654" s="244">
        <v>6</v>
      </c>
      <c r="I2654" s="244">
        <v>4</v>
      </c>
      <c r="J2654" s="244">
        <v>3</v>
      </c>
      <c r="K2654" s="244">
        <v>1</v>
      </c>
      <c r="L2654" s="244">
        <v>1</v>
      </c>
      <c r="M2654" s="244">
        <v>1</v>
      </c>
      <c r="N2654" s="244">
        <v>7</v>
      </c>
      <c r="O2654" s="254">
        <v>3</v>
      </c>
    </row>
    <row r="2655" ht="14.25" spans="1:15">
      <c r="A2655" s="245" t="s">
        <v>72</v>
      </c>
      <c r="B2655" s="52" t="s">
        <v>64</v>
      </c>
      <c r="C2655" s="19">
        <v>0.316831683168317</v>
      </c>
      <c r="D2655" s="19">
        <v>0.3</v>
      </c>
      <c r="E2655" s="19">
        <v>0.2</v>
      </c>
      <c r="F2655" s="19">
        <v>0.5</v>
      </c>
      <c r="G2655" s="19">
        <v>0.166666666666667</v>
      </c>
      <c r="H2655" s="19">
        <v>0.5</v>
      </c>
      <c r="I2655" s="19">
        <v>0.25</v>
      </c>
      <c r="J2655" s="19">
        <v>0.75</v>
      </c>
      <c r="K2655" s="19">
        <v>0.2</v>
      </c>
      <c r="L2655" s="19">
        <v>0.25</v>
      </c>
      <c r="M2655" s="19">
        <v>0.111111111111111</v>
      </c>
      <c r="N2655" s="19">
        <v>0.466666666666667</v>
      </c>
      <c r="O2655" s="19">
        <v>0.230769230769231</v>
      </c>
    </row>
    <row r="2656" ht="14.25" spans="1:15">
      <c r="A2656" s="237">
        <v>45060</v>
      </c>
      <c r="B2656" s="237"/>
      <c r="C2656" s="237"/>
      <c r="D2656" s="237"/>
      <c r="E2656" s="237"/>
      <c r="F2656" s="237"/>
      <c r="G2656" s="237"/>
      <c r="H2656" s="237"/>
      <c r="I2656" s="237"/>
      <c r="J2656" s="237"/>
      <c r="K2656" s="237"/>
      <c r="L2656" s="237"/>
      <c r="M2656" s="237"/>
      <c r="N2656" s="237"/>
      <c r="O2656" s="237"/>
    </row>
    <row r="2657" spans="1:15">
      <c r="A2657" s="56" t="s">
        <v>1</v>
      </c>
      <c r="B2657" s="238"/>
      <c r="C2657" s="8" t="s">
        <v>42</v>
      </c>
      <c r="D2657" s="239" t="s">
        <v>43</v>
      </c>
      <c r="E2657" s="239" t="s">
        <v>44</v>
      </c>
      <c r="F2657" s="239" t="s">
        <v>45</v>
      </c>
      <c r="G2657" s="239" t="s">
        <v>46</v>
      </c>
      <c r="H2657" s="239" t="s">
        <v>47</v>
      </c>
      <c r="I2657" s="239" t="s">
        <v>48</v>
      </c>
      <c r="J2657" s="239" t="s">
        <v>49</v>
      </c>
      <c r="K2657" s="239" t="s">
        <v>50</v>
      </c>
      <c r="L2657" s="239" t="s">
        <v>51</v>
      </c>
      <c r="M2657" s="239" t="s">
        <v>52</v>
      </c>
      <c r="N2657" s="239" t="s">
        <v>53</v>
      </c>
      <c r="O2657" s="251" t="s">
        <v>54</v>
      </c>
    </row>
    <row r="2658" spans="1:15">
      <c r="A2658" s="240" t="s">
        <v>22</v>
      </c>
      <c r="B2658" s="47" t="s">
        <v>55</v>
      </c>
      <c r="C2658" s="12">
        <v>0.404535479151426</v>
      </c>
      <c r="D2658" s="241">
        <v>0.436860068259386</v>
      </c>
      <c r="E2658" s="241">
        <v>0.349693251533742</v>
      </c>
      <c r="F2658" s="241">
        <v>0.425925925925926</v>
      </c>
      <c r="G2658" s="241">
        <v>0.42</v>
      </c>
      <c r="H2658" s="241">
        <v>0.456647398843931</v>
      </c>
      <c r="I2658" s="241">
        <v>0.414847161572052</v>
      </c>
      <c r="J2658" s="241">
        <v>0.466386554621849</v>
      </c>
      <c r="K2658" s="241">
        <v>0.365942028985507</v>
      </c>
      <c r="L2658" s="241">
        <v>0.375545851528384</v>
      </c>
      <c r="M2658" s="241">
        <v>0.40990990990991</v>
      </c>
      <c r="N2658" s="241">
        <v>0.391304347826087</v>
      </c>
      <c r="O2658" s="252">
        <v>0.372881355932203</v>
      </c>
    </row>
    <row r="2659" spans="1:15">
      <c r="A2659" s="242" t="s">
        <v>22</v>
      </c>
      <c r="B2659" s="43" t="s">
        <v>57</v>
      </c>
      <c r="C2659" s="15">
        <v>2734</v>
      </c>
      <c r="D2659" s="243">
        <v>293</v>
      </c>
      <c r="E2659" s="243">
        <v>163</v>
      </c>
      <c r="F2659" s="243">
        <v>108</v>
      </c>
      <c r="G2659" s="243">
        <v>150</v>
      </c>
      <c r="H2659" s="243">
        <v>173</v>
      </c>
      <c r="I2659" s="243">
        <v>229</v>
      </c>
      <c r="J2659" s="243">
        <v>238</v>
      </c>
      <c r="K2659" s="243">
        <v>276</v>
      </c>
      <c r="L2659" s="243">
        <v>229</v>
      </c>
      <c r="M2659" s="243">
        <v>222</v>
      </c>
      <c r="N2659" s="243">
        <v>299</v>
      </c>
      <c r="O2659" s="253">
        <v>354</v>
      </c>
    </row>
    <row r="2660" spans="1:15">
      <c r="A2660" s="240" t="s">
        <v>22</v>
      </c>
      <c r="B2660" s="47" t="s">
        <v>59</v>
      </c>
      <c r="C2660" s="15">
        <v>1106</v>
      </c>
      <c r="D2660" s="243">
        <v>128</v>
      </c>
      <c r="E2660" s="243">
        <v>57</v>
      </c>
      <c r="F2660" s="243">
        <v>46</v>
      </c>
      <c r="G2660" s="243">
        <v>63</v>
      </c>
      <c r="H2660" s="243">
        <v>79</v>
      </c>
      <c r="I2660" s="243">
        <v>95</v>
      </c>
      <c r="J2660" s="243">
        <v>111</v>
      </c>
      <c r="K2660" s="243">
        <v>101</v>
      </c>
      <c r="L2660" s="243">
        <v>86</v>
      </c>
      <c r="M2660" s="243">
        <v>91</v>
      </c>
      <c r="N2660" s="243">
        <v>117</v>
      </c>
      <c r="O2660" s="253">
        <v>132</v>
      </c>
    </row>
    <row r="2661" spans="1:15">
      <c r="A2661" s="242" t="s">
        <v>22</v>
      </c>
      <c r="B2661" s="43" t="s">
        <v>4</v>
      </c>
      <c r="C2661" s="15">
        <v>103</v>
      </c>
      <c r="D2661" s="244">
        <v>14</v>
      </c>
      <c r="E2661" s="244">
        <v>3</v>
      </c>
      <c r="F2661" s="244">
        <v>5</v>
      </c>
      <c r="G2661" s="244">
        <v>1</v>
      </c>
      <c r="H2661" s="244">
        <v>10</v>
      </c>
      <c r="I2661" s="244">
        <v>9</v>
      </c>
      <c r="J2661" s="244">
        <v>10</v>
      </c>
      <c r="K2661" s="244">
        <v>10</v>
      </c>
      <c r="L2661" s="244">
        <v>6</v>
      </c>
      <c r="M2661" s="244">
        <v>11</v>
      </c>
      <c r="N2661" s="244">
        <v>9</v>
      </c>
      <c r="O2661" s="254">
        <v>15</v>
      </c>
    </row>
    <row r="2662" spans="1:15">
      <c r="A2662" s="240" t="s">
        <v>22</v>
      </c>
      <c r="B2662" s="47" t="s">
        <v>5</v>
      </c>
      <c r="C2662" s="12">
        <v>0.093128390596745</v>
      </c>
      <c r="D2662" s="241">
        <v>0.109375</v>
      </c>
      <c r="E2662" s="241">
        <v>0.0526315789473684</v>
      </c>
      <c r="F2662" s="241">
        <v>0.108695652173913</v>
      </c>
      <c r="G2662" s="241">
        <v>0.0158730158730159</v>
      </c>
      <c r="H2662" s="241">
        <v>0.126582278481013</v>
      </c>
      <c r="I2662" s="241">
        <v>0.0947368421052632</v>
      </c>
      <c r="J2662" s="241">
        <v>0.0900900900900901</v>
      </c>
      <c r="K2662" s="241">
        <v>0.099009900990099</v>
      </c>
      <c r="L2662" s="241">
        <v>0.0697674418604651</v>
      </c>
      <c r="M2662" s="241">
        <v>0.120879120879121</v>
      </c>
      <c r="N2662" s="241">
        <v>0.0769230769230769</v>
      </c>
      <c r="O2662" s="252">
        <v>0.113636363636364</v>
      </c>
    </row>
    <row r="2663" spans="1:15">
      <c r="A2663" s="242" t="s">
        <v>22</v>
      </c>
      <c r="B2663" s="43" t="s">
        <v>6</v>
      </c>
      <c r="C2663" s="15">
        <v>29</v>
      </c>
      <c r="D2663" s="244">
        <v>3</v>
      </c>
      <c r="E2663" s="244">
        <v>2</v>
      </c>
      <c r="F2663" s="244">
        <v>2</v>
      </c>
      <c r="G2663" s="244">
        <v>1</v>
      </c>
      <c r="H2663" s="244">
        <v>2</v>
      </c>
      <c r="I2663" s="244">
        <v>3</v>
      </c>
      <c r="J2663" s="244">
        <v>3</v>
      </c>
      <c r="K2663" s="244">
        <v>4</v>
      </c>
      <c r="L2663" s="244">
        <v>2</v>
      </c>
      <c r="M2663" s="244">
        <v>2</v>
      </c>
      <c r="N2663" s="244">
        <v>3</v>
      </c>
      <c r="O2663" s="254">
        <v>2</v>
      </c>
    </row>
    <row r="2664" ht="14.25" spans="1:15">
      <c r="A2664" s="245" t="s">
        <v>22</v>
      </c>
      <c r="B2664" s="52" t="s">
        <v>64</v>
      </c>
      <c r="C2664" s="19">
        <v>0.281553398058252</v>
      </c>
      <c r="D2664" s="246">
        <v>0.214285714285714</v>
      </c>
      <c r="E2664" s="246">
        <v>0.666666666666667</v>
      </c>
      <c r="F2664" s="246">
        <v>0.4</v>
      </c>
      <c r="G2664" s="246">
        <v>1</v>
      </c>
      <c r="H2664" s="246">
        <v>0.2</v>
      </c>
      <c r="I2664" s="246">
        <v>0.333333333333333</v>
      </c>
      <c r="J2664" s="246">
        <v>0.3</v>
      </c>
      <c r="K2664" s="246">
        <v>0.4</v>
      </c>
      <c r="L2664" s="246">
        <v>0.333333333333333</v>
      </c>
      <c r="M2664" s="246">
        <v>0.181818181818182</v>
      </c>
      <c r="N2664" s="246">
        <v>0.333333333333333</v>
      </c>
      <c r="O2664" s="255">
        <v>0.133333333333333</v>
      </c>
    </row>
    <row r="2665" spans="1:15">
      <c r="A2665" s="247" t="s">
        <v>66</v>
      </c>
      <c r="B2665" s="248" t="s">
        <v>55</v>
      </c>
      <c r="C2665" s="12">
        <v>0.101372288623285</v>
      </c>
      <c r="D2665" s="249">
        <v>0.0735694822888283</v>
      </c>
      <c r="E2665" s="249">
        <v>0.0336134453781513</v>
      </c>
      <c r="F2665" s="249">
        <v>0.024</v>
      </c>
      <c r="G2665" s="249">
        <v>0.0918367346938776</v>
      </c>
      <c r="H2665" s="249">
        <v>0.15</v>
      </c>
      <c r="I2665" s="249">
        <v>0.122699386503067</v>
      </c>
      <c r="J2665" s="249">
        <v>0.1328125</v>
      </c>
      <c r="K2665" s="249">
        <v>0.115646258503401</v>
      </c>
      <c r="L2665" s="249">
        <v>0.18348623853211</v>
      </c>
      <c r="M2665" s="249">
        <v>0.161904761904762</v>
      </c>
      <c r="N2665" s="249">
        <v>0.190839694656489</v>
      </c>
      <c r="O2665" s="256">
        <v>0.182539682539683</v>
      </c>
    </row>
    <row r="2666" spans="1:15">
      <c r="A2666" s="242" t="s">
        <v>66</v>
      </c>
      <c r="B2666" s="43" t="s">
        <v>57</v>
      </c>
      <c r="C2666" s="15">
        <v>2259</v>
      </c>
      <c r="D2666" s="243">
        <v>367</v>
      </c>
      <c r="E2666" s="243">
        <v>357</v>
      </c>
      <c r="F2666" s="243">
        <v>250</v>
      </c>
      <c r="G2666" s="243">
        <v>196</v>
      </c>
      <c r="H2666" s="243">
        <v>180</v>
      </c>
      <c r="I2666" s="243">
        <v>163</v>
      </c>
      <c r="J2666" s="243">
        <v>128</v>
      </c>
      <c r="K2666" s="243">
        <v>147</v>
      </c>
      <c r="L2666" s="243">
        <v>109</v>
      </c>
      <c r="M2666" s="243">
        <v>105</v>
      </c>
      <c r="N2666" s="243">
        <v>131</v>
      </c>
      <c r="O2666" s="253">
        <v>126</v>
      </c>
    </row>
    <row r="2667" spans="1:15">
      <c r="A2667" s="240" t="s">
        <v>66</v>
      </c>
      <c r="B2667" s="47" t="s">
        <v>59</v>
      </c>
      <c r="C2667" s="15">
        <v>229</v>
      </c>
      <c r="D2667" s="243">
        <v>27</v>
      </c>
      <c r="E2667" s="243">
        <v>12</v>
      </c>
      <c r="F2667" s="243">
        <v>6</v>
      </c>
      <c r="G2667" s="243">
        <v>18</v>
      </c>
      <c r="H2667" s="243">
        <v>27</v>
      </c>
      <c r="I2667" s="243">
        <v>20</v>
      </c>
      <c r="J2667" s="243">
        <v>17</v>
      </c>
      <c r="K2667" s="243">
        <v>17</v>
      </c>
      <c r="L2667" s="243">
        <v>20</v>
      </c>
      <c r="M2667" s="243">
        <v>17</v>
      </c>
      <c r="N2667" s="243">
        <v>25</v>
      </c>
      <c r="O2667" s="253">
        <v>23</v>
      </c>
    </row>
    <row r="2668" spans="1:15">
      <c r="A2668" s="242" t="s">
        <v>66</v>
      </c>
      <c r="B2668" s="43" t="s">
        <v>4</v>
      </c>
      <c r="C2668" s="15">
        <v>15</v>
      </c>
      <c r="D2668" s="244">
        <v>1</v>
      </c>
      <c r="E2668" s="244">
        <v>1</v>
      </c>
      <c r="F2668" s="244">
        <v>0</v>
      </c>
      <c r="G2668" s="244">
        <v>2</v>
      </c>
      <c r="H2668" s="244">
        <v>4</v>
      </c>
      <c r="I2668" s="244">
        <v>0</v>
      </c>
      <c r="J2668" s="244">
        <v>1</v>
      </c>
      <c r="K2668" s="244">
        <v>1</v>
      </c>
      <c r="L2668" s="244">
        <v>1</v>
      </c>
      <c r="M2668" s="244">
        <v>1</v>
      </c>
      <c r="N2668" s="244">
        <v>1</v>
      </c>
      <c r="O2668" s="254">
        <v>2</v>
      </c>
    </row>
    <row r="2669" spans="1:15">
      <c r="A2669" s="240" t="s">
        <v>66</v>
      </c>
      <c r="B2669" s="47" t="s">
        <v>5</v>
      </c>
      <c r="C2669" s="12">
        <v>0.0655021834061135</v>
      </c>
      <c r="D2669" s="241">
        <v>0.037037037037037</v>
      </c>
      <c r="E2669" s="241">
        <v>0.0833333333333333</v>
      </c>
      <c r="F2669" s="241">
        <v>0</v>
      </c>
      <c r="G2669" s="241">
        <v>0.111111111111111</v>
      </c>
      <c r="H2669" s="241">
        <v>0.148148148148148</v>
      </c>
      <c r="I2669" s="241">
        <v>0</v>
      </c>
      <c r="J2669" s="241">
        <v>0.0588235294117647</v>
      </c>
      <c r="K2669" s="241">
        <v>0.0588235294117647</v>
      </c>
      <c r="L2669" s="241">
        <v>0.05</v>
      </c>
      <c r="M2669" s="241">
        <v>0.0588235294117647</v>
      </c>
      <c r="N2669" s="241">
        <v>0.04</v>
      </c>
      <c r="O2669" s="252">
        <v>0.0869565217391304</v>
      </c>
    </row>
    <row r="2670" spans="1:15">
      <c r="A2670" s="242" t="s">
        <v>66</v>
      </c>
      <c r="B2670" s="43" t="s">
        <v>6</v>
      </c>
      <c r="C2670" s="15">
        <v>6</v>
      </c>
      <c r="D2670" s="244">
        <v>1</v>
      </c>
      <c r="E2670" s="244">
        <v>1</v>
      </c>
      <c r="F2670" s="244">
        <v>0</v>
      </c>
      <c r="G2670" s="244">
        <v>0</v>
      </c>
      <c r="H2670" s="244">
        <v>0</v>
      </c>
      <c r="I2670" s="244">
        <v>0</v>
      </c>
      <c r="J2670" s="244">
        <v>0</v>
      </c>
      <c r="K2670" s="244">
        <v>0</v>
      </c>
      <c r="L2670" s="244">
        <v>1</v>
      </c>
      <c r="M2670" s="244">
        <v>1</v>
      </c>
      <c r="N2670" s="244">
        <v>1</v>
      </c>
      <c r="O2670" s="254">
        <v>1</v>
      </c>
    </row>
    <row r="2671" ht="14.25" spans="1:15">
      <c r="A2671" s="245" t="s">
        <v>66</v>
      </c>
      <c r="B2671" s="52" t="s">
        <v>64</v>
      </c>
      <c r="C2671" s="19">
        <v>0.4</v>
      </c>
      <c r="D2671" s="246">
        <v>1</v>
      </c>
      <c r="E2671" s="246">
        <v>1</v>
      </c>
      <c r="F2671" s="246">
        <v>0</v>
      </c>
      <c r="G2671" s="246">
        <v>0</v>
      </c>
      <c r="H2671" s="246">
        <v>0</v>
      </c>
      <c r="I2671" s="246">
        <v>0</v>
      </c>
      <c r="J2671" s="246">
        <v>0</v>
      </c>
      <c r="K2671" s="246">
        <v>0</v>
      </c>
      <c r="L2671" s="246">
        <v>1</v>
      </c>
      <c r="M2671" s="246">
        <v>1</v>
      </c>
      <c r="N2671" s="246">
        <v>1</v>
      </c>
      <c r="O2671" s="255">
        <v>0.5</v>
      </c>
    </row>
    <row r="2672" spans="1:15">
      <c r="A2672" s="240" t="s">
        <v>67</v>
      </c>
      <c r="B2672" s="47" t="s">
        <v>55</v>
      </c>
      <c r="C2672" s="12">
        <v>0.841201716738197</v>
      </c>
      <c r="D2672" s="241">
        <v>1.08</v>
      </c>
      <c r="E2672" s="241">
        <v>0.733333333333333</v>
      </c>
      <c r="F2672" s="241">
        <v>0.833333333333333</v>
      </c>
      <c r="G2672" s="241">
        <v>1</v>
      </c>
      <c r="H2672" s="241">
        <v>1</v>
      </c>
      <c r="I2672" s="241">
        <v>0.555555555555556</v>
      </c>
      <c r="J2672" s="241">
        <v>0.647058823529412</v>
      </c>
      <c r="K2672" s="241">
        <v>0.928571428571429</v>
      </c>
      <c r="L2672" s="241">
        <v>0.782608695652174</v>
      </c>
      <c r="M2672" s="241">
        <v>1.30769230769231</v>
      </c>
      <c r="N2672" s="241">
        <v>0.730769230769231</v>
      </c>
      <c r="O2672" s="252">
        <v>0.785714285714286</v>
      </c>
    </row>
    <row r="2673" spans="1:15">
      <c r="A2673" s="242" t="s">
        <v>67</v>
      </c>
      <c r="B2673" s="43" t="s">
        <v>57</v>
      </c>
      <c r="C2673" s="15">
        <v>233</v>
      </c>
      <c r="D2673" s="243">
        <v>25</v>
      </c>
      <c r="E2673" s="243">
        <v>15</v>
      </c>
      <c r="F2673" s="243">
        <v>6</v>
      </c>
      <c r="G2673" s="243">
        <v>8</v>
      </c>
      <c r="H2673" s="243">
        <v>17</v>
      </c>
      <c r="I2673" s="243">
        <v>27</v>
      </c>
      <c r="J2673" s="243">
        <v>17</v>
      </c>
      <c r="K2673" s="243">
        <v>28</v>
      </c>
      <c r="L2673" s="243">
        <v>23</v>
      </c>
      <c r="M2673" s="243">
        <v>13</v>
      </c>
      <c r="N2673" s="243">
        <v>26</v>
      </c>
      <c r="O2673" s="253">
        <v>28</v>
      </c>
    </row>
    <row r="2674" spans="1:15">
      <c r="A2674" s="240" t="s">
        <v>67</v>
      </c>
      <c r="B2674" s="47" t="s">
        <v>59</v>
      </c>
      <c r="C2674" s="15">
        <v>196</v>
      </c>
      <c r="D2674" s="243">
        <v>27</v>
      </c>
      <c r="E2674" s="243">
        <v>11</v>
      </c>
      <c r="F2674" s="243">
        <v>5</v>
      </c>
      <c r="G2674" s="243">
        <v>8</v>
      </c>
      <c r="H2674" s="243">
        <v>17</v>
      </c>
      <c r="I2674" s="243">
        <v>15</v>
      </c>
      <c r="J2674" s="243">
        <v>11</v>
      </c>
      <c r="K2674" s="243">
        <v>26</v>
      </c>
      <c r="L2674" s="243">
        <v>18</v>
      </c>
      <c r="M2674" s="243">
        <v>17</v>
      </c>
      <c r="N2674" s="243">
        <v>19</v>
      </c>
      <c r="O2674" s="253">
        <v>22</v>
      </c>
    </row>
    <row r="2675" spans="1:15">
      <c r="A2675" s="242" t="s">
        <v>67</v>
      </c>
      <c r="B2675" s="43" t="s">
        <v>4</v>
      </c>
      <c r="C2675" s="15">
        <v>12</v>
      </c>
      <c r="D2675" s="244">
        <v>3</v>
      </c>
      <c r="E2675" s="244">
        <v>0</v>
      </c>
      <c r="F2675" s="244">
        <v>1</v>
      </c>
      <c r="G2675" s="244">
        <v>0</v>
      </c>
      <c r="H2675" s="244">
        <v>0</v>
      </c>
      <c r="I2675" s="244">
        <v>2</v>
      </c>
      <c r="J2675" s="244">
        <v>1</v>
      </c>
      <c r="K2675" s="244">
        <v>2</v>
      </c>
      <c r="L2675" s="244">
        <v>0</v>
      </c>
      <c r="M2675" s="244">
        <v>0</v>
      </c>
      <c r="N2675" s="244">
        <v>2</v>
      </c>
      <c r="O2675" s="254">
        <v>1</v>
      </c>
    </row>
    <row r="2676" spans="1:15">
      <c r="A2676" s="240" t="s">
        <v>67</v>
      </c>
      <c r="B2676" s="47" t="s">
        <v>5</v>
      </c>
      <c r="C2676" s="12">
        <v>0.0612244897959184</v>
      </c>
      <c r="D2676" s="241">
        <v>0.111111111111111</v>
      </c>
      <c r="E2676" s="241">
        <v>0</v>
      </c>
      <c r="F2676" s="241">
        <v>0.2</v>
      </c>
      <c r="G2676" s="241">
        <v>0</v>
      </c>
      <c r="H2676" s="241">
        <v>0</v>
      </c>
      <c r="I2676" s="241">
        <v>0.133333333333333</v>
      </c>
      <c r="J2676" s="241">
        <v>0.0909090909090909</v>
      </c>
      <c r="K2676" s="241">
        <v>0.0769230769230769</v>
      </c>
      <c r="L2676" s="241">
        <v>0</v>
      </c>
      <c r="M2676" s="241">
        <v>0</v>
      </c>
      <c r="N2676" s="241">
        <v>0.105263157894737</v>
      </c>
      <c r="O2676" s="252">
        <v>0.0454545454545455</v>
      </c>
    </row>
    <row r="2677" spans="1:15">
      <c r="A2677" s="242" t="s">
        <v>67</v>
      </c>
      <c r="B2677" s="43" t="s">
        <v>6</v>
      </c>
      <c r="C2677" s="15">
        <v>1</v>
      </c>
      <c r="D2677" s="244">
        <v>0</v>
      </c>
      <c r="E2677" s="244">
        <v>0</v>
      </c>
      <c r="F2677" s="244">
        <v>0</v>
      </c>
      <c r="G2677" s="244">
        <v>0</v>
      </c>
      <c r="H2677" s="244">
        <v>0</v>
      </c>
      <c r="I2677" s="244">
        <v>0</v>
      </c>
      <c r="J2677" s="244">
        <v>0</v>
      </c>
      <c r="K2677" s="244">
        <v>1</v>
      </c>
      <c r="L2677" s="244">
        <v>0</v>
      </c>
      <c r="M2677" s="244">
        <v>0</v>
      </c>
      <c r="N2677" s="244">
        <v>0</v>
      </c>
      <c r="O2677" s="254">
        <v>0</v>
      </c>
    </row>
    <row r="2678" ht="14.25" spans="1:15">
      <c r="A2678" s="245" t="s">
        <v>67</v>
      </c>
      <c r="B2678" s="52" t="s">
        <v>64</v>
      </c>
      <c r="C2678" s="19">
        <v>0.0833333333333333</v>
      </c>
      <c r="D2678" s="246">
        <v>0</v>
      </c>
      <c r="E2678" s="246">
        <v>0</v>
      </c>
      <c r="F2678" s="246">
        <v>0</v>
      </c>
      <c r="G2678" s="246">
        <v>0</v>
      </c>
      <c r="H2678" s="246">
        <v>0</v>
      </c>
      <c r="I2678" s="246">
        <v>0</v>
      </c>
      <c r="J2678" s="246">
        <v>0</v>
      </c>
      <c r="K2678" s="246">
        <v>0.5</v>
      </c>
      <c r="L2678" s="246">
        <v>0</v>
      </c>
      <c r="M2678" s="246">
        <v>0</v>
      </c>
      <c r="N2678" s="246">
        <v>0</v>
      </c>
      <c r="O2678" s="255">
        <v>0</v>
      </c>
    </row>
    <row r="2679" spans="1:15">
      <c r="A2679" s="240" t="s">
        <v>68</v>
      </c>
      <c r="B2679" s="47" t="s">
        <v>55</v>
      </c>
      <c r="C2679" s="12">
        <v>0.0742632612966601</v>
      </c>
      <c r="D2679" s="241">
        <v>0.0677233429394813</v>
      </c>
      <c r="E2679" s="241">
        <v>0.0778210116731518</v>
      </c>
      <c r="F2679" s="241">
        <v>0.0448979591836735</v>
      </c>
      <c r="G2679" s="241">
        <v>0.0838206627680312</v>
      </c>
      <c r="H2679" s="241">
        <v>0.0813953488372093</v>
      </c>
      <c r="I2679" s="241">
        <v>0.0899390243902439</v>
      </c>
      <c r="J2679" s="241">
        <v>0.0524017467248908</v>
      </c>
      <c r="K2679" s="241">
        <v>0.0742778541953232</v>
      </c>
      <c r="L2679" s="241">
        <v>0.0689149560117302</v>
      </c>
      <c r="M2679" s="241">
        <v>0.0500782472613459</v>
      </c>
      <c r="N2679" s="241">
        <v>0.0886426592797784</v>
      </c>
      <c r="O2679" s="252">
        <v>0.104372355430183</v>
      </c>
    </row>
    <row r="2680" spans="1:15">
      <c r="A2680" s="242" t="s">
        <v>68</v>
      </c>
      <c r="B2680" s="43" t="s">
        <v>57</v>
      </c>
      <c r="C2680" s="15">
        <v>7635</v>
      </c>
      <c r="D2680" s="243">
        <v>694</v>
      </c>
      <c r="E2680" s="243">
        <v>514</v>
      </c>
      <c r="F2680" s="243">
        <v>490</v>
      </c>
      <c r="G2680" s="243">
        <v>513</v>
      </c>
      <c r="H2680" s="243">
        <v>602</v>
      </c>
      <c r="I2680" s="243">
        <v>656</v>
      </c>
      <c r="J2680" s="243">
        <v>687</v>
      </c>
      <c r="K2680" s="243">
        <v>727</v>
      </c>
      <c r="L2680" s="243">
        <v>682</v>
      </c>
      <c r="M2680" s="243">
        <v>639</v>
      </c>
      <c r="N2680" s="243">
        <v>722</v>
      </c>
      <c r="O2680" s="253">
        <v>709</v>
      </c>
    </row>
    <row r="2681" spans="1:15">
      <c r="A2681" s="240" t="s">
        <v>68</v>
      </c>
      <c r="B2681" s="47" t="s">
        <v>59</v>
      </c>
      <c r="C2681" s="15">
        <v>567</v>
      </c>
      <c r="D2681" s="243">
        <v>47</v>
      </c>
      <c r="E2681" s="243">
        <v>40</v>
      </c>
      <c r="F2681" s="243">
        <v>22</v>
      </c>
      <c r="G2681" s="243">
        <v>43</v>
      </c>
      <c r="H2681" s="243">
        <v>49</v>
      </c>
      <c r="I2681" s="243">
        <v>59</v>
      </c>
      <c r="J2681" s="243">
        <v>36</v>
      </c>
      <c r="K2681" s="243">
        <v>54</v>
      </c>
      <c r="L2681" s="243">
        <v>47</v>
      </c>
      <c r="M2681" s="243">
        <v>32</v>
      </c>
      <c r="N2681" s="243">
        <v>64</v>
      </c>
      <c r="O2681" s="253">
        <v>74</v>
      </c>
    </row>
    <row r="2682" spans="1:15">
      <c r="A2682" s="242" t="s">
        <v>68</v>
      </c>
      <c r="B2682" s="43" t="s">
        <v>4</v>
      </c>
      <c r="C2682" s="15">
        <v>15</v>
      </c>
      <c r="D2682" s="244">
        <v>1</v>
      </c>
      <c r="E2682" s="244">
        <v>0</v>
      </c>
      <c r="F2682" s="244">
        <v>0</v>
      </c>
      <c r="G2682" s="244">
        <v>0</v>
      </c>
      <c r="H2682" s="244">
        <v>1</v>
      </c>
      <c r="I2682" s="244">
        <v>1</v>
      </c>
      <c r="J2682" s="244">
        <v>1</v>
      </c>
      <c r="K2682" s="244">
        <v>3</v>
      </c>
      <c r="L2682" s="244">
        <v>2</v>
      </c>
      <c r="M2682" s="244">
        <v>2</v>
      </c>
      <c r="N2682" s="244">
        <v>1</v>
      </c>
      <c r="O2682" s="254">
        <v>3</v>
      </c>
    </row>
    <row r="2683" spans="1:15">
      <c r="A2683" s="240" t="s">
        <v>68</v>
      </c>
      <c r="B2683" s="47" t="s">
        <v>5</v>
      </c>
      <c r="C2683" s="12">
        <v>0.0264550264550265</v>
      </c>
      <c r="D2683" s="241">
        <v>0.0212765957446809</v>
      </c>
      <c r="E2683" s="241">
        <v>0</v>
      </c>
      <c r="F2683" s="241">
        <v>0</v>
      </c>
      <c r="G2683" s="241">
        <v>0</v>
      </c>
      <c r="H2683" s="241">
        <v>0.0204081632653061</v>
      </c>
      <c r="I2683" s="241">
        <v>0.0169491525423729</v>
      </c>
      <c r="J2683" s="241">
        <v>0.0277777777777778</v>
      </c>
      <c r="K2683" s="241">
        <v>0.0555555555555556</v>
      </c>
      <c r="L2683" s="241">
        <v>0.0425531914893617</v>
      </c>
      <c r="M2683" s="241">
        <v>0.0625</v>
      </c>
      <c r="N2683" s="241">
        <v>0.015625</v>
      </c>
      <c r="O2683" s="252">
        <v>0.0405405405405405</v>
      </c>
    </row>
    <row r="2684" spans="1:15">
      <c r="A2684" s="242" t="s">
        <v>68</v>
      </c>
      <c r="B2684" s="43" t="s">
        <v>6</v>
      </c>
      <c r="C2684" s="15">
        <v>7</v>
      </c>
      <c r="D2684" s="244">
        <v>0</v>
      </c>
      <c r="E2684" s="244">
        <v>0</v>
      </c>
      <c r="F2684" s="244">
        <v>1</v>
      </c>
      <c r="G2684" s="244">
        <v>0</v>
      </c>
      <c r="H2684" s="244">
        <v>1</v>
      </c>
      <c r="I2684" s="244">
        <v>0</v>
      </c>
      <c r="J2684" s="244">
        <v>0</v>
      </c>
      <c r="K2684" s="244">
        <v>0</v>
      </c>
      <c r="L2684" s="244">
        <v>0</v>
      </c>
      <c r="M2684" s="244">
        <v>2</v>
      </c>
      <c r="N2684" s="244">
        <v>2</v>
      </c>
      <c r="O2684" s="254">
        <v>1</v>
      </c>
    </row>
    <row r="2685" ht="14.25" spans="1:15">
      <c r="A2685" s="245" t="s">
        <v>68</v>
      </c>
      <c r="B2685" s="52" t="s">
        <v>64</v>
      </c>
      <c r="C2685" s="19">
        <v>0.466666666666667</v>
      </c>
      <c r="D2685" s="246">
        <v>0</v>
      </c>
      <c r="E2685" s="246">
        <v>0</v>
      </c>
      <c r="F2685" s="246">
        <v>0</v>
      </c>
      <c r="G2685" s="246">
        <v>0</v>
      </c>
      <c r="H2685" s="246">
        <v>1</v>
      </c>
      <c r="I2685" s="246">
        <v>0</v>
      </c>
      <c r="J2685" s="246">
        <v>0</v>
      </c>
      <c r="K2685" s="246">
        <v>0</v>
      </c>
      <c r="L2685" s="246">
        <v>0</v>
      </c>
      <c r="M2685" s="246">
        <v>1</v>
      </c>
      <c r="N2685" s="246">
        <v>2</v>
      </c>
      <c r="O2685" s="255">
        <v>0.333333333333333</v>
      </c>
    </row>
    <row r="2686" spans="1:15">
      <c r="A2686" s="240" t="s">
        <v>69</v>
      </c>
      <c r="B2686" s="47" t="s">
        <v>55</v>
      </c>
      <c r="C2686" s="12">
        <v>0.891358024691358</v>
      </c>
      <c r="D2686" s="241">
        <v>1.01428571428571</v>
      </c>
      <c r="E2686" s="241">
        <v>1.08571428571429</v>
      </c>
      <c r="F2686" s="241">
        <v>1.02857142857143</v>
      </c>
      <c r="G2686" s="241">
        <v>0.888888888888889</v>
      </c>
      <c r="H2686" s="241">
        <v>0.73469387755102</v>
      </c>
      <c r="I2686" s="241">
        <v>0.885245901639344</v>
      </c>
      <c r="J2686" s="241">
        <v>0.818181818181818</v>
      </c>
      <c r="K2686" s="241">
        <v>0.810126582278481</v>
      </c>
      <c r="L2686" s="241">
        <v>0.847058823529412</v>
      </c>
      <c r="M2686" s="241">
        <v>0.962025316455696</v>
      </c>
      <c r="N2686" s="241">
        <v>0.868131868131868</v>
      </c>
      <c r="O2686" s="252">
        <v>0.894230769230769</v>
      </c>
    </row>
    <row r="2687" spans="1:15">
      <c r="A2687" s="242" t="s">
        <v>69</v>
      </c>
      <c r="B2687" s="43" t="s">
        <v>57</v>
      </c>
      <c r="C2687" s="15">
        <v>810</v>
      </c>
      <c r="D2687" s="243">
        <v>70</v>
      </c>
      <c r="E2687" s="243">
        <v>35</v>
      </c>
      <c r="F2687" s="243">
        <v>35</v>
      </c>
      <c r="G2687" s="243">
        <v>45</v>
      </c>
      <c r="H2687" s="243">
        <v>49</v>
      </c>
      <c r="I2687" s="243">
        <v>61</v>
      </c>
      <c r="J2687" s="243">
        <v>77</v>
      </c>
      <c r="K2687" s="243">
        <v>79</v>
      </c>
      <c r="L2687" s="243">
        <v>85</v>
      </c>
      <c r="M2687" s="243">
        <v>79</v>
      </c>
      <c r="N2687" s="243">
        <v>91</v>
      </c>
      <c r="O2687" s="253">
        <v>104</v>
      </c>
    </row>
    <row r="2688" spans="1:15">
      <c r="A2688" s="240" t="s">
        <v>69</v>
      </c>
      <c r="B2688" s="47" t="s">
        <v>59</v>
      </c>
      <c r="C2688" s="15">
        <v>722</v>
      </c>
      <c r="D2688" s="243">
        <v>71</v>
      </c>
      <c r="E2688" s="243">
        <v>38</v>
      </c>
      <c r="F2688" s="243">
        <v>36</v>
      </c>
      <c r="G2688" s="243">
        <v>40</v>
      </c>
      <c r="H2688" s="243">
        <v>36</v>
      </c>
      <c r="I2688" s="243">
        <v>54</v>
      </c>
      <c r="J2688" s="243">
        <v>63</v>
      </c>
      <c r="K2688" s="243">
        <v>64</v>
      </c>
      <c r="L2688" s="243">
        <v>72</v>
      </c>
      <c r="M2688" s="243">
        <v>76</v>
      </c>
      <c r="N2688" s="243">
        <v>79</v>
      </c>
      <c r="O2688" s="253">
        <v>93</v>
      </c>
    </row>
    <row r="2689" spans="1:15">
      <c r="A2689" s="242" t="s">
        <v>69</v>
      </c>
      <c r="B2689" s="43" t="s">
        <v>4</v>
      </c>
      <c r="C2689" s="15">
        <v>34</v>
      </c>
      <c r="D2689" s="244">
        <v>2</v>
      </c>
      <c r="E2689" s="244">
        <v>2</v>
      </c>
      <c r="F2689" s="244">
        <v>2</v>
      </c>
      <c r="G2689" s="244">
        <v>3</v>
      </c>
      <c r="H2689" s="244">
        <v>3</v>
      </c>
      <c r="I2689" s="244">
        <v>3</v>
      </c>
      <c r="J2689" s="244">
        <v>4</v>
      </c>
      <c r="K2689" s="244">
        <v>5</v>
      </c>
      <c r="L2689" s="244">
        <v>1</v>
      </c>
      <c r="M2689" s="244">
        <v>4</v>
      </c>
      <c r="N2689" s="244">
        <v>1</v>
      </c>
      <c r="O2689" s="254">
        <v>4</v>
      </c>
    </row>
    <row r="2690" spans="1:15">
      <c r="A2690" s="240" t="s">
        <v>69</v>
      </c>
      <c r="B2690" s="47" t="s">
        <v>5</v>
      </c>
      <c r="C2690" s="12">
        <v>0.0470914127423823</v>
      </c>
      <c r="D2690" s="241">
        <v>0.028169014084507</v>
      </c>
      <c r="E2690" s="241">
        <v>0.0526315789473684</v>
      </c>
      <c r="F2690" s="241">
        <v>0.0555555555555556</v>
      </c>
      <c r="G2690" s="241">
        <v>0.075</v>
      </c>
      <c r="H2690" s="241">
        <v>0.0833333333333333</v>
      </c>
      <c r="I2690" s="241">
        <v>0.0555555555555556</v>
      </c>
      <c r="J2690" s="241">
        <v>0.0634920634920635</v>
      </c>
      <c r="K2690" s="241">
        <v>0.078125</v>
      </c>
      <c r="L2690" s="241">
        <v>0.0138888888888889</v>
      </c>
      <c r="M2690" s="241">
        <v>0.0526315789473684</v>
      </c>
      <c r="N2690" s="241">
        <v>0.0126582278481013</v>
      </c>
      <c r="O2690" s="252">
        <v>0.043010752688172</v>
      </c>
    </row>
    <row r="2691" spans="1:15">
      <c r="A2691" s="242" t="s">
        <v>69</v>
      </c>
      <c r="B2691" s="43" t="s">
        <v>6</v>
      </c>
      <c r="C2691" s="15">
        <v>7</v>
      </c>
      <c r="D2691" s="244">
        <v>0</v>
      </c>
      <c r="E2691" s="244">
        <v>1</v>
      </c>
      <c r="F2691" s="244">
        <v>0</v>
      </c>
      <c r="G2691" s="244">
        <v>0</v>
      </c>
      <c r="H2691" s="244">
        <v>0</v>
      </c>
      <c r="I2691" s="244">
        <v>0</v>
      </c>
      <c r="J2691" s="244">
        <v>1</v>
      </c>
      <c r="K2691" s="244">
        <v>2</v>
      </c>
      <c r="L2691" s="244">
        <v>1</v>
      </c>
      <c r="M2691" s="244">
        <v>2</v>
      </c>
      <c r="N2691" s="244">
        <v>0</v>
      </c>
      <c r="O2691" s="254">
        <v>0</v>
      </c>
    </row>
    <row r="2692" ht="14.25" spans="1:15">
      <c r="A2692" s="245" t="s">
        <v>69</v>
      </c>
      <c r="B2692" s="52" t="s">
        <v>64</v>
      </c>
      <c r="C2692" s="19">
        <v>0.205882352941176</v>
      </c>
      <c r="D2692" s="246">
        <v>0</v>
      </c>
      <c r="E2692" s="246">
        <v>0.5</v>
      </c>
      <c r="F2692" s="246">
        <v>0</v>
      </c>
      <c r="G2692" s="246">
        <v>0</v>
      </c>
      <c r="H2692" s="246">
        <v>0</v>
      </c>
      <c r="I2692" s="246">
        <v>0</v>
      </c>
      <c r="J2692" s="246">
        <v>0.25</v>
      </c>
      <c r="K2692" s="246">
        <v>0.4</v>
      </c>
      <c r="L2692" s="246">
        <v>1</v>
      </c>
      <c r="M2692" s="246">
        <v>0.5</v>
      </c>
      <c r="N2692" s="246">
        <v>0</v>
      </c>
      <c r="O2692" s="255">
        <v>0</v>
      </c>
    </row>
    <row r="2693" spans="1:15">
      <c r="A2693" s="240" t="s">
        <v>70</v>
      </c>
      <c r="B2693" s="47" t="s">
        <v>55</v>
      </c>
      <c r="C2693" s="12">
        <v>0.87766323024055</v>
      </c>
      <c r="D2693" s="241">
        <v>0.92</v>
      </c>
      <c r="E2693" s="241">
        <v>0.941176470588235</v>
      </c>
      <c r="F2693" s="241">
        <v>0.976470588235294</v>
      </c>
      <c r="G2693" s="241">
        <v>0.834532374100719</v>
      </c>
      <c r="H2693" s="241">
        <v>0.885</v>
      </c>
      <c r="I2693" s="241">
        <v>0.884057971014493</v>
      </c>
      <c r="J2693" s="241">
        <v>0.837944664031621</v>
      </c>
      <c r="K2693" s="241">
        <v>0.887788778877888</v>
      </c>
      <c r="L2693" s="241">
        <v>0.864661654135338</v>
      </c>
      <c r="M2693" s="241">
        <v>0.862595419847328</v>
      </c>
      <c r="N2693" s="241">
        <v>0.79559748427673</v>
      </c>
      <c r="O2693" s="252">
        <v>0.912676056338028</v>
      </c>
    </row>
    <row r="2694" spans="1:15">
      <c r="A2694" s="242" t="s">
        <v>70</v>
      </c>
      <c r="B2694" s="43" t="s">
        <v>57</v>
      </c>
      <c r="C2694" s="15">
        <v>2910</v>
      </c>
      <c r="D2694" s="243">
        <v>300</v>
      </c>
      <c r="E2694" s="243">
        <v>153</v>
      </c>
      <c r="F2694" s="243">
        <v>85</v>
      </c>
      <c r="G2694" s="243">
        <v>139</v>
      </c>
      <c r="H2694" s="243">
        <v>200</v>
      </c>
      <c r="I2694" s="243">
        <v>276</v>
      </c>
      <c r="J2694" s="243">
        <v>253</v>
      </c>
      <c r="K2694" s="243">
        <v>303</v>
      </c>
      <c r="L2694" s="243">
        <v>266</v>
      </c>
      <c r="M2694" s="243">
        <v>262</v>
      </c>
      <c r="N2694" s="243">
        <v>318</v>
      </c>
      <c r="O2694" s="253">
        <v>355</v>
      </c>
    </row>
    <row r="2695" spans="1:15">
      <c r="A2695" s="240" t="s">
        <v>70</v>
      </c>
      <c r="B2695" s="47" t="s">
        <v>59</v>
      </c>
      <c r="C2695" s="15">
        <v>2554</v>
      </c>
      <c r="D2695" s="243">
        <v>276</v>
      </c>
      <c r="E2695" s="243">
        <v>144</v>
      </c>
      <c r="F2695" s="243">
        <v>83</v>
      </c>
      <c r="G2695" s="243">
        <v>116</v>
      </c>
      <c r="H2695" s="243">
        <v>177</v>
      </c>
      <c r="I2695" s="243">
        <v>244</v>
      </c>
      <c r="J2695" s="243">
        <v>212</v>
      </c>
      <c r="K2695" s="243">
        <v>269</v>
      </c>
      <c r="L2695" s="243">
        <v>230</v>
      </c>
      <c r="M2695" s="243">
        <v>226</v>
      </c>
      <c r="N2695" s="243">
        <v>253</v>
      </c>
      <c r="O2695" s="253">
        <v>324</v>
      </c>
    </row>
    <row r="2696" spans="1:15">
      <c r="A2696" s="242" t="s">
        <v>70</v>
      </c>
      <c r="B2696" s="43" t="s">
        <v>4</v>
      </c>
      <c r="C2696" s="15">
        <v>120</v>
      </c>
      <c r="D2696" s="244">
        <v>9</v>
      </c>
      <c r="E2696" s="244">
        <v>7</v>
      </c>
      <c r="F2696" s="244">
        <v>5</v>
      </c>
      <c r="G2696" s="244">
        <v>2</v>
      </c>
      <c r="H2696" s="244">
        <v>5</v>
      </c>
      <c r="I2696" s="244">
        <v>6</v>
      </c>
      <c r="J2696" s="244">
        <v>4</v>
      </c>
      <c r="K2696" s="244">
        <v>6</v>
      </c>
      <c r="L2696" s="244">
        <v>7</v>
      </c>
      <c r="M2696" s="244">
        <v>10</v>
      </c>
      <c r="N2696" s="244">
        <v>20</v>
      </c>
      <c r="O2696" s="254">
        <v>39</v>
      </c>
    </row>
    <row r="2697" spans="1:15">
      <c r="A2697" s="240" t="s">
        <v>70</v>
      </c>
      <c r="B2697" s="47" t="s">
        <v>5</v>
      </c>
      <c r="C2697" s="12">
        <v>0.0469851213782302</v>
      </c>
      <c r="D2697" s="241">
        <v>0.0326086956521739</v>
      </c>
      <c r="E2697" s="241">
        <v>0.0486111111111111</v>
      </c>
      <c r="F2697" s="241">
        <v>0.0602409638554217</v>
      </c>
      <c r="G2697" s="241">
        <v>0.0172413793103448</v>
      </c>
      <c r="H2697" s="241">
        <v>0.0282485875706215</v>
      </c>
      <c r="I2697" s="241">
        <v>0.0245901639344262</v>
      </c>
      <c r="J2697" s="241">
        <v>0.0188679245283019</v>
      </c>
      <c r="K2697" s="241">
        <v>0.0223048327137546</v>
      </c>
      <c r="L2697" s="241">
        <v>0.0304347826086957</v>
      </c>
      <c r="M2697" s="241">
        <v>0.0442477876106195</v>
      </c>
      <c r="N2697" s="241">
        <v>0.0790513833992095</v>
      </c>
      <c r="O2697" s="252">
        <v>0.12037037037037</v>
      </c>
    </row>
    <row r="2698" spans="1:15">
      <c r="A2698" s="242" t="s">
        <v>70</v>
      </c>
      <c r="B2698" s="43" t="s">
        <v>6</v>
      </c>
      <c r="C2698" s="15">
        <v>30</v>
      </c>
      <c r="D2698" s="244">
        <v>2</v>
      </c>
      <c r="E2698" s="244">
        <v>0</v>
      </c>
      <c r="F2698" s="244">
        <v>1</v>
      </c>
      <c r="G2698" s="244">
        <v>0</v>
      </c>
      <c r="H2698" s="244">
        <v>3</v>
      </c>
      <c r="I2698" s="244">
        <v>2</v>
      </c>
      <c r="J2698" s="244">
        <v>2</v>
      </c>
      <c r="K2698" s="244">
        <v>2</v>
      </c>
      <c r="L2698" s="244">
        <v>1</v>
      </c>
      <c r="M2698" s="244">
        <v>4</v>
      </c>
      <c r="N2698" s="244">
        <v>2</v>
      </c>
      <c r="O2698" s="254">
        <v>11</v>
      </c>
    </row>
    <row r="2699" ht="14.25" spans="1:15">
      <c r="A2699" s="245" t="s">
        <v>70</v>
      </c>
      <c r="B2699" s="52" t="s">
        <v>64</v>
      </c>
      <c r="C2699" s="19">
        <v>0.25</v>
      </c>
      <c r="D2699" s="246">
        <v>0.222222222222222</v>
      </c>
      <c r="E2699" s="246">
        <v>0</v>
      </c>
      <c r="F2699" s="246">
        <v>0.2</v>
      </c>
      <c r="G2699" s="246">
        <v>0</v>
      </c>
      <c r="H2699" s="246">
        <v>0.6</v>
      </c>
      <c r="I2699" s="246">
        <v>0.333333333333333</v>
      </c>
      <c r="J2699" s="246">
        <v>0.5</v>
      </c>
      <c r="K2699" s="246">
        <v>0.333333333333333</v>
      </c>
      <c r="L2699" s="246">
        <v>0.142857142857143</v>
      </c>
      <c r="M2699" s="246">
        <v>0.4</v>
      </c>
      <c r="N2699" s="246">
        <v>0.1</v>
      </c>
      <c r="O2699" s="255">
        <v>0.282051282051282</v>
      </c>
    </row>
    <row r="2700" spans="1:15">
      <c r="A2700" s="240" t="s">
        <v>26</v>
      </c>
      <c r="B2700" s="47" t="s">
        <v>55</v>
      </c>
      <c r="C2700" s="12">
        <v>0.356142065819485</v>
      </c>
      <c r="D2700" s="241">
        <v>0.194706994328922</v>
      </c>
      <c r="E2700" s="241">
        <v>0.134831460674157</v>
      </c>
      <c r="F2700" s="241">
        <v>0.162790697674419</v>
      </c>
      <c r="G2700" s="241">
        <v>0.126865671641791</v>
      </c>
      <c r="H2700" s="241">
        <v>0.184300341296928</v>
      </c>
      <c r="I2700" s="241">
        <v>0.326732673267327</v>
      </c>
      <c r="J2700" s="241">
        <v>0.295620437956204</v>
      </c>
      <c r="K2700" s="241">
        <v>0.434782608695652</v>
      </c>
      <c r="L2700" s="241">
        <v>0.553956834532374</v>
      </c>
      <c r="M2700" s="241">
        <v>0.417989417989418</v>
      </c>
      <c r="N2700" s="241">
        <v>0.488095238095238</v>
      </c>
      <c r="O2700" s="252">
        <v>1.66028708133971</v>
      </c>
    </row>
    <row r="2701" spans="1:15">
      <c r="A2701" s="242" t="s">
        <v>26</v>
      </c>
      <c r="B2701" s="43" t="s">
        <v>57</v>
      </c>
      <c r="C2701" s="15">
        <v>3069</v>
      </c>
      <c r="D2701" s="243">
        <v>529</v>
      </c>
      <c r="E2701" s="243">
        <v>356</v>
      </c>
      <c r="F2701" s="243">
        <v>258</v>
      </c>
      <c r="G2701" s="243">
        <v>268</v>
      </c>
      <c r="H2701" s="243">
        <v>293</v>
      </c>
      <c r="I2701" s="243">
        <v>202</v>
      </c>
      <c r="J2701" s="243">
        <v>274</v>
      </c>
      <c r="K2701" s="243">
        <v>184</v>
      </c>
      <c r="L2701" s="243">
        <v>139</v>
      </c>
      <c r="M2701" s="243">
        <v>189</v>
      </c>
      <c r="N2701" s="243">
        <v>168</v>
      </c>
      <c r="O2701" s="253">
        <v>209</v>
      </c>
    </row>
    <row r="2702" spans="1:15">
      <c r="A2702" s="240" t="s">
        <v>26</v>
      </c>
      <c r="B2702" s="47" t="s">
        <v>59</v>
      </c>
      <c r="C2702" s="15">
        <v>1093</v>
      </c>
      <c r="D2702" s="243">
        <v>103</v>
      </c>
      <c r="E2702" s="243">
        <v>48</v>
      </c>
      <c r="F2702" s="243">
        <v>42</v>
      </c>
      <c r="G2702" s="243">
        <v>34</v>
      </c>
      <c r="H2702" s="243">
        <v>54</v>
      </c>
      <c r="I2702" s="243">
        <v>66</v>
      </c>
      <c r="J2702" s="243">
        <v>81</v>
      </c>
      <c r="K2702" s="243">
        <v>80</v>
      </c>
      <c r="L2702" s="243">
        <v>77</v>
      </c>
      <c r="M2702" s="243">
        <v>79</v>
      </c>
      <c r="N2702" s="243">
        <v>82</v>
      </c>
      <c r="O2702" s="253">
        <v>347</v>
      </c>
    </row>
    <row r="2703" spans="1:15">
      <c r="A2703" s="242" t="s">
        <v>26</v>
      </c>
      <c r="B2703" s="43" t="s">
        <v>4</v>
      </c>
      <c r="C2703" s="15">
        <v>20</v>
      </c>
      <c r="D2703" s="244">
        <v>2</v>
      </c>
      <c r="E2703" s="244">
        <v>2</v>
      </c>
      <c r="F2703" s="244">
        <v>3</v>
      </c>
      <c r="G2703" s="244">
        <v>1</v>
      </c>
      <c r="H2703" s="244">
        <v>1</v>
      </c>
      <c r="I2703" s="244">
        <v>1</v>
      </c>
      <c r="J2703" s="244">
        <v>1</v>
      </c>
      <c r="K2703" s="244">
        <v>2</v>
      </c>
      <c r="L2703" s="244">
        <v>1</v>
      </c>
      <c r="M2703" s="244">
        <v>2</v>
      </c>
      <c r="N2703" s="244">
        <v>2</v>
      </c>
      <c r="O2703" s="254">
        <v>2</v>
      </c>
    </row>
    <row r="2704" spans="1:15">
      <c r="A2704" s="240" t="s">
        <v>26</v>
      </c>
      <c r="B2704" s="47" t="s">
        <v>5</v>
      </c>
      <c r="C2704" s="12">
        <v>0.0182982616651418</v>
      </c>
      <c r="D2704" s="241">
        <v>0.0194174757281553</v>
      </c>
      <c r="E2704" s="241">
        <v>0.0416666666666667</v>
      </c>
      <c r="F2704" s="241">
        <v>0.0714285714285714</v>
      </c>
      <c r="G2704" s="241">
        <v>0.0294117647058824</v>
      </c>
      <c r="H2704" s="241">
        <v>0.0185185185185185</v>
      </c>
      <c r="I2704" s="241">
        <v>0.0151515151515152</v>
      </c>
      <c r="J2704" s="241">
        <v>0.0123456790123457</v>
      </c>
      <c r="K2704" s="241">
        <v>0.025</v>
      </c>
      <c r="L2704" s="241">
        <v>0.012987012987013</v>
      </c>
      <c r="M2704" s="241">
        <v>0.0253164556962025</v>
      </c>
      <c r="N2704" s="241">
        <v>0.024390243902439</v>
      </c>
      <c r="O2704" s="252">
        <v>0.00576368876080692</v>
      </c>
    </row>
    <row r="2705" spans="1:15">
      <c r="A2705" s="242" t="s">
        <v>26</v>
      </c>
      <c r="B2705" s="43" t="s">
        <v>6</v>
      </c>
      <c r="C2705" s="15">
        <v>5</v>
      </c>
      <c r="D2705" s="244">
        <v>0</v>
      </c>
      <c r="E2705" s="244">
        <v>0</v>
      </c>
      <c r="F2705" s="244">
        <v>0</v>
      </c>
      <c r="G2705" s="244">
        <v>0</v>
      </c>
      <c r="H2705" s="244">
        <v>0</v>
      </c>
      <c r="I2705" s="244">
        <v>0</v>
      </c>
      <c r="J2705" s="244">
        <v>0</v>
      </c>
      <c r="K2705" s="244">
        <v>0</v>
      </c>
      <c r="L2705" s="244">
        <v>1</v>
      </c>
      <c r="M2705" s="244">
        <v>3</v>
      </c>
      <c r="N2705" s="244">
        <v>1</v>
      </c>
      <c r="O2705" s="254">
        <v>0</v>
      </c>
    </row>
    <row r="2706" ht="14.25" spans="1:15">
      <c r="A2706" s="245" t="s">
        <v>26</v>
      </c>
      <c r="B2706" s="52" t="s">
        <v>64</v>
      </c>
      <c r="C2706" s="19">
        <v>0.25</v>
      </c>
      <c r="D2706" s="19">
        <v>0</v>
      </c>
      <c r="E2706" s="19">
        <v>0</v>
      </c>
      <c r="F2706" s="19">
        <v>0</v>
      </c>
      <c r="G2706" s="19">
        <v>0</v>
      </c>
      <c r="H2706" s="19">
        <v>0</v>
      </c>
      <c r="I2706" s="19">
        <v>0</v>
      </c>
      <c r="J2706" s="19">
        <v>0</v>
      </c>
      <c r="K2706" s="19">
        <v>0</v>
      </c>
      <c r="L2706" s="19">
        <v>1</v>
      </c>
      <c r="M2706" s="19">
        <v>1.5</v>
      </c>
      <c r="N2706" s="19">
        <v>0.5</v>
      </c>
      <c r="O2706" s="19">
        <v>0</v>
      </c>
    </row>
    <row r="2707" spans="1:15">
      <c r="A2707" s="240" t="s">
        <v>71</v>
      </c>
      <c r="B2707" s="47" t="s">
        <v>55</v>
      </c>
      <c r="C2707" s="12">
        <v>14.5</v>
      </c>
      <c r="D2707" s="241" t="e">
        <v>#DIV/0!</v>
      </c>
      <c r="E2707" s="241" t="e">
        <v>#DIV/0!</v>
      </c>
      <c r="F2707" s="241" t="e">
        <v>#DIV/0!</v>
      </c>
      <c r="G2707" s="241">
        <v>0</v>
      </c>
      <c r="H2707" s="241" t="e">
        <v>#DIV/0!</v>
      </c>
      <c r="I2707" s="241" t="e">
        <v>#DIV/0!</v>
      </c>
      <c r="J2707" s="241" t="e">
        <v>#DIV/0!</v>
      </c>
      <c r="K2707" s="241" t="e">
        <v>#DIV/0!</v>
      </c>
      <c r="L2707" s="241" t="e">
        <v>#DIV/0!</v>
      </c>
      <c r="M2707" s="241" t="e">
        <v>#DIV/0!</v>
      </c>
      <c r="N2707" s="241" t="e">
        <v>#DIV/0!</v>
      </c>
      <c r="O2707" s="252">
        <v>5</v>
      </c>
    </row>
    <row r="2708" spans="1:15">
      <c r="A2708" s="242" t="s">
        <v>71</v>
      </c>
      <c r="B2708" s="43" t="s">
        <v>57</v>
      </c>
      <c r="C2708" s="15">
        <v>2</v>
      </c>
      <c r="D2708" s="243">
        <v>0</v>
      </c>
      <c r="E2708" s="243">
        <v>0</v>
      </c>
      <c r="F2708" s="243">
        <v>0</v>
      </c>
      <c r="G2708" s="243">
        <v>1</v>
      </c>
      <c r="H2708" s="243">
        <v>0</v>
      </c>
      <c r="I2708" s="243">
        <v>0</v>
      </c>
      <c r="J2708" s="243">
        <v>0</v>
      </c>
      <c r="K2708" s="243">
        <v>0</v>
      </c>
      <c r="L2708" s="243">
        <v>0</v>
      </c>
      <c r="M2708" s="243">
        <v>0</v>
      </c>
      <c r="N2708" s="243">
        <v>0</v>
      </c>
      <c r="O2708" s="253">
        <v>1</v>
      </c>
    </row>
    <row r="2709" spans="1:15">
      <c r="A2709" s="240" t="s">
        <v>71</v>
      </c>
      <c r="B2709" s="47" t="s">
        <v>59</v>
      </c>
      <c r="C2709" s="15">
        <v>29</v>
      </c>
      <c r="D2709" s="243">
        <v>1</v>
      </c>
      <c r="E2709" s="243">
        <v>1</v>
      </c>
      <c r="F2709" s="243">
        <v>1</v>
      </c>
      <c r="G2709" s="243">
        <v>0</v>
      </c>
      <c r="H2709" s="243">
        <v>3</v>
      </c>
      <c r="I2709" s="243">
        <v>1</v>
      </c>
      <c r="J2709" s="243">
        <v>1</v>
      </c>
      <c r="K2709" s="243">
        <v>3</v>
      </c>
      <c r="L2709" s="243">
        <v>3</v>
      </c>
      <c r="M2709" s="243">
        <v>4</v>
      </c>
      <c r="N2709" s="243">
        <v>6</v>
      </c>
      <c r="O2709" s="253">
        <v>5</v>
      </c>
    </row>
    <row r="2710" spans="1:15">
      <c r="A2710" s="242" t="s">
        <v>71</v>
      </c>
      <c r="B2710" s="43" t="s">
        <v>4</v>
      </c>
      <c r="C2710" s="15">
        <v>22</v>
      </c>
      <c r="D2710" s="244">
        <v>2</v>
      </c>
      <c r="E2710" s="244">
        <v>1</v>
      </c>
      <c r="F2710" s="244">
        <v>2</v>
      </c>
      <c r="G2710" s="244">
        <v>0</v>
      </c>
      <c r="H2710" s="244">
        <v>2</v>
      </c>
      <c r="I2710" s="244">
        <v>0</v>
      </c>
      <c r="J2710" s="244">
        <v>2</v>
      </c>
      <c r="K2710" s="244">
        <v>0</v>
      </c>
      <c r="L2710" s="244">
        <v>5</v>
      </c>
      <c r="M2710" s="244">
        <v>3</v>
      </c>
      <c r="N2710" s="244">
        <v>1</v>
      </c>
      <c r="O2710" s="254">
        <v>4</v>
      </c>
    </row>
    <row r="2711" spans="1:15">
      <c r="A2711" s="240" t="s">
        <v>71</v>
      </c>
      <c r="B2711" s="47" t="s">
        <v>5</v>
      </c>
      <c r="C2711" s="241">
        <v>0.758620689655172</v>
      </c>
      <c r="D2711" s="241">
        <v>2</v>
      </c>
      <c r="E2711" s="241">
        <v>1</v>
      </c>
      <c r="F2711" s="241">
        <v>2</v>
      </c>
      <c r="G2711" s="241">
        <v>0</v>
      </c>
      <c r="H2711" s="241">
        <v>0.666666666666667</v>
      </c>
      <c r="I2711" s="241">
        <v>0</v>
      </c>
      <c r="J2711" s="241">
        <v>2</v>
      </c>
      <c r="K2711" s="241">
        <v>0</v>
      </c>
      <c r="L2711" s="241">
        <v>1.66666666666667</v>
      </c>
      <c r="M2711" s="241">
        <v>0.75</v>
      </c>
      <c r="N2711" s="241">
        <v>0.166666666666667</v>
      </c>
      <c r="O2711" s="252">
        <v>0.8</v>
      </c>
    </row>
    <row r="2712" spans="1:15">
      <c r="A2712" s="242" t="s">
        <v>71</v>
      </c>
      <c r="B2712" s="43" t="s">
        <v>6</v>
      </c>
      <c r="C2712" s="15">
        <v>6</v>
      </c>
      <c r="D2712" s="244">
        <v>0</v>
      </c>
      <c r="E2712" s="244">
        <v>0</v>
      </c>
      <c r="F2712" s="244">
        <v>0</v>
      </c>
      <c r="G2712" s="244">
        <v>0</v>
      </c>
      <c r="H2712" s="244">
        <v>0</v>
      </c>
      <c r="I2712" s="244">
        <v>0</v>
      </c>
      <c r="J2712" s="244">
        <v>1</v>
      </c>
      <c r="K2712" s="244">
        <v>0</v>
      </c>
      <c r="L2712" s="244">
        <v>2</v>
      </c>
      <c r="M2712" s="244">
        <v>2</v>
      </c>
      <c r="N2712" s="244">
        <v>1</v>
      </c>
      <c r="O2712" s="254">
        <v>0</v>
      </c>
    </row>
    <row r="2713" ht="14.25" spans="1:15">
      <c r="A2713" s="245" t="s">
        <v>71</v>
      </c>
      <c r="B2713" s="52" t="s">
        <v>64</v>
      </c>
      <c r="C2713" s="19">
        <v>0.272727272727273</v>
      </c>
      <c r="D2713" s="19">
        <v>0</v>
      </c>
      <c r="E2713" s="19">
        <v>0</v>
      </c>
      <c r="F2713" s="19">
        <v>0</v>
      </c>
      <c r="G2713" s="19" t="e">
        <v>#DIV/0!</v>
      </c>
      <c r="H2713" s="19">
        <v>0</v>
      </c>
      <c r="I2713" s="19" t="e">
        <v>#DIV/0!</v>
      </c>
      <c r="J2713" s="19">
        <v>0.5</v>
      </c>
      <c r="K2713" s="19" t="e">
        <v>#DIV/0!</v>
      </c>
      <c r="L2713" s="19">
        <v>0.4</v>
      </c>
      <c r="M2713" s="19">
        <v>0.666666666666667</v>
      </c>
      <c r="N2713" s="19">
        <v>1</v>
      </c>
      <c r="O2713" s="19">
        <v>0</v>
      </c>
    </row>
    <row r="2714" spans="1:15">
      <c r="A2714" s="240" t="s">
        <v>72</v>
      </c>
      <c r="B2714" s="47" t="s">
        <v>55</v>
      </c>
      <c r="C2714" s="12">
        <v>0.193995381062356</v>
      </c>
      <c r="D2714" s="241">
        <v>0.240184757505774</v>
      </c>
      <c r="E2714" s="241">
        <v>0.248062015503876</v>
      </c>
      <c r="F2714" s="241">
        <v>0.194444444444444</v>
      </c>
      <c r="G2714" s="241">
        <v>0.185</v>
      </c>
      <c r="H2714" s="241">
        <v>0.209016393442623</v>
      </c>
      <c r="I2714" s="241">
        <v>0.152905198776758</v>
      </c>
      <c r="J2714" s="241">
        <v>0.177650429799427</v>
      </c>
      <c r="K2714" s="241">
        <v>0.190804597701149</v>
      </c>
      <c r="L2714" s="241">
        <v>0.240143369175627</v>
      </c>
      <c r="M2714" s="241">
        <v>0.23989898989899</v>
      </c>
      <c r="N2714" s="241">
        <v>0.158432708688245</v>
      </c>
      <c r="O2714" s="252">
        <v>0.156342182890855</v>
      </c>
    </row>
    <row r="2715" spans="1:15">
      <c r="A2715" s="242" t="s">
        <v>72</v>
      </c>
      <c r="B2715" s="43" t="s">
        <v>57</v>
      </c>
      <c r="C2715" s="15">
        <v>4330</v>
      </c>
      <c r="D2715" s="243">
        <v>433</v>
      </c>
      <c r="E2715" s="243">
        <v>258</v>
      </c>
      <c r="F2715" s="243">
        <v>144</v>
      </c>
      <c r="G2715" s="243">
        <v>200</v>
      </c>
      <c r="H2715" s="243">
        <v>244</v>
      </c>
      <c r="I2715" s="243">
        <v>327</v>
      </c>
      <c r="J2715" s="243">
        <v>349</v>
      </c>
      <c r="K2715" s="243">
        <v>435</v>
      </c>
      <c r="L2715" s="243">
        <v>279</v>
      </c>
      <c r="M2715" s="243">
        <v>396</v>
      </c>
      <c r="N2715" s="243">
        <v>587</v>
      </c>
      <c r="O2715" s="253">
        <v>678</v>
      </c>
    </row>
    <row r="2716" spans="1:15">
      <c r="A2716" s="240" t="s">
        <v>72</v>
      </c>
      <c r="B2716" s="47" t="s">
        <v>59</v>
      </c>
      <c r="C2716" s="15">
        <v>840</v>
      </c>
      <c r="D2716" s="243">
        <v>104</v>
      </c>
      <c r="E2716" s="243">
        <v>64</v>
      </c>
      <c r="F2716" s="243">
        <v>28</v>
      </c>
      <c r="G2716" s="243">
        <v>37</v>
      </c>
      <c r="H2716" s="243">
        <v>51</v>
      </c>
      <c r="I2716" s="243">
        <v>50</v>
      </c>
      <c r="J2716" s="243">
        <v>62</v>
      </c>
      <c r="K2716" s="243">
        <v>83</v>
      </c>
      <c r="L2716" s="243">
        <v>67</v>
      </c>
      <c r="M2716" s="243">
        <v>95</v>
      </c>
      <c r="N2716" s="243">
        <v>93</v>
      </c>
      <c r="O2716" s="253">
        <v>106</v>
      </c>
    </row>
    <row r="2717" spans="1:15">
      <c r="A2717" s="242" t="s">
        <v>72</v>
      </c>
      <c r="B2717" s="43" t="s">
        <v>4</v>
      </c>
      <c r="C2717" s="15">
        <v>81</v>
      </c>
      <c r="D2717" s="244">
        <v>15</v>
      </c>
      <c r="E2717" s="244">
        <v>9</v>
      </c>
      <c r="F2717" s="244">
        <v>0</v>
      </c>
      <c r="G2717" s="244">
        <v>1</v>
      </c>
      <c r="H2717" s="244">
        <v>5</v>
      </c>
      <c r="I2717" s="244">
        <v>6</v>
      </c>
      <c r="J2717" s="244">
        <v>6</v>
      </c>
      <c r="K2717" s="244">
        <v>7</v>
      </c>
      <c r="L2717" s="244">
        <v>8</v>
      </c>
      <c r="M2717" s="244">
        <v>13</v>
      </c>
      <c r="N2717" s="244">
        <v>4</v>
      </c>
      <c r="O2717" s="254">
        <v>7</v>
      </c>
    </row>
    <row r="2718" spans="1:15">
      <c r="A2718" s="240" t="s">
        <v>72</v>
      </c>
      <c r="B2718" s="47" t="s">
        <v>5</v>
      </c>
      <c r="C2718" s="12">
        <v>0.0964285714285714</v>
      </c>
      <c r="D2718" s="241">
        <v>0.144230769230769</v>
      </c>
      <c r="E2718" s="241">
        <v>0.140625</v>
      </c>
      <c r="F2718" s="241">
        <v>0</v>
      </c>
      <c r="G2718" s="241">
        <v>0.027027027027027</v>
      </c>
      <c r="H2718" s="241">
        <v>0.0980392156862745</v>
      </c>
      <c r="I2718" s="241">
        <v>0.12</v>
      </c>
      <c r="J2718" s="241">
        <v>0.0967741935483871</v>
      </c>
      <c r="K2718" s="241">
        <v>0.0843373493975904</v>
      </c>
      <c r="L2718" s="241">
        <v>0.119402985074627</v>
      </c>
      <c r="M2718" s="241">
        <v>0.136842105263158</v>
      </c>
      <c r="N2718" s="241">
        <v>0.043010752688172</v>
      </c>
      <c r="O2718" s="252">
        <v>0.0660377358490566</v>
      </c>
    </row>
    <row r="2719" spans="1:15">
      <c r="A2719" s="242" t="s">
        <v>72</v>
      </c>
      <c r="B2719" s="43" t="s">
        <v>6</v>
      </c>
      <c r="C2719" s="15">
        <v>24</v>
      </c>
      <c r="D2719" s="244">
        <v>3</v>
      </c>
      <c r="E2719" s="244">
        <v>7</v>
      </c>
      <c r="F2719" s="244">
        <v>1</v>
      </c>
      <c r="G2719" s="244">
        <v>0</v>
      </c>
      <c r="H2719" s="244">
        <v>1</v>
      </c>
      <c r="I2719" s="244">
        <v>2</v>
      </c>
      <c r="J2719" s="244">
        <v>1</v>
      </c>
      <c r="K2719" s="244">
        <v>1</v>
      </c>
      <c r="L2719" s="244">
        <v>2</v>
      </c>
      <c r="M2719" s="244">
        <v>3</v>
      </c>
      <c r="N2719" s="244">
        <v>2</v>
      </c>
      <c r="O2719" s="254">
        <v>1</v>
      </c>
    </row>
    <row r="2720" ht="14.25" spans="1:15">
      <c r="A2720" s="245" t="s">
        <v>72</v>
      </c>
      <c r="B2720" s="52" t="s">
        <v>64</v>
      </c>
      <c r="C2720" s="19">
        <v>0.296296296296296</v>
      </c>
      <c r="D2720" s="19">
        <v>0.2</v>
      </c>
      <c r="E2720" s="19">
        <v>0.777777777777778</v>
      </c>
      <c r="F2720" s="19" t="e">
        <v>#DIV/0!</v>
      </c>
      <c r="G2720" s="19">
        <v>0</v>
      </c>
      <c r="H2720" s="19">
        <v>0.2</v>
      </c>
      <c r="I2720" s="19">
        <v>0.333333333333333</v>
      </c>
      <c r="J2720" s="19">
        <v>0.166666666666667</v>
      </c>
      <c r="K2720" s="19">
        <v>0.142857142857143</v>
      </c>
      <c r="L2720" s="19">
        <v>0.25</v>
      </c>
      <c r="M2720" s="19">
        <v>0.230769230769231</v>
      </c>
      <c r="N2720" s="19">
        <v>0.5</v>
      </c>
      <c r="O2720" s="19">
        <v>0.142857142857143</v>
      </c>
    </row>
    <row r="2721" ht="14.25" spans="1:15">
      <c r="A2721" s="237">
        <v>45061</v>
      </c>
      <c r="B2721" s="237"/>
      <c r="C2721" s="237"/>
      <c r="D2721" s="237"/>
      <c r="E2721" s="237"/>
      <c r="F2721" s="237"/>
      <c r="G2721" s="237"/>
      <c r="H2721" s="237"/>
      <c r="I2721" s="237"/>
      <c r="J2721" s="237"/>
      <c r="K2721" s="237"/>
      <c r="L2721" s="237"/>
      <c r="M2721" s="237"/>
      <c r="N2721" s="237"/>
      <c r="O2721" s="237"/>
    </row>
    <row r="2722" spans="1:15">
      <c r="A2722" s="56" t="s">
        <v>1</v>
      </c>
      <c r="B2722" s="238"/>
      <c r="C2722" s="8" t="s">
        <v>42</v>
      </c>
      <c r="D2722" s="239" t="s">
        <v>43</v>
      </c>
      <c r="E2722" s="239" t="s">
        <v>44</v>
      </c>
      <c r="F2722" s="239" t="s">
        <v>45</v>
      </c>
      <c r="G2722" s="239" t="s">
        <v>46</v>
      </c>
      <c r="H2722" s="239" t="s">
        <v>47</v>
      </c>
      <c r="I2722" s="239" t="s">
        <v>48</v>
      </c>
      <c r="J2722" s="239" t="s">
        <v>49</v>
      </c>
      <c r="K2722" s="239" t="s">
        <v>50</v>
      </c>
      <c r="L2722" s="239" t="s">
        <v>51</v>
      </c>
      <c r="M2722" s="239" t="s">
        <v>52</v>
      </c>
      <c r="N2722" s="239" t="s">
        <v>53</v>
      </c>
      <c r="O2722" s="251" t="s">
        <v>54</v>
      </c>
    </row>
    <row r="2723" spans="1:15">
      <c r="A2723" s="240" t="s">
        <v>22</v>
      </c>
      <c r="B2723" s="47" t="s">
        <v>55</v>
      </c>
      <c r="C2723" s="12">
        <v>0.417014446227929</v>
      </c>
      <c r="D2723" s="241">
        <v>0.537414965986395</v>
      </c>
      <c r="E2723" s="241">
        <v>0.383647798742138</v>
      </c>
      <c r="F2723" s="241">
        <v>0.5</v>
      </c>
      <c r="G2723" s="241">
        <v>0.543478260869565</v>
      </c>
      <c r="H2723" s="241">
        <v>0.474885844748858</v>
      </c>
      <c r="I2723" s="241">
        <v>0.420600858369099</v>
      </c>
      <c r="J2723" s="241">
        <v>0.388</v>
      </c>
      <c r="K2723" s="241">
        <v>0.422535211267606</v>
      </c>
      <c r="L2723" s="241">
        <v>0.386440677966102</v>
      </c>
      <c r="M2723" s="241">
        <v>0.431095406360424</v>
      </c>
      <c r="N2723" s="241">
        <v>0.355</v>
      </c>
      <c r="O2723" s="252">
        <v>0.336363636363636</v>
      </c>
    </row>
    <row r="2724" spans="1:15">
      <c r="A2724" s="242" t="s">
        <v>22</v>
      </c>
      <c r="B2724" s="43" t="s">
        <v>57</v>
      </c>
      <c r="C2724" s="15">
        <v>3115</v>
      </c>
      <c r="D2724" s="243">
        <v>294</v>
      </c>
      <c r="E2724" s="243">
        <v>159</v>
      </c>
      <c r="F2724" s="243">
        <v>120</v>
      </c>
      <c r="G2724" s="243">
        <v>138</v>
      </c>
      <c r="H2724" s="243">
        <v>219</v>
      </c>
      <c r="I2724" s="243">
        <v>233</v>
      </c>
      <c r="J2724" s="243">
        <v>250</v>
      </c>
      <c r="K2724" s="243">
        <v>284</v>
      </c>
      <c r="L2724" s="243">
        <v>295</v>
      </c>
      <c r="M2724" s="243">
        <v>283</v>
      </c>
      <c r="N2724" s="243">
        <v>400</v>
      </c>
      <c r="O2724" s="253">
        <v>440</v>
      </c>
    </row>
    <row r="2725" spans="1:15">
      <c r="A2725" s="240" t="s">
        <v>22</v>
      </c>
      <c r="B2725" s="47" t="s">
        <v>59</v>
      </c>
      <c r="C2725" s="15">
        <v>1299</v>
      </c>
      <c r="D2725" s="243">
        <v>158</v>
      </c>
      <c r="E2725" s="243">
        <v>61</v>
      </c>
      <c r="F2725" s="243">
        <v>60</v>
      </c>
      <c r="G2725" s="243">
        <v>75</v>
      </c>
      <c r="H2725" s="243">
        <v>104</v>
      </c>
      <c r="I2725" s="243">
        <v>98</v>
      </c>
      <c r="J2725" s="243">
        <v>97</v>
      </c>
      <c r="K2725" s="243">
        <v>120</v>
      </c>
      <c r="L2725" s="243">
        <v>114</v>
      </c>
      <c r="M2725" s="243">
        <v>122</v>
      </c>
      <c r="N2725" s="243">
        <v>142</v>
      </c>
      <c r="O2725" s="253">
        <v>148</v>
      </c>
    </row>
    <row r="2726" spans="1:15">
      <c r="A2726" s="242" t="s">
        <v>22</v>
      </c>
      <c r="B2726" s="43" t="s">
        <v>4</v>
      </c>
      <c r="C2726" s="15">
        <v>104</v>
      </c>
      <c r="D2726" s="244">
        <v>10</v>
      </c>
      <c r="E2726" s="244">
        <v>4</v>
      </c>
      <c r="F2726" s="244">
        <v>10</v>
      </c>
      <c r="G2726" s="244">
        <v>6</v>
      </c>
      <c r="H2726" s="244">
        <v>3</v>
      </c>
      <c r="I2726" s="244">
        <v>11</v>
      </c>
      <c r="J2726" s="244">
        <v>7</v>
      </c>
      <c r="K2726" s="244">
        <v>10</v>
      </c>
      <c r="L2726" s="244">
        <v>8</v>
      </c>
      <c r="M2726" s="244">
        <v>13</v>
      </c>
      <c r="N2726" s="244">
        <v>9</v>
      </c>
      <c r="O2726" s="254">
        <v>13</v>
      </c>
    </row>
    <row r="2727" spans="1:15">
      <c r="A2727" s="240" t="s">
        <v>22</v>
      </c>
      <c r="B2727" s="47" t="s">
        <v>5</v>
      </c>
      <c r="C2727" s="12">
        <v>0.0800615858352579</v>
      </c>
      <c r="D2727" s="241">
        <v>0.0632911392405063</v>
      </c>
      <c r="E2727" s="241">
        <v>0.0655737704918033</v>
      </c>
      <c r="F2727" s="241">
        <v>0.166666666666667</v>
      </c>
      <c r="G2727" s="241">
        <v>0.08</v>
      </c>
      <c r="H2727" s="241">
        <v>0.0288461538461538</v>
      </c>
      <c r="I2727" s="241">
        <v>0.112244897959184</v>
      </c>
      <c r="J2727" s="241">
        <v>0.0721649484536082</v>
      </c>
      <c r="K2727" s="241">
        <v>0.0833333333333333</v>
      </c>
      <c r="L2727" s="241">
        <v>0.0701754385964912</v>
      </c>
      <c r="M2727" s="241">
        <v>0.10655737704918</v>
      </c>
      <c r="N2727" s="241">
        <v>0.0633802816901408</v>
      </c>
      <c r="O2727" s="252">
        <v>0.0878378378378378</v>
      </c>
    </row>
    <row r="2728" spans="1:15">
      <c r="A2728" s="242" t="s">
        <v>22</v>
      </c>
      <c r="B2728" s="43" t="s">
        <v>6</v>
      </c>
      <c r="C2728" s="15">
        <v>30</v>
      </c>
      <c r="D2728" s="244">
        <v>3</v>
      </c>
      <c r="E2728" s="244">
        <v>2</v>
      </c>
      <c r="F2728" s="244">
        <v>1</v>
      </c>
      <c r="G2728" s="244">
        <v>1</v>
      </c>
      <c r="H2728" s="244">
        <v>1</v>
      </c>
      <c r="I2728" s="244">
        <v>4</v>
      </c>
      <c r="J2728" s="244">
        <v>1</v>
      </c>
      <c r="K2728" s="244">
        <v>2</v>
      </c>
      <c r="L2728" s="244">
        <v>3</v>
      </c>
      <c r="M2728" s="244">
        <v>3</v>
      </c>
      <c r="N2728" s="244">
        <v>4</v>
      </c>
      <c r="O2728" s="254">
        <v>5</v>
      </c>
    </row>
    <row r="2729" ht="14.25" spans="1:15">
      <c r="A2729" s="245" t="s">
        <v>22</v>
      </c>
      <c r="B2729" s="52" t="s">
        <v>64</v>
      </c>
      <c r="C2729" s="19">
        <v>0.288461538461538</v>
      </c>
      <c r="D2729" s="246">
        <v>0.3</v>
      </c>
      <c r="E2729" s="246">
        <v>0.5</v>
      </c>
      <c r="F2729" s="246">
        <v>0.1</v>
      </c>
      <c r="G2729" s="246">
        <v>0.166666666666667</v>
      </c>
      <c r="H2729" s="246">
        <v>0.333333333333333</v>
      </c>
      <c r="I2729" s="246">
        <v>0.363636363636364</v>
      </c>
      <c r="J2729" s="246">
        <v>0.142857142857143</v>
      </c>
      <c r="K2729" s="246">
        <v>0.2</v>
      </c>
      <c r="L2729" s="246">
        <v>0.375</v>
      </c>
      <c r="M2729" s="246">
        <v>0.230769230769231</v>
      </c>
      <c r="N2729" s="246">
        <v>0.444444444444444</v>
      </c>
      <c r="O2729" s="255">
        <v>0.384615384615385</v>
      </c>
    </row>
    <row r="2730" spans="1:15">
      <c r="A2730" s="247" t="s">
        <v>66</v>
      </c>
      <c r="B2730" s="248" t="s">
        <v>55</v>
      </c>
      <c r="C2730" s="12">
        <v>0.0938628158844765</v>
      </c>
      <c r="D2730" s="249">
        <v>0.0731070496083551</v>
      </c>
      <c r="E2730" s="249">
        <v>0.0226628895184136</v>
      </c>
      <c r="F2730" s="249">
        <v>0.0504201680672269</v>
      </c>
      <c r="G2730" s="249">
        <v>0.0511627906976744</v>
      </c>
      <c r="H2730" s="249">
        <v>0.114457831325301</v>
      </c>
      <c r="I2730" s="249">
        <v>0.125827814569536</v>
      </c>
      <c r="J2730" s="249">
        <v>0.153061224489796</v>
      </c>
      <c r="K2730" s="249">
        <v>0.170940170940171</v>
      </c>
      <c r="L2730" s="249">
        <v>0.142857142857143</v>
      </c>
      <c r="M2730" s="249">
        <v>0.194690265486726</v>
      </c>
      <c r="N2730" s="249">
        <v>0.127118644067797</v>
      </c>
      <c r="O2730" s="256">
        <v>0.150943396226415</v>
      </c>
    </row>
    <row r="2731" spans="1:15">
      <c r="A2731" s="242" t="s">
        <v>66</v>
      </c>
      <c r="B2731" s="43" t="s">
        <v>57</v>
      </c>
      <c r="C2731" s="15">
        <v>2216</v>
      </c>
      <c r="D2731" s="243">
        <v>383</v>
      </c>
      <c r="E2731" s="243">
        <v>353</v>
      </c>
      <c r="F2731" s="243">
        <v>238</v>
      </c>
      <c r="G2731" s="243">
        <v>215</v>
      </c>
      <c r="H2731" s="243">
        <v>166</v>
      </c>
      <c r="I2731" s="243">
        <v>151</v>
      </c>
      <c r="J2731" s="243">
        <v>98</v>
      </c>
      <c r="K2731" s="243">
        <v>117</v>
      </c>
      <c r="L2731" s="243">
        <v>105</v>
      </c>
      <c r="M2731" s="243">
        <v>113</v>
      </c>
      <c r="N2731" s="243">
        <v>118</v>
      </c>
      <c r="O2731" s="253">
        <v>159</v>
      </c>
    </row>
    <row r="2732" spans="1:15">
      <c r="A2732" s="240" t="s">
        <v>66</v>
      </c>
      <c r="B2732" s="47" t="s">
        <v>59</v>
      </c>
      <c r="C2732" s="15">
        <v>208</v>
      </c>
      <c r="D2732" s="243">
        <v>28</v>
      </c>
      <c r="E2732" s="243">
        <v>8</v>
      </c>
      <c r="F2732" s="243">
        <v>12</v>
      </c>
      <c r="G2732" s="243">
        <v>11</v>
      </c>
      <c r="H2732" s="243">
        <v>19</v>
      </c>
      <c r="I2732" s="243">
        <v>19</v>
      </c>
      <c r="J2732" s="243">
        <v>15</v>
      </c>
      <c r="K2732" s="243">
        <v>20</v>
      </c>
      <c r="L2732" s="243">
        <v>15</v>
      </c>
      <c r="M2732" s="243">
        <v>22</v>
      </c>
      <c r="N2732" s="243">
        <v>15</v>
      </c>
      <c r="O2732" s="253">
        <v>24</v>
      </c>
    </row>
    <row r="2733" spans="1:15">
      <c r="A2733" s="242" t="s">
        <v>66</v>
      </c>
      <c r="B2733" s="43" t="s">
        <v>4</v>
      </c>
      <c r="C2733" s="15">
        <v>12</v>
      </c>
      <c r="D2733" s="244">
        <v>0</v>
      </c>
      <c r="E2733" s="244">
        <v>1</v>
      </c>
      <c r="F2733" s="244">
        <v>3</v>
      </c>
      <c r="G2733" s="244">
        <v>0</v>
      </c>
      <c r="H2733" s="244">
        <v>2</v>
      </c>
      <c r="I2733" s="244">
        <v>0</v>
      </c>
      <c r="J2733" s="244">
        <v>1</v>
      </c>
      <c r="K2733" s="244">
        <v>1</v>
      </c>
      <c r="L2733" s="244">
        <v>0</v>
      </c>
      <c r="M2733" s="244">
        <v>1</v>
      </c>
      <c r="N2733" s="244">
        <v>2</v>
      </c>
      <c r="O2733" s="254">
        <v>1</v>
      </c>
    </row>
    <row r="2734" spans="1:15">
      <c r="A2734" s="240" t="s">
        <v>66</v>
      </c>
      <c r="B2734" s="47" t="s">
        <v>5</v>
      </c>
      <c r="C2734" s="12">
        <v>0.0576923076923077</v>
      </c>
      <c r="D2734" s="241">
        <v>0</v>
      </c>
      <c r="E2734" s="241">
        <v>0.125</v>
      </c>
      <c r="F2734" s="241">
        <v>0.25</v>
      </c>
      <c r="G2734" s="241">
        <v>0</v>
      </c>
      <c r="H2734" s="241">
        <v>0.105263157894737</v>
      </c>
      <c r="I2734" s="241">
        <v>0</v>
      </c>
      <c r="J2734" s="241">
        <v>0.0666666666666667</v>
      </c>
      <c r="K2734" s="241">
        <v>0.05</v>
      </c>
      <c r="L2734" s="241">
        <v>0</v>
      </c>
      <c r="M2734" s="241">
        <v>0.0454545454545455</v>
      </c>
      <c r="N2734" s="241">
        <v>0.133333333333333</v>
      </c>
      <c r="O2734" s="252">
        <v>0.0416666666666667</v>
      </c>
    </row>
    <row r="2735" spans="1:15">
      <c r="A2735" s="242" t="s">
        <v>66</v>
      </c>
      <c r="B2735" s="43" t="s">
        <v>6</v>
      </c>
      <c r="C2735" s="15">
        <v>4</v>
      </c>
      <c r="D2735" s="244">
        <v>0</v>
      </c>
      <c r="E2735" s="244">
        <v>0</v>
      </c>
      <c r="F2735" s="244">
        <v>0</v>
      </c>
      <c r="G2735" s="244">
        <v>0</v>
      </c>
      <c r="H2735" s="244">
        <v>0</v>
      </c>
      <c r="I2735" s="244">
        <v>1</v>
      </c>
      <c r="J2735" s="244">
        <v>0</v>
      </c>
      <c r="K2735" s="244">
        <v>1</v>
      </c>
      <c r="L2735" s="244">
        <v>1</v>
      </c>
      <c r="M2735" s="244">
        <v>0</v>
      </c>
      <c r="N2735" s="244">
        <v>1</v>
      </c>
      <c r="O2735" s="254">
        <v>0</v>
      </c>
    </row>
    <row r="2736" ht="14.25" spans="1:15">
      <c r="A2736" s="245" t="s">
        <v>66</v>
      </c>
      <c r="B2736" s="52" t="s">
        <v>64</v>
      </c>
      <c r="C2736" s="19">
        <v>0.333333333333333</v>
      </c>
      <c r="D2736" s="246">
        <v>0</v>
      </c>
      <c r="E2736" s="246">
        <v>0</v>
      </c>
      <c r="F2736" s="246">
        <v>0</v>
      </c>
      <c r="G2736" s="246">
        <v>0</v>
      </c>
      <c r="H2736" s="246">
        <v>0</v>
      </c>
      <c r="I2736" s="246">
        <v>0</v>
      </c>
      <c r="J2736" s="246">
        <v>0</v>
      </c>
      <c r="K2736" s="246">
        <v>1</v>
      </c>
      <c r="L2736" s="246">
        <v>0</v>
      </c>
      <c r="M2736" s="246">
        <v>0</v>
      </c>
      <c r="N2736" s="246">
        <v>0.5</v>
      </c>
      <c r="O2736" s="255">
        <v>0</v>
      </c>
    </row>
    <row r="2737" spans="1:15">
      <c r="A2737" s="240" t="s">
        <v>67</v>
      </c>
      <c r="B2737" s="47" t="s">
        <v>55</v>
      </c>
      <c r="C2737" s="12">
        <v>0.80565371024735</v>
      </c>
      <c r="D2737" s="241">
        <v>1.08695652173913</v>
      </c>
      <c r="E2737" s="241">
        <v>1.75</v>
      </c>
      <c r="F2737" s="241">
        <v>1.18181818181818</v>
      </c>
      <c r="G2737" s="241">
        <v>4.2</v>
      </c>
      <c r="H2737" s="241">
        <v>1.69230769230769</v>
      </c>
      <c r="I2737" s="241">
        <v>0.696969696969697</v>
      </c>
      <c r="J2737" s="241">
        <v>0.8</v>
      </c>
      <c r="K2737" s="241">
        <v>0.615384615384615</v>
      </c>
      <c r="L2737" s="241">
        <v>0.645161290322581</v>
      </c>
      <c r="M2737" s="241">
        <v>0.588235294117647</v>
      </c>
      <c r="N2737" s="241">
        <v>0.615384615384615</v>
      </c>
      <c r="O2737" s="252">
        <v>0.351851851851852</v>
      </c>
    </row>
    <row r="2738" spans="1:15">
      <c r="A2738" s="242" t="s">
        <v>67</v>
      </c>
      <c r="B2738" s="43" t="s">
        <v>57</v>
      </c>
      <c r="C2738" s="15">
        <v>283</v>
      </c>
      <c r="D2738" s="243">
        <v>23</v>
      </c>
      <c r="E2738" s="243">
        <v>12</v>
      </c>
      <c r="F2738" s="243">
        <v>11</v>
      </c>
      <c r="G2738" s="243">
        <v>5</v>
      </c>
      <c r="H2738" s="243">
        <v>13</v>
      </c>
      <c r="I2738" s="243">
        <v>33</v>
      </c>
      <c r="J2738" s="243">
        <v>15</v>
      </c>
      <c r="K2738" s="243">
        <v>26</v>
      </c>
      <c r="L2738" s="243">
        <v>31</v>
      </c>
      <c r="M2738" s="243">
        <v>34</v>
      </c>
      <c r="N2738" s="243">
        <v>26</v>
      </c>
      <c r="O2738" s="253">
        <v>54</v>
      </c>
    </row>
    <row r="2739" spans="1:15">
      <c r="A2739" s="240" t="s">
        <v>67</v>
      </c>
      <c r="B2739" s="47" t="s">
        <v>59</v>
      </c>
      <c r="C2739" s="15">
        <v>228</v>
      </c>
      <c r="D2739" s="243">
        <v>25</v>
      </c>
      <c r="E2739" s="243">
        <v>21</v>
      </c>
      <c r="F2739" s="243">
        <v>13</v>
      </c>
      <c r="G2739" s="243">
        <v>21</v>
      </c>
      <c r="H2739" s="243">
        <v>22</v>
      </c>
      <c r="I2739" s="243">
        <v>23</v>
      </c>
      <c r="J2739" s="243">
        <v>12</v>
      </c>
      <c r="K2739" s="243">
        <v>16</v>
      </c>
      <c r="L2739" s="243">
        <v>20</v>
      </c>
      <c r="M2739" s="243">
        <v>20</v>
      </c>
      <c r="N2739" s="243">
        <v>16</v>
      </c>
      <c r="O2739" s="253">
        <v>19</v>
      </c>
    </row>
    <row r="2740" spans="1:15">
      <c r="A2740" s="242" t="s">
        <v>67</v>
      </c>
      <c r="B2740" s="43" t="s">
        <v>4</v>
      </c>
      <c r="C2740" s="15">
        <v>18</v>
      </c>
      <c r="D2740" s="244">
        <v>1</v>
      </c>
      <c r="E2740" s="244">
        <v>2</v>
      </c>
      <c r="F2740" s="244">
        <v>4</v>
      </c>
      <c r="G2740" s="244">
        <v>0</v>
      </c>
      <c r="H2740" s="244">
        <v>2</v>
      </c>
      <c r="I2740" s="244">
        <v>0</v>
      </c>
      <c r="J2740" s="244">
        <v>2</v>
      </c>
      <c r="K2740" s="244">
        <v>0</v>
      </c>
      <c r="L2740" s="244">
        <v>0</v>
      </c>
      <c r="M2740" s="244">
        <v>0</v>
      </c>
      <c r="N2740" s="244">
        <v>4</v>
      </c>
      <c r="O2740" s="254">
        <v>3</v>
      </c>
    </row>
    <row r="2741" spans="1:15">
      <c r="A2741" s="240" t="s">
        <v>67</v>
      </c>
      <c r="B2741" s="47" t="s">
        <v>5</v>
      </c>
      <c r="C2741" s="12">
        <v>0.0789473684210526</v>
      </c>
      <c r="D2741" s="241">
        <v>0.04</v>
      </c>
      <c r="E2741" s="241">
        <v>0.0952380952380952</v>
      </c>
      <c r="F2741" s="241">
        <v>0.307692307692308</v>
      </c>
      <c r="G2741" s="241">
        <v>0</v>
      </c>
      <c r="H2741" s="241">
        <v>0.0909090909090909</v>
      </c>
      <c r="I2741" s="241">
        <v>0</v>
      </c>
      <c r="J2741" s="241">
        <v>0.166666666666667</v>
      </c>
      <c r="K2741" s="241">
        <v>0</v>
      </c>
      <c r="L2741" s="241">
        <v>0</v>
      </c>
      <c r="M2741" s="241">
        <v>0</v>
      </c>
      <c r="N2741" s="241">
        <v>0.25</v>
      </c>
      <c r="O2741" s="252">
        <v>0.157894736842105</v>
      </c>
    </row>
    <row r="2742" spans="1:15">
      <c r="A2742" s="242" t="s">
        <v>67</v>
      </c>
      <c r="B2742" s="43" t="s">
        <v>6</v>
      </c>
      <c r="C2742" s="15">
        <v>6</v>
      </c>
      <c r="D2742" s="244">
        <v>1</v>
      </c>
      <c r="E2742" s="244">
        <v>0</v>
      </c>
      <c r="F2742" s="244">
        <v>1</v>
      </c>
      <c r="G2742" s="244">
        <v>0</v>
      </c>
      <c r="H2742" s="244">
        <v>0</v>
      </c>
      <c r="I2742" s="244">
        <v>0</v>
      </c>
      <c r="J2742" s="244">
        <v>0</v>
      </c>
      <c r="K2742" s="244">
        <v>1</v>
      </c>
      <c r="L2742" s="244">
        <v>0</v>
      </c>
      <c r="M2742" s="244">
        <v>0</v>
      </c>
      <c r="N2742" s="244">
        <v>1</v>
      </c>
      <c r="O2742" s="254">
        <v>2</v>
      </c>
    </row>
    <row r="2743" ht="14.25" spans="1:15">
      <c r="A2743" s="245" t="s">
        <v>67</v>
      </c>
      <c r="B2743" s="52" t="s">
        <v>64</v>
      </c>
      <c r="C2743" s="19">
        <v>0.333333333333333</v>
      </c>
      <c r="D2743" s="246">
        <v>1</v>
      </c>
      <c r="E2743" s="246">
        <v>0</v>
      </c>
      <c r="F2743" s="246">
        <v>0.25</v>
      </c>
      <c r="G2743" s="246">
        <v>0</v>
      </c>
      <c r="H2743" s="246">
        <v>0</v>
      </c>
      <c r="I2743" s="246">
        <v>0</v>
      </c>
      <c r="J2743" s="246">
        <v>0</v>
      </c>
      <c r="K2743" s="246">
        <v>0</v>
      </c>
      <c r="L2743" s="246">
        <v>0</v>
      </c>
      <c r="M2743" s="246">
        <v>0</v>
      </c>
      <c r="N2743" s="246">
        <v>0.25</v>
      </c>
      <c r="O2743" s="255">
        <v>0.666666666666667</v>
      </c>
    </row>
    <row r="2744" spans="1:15">
      <c r="A2744" s="240" t="s">
        <v>68</v>
      </c>
      <c r="B2744" s="47" t="s">
        <v>55</v>
      </c>
      <c r="C2744" s="12">
        <v>0.0703370316097969</v>
      </c>
      <c r="D2744" s="241">
        <v>0.0748587570621469</v>
      </c>
      <c r="E2744" s="241">
        <v>0.0518207282913165</v>
      </c>
      <c r="F2744" s="241">
        <v>0.0479452054794521</v>
      </c>
      <c r="G2744" s="241">
        <v>0.039647577092511</v>
      </c>
      <c r="H2744" s="241">
        <v>0.08</v>
      </c>
      <c r="I2744" s="241">
        <v>0.0910087719298246</v>
      </c>
      <c r="J2744" s="241">
        <v>0.0627218934911243</v>
      </c>
      <c r="K2744" s="241">
        <v>0.0820265379975875</v>
      </c>
      <c r="L2744" s="241">
        <v>0.0894607843137255</v>
      </c>
      <c r="M2744" s="241">
        <v>0.080503144654088</v>
      </c>
      <c r="N2744" s="241">
        <v>0.0705052878965922</v>
      </c>
      <c r="O2744" s="252">
        <v>0.0639219934994583</v>
      </c>
    </row>
    <row r="2745" spans="1:15">
      <c r="A2745" s="242" t="s">
        <v>68</v>
      </c>
      <c r="B2745" s="43" t="s">
        <v>57</v>
      </c>
      <c r="C2745" s="15">
        <v>9554</v>
      </c>
      <c r="D2745" s="243">
        <v>708</v>
      </c>
      <c r="E2745" s="243">
        <v>714</v>
      </c>
      <c r="F2745" s="243">
        <v>730</v>
      </c>
      <c r="G2745" s="243">
        <v>681</v>
      </c>
      <c r="H2745" s="243">
        <v>750</v>
      </c>
      <c r="I2745" s="243">
        <v>912</v>
      </c>
      <c r="J2745" s="243">
        <v>845</v>
      </c>
      <c r="K2745" s="243">
        <v>829</v>
      </c>
      <c r="L2745" s="243">
        <v>816</v>
      </c>
      <c r="M2745" s="243">
        <v>795</v>
      </c>
      <c r="N2745" s="243">
        <v>851</v>
      </c>
      <c r="O2745" s="253">
        <v>923</v>
      </c>
    </row>
    <row r="2746" spans="1:15">
      <c r="A2746" s="240" t="s">
        <v>68</v>
      </c>
      <c r="B2746" s="47" t="s">
        <v>59</v>
      </c>
      <c r="C2746" s="15">
        <v>672</v>
      </c>
      <c r="D2746" s="243">
        <v>53</v>
      </c>
      <c r="E2746" s="243">
        <v>37</v>
      </c>
      <c r="F2746" s="243">
        <v>35</v>
      </c>
      <c r="G2746" s="243">
        <v>27</v>
      </c>
      <c r="H2746" s="243">
        <v>60</v>
      </c>
      <c r="I2746" s="243">
        <v>83</v>
      </c>
      <c r="J2746" s="243">
        <v>53</v>
      </c>
      <c r="K2746" s="243">
        <v>68</v>
      </c>
      <c r="L2746" s="243">
        <v>73</v>
      </c>
      <c r="M2746" s="243">
        <v>64</v>
      </c>
      <c r="N2746" s="243">
        <v>60</v>
      </c>
      <c r="O2746" s="253">
        <v>59</v>
      </c>
    </row>
    <row r="2747" spans="1:15">
      <c r="A2747" s="242" t="s">
        <v>68</v>
      </c>
      <c r="B2747" s="43" t="s">
        <v>4</v>
      </c>
      <c r="C2747" s="15">
        <v>26</v>
      </c>
      <c r="D2747" s="244">
        <v>1</v>
      </c>
      <c r="E2747" s="244">
        <v>2</v>
      </c>
      <c r="F2747" s="244">
        <v>0</v>
      </c>
      <c r="G2747" s="244">
        <v>0</v>
      </c>
      <c r="H2747" s="244">
        <v>1</v>
      </c>
      <c r="I2747" s="244">
        <v>3</v>
      </c>
      <c r="J2747" s="244">
        <v>1</v>
      </c>
      <c r="K2747" s="244">
        <v>2</v>
      </c>
      <c r="L2747" s="244">
        <v>3</v>
      </c>
      <c r="M2747" s="244">
        <v>3</v>
      </c>
      <c r="N2747" s="244">
        <v>6</v>
      </c>
      <c r="O2747" s="254">
        <v>4</v>
      </c>
    </row>
    <row r="2748" spans="1:15">
      <c r="A2748" s="240" t="s">
        <v>68</v>
      </c>
      <c r="B2748" s="47" t="s">
        <v>5</v>
      </c>
      <c r="C2748" s="12">
        <v>0.0386904761904762</v>
      </c>
      <c r="D2748" s="241">
        <v>0.0188679245283019</v>
      </c>
      <c r="E2748" s="241">
        <v>0.0540540540540541</v>
      </c>
      <c r="F2748" s="241">
        <v>0</v>
      </c>
      <c r="G2748" s="241">
        <v>0</v>
      </c>
      <c r="H2748" s="241">
        <v>0.0166666666666667</v>
      </c>
      <c r="I2748" s="241">
        <v>0.036144578313253</v>
      </c>
      <c r="J2748" s="241">
        <v>0.0188679245283019</v>
      </c>
      <c r="K2748" s="241">
        <v>0.0294117647058824</v>
      </c>
      <c r="L2748" s="241">
        <v>0.0410958904109589</v>
      </c>
      <c r="M2748" s="241">
        <v>0.046875</v>
      </c>
      <c r="N2748" s="241">
        <v>0.1</v>
      </c>
      <c r="O2748" s="252">
        <v>0.0677966101694915</v>
      </c>
    </row>
    <row r="2749" spans="1:15">
      <c r="A2749" s="242" t="s">
        <v>68</v>
      </c>
      <c r="B2749" s="43" t="s">
        <v>6</v>
      </c>
      <c r="C2749" s="15">
        <v>11</v>
      </c>
      <c r="D2749" s="244">
        <v>1</v>
      </c>
      <c r="E2749" s="244">
        <v>1</v>
      </c>
      <c r="F2749" s="244">
        <v>0</v>
      </c>
      <c r="G2749" s="244">
        <v>1</v>
      </c>
      <c r="H2749" s="244">
        <v>2</v>
      </c>
      <c r="I2749" s="244">
        <v>0</v>
      </c>
      <c r="J2749" s="244">
        <v>0</v>
      </c>
      <c r="K2749" s="244">
        <v>1</v>
      </c>
      <c r="L2749" s="244">
        <v>2</v>
      </c>
      <c r="M2749" s="244">
        <v>0</v>
      </c>
      <c r="N2749" s="244">
        <v>1</v>
      </c>
      <c r="O2749" s="254">
        <v>2</v>
      </c>
    </row>
    <row r="2750" ht="14.25" spans="1:15">
      <c r="A2750" s="245" t="s">
        <v>68</v>
      </c>
      <c r="B2750" s="52" t="s">
        <v>64</v>
      </c>
      <c r="C2750" s="19">
        <v>0.423076923076923</v>
      </c>
      <c r="D2750" s="246">
        <v>1</v>
      </c>
      <c r="E2750" s="246">
        <v>0.5</v>
      </c>
      <c r="F2750" s="246">
        <v>0</v>
      </c>
      <c r="G2750" s="246">
        <v>0</v>
      </c>
      <c r="H2750" s="246">
        <v>2</v>
      </c>
      <c r="I2750" s="246">
        <v>0</v>
      </c>
      <c r="J2750" s="246">
        <v>0</v>
      </c>
      <c r="K2750" s="246">
        <v>0.5</v>
      </c>
      <c r="L2750" s="246">
        <v>0.666666666666667</v>
      </c>
      <c r="M2750" s="246">
        <v>0</v>
      </c>
      <c r="N2750" s="246">
        <v>0.166666666666667</v>
      </c>
      <c r="O2750" s="255">
        <v>0.5</v>
      </c>
    </row>
    <row r="2751" spans="1:15">
      <c r="A2751" s="240" t="s">
        <v>69</v>
      </c>
      <c r="B2751" s="47" t="s">
        <v>55</v>
      </c>
      <c r="C2751" s="12">
        <v>0.893465909090909</v>
      </c>
      <c r="D2751" s="241">
        <v>1.18055555555556</v>
      </c>
      <c r="E2751" s="241">
        <v>1.13513513513514</v>
      </c>
      <c r="F2751" s="241">
        <v>1.02941176470588</v>
      </c>
      <c r="G2751" s="241">
        <v>1.03030303030303</v>
      </c>
      <c r="H2751" s="241">
        <v>0.836734693877551</v>
      </c>
      <c r="I2751" s="241">
        <v>0.841269841269841</v>
      </c>
      <c r="J2751" s="241">
        <v>0.828125</v>
      </c>
      <c r="K2751" s="241">
        <v>0.763888888888889</v>
      </c>
      <c r="L2751" s="241">
        <v>0.867924528301887</v>
      </c>
      <c r="M2751" s="241">
        <v>0.802816901408451</v>
      </c>
      <c r="N2751" s="241">
        <v>0.78021978021978</v>
      </c>
      <c r="O2751" s="252">
        <v>0.876923076923077</v>
      </c>
    </row>
    <row r="2752" spans="1:15">
      <c r="A2752" s="242" t="s">
        <v>69</v>
      </c>
      <c r="B2752" s="43" t="s">
        <v>57</v>
      </c>
      <c r="C2752" s="15">
        <v>704</v>
      </c>
      <c r="D2752" s="243">
        <v>72</v>
      </c>
      <c r="E2752" s="243">
        <v>37</v>
      </c>
      <c r="F2752" s="243">
        <v>34</v>
      </c>
      <c r="G2752" s="243">
        <v>33</v>
      </c>
      <c r="H2752" s="243">
        <v>49</v>
      </c>
      <c r="I2752" s="243">
        <v>63</v>
      </c>
      <c r="J2752" s="243">
        <v>64</v>
      </c>
      <c r="K2752" s="243">
        <v>72</v>
      </c>
      <c r="L2752" s="243">
        <v>53</v>
      </c>
      <c r="M2752" s="243">
        <v>71</v>
      </c>
      <c r="N2752" s="243">
        <v>91</v>
      </c>
      <c r="O2752" s="253">
        <v>65</v>
      </c>
    </row>
    <row r="2753" spans="1:15">
      <c r="A2753" s="240" t="s">
        <v>69</v>
      </c>
      <c r="B2753" s="47" t="s">
        <v>59</v>
      </c>
      <c r="C2753" s="15">
        <v>629</v>
      </c>
      <c r="D2753" s="243">
        <v>85</v>
      </c>
      <c r="E2753" s="243">
        <v>42</v>
      </c>
      <c r="F2753" s="243">
        <v>35</v>
      </c>
      <c r="G2753" s="243">
        <v>34</v>
      </c>
      <c r="H2753" s="243">
        <v>41</v>
      </c>
      <c r="I2753" s="243">
        <v>53</v>
      </c>
      <c r="J2753" s="243">
        <v>53</v>
      </c>
      <c r="K2753" s="243">
        <v>55</v>
      </c>
      <c r="L2753" s="243">
        <v>46</v>
      </c>
      <c r="M2753" s="243">
        <v>57</v>
      </c>
      <c r="N2753" s="243">
        <v>71</v>
      </c>
      <c r="O2753" s="253">
        <v>57</v>
      </c>
    </row>
    <row r="2754" spans="1:15">
      <c r="A2754" s="242" t="s">
        <v>69</v>
      </c>
      <c r="B2754" s="43" t="s">
        <v>4</v>
      </c>
      <c r="C2754" s="15">
        <v>32</v>
      </c>
      <c r="D2754" s="244">
        <v>3</v>
      </c>
      <c r="E2754" s="244">
        <v>2</v>
      </c>
      <c r="F2754" s="244">
        <v>2</v>
      </c>
      <c r="G2754" s="244">
        <v>1</v>
      </c>
      <c r="H2754" s="244">
        <v>4</v>
      </c>
      <c r="I2754" s="244">
        <v>2</v>
      </c>
      <c r="J2754" s="244">
        <v>0</v>
      </c>
      <c r="K2754" s="244">
        <v>5</v>
      </c>
      <c r="L2754" s="244">
        <v>5</v>
      </c>
      <c r="M2754" s="244">
        <v>2</v>
      </c>
      <c r="N2754" s="244">
        <v>2</v>
      </c>
      <c r="O2754" s="254">
        <v>4</v>
      </c>
    </row>
    <row r="2755" spans="1:15">
      <c r="A2755" s="240" t="s">
        <v>69</v>
      </c>
      <c r="B2755" s="47" t="s">
        <v>5</v>
      </c>
      <c r="C2755" s="12">
        <v>0.0508744038155803</v>
      </c>
      <c r="D2755" s="241">
        <v>0.0352941176470588</v>
      </c>
      <c r="E2755" s="241">
        <v>0.0476190476190476</v>
      </c>
      <c r="F2755" s="241">
        <v>0.0571428571428571</v>
      </c>
      <c r="G2755" s="241">
        <v>0.0294117647058824</v>
      </c>
      <c r="H2755" s="241">
        <v>0.0975609756097561</v>
      </c>
      <c r="I2755" s="241">
        <v>0.0377358490566038</v>
      </c>
      <c r="J2755" s="241">
        <v>0</v>
      </c>
      <c r="K2755" s="241">
        <v>0.0909090909090909</v>
      </c>
      <c r="L2755" s="241">
        <v>0.108695652173913</v>
      </c>
      <c r="M2755" s="241">
        <v>0.0350877192982456</v>
      </c>
      <c r="N2755" s="241">
        <v>0.028169014084507</v>
      </c>
      <c r="O2755" s="252">
        <v>0.0701754385964912</v>
      </c>
    </row>
    <row r="2756" spans="1:15">
      <c r="A2756" s="242" t="s">
        <v>69</v>
      </c>
      <c r="B2756" s="43" t="s">
        <v>6</v>
      </c>
      <c r="C2756" s="15">
        <v>13</v>
      </c>
      <c r="D2756" s="244">
        <v>3</v>
      </c>
      <c r="E2756" s="244">
        <v>1</v>
      </c>
      <c r="F2756" s="244">
        <v>2</v>
      </c>
      <c r="G2756" s="244">
        <v>0</v>
      </c>
      <c r="H2756" s="244">
        <v>0</v>
      </c>
      <c r="I2756" s="244">
        <v>1</v>
      </c>
      <c r="J2756" s="244">
        <v>0</v>
      </c>
      <c r="K2756" s="244">
        <v>1</v>
      </c>
      <c r="L2756" s="244">
        <v>1</v>
      </c>
      <c r="M2756" s="244">
        <v>1</v>
      </c>
      <c r="N2756" s="244">
        <v>1</v>
      </c>
      <c r="O2756" s="254">
        <v>2</v>
      </c>
    </row>
    <row r="2757" ht="14.25" spans="1:15">
      <c r="A2757" s="245" t="s">
        <v>69</v>
      </c>
      <c r="B2757" s="52" t="s">
        <v>64</v>
      </c>
      <c r="C2757" s="19">
        <v>0.40625</v>
      </c>
      <c r="D2757" s="246">
        <v>1</v>
      </c>
      <c r="E2757" s="246">
        <v>0.5</v>
      </c>
      <c r="F2757" s="246">
        <v>1</v>
      </c>
      <c r="G2757" s="246">
        <v>0</v>
      </c>
      <c r="H2757" s="246">
        <v>0</v>
      </c>
      <c r="I2757" s="246">
        <v>0.5</v>
      </c>
      <c r="J2757" s="246">
        <v>0</v>
      </c>
      <c r="K2757" s="246">
        <v>0.2</v>
      </c>
      <c r="L2757" s="246">
        <v>0.2</v>
      </c>
      <c r="M2757" s="246">
        <v>0.5</v>
      </c>
      <c r="N2757" s="246">
        <v>0.5</v>
      </c>
      <c r="O2757" s="255">
        <v>0.5</v>
      </c>
    </row>
    <row r="2758" spans="1:15">
      <c r="A2758" s="240" t="s">
        <v>70</v>
      </c>
      <c r="B2758" s="47" t="s">
        <v>55</v>
      </c>
      <c r="C2758" s="12">
        <v>0.85984677782785</v>
      </c>
      <c r="D2758" s="241">
        <v>0.887323943661972</v>
      </c>
      <c r="E2758" s="241">
        <v>0.841269841269841</v>
      </c>
      <c r="F2758" s="241">
        <v>0.957746478873239</v>
      </c>
      <c r="G2758" s="241">
        <v>0.8</v>
      </c>
      <c r="H2758" s="241">
        <v>0.8</v>
      </c>
      <c r="I2758" s="241">
        <v>0.903743315508021</v>
      </c>
      <c r="J2758" s="241">
        <v>0.907407407407407</v>
      </c>
      <c r="K2758" s="241">
        <v>0.868995633187773</v>
      </c>
      <c r="L2758" s="241">
        <v>0.875</v>
      </c>
      <c r="M2758" s="241">
        <v>0.855813953488372</v>
      </c>
      <c r="N2758" s="241">
        <v>0.869565217391304</v>
      </c>
      <c r="O2758" s="252">
        <v>0.797794117647059</v>
      </c>
    </row>
    <row r="2759" spans="1:15">
      <c r="A2759" s="242" t="s">
        <v>70</v>
      </c>
      <c r="B2759" s="43" t="s">
        <v>57</v>
      </c>
      <c r="C2759" s="15">
        <v>2219</v>
      </c>
      <c r="D2759" s="243">
        <v>213</v>
      </c>
      <c r="E2759" s="243">
        <v>126</v>
      </c>
      <c r="F2759" s="243">
        <v>71</v>
      </c>
      <c r="G2759" s="243">
        <v>115</v>
      </c>
      <c r="H2759" s="243">
        <v>160</v>
      </c>
      <c r="I2759" s="243">
        <v>187</v>
      </c>
      <c r="J2759" s="243">
        <v>162</v>
      </c>
      <c r="K2759" s="243">
        <v>229</v>
      </c>
      <c r="L2759" s="243">
        <v>216</v>
      </c>
      <c r="M2759" s="243">
        <v>215</v>
      </c>
      <c r="N2759" s="243">
        <v>253</v>
      </c>
      <c r="O2759" s="253">
        <v>272</v>
      </c>
    </row>
    <row r="2760" spans="1:15">
      <c r="A2760" s="240" t="s">
        <v>70</v>
      </c>
      <c r="B2760" s="47" t="s">
        <v>59</v>
      </c>
      <c r="C2760" s="15">
        <v>1908</v>
      </c>
      <c r="D2760" s="243">
        <v>189</v>
      </c>
      <c r="E2760" s="243">
        <v>106</v>
      </c>
      <c r="F2760" s="243">
        <v>68</v>
      </c>
      <c r="G2760" s="243">
        <v>92</v>
      </c>
      <c r="H2760" s="243">
        <v>128</v>
      </c>
      <c r="I2760" s="243">
        <v>169</v>
      </c>
      <c r="J2760" s="243">
        <v>147</v>
      </c>
      <c r="K2760" s="243">
        <v>199</v>
      </c>
      <c r="L2760" s="243">
        <v>189</v>
      </c>
      <c r="M2760" s="243">
        <v>184</v>
      </c>
      <c r="N2760" s="243">
        <v>220</v>
      </c>
      <c r="O2760" s="253">
        <v>217</v>
      </c>
    </row>
    <row r="2761" spans="1:15">
      <c r="A2761" s="242" t="s">
        <v>70</v>
      </c>
      <c r="B2761" s="43" t="s">
        <v>4</v>
      </c>
      <c r="C2761" s="15">
        <v>171</v>
      </c>
      <c r="D2761" s="244">
        <v>24</v>
      </c>
      <c r="E2761" s="244">
        <v>16</v>
      </c>
      <c r="F2761" s="244">
        <v>11</v>
      </c>
      <c r="G2761" s="244">
        <v>8</v>
      </c>
      <c r="H2761" s="244">
        <v>16</v>
      </c>
      <c r="I2761" s="244">
        <v>6</v>
      </c>
      <c r="J2761" s="244">
        <v>17</v>
      </c>
      <c r="K2761" s="244">
        <v>16</v>
      </c>
      <c r="L2761" s="244">
        <v>18</v>
      </c>
      <c r="M2761" s="244">
        <v>6</v>
      </c>
      <c r="N2761" s="244">
        <v>12</v>
      </c>
      <c r="O2761" s="254">
        <v>21</v>
      </c>
    </row>
    <row r="2762" spans="1:15">
      <c r="A2762" s="240" t="s">
        <v>70</v>
      </c>
      <c r="B2762" s="47" t="s">
        <v>5</v>
      </c>
      <c r="C2762" s="12">
        <v>0.089622641509434</v>
      </c>
      <c r="D2762" s="241">
        <v>0.126984126984127</v>
      </c>
      <c r="E2762" s="241">
        <v>0.150943396226415</v>
      </c>
      <c r="F2762" s="241">
        <v>0.161764705882353</v>
      </c>
      <c r="G2762" s="241">
        <v>0.0869565217391304</v>
      </c>
      <c r="H2762" s="241">
        <v>0.125</v>
      </c>
      <c r="I2762" s="241">
        <v>0.0355029585798817</v>
      </c>
      <c r="J2762" s="241">
        <v>0.115646258503401</v>
      </c>
      <c r="K2762" s="241">
        <v>0.0804020100502513</v>
      </c>
      <c r="L2762" s="241">
        <v>0.0952380952380952</v>
      </c>
      <c r="M2762" s="241">
        <v>0.0326086956521739</v>
      </c>
      <c r="N2762" s="241">
        <v>0.0545454545454545</v>
      </c>
      <c r="O2762" s="252">
        <v>0.0967741935483871</v>
      </c>
    </row>
    <row r="2763" spans="1:15">
      <c r="A2763" s="242" t="s">
        <v>70</v>
      </c>
      <c r="B2763" s="43" t="s">
        <v>6</v>
      </c>
      <c r="C2763" s="15">
        <v>44</v>
      </c>
      <c r="D2763" s="244">
        <v>9</v>
      </c>
      <c r="E2763" s="244">
        <v>2</v>
      </c>
      <c r="F2763" s="244">
        <v>4</v>
      </c>
      <c r="G2763" s="244">
        <v>2</v>
      </c>
      <c r="H2763" s="244">
        <v>3</v>
      </c>
      <c r="I2763" s="244">
        <v>3</v>
      </c>
      <c r="J2763" s="244">
        <v>1</v>
      </c>
      <c r="K2763" s="244">
        <v>3</v>
      </c>
      <c r="L2763" s="244">
        <v>7</v>
      </c>
      <c r="M2763" s="244">
        <v>2</v>
      </c>
      <c r="N2763" s="244">
        <v>4</v>
      </c>
      <c r="O2763" s="254">
        <v>4</v>
      </c>
    </row>
    <row r="2764" ht="14.25" spans="1:15">
      <c r="A2764" s="245" t="s">
        <v>70</v>
      </c>
      <c r="B2764" s="52" t="s">
        <v>64</v>
      </c>
      <c r="C2764" s="19">
        <v>0.257309941520468</v>
      </c>
      <c r="D2764" s="246">
        <v>0.375</v>
      </c>
      <c r="E2764" s="246">
        <v>0.125</v>
      </c>
      <c r="F2764" s="246">
        <v>0.363636363636364</v>
      </c>
      <c r="G2764" s="246">
        <v>0.25</v>
      </c>
      <c r="H2764" s="246">
        <v>0.1875</v>
      </c>
      <c r="I2764" s="246">
        <v>0.5</v>
      </c>
      <c r="J2764" s="246">
        <v>0.0588235294117647</v>
      </c>
      <c r="K2764" s="246">
        <v>0.1875</v>
      </c>
      <c r="L2764" s="246">
        <v>0.388888888888889</v>
      </c>
      <c r="M2764" s="246">
        <v>0.333333333333333</v>
      </c>
      <c r="N2764" s="246">
        <v>0.333333333333333</v>
      </c>
      <c r="O2764" s="255">
        <v>0.19047619047619</v>
      </c>
    </row>
    <row r="2765" spans="1:15">
      <c r="A2765" s="240" t="s">
        <v>26</v>
      </c>
      <c r="B2765" s="47" t="s">
        <v>55</v>
      </c>
      <c r="C2765" s="12">
        <v>0.682069638789457</v>
      </c>
      <c r="D2765" s="241">
        <v>0.564444444444444</v>
      </c>
      <c r="E2765" s="241">
        <v>0.567741935483871</v>
      </c>
      <c r="F2765" s="241">
        <v>0.560260586319218</v>
      </c>
      <c r="G2765" s="241">
        <v>0.736318407960199</v>
      </c>
      <c r="H2765" s="241">
        <v>0.834101382488479</v>
      </c>
      <c r="I2765" s="241">
        <v>0.734375</v>
      </c>
      <c r="J2765" s="241">
        <v>0.88268156424581</v>
      </c>
      <c r="K2765" s="241">
        <v>0.993288590604027</v>
      </c>
      <c r="L2765" s="241">
        <v>0.781065088757396</v>
      </c>
      <c r="M2765" s="241">
        <v>0.666666666666667</v>
      </c>
      <c r="N2765" s="241">
        <v>0.730994152046784</v>
      </c>
      <c r="O2765" s="252">
        <v>0.7421875</v>
      </c>
    </row>
    <row r="2766" spans="1:15">
      <c r="A2766" s="242" t="s">
        <v>26</v>
      </c>
      <c r="B2766" s="43" t="s">
        <v>57</v>
      </c>
      <c r="C2766" s="15">
        <v>3073</v>
      </c>
      <c r="D2766" s="243">
        <v>675</v>
      </c>
      <c r="E2766" s="243">
        <v>465</v>
      </c>
      <c r="F2766" s="243">
        <v>307</v>
      </c>
      <c r="G2766" s="243">
        <v>201</v>
      </c>
      <c r="H2766" s="243">
        <v>217</v>
      </c>
      <c r="I2766" s="243">
        <v>256</v>
      </c>
      <c r="J2766" s="243">
        <v>179</v>
      </c>
      <c r="K2766" s="243">
        <v>149</v>
      </c>
      <c r="L2766" s="243">
        <v>169</v>
      </c>
      <c r="M2766" s="243">
        <v>156</v>
      </c>
      <c r="N2766" s="243">
        <v>171</v>
      </c>
      <c r="O2766" s="253">
        <v>128</v>
      </c>
    </row>
    <row r="2767" spans="1:15">
      <c r="A2767" s="240" t="s">
        <v>26</v>
      </c>
      <c r="B2767" s="47" t="s">
        <v>59</v>
      </c>
      <c r="C2767" s="15">
        <v>2096</v>
      </c>
      <c r="D2767" s="243">
        <v>381</v>
      </c>
      <c r="E2767" s="243">
        <v>264</v>
      </c>
      <c r="F2767" s="243">
        <v>172</v>
      </c>
      <c r="G2767" s="243">
        <v>148</v>
      </c>
      <c r="H2767" s="243">
        <v>181</v>
      </c>
      <c r="I2767" s="243">
        <v>188</v>
      </c>
      <c r="J2767" s="243">
        <v>158</v>
      </c>
      <c r="K2767" s="243">
        <v>148</v>
      </c>
      <c r="L2767" s="243">
        <v>132</v>
      </c>
      <c r="M2767" s="243">
        <v>104</v>
      </c>
      <c r="N2767" s="243">
        <v>125</v>
      </c>
      <c r="O2767" s="253">
        <v>95</v>
      </c>
    </row>
    <row r="2768" spans="1:15">
      <c r="A2768" s="242" t="s">
        <v>26</v>
      </c>
      <c r="B2768" s="43" t="s">
        <v>4</v>
      </c>
      <c r="C2768" s="15">
        <v>15</v>
      </c>
      <c r="D2768" s="244">
        <v>1</v>
      </c>
      <c r="E2768" s="244">
        <v>1</v>
      </c>
      <c r="F2768" s="244">
        <v>0</v>
      </c>
      <c r="G2768" s="244">
        <v>0</v>
      </c>
      <c r="H2768" s="244">
        <v>0</v>
      </c>
      <c r="I2768" s="244">
        <v>2</v>
      </c>
      <c r="J2768" s="244">
        <v>1</v>
      </c>
      <c r="K2768" s="244">
        <v>0</v>
      </c>
      <c r="L2768" s="244">
        <v>3</v>
      </c>
      <c r="M2768" s="244">
        <v>0</v>
      </c>
      <c r="N2768" s="244">
        <v>2</v>
      </c>
      <c r="O2768" s="254">
        <v>5</v>
      </c>
    </row>
    <row r="2769" spans="1:15">
      <c r="A2769" s="240" t="s">
        <v>26</v>
      </c>
      <c r="B2769" s="47" t="s">
        <v>5</v>
      </c>
      <c r="C2769" s="12">
        <v>0.00715648854961832</v>
      </c>
      <c r="D2769" s="241">
        <v>0.0026246719160105</v>
      </c>
      <c r="E2769" s="241">
        <v>0.00378787878787879</v>
      </c>
      <c r="F2769" s="241">
        <v>0</v>
      </c>
      <c r="G2769" s="241">
        <v>0</v>
      </c>
      <c r="H2769" s="241">
        <v>0</v>
      </c>
      <c r="I2769" s="241">
        <v>0.0106382978723404</v>
      </c>
      <c r="J2769" s="241">
        <v>0.00632911392405063</v>
      </c>
      <c r="K2769" s="241">
        <v>0</v>
      </c>
      <c r="L2769" s="241">
        <v>0.0227272727272727</v>
      </c>
      <c r="M2769" s="241">
        <v>0</v>
      </c>
      <c r="N2769" s="241">
        <v>0.016</v>
      </c>
      <c r="O2769" s="252">
        <v>0.0526315789473684</v>
      </c>
    </row>
    <row r="2770" spans="1:15">
      <c r="A2770" s="242" t="s">
        <v>26</v>
      </c>
      <c r="B2770" s="43" t="s">
        <v>6</v>
      </c>
      <c r="C2770" s="15">
        <v>6</v>
      </c>
      <c r="D2770" s="244">
        <v>0</v>
      </c>
      <c r="E2770" s="244">
        <v>1</v>
      </c>
      <c r="F2770" s="244">
        <v>0</v>
      </c>
      <c r="G2770" s="244">
        <v>0</v>
      </c>
      <c r="H2770" s="244">
        <v>0</v>
      </c>
      <c r="I2770" s="244">
        <v>2</v>
      </c>
      <c r="J2770" s="244">
        <v>0</v>
      </c>
      <c r="K2770" s="244">
        <v>0</v>
      </c>
      <c r="L2770" s="244">
        <v>1</v>
      </c>
      <c r="M2770" s="244">
        <v>0</v>
      </c>
      <c r="N2770" s="244">
        <v>0</v>
      </c>
      <c r="O2770" s="254">
        <v>2</v>
      </c>
    </row>
    <row r="2771" ht="14.25" spans="1:15">
      <c r="A2771" s="245" t="s">
        <v>26</v>
      </c>
      <c r="B2771" s="52" t="s">
        <v>64</v>
      </c>
      <c r="C2771" s="19">
        <v>0.4</v>
      </c>
      <c r="D2771" s="19">
        <v>0</v>
      </c>
      <c r="E2771" s="19">
        <v>1</v>
      </c>
      <c r="F2771" s="19" t="e">
        <v>#DIV/0!</v>
      </c>
      <c r="G2771" s="19" t="e">
        <v>#DIV/0!</v>
      </c>
      <c r="H2771" s="19" t="e">
        <v>#DIV/0!</v>
      </c>
      <c r="I2771" s="19">
        <v>1</v>
      </c>
      <c r="J2771" s="19">
        <v>0</v>
      </c>
      <c r="K2771" s="19" t="e">
        <v>#DIV/0!</v>
      </c>
      <c r="L2771" s="19">
        <v>0.333333333333333</v>
      </c>
      <c r="M2771" s="19" t="e">
        <v>#DIV/0!</v>
      </c>
      <c r="N2771" s="19">
        <v>0</v>
      </c>
      <c r="O2771" s="19">
        <v>0.4</v>
      </c>
    </row>
    <row r="2772" spans="1:15">
      <c r="A2772" s="240" t="s">
        <v>71</v>
      </c>
      <c r="B2772" s="47" t="s">
        <v>55</v>
      </c>
      <c r="C2772" s="12" t="e">
        <v>#DIV/0!</v>
      </c>
      <c r="D2772" s="241" t="e">
        <v>#DIV/0!</v>
      </c>
      <c r="E2772" s="241" t="e">
        <v>#DIV/0!</v>
      </c>
      <c r="F2772" s="241" t="e">
        <v>#DIV/0!</v>
      </c>
      <c r="G2772" s="241" t="e">
        <v>#DIV/0!</v>
      </c>
      <c r="H2772" s="241" t="e">
        <v>#DIV/0!</v>
      </c>
      <c r="I2772" s="241" t="e">
        <v>#DIV/0!</v>
      </c>
      <c r="J2772" s="241" t="e">
        <v>#DIV/0!</v>
      </c>
      <c r="K2772" s="241" t="e">
        <v>#DIV/0!</v>
      </c>
      <c r="L2772" s="241" t="e">
        <v>#DIV/0!</v>
      </c>
      <c r="M2772" s="241" t="e">
        <v>#DIV/0!</v>
      </c>
      <c r="N2772" s="241" t="e">
        <v>#DIV/0!</v>
      </c>
      <c r="O2772" s="252" t="e">
        <v>#DIV/0!</v>
      </c>
    </row>
    <row r="2773" spans="1:15">
      <c r="A2773" s="242" t="s">
        <v>71</v>
      </c>
      <c r="B2773" s="43" t="s">
        <v>57</v>
      </c>
      <c r="C2773" s="15">
        <v>0</v>
      </c>
      <c r="D2773" s="243">
        <v>0</v>
      </c>
      <c r="E2773" s="243">
        <v>0</v>
      </c>
      <c r="F2773" s="243">
        <v>0</v>
      </c>
      <c r="G2773" s="243">
        <v>0</v>
      </c>
      <c r="H2773" s="243">
        <v>0</v>
      </c>
      <c r="I2773" s="243">
        <v>0</v>
      </c>
      <c r="J2773" s="243">
        <v>0</v>
      </c>
      <c r="K2773" s="243">
        <v>0</v>
      </c>
      <c r="L2773" s="243">
        <v>0</v>
      </c>
      <c r="M2773" s="243">
        <v>0</v>
      </c>
      <c r="N2773" s="243">
        <v>0</v>
      </c>
      <c r="O2773" s="253">
        <v>0</v>
      </c>
    </row>
    <row r="2774" spans="1:15">
      <c r="A2774" s="240" t="s">
        <v>71</v>
      </c>
      <c r="B2774" s="47" t="s">
        <v>59</v>
      </c>
      <c r="C2774" s="15">
        <v>35</v>
      </c>
      <c r="D2774" s="243">
        <v>7</v>
      </c>
      <c r="E2774" s="243">
        <v>2</v>
      </c>
      <c r="F2774" s="243">
        <v>2</v>
      </c>
      <c r="G2774" s="243">
        <v>2</v>
      </c>
      <c r="H2774" s="243">
        <v>1</v>
      </c>
      <c r="I2774" s="243">
        <v>6</v>
      </c>
      <c r="J2774" s="243">
        <v>2</v>
      </c>
      <c r="K2774" s="243">
        <v>1</v>
      </c>
      <c r="L2774" s="243">
        <v>1</v>
      </c>
      <c r="M2774" s="243">
        <v>5</v>
      </c>
      <c r="N2774" s="243">
        <v>3</v>
      </c>
      <c r="O2774" s="253">
        <v>3</v>
      </c>
    </row>
    <row r="2775" spans="1:15">
      <c r="A2775" s="242" t="s">
        <v>71</v>
      </c>
      <c r="B2775" s="43" t="s">
        <v>4</v>
      </c>
      <c r="C2775" s="15">
        <v>16</v>
      </c>
      <c r="D2775" s="244">
        <v>0</v>
      </c>
      <c r="E2775" s="244">
        <v>2</v>
      </c>
      <c r="F2775" s="244">
        <v>1</v>
      </c>
      <c r="G2775" s="244">
        <v>0</v>
      </c>
      <c r="H2775" s="244">
        <v>0</v>
      </c>
      <c r="I2775" s="244">
        <v>1</v>
      </c>
      <c r="J2775" s="244">
        <v>3</v>
      </c>
      <c r="K2775" s="244">
        <v>1</v>
      </c>
      <c r="L2775" s="244">
        <v>1</v>
      </c>
      <c r="M2775" s="244">
        <v>0</v>
      </c>
      <c r="N2775" s="244">
        <v>2</v>
      </c>
      <c r="O2775" s="254">
        <v>5</v>
      </c>
    </row>
    <row r="2776" spans="1:15">
      <c r="A2776" s="240" t="s">
        <v>71</v>
      </c>
      <c r="B2776" s="47" t="s">
        <v>5</v>
      </c>
      <c r="C2776" s="241">
        <v>0.457142857142857</v>
      </c>
      <c r="D2776" s="241">
        <v>0</v>
      </c>
      <c r="E2776" s="241">
        <v>1</v>
      </c>
      <c r="F2776" s="241">
        <v>0.5</v>
      </c>
      <c r="G2776" s="241">
        <v>0</v>
      </c>
      <c r="H2776" s="241">
        <v>0</v>
      </c>
      <c r="I2776" s="241">
        <v>0.166666666666667</v>
      </c>
      <c r="J2776" s="241">
        <v>1.5</v>
      </c>
      <c r="K2776" s="241">
        <v>1</v>
      </c>
      <c r="L2776" s="241">
        <v>1</v>
      </c>
      <c r="M2776" s="241">
        <v>0</v>
      </c>
      <c r="N2776" s="241">
        <v>0.666666666666667</v>
      </c>
      <c r="O2776" s="252">
        <v>1.66666666666667</v>
      </c>
    </row>
    <row r="2777" spans="1:15">
      <c r="A2777" s="242" t="s">
        <v>71</v>
      </c>
      <c r="B2777" s="43" t="s">
        <v>6</v>
      </c>
      <c r="C2777" s="15">
        <v>3</v>
      </c>
      <c r="D2777" s="244">
        <v>0</v>
      </c>
      <c r="E2777" s="244">
        <v>0</v>
      </c>
      <c r="F2777" s="244">
        <v>0</v>
      </c>
      <c r="G2777" s="244">
        <v>0</v>
      </c>
      <c r="H2777" s="244">
        <v>0</v>
      </c>
      <c r="I2777" s="244">
        <v>0</v>
      </c>
      <c r="J2777" s="244">
        <v>1</v>
      </c>
      <c r="K2777" s="244">
        <v>0</v>
      </c>
      <c r="L2777" s="244">
        <v>0</v>
      </c>
      <c r="M2777" s="244">
        <v>0</v>
      </c>
      <c r="N2777" s="244">
        <v>1</v>
      </c>
      <c r="O2777" s="254">
        <v>1</v>
      </c>
    </row>
    <row r="2778" ht="14.25" spans="1:15">
      <c r="A2778" s="245" t="s">
        <v>71</v>
      </c>
      <c r="B2778" s="52" t="s">
        <v>64</v>
      </c>
      <c r="C2778" s="19">
        <v>0.1875</v>
      </c>
      <c r="D2778" s="19" t="e">
        <v>#DIV/0!</v>
      </c>
      <c r="E2778" s="19">
        <v>0</v>
      </c>
      <c r="F2778" s="19">
        <v>0</v>
      </c>
      <c r="G2778" s="19" t="e">
        <v>#DIV/0!</v>
      </c>
      <c r="H2778" s="19" t="e">
        <v>#DIV/0!</v>
      </c>
      <c r="I2778" s="19">
        <v>0</v>
      </c>
      <c r="J2778" s="19">
        <v>0.333333333333333</v>
      </c>
      <c r="K2778" s="19">
        <v>0</v>
      </c>
      <c r="L2778" s="19">
        <v>0</v>
      </c>
      <c r="M2778" s="19" t="e">
        <v>#DIV/0!</v>
      </c>
      <c r="N2778" s="19">
        <v>0.5</v>
      </c>
      <c r="O2778" s="19">
        <v>0.2</v>
      </c>
    </row>
    <row r="2779" spans="1:15">
      <c r="A2779" s="240" t="s">
        <v>72</v>
      </c>
      <c r="B2779" s="47" t="s">
        <v>55</v>
      </c>
      <c r="C2779" s="12">
        <v>0.19039780521262</v>
      </c>
      <c r="D2779" s="241">
        <v>0.190965092402464</v>
      </c>
      <c r="E2779" s="241">
        <v>0.210344827586207</v>
      </c>
      <c r="F2779" s="241">
        <v>0.233766233766234</v>
      </c>
      <c r="G2779" s="241">
        <v>0.193370165745856</v>
      </c>
      <c r="H2779" s="241">
        <v>0.143382352941176</v>
      </c>
      <c r="I2779" s="241">
        <v>0.150568181818182</v>
      </c>
      <c r="J2779" s="241">
        <v>0.195583596214511</v>
      </c>
      <c r="K2779" s="241">
        <v>0.18013856812933</v>
      </c>
      <c r="L2779" s="241">
        <v>0.173780487804878</v>
      </c>
      <c r="M2779" s="241">
        <v>0.228813559322034</v>
      </c>
      <c r="N2779" s="241">
        <v>0.271698113207547</v>
      </c>
      <c r="O2779" s="252">
        <v>0.163636363636364</v>
      </c>
    </row>
    <row r="2780" spans="1:15">
      <c r="A2780" s="242" t="s">
        <v>72</v>
      </c>
      <c r="B2780" s="43" t="s">
        <v>57</v>
      </c>
      <c r="C2780" s="15">
        <v>3645</v>
      </c>
      <c r="D2780" s="243">
        <v>487</v>
      </c>
      <c r="E2780" s="243">
        <v>290</v>
      </c>
      <c r="F2780" s="243">
        <v>154</v>
      </c>
      <c r="G2780" s="243">
        <v>181</v>
      </c>
      <c r="H2780" s="243">
        <v>272</v>
      </c>
      <c r="I2780" s="243">
        <v>352</v>
      </c>
      <c r="J2780" s="243">
        <v>317</v>
      </c>
      <c r="K2780" s="243">
        <v>433</v>
      </c>
      <c r="L2780" s="243">
        <v>328</v>
      </c>
      <c r="M2780" s="243">
        <v>236</v>
      </c>
      <c r="N2780" s="243">
        <v>265</v>
      </c>
      <c r="O2780" s="253">
        <v>330</v>
      </c>
    </row>
    <row r="2781" spans="1:15">
      <c r="A2781" s="240" t="s">
        <v>72</v>
      </c>
      <c r="B2781" s="47" t="s">
        <v>59</v>
      </c>
      <c r="C2781" s="15">
        <v>694</v>
      </c>
      <c r="D2781" s="243">
        <v>93</v>
      </c>
      <c r="E2781" s="243">
        <v>61</v>
      </c>
      <c r="F2781" s="243">
        <v>36</v>
      </c>
      <c r="G2781" s="243">
        <v>35</v>
      </c>
      <c r="H2781" s="243">
        <v>39</v>
      </c>
      <c r="I2781" s="243">
        <v>53</v>
      </c>
      <c r="J2781" s="243">
        <v>62</v>
      </c>
      <c r="K2781" s="243">
        <v>78</v>
      </c>
      <c r="L2781" s="243">
        <v>57</v>
      </c>
      <c r="M2781" s="243">
        <v>54</v>
      </c>
      <c r="N2781" s="243">
        <v>72</v>
      </c>
      <c r="O2781" s="253">
        <v>54</v>
      </c>
    </row>
    <row r="2782" spans="1:15">
      <c r="A2782" s="242" t="s">
        <v>72</v>
      </c>
      <c r="B2782" s="43" t="s">
        <v>4</v>
      </c>
      <c r="C2782" s="15">
        <v>84</v>
      </c>
      <c r="D2782" s="244">
        <v>15</v>
      </c>
      <c r="E2782" s="244">
        <v>12</v>
      </c>
      <c r="F2782" s="244">
        <v>6</v>
      </c>
      <c r="G2782" s="244">
        <v>2</v>
      </c>
      <c r="H2782" s="244">
        <v>3</v>
      </c>
      <c r="I2782" s="244">
        <v>7</v>
      </c>
      <c r="J2782" s="244">
        <v>5</v>
      </c>
      <c r="K2782" s="244">
        <v>8</v>
      </c>
      <c r="L2782" s="244">
        <v>10</v>
      </c>
      <c r="M2782" s="244">
        <v>3</v>
      </c>
      <c r="N2782" s="244">
        <v>9</v>
      </c>
      <c r="O2782" s="254">
        <v>4</v>
      </c>
    </row>
    <row r="2783" spans="1:15">
      <c r="A2783" s="240" t="s">
        <v>72</v>
      </c>
      <c r="B2783" s="47" t="s">
        <v>5</v>
      </c>
      <c r="C2783" s="12">
        <v>0.121037463976945</v>
      </c>
      <c r="D2783" s="241">
        <v>0.161290322580645</v>
      </c>
      <c r="E2783" s="241">
        <v>0.19672131147541</v>
      </c>
      <c r="F2783" s="241">
        <v>0.166666666666667</v>
      </c>
      <c r="G2783" s="241">
        <v>0.0571428571428571</v>
      </c>
      <c r="H2783" s="241">
        <v>0.0769230769230769</v>
      </c>
      <c r="I2783" s="241">
        <v>0.132075471698113</v>
      </c>
      <c r="J2783" s="241">
        <v>0.0806451612903226</v>
      </c>
      <c r="K2783" s="241">
        <v>0.102564102564103</v>
      </c>
      <c r="L2783" s="241">
        <v>0.175438596491228</v>
      </c>
      <c r="M2783" s="241">
        <v>0.0555555555555556</v>
      </c>
      <c r="N2783" s="241">
        <v>0.125</v>
      </c>
      <c r="O2783" s="252">
        <v>0.0740740740740741</v>
      </c>
    </row>
    <row r="2784" spans="1:15">
      <c r="A2784" s="242" t="s">
        <v>72</v>
      </c>
      <c r="B2784" s="43" t="s">
        <v>6</v>
      </c>
      <c r="C2784" s="15">
        <v>28</v>
      </c>
      <c r="D2784" s="244">
        <v>5</v>
      </c>
      <c r="E2784" s="244">
        <v>5</v>
      </c>
      <c r="F2784" s="244">
        <v>0</v>
      </c>
      <c r="G2784" s="244">
        <v>2</v>
      </c>
      <c r="H2784" s="244">
        <v>1</v>
      </c>
      <c r="I2784" s="244">
        <v>2</v>
      </c>
      <c r="J2784" s="244">
        <v>2</v>
      </c>
      <c r="K2784" s="244">
        <v>3</v>
      </c>
      <c r="L2784" s="244">
        <v>3</v>
      </c>
      <c r="M2784" s="244">
        <v>0</v>
      </c>
      <c r="N2784" s="244">
        <v>4</v>
      </c>
      <c r="O2784" s="254">
        <v>1</v>
      </c>
    </row>
    <row r="2785" ht="14.25" spans="1:15">
      <c r="A2785" s="245" t="s">
        <v>72</v>
      </c>
      <c r="B2785" s="52" t="s">
        <v>64</v>
      </c>
      <c r="C2785" s="19">
        <v>0.333333333333333</v>
      </c>
      <c r="D2785" s="19">
        <v>0.333333333333333</v>
      </c>
      <c r="E2785" s="19">
        <v>0.416666666666667</v>
      </c>
      <c r="F2785" s="19">
        <v>0</v>
      </c>
      <c r="G2785" s="19">
        <v>1</v>
      </c>
      <c r="H2785" s="19">
        <v>0.333333333333333</v>
      </c>
      <c r="I2785" s="19">
        <v>0.285714285714286</v>
      </c>
      <c r="J2785" s="19">
        <v>0.4</v>
      </c>
      <c r="K2785" s="19">
        <v>0.375</v>
      </c>
      <c r="L2785" s="19">
        <v>0.3</v>
      </c>
      <c r="M2785" s="19">
        <v>0</v>
      </c>
      <c r="N2785" s="19">
        <v>0.444444444444444</v>
      </c>
      <c r="O2785" s="19">
        <v>0.25</v>
      </c>
    </row>
    <row r="2786" ht="14.25" spans="1:15">
      <c r="A2786" s="237">
        <v>45062</v>
      </c>
      <c r="B2786" s="237"/>
      <c r="C2786" s="237"/>
      <c r="D2786" s="237"/>
      <c r="E2786" s="237"/>
      <c r="F2786" s="237"/>
      <c r="G2786" s="237"/>
      <c r="H2786" s="237"/>
      <c r="I2786" s="237"/>
      <c r="J2786" s="237"/>
      <c r="K2786" s="237"/>
      <c r="L2786" s="237"/>
      <c r="M2786" s="237"/>
      <c r="N2786" s="237"/>
      <c r="O2786" s="237"/>
    </row>
    <row r="2787" spans="1:15">
      <c r="A2787" s="56" t="s">
        <v>1</v>
      </c>
      <c r="B2787" s="238"/>
      <c r="C2787" s="8" t="s">
        <v>42</v>
      </c>
      <c r="D2787" s="239" t="s">
        <v>43</v>
      </c>
      <c r="E2787" s="239" t="s">
        <v>44</v>
      </c>
      <c r="F2787" s="239" t="s">
        <v>45</v>
      </c>
      <c r="G2787" s="239" t="s">
        <v>46</v>
      </c>
      <c r="H2787" s="239" t="s">
        <v>47</v>
      </c>
      <c r="I2787" s="239" t="s">
        <v>48</v>
      </c>
      <c r="J2787" s="239" t="s">
        <v>49</v>
      </c>
      <c r="K2787" s="239" t="s">
        <v>50</v>
      </c>
      <c r="L2787" s="239" t="s">
        <v>51</v>
      </c>
      <c r="M2787" s="239" t="s">
        <v>52</v>
      </c>
      <c r="N2787" s="239" t="s">
        <v>53</v>
      </c>
      <c r="O2787" s="251" t="s">
        <v>54</v>
      </c>
    </row>
    <row r="2788" spans="1:15">
      <c r="A2788" s="240" t="s">
        <v>22</v>
      </c>
      <c r="B2788" s="47" t="s">
        <v>55</v>
      </c>
      <c r="C2788" s="12">
        <v>0.403391883706844</v>
      </c>
      <c r="D2788" s="241">
        <v>0.387640449438202</v>
      </c>
      <c r="E2788" s="241">
        <v>0.424581005586592</v>
      </c>
      <c r="F2788" s="241">
        <v>0.611111111111111</v>
      </c>
      <c r="G2788" s="241">
        <v>0.525179856115108</v>
      </c>
      <c r="H2788" s="241">
        <v>0.432900432900433</v>
      </c>
      <c r="I2788" s="241">
        <v>0.405405405405405</v>
      </c>
      <c r="J2788" s="241">
        <v>0.52991452991453</v>
      </c>
      <c r="K2788" s="241">
        <v>0.37888198757764</v>
      </c>
      <c r="L2788" s="241">
        <v>0.421725239616613</v>
      </c>
      <c r="M2788" s="241">
        <v>0.372611464968153</v>
      </c>
      <c r="N2788" s="241">
        <v>0.361904761904762</v>
      </c>
      <c r="O2788" s="252">
        <v>0.310112359550562</v>
      </c>
    </row>
    <row r="2789" spans="1:15">
      <c r="A2789" s="242" t="s">
        <v>22</v>
      </c>
      <c r="B2789" s="43" t="s">
        <v>57</v>
      </c>
      <c r="C2789" s="15">
        <v>3302</v>
      </c>
      <c r="D2789" s="243">
        <v>356</v>
      </c>
      <c r="E2789" s="243">
        <v>179</v>
      </c>
      <c r="F2789" s="243">
        <v>90</v>
      </c>
      <c r="G2789" s="243">
        <v>139</v>
      </c>
      <c r="H2789" s="243">
        <v>231</v>
      </c>
      <c r="I2789" s="243">
        <v>259</v>
      </c>
      <c r="J2789" s="243">
        <v>234</v>
      </c>
      <c r="K2789" s="243">
        <v>322</v>
      </c>
      <c r="L2789" s="243">
        <v>313</v>
      </c>
      <c r="M2789" s="243">
        <v>314</v>
      </c>
      <c r="N2789" s="243">
        <v>420</v>
      </c>
      <c r="O2789" s="253">
        <v>445</v>
      </c>
    </row>
    <row r="2790" spans="1:15">
      <c r="A2790" s="240" t="s">
        <v>22</v>
      </c>
      <c r="B2790" s="47" t="s">
        <v>59</v>
      </c>
      <c r="C2790" s="15">
        <v>1332</v>
      </c>
      <c r="D2790" s="243">
        <v>138</v>
      </c>
      <c r="E2790" s="243">
        <v>76</v>
      </c>
      <c r="F2790" s="243">
        <v>55</v>
      </c>
      <c r="G2790" s="243">
        <v>73</v>
      </c>
      <c r="H2790" s="243">
        <v>100</v>
      </c>
      <c r="I2790" s="243">
        <v>105</v>
      </c>
      <c r="J2790" s="243">
        <v>124</v>
      </c>
      <c r="K2790" s="243">
        <v>122</v>
      </c>
      <c r="L2790" s="243">
        <v>132</v>
      </c>
      <c r="M2790" s="243">
        <v>117</v>
      </c>
      <c r="N2790" s="243">
        <v>152</v>
      </c>
      <c r="O2790" s="253">
        <v>138</v>
      </c>
    </row>
    <row r="2791" spans="1:15">
      <c r="A2791" s="242" t="s">
        <v>22</v>
      </c>
      <c r="B2791" s="43" t="s">
        <v>4</v>
      </c>
      <c r="C2791" s="15">
        <v>104</v>
      </c>
      <c r="D2791" s="244">
        <v>6</v>
      </c>
      <c r="E2791" s="244">
        <v>8</v>
      </c>
      <c r="F2791" s="244">
        <v>4</v>
      </c>
      <c r="G2791" s="244">
        <v>2</v>
      </c>
      <c r="H2791" s="244">
        <v>7</v>
      </c>
      <c r="I2791" s="244">
        <v>7</v>
      </c>
      <c r="J2791" s="244">
        <v>4</v>
      </c>
      <c r="K2791" s="244">
        <v>12</v>
      </c>
      <c r="L2791" s="244">
        <v>15</v>
      </c>
      <c r="M2791" s="244">
        <v>15</v>
      </c>
      <c r="N2791" s="244">
        <v>14</v>
      </c>
      <c r="O2791" s="254">
        <v>10</v>
      </c>
    </row>
    <row r="2792" spans="1:15">
      <c r="A2792" s="240" t="s">
        <v>22</v>
      </c>
      <c r="B2792" s="47" t="s">
        <v>5</v>
      </c>
      <c r="C2792" s="12">
        <v>0.0780780780780781</v>
      </c>
      <c r="D2792" s="241">
        <v>0.0434782608695652</v>
      </c>
      <c r="E2792" s="241">
        <v>0.105263157894737</v>
      </c>
      <c r="F2792" s="241">
        <v>0.0727272727272727</v>
      </c>
      <c r="G2792" s="241">
        <v>0.0273972602739726</v>
      </c>
      <c r="H2792" s="241">
        <v>0.07</v>
      </c>
      <c r="I2792" s="241">
        <v>0.0666666666666667</v>
      </c>
      <c r="J2792" s="241">
        <v>0.032258064516129</v>
      </c>
      <c r="K2792" s="241">
        <v>0.0983606557377049</v>
      </c>
      <c r="L2792" s="241">
        <v>0.113636363636364</v>
      </c>
      <c r="M2792" s="241">
        <v>0.128205128205128</v>
      </c>
      <c r="N2792" s="241">
        <v>0.0921052631578947</v>
      </c>
      <c r="O2792" s="252">
        <v>0.072463768115942</v>
      </c>
    </row>
    <row r="2793" spans="1:15">
      <c r="A2793" s="242" t="s">
        <v>22</v>
      </c>
      <c r="B2793" s="43" t="s">
        <v>6</v>
      </c>
      <c r="C2793" s="15">
        <v>37</v>
      </c>
      <c r="D2793" s="244">
        <v>2</v>
      </c>
      <c r="E2793" s="244">
        <v>3</v>
      </c>
      <c r="F2793" s="244">
        <v>1</v>
      </c>
      <c r="G2793" s="244">
        <v>2</v>
      </c>
      <c r="H2793" s="244">
        <v>4</v>
      </c>
      <c r="I2793" s="244">
        <v>2</v>
      </c>
      <c r="J2793" s="244">
        <v>3</v>
      </c>
      <c r="K2793" s="244">
        <v>4</v>
      </c>
      <c r="L2793" s="244">
        <v>6</v>
      </c>
      <c r="M2793" s="244">
        <v>4</v>
      </c>
      <c r="N2793" s="244">
        <v>5</v>
      </c>
      <c r="O2793" s="254">
        <v>1</v>
      </c>
    </row>
    <row r="2794" ht="14.25" spans="1:15">
      <c r="A2794" s="245" t="s">
        <v>22</v>
      </c>
      <c r="B2794" s="52" t="s">
        <v>64</v>
      </c>
      <c r="C2794" s="19">
        <v>0.355769230769231</v>
      </c>
      <c r="D2794" s="246">
        <v>0.333333333333333</v>
      </c>
      <c r="E2794" s="246">
        <v>0.375</v>
      </c>
      <c r="F2794" s="246">
        <v>0.25</v>
      </c>
      <c r="G2794" s="246">
        <v>1</v>
      </c>
      <c r="H2794" s="246">
        <v>0.571428571428571</v>
      </c>
      <c r="I2794" s="246">
        <v>0.285714285714286</v>
      </c>
      <c r="J2794" s="246">
        <v>0.75</v>
      </c>
      <c r="K2794" s="246">
        <v>0.333333333333333</v>
      </c>
      <c r="L2794" s="246">
        <v>0.4</v>
      </c>
      <c r="M2794" s="246">
        <v>0.266666666666667</v>
      </c>
      <c r="N2794" s="246">
        <v>0.357142857142857</v>
      </c>
      <c r="O2794" s="255">
        <v>0.1</v>
      </c>
    </row>
    <row r="2795" spans="1:15">
      <c r="A2795" s="247" t="s">
        <v>66</v>
      </c>
      <c r="B2795" s="248" t="s">
        <v>55</v>
      </c>
      <c r="C2795" s="12">
        <v>0.109368191721133</v>
      </c>
      <c r="D2795" s="249">
        <v>0.0885416666666667</v>
      </c>
      <c r="E2795" s="249">
        <v>0.0375335120643432</v>
      </c>
      <c r="F2795" s="249">
        <v>0.03515625</v>
      </c>
      <c r="G2795" s="249">
        <v>0.103260869565217</v>
      </c>
      <c r="H2795" s="249">
        <v>0.115384615384615</v>
      </c>
      <c r="I2795" s="249">
        <v>0.125874125874126</v>
      </c>
      <c r="J2795" s="249">
        <v>0.153333333333333</v>
      </c>
      <c r="K2795" s="249">
        <v>0.225806451612903</v>
      </c>
      <c r="L2795" s="249">
        <v>0.2</v>
      </c>
      <c r="M2795" s="249">
        <v>0.174757281553398</v>
      </c>
      <c r="N2795" s="249">
        <v>0.182539682539683</v>
      </c>
      <c r="O2795" s="256">
        <v>0.133333333333333</v>
      </c>
    </row>
    <row r="2796" spans="1:15">
      <c r="A2796" s="242" t="s">
        <v>66</v>
      </c>
      <c r="B2796" s="43" t="s">
        <v>57</v>
      </c>
      <c r="C2796" s="15">
        <v>2295</v>
      </c>
      <c r="D2796" s="243">
        <v>384</v>
      </c>
      <c r="E2796" s="243">
        <v>373</v>
      </c>
      <c r="F2796" s="243">
        <v>256</v>
      </c>
      <c r="G2796" s="243">
        <v>184</v>
      </c>
      <c r="H2796" s="243">
        <v>182</v>
      </c>
      <c r="I2796" s="243">
        <v>143</v>
      </c>
      <c r="J2796" s="243">
        <v>150</v>
      </c>
      <c r="K2796" s="243">
        <v>124</v>
      </c>
      <c r="L2796" s="243">
        <v>120</v>
      </c>
      <c r="M2796" s="243">
        <v>103</v>
      </c>
      <c r="N2796" s="243">
        <v>126</v>
      </c>
      <c r="O2796" s="253">
        <v>150</v>
      </c>
    </row>
    <row r="2797" spans="1:15">
      <c r="A2797" s="240" t="s">
        <v>66</v>
      </c>
      <c r="B2797" s="47" t="s">
        <v>59</v>
      </c>
      <c r="C2797" s="15">
        <v>251</v>
      </c>
      <c r="D2797" s="243">
        <v>34</v>
      </c>
      <c r="E2797" s="243">
        <v>14</v>
      </c>
      <c r="F2797" s="243">
        <v>9</v>
      </c>
      <c r="G2797" s="243">
        <v>19</v>
      </c>
      <c r="H2797" s="243">
        <v>21</v>
      </c>
      <c r="I2797" s="243">
        <v>18</v>
      </c>
      <c r="J2797" s="243">
        <v>23</v>
      </c>
      <c r="K2797" s="243">
        <v>28</v>
      </c>
      <c r="L2797" s="243">
        <v>24</v>
      </c>
      <c r="M2797" s="243">
        <v>18</v>
      </c>
      <c r="N2797" s="243">
        <v>23</v>
      </c>
      <c r="O2797" s="253">
        <v>20</v>
      </c>
    </row>
    <row r="2798" spans="1:15">
      <c r="A2798" s="242" t="s">
        <v>66</v>
      </c>
      <c r="B2798" s="43" t="s">
        <v>4</v>
      </c>
      <c r="C2798" s="15">
        <v>14</v>
      </c>
      <c r="D2798" s="244">
        <v>1</v>
      </c>
      <c r="E2798" s="244">
        <v>2</v>
      </c>
      <c r="F2798" s="244">
        <v>0</v>
      </c>
      <c r="G2798" s="244">
        <v>1</v>
      </c>
      <c r="H2798" s="244">
        <v>0</v>
      </c>
      <c r="I2798" s="244">
        <v>1</v>
      </c>
      <c r="J2798" s="244">
        <v>0</v>
      </c>
      <c r="K2798" s="244">
        <v>2</v>
      </c>
      <c r="L2798" s="244">
        <v>2</v>
      </c>
      <c r="M2798" s="244">
        <v>0</v>
      </c>
      <c r="N2798" s="244">
        <v>3</v>
      </c>
      <c r="O2798" s="254">
        <v>2</v>
      </c>
    </row>
    <row r="2799" spans="1:15">
      <c r="A2799" s="240" t="s">
        <v>66</v>
      </c>
      <c r="B2799" s="47" t="s">
        <v>5</v>
      </c>
      <c r="C2799" s="12">
        <v>0.0557768924302789</v>
      </c>
      <c r="D2799" s="241">
        <v>0.0294117647058824</v>
      </c>
      <c r="E2799" s="241">
        <v>0.142857142857143</v>
      </c>
      <c r="F2799" s="241">
        <v>0</v>
      </c>
      <c r="G2799" s="241">
        <v>0.0526315789473684</v>
      </c>
      <c r="H2799" s="241">
        <v>0</v>
      </c>
      <c r="I2799" s="241">
        <v>0.0555555555555556</v>
      </c>
      <c r="J2799" s="241">
        <v>0</v>
      </c>
      <c r="K2799" s="241">
        <v>0.0714285714285714</v>
      </c>
      <c r="L2799" s="241">
        <v>0.0833333333333333</v>
      </c>
      <c r="M2799" s="241">
        <v>0</v>
      </c>
      <c r="N2799" s="241">
        <v>0.130434782608696</v>
      </c>
      <c r="O2799" s="252">
        <v>0.1</v>
      </c>
    </row>
    <row r="2800" spans="1:15">
      <c r="A2800" s="242" t="s">
        <v>66</v>
      </c>
      <c r="B2800" s="43" t="s">
        <v>6</v>
      </c>
      <c r="C2800" s="15">
        <v>4</v>
      </c>
      <c r="D2800" s="244">
        <v>1</v>
      </c>
      <c r="E2800" s="244">
        <v>1</v>
      </c>
      <c r="F2800" s="244">
        <v>0</v>
      </c>
      <c r="G2800" s="244">
        <v>0</v>
      </c>
      <c r="H2800" s="244">
        <v>0</v>
      </c>
      <c r="I2800" s="244">
        <v>1</v>
      </c>
      <c r="J2800" s="244">
        <v>0</v>
      </c>
      <c r="K2800" s="244">
        <v>1</v>
      </c>
      <c r="L2800" s="244">
        <v>0</v>
      </c>
      <c r="M2800" s="244">
        <v>0</v>
      </c>
      <c r="N2800" s="244">
        <v>0</v>
      </c>
      <c r="O2800" s="254">
        <v>0</v>
      </c>
    </row>
    <row r="2801" ht="14.25" spans="1:15">
      <c r="A2801" s="245" t="s">
        <v>66</v>
      </c>
      <c r="B2801" s="52" t="s">
        <v>64</v>
      </c>
      <c r="C2801" s="19">
        <v>0.285714285714286</v>
      </c>
      <c r="D2801" s="246">
        <v>1</v>
      </c>
      <c r="E2801" s="246">
        <v>0.5</v>
      </c>
      <c r="F2801" s="246">
        <v>0</v>
      </c>
      <c r="G2801" s="246">
        <v>0</v>
      </c>
      <c r="H2801" s="246">
        <v>0</v>
      </c>
      <c r="I2801" s="246">
        <v>1</v>
      </c>
      <c r="J2801" s="246">
        <v>0</v>
      </c>
      <c r="K2801" s="246">
        <v>0.5</v>
      </c>
      <c r="L2801" s="246">
        <v>0</v>
      </c>
      <c r="M2801" s="246">
        <v>0</v>
      </c>
      <c r="N2801" s="246">
        <v>0</v>
      </c>
      <c r="O2801" s="255">
        <v>0</v>
      </c>
    </row>
    <row r="2802" spans="1:15">
      <c r="A2802" s="240" t="s">
        <v>67</v>
      </c>
      <c r="B2802" s="47" t="s">
        <v>55</v>
      </c>
      <c r="C2802" s="12">
        <v>0.985645933014354</v>
      </c>
      <c r="D2802" s="241">
        <v>0.833333333333333</v>
      </c>
      <c r="E2802" s="241">
        <v>1.2</v>
      </c>
      <c r="F2802" s="241">
        <v>2.4</v>
      </c>
      <c r="G2802" s="241">
        <v>1.57142857142857</v>
      </c>
      <c r="H2802" s="241">
        <v>2.25</v>
      </c>
      <c r="I2802" s="241">
        <v>0.722222222222222</v>
      </c>
      <c r="J2802" s="241">
        <v>1.08695652173913</v>
      </c>
      <c r="K2802" s="241">
        <v>1.04761904761905</v>
      </c>
      <c r="L2802" s="241">
        <v>0.444444444444444</v>
      </c>
      <c r="M2802" s="241">
        <v>0.875</v>
      </c>
      <c r="N2802" s="241">
        <v>1</v>
      </c>
      <c r="O2802" s="252">
        <v>0.586206896551724</v>
      </c>
    </row>
    <row r="2803" spans="1:15">
      <c r="A2803" s="242" t="s">
        <v>67</v>
      </c>
      <c r="B2803" s="43" t="s">
        <v>57</v>
      </c>
      <c r="C2803" s="15">
        <v>209</v>
      </c>
      <c r="D2803" s="243">
        <v>30</v>
      </c>
      <c r="E2803" s="243">
        <v>10</v>
      </c>
      <c r="F2803" s="243">
        <v>5</v>
      </c>
      <c r="G2803" s="243">
        <v>7</v>
      </c>
      <c r="H2803" s="243">
        <v>12</v>
      </c>
      <c r="I2803" s="243">
        <v>18</v>
      </c>
      <c r="J2803" s="243">
        <v>23</v>
      </c>
      <c r="K2803" s="243">
        <v>21</v>
      </c>
      <c r="L2803" s="243">
        <v>18</v>
      </c>
      <c r="M2803" s="243">
        <v>16</v>
      </c>
      <c r="N2803" s="243">
        <v>20</v>
      </c>
      <c r="O2803" s="253">
        <v>29</v>
      </c>
    </row>
    <row r="2804" spans="1:15">
      <c r="A2804" s="240" t="s">
        <v>67</v>
      </c>
      <c r="B2804" s="47" t="s">
        <v>59</v>
      </c>
      <c r="C2804" s="15">
        <v>206</v>
      </c>
      <c r="D2804" s="243">
        <v>25</v>
      </c>
      <c r="E2804" s="243">
        <v>12</v>
      </c>
      <c r="F2804" s="243">
        <v>12</v>
      </c>
      <c r="G2804" s="243">
        <v>11</v>
      </c>
      <c r="H2804" s="243">
        <v>27</v>
      </c>
      <c r="I2804" s="243">
        <v>13</v>
      </c>
      <c r="J2804" s="243">
        <v>25</v>
      </c>
      <c r="K2804" s="243">
        <v>22</v>
      </c>
      <c r="L2804" s="243">
        <v>8</v>
      </c>
      <c r="M2804" s="243">
        <v>14</v>
      </c>
      <c r="N2804" s="243">
        <v>20</v>
      </c>
      <c r="O2804" s="253">
        <v>17</v>
      </c>
    </row>
    <row r="2805" spans="1:15">
      <c r="A2805" s="242" t="s">
        <v>67</v>
      </c>
      <c r="B2805" s="43" t="s">
        <v>4</v>
      </c>
      <c r="C2805" s="15">
        <v>9</v>
      </c>
      <c r="D2805" s="244">
        <v>2</v>
      </c>
      <c r="E2805" s="244">
        <v>1</v>
      </c>
      <c r="F2805" s="244">
        <v>0</v>
      </c>
      <c r="G2805" s="244">
        <v>0</v>
      </c>
      <c r="H2805" s="244">
        <v>0</v>
      </c>
      <c r="I2805" s="244">
        <v>0</v>
      </c>
      <c r="J2805" s="244">
        <v>0</v>
      </c>
      <c r="K2805" s="244">
        <v>4</v>
      </c>
      <c r="L2805" s="244">
        <v>1</v>
      </c>
      <c r="M2805" s="244">
        <v>0</v>
      </c>
      <c r="N2805" s="244">
        <v>0</v>
      </c>
      <c r="O2805" s="254">
        <v>1</v>
      </c>
    </row>
    <row r="2806" spans="1:15">
      <c r="A2806" s="240" t="s">
        <v>67</v>
      </c>
      <c r="B2806" s="47" t="s">
        <v>5</v>
      </c>
      <c r="C2806" s="12">
        <v>0.0436893203883495</v>
      </c>
      <c r="D2806" s="241">
        <v>0.08</v>
      </c>
      <c r="E2806" s="241">
        <v>0.0833333333333333</v>
      </c>
      <c r="F2806" s="241">
        <v>0</v>
      </c>
      <c r="G2806" s="241">
        <v>0</v>
      </c>
      <c r="H2806" s="241">
        <v>0</v>
      </c>
      <c r="I2806" s="241">
        <v>0</v>
      </c>
      <c r="J2806" s="241">
        <v>0</v>
      </c>
      <c r="K2806" s="241">
        <v>0.181818181818182</v>
      </c>
      <c r="L2806" s="241">
        <v>0.125</v>
      </c>
      <c r="M2806" s="241">
        <v>0</v>
      </c>
      <c r="N2806" s="241">
        <v>0</v>
      </c>
      <c r="O2806" s="252">
        <v>0.0588235294117647</v>
      </c>
    </row>
    <row r="2807" spans="1:15">
      <c r="A2807" s="242" t="s">
        <v>67</v>
      </c>
      <c r="B2807" s="43" t="s">
        <v>6</v>
      </c>
      <c r="C2807" s="15">
        <v>6</v>
      </c>
      <c r="D2807" s="244">
        <v>0</v>
      </c>
      <c r="E2807" s="244">
        <v>0</v>
      </c>
      <c r="F2807" s="244">
        <v>0</v>
      </c>
      <c r="G2807" s="244">
        <v>0</v>
      </c>
      <c r="H2807" s="244">
        <v>2</v>
      </c>
      <c r="I2807" s="244">
        <v>1</v>
      </c>
      <c r="J2807" s="244">
        <v>0</v>
      </c>
      <c r="K2807" s="244">
        <v>0</v>
      </c>
      <c r="L2807" s="244">
        <v>2</v>
      </c>
      <c r="M2807" s="244">
        <v>0</v>
      </c>
      <c r="N2807" s="244">
        <v>0</v>
      </c>
      <c r="O2807" s="254">
        <v>1</v>
      </c>
    </row>
    <row r="2808" ht="14.25" spans="1:15">
      <c r="A2808" s="245" t="s">
        <v>67</v>
      </c>
      <c r="B2808" s="52" t="s">
        <v>64</v>
      </c>
      <c r="C2808" s="19">
        <v>0.666666666666667</v>
      </c>
      <c r="D2808" s="246">
        <v>0</v>
      </c>
      <c r="E2808" s="246">
        <v>0</v>
      </c>
      <c r="F2808" s="246">
        <v>0</v>
      </c>
      <c r="G2808" s="246">
        <v>0</v>
      </c>
      <c r="H2808" s="246">
        <v>0</v>
      </c>
      <c r="I2808" s="246">
        <v>0</v>
      </c>
      <c r="J2808" s="246">
        <v>0</v>
      </c>
      <c r="K2808" s="246">
        <v>0</v>
      </c>
      <c r="L2808" s="246">
        <v>2</v>
      </c>
      <c r="M2808" s="246">
        <v>0</v>
      </c>
      <c r="N2808" s="246">
        <v>0</v>
      </c>
      <c r="O2808" s="255">
        <v>1</v>
      </c>
    </row>
    <row r="2809" spans="1:15">
      <c r="A2809" s="240" t="s">
        <v>68</v>
      </c>
      <c r="B2809" s="47" t="s">
        <v>55</v>
      </c>
      <c r="C2809" s="12">
        <v>0.230458221024259</v>
      </c>
      <c r="D2809" s="241">
        <v>0.19622641509434</v>
      </c>
      <c r="E2809" s="241">
        <v>0.241666666666667</v>
      </c>
      <c r="F2809" s="241">
        <v>0.382716049382716</v>
      </c>
      <c r="G2809" s="241">
        <v>0.329787234042553</v>
      </c>
      <c r="H2809" s="241">
        <v>0.299539170506912</v>
      </c>
      <c r="I2809" s="241">
        <v>0.230496453900709</v>
      </c>
      <c r="J2809" s="241">
        <v>0.26615969581749</v>
      </c>
      <c r="K2809" s="241">
        <v>0.248344370860927</v>
      </c>
      <c r="L2809" s="241">
        <v>0.219879518072289</v>
      </c>
      <c r="M2809" s="241">
        <v>0.210526315789474</v>
      </c>
      <c r="N2809" s="241">
        <v>0.204545454545455</v>
      </c>
      <c r="O2809" s="252">
        <v>0.162666666666667</v>
      </c>
    </row>
    <row r="2810" spans="1:15">
      <c r="A2810" s="242" t="s">
        <v>68</v>
      </c>
      <c r="B2810" s="43" t="s">
        <v>57</v>
      </c>
      <c r="C2810" s="15">
        <v>2968</v>
      </c>
      <c r="D2810" s="243">
        <v>265</v>
      </c>
      <c r="E2810" s="243">
        <v>120</v>
      </c>
      <c r="F2810" s="243">
        <v>81</v>
      </c>
      <c r="G2810" s="243">
        <v>94</v>
      </c>
      <c r="H2810" s="243">
        <v>217</v>
      </c>
      <c r="I2810" s="243">
        <v>282</v>
      </c>
      <c r="J2810" s="243">
        <v>263</v>
      </c>
      <c r="K2810" s="243">
        <v>302</v>
      </c>
      <c r="L2810" s="243">
        <v>332</v>
      </c>
      <c r="M2810" s="243">
        <v>285</v>
      </c>
      <c r="N2810" s="243">
        <v>352</v>
      </c>
      <c r="O2810" s="253">
        <v>375</v>
      </c>
    </row>
    <row r="2811" spans="1:15">
      <c r="A2811" s="240" t="s">
        <v>68</v>
      </c>
      <c r="B2811" s="47" t="s">
        <v>59</v>
      </c>
      <c r="C2811" s="15">
        <v>684</v>
      </c>
      <c r="D2811" s="243">
        <v>52</v>
      </c>
      <c r="E2811" s="243">
        <v>29</v>
      </c>
      <c r="F2811" s="243">
        <v>31</v>
      </c>
      <c r="G2811" s="243">
        <v>31</v>
      </c>
      <c r="H2811" s="243">
        <v>65</v>
      </c>
      <c r="I2811" s="243">
        <v>65</v>
      </c>
      <c r="J2811" s="243">
        <v>70</v>
      </c>
      <c r="K2811" s="243">
        <v>75</v>
      </c>
      <c r="L2811" s="243">
        <v>73</v>
      </c>
      <c r="M2811" s="243">
        <v>60</v>
      </c>
      <c r="N2811" s="243">
        <v>72</v>
      </c>
      <c r="O2811" s="253">
        <v>61</v>
      </c>
    </row>
    <row r="2812" spans="1:15">
      <c r="A2812" s="242" t="s">
        <v>68</v>
      </c>
      <c r="B2812" s="43" t="s">
        <v>4</v>
      </c>
      <c r="C2812" s="15">
        <v>19</v>
      </c>
      <c r="D2812" s="244">
        <v>1</v>
      </c>
      <c r="E2812" s="244">
        <v>0</v>
      </c>
      <c r="F2812" s="244">
        <v>3</v>
      </c>
      <c r="G2812" s="244">
        <v>0</v>
      </c>
      <c r="H2812" s="244">
        <v>0</v>
      </c>
      <c r="I2812" s="244">
        <v>0</v>
      </c>
      <c r="J2812" s="244">
        <v>3</v>
      </c>
      <c r="K2812" s="244">
        <v>1</v>
      </c>
      <c r="L2812" s="244">
        <v>2</v>
      </c>
      <c r="M2812" s="244">
        <v>4</v>
      </c>
      <c r="N2812" s="244">
        <v>1</v>
      </c>
      <c r="O2812" s="254">
        <v>4</v>
      </c>
    </row>
    <row r="2813" spans="1:15">
      <c r="A2813" s="240" t="s">
        <v>68</v>
      </c>
      <c r="B2813" s="47" t="s">
        <v>5</v>
      </c>
      <c r="C2813" s="12">
        <v>0.0277777777777778</v>
      </c>
      <c r="D2813" s="241">
        <v>0.0192307692307692</v>
      </c>
      <c r="E2813" s="241">
        <v>0</v>
      </c>
      <c r="F2813" s="241">
        <v>0.0967741935483871</v>
      </c>
      <c r="G2813" s="241">
        <v>0</v>
      </c>
      <c r="H2813" s="241">
        <v>0</v>
      </c>
      <c r="I2813" s="241">
        <v>0</v>
      </c>
      <c r="J2813" s="241">
        <v>0.0428571428571429</v>
      </c>
      <c r="K2813" s="241">
        <v>0.0133333333333333</v>
      </c>
      <c r="L2813" s="241">
        <v>0.0273972602739726</v>
      </c>
      <c r="M2813" s="241">
        <v>0.0666666666666667</v>
      </c>
      <c r="N2813" s="241">
        <v>0.0138888888888889</v>
      </c>
      <c r="O2813" s="252">
        <v>0.0655737704918033</v>
      </c>
    </row>
    <row r="2814" spans="1:15">
      <c r="A2814" s="242" t="s">
        <v>68</v>
      </c>
      <c r="B2814" s="43" t="s">
        <v>6</v>
      </c>
      <c r="C2814" s="15">
        <v>10</v>
      </c>
      <c r="D2814" s="244">
        <v>1</v>
      </c>
      <c r="E2814" s="244">
        <v>0</v>
      </c>
      <c r="F2814" s="244">
        <v>0</v>
      </c>
      <c r="G2814" s="244">
        <v>0</v>
      </c>
      <c r="H2814" s="244">
        <v>0</v>
      </c>
      <c r="I2814" s="244">
        <v>1</v>
      </c>
      <c r="J2814" s="244">
        <v>0</v>
      </c>
      <c r="K2814" s="244">
        <v>1</v>
      </c>
      <c r="L2814" s="244">
        <v>2</v>
      </c>
      <c r="M2814" s="244">
        <v>1</v>
      </c>
      <c r="N2814" s="244">
        <v>3</v>
      </c>
      <c r="O2814" s="254">
        <v>1</v>
      </c>
    </row>
    <row r="2815" ht="14.25" spans="1:15">
      <c r="A2815" s="245" t="s">
        <v>68</v>
      </c>
      <c r="B2815" s="52" t="s">
        <v>64</v>
      </c>
      <c r="C2815" s="19">
        <v>0.526315789473684</v>
      </c>
      <c r="D2815" s="246">
        <v>1</v>
      </c>
      <c r="E2815" s="246">
        <v>0</v>
      </c>
      <c r="F2815" s="246">
        <v>0</v>
      </c>
      <c r="G2815" s="246">
        <v>0</v>
      </c>
      <c r="H2815" s="246">
        <v>0</v>
      </c>
      <c r="I2815" s="246">
        <v>0</v>
      </c>
      <c r="J2815" s="246">
        <v>0</v>
      </c>
      <c r="K2815" s="246">
        <v>1</v>
      </c>
      <c r="L2815" s="246">
        <v>1</v>
      </c>
      <c r="M2815" s="246">
        <v>0.25</v>
      </c>
      <c r="N2815" s="246">
        <v>3</v>
      </c>
      <c r="O2815" s="255">
        <v>0.25</v>
      </c>
    </row>
    <row r="2816" spans="1:15">
      <c r="A2816" s="240" t="s">
        <v>69</v>
      </c>
      <c r="B2816" s="47" t="s">
        <v>55</v>
      </c>
      <c r="C2816" s="12">
        <v>0.855195911413969</v>
      </c>
      <c r="D2816" s="241">
        <v>1.1304347826087</v>
      </c>
      <c r="E2816" s="241">
        <v>0.791666666666667</v>
      </c>
      <c r="F2816" s="241">
        <v>1</v>
      </c>
      <c r="G2816" s="241">
        <v>1</v>
      </c>
      <c r="H2816" s="241">
        <v>0.755102040816326</v>
      </c>
      <c r="I2816" s="241">
        <v>0.94</v>
      </c>
      <c r="J2816" s="241">
        <v>1.15555555555556</v>
      </c>
      <c r="K2816" s="241">
        <v>0.738461538461539</v>
      </c>
      <c r="L2816" s="241">
        <v>0.666666666666667</v>
      </c>
      <c r="M2816" s="241">
        <v>0.782608695652174</v>
      </c>
      <c r="N2816" s="241">
        <v>0.820224719101124</v>
      </c>
      <c r="O2816" s="252">
        <v>0.821428571428571</v>
      </c>
    </row>
    <row r="2817" spans="1:15">
      <c r="A2817" s="242" t="s">
        <v>69</v>
      </c>
      <c r="B2817" s="43" t="s">
        <v>57</v>
      </c>
      <c r="C2817" s="15">
        <v>587</v>
      </c>
      <c r="D2817" s="243">
        <v>46</v>
      </c>
      <c r="E2817" s="243">
        <v>24</v>
      </c>
      <c r="F2817" s="243">
        <v>15</v>
      </c>
      <c r="G2817" s="243">
        <v>19</v>
      </c>
      <c r="H2817" s="243">
        <v>49</v>
      </c>
      <c r="I2817" s="243">
        <v>50</v>
      </c>
      <c r="J2817" s="243">
        <v>45</v>
      </c>
      <c r="K2817" s="243">
        <v>65</v>
      </c>
      <c r="L2817" s="243">
        <v>60</v>
      </c>
      <c r="M2817" s="243">
        <v>69</v>
      </c>
      <c r="N2817" s="243">
        <v>89</v>
      </c>
      <c r="O2817" s="253">
        <v>56</v>
      </c>
    </row>
    <row r="2818" spans="1:15">
      <c r="A2818" s="240" t="s">
        <v>69</v>
      </c>
      <c r="B2818" s="47" t="s">
        <v>59</v>
      </c>
      <c r="C2818" s="15">
        <v>502</v>
      </c>
      <c r="D2818" s="243">
        <v>52</v>
      </c>
      <c r="E2818" s="243">
        <v>19</v>
      </c>
      <c r="F2818" s="243">
        <v>15</v>
      </c>
      <c r="G2818" s="243">
        <v>19</v>
      </c>
      <c r="H2818" s="243">
        <v>37</v>
      </c>
      <c r="I2818" s="243">
        <v>47</v>
      </c>
      <c r="J2818" s="243">
        <v>52</v>
      </c>
      <c r="K2818" s="243">
        <v>48</v>
      </c>
      <c r="L2818" s="243">
        <v>40</v>
      </c>
      <c r="M2818" s="243">
        <v>54</v>
      </c>
      <c r="N2818" s="243">
        <v>73</v>
      </c>
      <c r="O2818" s="253">
        <v>46</v>
      </c>
    </row>
    <row r="2819" spans="1:15">
      <c r="A2819" s="242" t="s">
        <v>69</v>
      </c>
      <c r="B2819" s="43" t="s">
        <v>4</v>
      </c>
      <c r="C2819" s="15">
        <v>26</v>
      </c>
      <c r="D2819" s="244">
        <v>1</v>
      </c>
      <c r="E2819" s="244">
        <v>0</v>
      </c>
      <c r="F2819" s="244">
        <v>0</v>
      </c>
      <c r="G2819" s="244">
        <v>0</v>
      </c>
      <c r="H2819" s="244">
        <v>0</v>
      </c>
      <c r="I2819" s="244">
        <v>1</v>
      </c>
      <c r="J2819" s="244">
        <v>8</v>
      </c>
      <c r="K2819" s="244">
        <v>6</v>
      </c>
      <c r="L2819" s="244">
        <v>0</v>
      </c>
      <c r="M2819" s="244">
        <v>6</v>
      </c>
      <c r="N2819" s="244">
        <v>3</v>
      </c>
      <c r="O2819" s="254">
        <v>1</v>
      </c>
    </row>
    <row r="2820" spans="1:15">
      <c r="A2820" s="240" t="s">
        <v>69</v>
      </c>
      <c r="B2820" s="47" t="s">
        <v>5</v>
      </c>
      <c r="C2820" s="12">
        <v>0.051792828685259</v>
      </c>
      <c r="D2820" s="241">
        <v>0.0192307692307692</v>
      </c>
      <c r="E2820" s="241">
        <v>0</v>
      </c>
      <c r="F2820" s="241">
        <v>0</v>
      </c>
      <c r="G2820" s="241">
        <v>0</v>
      </c>
      <c r="H2820" s="241">
        <v>0</v>
      </c>
      <c r="I2820" s="241">
        <v>0.0212765957446809</v>
      </c>
      <c r="J2820" s="241">
        <v>0.153846153846154</v>
      </c>
      <c r="K2820" s="241">
        <v>0.125</v>
      </c>
      <c r="L2820" s="241">
        <v>0</v>
      </c>
      <c r="M2820" s="241">
        <v>0.111111111111111</v>
      </c>
      <c r="N2820" s="241">
        <v>0.0410958904109589</v>
      </c>
      <c r="O2820" s="252">
        <v>0.0217391304347826</v>
      </c>
    </row>
    <row r="2821" spans="1:15">
      <c r="A2821" s="242" t="s">
        <v>69</v>
      </c>
      <c r="B2821" s="43" t="s">
        <v>6</v>
      </c>
      <c r="C2821" s="15">
        <v>9</v>
      </c>
      <c r="D2821" s="244">
        <v>0</v>
      </c>
      <c r="E2821" s="244">
        <v>1</v>
      </c>
      <c r="F2821" s="244">
        <v>0</v>
      </c>
      <c r="G2821" s="244">
        <v>0</v>
      </c>
      <c r="H2821" s="244">
        <v>0</v>
      </c>
      <c r="I2821" s="244">
        <v>1</v>
      </c>
      <c r="J2821" s="244">
        <v>3</v>
      </c>
      <c r="K2821" s="244">
        <v>1</v>
      </c>
      <c r="L2821" s="244">
        <v>0</v>
      </c>
      <c r="M2821" s="244">
        <v>1</v>
      </c>
      <c r="N2821" s="244">
        <v>1</v>
      </c>
      <c r="O2821" s="254">
        <v>1</v>
      </c>
    </row>
    <row r="2822" ht="14.25" spans="1:15">
      <c r="A2822" s="245" t="s">
        <v>69</v>
      </c>
      <c r="B2822" s="52" t="s">
        <v>64</v>
      </c>
      <c r="C2822" s="19">
        <v>0.346153846153846</v>
      </c>
      <c r="D2822" s="246">
        <v>0</v>
      </c>
      <c r="E2822" s="246">
        <v>0</v>
      </c>
      <c r="F2822" s="246">
        <v>0</v>
      </c>
      <c r="G2822" s="246">
        <v>0</v>
      </c>
      <c r="H2822" s="246">
        <v>0</v>
      </c>
      <c r="I2822" s="246">
        <v>1</v>
      </c>
      <c r="J2822" s="246">
        <v>0.375</v>
      </c>
      <c r="K2822" s="246">
        <v>0.166666666666667</v>
      </c>
      <c r="L2822" s="246">
        <v>0</v>
      </c>
      <c r="M2822" s="246">
        <v>0.166666666666667</v>
      </c>
      <c r="N2822" s="246">
        <v>0.333333333333333</v>
      </c>
      <c r="O2822" s="255">
        <v>1</v>
      </c>
    </row>
    <row r="2823" spans="1:15">
      <c r="A2823" s="240" t="s">
        <v>70</v>
      </c>
      <c r="B2823" s="47" t="s">
        <v>55</v>
      </c>
      <c r="C2823" s="12">
        <v>0.853483606557377</v>
      </c>
      <c r="D2823" s="241">
        <v>0.866666666666667</v>
      </c>
      <c r="E2823" s="241">
        <v>0.876543209876543</v>
      </c>
      <c r="F2823" s="241">
        <v>0.948275862068966</v>
      </c>
      <c r="G2823" s="241">
        <v>0.805194805194805</v>
      </c>
      <c r="H2823" s="241">
        <v>0.946564885496183</v>
      </c>
      <c r="I2823" s="241">
        <v>0.884615384615385</v>
      </c>
      <c r="J2823" s="241">
        <v>0.88135593220339</v>
      </c>
      <c r="K2823" s="241">
        <v>0.797029702970297</v>
      </c>
      <c r="L2823" s="241">
        <v>0.878787878787879</v>
      </c>
      <c r="M2823" s="241">
        <v>0.825641025641026</v>
      </c>
      <c r="N2823" s="241">
        <v>0.851063829787234</v>
      </c>
      <c r="O2823" s="252">
        <v>0.795539033457249</v>
      </c>
    </row>
    <row r="2824" spans="1:15">
      <c r="A2824" s="242" t="s">
        <v>70</v>
      </c>
      <c r="B2824" s="43" t="s">
        <v>57</v>
      </c>
      <c r="C2824" s="15">
        <v>1952</v>
      </c>
      <c r="D2824" s="243">
        <v>180</v>
      </c>
      <c r="E2824" s="243">
        <v>81</v>
      </c>
      <c r="F2824" s="243">
        <v>58</v>
      </c>
      <c r="G2824" s="243">
        <v>77</v>
      </c>
      <c r="H2824" s="243">
        <v>131</v>
      </c>
      <c r="I2824" s="243">
        <v>182</v>
      </c>
      <c r="J2824" s="243">
        <v>177</v>
      </c>
      <c r="K2824" s="243">
        <v>202</v>
      </c>
      <c r="L2824" s="243">
        <v>165</v>
      </c>
      <c r="M2824" s="243">
        <v>195</v>
      </c>
      <c r="N2824" s="243">
        <v>235</v>
      </c>
      <c r="O2824" s="253">
        <v>269</v>
      </c>
    </row>
    <row r="2825" spans="1:15">
      <c r="A2825" s="240" t="s">
        <v>70</v>
      </c>
      <c r="B2825" s="47" t="s">
        <v>59</v>
      </c>
      <c r="C2825" s="15">
        <v>1666</v>
      </c>
      <c r="D2825" s="243">
        <v>156</v>
      </c>
      <c r="E2825" s="243">
        <v>71</v>
      </c>
      <c r="F2825" s="243">
        <v>55</v>
      </c>
      <c r="G2825" s="243">
        <v>62</v>
      </c>
      <c r="H2825" s="243">
        <v>124</v>
      </c>
      <c r="I2825" s="243">
        <v>161</v>
      </c>
      <c r="J2825" s="243">
        <v>156</v>
      </c>
      <c r="K2825" s="243">
        <v>161</v>
      </c>
      <c r="L2825" s="243">
        <v>145</v>
      </c>
      <c r="M2825" s="243">
        <v>161</v>
      </c>
      <c r="N2825" s="243">
        <v>200</v>
      </c>
      <c r="O2825" s="253">
        <v>214</v>
      </c>
    </row>
    <row r="2826" spans="1:15">
      <c r="A2826" s="242" t="s">
        <v>70</v>
      </c>
      <c r="B2826" s="43" t="s">
        <v>4</v>
      </c>
      <c r="C2826" s="15">
        <v>111</v>
      </c>
      <c r="D2826" s="244">
        <v>17</v>
      </c>
      <c r="E2826" s="244">
        <v>19</v>
      </c>
      <c r="F2826" s="244">
        <v>6</v>
      </c>
      <c r="G2826" s="244">
        <v>7</v>
      </c>
      <c r="H2826" s="244">
        <v>6</v>
      </c>
      <c r="I2826" s="244">
        <v>6</v>
      </c>
      <c r="J2826" s="244">
        <v>9</v>
      </c>
      <c r="K2826" s="244">
        <v>13</v>
      </c>
      <c r="L2826" s="244">
        <v>9</v>
      </c>
      <c r="M2826" s="244">
        <v>6</v>
      </c>
      <c r="N2826" s="244">
        <v>5</v>
      </c>
      <c r="O2826" s="254">
        <v>8</v>
      </c>
    </row>
    <row r="2827" spans="1:15">
      <c r="A2827" s="240" t="s">
        <v>70</v>
      </c>
      <c r="B2827" s="47" t="s">
        <v>5</v>
      </c>
      <c r="C2827" s="12">
        <v>0.0666266506602641</v>
      </c>
      <c r="D2827" s="241">
        <v>0.108974358974359</v>
      </c>
      <c r="E2827" s="241">
        <v>0.267605633802817</v>
      </c>
      <c r="F2827" s="241">
        <v>0.109090909090909</v>
      </c>
      <c r="G2827" s="241">
        <v>0.112903225806452</v>
      </c>
      <c r="H2827" s="241">
        <v>0.0483870967741935</v>
      </c>
      <c r="I2827" s="241">
        <v>0.0372670807453416</v>
      </c>
      <c r="J2827" s="241">
        <v>0.0576923076923077</v>
      </c>
      <c r="K2827" s="241">
        <v>0.0807453416149068</v>
      </c>
      <c r="L2827" s="241">
        <v>0.0620689655172414</v>
      </c>
      <c r="M2827" s="241">
        <v>0.0372670807453416</v>
      </c>
      <c r="N2827" s="241">
        <v>0.025</v>
      </c>
      <c r="O2827" s="252">
        <v>0.0373831775700935</v>
      </c>
    </row>
    <row r="2828" spans="1:15">
      <c r="A2828" s="242" t="s">
        <v>70</v>
      </c>
      <c r="B2828" s="43" t="s">
        <v>6</v>
      </c>
      <c r="C2828" s="15">
        <v>34</v>
      </c>
      <c r="D2828" s="244">
        <v>5</v>
      </c>
      <c r="E2828" s="244">
        <v>6</v>
      </c>
      <c r="F2828" s="244">
        <v>4</v>
      </c>
      <c r="G2828" s="244">
        <v>1</v>
      </c>
      <c r="H2828" s="244">
        <v>2</v>
      </c>
      <c r="I2828" s="244">
        <v>0</v>
      </c>
      <c r="J2828" s="244">
        <v>4</v>
      </c>
      <c r="K2828" s="244">
        <v>2</v>
      </c>
      <c r="L2828" s="244">
        <v>4</v>
      </c>
      <c r="M2828" s="244">
        <v>1</v>
      </c>
      <c r="N2828" s="244">
        <v>1</v>
      </c>
      <c r="O2828" s="254">
        <v>4</v>
      </c>
    </row>
    <row r="2829" ht="14.25" spans="1:15">
      <c r="A2829" s="245" t="s">
        <v>70</v>
      </c>
      <c r="B2829" s="52" t="s">
        <v>64</v>
      </c>
      <c r="C2829" s="19">
        <v>0.306306306306306</v>
      </c>
      <c r="D2829" s="246">
        <v>0.294117647058824</v>
      </c>
      <c r="E2829" s="246">
        <v>0.315789473684211</v>
      </c>
      <c r="F2829" s="246">
        <v>0.666666666666667</v>
      </c>
      <c r="G2829" s="246">
        <v>0.142857142857143</v>
      </c>
      <c r="H2829" s="246">
        <v>0.333333333333333</v>
      </c>
      <c r="I2829" s="246">
        <v>0</v>
      </c>
      <c r="J2829" s="246">
        <v>0.444444444444444</v>
      </c>
      <c r="K2829" s="246">
        <v>0.153846153846154</v>
      </c>
      <c r="L2829" s="246">
        <v>0.444444444444444</v>
      </c>
      <c r="M2829" s="246">
        <v>0.166666666666667</v>
      </c>
      <c r="N2829" s="246">
        <v>0.2</v>
      </c>
      <c r="O2829" s="255">
        <v>0.5</v>
      </c>
    </row>
    <row r="2830" spans="1:15">
      <c r="A2830" s="240" t="s">
        <v>26</v>
      </c>
      <c r="B2830" s="47" t="s">
        <v>55</v>
      </c>
      <c r="C2830" s="12">
        <v>0.672505473881764</v>
      </c>
      <c r="D2830" s="241">
        <v>0.591888466413181</v>
      </c>
      <c r="E2830" s="241">
        <v>0.601236476043277</v>
      </c>
      <c r="F2830" s="241">
        <v>0.673352435530086</v>
      </c>
      <c r="G2830" s="241">
        <v>0.52970297029703</v>
      </c>
      <c r="H2830" s="241">
        <v>0.972972972972973</v>
      </c>
      <c r="I2830" s="241">
        <v>0.804511278195489</v>
      </c>
      <c r="J2830" s="241">
        <v>0.657303370786517</v>
      </c>
      <c r="K2830" s="241">
        <v>0.863013698630137</v>
      </c>
      <c r="L2830" s="241">
        <v>0.815286624203822</v>
      </c>
      <c r="M2830" s="241">
        <v>0.810606060606061</v>
      </c>
      <c r="N2830" s="241">
        <v>0.831460674157303</v>
      </c>
      <c r="O2830" s="252">
        <v>0.634285714285714</v>
      </c>
    </row>
    <row r="2831" spans="1:15">
      <c r="A2831" s="242" t="s">
        <v>26</v>
      </c>
      <c r="B2831" s="43" t="s">
        <v>57</v>
      </c>
      <c r="C2831" s="15">
        <v>3197</v>
      </c>
      <c r="D2831" s="243">
        <v>789</v>
      </c>
      <c r="E2831" s="243">
        <v>647</v>
      </c>
      <c r="F2831" s="243">
        <v>349</v>
      </c>
      <c r="G2831" s="243">
        <v>202</v>
      </c>
      <c r="H2831" s="243">
        <v>111</v>
      </c>
      <c r="I2831" s="243">
        <v>133</v>
      </c>
      <c r="J2831" s="243">
        <v>178</v>
      </c>
      <c r="K2831" s="243">
        <v>146</v>
      </c>
      <c r="L2831" s="243">
        <v>157</v>
      </c>
      <c r="M2831" s="243">
        <v>132</v>
      </c>
      <c r="N2831" s="243">
        <v>178</v>
      </c>
      <c r="O2831" s="253">
        <v>175</v>
      </c>
    </row>
    <row r="2832" spans="1:15">
      <c r="A2832" s="240" t="s">
        <v>26</v>
      </c>
      <c r="B2832" s="47" t="s">
        <v>59</v>
      </c>
      <c r="C2832" s="15">
        <v>2150</v>
      </c>
      <c r="D2832" s="243">
        <v>467</v>
      </c>
      <c r="E2832" s="243">
        <v>389</v>
      </c>
      <c r="F2832" s="243">
        <v>235</v>
      </c>
      <c r="G2832" s="243">
        <v>107</v>
      </c>
      <c r="H2832" s="243">
        <v>108</v>
      </c>
      <c r="I2832" s="243">
        <v>107</v>
      </c>
      <c r="J2832" s="243">
        <v>117</v>
      </c>
      <c r="K2832" s="243">
        <v>126</v>
      </c>
      <c r="L2832" s="243">
        <v>128</v>
      </c>
      <c r="M2832" s="243">
        <v>107</v>
      </c>
      <c r="N2832" s="243">
        <v>148</v>
      </c>
      <c r="O2832" s="253">
        <v>111</v>
      </c>
    </row>
    <row r="2833" spans="1:15">
      <c r="A2833" s="242" t="s">
        <v>26</v>
      </c>
      <c r="B2833" s="43" t="s">
        <v>4</v>
      </c>
      <c r="C2833" s="15">
        <v>16</v>
      </c>
      <c r="D2833" s="244">
        <v>3</v>
      </c>
      <c r="E2833" s="244">
        <v>1</v>
      </c>
      <c r="F2833" s="244">
        <v>1</v>
      </c>
      <c r="G2833" s="244">
        <v>0</v>
      </c>
      <c r="H2833" s="244">
        <v>0</v>
      </c>
      <c r="I2833" s="244">
        <v>4</v>
      </c>
      <c r="J2833" s="244">
        <v>0</v>
      </c>
      <c r="K2833" s="244">
        <v>0</v>
      </c>
      <c r="L2833" s="244">
        <v>2</v>
      </c>
      <c r="M2833" s="244">
        <v>1</v>
      </c>
      <c r="N2833" s="244">
        <v>1</v>
      </c>
      <c r="O2833" s="254">
        <v>3</v>
      </c>
    </row>
    <row r="2834" spans="1:15">
      <c r="A2834" s="240" t="s">
        <v>26</v>
      </c>
      <c r="B2834" s="47" t="s">
        <v>5</v>
      </c>
      <c r="C2834" s="12">
        <v>0.00744186046511628</v>
      </c>
      <c r="D2834" s="241">
        <v>0.00642398286937901</v>
      </c>
      <c r="E2834" s="241">
        <v>0.0025706940874036</v>
      </c>
      <c r="F2834" s="241">
        <v>0.00425531914893617</v>
      </c>
      <c r="G2834" s="241">
        <v>0</v>
      </c>
      <c r="H2834" s="241">
        <v>0</v>
      </c>
      <c r="I2834" s="241">
        <v>0.0373831775700935</v>
      </c>
      <c r="J2834" s="241">
        <v>0</v>
      </c>
      <c r="K2834" s="241">
        <v>0</v>
      </c>
      <c r="L2834" s="241">
        <v>0.015625</v>
      </c>
      <c r="M2834" s="241">
        <v>0.00934579439252336</v>
      </c>
      <c r="N2834" s="241">
        <v>0.00675675675675676</v>
      </c>
      <c r="O2834" s="252">
        <v>0.027027027027027</v>
      </c>
    </row>
    <row r="2835" spans="1:15">
      <c r="A2835" s="242" t="s">
        <v>26</v>
      </c>
      <c r="B2835" s="43" t="s">
        <v>6</v>
      </c>
      <c r="C2835" s="15">
        <v>6</v>
      </c>
      <c r="D2835" s="244">
        <v>0</v>
      </c>
      <c r="E2835" s="244">
        <v>0</v>
      </c>
      <c r="F2835" s="244">
        <v>0</v>
      </c>
      <c r="G2835" s="244">
        <v>0</v>
      </c>
      <c r="H2835" s="244">
        <v>2</v>
      </c>
      <c r="I2835" s="244">
        <v>2</v>
      </c>
      <c r="J2835" s="244">
        <v>0</v>
      </c>
      <c r="K2835" s="244">
        <v>0</v>
      </c>
      <c r="L2835" s="244">
        <v>2</v>
      </c>
      <c r="M2835" s="244">
        <v>0</v>
      </c>
      <c r="N2835" s="244">
        <v>0</v>
      </c>
      <c r="O2835" s="254">
        <v>0</v>
      </c>
    </row>
    <row r="2836" ht="14.25" spans="1:15">
      <c r="A2836" s="245" t="s">
        <v>26</v>
      </c>
      <c r="B2836" s="52" t="s">
        <v>64</v>
      </c>
      <c r="C2836" s="19">
        <v>0.375</v>
      </c>
      <c r="D2836" s="19">
        <v>0</v>
      </c>
      <c r="E2836" s="19">
        <v>0</v>
      </c>
      <c r="F2836" s="19">
        <v>0</v>
      </c>
      <c r="G2836" s="19" t="e">
        <v>#DIV/0!</v>
      </c>
      <c r="H2836" s="19" t="e">
        <v>#DIV/0!</v>
      </c>
      <c r="I2836" s="19">
        <v>0.5</v>
      </c>
      <c r="J2836" s="19" t="e">
        <v>#DIV/0!</v>
      </c>
      <c r="K2836" s="19" t="e">
        <v>#DIV/0!</v>
      </c>
      <c r="L2836" s="19">
        <v>1</v>
      </c>
      <c r="M2836" s="19">
        <v>0</v>
      </c>
      <c r="N2836" s="19">
        <v>0</v>
      </c>
      <c r="O2836" s="19">
        <v>0</v>
      </c>
    </row>
    <row r="2837" spans="1:15">
      <c r="A2837" s="240" t="s">
        <v>71</v>
      </c>
      <c r="B2837" s="47" t="s">
        <v>55</v>
      </c>
      <c r="C2837" s="12">
        <v>16</v>
      </c>
      <c r="D2837" s="241" t="e">
        <v>#DIV/0!</v>
      </c>
      <c r="E2837" s="241" t="e">
        <v>#DIV/0!</v>
      </c>
      <c r="F2837" s="241" t="e">
        <v>#DIV/0!</v>
      </c>
      <c r="G2837" s="241" t="e">
        <v>#DIV/0!</v>
      </c>
      <c r="H2837" s="241" t="e">
        <v>#DIV/0!</v>
      </c>
      <c r="I2837" s="241" t="e">
        <v>#DIV/0!</v>
      </c>
      <c r="J2837" s="241" t="e">
        <v>#DIV/0!</v>
      </c>
      <c r="K2837" s="241">
        <v>2</v>
      </c>
      <c r="L2837" s="241" t="e">
        <v>#DIV/0!</v>
      </c>
      <c r="M2837" s="241" t="e">
        <v>#DIV/0!</v>
      </c>
      <c r="N2837" s="241" t="e">
        <v>#DIV/0!</v>
      </c>
      <c r="O2837" s="252" t="e">
        <v>#DIV/0!</v>
      </c>
    </row>
    <row r="2838" spans="1:15">
      <c r="A2838" s="242" t="s">
        <v>71</v>
      </c>
      <c r="B2838" s="43" t="s">
        <v>57</v>
      </c>
      <c r="C2838" s="15">
        <v>2</v>
      </c>
      <c r="D2838" s="243">
        <v>0</v>
      </c>
      <c r="E2838" s="243">
        <v>0</v>
      </c>
      <c r="F2838" s="243">
        <v>0</v>
      </c>
      <c r="G2838" s="243">
        <v>0</v>
      </c>
      <c r="H2838" s="243">
        <v>0</v>
      </c>
      <c r="I2838" s="243">
        <v>0</v>
      </c>
      <c r="J2838" s="243">
        <v>0</v>
      </c>
      <c r="K2838" s="243">
        <v>2</v>
      </c>
      <c r="L2838" s="243">
        <v>0</v>
      </c>
      <c r="M2838" s="243">
        <v>0</v>
      </c>
      <c r="N2838" s="243">
        <v>0</v>
      </c>
      <c r="O2838" s="253">
        <v>0</v>
      </c>
    </row>
    <row r="2839" spans="1:15">
      <c r="A2839" s="240" t="s">
        <v>71</v>
      </c>
      <c r="B2839" s="47" t="s">
        <v>59</v>
      </c>
      <c r="C2839" s="15">
        <v>32</v>
      </c>
      <c r="D2839" s="243">
        <v>1</v>
      </c>
      <c r="E2839" s="243">
        <v>2</v>
      </c>
      <c r="F2839" s="243">
        <v>3</v>
      </c>
      <c r="G2839" s="243">
        <v>1</v>
      </c>
      <c r="H2839" s="243">
        <v>1</v>
      </c>
      <c r="I2839" s="243">
        <v>2</v>
      </c>
      <c r="J2839" s="243">
        <v>0</v>
      </c>
      <c r="K2839" s="243">
        <v>4</v>
      </c>
      <c r="L2839" s="243">
        <v>1</v>
      </c>
      <c r="M2839" s="243">
        <v>5</v>
      </c>
      <c r="N2839" s="243">
        <v>8</v>
      </c>
      <c r="O2839" s="253">
        <v>4</v>
      </c>
    </row>
    <row r="2840" spans="1:15">
      <c r="A2840" s="242" t="s">
        <v>71</v>
      </c>
      <c r="B2840" s="43" t="s">
        <v>4</v>
      </c>
      <c r="C2840" s="15">
        <v>18</v>
      </c>
      <c r="D2840" s="244">
        <v>1</v>
      </c>
      <c r="E2840" s="244">
        <v>0</v>
      </c>
      <c r="F2840" s="244">
        <v>2</v>
      </c>
      <c r="G2840" s="244">
        <v>2</v>
      </c>
      <c r="H2840" s="244">
        <v>1</v>
      </c>
      <c r="I2840" s="244">
        <v>1</v>
      </c>
      <c r="J2840" s="244">
        <v>0</v>
      </c>
      <c r="K2840" s="244">
        <v>2</v>
      </c>
      <c r="L2840" s="244">
        <v>1</v>
      </c>
      <c r="M2840" s="244">
        <v>2</v>
      </c>
      <c r="N2840" s="244">
        <v>3</v>
      </c>
      <c r="O2840" s="254">
        <v>3</v>
      </c>
    </row>
    <row r="2841" spans="1:15">
      <c r="A2841" s="240" t="s">
        <v>71</v>
      </c>
      <c r="B2841" s="47" t="s">
        <v>5</v>
      </c>
      <c r="C2841" s="241">
        <v>0.5625</v>
      </c>
      <c r="D2841" s="241">
        <v>1</v>
      </c>
      <c r="E2841" s="241">
        <v>0</v>
      </c>
      <c r="F2841" s="241">
        <v>0.666666666666667</v>
      </c>
      <c r="G2841" s="241">
        <v>2</v>
      </c>
      <c r="H2841" s="241">
        <v>1</v>
      </c>
      <c r="I2841" s="241">
        <v>0.5</v>
      </c>
      <c r="J2841" s="241">
        <v>0</v>
      </c>
      <c r="K2841" s="241">
        <v>0.5</v>
      </c>
      <c r="L2841" s="241">
        <v>1</v>
      </c>
      <c r="M2841" s="241">
        <v>0.4</v>
      </c>
      <c r="N2841" s="241">
        <v>0.375</v>
      </c>
      <c r="O2841" s="252">
        <v>0.75</v>
      </c>
    </row>
    <row r="2842" spans="1:15">
      <c r="A2842" s="242" t="s">
        <v>71</v>
      </c>
      <c r="B2842" s="43" t="s">
        <v>6</v>
      </c>
      <c r="C2842" s="15">
        <v>5</v>
      </c>
      <c r="D2842" s="244">
        <v>1</v>
      </c>
      <c r="E2842" s="244">
        <v>0</v>
      </c>
      <c r="F2842" s="244">
        <v>0</v>
      </c>
      <c r="G2842" s="244">
        <v>1</v>
      </c>
      <c r="H2842" s="244">
        <v>1</v>
      </c>
      <c r="I2842" s="244">
        <v>0</v>
      </c>
      <c r="J2842" s="244">
        <v>0</v>
      </c>
      <c r="K2842" s="244">
        <v>1</v>
      </c>
      <c r="L2842" s="244">
        <v>0</v>
      </c>
      <c r="M2842" s="244">
        <v>0</v>
      </c>
      <c r="N2842" s="244">
        <v>1</v>
      </c>
      <c r="O2842" s="254">
        <v>0</v>
      </c>
    </row>
    <row r="2843" ht="14.25" spans="1:15">
      <c r="A2843" s="245" t="s">
        <v>71</v>
      </c>
      <c r="B2843" s="52" t="s">
        <v>64</v>
      </c>
      <c r="C2843" s="19">
        <v>0.277777777777778</v>
      </c>
      <c r="D2843" s="19">
        <v>1</v>
      </c>
      <c r="E2843" s="19" t="e">
        <v>#DIV/0!</v>
      </c>
      <c r="F2843" s="19">
        <v>0</v>
      </c>
      <c r="G2843" s="19">
        <v>0.5</v>
      </c>
      <c r="H2843" s="19">
        <v>1</v>
      </c>
      <c r="I2843" s="19">
        <v>0</v>
      </c>
      <c r="J2843" s="19" t="e">
        <v>#DIV/0!</v>
      </c>
      <c r="K2843" s="19">
        <v>0.5</v>
      </c>
      <c r="L2843" s="19">
        <v>0</v>
      </c>
      <c r="M2843" s="19">
        <v>0</v>
      </c>
      <c r="N2843" s="19">
        <v>0.333333333333333</v>
      </c>
      <c r="O2843" s="19">
        <v>0</v>
      </c>
    </row>
    <row r="2844" spans="1:15">
      <c r="A2844" s="240" t="s">
        <v>72</v>
      </c>
      <c r="B2844" s="47" t="s">
        <v>55</v>
      </c>
      <c r="C2844" s="12">
        <v>0.252525252525253</v>
      </c>
      <c r="D2844" s="241">
        <v>0.275109170305677</v>
      </c>
      <c r="E2844" s="241">
        <v>0.279569892473118</v>
      </c>
      <c r="F2844" s="241">
        <v>0.164948453608247</v>
      </c>
      <c r="G2844" s="241">
        <v>0.150537634408602</v>
      </c>
      <c r="H2844" s="241">
        <v>0.225806451612903</v>
      </c>
      <c r="I2844" s="241">
        <v>0.296774193548387</v>
      </c>
      <c r="J2844" s="241">
        <v>0.254901960784314</v>
      </c>
      <c r="K2844" s="241">
        <v>0.2625</v>
      </c>
      <c r="L2844" s="241">
        <v>0.22</v>
      </c>
      <c r="M2844" s="241">
        <v>0.364406779661017</v>
      </c>
      <c r="N2844" s="241">
        <v>0.259459459459459</v>
      </c>
      <c r="O2844" s="252">
        <v>0.231111111111111</v>
      </c>
    </row>
    <row r="2845" spans="1:15">
      <c r="A2845" s="242" t="s">
        <v>72</v>
      </c>
      <c r="B2845" s="43" t="s">
        <v>57</v>
      </c>
      <c r="C2845" s="15">
        <v>1782</v>
      </c>
      <c r="D2845" s="243">
        <v>229</v>
      </c>
      <c r="E2845" s="243">
        <v>93</v>
      </c>
      <c r="F2845" s="243">
        <v>97</v>
      </c>
      <c r="G2845" s="243">
        <v>93</v>
      </c>
      <c r="H2845" s="243">
        <v>124</v>
      </c>
      <c r="I2845" s="243">
        <v>155</v>
      </c>
      <c r="J2845" s="243">
        <v>153</v>
      </c>
      <c r="K2845" s="243">
        <v>160</v>
      </c>
      <c r="L2845" s="243">
        <v>150</v>
      </c>
      <c r="M2845" s="243">
        <v>118</v>
      </c>
      <c r="N2845" s="243">
        <v>185</v>
      </c>
      <c r="O2845" s="253">
        <v>225</v>
      </c>
    </row>
    <row r="2846" spans="1:15">
      <c r="A2846" s="240" t="s">
        <v>72</v>
      </c>
      <c r="B2846" s="47" t="s">
        <v>59</v>
      </c>
      <c r="C2846" s="15">
        <v>450</v>
      </c>
      <c r="D2846" s="243">
        <v>63</v>
      </c>
      <c r="E2846" s="243">
        <v>26</v>
      </c>
      <c r="F2846" s="243">
        <v>16</v>
      </c>
      <c r="G2846" s="243">
        <v>14</v>
      </c>
      <c r="H2846" s="243">
        <v>28</v>
      </c>
      <c r="I2846" s="243">
        <v>46</v>
      </c>
      <c r="J2846" s="243">
        <v>39</v>
      </c>
      <c r="K2846" s="243">
        <v>42</v>
      </c>
      <c r="L2846" s="243">
        <v>33</v>
      </c>
      <c r="M2846" s="243">
        <v>43</v>
      </c>
      <c r="N2846" s="243">
        <v>48</v>
      </c>
      <c r="O2846" s="253">
        <v>52</v>
      </c>
    </row>
    <row r="2847" spans="1:15">
      <c r="A2847" s="242" t="s">
        <v>72</v>
      </c>
      <c r="B2847" s="43" t="s">
        <v>4</v>
      </c>
      <c r="C2847" s="15">
        <v>28</v>
      </c>
      <c r="D2847" s="244">
        <v>5</v>
      </c>
      <c r="E2847" s="244">
        <v>1</v>
      </c>
      <c r="F2847" s="244">
        <v>0</v>
      </c>
      <c r="G2847" s="244">
        <v>2</v>
      </c>
      <c r="H2847" s="244">
        <v>3</v>
      </c>
      <c r="I2847" s="244">
        <v>4</v>
      </c>
      <c r="J2847" s="244">
        <v>3</v>
      </c>
      <c r="K2847" s="244">
        <v>2</v>
      </c>
      <c r="L2847" s="244">
        <v>1</v>
      </c>
      <c r="M2847" s="244">
        <v>1</v>
      </c>
      <c r="N2847" s="244">
        <v>2</v>
      </c>
      <c r="O2847" s="254">
        <v>4</v>
      </c>
    </row>
    <row r="2848" spans="1:15">
      <c r="A2848" s="240" t="s">
        <v>72</v>
      </c>
      <c r="B2848" s="47" t="s">
        <v>5</v>
      </c>
      <c r="C2848" s="12">
        <v>0.0622222222222222</v>
      </c>
      <c r="D2848" s="241">
        <v>0.0793650793650794</v>
      </c>
      <c r="E2848" s="241">
        <v>0.0384615384615385</v>
      </c>
      <c r="F2848" s="241">
        <v>0</v>
      </c>
      <c r="G2848" s="241">
        <v>0.142857142857143</v>
      </c>
      <c r="H2848" s="241">
        <v>0.107142857142857</v>
      </c>
      <c r="I2848" s="241">
        <v>0.0869565217391304</v>
      </c>
      <c r="J2848" s="241">
        <v>0.0769230769230769</v>
      </c>
      <c r="K2848" s="241">
        <v>0.0476190476190476</v>
      </c>
      <c r="L2848" s="241">
        <v>0.0303030303030303</v>
      </c>
      <c r="M2848" s="241">
        <v>0.0232558139534884</v>
      </c>
      <c r="N2848" s="241">
        <v>0.0416666666666667</v>
      </c>
      <c r="O2848" s="252">
        <v>0.0769230769230769</v>
      </c>
    </row>
    <row r="2849" spans="1:15">
      <c r="A2849" s="242" t="s">
        <v>72</v>
      </c>
      <c r="B2849" s="43" t="s">
        <v>6</v>
      </c>
      <c r="C2849" s="15">
        <v>9</v>
      </c>
      <c r="D2849" s="244">
        <v>1</v>
      </c>
      <c r="E2849" s="244">
        <v>1</v>
      </c>
      <c r="F2849" s="244">
        <v>0</v>
      </c>
      <c r="G2849" s="244">
        <v>0</v>
      </c>
      <c r="H2849" s="244">
        <v>1</v>
      </c>
      <c r="I2849" s="244">
        <v>0</v>
      </c>
      <c r="J2849" s="244">
        <v>3</v>
      </c>
      <c r="K2849" s="244">
        <v>2</v>
      </c>
      <c r="L2849" s="244">
        <v>0</v>
      </c>
      <c r="M2849" s="244">
        <v>1</v>
      </c>
      <c r="N2849" s="244">
        <v>0</v>
      </c>
      <c r="O2849" s="254">
        <v>0</v>
      </c>
    </row>
    <row r="2850" ht="14.25" spans="1:15">
      <c r="A2850" s="245" t="s">
        <v>72</v>
      </c>
      <c r="B2850" s="52" t="s">
        <v>64</v>
      </c>
      <c r="C2850" s="19">
        <v>0.321428571428571</v>
      </c>
      <c r="D2850" s="19">
        <v>0.2</v>
      </c>
      <c r="E2850" s="19">
        <v>1</v>
      </c>
      <c r="F2850" s="19" t="e">
        <v>#DIV/0!</v>
      </c>
      <c r="G2850" s="19">
        <v>0</v>
      </c>
      <c r="H2850" s="19">
        <v>0.333333333333333</v>
      </c>
      <c r="I2850" s="19">
        <v>0</v>
      </c>
      <c r="J2850" s="19">
        <v>1</v>
      </c>
      <c r="K2850" s="19">
        <v>1</v>
      </c>
      <c r="L2850" s="19">
        <v>0</v>
      </c>
      <c r="M2850" s="19">
        <v>1</v>
      </c>
      <c r="N2850" s="19">
        <v>0</v>
      </c>
      <c r="O2850" s="19">
        <v>0</v>
      </c>
    </row>
    <row r="2851" ht="14.25" spans="1:15">
      <c r="A2851" s="237">
        <v>45063</v>
      </c>
      <c r="B2851" s="237"/>
      <c r="C2851" s="237"/>
      <c r="D2851" s="237"/>
      <c r="E2851" s="237"/>
      <c r="F2851" s="237"/>
      <c r="G2851" s="237"/>
      <c r="H2851" s="237"/>
      <c r="I2851" s="237"/>
      <c r="J2851" s="237"/>
      <c r="K2851" s="237"/>
      <c r="L2851" s="237"/>
      <c r="M2851" s="237"/>
      <c r="N2851" s="237"/>
      <c r="O2851" s="237"/>
    </row>
    <row r="2852" spans="1:15">
      <c r="A2852" s="56" t="s">
        <v>1</v>
      </c>
      <c r="B2852" s="238"/>
      <c r="C2852" s="8" t="s">
        <v>42</v>
      </c>
      <c r="D2852" s="239" t="s">
        <v>43</v>
      </c>
      <c r="E2852" s="239" t="s">
        <v>44</v>
      </c>
      <c r="F2852" s="239" t="s">
        <v>45</v>
      </c>
      <c r="G2852" s="239" t="s">
        <v>46</v>
      </c>
      <c r="H2852" s="239" t="s">
        <v>47</v>
      </c>
      <c r="I2852" s="239" t="s">
        <v>48</v>
      </c>
      <c r="J2852" s="239" t="s">
        <v>49</v>
      </c>
      <c r="K2852" s="239" t="s">
        <v>50</v>
      </c>
      <c r="L2852" s="239" t="s">
        <v>51</v>
      </c>
      <c r="M2852" s="239" t="s">
        <v>52</v>
      </c>
      <c r="N2852" s="239" t="s">
        <v>53</v>
      </c>
      <c r="O2852" s="251" t="s">
        <v>54</v>
      </c>
    </row>
    <row r="2853" spans="1:15">
      <c r="A2853" s="240" t="s">
        <v>22</v>
      </c>
      <c r="B2853" s="47" t="s">
        <v>55</v>
      </c>
      <c r="C2853" s="12">
        <v>0.427504150525733</v>
      </c>
      <c r="D2853" s="241">
        <v>0.406824146981627</v>
      </c>
      <c r="E2853" s="241">
        <v>0.420091324200913</v>
      </c>
      <c r="F2853" s="241">
        <v>0.376068376068376</v>
      </c>
      <c r="G2853" s="241">
        <v>0.494186046511628</v>
      </c>
      <c r="H2853" s="241">
        <v>0.480565371024735</v>
      </c>
      <c r="I2853" s="241">
        <v>0.452145214521452</v>
      </c>
      <c r="J2853" s="241">
        <v>0.436046511627907</v>
      </c>
      <c r="K2853" s="241">
        <v>0.377643504531722</v>
      </c>
      <c r="L2853" s="241">
        <v>0.421511627906977</v>
      </c>
      <c r="M2853" s="241">
        <v>0.483394833948339</v>
      </c>
      <c r="N2853" s="241">
        <v>0.418181818181818</v>
      </c>
      <c r="O2853" s="252">
        <v>0.396551724137931</v>
      </c>
    </row>
    <row r="2854" spans="1:15">
      <c r="A2854" s="242" t="s">
        <v>22</v>
      </c>
      <c r="B2854" s="43" t="s">
        <v>57</v>
      </c>
      <c r="C2854" s="15">
        <v>3614</v>
      </c>
      <c r="D2854" s="243">
        <v>381</v>
      </c>
      <c r="E2854" s="243">
        <v>219</v>
      </c>
      <c r="F2854" s="243">
        <v>117</v>
      </c>
      <c r="G2854" s="243">
        <v>172</v>
      </c>
      <c r="H2854" s="243">
        <v>283</v>
      </c>
      <c r="I2854" s="243">
        <v>303</v>
      </c>
      <c r="J2854" s="243">
        <v>344</v>
      </c>
      <c r="K2854" s="243">
        <v>331</v>
      </c>
      <c r="L2854" s="243">
        <v>344</v>
      </c>
      <c r="M2854" s="243">
        <v>271</v>
      </c>
      <c r="N2854" s="243">
        <v>385</v>
      </c>
      <c r="O2854" s="253">
        <v>464</v>
      </c>
    </row>
    <row r="2855" spans="1:15">
      <c r="A2855" s="240" t="s">
        <v>22</v>
      </c>
      <c r="B2855" s="47" t="s">
        <v>59</v>
      </c>
      <c r="C2855" s="15">
        <v>1545</v>
      </c>
      <c r="D2855" s="243">
        <v>155</v>
      </c>
      <c r="E2855" s="243">
        <v>92</v>
      </c>
      <c r="F2855" s="243">
        <v>44</v>
      </c>
      <c r="G2855" s="243">
        <v>85</v>
      </c>
      <c r="H2855" s="243">
        <v>136</v>
      </c>
      <c r="I2855" s="243">
        <v>137</v>
      </c>
      <c r="J2855" s="243">
        <v>150</v>
      </c>
      <c r="K2855" s="243">
        <v>125</v>
      </c>
      <c r="L2855" s="243">
        <v>145</v>
      </c>
      <c r="M2855" s="243">
        <v>131</v>
      </c>
      <c r="N2855" s="243">
        <v>161</v>
      </c>
      <c r="O2855" s="253">
        <v>184</v>
      </c>
    </row>
    <row r="2856" spans="1:15">
      <c r="A2856" s="242" t="s">
        <v>22</v>
      </c>
      <c r="B2856" s="43" t="s">
        <v>4</v>
      </c>
      <c r="C2856" s="15">
        <v>133</v>
      </c>
      <c r="D2856" s="244">
        <v>16</v>
      </c>
      <c r="E2856" s="244">
        <v>12</v>
      </c>
      <c r="F2856" s="244">
        <v>2</v>
      </c>
      <c r="G2856" s="244">
        <v>6</v>
      </c>
      <c r="H2856" s="244">
        <v>11</v>
      </c>
      <c r="I2856" s="244">
        <v>11</v>
      </c>
      <c r="J2856" s="244">
        <v>14</v>
      </c>
      <c r="K2856" s="244">
        <v>8</v>
      </c>
      <c r="L2856" s="244">
        <v>14</v>
      </c>
      <c r="M2856" s="244">
        <v>7</v>
      </c>
      <c r="N2856" s="244">
        <v>12</v>
      </c>
      <c r="O2856" s="254">
        <v>20</v>
      </c>
    </row>
    <row r="2857" spans="1:15">
      <c r="A2857" s="240" t="s">
        <v>22</v>
      </c>
      <c r="B2857" s="47" t="s">
        <v>5</v>
      </c>
      <c r="C2857" s="12">
        <v>0.086084142394822</v>
      </c>
      <c r="D2857" s="241">
        <v>0.103225806451613</v>
      </c>
      <c r="E2857" s="241">
        <v>0.130434782608696</v>
      </c>
      <c r="F2857" s="241">
        <v>0.0454545454545455</v>
      </c>
      <c r="G2857" s="241">
        <v>0.0705882352941176</v>
      </c>
      <c r="H2857" s="241">
        <v>0.0808823529411765</v>
      </c>
      <c r="I2857" s="241">
        <v>0.0802919708029197</v>
      </c>
      <c r="J2857" s="241">
        <v>0.0933333333333333</v>
      </c>
      <c r="K2857" s="241">
        <v>0.064</v>
      </c>
      <c r="L2857" s="241">
        <v>0.096551724137931</v>
      </c>
      <c r="M2857" s="241">
        <v>0.0534351145038168</v>
      </c>
      <c r="N2857" s="241">
        <v>0.0745341614906832</v>
      </c>
      <c r="O2857" s="252">
        <v>0.108695652173913</v>
      </c>
    </row>
    <row r="2858" spans="1:15">
      <c r="A2858" s="242" t="s">
        <v>22</v>
      </c>
      <c r="B2858" s="43" t="s">
        <v>6</v>
      </c>
      <c r="C2858" s="15">
        <v>51</v>
      </c>
      <c r="D2858" s="244">
        <v>0</v>
      </c>
      <c r="E2858" s="244">
        <v>5</v>
      </c>
      <c r="F2858" s="244">
        <v>1</v>
      </c>
      <c r="G2858" s="244">
        <v>3</v>
      </c>
      <c r="H2858" s="244">
        <v>4</v>
      </c>
      <c r="I2858" s="244">
        <v>7</v>
      </c>
      <c r="J2858" s="244">
        <v>7</v>
      </c>
      <c r="K2858" s="244">
        <v>6</v>
      </c>
      <c r="L2858" s="244">
        <v>6</v>
      </c>
      <c r="M2858" s="244">
        <v>3</v>
      </c>
      <c r="N2858" s="244">
        <v>3</v>
      </c>
      <c r="O2858" s="254">
        <v>6</v>
      </c>
    </row>
    <row r="2859" ht="14.25" spans="1:15">
      <c r="A2859" s="245" t="s">
        <v>22</v>
      </c>
      <c r="B2859" s="52" t="s">
        <v>64</v>
      </c>
      <c r="C2859" s="19">
        <v>0.383458646616541</v>
      </c>
      <c r="D2859" s="246">
        <v>0</v>
      </c>
      <c r="E2859" s="246">
        <v>0.416666666666667</v>
      </c>
      <c r="F2859" s="246">
        <v>0.5</v>
      </c>
      <c r="G2859" s="246">
        <v>0.5</v>
      </c>
      <c r="H2859" s="246">
        <v>0.363636363636364</v>
      </c>
      <c r="I2859" s="246">
        <v>0.636363636363636</v>
      </c>
      <c r="J2859" s="246">
        <v>0.5</v>
      </c>
      <c r="K2859" s="246">
        <v>0.75</v>
      </c>
      <c r="L2859" s="246">
        <v>0.428571428571429</v>
      </c>
      <c r="M2859" s="246">
        <v>0.428571428571429</v>
      </c>
      <c r="N2859" s="246">
        <v>0.25</v>
      </c>
      <c r="O2859" s="255">
        <v>0.3</v>
      </c>
    </row>
    <row r="2860" spans="1:15">
      <c r="A2860" s="247" t="s">
        <v>66</v>
      </c>
      <c r="B2860" s="248" t="s">
        <v>55</v>
      </c>
      <c r="C2860" s="12">
        <v>0.10814606741573</v>
      </c>
      <c r="D2860" s="249">
        <v>0.0859375</v>
      </c>
      <c r="E2860" s="249">
        <v>0.0431266846361186</v>
      </c>
      <c r="F2860" s="249">
        <v>0.0340909090909091</v>
      </c>
      <c r="G2860" s="249">
        <v>0.0638297872340425</v>
      </c>
      <c r="H2860" s="249">
        <v>0.158823529411765</v>
      </c>
      <c r="I2860" s="249">
        <v>0.15625</v>
      </c>
      <c r="J2860" s="249">
        <v>0.142857142857143</v>
      </c>
      <c r="K2860" s="249">
        <v>0.149122807017544</v>
      </c>
      <c r="L2860" s="249">
        <v>0.13265306122449</v>
      </c>
      <c r="M2860" s="249">
        <v>0.257575757575758</v>
      </c>
      <c r="N2860" s="249">
        <v>0.219047619047619</v>
      </c>
      <c r="O2860" s="256">
        <v>0.221153846153846</v>
      </c>
    </row>
    <row r="2861" spans="1:15">
      <c r="A2861" s="242" t="s">
        <v>66</v>
      </c>
      <c r="B2861" s="43" t="s">
        <v>57</v>
      </c>
      <c r="C2861" s="15">
        <v>2136</v>
      </c>
      <c r="D2861" s="243">
        <v>384</v>
      </c>
      <c r="E2861" s="243">
        <v>371</v>
      </c>
      <c r="F2861" s="243">
        <v>264</v>
      </c>
      <c r="G2861" s="243">
        <v>188</v>
      </c>
      <c r="H2861" s="243">
        <v>170</v>
      </c>
      <c r="I2861" s="243">
        <v>160</v>
      </c>
      <c r="J2861" s="243">
        <v>112</v>
      </c>
      <c r="K2861" s="243">
        <v>114</v>
      </c>
      <c r="L2861" s="243">
        <v>98</v>
      </c>
      <c r="M2861" s="243">
        <v>66</v>
      </c>
      <c r="N2861" s="243">
        <v>105</v>
      </c>
      <c r="O2861" s="253">
        <v>104</v>
      </c>
    </row>
    <row r="2862" spans="1:15">
      <c r="A2862" s="240" t="s">
        <v>66</v>
      </c>
      <c r="B2862" s="47" t="s">
        <v>59</v>
      </c>
      <c r="C2862" s="15">
        <v>231</v>
      </c>
      <c r="D2862" s="243">
        <v>33</v>
      </c>
      <c r="E2862" s="243">
        <v>16</v>
      </c>
      <c r="F2862" s="243">
        <v>9</v>
      </c>
      <c r="G2862" s="243">
        <v>12</v>
      </c>
      <c r="H2862" s="243">
        <v>27</v>
      </c>
      <c r="I2862" s="243">
        <v>25</v>
      </c>
      <c r="J2862" s="243">
        <v>16</v>
      </c>
      <c r="K2862" s="243">
        <v>17</v>
      </c>
      <c r="L2862" s="243">
        <v>13</v>
      </c>
      <c r="M2862" s="243">
        <v>17</v>
      </c>
      <c r="N2862" s="243">
        <v>23</v>
      </c>
      <c r="O2862" s="253">
        <v>23</v>
      </c>
    </row>
    <row r="2863" spans="1:15">
      <c r="A2863" s="242" t="s">
        <v>66</v>
      </c>
      <c r="B2863" s="43" t="s">
        <v>4</v>
      </c>
      <c r="C2863" s="15">
        <v>17</v>
      </c>
      <c r="D2863" s="244">
        <v>2</v>
      </c>
      <c r="E2863" s="244">
        <v>2</v>
      </c>
      <c r="F2863" s="244">
        <v>0</v>
      </c>
      <c r="G2863" s="244">
        <v>2</v>
      </c>
      <c r="H2863" s="244">
        <v>3</v>
      </c>
      <c r="I2863" s="244">
        <v>0</v>
      </c>
      <c r="J2863" s="244">
        <v>0</v>
      </c>
      <c r="K2863" s="244">
        <v>3</v>
      </c>
      <c r="L2863" s="244">
        <v>2</v>
      </c>
      <c r="M2863" s="244">
        <v>0</v>
      </c>
      <c r="N2863" s="244">
        <v>1</v>
      </c>
      <c r="O2863" s="254">
        <v>2</v>
      </c>
    </row>
    <row r="2864" spans="1:15">
      <c r="A2864" s="240" t="s">
        <v>66</v>
      </c>
      <c r="B2864" s="47" t="s">
        <v>5</v>
      </c>
      <c r="C2864" s="12">
        <v>0.0735930735930736</v>
      </c>
      <c r="D2864" s="241">
        <v>0.0606060606060606</v>
      </c>
      <c r="E2864" s="241">
        <v>0.125</v>
      </c>
      <c r="F2864" s="241">
        <v>0</v>
      </c>
      <c r="G2864" s="241">
        <v>0.166666666666667</v>
      </c>
      <c r="H2864" s="241">
        <v>0.111111111111111</v>
      </c>
      <c r="I2864" s="241">
        <v>0</v>
      </c>
      <c r="J2864" s="241">
        <v>0</v>
      </c>
      <c r="K2864" s="241">
        <v>0.176470588235294</v>
      </c>
      <c r="L2864" s="241">
        <v>0.153846153846154</v>
      </c>
      <c r="M2864" s="241">
        <v>0</v>
      </c>
      <c r="N2864" s="241">
        <v>0.0434782608695652</v>
      </c>
      <c r="O2864" s="252">
        <v>0.0869565217391304</v>
      </c>
    </row>
    <row r="2865" spans="1:15">
      <c r="A2865" s="242" t="s">
        <v>66</v>
      </c>
      <c r="B2865" s="43" t="s">
        <v>6</v>
      </c>
      <c r="C2865" s="15">
        <v>4</v>
      </c>
      <c r="D2865" s="244">
        <v>1</v>
      </c>
      <c r="E2865" s="244">
        <v>0</v>
      </c>
      <c r="F2865" s="244">
        <v>0</v>
      </c>
      <c r="G2865" s="244">
        <v>0</v>
      </c>
      <c r="H2865" s="244">
        <v>1</v>
      </c>
      <c r="I2865" s="244">
        <v>0</v>
      </c>
      <c r="J2865" s="244">
        <v>0</v>
      </c>
      <c r="K2865" s="244">
        <v>1</v>
      </c>
      <c r="L2865" s="244">
        <v>0</v>
      </c>
      <c r="M2865" s="244">
        <v>0</v>
      </c>
      <c r="N2865" s="244">
        <v>1</v>
      </c>
      <c r="O2865" s="254">
        <v>0</v>
      </c>
    </row>
    <row r="2866" ht="14.25" spans="1:15">
      <c r="A2866" s="245" t="s">
        <v>66</v>
      </c>
      <c r="B2866" s="52" t="s">
        <v>64</v>
      </c>
      <c r="C2866" s="19">
        <v>0.235294117647059</v>
      </c>
      <c r="D2866" s="246">
        <v>0.5</v>
      </c>
      <c r="E2866" s="246">
        <v>0</v>
      </c>
      <c r="F2866" s="246">
        <v>0</v>
      </c>
      <c r="G2866" s="246">
        <v>0</v>
      </c>
      <c r="H2866" s="246">
        <v>0.333333333333333</v>
      </c>
      <c r="I2866" s="246">
        <v>0</v>
      </c>
      <c r="J2866" s="246">
        <v>0</v>
      </c>
      <c r="K2866" s="246">
        <v>0.333333333333333</v>
      </c>
      <c r="L2866" s="246">
        <v>0</v>
      </c>
      <c r="M2866" s="246">
        <v>0</v>
      </c>
      <c r="N2866" s="246">
        <v>1</v>
      </c>
      <c r="O2866" s="255">
        <v>0</v>
      </c>
    </row>
    <row r="2867" spans="1:15">
      <c r="A2867" s="240" t="s">
        <v>67</v>
      </c>
      <c r="B2867" s="47" t="s">
        <v>55</v>
      </c>
      <c r="C2867" s="12">
        <v>0.778816199376947</v>
      </c>
      <c r="D2867" s="241">
        <v>0.851851851851852</v>
      </c>
      <c r="E2867" s="241">
        <v>0.466666666666667</v>
      </c>
      <c r="F2867" s="241">
        <v>0.857142857142857</v>
      </c>
      <c r="G2867" s="241">
        <v>1</v>
      </c>
      <c r="H2867" s="241">
        <v>1.04545454545455</v>
      </c>
      <c r="I2867" s="241">
        <v>0.928571428571429</v>
      </c>
      <c r="J2867" s="241">
        <v>0.96875</v>
      </c>
      <c r="K2867" s="241">
        <v>0.666666666666667</v>
      </c>
      <c r="L2867" s="241">
        <v>0.567567567567568</v>
      </c>
      <c r="M2867" s="241">
        <v>1.5</v>
      </c>
      <c r="N2867" s="241">
        <v>0.647058823529412</v>
      </c>
      <c r="O2867" s="252">
        <v>0.447368421052632</v>
      </c>
    </row>
    <row r="2868" spans="1:15">
      <c r="A2868" s="242" t="s">
        <v>67</v>
      </c>
      <c r="B2868" s="43" t="s">
        <v>57</v>
      </c>
      <c r="C2868" s="15">
        <v>321</v>
      </c>
      <c r="D2868" s="243">
        <v>27</v>
      </c>
      <c r="E2868" s="243">
        <v>30</v>
      </c>
      <c r="F2868" s="243">
        <v>7</v>
      </c>
      <c r="G2868" s="243">
        <v>24</v>
      </c>
      <c r="H2868" s="243">
        <v>22</v>
      </c>
      <c r="I2868" s="243">
        <v>28</v>
      </c>
      <c r="J2868" s="243">
        <v>32</v>
      </c>
      <c r="K2868" s="243">
        <v>24</v>
      </c>
      <c r="L2868" s="243">
        <v>37</v>
      </c>
      <c r="M2868" s="243">
        <v>18</v>
      </c>
      <c r="N2868" s="243">
        <v>34</v>
      </c>
      <c r="O2868" s="253">
        <v>38</v>
      </c>
    </row>
    <row r="2869" spans="1:15">
      <c r="A2869" s="240" t="s">
        <v>67</v>
      </c>
      <c r="B2869" s="47" t="s">
        <v>59</v>
      </c>
      <c r="C2869" s="15">
        <v>250</v>
      </c>
      <c r="D2869" s="243">
        <v>23</v>
      </c>
      <c r="E2869" s="243">
        <v>14</v>
      </c>
      <c r="F2869" s="243">
        <v>6</v>
      </c>
      <c r="G2869" s="243">
        <v>24</v>
      </c>
      <c r="H2869" s="243">
        <v>23</v>
      </c>
      <c r="I2869" s="243">
        <v>26</v>
      </c>
      <c r="J2869" s="243">
        <v>31</v>
      </c>
      <c r="K2869" s="243">
        <v>16</v>
      </c>
      <c r="L2869" s="243">
        <v>21</v>
      </c>
      <c r="M2869" s="243">
        <v>27</v>
      </c>
      <c r="N2869" s="243">
        <v>22</v>
      </c>
      <c r="O2869" s="253">
        <v>17</v>
      </c>
    </row>
    <row r="2870" spans="1:15">
      <c r="A2870" s="242" t="s">
        <v>67</v>
      </c>
      <c r="B2870" s="43" t="s">
        <v>4</v>
      </c>
      <c r="C2870" s="15">
        <v>5</v>
      </c>
      <c r="D2870" s="244">
        <v>0</v>
      </c>
      <c r="E2870" s="244">
        <v>0</v>
      </c>
      <c r="F2870" s="244">
        <v>0</v>
      </c>
      <c r="G2870" s="244">
        <v>0</v>
      </c>
      <c r="H2870" s="244">
        <v>0</v>
      </c>
      <c r="I2870" s="244">
        <v>0</v>
      </c>
      <c r="J2870" s="244">
        <v>1</v>
      </c>
      <c r="K2870" s="244">
        <v>0</v>
      </c>
      <c r="L2870" s="244">
        <v>1</v>
      </c>
      <c r="M2870" s="244">
        <v>1</v>
      </c>
      <c r="N2870" s="244">
        <v>1</v>
      </c>
      <c r="O2870" s="254">
        <v>1</v>
      </c>
    </row>
    <row r="2871" spans="1:15">
      <c r="A2871" s="240" t="s">
        <v>67</v>
      </c>
      <c r="B2871" s="47" t="s">
        <v>5</v>
      </c>
      <c r="C2871" s="12">
        <v>0.02</v>
      </c>
      <c r="D2871" s="241">
        <v>0</v>
      </c>
      <c r="E2871" s="241">
        <v>0</v>
      </c>
      <c r="F2871" s="241">
        <v>0</v>
      </c>
      <c r="G2871" s="241">
        <v>0</v>
      </c>
      <c r="H2871" s="241">
        <v>0</v>
      </c>
      <c r="I2871" s="241">
        <v>0</v>
      </c>
      <c r="J2871" s="241">
        <v>0.032258064516129</v>
      </c>
      <c r="K2871" s="241">
        <v>0</v>
      </c>
      <c r="L2871" s="241">
        <v>0.0476190476190476</v>
      </c>
      <c r="M2871" s="241">
        <v>0.037037037037037</v>
      </c>
      <c r="N2871" s="241">
        <v>0.0454545454545455</v>
      </c>
      <c r="O2871" s="252">
        <v>0.0588235294117647</v>
      </c>
    </row>
    <row r="2872" spans="1:15">
      <c r="A2872" s="242" t="s">
        <v>67</v>
      </c>
      <c r="B2872" s="43" t="s">
        <v>6</v>
      </c>
      <c r="C2872" s="15">
        <v>3</v>
      </c>
      <c r="D2872" s="244">
        <v>1</v>
      </c>
      <c r="E2872" s="244">
        <v>0</v>
      </c>
      <c r="F2872" s="244">
        <v>0</v>
      </c>
      <c r="G2872" s="244">
        <v>0</v>
      </c>
      <c r="H2872" s="244">
        <v>0</v>
      </c>
      <c r="I2872" s="244">
        <v>0</v>
      </c>
      <c r="J2872" s="244">
        <v>0</v>
      </c>
      <c r="K2872" s="244">
        <v>0</v>
      </c>
      <c r="L2872" s="244">
        <v>0</v>
      </c>
      <c r="M2872" s="244">
        <v>0</v>
      </c>
      <c r="N2872" s="244">
        <v>2</v>
      </c>
      <c r="O2872" s="254">
        <v>0</v>
      </c>
    </row>
    <row r="2873" ht="14.25" spans="1:15">
      <c r="A2873" s="245" t="s">
        <v>67</v>
      </c>
      <c r="B2873" s="52" t="s">
        <v>64</v>
      </c>
      <c r="C2873" s="19">
        <v>0.6</v>
      </c>
      <c r="D2873" s="246">
        <v>0</v>
      </c>
      <c r="E2873" s="246">
        <v>0</v>
      </c>
      <c r="F2873" s="246">
        <v>0</v>
      </c>
      <c r="G2873" s="246">
        <v>0</v>
      </c>
      <c r="H2873" s="246">
        <v>0</v>
      </c>
      <c r="I2873" s="246">
        <v>0</v>
      </c>
      <c r="J2873" s="246">
        <v>0</v>
      </c>
      <c r="K2873" s="246">
        <v>0</v>
      </c>
      <c r="L2873" s="246">
        <v>0</v>
      </c>
      <c r="M2873" s="246">
        <v>0</v>
      </c>
      <c r="N2873" s="246">
        <v>2</v>
      </c>
      <c r="O2873" s="255">
        <v>0</v>
      </c>
    </row>
    <row r="2874" spans="1:15">
      <c r="A2874" s="240" t="s">
        <v>68</v>
      </c>
      <c r="B2874" s="47" t="s">
        <v>55</v>
      </c>
      <c r="C2874" s="12">
        <v>0.0783132530120482</v>
      </c>
      <c r="D2874" s="241">
        <v>0.0732647814910026</v>
      </c>
      <c r="E2874" s="241">
        <v>0.0549132947976879</v>
      </c>
      <c r="F2874" s="241">
        <v>0.0458715596330275</v>
      </c>
      <c r="G2874" s="241">
        <v>0.051622418879056</v>
      </c>
      <c r="H2874" s="241">
        <v>0.10609756097561</v>
      </c>
      <c r="I2874" s="241">
        <v>0.0860927152317881</v>
      </c>
      <c r="J2874" s="241">
        <v>0.0805626598465473</v>
      </c>
      <c r="K2874" s="241">
        <v>0.087256027554535</v>
      </c>
      <c r="L2874" s="241">
        <v>0.0844390832328106</v>
      </c>
      <c r="M2874" s="241">
        <v>0.0852130325814536</v>
      </c>
      <c r="N2874" s="241">
        <v>0.0795847750865052</v>
      </c>
      <c r="O2874" s="252">
        <v>0.087093389296957</v>
      </c>
    </row>
    <row r="2875" spans="1:15">
      <c r="A2875" s="242" t="s">
        <v>68</v>
      </c>
      <c r="B2875" s="43" t="s">
        <v>57</v>
      </c>
      <c r="C2875" s="15">
        <v>9628</v>
      </c>
      <c r="D2875" s="243">
        <v>778</v>
      </c>
      <c r="E2875" s="243">
        <v>692</v>
      </c>
      <c r="F2875" s="243">
        <v>654</v>
      </c>
      <c r="G2875" s="243">
        <v>678</v>
      </c>
      <c r="H2875" s="243">
        <v>820</v>
      </c>
      <c r="I2875" s="243">
        <v>906</v>
      </c>
      <c r="J2875" s="243">
        <v>782</v>
      </c>
      <c r="K2875" s="243">
        <v>871</v>
      </c>
      <c r="L2875" s="243">
        <v>829</v>
      </c>
      <c r="M2875" s="243">
        <v>798</v>
      </c>
      <c r="N2875" s="243">
        <v>867</v>
      </c>
      <c r="O2875" s="253">
        <v>953</v>
      </c>
    </row>
    <row r="2876" spans="1:15">
      <c r="A2876" s="240" t="s">
        <v>68</v>
      </c>
      <c r="B2876" s="47" t="s">
        <v>59</v>
      </c>
      <c r="C2876" s="15">
        <v>754</v>
      </c>
      <c r="D2876" s="243">
        <v>57</v>
      </c>
      <c r="E2876" s="243">
        <v>38</v>
      </c>
      <c r="F2876" s="243">
        <v>30</v>
      </c>
      <c r="G2876" s="243">
        <v>35</v>
      </c>
      <c r="H2876" s="243">
        <v>87</v>
      </c>
      <c r="I2876" s="243">
        <v>78</v>
      </c>
      <c r="J2876" s="243">
        <v>63</v>
      </c>
      <c r="K2876" s="243">
        <v>76</v>
      </c>
      <c r="L2876" s="243">
        <v>70</v>
      </c>
      <c r="M2876" s="243">
        <v>68</v>
      </c>
      <c r="N2876" s="243">
        <v>69</v>
      </c>
      <c r="O2876" s="253">
        <v>83</v>
      </c>
    </row>
    <row r="2877" spans="1:15">
      <c r="A2877" s="242" t="s">
        <v>68</v>
      </c>
      <c r="B2877" s="43" t="s">
        <v>4</v>
      </c>
      <c r="C2877" s="15">
        <v>27</v>
      </c>
      <c r="D2877" s="244">
        <v>1</v>
      </c>
      <c r="E2877" s="244">
        <v>1</v>
      </c>
      <c r="F2877" s="244">
        <v>1</v>
      </c>
      <c r="G2877" s="244">
        <v>2</v>
      </c>
      <c r="H2877" s="244">
        <v>3</v>
      </c>
      <c r="I2877" s="244">
        <v>1</v>
      </c>
      <c r="J2877" s="244">
        <v>2</v>
      </c>
      <c r="K2877" s="244">
        <v>4</v>
      </c>
      <c r="L2877" s="244">
        <v>1</v>
      </c>
      <c r="M2877" s="244">
        <v>2</v>
      </c>
      <c r="N2877" s="244">
        <v>4</v>
      </c>
      <c r="O2877" s="254">
        <v>5</v>
      </c>
    </row>
    <row r="2878" spans="1:15">
      <c r="A2878" s="240" t="s">
        <v>68</v>
      </c>
      <c r="B2878" s="47" t="s">
        <v>5</v>
      </c>
      <c r="C2878" s="12">
        <v>0.0358090185676393</v>
      </c>
      <c r="D2878" s="241">
        <v>0.0175438596491228</v>
      </c>
      <c r="E2878" s="241">
        <v>0.0263157894736842</v>
      </c>
      <c r="F2878" s="241">
        <v>0.0333333333333333</v>
      </c>
      <c r="G2878" s="241">
        <v>0.0571428571428571</v>
      </c>
      <c r="H2878" s="241">
        <v>0.0344827586206897</v>
      </c>
      <c r="I2878" s="241">
        <v>0.0128205128205128</v>
      </c>
      <c r="J2878" s="241">
        <v>0.0317460317460317</v>
      </c>
      <c r="K2878" s="241">
        <v>0.0526315789473684</v>
      </c>
      <c r="L2878" s="241">
        <v>0.0142857142857143</v>
      </c>
      <c r="M2878" s="241">
        <v>0.0294117647058824</v>
      </c>
      <c r="N2878" s="241">
        <v>0.0579710144927536</v>
      </c>
      <c r="O2878" s="252">
        <v>0.0602409638554217</v>
      </c>
    </row>
    <row r="2879" spans="1:15">
      <c r="A2879" s="242" t="s">
        <v>68</v>
      </c>
      <c r="B2879" s="43" t="s">
        <v>6</v>
      </c>
      <c r="C2879" s="15">
        <v>12</v>
      </c>
      <c r="D2879" s="244">
        <v>0</v>
      </c>
      <c r="E2879" s="244">
        <v>0</v>
      </c>
      <c r="F2879" s="244">
        <v>1</v>
      </c>
      <c r="G2879" s="244">
        <v>0</v>
      </c>
      <c r="H2879" s="244">
        <v>2</v>
      </c>
      <c r="I2879" s="244">
        <v>0</v>
      </c>
      <c r="J2879" s="244">
        <v>1</v>
      </c>
      <c r="K2879" s="244">
        <v>2</v>
      </c>
      <c r="L2879" s="244">
        <v>1</v>
      </c>
      <c r="M2879" s="244">
        <v>1</v>
      </c>
      <c r="N2879" s="244">
        <v>2</v>
      </c>
      <c r="O2879" s="254">
        <v>2</v>
      </c>
    </row>
    <row r="2880" ht="14.25" spans="1:15">
      <c r="A2880" s="245" t="s">
        <v>68</v>
      </c>
      <c r="B2880" s="52" t="s">
        <v>64</v>
      </c>
      <c r="C2880" s="19">
        <v>0.444444444444444</v>
      </c>
      <c r="D2880" s="246">
        <v>0</v>
      </c>
      <c r="E2880" s="246">
        <v>0</v>
      </c>
      <c r="F2880" s="246">
        <v>1</v>
      </c>
      <c r="G2880" s="246">
        <v>0</v>
      </c>
      <c r="H2880" s="246">
        <v>0.666666666666667</v>
      </c>
      <c r="I2880" s="246">
        <v>0</v>
      </c>
      <c r="J2880" s="246">
        <v>0.5</v>
      </c>
      <c r="K2880" s="246">
        <v>0.5</v>
      </c>
      <c r="L2880" s="246">
        <v>1</v>
      </c>
      <c r="M2880" s="246">
        <v>0.5</v>
      </c>
      <c r="N2880" s="246">
        <v>0.5</v>
      </c>
      <c r="O2880" s="255">
        <v>0.4</v>
      </c>
    </row>
    <row r="2881" spans="1:15">
      <c r="A2881" s="240" t="s">
        <v>69</v>
      </c>
      <c r="B2881" s="47" t="s">
        <v>55</v>
      </c>
      <c r="C2881" s="12">
        <v>0.899317406143345</v>
      </c>
      <c r="D2881" s="241">
        <v>1.08333333333333</v>
      </c>
      <c r="E2881" s="241">
        <v>1.08108108108108</v>
      </c>
      <c r="F2881" s="241">
        <v>1.27272727272727</v>
      </c>
      <c r="G2881" s="241">
        <v>1.10810810810811</v>
      </c>
      <c r="H2881" s="241">
        <v>0.693877551020408</v>
      </c>
      <c r="I2881" s="241">
        <v>0.862745098039216</v>
      </c>
      <c r="J2881" s="241">
        <v>0.865384615384615</v>
      </c>
      <c r="K2881" s="241">
        <v>0.96551724137931</v>
      </c>
      <c r="L2881" s="241">
        <v>0.814814814814815</v>
      </c>
      <c r="M2881" s="241">
        <v>0.909090909090909</v>
      </c>
      <c r="N2881" s="241">
        <v>0.767123287671233</v>
      </c>
      <c r="O2881" s="252">
        <v>0.847222222222222</v>
      </c>
    </row>
    <row r="2882" spans="1:15">
      <c r="A2882" s="242" t="s">
        <v>69</v>
      </c>
      <c r="B2882" s="43" t="s">
        <v>57</v>
      </c>
      <c r="C2882" s="15">
        <v>586</v>
      </c>
      <c r="D2882" s="243">
        <v>48</v>
      </c>
      <c r="E2882" s="243">
        <v>37</v>
      </c>
      <c r="F2882" s="243">
        <v>11</v>
      </c>
      <c r="G2882" s="243">
        <v>37</v>
      </c>
      <c r="H2882" s="243">
        <v>49</v>
      </c>
      <c r="I2882" s="243">
        <v>51</v>
      </c>
      <c r="J2882" s="243">
        <v>52</v>
      </c>
      <c r="K2882" s="243">
        <v>58</v>
      </c>
      <c r="L2882" s="243">
        <v>54</v>
      </c>
      <c r="M2882" s="243">
        <v>44</v>
      </c>
      <c r="N2882" s="243">
        <v>73</v>
      </c>
      <c r="O2882" s="253">
        <v>72</v>
      </c>
    </row>
    <row r="2883" spans="1:15">
      <c r="A2883" s="240" t="s">
        <v>69</v>
      </c>
      <c r="B2883" s="47" t="s">
        <v>59</v>
      </c>
      <c r="C2883" s="15">
        <v>527</v>
      </c>
      <c r="D2883" s="243">
        <v>52</v>
      </c>
      <c r="E2883" s="243">
        <v>40</v>
      </c>
      <c r="F2883" s="243">
        <v>14</v>
      </c>
      <c r="G2883" s="243">
        <v>41</v>
      </c>
      <c r="H2883" s="243">
        <v>34</v>
      </c>
      <c r="I2883" s="243">
        <v>44</v>
      </c>
      <c r="J2883" s="243">
        <v>45</v>
      </c>
      <c r="K2883" s="243">
        <v>56</v>
      </c>
      <c r="L2883" s="243">
        <v>44</v>
      </c>
      <c r="M2883" s="243">
        <v>40</v>
      </c>
      <c r="N2883" s="243">
        <v>56</v>
      </c>
      <c r="O2883" s="253">
        <v>61</v>
      </c>
    </row>
    <row r="2884" spans="1:15">
      <c r="A2884" s="242" t="s">
        <v>69</v>
      </c>
      <c r="B2884" s="43" t="s">
        <v>4</v>
      </c>
      <c r="C2884" s="15">
        <v>30</v>
      </c>
      <c r="D2884" s="244">
        <v>2</v>
      </c>
      <c r="E2884" s="244">
        <v>2</v>
      </c>
      <c r="F2884" s="244">
        <v>0</v>
      </c>
      <c r="G2884" s="244">
        <v>2</v>
      </c>
      <c r="H2884" s="244">
        <v>0</v>
      </c>
      <c r="I2884" s="244">
        <v>4</v>
      </c>
      <c r="J2884" s="244">
        <v>2</v>
      </c>
      <c r="K2884" s="244">
        <v>9</v>
      </c>
      <c r="L2884" s="244">
        <v>2</v>
      </c>
      <c r="M2884" s="244">
        <v>4</v>
      </c>
      <c r="N2884" s="244">
        <v>3</v>
      </c>
      <c r="O2884" s="254">
        <v>0</v>
      </c>
    </row>
    <row r="2885" spans="1:15">
      <c r="A2885" s="240" t="s">
        <v>69</v>
      </c>
      <c r="B2885" s="47" t="s">
        <v>5</v>
      </c>
      <c r="C2885" s="12">
        <v>0.0569259962049336</v>
      </c>
      <c r="D2885" s="241">
        <v>0.0384615384615385</v>
      </c>
      <c r="E2885" s="241">
        <v>0.05</v>
      </c>
      <c r="F2885" s="241">
        <v>0</v>
      </c>
      <c r="G2885" s="241">
        <v>0.0487804878048781</v>
      </c>
      <c r="H2885" s="241">
        <v>0</v>
      </c>
      <c r="I2885" s="241">
        <v>0.0909090909090909</v>
      </c>
      <c r="J2885" s="241">
        <v>0.0444444444444444</v>
      </c>
      <c r="K2885" s="241">
        <v>0.160714285714286</v>
      </c>
      <c r="L2885" s="241">
        <v>0.0454545454545455</v>
      </c>
      <c r="M2885" s="241">
        <v>0.1</v>
      </c>
      <c r="N2885" s="241">
        <v>0.0535714285714286</v>
      </c>
      <c r="O2885" s="252">
        <v>0</v>
      </c>
    </row>
    <row r="2886" spans="1:15">
      <c r="A2886" s="242" t="s">
        <v>69</v>
      </c>
      <c r="B2886" s="43" t="s">
        <v>6</v>
      </c>
      <c r="C2886" s="15">
        <v>13</v>
      </c>
      <c r="D2886" s="244">
        <v>0</v>
      </c>
      <c r="E2886" s="244">
        <v>1</v>
      </c>
      <c r="F2886" s="244">
        <v>0</v>
      </c>
      <c r="G2886" s="244">
        <v>1</v>
      </c>
      <c r="H2886" s="244">
        <v>0</v>
      </c>
      <c r="I2886" s="244">
        <v>0</v>
      </c>
      <c r="J2886" s="244">
        <v>2</v>
      </c>
      <c r="K2886" s="244">
        <v>2</v>
      </c>
      <c r="L2886" s="244">
        <v>3</v>
      </c>
      <c r="M2886" s="244">
        <v>1</v>
      </c>
      <c r="N2886" s="244">
        <v>2</v>
      </c>
      <c r="O2886" s="254">
        <v>1</v>
      </c>
    </row>
    <row r="2887" ht="14.25" spans="1:15">
      <c r="A2887" s="245" t="s">
        <v>69</v>
      </c>
      <c r="B2887" s="52" t="s">
        <v>64</v>
      </c>
      <c r="C2887" s="19">
        <v>0.433333333333333</v>
      </c>
      <c r="D2887" s="246">
        <v>0</v>
      </c>
      <c r="E2887" s="246">
        <v>0.5</v>
      </c>
      <c r="F2887" s="246">
        <v>0</v>
      </c>
      <c r="G2887" s="246">
        <v>0.5</v>
      </c>
      <c r="H2887" s="246">
        <v>0</v>
      </c>
      <c r="I2887" s="246">
        <v>0</v>
      </c>
      <c r="J2887" s="246">
        <v>1</v>
      </c>
      <c r="K2887" s="246">
        <v>0.222222222222222</v>
      </c>
      <c r="L2887" s="246">
        <v>1.5</v>
      </c>
      <c r="M2887" s="246">
        <v>0.25</v>
      </c>
      <c r="N2887" s="246">
        <v>0.666666666666667</v>
      </c>
      <c r="O2887" s="255">
        <v>0</v>
      </c>
    </row>
    <row r="2888" spans="1:15">
      <c r="A2888" s="240" t="s">
        <v>70</v>
      </c>
      <c r="B2888" s="47" t="s">
        <v>55</v>
      </c>
      <c r="C2888" s="12">
        <v>0.863658418243571</v>
      </c>
      <c r="D2888" s="241">
        <v>0.91005291005291</v>
      </c>
      <c r="E2888" s="241">
        <v>0.792452830188679</v>
      </c>
      <c r="F2888" s="241">
        <v>0.981132075471698</v>
      </c>
      <c r="G2888" s="241">
        <v>0.879120879120879</v>
      </c>
      <c r="H2888" s="241">
        <v>0.947712418300654</v>
      </c>
      <c r="I2888" s="241">
        <v>0.877659574468085</v>
      </c>
      <c r="J2888" s="241">
        <v>0.875621890547264</v>
      </c>
      <c r="K2888" s="241">
        <v>0.923566878980892</v>
      </c>
      <c r="L2888" s="241">
        <v>0.832460732984293</v>
      </c>
      <c r="M2888" s="241">
        <v>0.87</v>
      </c>
      <c r="N2888" s="241">
        <v>0.834042553191489</v>
      </c>
      <c r="O2888" s="252">
        <v>0.781144781144781</v>
      </c>
    </row>
    <row r="2889" spans="1:15">
      <c r="A2889" s="242" t="s">
        <v>70</v>
      </c>
      <c r="B2889" s="43" t="s">
        <v>57</v>
      </c>
      <c r="C2889" s="15">
        <v>2061</v>
      </c>
      <c r="D2889" s="243">
        <v>189</v>
      </c>
      <c r="E2889" s="243">
        <v>106</v>
      </c>
      <c r="F2889" s="243">
        <v>53</v>
      </c>
      <c r="G2889" s="243">
        <v>91</v>
      </c>
      <c r="H2889" s="243">
        <v>153</v>
      </c>
      <c r="I2889" s="243">
        <v>188</v>
      </c>
      <c r="J2889" s="243">
        <v>201</v>
      </c>
      <c r="K2889" s="243">
        <v>157</v>
      </c>
      <c r="L2889" s="243">
        <v>191</v>
      </c>
      <c r="M2889" s="243">
        <v>200</v>
      </c>
      <c r="N2889" s="243">
        <v>235</v>
      </c>
      <c r="O2889" s="253">
        <v>297</v>
      </c>
    </row>
    <row r="2890" spans="1:15">
      <c r="A2890" s="240" t="s">
        <v>70</v>
      </c>
      <c r="B2890" s="47" t="s">
        <v>59</v>
      </c>
      <c r="C2890" s="15">
        <v>1780</v>
      </c>
      <c r="D2890" s="243">
        <v>172</v>
      </c>
      <c r="E2890" s="243">
        <v>84</v>
      </c>
      <c r="F2890" s="243">
        <v>52</v>
      </c>
      <c r="G2890" s="243">
        <v>80</v>
      </c>
      <c r="H2890" s="243">
        <v>145</v>
      </c>
      <c r="I2890" s="243">
        <v>165</v>
      </c>
      <c r="J2890" s="243">
        <v>176</v>
      </c>
      <c r="K2890" s="243">
        <v>145</v>
      </c>
      <c r="L2890" s="243">
        <v>159</v>
      </c>
      <c r="M2890" s="243">
        <v>174</v>
      </c>
      <c r="N2890" s="243">
        <v>196</v>
      </c>
      <c r="O2890" s="253">
        <v>232</v>
      </c>
    </row>
    <row r="2891" spans="1:15">
      <c r="A2891" s="242" t="s">
        <v>70</v>
      </c>
      <c r="B2891" s="43" t="s">
        <v>4</v>
      </c>
      <c r="C2891" s="15">
        <v>197</v>
      </c>
      <c r="D2891" s="244">
        <v>17</v>
      </c>
      <c r="E2891" s="244">
        <v>17</v>
      </c>
      <c r="F2891" s="244">
        <v>9</v>
      </c>
      <c r="G2891" s="244">
        <v>5</v>
      </c>
      <c r="H2891" s="244">
        <v>18</v>
      </c>
      <c r="I2891" s="244">
        <v>20</v>
      </c>
      <c r="J2891" s="244">
        <v>15</v>
      </c>
      <c r="K2891" s="244">
        <v>14</v>
      </c>
      <c r="L2891" s="244">
        <v>12</v>
      </c>
      <c r="M2891" s="244">
        <v>22</v>
      </c>
      <c r="N2891" s="244">
        <v>22</v>
      </c>
      <c r="O2891" s="254">
        <v>26</v>
      </c>
    </row>
    <row r="2892" spans="1:15">
      <c r="A2892" s="240" t="s">
        <v>70</v>
      </c>
      <c r="B2892" s="47" t="s">
        <v>5</v>
      </c>
      <c r="C2892" s="12">
        <v>0.110674157303371</v>
      </c>
      <c r="D2892" s="241">
        <v>0.0988372093023256</v>
      </c>
      <c r="E2892" s="241">
        <v>0.202380952380952</v>
      </c>
      <c r="F2892" s="241">
        <v>0.173076923076923</v>
      </c>
      <c r="G2892" s="241">
        <v>0.0625</v>
      </c>
      <c r="H2892" s="241">
        <v>0.124137931034483</v>
      </c>
      <c r="I2892" s="241">
        <v>0.121212121212121</v>
      </c>
      <c r="J2892" s="241">
        <v>0.0852272727272727</v>
      </c>
      <c r="K2892" s="241">
        <v>0.096551724137931</v>
      </c>
      <c r="L2892" s="241">
        <v>0.0754716981132075</v>
      </c>
      <c r="M2892" s="241">
        <v>0.126436781609195</v>
      </c>
      <c r="N2892" s="241">
        <v>0.112244897959184</v>
      </c>
      <c r="O2892" s="252">
        <v>0.112068965517241</v>
      </c>
    </row>
    <row r="2893" spans="1:15">
      <c r="A2893" s="242" t="s">
        <v>70</v>
      </c>
      <c r="B2893" s="43" t="s">
        <v>6</v>
      </c>
      <c r="C2893" s="15">
        <v>55</v>
      </c>
      <c r="D2893" s="244">
        <v>2</v>
      </c>
      <c r="E2893" s="244">
        <v>5</v>
      </c>
      <c r="F2893" s="244">
        <v>3</v>
      </c>
      <c r="G2893" s="244">
        <v>0</v>
      </c>
      <c r="H2893" s="244">
        <v>0</v>
      </c>
      <c r="I2893" s="244">
        <v>11</v>
      </c>
      <c r="J2893" s="244">
        <v>5</v>
      </c>
      <c r="K2893" s="244">
        <v>6</v>
      </c>
      <c r="L2893" s="244">
        <v>1</v>
      </c>
      <c r="M2893" s="244">
        <v>6</v>
      </c>
      <c r="N2893" s="244">
        <v>9</v>
      </c>
      <c r="O2893" s="254">
        <v>7</v>
      </c>
    </row>
    <row r="2894" ht="14.25" spans="1:15">
      <c r="A2894" s="245" t="s">
        <v>70</v>
      </c>
      <c r="B2894" s="52" t="s">
        <v>64</v>
      </c>
      <c r="C2894" s="19">
        <v>0.279187817258883</v>
      </c>
      <c r="D2894" s="246">
        <v>0.117647058823529</v>
      </c>
      <c r="E2894" s="246">
        <v>0.294117647058824</v>
      </c>
      <c r="F2894" s="246">
        <v>0.333333333333333</v>
      </c>
      <c r="G2894" s="246">
        <v>0</v>
      </c>
      <c r="H2894" s="246">
        <v>0</v>
      </c>
      <c r="I2894" s="246">
        <v>0.55</v>
      </c>
      <c r="J2894" s="246">
        <v>0.333333333333333</v>
      </c>
      <c r="K2894" s="246">
        <v>0.428571428571429</v>
      </c>
      <c r="L2894" s="246">
        <v>0.0833333333333333</v>
      </c>
      <c r="M2894" s="246">
        <v>0.272727272727273</v>
      </c>
      <c r="N2894" s="246">
        <v>0.409090909090909</v>
      </c>
      <c r="O2894" s="255">
        <v>0.269230769230769</v>
      </c>
    </row>
    <row r="2895" spans="1:15">
      <c r="A2895" s="240" t="s">
        <v>26</v>
      </c>
      <c r="B2895" s="47" t="s">
        <v>55</v>
      </c>
      <c r="C2895" s="12">
        <v>0.685403445149592</v>
      </c>
      <c r="D2895" s="241">
        <v>0.555825242718447</v>
      </c>
      <c r="E2895" s="241">
        <v>0.578268876611418</v>
      </c>
      <c r="F2895" s="241">
        <v>0.640949554896142</v>
      </c>
      <c r="G2895" s="241">
        <v>0.692579505300353</v>
      </c>
      <c r="H2895" s="241">
        <v>0.752336448598131</v>
      </c>
      <c r="I2895" s="241">
        <v>0.965714285714286</v>
      </c>
      <c r="J2895" s="241">
        <v>1.01351351351351</v>
      </c>
      <c r="K2895" s="241">
        <v>0.841176470588235</v>
      </c>
      <c r="L2895" s="241">
        <v>0.801169590643275</v>
      </c>
      <c r="M2895" s="241">
        <v>0.776</v>
      </c>
      <c r="N2895" s="241">
        <v>0.745454545454545</v>
      </c>
      <c r="O2895" s="252">
        <v>0.675324675324675</v>
      </c>
    </row>
    <row r="2896" spans="1:15">
      <c r="A2896" s="242" t="s">
        <v>26</v>
      </c>
      <c r="B2896" s="43" t="s">
        <v>57</v>
      </c>
      <c r="C2896" s="15">
        <v>3309</v>
      </c>
      <c r="D2896" s="243">
        <v>824</v>
      </c>
      <c r="E2896" s="243">
        <v>543</v>
      </c>
      <c r="F2896" s="243">
        <v>337</v>
      </c>
      <c r="G2896" s="243">
        <v>283</v>
      </c>
      <c r="H2896" s="243">
        <v>214</v>
      </c>
      <c r="I2896" s="243">
        <v>175</v>
      </c>
      <c r="J2896" s="243">
        <v>148</v>
      </c>
      <c r="K2896" s="243">
        <v>170</v>
      </c>
      <c r="L2896" s="243">
        <v>171</v>
      </c>
      <c r="M2896" s="243">
        <v>125</v>
      </c>
      <c r="N2896" s="243">
        <v>165</v>
      </c>
      <c r="O2896" s="253">
        <v>154</v>
      </c>
    </row>
    <row r="2897" spans="1:15">
      <c r="A2897" s="240" t="s">
        <v>26</v>
      </c>
      <c r="B2897" s="47" t="s">
        <v>59</v>
      </c>
      <c r="C2897" s="15">
        <v>2268</v>
      </c>
      <c r="D2897" s="243">
        <v>458</v>
      </c>
      <c r="E2897" s="243">
        <v>314</v>
      </c>
      <c r="F2897" s="243">
        <v>216</v>
      </c>
      <c r="G2897" s="243">
        <v>196</v>
      </c>
      <c r="H2897" s="243">
        <v>161</v>
      </c>
      <c r="I2897" s="243">
        <v>169</v>
      </c>
      <c r="J2897" s="243">
        <v>150</v>
      </c>
      <c r="K2897" s="243">
        <v>143</v>
      </c>
      <c r="L2897" s="243">
        <v>137</v>
      </c>
      <c r="M2897" s="243">
        <v>97</v>
      </c>
      <c r="N2897" s="243">
        <v>123</v>
      </c>
      <c r="O2897" s="253">
        <v>104</v>
      </c>
    </row>
    <row r="2898" spans="1:15">
      <c r="A2898" s="242" t="s">
        <v>26</v>
      </c>
      <c r="B2898" s="43" t="s">
        <v>4</v>
      </c>
      <c r="C2898" s="15">
        <v>26</v>
      </c>
      <c r="D2898" s="244">
        <v>6</v>
      </c>
      <c r="E2898" s="244">
        <v>3</v>
      </c>
      <c r="F2898" s="244">
        <v>1</v>
      </c>
      <c r="G2898" s="244">
        <v>0</v>
      </c>
      <c r="H2898" s="244">
        <v>1</v>
      </c>
      <c r="I2898" s="244">
        <v>2</v>
      </c>
      <c r="J2898" s="244">
        <v>1</v>
      </c>
      <c r="K2898" s="244">
        <v>2</v>
      </c>
      <c r="L2898" s="244">
        <v>6</v>
      </c>
      <c r="M2898" s="244">
        <v>0</v>
      </c>
      <c r="N2898" s="244">
        <v>3</v>
      </c>
      <c r="O2898" s="254">
        <v>1</v>
      </c>
    </row>
    <row r="2899" spans="1:15">
      <c r="A2899" s="240" t="s">
        <v>26</v>
      </c>
      <c r="B2899" s="47" t="s">
        <v>5</v>
      </c>
      <c r="C2899" s="12">
        <v>0.0114638447971781</v>
      </c>
      <c r="D2899" s="241">
        <v>0.0131004366812227</v>
      </c>
      <c r="E2899" s="241">
        <v>0.00955414012738853</v>
      </c>
      <c r="F2899" s="241">
        <v>0.00462962962962963</v>
      </c>
      <c r="G2899" s="241">
        <v>0</v>
      </c>
      <c r="H2899" s="241">
        <v>0.0062111801242236</v>
      </c>
      <c r="I2899" s="241">
        <v>0.0118343195266272</v>
      </c>
      <c r="J2899" s="241">
        <v>0.00666666666666667</v>
      </c>
      <c r="K2899" s="241">
        <v>0.013986013986014</v>
      </c>
      <c r="L2899" s="241">
        <v>0.0437956204379562</v>
      </c>
      <c r="M2899" s="241">
        <v>0</v>
      </c>
      <c r="N2899" s="241">
        <v>0.024390243902439</v>
      </c>
      <c r="O2899" s="252">
        <v>0.00961538461538462</v>
      </c>
    </row>
    <row r="2900" spans="1:15">
      <c r="A2900" s="242" t="s">
        <v>26</v>
      </c>
      <c r="B2900" s="43" t="s">
        <v>6</v>
      </c>
      <c r="C2900" s="15">
        <v>10</v>
      </c>
      <c r="D2900" s="244">
        <v>2</v>
      </c>
      <c r="E2900" s="244">
        <v>1</v>
      </c>
      <c r="F2900" s="244">
        <v>1</v>
      </c>
      <c r="G2900" s="244">
        <v>0</v>
      </c>
      <c r="H2900" s="244">
        <v>1</v>
      </c>
      <c r="I2900" s="244">
        <v>0</v>
      </c>
      <c r="J2900" s="244">
        <v>1</v>
      </c>
      <c r="K2900" s="244">
        <v>0</v>
      </c>
      <c r="L2900" s="244">
        <v>1</v>
      </c>
      <c r="M2900" s="244">
        <v>0</v>
      </c>
      <c r="N2900" s="244">
        <v>1</v>
      </c>
      <c r="O2900" s="254">
        <v>2</v>
      </c>
    </row>
    <row r="2901" ht="14.25" spans="1:15">
      <c r="A2901" s="245" t="s">
        <v>26</v>
      </c>
      <c r="B2901" s="52" t="s">
        <v>64</v>
      </c>
      <c r="C2901" s="19">
        <v>0.384615384615385</v>
      </c>
      <c r="D2901" s="19">
        <v>0.333333333333333</v>
      </c>
      <c r="E2901" s="19">
        <v>0.333333333333333</v>
      </c>
      <c r="F2901" s="19">
        <v>1</v>
      </c>
      <c r="G2901" s="19" t="e">
        <v>#DIV/0!</v>
      </c>
      <c r="H2901" s="19">
        <v>1</v>
      </c>
      <c r="I2901" s="19">
        <v>0</v>
      </c>
      <c r="J2901" s="19">
        <v>1</v>
      </c>
      <c r="K2901" s="19">
        <v>0</v>
      </c>
      <c r="L2901" s="19">
        <v>0.166666666666667</v>
      </c>
      <c r="M2901" s="19" t="e">
        <v>#DIV/0!</v>
      </c>
      <c r="N2901" s="19">
        <v>0.333333333333333</v>
      </c>
      <c r="O2901" s="19">
        <v>2</v>
      </c>
    </row>
    <row r="2902" spans="1:15">
      <c r="A2902" s="240" t="s">
        <v>71</v>
      </c>
      <c r="B2902" s="47" t="s">
        <v>55</v>
      </c>
      <c r="C2902" s="12">
        <v>18.6666666666667</v>
      </c>
      <c r="D2902" s="241" t="e">
        <v>#DIV/0!</v>
      </c>
      <c r="E2902" s="241" t="e">
        <v>#DIV/0!</v>
      </c>
      <c r="F2902" s="241">
        <v>1</v>
      </c>
      <c r="G2902" s="241" t="e">
        <v>#DIV/0!</v>
      </c>
      <c r="H2902" s="241" t="e">
        <v>#DIV/0!</v>
      </c>
      <c r="I2902" s="241" t="e">
        <v>#DIV/0!</v>
      </c>
      <c r="J2902" s="241" t="e">
        <v>#DIV/0!</v>
      </c>
      <c r="K2902" s="241">
        <v>6</v>
      </c>
      <c r="L2902" s="241" t="e">
        <v>#DIV/0!</v>
      </c>
      <c r="M2902" s="241" t="e">
        <v>#DIV/0!</v>
      </c>
      <c r="N2902" s="241" t="e">
        <v>#DIV/0!</v>
      </c>
      <c r="O2902" s="252">
        <v>14</v>
      </c>
    </row>
    <row r="2903" spans="1:15">
      <c r="A2903" s="242" t="s">
        <v>71</v>
      </c>
      <c r="B2903" s="43" t="s">
        <v>57</v>
      </c>
      <c r="C2903" s="15">
        <v>3</v>
      </c>
      <c r="D2903" s="243">
        <v>0</v>
      </c>
      <c r="E2903" s="243">
        <v>0</v>
      </c>
      <c r="F2903" s="243">
        <v>1</v>
      </c>
      <c r="G2903" s="243">
        <v>0</v>
      </c>
      <c r="H2903" s="243">
        <v>0</v>
      </c>
      <c r="I2903" s="243">
        <v>0</v>
      </c>
      <c r="J2903" s="243">
        <v>0</v>
      </c>
      <c r="K2903" s="243">
        <v>1</v>
      </c>
      <c r="L2903" s="243">
        <v>0</v>
      </c>
      <c r="M2903" s="243">
        <v>0</v>
      </c>
      <c r="N2903" s="243">
        <v>0</v>
      </c>
      <c r="O2903" s="253">
        <v>1</v>
      </c>
    </row>
    <row r="2904" spans="1:15">
      <c r="A2904" s="240" t="s">
        <v>71</v>
      </c>
      <c r="B2904" s="47" t="s">
        <v>59</v>
      </c>
      <c r="C2904" s="15">
        <v>56</v>
      </c>
      <c r="D2904" s="243">
        <v>7</v>
      </c>
      <c r="E2904" s="243">
        <v>2</v>
      </c>
      <c r="F2904" s="243">
        <v>1</v>
      </c>
      <c r="G2904" s="243">
        <v>3</v>
      </c>
      <c r="H2904" s="243">
        <v>0</v>
      </c>
      <c r="I2904" s="243">
        <v>2</v>
      </c>
      <c r="J2904" s="243">
        <v>0</v>
      </c>
      <c r="K2904" s="243">
        <v>6</v>
      </c>
      <c r="L2904" s="243">
        <v>6</v>
      </c>
      <c r="M2904" s="243">
        <v>5</v>
      </c>
      <c r="N2904" s="243">
        <v>10</v>
      </c>
      <c r="O2904" s="253">
        <v>14</v>
      </c>
    </row>
    <row r="2905" spans="1:15">
      <c r="A2905" s="242" t="s">
        <v>71</v>
      </c>
      <c r="B2905" s="43" t="s">
        <v>4</v>
      </c>
      <c r="C2905" s="15">
        <v>16</v>
      </c>
      <c r="D2905" s="244">
        <v>5</v>
      </c>
      <c r="E2905" s="244">
        <v>0</v>
      </c>
      <c r="F2905" s="244">
        <v>2</v>
      </c>
      <c r="G2905" s="244">
        <v>0</v>
      </c>
      <c r="H2905" s="244">
        <v>0</v>
      </c>
      <c r="I2905" s="244">
        <v>0</v>
      </c>
      <c r="J2905" s="244">
        <v>1</v>
      </c>
      <c r="K2905" s="244">
        <v>3</v>
      </c>
      <c r="L2905" s="244">
        <v>1</v>
      </c>
      <c r="M2905" s="244">
        <v>1</v>
      </c>
      <c r="N2905" s="244">
        <v>1</v>
      </c>
      <c r="O2905" s="254">
        <v>2</v>
      </c>
    </row>
    <row r="2906" spans="1:15">
      <c r="A2906" s="240" t="s">
        <v>71</v>
      </c>
      <c r="B2906" s="47" t="s">
        <v>5</v>
      </c>
      <c r="C2906" s="241">
        <v>0.285714285714286</v>
      </c>
      <c r="D2906" s="241">
        <v>0.714285714285714</v>
      </c>
      <c r="E2906" s="241">
        <v>0</v>
      </c>
      <c r="F2906" s="241">
        <v>2</v>
      </c>
      <c r="G2906" s="241">
        <v>0</v>
      </c>
      <c r="H2906" s="241">
        <v>0</v>
      </c>
      <c r="I2906" s="241">
        <v>0</v>
      </c>
      <c r="J2906" s="241">
        <v>0</v>
      </c>
      <c r="K2906" s="241">
        <v>0.5</v>
      </c>
      <c r="L2906" s="241">
        <v>0.166666666666667</v>
      </c>
      <c r="M2906" s="241">
        <v>0.2</v>
      </c>
      <c r="N2906" s="241">
        <v>0.1</v>
      </c>
      <c r="O2906" s="252">
        <v>0.142857142857143</v>
      </c>
    </row>
    <row r="2907" spans="1:15">
      <c r="A2907" s="242" t="s">
        <v>71</v>
      </c>
      <c r="B2907" s="43" t="s">
        <v>6</v>
      </c>
      <c r="C2907" s="15">
        <v>8</v>
      </c>
      <c r="D2907" s="244">
        <v>3</v>
      </c>
      <c r="E2907" s="244">
        <v>1</v>
      </c>
      <c r="F2907" s="244">
        <v>0</v>
      </c>
      <c r="G2907" s="244">
        <v>0</v>
      </c>
      <c r="H2907" s="244">
        <v>0</v>
      </c>
      <c r="I2907" s="244">
        <v>0</v>
      </c>
      <c r="J2907" s="244">
        <v>0</v>
      </c>
      <c r="K2907" s="244">
        <v>2</v>
      </c>
      <c r="L2907" s="244">
        <v>0</v>
      </c>
      <c r="M2907" s="244">
        <v>1</v>
      </c>
      <c r="N2907" s="244">
        <v>0</v>
      </c>
      <c r="O2907" s="254">
        <v>1</v>
      </c>
    </row>
    <row r="2908" ht="14.25" spans="1:15">
      <c r="A2908" s="245" t="s">
        <v>71</v>
      </c>
      <c r="B2908" s="52" t="s">
        <v>64</v>
      </c>
      <c r="C2908" s="19">
        <v>0.5</v>
      </c>
      <c r="D2908" s="19">
        <v>0.6</v>
      </c>
      <c r="E2908" s="19" t="e">
        <v>#DIV/0!</v>
      </c>
      <c r="F2908" s="19">
        <v>0</v>
      </c>
      <c r="G2908" s="19" t="e">
        <v>#DIV/0!</v>
      </c>
      <c r="H2908" s="19" t="e">
        <v>#DIV/0!</v>
      </c>
      <c r="I2908" s="19" t="e">
        <v>#DIV/0!</v>
      </c>
      <c r="J2908" s="19">
        <v>0</v>
      </c>
      <c r="K2908" s="19">
        <v>0.666666666666667</v>
      </c>
      <c r="L2908" s="19">
        <v>0</v>
      </c>
      <c r="M2908" s="19">
        <v>1</v>
      </c>
      <c r="N2908" s="19">
        <v>0</v>
      </c>
      <c r="O2908" s="19">
        <v>0.5</v>
      </c>
    </row>
    <row r="2909" spans="1:15">
      <c r="A2909" s="240" t="s">
        <v>72</v>
      </c>
      <c r="B2909" s="47" t="s">
        <v>55</v>
      </c>
      <c r="C2909" s="12">
        <v>0.287537993920973</v>
      </c>
      <c r="D2909" s="241">
        <v>0.32484076433121</v>
      </c>
      <c r="E2909" s="241">
        <v>0.287128712871287</v>
      </c>
      <c r="F2909" s="241">
        <v>0.333333333333333</v>
      </c>
      <c r="G2909" s="241">
        <v>0.256756756756757</v>
      </c>
      <c r="H2909" s="241">
        <v>0.263157894736842</v>
      </c>
      <c r="I2909" s="241">
        <v>0.345070422535211</v>
      </c>
      <c r="J2909" s="241">
        <v>0.369369369369369</v>
      </c>
      <c r="K2909" s="241">
        <v>0.235294117647059</v>
      </c>
      <c r="L2909" s="241">
        <v>0.31055900621118</v>
      </c>
      <c r="M2909" s="241">
        <v>0.306451612903226</v>
      </c>
      <c r="N2909" s="241">
        <v>0.216981132075472</v>
      </c>
      <c r="O2909" s="252">
        <v>0.268774703557312</v>
      </c>
    </row>
    <row r="2910" spans="1:15">
      <c r="A2910" s="242" t="s">
        <v>72</v>
      </c>
      <c r="B2910" s="43" t="s">
        <v>57</v>
      </c>
      <c r="C2910" s="15">
        <v>1645</v>
      </c>
      <c r="D2910" s="243">
        <v>157</v>
      </c>
      <c r="E2910" s="243">
        <v>101</v>
      </c>
      <c r="F2910" s="243">
        <v>60</v>
      </c>
      <c r="G2910" s="243">
        <v>74</v>
      </c>
      <c r="H2910" s="243">
        <v>114</v>
      </c>
      <c r="I2910" s="243">
        <v>142</v>
      </c>
      <c r="J2910" s="243">
        <v>111</v>
      </c>
      <c r="K2910" s="243">
        <v>136</v>
      </c>
      <c r="L2910" s="243">
        <v>161</v>
      </c>
      <c r="M2910" s="243">
        <v>124</v>
      </c>
      <c r="N2910" s="243">
        <v>212</v>
      </c>
      <c r="O2910" s="253">
        <v>253</v>
      </c>
    </row>
    <row r="2911" spans="1:15">
      <c r="A2911" s="240" t="s">
        <v>72</v>
      </c>
      <c r="B2911" s="47" t="s">
        <v>59</v>
      </c>
      <c r="C2911" s="15">
        <v>473</v>
      </c>
      <c r="D2911" s="243">
        <v>51</v>
      </c>
      <c r="E2911" s="243">
        <v>29</v>
      </c>
      <c r="F2911" s="243">
        <v>20</v>
      </c>
      <c r="G2911" s="243">
        <v>19</v>
      </c>
      <c r="H2911" s="243">
        <v>30</v>
      </c>
      <c r="I2911" s="243">
        <v>49</v>
      </c>
      <c r="J2911" s="243">
        <v>41</v>
      </c>
      <c r="K2911" s="243">
        <v>32</v>
      </c>
      <c r="L2911" s="243">
        <v>50</v>
      </c>
      <c r="M2911" s="243">
        <v>38</v>
      </c>
      <c r="N2911" s="243">
        <v>46</v>
      </c>
      <c r="O2911" s="253">
        <v>68</v>
      </c>
    </row>
    <row r="2912" spans="1:15">
      <c r="A2912" s="242" t="s">
        <v>72</v>
      </c>
      <c r="B2912" s="43" t="s">
        <v>4</v>
      </c>
      <c r="C2912" s="15">
        <v>36</v>
      </c>
      <c r="D2912" s="244">
        <v>3</v>
      </c>
      <c r="E2912" s="244">
        <v>4</v>
      </c>
      <c r="F2912" s="244">
        <v>1</v>
      </c>
      <c r="G2912" s="244">
        <v>2</v>
      </c>
      <c r="H2912" s="244">
        <v>2</v>
      </c>
      <c r="I2912" s="244">
        <v>5</v>
      </c>
      <c r="J2912" s="244">
        <v>3</v>
      </c>
      <c r="K2912" s="244">
        <v>0</v>
      </c>
      <c r="L2912" s="244">
        <v>6</v>
      </c>
      <c r="M2912" s="244">
        <v>1</v>
      </c>
      <c r="N2912" s="244">
        <v>3</v>
      </c>
      <c r="O2912" s="254">
        <v>6</v>
      </c>
    </row>
    <row r="2913" spans="1:15">
      <c r="A2913" s="240" t="s">
        <v>72</v>
      </c>
      <c r="B2913" s="47" t="s">
        <v>5</v>
      </c>
      <c r="C2913" s="12">
        <v>0.0761099365750529</v>
      </c>
      <c r="D2913" s="241">
        <v>0.0588235294117647</v>
      </c>
      <c r="E2913" s="241">
        <v>0.137931034482759</v>
      </c>
      <c r="F2913" s="241">
        <v>0.05</v>
      </c>
      <c r="G2913" s="241">
        <v>0.105263157894737</v>
      </c>
      <c r="H2913" s="241">
        <v>0.0666666666666667</v>
      </c>
      <c r="I2913" s="241">
        <v>0.102040816326531</v>
      </c>
      <c r="J2913" s="241">
        <v>0.0731707317073171</v>
      </c>
      <c r="K2913" s="241">
        <v>0</v>
      </c>
      <c r="L2913" s="241">
        <v>0.12</v>
      </c>
      <c r="M2913" s="241">
        <v>0.0263157894736842</v>
      </c>
      <c r="N2913" s="241">
        <v>0.0652173913043478</v>
      </c>
      <c r="O2913" s="252">
        <v>0.0882352941176471</v>
      </c>
    </row>
    <row r="2914" spans="1:15">
      <c r="A2914" s="242" t="s">
        <v>72</v>
      </c>
      <c r="B2914" s="43" t="s">
        <v>6</v>
      </c>
      <c r="C2914" s="15">
        <v>20</v>
      </c>
      <c r="D2914" s="244">
        <v>0</v>
      </c>
      <c r="E2914" s="244">
        <v>4</v>
      </c>
      <c r="F2914" s="244">
        <v>1</v>
      </c>
      <c r="G2914" s="244">
        <v>1</v>
      </c>
      <c r="H2914" s="244">
        <v>4</v>
      </c>
      <c r="I2914" s="244">
        <v>2</v>
      </c>
      <c r="J2914" s="244">
        <v>1</v>
      </c>
      <c r="K2914" s="244">
        <v>1</v>
      </c>
      <c r="L2914" s="244">
        <v>3</v>
      </c>
      <c r="M2914" s="244">
        <v>2</v>
      </c>
      <c r="N2914" s="244">
        <v>1</v>
      </c>
      <c r="O2914" s="254">
        <v>0</v>
      </c>
    </row>
    <row r="2915" ht="14.25" spans="1:15">
      <c r="A2915" s="245" t="s">
        <v>72</v>
      </c>
      <c r="B2915" s="52" t="s">
        <v>64</v>
      </c>
      <c r="C2915" s="19">
        <v>0.555555555555556</v>
      </c>
      <c r="D2915" s="19">
        <v>0</v>
      </c>
      <c r="E2915" s="19">
        <v>1</v>
      </c>
      <c r="F2915" s="19">
        <v>1</v>
      </c>
      <c r="G2915" s="19">
        <v>0.5</v>
      </c>
      <c r="H2915" s="19">
        <v>2</v>
      </c>
      <c r="I2915" s="19">
        <v>0.4</v>
      </c>
      <c r="J2915" s="19">
        <v>0.333333333333333</v>
      </c>
      <c r="K2915" s="19" t="e">
        <v>#DIV/0!</v>
      </c>
      <c r="L2915" s="19">
        <v>0.5</v>
      </c>
      <c r="M2915" s="19">
        <v>2</v>
      </c>
      <c r="N2915" s="19">
        <v>0.333333333333333</v>
      </c>
      <c r="O2915" s="19">
        <v>0</v>
      </c>
    </row>
    <row r="2916" ht="14.25" spans="1:15">
      <c r="A2916" s="237">
        <v>45064</v>
      </c>
      <c r="B2916" s="237"/>
      <c r="C2916" s="237"/>
      <c r="D2916" s="237"/>
      <c r="E2916" s="237"/>
      <c r="F2916" s="237"/>
      <c r="G2916" s="237"/>
      <c r="H2916" s="237"/>
      <c r="I2916" s="237"/>
      <c r="J2916" s="237"/>
      <c r="K2916" s="237"/>
      <c r="L2916" s="237"/>
      <c r="M2916" s="237"/>
      <c r="N2916" s="237"/>
      <c r="O2916" s="237"/>
    </row>
    <row r="2917" spans="1:15">
      <c r="A2917" s="56" t="s">
        <v>1</v>
      </c>
      <c r="B2917" s="238"/>
      <c r="C2917" s="8" t="s">
        <v>42</v>
      </c>
      <c r="D2917" s="239" t="s">
        <v>43</v>
      </c>
      <c r="E2917" s="239" t="s">
        <v>44</v>
      </c>
      <c r="F2917" s="239" t="s">
        <v>45</v>
      </c>
      <c r="G2917" s="239" t="s">
        <v>46</v>
      </c>
      <c r="H2917" s="239" t="s">
        <v>47</v>
      </c>
      <c r="I2917" s="239" t="s">
        <v>48</v>
      </c>
      <c r="J2917" s="239" t="s">
        <v>49</v>
      </c>
      <c r="K2917" s="239" t="s">
        <v>50</v>
      </c>
      <c r="L2917" s="239" t="s">
        <v>51</v>
      </c>
      <c r="M2917" s="239" t="s">
        <v>52</v>
      </c>
      <c r="N2917" s="239" t="s">
        <v>53</v>
      </c>
      <c r="O2917" s="251" t="s">
        <v>54</v>
      </c>
    </row>
    <row r="2918" spans="1:15">
      <c r="A2918" s="240" t="s">
        <v>22</v>
      </c>
      <c r="B2918" s="47" t="s">
        <v>55</v>
      </c>
      <c r="C2918" s="12">
        <v>0.452652041099695</v>
      </c>
      <c r="D2918" s="241">
        <v>0.43859649122807</v>
      </c>
      <c r="E2918" s="241">
        <v>0.562248995983936</v>
      </c>
      <c r="F2918" s="241">
        <v>0.513698630136986</v>
      </c>
      <c r="G2918" s="241">
        <v>0.472527472527473</v>
      </c>
      <c r="H2918" s="241">
        <v>0.545774647887324</v>
      </c>
      <c r="I2918" s="241">
        <v>0.473880597014925</v>
      </c>
      <c r="J2918" s="241">
        <v>0.435643564356436</v>
      </c>
      <c r="K2918" s="241">
        <v>0.495440729483283</v>
      </c>
      <c r="L2918" s="241">
        <v>0.412140575079872</v>
      </c>
      <c r="M2918" s="241">
        <v>0.456834532374101</v>
      </c>
      <c r="N2918" s="241">
        <v>0.403598971722365</v>
      </c>
      <c r="O2918" s="252">
        <v>0.355748373101952</v>
      </c>
    </row>
    <row r="2919" spans="1:15">
      <c r="A2919" s="242" t="s">
        <v>22</v>
      </c>
      <c r="B2919" s="43" t="s">
        <v>57</v>
      </c>
      <c r="C2919" s="15">
        <v>3601</v>
      </c>
      <c r="D2919" s="243">
        <v>399</v>
      </c>
      <c r="E2919" s="243">
        <v>249</v>
      </c>
      <c r="F2919" s="243">
        <v>146</v>
      </c>
      <c r="G2919" s="243">
        <v>182</v>
      </c>
      <c r="H2919" s="243">
        <v>284</v>
      </c>
      <c r="I2919" s="243">
        <v>268</v>
      </c>
      <c r="J2919" s="243">
        <v>303</v>
      </c>
      <c r="K2919" s="243">
        <v>329</v>
      </c>
      <c r="L2919" s="243">
        <v>313</v>
      </c>
      <c r="M2919" s="243">
        <v>278</v>
      </c>
      <c r="N2919" s="243">
        <v>389</v>
      </c>
      <c r="O2919" s="253">
        <v>461</v>
      </c>
    </row>
    <row r="2920" spans="1:15">
      <c r="A2920" s="240" t="s">
        <v>22</v>
      </c>
      <c r="B2920" s="47" t="s">
        <v>59</v>
      </c>
      <c r="C2920" s="15">
        <v>1630</v>
      </c>
      <c r="D2920" s="243">
        <v>175</v>
      </c>
      <c r="E2920" s="243">
        <v>140</v>
      </c>
      <c r="F2920" s="243">
        <v>75</v>
      </c>
      <c r="G2920" s="243">
        <v>86</v>
      </c>
      <c r="H2920" s="243">
        <v>155</v>
      </c>
      <c r="I2920" s="243">
        <v>127</v>
      </c>
      <c r="J2920" s="243">
        <v>132</v>
      </c>
      <c r="K2920" s="243">
        <v>163</v>
      </c>
      <c r="L2920" s="243">
        <v>129</v>
      </c>
      <c r="M2920" s="243">
        <v>127</v>
      </c>
      <c r="N2920" s="243">
        <v>157</v>
      </c>
      <c r="O2920" s="253">
        <v>164</v>
      </c>
    </row>
    <row r="2921" spans="1:15">
      <c r="A2921" s="242" t="s">
        <v>22</v>
      </c>
      <c r="B2921" s="43" t="s">
        <v>4</v>
      </c>
      <c r="C2921" s="15">
        <v>134</v>
      </c>
      <c r="D2921" s="244">
        <v>18</v>
      </c>
      <c r="E2921" s="244">
        <v>17</v>
      </c>
      <c r="F2921" s="244">
        <v>5</v>
      </c>
      <c r="G2921" s="244">
        <v>3</v>
      </c>
      <c r="H2921" s="244">
        <v>10</v>
      </c>
      <c r="I2921" s="244">
        <v>13</v>
      </c>
      <c r="J2921" s="244">
        <v>10</v>
      </c>
      <c r="K2921" s="244">
        <v>11</v>
      </c>
      <c r="L2921" s="244">
        <v>11</v>
      </c>
      <c r="M2921" s="244">
        <v>6</v>
      </c>
      <c r="N2921" s="244">
        <v>12</v>
      </c>
      <c r="O2921" s="254">
        <v>18</v>
      </c>
    </row>
    <row r="2922" spans="1:15">
      <c r="A2922" s="240" t="s">
        <v>22</v>
      </c>
      <c r="B2922" s="47" t="s">
        <v>5</v>
      </c>
      <c r="C2922" s="12">
        <v>0.0822085889570552</v>
      </c>
      <c r="D2922" s="241">
        <v>0.102857142857143</v>
      </c>
      <c r="E2922" s="241">
        <v>0.121428571428571</v>
      </c>
      <c r="F2922" s="241">
        <v>0.0666666666666667</v>
      </c>
      <c r="G2922" s="241">
        <v>0.0348837209302326</v>
      </c>
      <c r="H2922" s="241">
        <v>0.0645161290322581</v>
      </c>
      <c r="I2922" s="241">
        <v>0.102362204724409</v>
      </c>
      <c r="J2922" s="241">
        <v>0.0757575757575758</v>
      </c>
      <c r="K2922" s="241">
        <v>0.0674846625766871</v>
      </c>
      <c r="L2922" s="241">
        <v>0.0852713178294574</v>
      </c>
      <c r="M2922" s="241">
        <v>0.047244094488189</v>
      </c>
      <c r="N2922" s="241">
        <v>0.0764331210191083</v>
      </c>
      <c r="O2922" s="252">
        <v>0.109756097560976</v>
      </c>
    </row>
    <row r="2923" spans="1:15">
      <c r="A2923" s="242" t="s">
        <v>22</v>
      </c>
      <c r="B2923" s="43" t="s">
        <v>6</v>
      </c>
      <c r="C2923" s="15">
        <v>47</v>
      </c>
      <c r="D2923" s="244">
        <v>4</v>
      </c>
      <c r="E2923" s="244">
        <v>6</v>
      </c>
      <c r="F2923" s="244">
        <v>3</v>
      </c>
      <c r="G2923" s="244">
        <v>2</v>
      </c>
      <c r="H2923" s="244">
        <v>3</v>
      </c>
      <c r="I2923" s="244">
        <v>3</v>
      </c>
      <c r="J2923" s="244">
        <v>4</v>
      </c>
      <c r="K2923" s="244">
        <v>1</v>
      </c>
      <c r="L2923" s="244">
        <v>6</v>
      </c>
      <c r="M2923" s="244">
        <v>5</v>
      </c>
      <c r="N2923" s="244">
        <v>7</v>
      </c>
      <c r="O2923" s="254">
        <v>3</v>
      </c>
    </row>
    <row r="2924" ht="14.25" spans="1:15">
      <c r="A2924" s="245" t="s">
        <v>22</v>
      </c>
      <c r="B2924" s="52" t="s">
        <v>64</v>
      </c>
      <c r="C2924" s="19">
        <v>0.350746268656716</v>
      </c>
      <c r="D2924" s="246">
        <v>0.222222222222222</v>
      </c>
      <c r="E2924" s="246">
        <v>0.352941176470588</v>
      </c>
      <c r="F2924" s="246">
        <v>0.6</v>
      </c>
      <c r="G2924" s="246">
        <v>0.666666666666667</v>
      </c>
      <c r="H2924" s="246">
        <v>0.3</v>
      </c>
      <c r="I2924" s="246">
        <v>0.230769230769231</v>
      </c>
      <c r="J2924" s="246">
        <v>0.4</v>
      </c>
      <c r="K2924" s="246">
        <v>0.0909090909090909</v>
      </c>
      <c r="L2924" s="246">
        <v>0.545454545454545</v>
      </c>
      <c r="M2924" s="246">
        <v>0.833333333333333</v>
      </c>
      <c r="N2924" s="246">
        <v>0.583333333333333</v>
      </c>
      <c r="O2924" s="255">
        <v>0.166666666666667</v>
      </c>
    </row>
    <row r="2925" spans="1:15">
      <c r="A2925" s="247" t="s">
        <v>66</v>
      </c>
      <c r="B2925" s="248" t="s">
        <v>55</v>
      </c>
      <c r="C2925" s="12">
        <v>0.0927521540800811</v>
      </c>
      <c r="D2925" s="249">
        <v>0.0509554140127389</v>
      </c>
      <c r="E2925" s="249">
        <v>0.0304709141274238</v>
      </c>
      <c r="F2925" s="249">
        <v>0.0201612903225806</v>
      </c>
      <c r="G2925" s="249">
        <v>0.021505376344086</v>
      </c>
      <c r="H2925" s="249">
        <v>0.125</v>
      </c>
      <c r="I2925" s="249">
        <v>0.160919540229885</v>
      </c>
      <c r="J2925" s="249">
        <v>0.191489361702128</v>
      </c>
      <c r="K2925" s="249">
        <v>0.146153846153846</v>
      </c>
      <c r="L2925" s="249">
        <v>0.137931034482759</v>
      </c>
      <c r="M2925" s="249">
        <v>0.189189189189189</v>
      </c>
      <c r="N2925" s="249">
        <v>0.266666666666667</v>
      </c>
      <c r="O2925" s="256">
        <v>0.190082644628099</v>
      </c>
    </row>
    <row r="2926" spans="1:15">
      <c r="A2926" s="242" t="s">
        <v>66</v>
      </c>
      <c r="B2926" s="43" t="s">
        <v>57</v>
      </c>
      <c r="C2926" s="15">
        <v>1973</v>
      </c>
      <c r="D2926" s="243">
        <v>314</v>
      </c>
      <c r="E2926" s="243">
        <v>361</v>
      </c>
      <c r="F2926" s="243">
        <v>248</v>
      </c>
      <c r="G2926" s="243">
        <v>186</v>
      </c>
      <c r="H2926" s="243">
        <v>152</v>
      </c>
      <c r="I2926" s="243">
        <v>87</v>
      </c>
      <c r="J2926" s="243">
        <v>94</v>
      </c>
      <c r="K2926" s="243">
        <v>130</v>
      </c>
      <c r="L2926" s="243">
        <v>116</v>
      </c>
      <c r="M2926" s="243">
        <v>74</v>
      </c>
      <c r="N2926" s="243">
        <v>90</v>
      </c>
      <c r="O2926" s="253">
        <v>121</v>
      </c>
    </row>
    <row r="2927" spans="1:15">
      <c r="A2927" s="240" t="s">
        <v>66</v>
      </c>
      <c r="B2927" s="47" t="s">
        <v>59</v>
      </c>
      <c r="C2927" s="15">
        <v>183</v>
      </c>
      <c r="D2927" s="243">
        <v>16</v>
      </c>
      <c r="E2927" s="243">
        <v>11</v>
      </c>
      <c r="F2927" s="243">
        <v>5</v>
      </c>
      <c r="G2927" s="243">
        <v>4</v>
      </c>
      <c r="H2927" s="243">
        <v>19</v>
      </c>
      <c r="I2927" s="243">
        <v>14</v>
      </c>
      <c r="J2927" s="243">
        <v>18</v>
      </c>
      <c r="K2927" s="243">
        <v>19</v>
      </c>
      <c r="L2927" s="243">
        <v>16</v>
      </c>
      <c r="M2927" s="243">
        <v>14</v>
      </c>
      <c r="N2927" s="243">
        <v>24</v>
      </c>
      <c r="O2927" s="253">
        <v>23</v>
      </c>
    </row>
    <row r="2928" spans="1:15">
      <c r="A2928" s="242" t="s">
        <v>66</v>
      </c>
      <c r="B2928" s="43" t="s">
        <v>4</v>
      </c>
      <c r="C2928" s="15">
        <v>11</v>
      </c>
      <c r="D2928" s="244">
        <v>0</v>
      </c>
      <c r="E2928" s="244">
        <v>1</v>
      </c>
      <c r="F2928" s="244">
        <v>0</v>
      </c>
      <c r="G2928" s="244">
        <v>0</v>
      </c>
      <c r="H2928" s="244">
        <v>1</v>
      </c>
      <c r="I2928" s="244">
        <v>3</v>
      </c>
      <c r="J2928" s="244">
        <v>0</v>
      </c>
      <c r="K2928" s="244">
        <v>1</v>
      </c>
      <c r="L2928" s="244">
        <v>1</v>
      </c>
      <c r="M2928" s="244">
        <v>0</v>
      </c>
      <c r="N2928" s="244">
        <v>3</v>
      </c>
      <c r="O2928" s="254">
        <v>1</v>
      </c>
    </row>
    <row r="2929" spans="1:15">
      <c r="A2929" s="240" t="s">
        <v>66</v>
      </c>
      <c r="B2929" s="47" t="s">
        <v>5</v>
      </c>
      <c r="C2929" s="12">
        <v>0.0601092896174863</v>
      </c>
      <c r="D2929" s="241">
        <v>0</v>
      </c>
      <c r="E2929" s="241">
        <v>0.0909090909090909</v>
      </c>
      <c r="F2929" s="241">
        <v>0</v>
      </c>
      <c r="G2929" s="241">
        <v>0</v>
      </c>
      <c r="H2929" s="241">
        <v>0.0526315789473684</v>
      </c>
      <c r="I2929" s="241">
        <v>0.214285714285714</v>
      </c>
      <c r="J2929" s="241">
        <v>0</v>
      </c>
      <c r="K2929" s="241">
        <v>0.0526315789473684</v>
      </c>
      <c r="L2929" s="241">
        <v>0.0625</v>
      </c>
      <c r="M2929" s="241">
        <v>0</v>
      </c>
      <c r="N2929" s="241">
        <v>0.125</v>
      </c>
      <c r="O2929" s="252">
        <v>0.0434782608695652</v>
      </c>
    </row>
    <row r="2930" spans="1:15">
      <c r="A2930" s="242" t="s">
        <v>66</v>
      </c>
      <c r="B2930" s="43" t="s">
        <v>6</v>
      </c>
      <c r="C2930" s="15">
        <v>6</v>
      </c>
      <c r="D2930" s="244">
        <v>0</v>
      </c>
      <c r="E2930" s="244">
        <v>1</v>
      </c>
      <c r="F2930" s="244">
        <v>1</v>
      </c>
      <c r="G2930" s="244">
        <v>0</v>
      </c>
      <c r="H2930" s="244">
        <v>1</v>
      </c>
      <c r="I2930" s="244">
        <v>0</v>
      </c>
      <c r="J2930" s="244">
        <v>0</v>
      </c>
      <c r="K2930" s="244">
        <v>1</v>
      </c>
      <c r="L2930" s="244">
        <v>0</v>
      </c>
      <c r="M2930" s="244">
        <v>0</v>
      </c>
      <c r="N2930" s="244">
        <v>1</v>
      </c>
      <c r="O2930" s="254">
        <v>1</v>
      </c>
    </row>
    <row r="2931" ht="14.25" spans="1:15">
      <c r="A2931" s="245" t="s">
        <v>66</v>
      </c>
      <c r="B2931" s="52" t="s">
        <v>64</v>
      </c>
      <c r="C2931" s="19">
        <v>0.545454545454545</v>
      </c>
      <c r="D2931" s="246">
        <v>0</v>
      </c>
      <c r="E2931" s="246">
        <v>1</v>
      </c>
      <c r="F2931" s="246">
        <v>0</v>
      </c>
      <c r="G2931" s="246">
        <v>0</v>
      </c>
      <c r="H2931" s="246">
        <v>1</v>
      </c>
      <c r="I2931" s="246">
        <v>0</v>
      </c>
      <c r="J2931" s="246">
        <v>0</v>
      </c>
      <c r="K2931" s="246">
        <v>1</v>
      </c>
      <c r="L2931" s="246">
        <v>0</v>
      </c>
      <c r="M2931" s="246">
        <v>0</v>
      </c>
      <c r="N2931" s="246">
        <v>0.333333333333333</v>
      </c>
      <c r="O2931" s="255">
        <v>1</v>
      </c>
    </row>
    <row r="2932" spans="1:15">
      <c r="A2932" s="240" t="s">
        <v>67</v>
      </c>
      <c r="B2932" s="47" t="s">
        <v>55</v>
      </c>
      <c r="C2932" s="12">
        <v>0.667567567567568</v>
      </c>
      <c r="D2932" s="241">
        <v>1.21428571428571</v>
      </c>
      <c r="E2932" s="241">
        <v>0.625</v>
      </c>
      <c r="F2932" s="241">
        <v>0.75</v>
      </c>
      <c r="G2932" s="241">
        <v>0.818181818181818</v>
      </c>
      <c r="H2932" s="241">
        <v>0.828571428571429</v>
      </c>
      <c r="I2932" s="241">
        <v>0.473684210526316</v>
      </c>
      <c r="J2932" s="241">
        <v>0.5</v>
      </c>
      <c r="K2932" s="241">
        <v>0.58695652173913</v>
      </c>
      <c r="L2932" s="241">
        <v>0.71875</v>
      </c>
      <c r="M2932" s="241">
        <v>0.823529411764706</v>
      </c>
      <c r="N2932" s="241">
        <v>0.55</v>
      </c>
      <c r="O2932" s="252">
        <v>0.5</v>
      </c>
    </row>
    <row r="2933" spans="1:15">
      <c r="A2933" s="242" t="s">
        <v>67</v>
      </c>
      <c r="B2933" s="43" t="s">
        <v>57</v>
      </c>
      <c r="C2933" s="15">
        <v>370</v>
      </c>
      <c r="D2933" s="243">
        <v>28</v>
      </c>
      <c r="E2933" s="243">
        <v>24</v>
      </c>
      <c r="F2933" s="243">
        <v>12</v>
      </c>
      <c r="G2933" s="243">
        <v>22</v>
      </c>
      <c r="H2933" s="243">
        <v>35</v>
      </c>
      <c r="I2933" s="243">
        <v>38</v>
      </c>
      <c r="J2933" s="243">
        <v>32</v>
      </c>
      <c r="K2933" s="243">
        <v>46</v>
      </c>
      <c r="L2933" s="243">
        <v>32</v>
      </c>
      <c r="M2933" s="243">
        <v>17</v>
      </c>
      <c r="N2933" s="243">
        <v>40</v>
      </c>
      <c r="O2933" s="253">
        <v>44</v>
      </c>
    </row>
    <row r="2934" spans="1:15">
      <c r="A2934" s="240" t="s">
        <v>67</v>
      </c>
      <c r="B2934" s="47" t="s">
        <v>59</v>
      </c>
      <c r="C2934" s="15">
        <v>247</v>
      </c>
      <c r="D2934" s="243">
        <v>34</v>
      </c>
      <c r="E2934" s="243">
        <v>15</v>
      </c>
      <c r="F2934" s="243">
        <v>9</v>
      </c>
      <c r="G2934" s="243">
        <v>18</v>
      </c>
      <c r="H2934" s="243">
        <v>29</v>
      </c>
      <c r="I2934" s="243">
        <v>18</v>
      </c>
      <c r="J2934" s="243">
        <v>16</v>
      </c>
      <c r="K2934" s="243">
        <v>27</v>
      </c>
      <c r="L2934" s="243">
        <v>23</v>
      </c>
      <c r="M2934" s="243">
        <v>14</v>
      </c>
      <c r="N2934" s="243">
        <v>22</v>
      </c>
      <c r="O2934" s="253">
        <v>22</v>
      </c>
    </row>
    <row r="2935" spans="1:15">
      <c r="A2935" s="242" t="s">
        <v>67</v>
      </c>
      <c r="B2935" s="43" t="s">
        <v>4</v>
      </c>
      <c r="C2935" s="15">
        <v>11</v>
      </c>
      <c r="D2935" s="244">
        <v>3</v>
      </c>
      <c r="E2935" s="244">
        <v>0</v>
      </c>
      <c r="F2935" s="244">
        <v>0</v>
      </c>
      <c r="G2935" s="244">
        <v>1</v>
      </c>
      <c r="H2935" s="244">
        <v>0</v>
      </c>
      <c r="I2935" s="244">
        <v>0</v>
      </c>
      <c r="J2935" s="244">
        <v>1</v>
      </c>
      <c r="K2935" s="244">
        <v>2</v>
      </c>
      <c r="L2935" s="244">
        <v>1</v>
      </c>
      <c r="M2935" s="244">
        <v>1</v>
      </c>
      <c r="N2935" s="244">
        <v>0</v>
      </c>
      <c r="O2935" s="254">
        <v>2</v>
      </c>
    </row>
    <row r="2936" spans="1:15">
      <c r="A2936" s="240" t="s">
        <v>67</v>
      </c>
      <c r="B2936" s="47" t="s">
        <v>5</v>
      </c>
      <c r="C2936" s="12">
        <v>0.0445344129554656</v>
      </c>
      <c r="D2936" s="241">
        <v>0.0882352941176471</v>
      </c>
      <c r="E2936" s="241">
        <v>0</v>
      </c>
      <c r="F2936" s="241">
        <v>0</v>
      </c>
      <c r="G2936" s="241">
        <v>0.0555555555555556</v>
      </c>
      <c r="H2936" s="241">
        <v>0</v>
      </c>
      <c r="I2936" s="241">
        <v>0</v>
      </c>
      <c r="J2936" s="241">
        <v>0.0625</v>
      </c>
      <c r="K2936" s="241">
        <v>0.0740740740740741</v>
      </c>
      <c r="L2936" s="241">
        <v>0.0434782608695652</v>
      </c>
      <c r="M2936" s="241">
        <v>0.0714285714285714</v>
      </c>
      <c r="N2936" s="241">
        <v>0</v>
      </c>
      <c r="O2936" s="252">
        <v>0.0909090909090909</v>
      </c>
    </row>
    <row r="2937" spans="1:15">
      <c r="A2937" s="242" t="s">
        <v>67</v>
      </c>
      <c r="B2937" s="43" t="s">
        <v>6</v>
      </c>
      <c r="C2937" s="15">
        <v>5</v>
      </c>
      <c r="D2937" s="244">
        <v>2</v>
      </c>
      <c r="E2937" s="244">
        <v>1</v>
      </c>
      <c r="F2937" s="244">
        <v>0</v>
      </c>
      <c r="G2937" s="244">
        <v>1</v>
      </c>
      <c r="H2937" s="244">
        <v>0</v>
      </c>
      <c r="I2937" s="244">
        <v>0</v>
      </c>
      <c r="J2937" s="244">
        <v>0</v>
      </c>
      <c r="K2937" s="244">
        <v>0</v>
      </c>
      <c r="L2937" s="244">
        <v>0</v>
      </c>
      <c r="M2937" s="244">
        <v>0</v>
      </c>
      <c r="N2937" s="244">
        <v>1</v>
      </c>
      <c r="O2937" s="254">
        <v>0</v>
      </c>
    </row>
    <row r="2938" ht="14.25" spans="1:15">
      <c r="A2938" s="245" t="s">
        <v>67</v>
      </c>
      <c r="B2938" s="52" t="s">
        <v>64</v>
      </c>
      <c r="C2938" s="19">
        <v>0.454545454545455</v>
      </c>
      <c r="D2938" s="246">
        <v>0.666666666666667</v>
      </c>
      <c r="E2938" s="246">
        <v>0</v>
      </c>
      <c r="F2938" s="246">
        <v>0</v>
      </c>
      <c r="G2938" s="246">
        <v>1</v>
      </c>
      <c r="H2938" s="246">
        <v>0</v>
      </c>
      <c r="I2938" s="246">
        <v>0</v>
      </c>
      <c r="J2938" s="246">
        <v>0</v>
      </c>
      <c r="K2938" s="246">
        <v>0</v>
      </c>
      <c r="L2938" s="246">
        <v>0</v>
      </c>
      <c r="M2938" s="246">
        <v>0</v>
      </c>
      <c r="N2938" s="246">
        <v>0</v>
      </c>
      <c r="O2938" s="255">
        <v>0</v>
      </c>
    </row>
    <row r="2939" spans="1:15">
      <c r="A2939" s="240" t="s">
        <v>68</v>
      </c>
      <c r="B2939" s="47" t="s">
        <v>55</v>
      </c>
      <c r="C2939" s="12">
        <v>0.115396775213405</v>
      </c>
      <c r="D2939" s="241">
        <v>0.124401913875598</v>
      </c>
      <c r="E2939" s="241">
        <v>0.0935114503816794</v>
      </c>
      <c r="F2939" s="241">
        <v>0.0721442885771543</v>
      </c>
      <c r="G2939" s="241">
        <v>0.0941422594142259</v>
      </c>
      <c r="H2939" s="241">
        <v>0.114427860696517</v>
      </c>
      <c r="I2939" s="241">
        <v>0.109418282548476</v>
      </c>
      <c r="J2939" s="241">
        <v>0.0868852459016393</v>
      </c>
      <c r="K2939" s="241">
        <v>0.15625</v>
      </c>
      <c r="L2939" s="241">
        <v>0.166265060240964</v>
      </c>
      <c r="M2939" s="241">
        <v>0.151436031331593</v>
      </c>
      <c r="N2939" s="241">
        <v>0.125269978401728</v>
      </c>
      <c r="O2939" s="252">
        <v>0.116858237547893</v>
      </c>
    </row>
    <row r="2940" spans="1:15">
      <c r="A2940" s="242" t="s">
        <v>68</v>
      </c>
      <c r="B2940" s="43" t="s">
        <v>57</v>
      </c>
      <c r="C2940" s="15">
        <v>6326</v>
      </c>
      <c r="D2940" s="243">
        <v>627</v>
      </c>
      <c r="E2940" s="243">
        <v>524</v>
      </c>
      <c r="F2940" s="243">
        <v>499</v>
      </c>
      <c r="G2940" s="243">
        <v>478</v>
      </c>
      <c r="H2940" s="243">
        <v>603</v>
      </c>
      <c r="I2940" s="243">
        <v>722</v>
      </c>
      <c r="J2940" s="243">
        <v>610</v>
      </c>
      <c r="K2940" s="243">
        <v>480</v>
      </c>
      <c r="L2940" s="243">
        <v>415</v>
      </c>
      <c r="M2940" s="243">
        <v>383</v>
      </c>
      <c r="N2940" s="243">
        <v>463</v>
      </c>
      <c r="O2940" s="253">
        <v>522</v>
      </c>
    </row>
    <row r="2941" spans="1:15">
      <c r="A2941" s="240" t="s">
        <v>68</v>
      </c>
      <c r="B2941" s="47" t="s">
        <v>59</v>
      </c>
      <c r="C2941" s="15">
        <v>730</v>
      </c>
      <c r="D2941" s="243">
        <v>78</v>
      </c>
      <c r="E2941" s="243">
        <v>49</v>
      </c>
      <c r="F2941" s="243">
        <v>36</v>
      </c>
      <c r="G2941" s="243">
        <v>45</v>
      </c>
      <c r="H2941" s="243">
        <v>69</v>
      </c>
      <c r="I2941" s="243">
        <v>79</v>
      </c>
      <c r="J2941" s="243">
        <v>53</v>
      </c>
      <c r="K2941" s="243">
        <v>75</v>
      </c>
      <c r="L2941" s="243">
        <v>69</v>
      </c>
      <c r="M2941" s="243">
        <v>58</v>
      </c>
      <c r="N2941" s="243">
        <v>58</v>
      </c>
      <c r="O2941" s="253">
        <v>61</v>
      </c>
    </row>
    <row r="2942" spans="1:15">
      <c r="A2942" s="242" t="s">
        <v>68</v>
      </c>
      <c r="B2942" s="43" t="s">
        <v>4</v>
      </c>
      <c r="C2942" s="15">
        <v>23</v>
      </c>
      <c r="D2942" s="244">
        <v>4</v>
      </c>
      <c r="E2942" s="244">
        <v>2</v>
      </c>
      <c r="F2942" s="244">
        <v>1</v>
      </c>
      <c r="G2942" s="244">
        <v>1</v>
      </c>
      <c r="H2942" s="244">
        <v>2</v>
      </c>
      <c r="I2942" s="244">
        <v>3</v>
      </c>
      <c r="J2942" s="244">
        <v>0</v>
      </c>
      <c r="K2942" s="244">
        <v>3</v>
      </c>
      <c r="L2942" s="244">
        <v>2</v>
      </c>
      <c r="M2942" s="244">
        <v>2</v>
      </c>
      <c r="N2942" s="244">
        <v>1</v>
      </c>
      <c r="O2942" s="254">
        <v>2</v>
      </c>
    </row>
    <row r="2943" spans="1:15">
      <c r="A2943" s="240" t="s">
        <v>68</v>
      </c>
      <c r="B2943" s="47" t="s">
        <v>5</v>
      </c>
      <c r="C2943" s="12">
        <v>0.0315068493150685</v>
      </c>
      <c r="D2943" s="241">
        <v>0.0512820512820513</v>
      </c>
      <c r="E2943" s="241">
        <v>0.0408163265306122</v>
      </c>
      <c r="F2943" s="241">
        <v>0.0277777777777778</v>
      </c>
      <c r="G2943" s="241">
        <v>0.0222222222222222</v>
      </c>
      <c r="H2943" s="241">
        <v>0.0289855072463768</v>
      </c>
      <c r="I2943" s="241">
        <v>0.0379746835443038</v>
      </c>
      <c r="J2943" s="241">
        <v>0</v>
      </c>
      <c r="K2943" s="241">
        <v>0.04</v>
      </c>
      <c r="L2943" s="241">
        <v>0.0289855072463768</v>
      </c>
      <c r="M2943" s="241">
        <v>0.0344827586206897</v>
      </c>
      <c r="N2943" s="241">
        <v>0.0172413793103448</v>
      </c>
      <c r="O2943" s="252">
        <v>0.0327868852459016</v>
      </c>
    </row>
    <row r="2944" spans="1:15">
      <c r="A2944" s="242" t="s">
        <v>68</v>
      </c>
      <c r="B2944" s="43" t="s">
        <v>6</v>
      </c>
      <c r="C2944" s="15">
        <v>13</v>
      </c>
      <c r="D2944" s="244">
        <v>5</v>
      </c>
      <c r="E2944" s="244">
        <v>0</v>
      </c>
      <c r="F2944" s="244">
        <v>1</v>
      </c>
      <c r="G2944" s="244">
        <v>0</v>
      </c>
      <c r="H2944" s="244">
        <v>1</v>
      </c>
      <c r="I2944" s="244">
        <v>1</v>
      </c>
      <c r="J2944" s="244">
        <v>2</v>
      </c>
      <c r="K2944" s="244">
        <v>1</v>
      </c>
      <c r="L2944" s="244">
        <v>0</v>
      </c>
      <c r="M2944" s="244">
        <v>0</v>
      </c>
      <c r="N2944" s="244">
        <v>1</v>
      </c>
      <c r="O2944" s="254">
        <v>1</v>
      </c>
    </row>
    <row r="2945" ht="14.25" spans="1:15">
      <c r="A2945" s="245" t="s">
        <v>68</v>
      </c>
      <c r="B2945" s="52" t="s">
        <v>64</v>
      </c>
      <c r="C2945" s="19">
        <v>0.565217391304348</v>
      </c>
      <c r="D2945" s="246">
        <v>1.25</v>
      </c>
      <c r="E2945" s="246">
        <v>0</v>
      </c>
      <c r="F2945" s="246">
        <v>1</v>
      </c>
      <c r="G2945" s="246">
        <v>0</v>
      </c>
      <c r="H2945" s="246">
        <v>0.5</v>
      </c>
      <c r="I2945" s="246">
        <v>0.333333333333333</v>
      </c>
      <c r="J2945" s="246">
        <v>0</v>
      </c>
      <c r="K2945" s="246">
        <v>0.333333333333333</v>
      </c>
      <c r="L2945" s="246">
        <v>0</v>
      </c>
      <c r="M2945" s="246">
        <v>0</v>
      </c>
      <c r="N2945" s="246">
        <v>1</v>
      </c>
      <c r="O2945" s="255">
        <v>0.5</v>
      </c>
    </row>
    <row r="2946" spans="1:15">
      <c r="A2946" s="240" t="s">
        <v>69</v>
      </c>
      <c r="B2946" s="47" t="s">
        <v>55</v>
      </c>
      <c r="C2946" s="12">
        <v>0.890438247011952</v>
      </c>
      <c r="D2946" s="241">
        <v>1.46511627906977</v>
      </c>
      <c r="E2946" s="241">
        <v>1.15789473684211</v>
      </c>
      <c r="F2946" s="241">
        <v>1</v>
      </c>
      <c r="G2946" s="241">
        <v>1.06896551724138</v>
      </c>
      <c r="H2946" s="241">
        <v>0.739130434782609</v>
      </c>
      <c r="I2946" s="241">
        <v>0.806451612903226</v>
      </c>
      <c r="J2946" s="241">
        <v>0.811320754716981</v>
      </c>
      <c r="K2946" s="241">
        <v>1</v>
      </c>
      <c r="L2946" s="241">
        <v>0.795454545454545</v>
      </c>
      <c r="M2946" s="241">
        <v>0.717948717948718</v>
      </c>
      <c r="N2946" s="241">
        <v>0.684931506849315</v>
      </c>
      <c r="O2946" s="252">
        <v>0.948275862068966</v>
      </c>
    </row>
    <row r="2947" spans="1:15">
      <c r="A2947" s="242" t="s">
        <v>69</v>
      </c>
      <c r="B2947" s="43" t="s">
        <v>57</v>
      </c>
      <c r="C2947" s="15">
        <v>502</v>
      </c>
      <c r="D2947" s="243">
        <v>43</v>
      </c>
      <c r="E2947" s="243">
        <v>19</v>
      </c>
      <c r="F2947" s="243">
        <v>13</v>
      </c>
      <c r="G2947" s="243">
        <v>29</v>
      </c>
      <c r="H2947" s="243">
        <v>46</v>
      </c>
      <c r="I2947" s="243">
        <v>62</v>
      </c>
      <c r="J2947" s="243">
        <v>53</v>
      </c>
      <c r="K2947" s="243">
        <v>23</v>
      </c>
      <c r="L2947" s="243">
        <v>44</v>
      </c>
      <c r="M2947" s="243">
        <v>39</v>
      </c>
      <c r="N2947" s="243">
        <v>73</v>
      </c>
      <c r="O2947" s="253">
        <v>58</v>
      </c>
    </row>
    <row r="2948" spans="1:15">
      <c r="A2948" s="240" t="s">
        <v>69</v>
      </c>
      <c r="B2948" s="47" t="s">
        <v>59</v>
      </c>
      <c r="C2948" s="15">
        <v>447</v>
      </c>
      <c r="D2948" s="243">
        <v>63</v>
      </c>
      <c r="E2948" s="243">
        <v>22</v>
      </c>
      <c r="F2948" s="243">
        <v>13</v>
      </c>
      <c r="G2948" s="243">
        <v>31</v>
      </c>
      <c r="H2948" s="243">
        <v>34</v>
      </c>
      <c r="I2948" s="243">
        <v>50</v>
      </c>
      <c r="J2948" s="243">
        <v>43</v>
      </c>
      <c r="K2948" s="243">
        <v>23</v>
      </c>
      <c r="L2948" s="243">
        <v>35</v>
      </c>
      <c r="M2948" s="243">
        <v>28</v>
      </c>
      <c r="N2948" s="243">
        <v>50</v>
      </c>
      <c r="O2948" s="253">
        <v>55</v>
      </c>
    </row>
    <row r="2949" spans="1:15">
      <c r="A2949" s="242" t="s">
        <v>69</v>
      </c>
      <c r="B2949" s="43" t="s">
        <v>4</v>
      </c>
      <c r="C2949" s="15">
        <v>30</v>
      </c>
      <c r="D2949" s="244">
        <v>4</v>
      </c>
      <c r="E2949" s="244">
        <v>0</v>
      </c>
      <c r="F2949" s="244">
        <v>1</v>
      </c>
      <c r="G2949" s="244">
        <v>0</v>
      </c>
      <c r="H2949" s="244">
        <v>2</v>
      </c>
      <c r="I2949" s="244">
        <v>5</v>
      </c>
      <c r="J2949" s="244">
        <v>3</v>
      </c>
      <c r="K2949" s="244">
        <v>3</v>
      </c>
      <c r="L2949" s="244">
        <v>3</v>
      </c>
      <c r="M2949" s="244">
        <v>4</v>
      </c>
      <c r="N2949" s="244">
        <v>3</v>
      </c>
      <c r="O2949" s="254">
        <v>2</v>
      </c>
    </row>
    <row r="2950" spans="1:15">
      <c r="A2950" s="240" t="s">
        <v>69</v>
      </c>
      <c r="B2950" s="47" t="s">
        <v>5</v>
      </c>
      <c r="C2950" s="12">
        <v>0.0671140939597315</v>
      </c>
      <c r="D2950" s="241">
        <v>0.0634920634920635</v>
      </c>
      <c r="E2950" s="241">
        <v>0</v>
      </c>
      <c r="F2950" s="241">
        <v>0.0769230769230769</v>
      </c>
      <c r="G2950" s="241">
        <v>0</v>
      </c>
      <c r="H2950" s="241">
        <v>0.0588235294117647</v>
      </c>
      <c r="I2950" s="241">
        <v>0.1</v>
      </c>
      <c r="J2950" s="241">
        <v>0.0697674418604651</v>
      </c>
      <c r="K2950" s="241">
        <v>0.130434782608696</v>
      </c>
      <c r="L2950" s="241">
        <v>0.0857142857142857</v>
      </c>
      <c r="M2950" s="241">
        <v>0.142857142857143</v>
      </c>
      <c r="N2950" s="241">
        <v>0.06</v>
      </c>
      <c r="O2950" s="252">
        <v>0.0363636363636364</v>
      </c>
    </row>
    <row r="2951" spans="1:15">
      <c r="A2951" s="242" t="s">
        <v>69</v>
      </c>
      <c r="B2951" s="43" t="s">
        <v>6</v>
      </c>
      <c r="C2951" s="15">
        <v>8</v>
      </c>
      <c r="D2951" s="244">
        <v>0</v>
      </c>
      <c r="E2951" s="244">
        <v>2</v>
      </c>
      <c r="F2951" s="244">
        <v>0</v>
      </c>
      <c r="G2951" s="244">
        <v>0</v>
      </c>
      <c r="H2951" s="244">
        <v>1</v>
      </c>
      <c r="I2951" s="244">
        <v>0</v>
      </c>
      <c r="J2951" s="244">
        <v>1</v>
      </c>
      <c r="K2951" s="244">
        <v>0</v>
      </c>
      <c r="L2951" s="244">
        <v>1</v>
      </c>
      <c r="M2951" s="244">
        <v>3</v>
      </c>
      <c r="N2951" s="244">
        <v>0</v>
      </c>
      <c r="O2951" s="254">
        <v>0</v>
      </c>
    </row>
    <row r="2952" ht="14.25" spans="1:15">
      <c r="A2952" s="245" t="s">
        <v>69</v>
      </c>
      <c r="B2952" s="52" t="s">
        <v>64</v>
      </c>
      <c r="C2952" s="19">
        <v>0.266666666666667</v>
      </c>
      <c r="D2952" s="246">
        <v>0</v>
      </c>
      <c r="E2952" s="246">
        <v>0</v>
      </c>
      <c r="F2952" s="246">
        <v>0</v>
      </c>
      <c r="G2952" s="246">
        <v>0</v>
      </c>
      <c r="H2952" s="246">
        <v>0.5</v>
      </c>
      <c r="I2952" s="246">
        <v>0</v>
      </c>
      <c r="J2952" s="246">
        <v>0.333333333333333</v>
      </c>
      <c r="K2952" s="246">
        <v>0</v>
      </c>
      <c r="L2952" s="246">
        <v>0.333333333333333</v>
      </c>
      <c r="M2952" s="246">
        <v>0.75</v>
      </c>
      <c r="N2952" s="246">
        <v>0</v>
      </c>
      <c r="O2952" s="255">
        <v>0</v>
      </c>
    </row>
    <row r="2953" spans="1:15">
      <c r="A2953" s="240" t="s">
        <v>70</v>
      </c>
      <c r="B2953" s="47" t="s">
        <v>55</v>
      </c>
      <c r="C2953" s="12">
        <v>0.864675688287447</v>
      </c>
      <c r="D2953" s="241">
        <v>0.926829268292683</v>
      </c>
      <c r="E2953" s="241">
        <v>0.868613138686131</v>
      </c>
      <c r="F2953" s="241">
        <v>0.9</v>
      </c>
      <c r="G2953" s="241">
        <v>0.950980392156863</v>
      </c>
      <c r="H2953" s="241">
        <v>0.870748299319728</v>
      </c>
      <c r="I2953" s="241">
        <v>0.879746835443038</v>
      </c>
      <c r="J2953" s="241">
        <v>0.913265306122449</v>
      </c>
      <c r="K2953" s="241">
        <v>0.838709677419355</v>
      </c>
      <c r="L2953" s="241">
        <v>0.861386138613861</v>
      </c>
      <c r="M2953" s="241">
        <v>0.79047619047619</v>
      </c>
      <c r="N2953" s="241">
        <v>0.885462555066079</v>
      </c>
      <c r="O2953" s="252">
        <v>0.790441176470588</v>
      </c>
    </row>
    <row r="2954" spans="1:15">
      <c r="A2954" s="242" t="s">
        <v>70</v>
      </c>
      <c r="B2954" s="43" t="s">
        <v>57</v>
      </c>
      <c r="C2954" s="15">
        <v>2143</v>
      </c>
      <c r="D2954" s="243">
        <v>205</v>
      </c>
      <c r="E2954" s="243">
        <v>137</v>
      </c>
      <c r="F2954" s="243">
        <v>70</v>
      </c>
      <c r="G2954" s="243">
        <v>102</v>
      </c>
      <c r="H2954" s="243">
        <v>147</v>
      </c>
      <c r="I2954" s="243">
        <v>158</v>
      </c>
      <c r="J2954" s="243">
        <v>196</v>
      </c>
      <c r="K2954" s="243">
        <v>217</v>
      </c>
      <c r="L2954" s="243">
        <v>202</v>
      </c>
      <c r="M2954" s="243">
        <v>210</v>
      </c>
      <c r="N2954" s="243">
        <v>227</v>
      </c>
      <c r="O2954" s="253">
        <v>272</v>
      </c>
    </row>
    <row r="2955" spans="1:15">
      <c r="A2955" s="240" t="s">
        <v>70</v>
      </c>
      <c r="B2955" s="47" t="s">
        <v>59</v>
      </c>
      <c r="C2955" s="15">
        <v>1853</v>
      </c>
      <c r="D2955" s="243">
        <v>190</v>
      </c>
      <c r="E2955" s="243">
        <v>119</v>
      </c>
      <c r="F2955" s="243">
        <v>63</v>
      </c>
      <c r="G2955" s="243">
        <v>97</v>
      </c>
      <c r="H2955" s="243">
        <v>128</v>
      </c>
      <c r="I2955" s="243">
        <v>139</v>
      </c>
      <c r="J2955" s="243">
        <v>179</v>
      </c>
      <c r="K2955" s="243">
        <v>182</v>
      </c>
      <c r="L2955" s="243">
        <v>174</v>
      </c>
      <c r="M2955" s="243">
        <v>166</v>
      </c>
      <c r="N2955" s="243">
        <v>201</v>
      </c>
      <c r="O2955" s="253">
        <v>215</v>
      </c>
    </row>
    <row r="2956" spans="1:15">
      <c r="A2956" s="242" t="s">
        <v>70</v>
      </c>
      <c r="B2956" s="43" t="s">
        <v>4</v>
      </c>
      <c r="C2956" s="15">
        <v>166</v>
      </c>
      <c r="D2956" s="244">
        <v>23</v>
      </c>
      <c r="E2956" s="244">
        <v>15</v>
      </c>
      <c r="F2956" s="244">
        <v>13</v>
      </c>
      <c r="G2956" s="244">
        <v>4</v>
      </c>
      <c r="H2956" s="244">
        <v>7</v>
      </c>
      <c r="I2956" s="244">
        <v>15</v>
      </c>
      <c r="J2956" s="244">
        <v>10</v>
      </c>
      <c r="K2956" s="244">
        <v>13</v>
      </c>
      <c r="L2956" s="244">
        <v>11</v>
      </c>
      <c r="M2956" s="244">
        <v>14</v>
      </c>
      <c r="N2956" s="244">
        <v>19</v>
      </c>
      <c r="O2956" s="254">
        <v>22</v>
      </c>
    </row>
    <row r="2957" spans="1:15">
      <c r="A2957" s="240" t="s">
        <v>70</v>
      </c>
      <c r="B2957" s="47" t="s">
        <v>5</v>
      </c>
      <c r="C2957" s="12">
        <v>0.0895844576362655</v>
      </c>
      <c r="D2957" s="241">
        <v>0.121052631578947</v>
      </c>
      <c r="E2957" s="241">
        <v>0.126050420168067</v>
      </c>
      <c r="F2957" s="241">
        <v>0.206349206349206</v>
      </c>
      <c r="G2957" s="241">
        <v>0.0412371134020619</v>
      </c>
      <c r="H2957" s="241">
        <v>0.0546875</v>
      </c>
      <c r="I2957" s="241">
        <v>0.107913669064748</v>
      </c>
      <c r="J2957" s="241">
        <v>0.0558659217877095</v>
      </c>
      <c r="K2957" s="241">
        <v>0.0714285714285714</v>
      </c>
      <c r="L2957" s="241">
        <v>0.0632183908045977</v>
      </c>
      <c r="M2957" s="241">
        <v>0.0843373493975904</v>
      </c>
      <c r="N2957" s="241">
        <v>0.0945273631840796</v>
      </c>
      <c r="O2957" s="252">
        <v>0.102325581395349</v>
      </c>
    </row>
    <row r="2958" spans="1:15">
      <c r="A2958" s="242" t="s">
        <v>70</v>
      </c>
      <c r="B2958" s="43" t="s">
        <v>6</v>
      </c>
      <c r="C2958" s="15">
        <v>60</v>
      </c>
      <c r="D2958" s="244">
        <v>10</v>
      </c>
      <c r="E2958" s="244">
        <v>5</v>
      </c>
      <c r="F2958" s="244">
        <v>9</v>
      </c>
      <c r="G2958" s="244">
        <v>4</v>
      </c>
      <c r="H2958" s="244">
        <v>2</v>
      </c>
      <c r="I2958" s="244">
        <v>2</v>
      </c>
      <c r="J2958" s="244">
        <v>4</v>
      </c>
      <c r="K2958" s="244">
        <v>3</v>
      </c>
      <c r="L2958" s="244">
        <v>4</v>
      </c>
      <c r="M2958" s="244">
        <v>2</v>
      </c>
      <c r="N2958" s="244">
        <v>9</v>
      </c>
      <c r="O2958" s="254">
        <v>6</v>
      </c>
    </row>
    <row r="2959" ht="14.25" spans="1:15">
      <c r="A2959" s="245" t="s">
        <v>70</v>
      </c>
      <c r="B2959" s="52" t="s">
        <v>64</v>
      </c>
      <c r="C2959" s="19">
        <v>0.36144578313253</v>
      </c>
      <c r="D2959" s="246">
        <v>0.434782608695652</v>
      </c>
      <c r="E2959" s="246">
        <v>0.333333333333333</v>
      </c>
      <c r="F2959" s="246">
        <v>0.692307692307692</v>
      </c>
      <c r="G2959" s="246">
        <v>1</v>
      </c>
      <c r="H2959" s="246">
        <v>0.285714285714286</v>
      </c>
      <c r="I2959" s="246">
        <v>0.133333333333333</v>
      </c>
      <c r="J2959" s="246">
        <v>0.4</v>
      </c>
      <c r="K2959" s="246">
        <v>0.230769230769231</v>
      </c>
      <c r="L2959" s="246">
        <v>0.363636363636364</v>
      </c>
      <c r="M2959" s="246">
        <v>0.142857142857143</v>
      </c>
      <c r="N2959" s="246">
        <v>0.473684210526316</v>
      </c>
      <c r="O2959" s="255">
        <v>0.272727272727273</v>
      </c>
    </row>
    <row r="2960" spans="1:15">
      <c r="A2960" s="240" t="s">
        <v>26</v>
      </c>
      <c r="B2960" s="47" t="s">
        <v>55</v>
      </c>
      <c r="C2960" s="12">
        <v>0.683877098511245</v>
      </c>
      <c r="D2960" s="241">
        <v>0.604325699745547</v>
      </c>
      <c r="E2960" s="241">
        <v>0.568852459016393</v>
      </c>
      <c r="F2960" s="241">
        <v>0.730519480519481</v>
      </c>
      <c r="G2960" s="241">
        <v>0.73568281938326</v>
      </c>
      <c r="H2960" s="241">
        <v>0.839080459770115</v>
      </c>
      <c r="I2960" s="241">
        <v>0.720930232558139</v>
      </c>
      <c r="J2960" s="241">
        <v>0.859154929577465</v>
      </c>
      <c r="K2960" s="241">
        <v>0.837662337662338</v>
      </c>
      <c r="L2960" s="241">
        <v>0.680473372781065</v>
      </c>
      <c r="M2960" s="241">
        <v>0.864077669902913</v>
      </c>
      <c r="N2960" s="241">
        <v>0.705128205128205</v>
      </c>
      <c r="O2960" s="252">
        <v>0.705128205128205</v>
      </c>
    </row>
    <row r="2961" spans="1:15">
      <c r="A2961" s="242" t="s">
        <v>26</v>
      </c>
      <c r="B2961" s="43" t="s">
        <v>57</v>
      </c>
      <c r="C2961" s="15">
        <v>3157</v>
      </c>
      <c r="D2961" s="243">
        <v>786</v>
      </c>
      <c r="E2961" s="243">
        <v>610</v>
      </c>
      <c r="F2961" s="243">
        <v>308</v>
      </c>
      <c r="G2961" s="243">
        <v>227</v>
      </c>
      <c r="H2961" s="243">
        <v>174</v>
      </c>
      <c r="I2961" s="243">
        <v>172</v>
      </c>
      <c r="J2961" s="243">
        <v>142</v>
      </c>
      <c r="K2961" s="243">
        <v>154</v>
      </c>
      <c r="L2961" s="243">
        <v>169</v>
      </c>
      <c r="M2961" s="243">
        <v>103</v>
      </c>
      <c r="N2961" s="243">
        <v>156</v>
      </c>
      <c r="O2961" s="253">
        <v>156</v>
      </c>
    </row>
    <row r="2962" spans="1:15">
      <c r="A2962" s="240" t="s">
        <v>26</v>
      </c>
      <c r="B2962" s="47" t="s">
        <v>59</v>
      </c>
      <c r="C2962" s="15">
        <v>2159</v>
      </c>
      <c r="D2962" s="243">
        <v>475</v>
      </c>
      <c r="E2962" s="243">
        <v>347</v>
      </c>
      <c r="F2962" s="243">
        <v>225</v>
      </c>
      <c r="G2962" s="243">
        <v>167</v>
      </c>
      <c r="H2962" s="243">
        <v>146</v>
      </c>
      <c r="I2962" s="243">
        <v>124</v>
      </c>
      <c r="J2962" s="243">
        <v>122</v>
      </c>
      <c r="K2962" s="243">
        <v>129</v>
      </c>
      <c r="L2962" s="243">
        <v>115</v>
      </c>
      <c r="M2962" s="243">
        <v>89</v>
      </c>
      <c r="N2962" s="243">
        <v>110</v>
      </c>
      <c r="O2962" s="253">
        <v>110</v>
      </c>
    </row>
    <row r="2963" spans="1:15">
      <c r="A2963" s="242" t="s">
        <v>26</v>
      </c>
      <c r="B2963" s="43" t="s">
        <v>4</v>
      </c>
      <c r="C2963" s="15">
        <v>16</v>
      </c>
      <c r="D2963" s="244">
        <v>2</v>
      </c>
      <c r="E2963" s="244">
        <v>1</v>
      </c>
      <c r="F2963" s="244">
        <v>0</v>
      </c>
      <c r="G2963" s="244">
        <v>1</v>
      </c>
      <c r="H2963" s="244">
        <v>2</v>
      </c>
      <c r="I2963" s="244">
        <v>3</v>
      </c>
      <c r="J2963" s="244">
        <v>0</v>
      </c>
      <c r="K2963" s="244">
        <v>2</v>
      </c>
      <c r="L2963" s="244">
        <v>3</v>
      </c>
      <c r="M2963" s="244">
        <v>0</v>
      </c>
      <c r="N2963" s="244">
        <v>1</v>
      </c>
      <c r="O2963" s="254">
        <v>1</v>
      </c>
    </row>
    <row r="2964" spans="1:15">
      <c r="A2964" s="240" t="s">
        <v>26</v>
      </c>
      <c r="B2964" s="47" t="s">
        <v>5</v>
      </c>
      <c r="C2964" s="12">
        <v>0.00741083835108847</v>
      </c>
      <c r="D2964" s="241">
        <v>0.00421052631578947</v>
      </c>
      <c r="E2964" s="241">
        <v>0.00288184438040346</v>
      </c>
      <c r="F2964" s="241">
        <v>0</v>
      </c>
      <c r="G2964" s="241">
        <v>0.00598802395209581</v>
      </c>
      <c r="H2964" s="241">
        <v>0.0136986301369863</v>
      </c>
      <c r="I2964" s="241">
        <v>0.0241935483870968</v>
      </c>
      <c r="J2964" s="241">
        <v>0</v>
      </c>
      <c r="K2964" s="241">
        <v>0.0155038759689922</v>
      </c>
      <c r="L2964" s="241">
        <v>0.0260869565217391</v>
      </c>
      <c r="M2964" s="241">
        <v>0</v>
      </c>
      <c r="N2964" s="241">
        <v>0.00909090909090909</v>
      </c>
      <c r="O2964" s="252">
        <v>0.00909090909090909</v>
      </c>
    </row>
    <row r="2965" spans="1:15">
      <c r="A2965" s="242" t="s">
        <v>26</v>
      </c>
      <c r="B2965" s="43" t="s">
        <v>6</v>
      </c>
      <c r="C2965" s="15">
        <v>6</v>
      </c>
      <c r="D2965" s="244">
        <v>1</v>
      </c>
      <c r="E2965" s="244">
        <v>1</v>
      </c>
      <c r="F2965" s="244">
        <v>0</v>
      </c>
      <c r="G2965" s="244">
        <v>2</v>
      </c>
      <c r="H2965" s="244">
        <v>0</v>
      </c>
      <c r="I2965" s="244">
        <v>1</v>
      </c>
      <c r="J2965" s="244">
        <v>0</v>
      </c>
      <c r="K2965" s="244">
        <v>1</v>
      </c>
      <c r="L2965" s="244">
        <v>0</v>
      </c>
      <c r="M2965" s="244">
        <v>0</v>
      </c>
      <c r="N2965" s="244">
        <v>0</v>
      </c>
      <c r="O2965" s="254">
        <v>0</v>
      </c>
    </row>
    <row r="2966" ht="14.25" spans="1:15">
      <c r="A2966" s="245" t="s">
        <v>26</v>
      </c>
      <c r="B2966" s="52" t="s">
        <v>64</v>
      </c>
      <c r="C2966" s="19">
        <v>0.375</v>
      </c>
      <c r="D2966" s="19">
        <v>0.5</v>
      </c>
      <c r="E2966" s="19">
        <v>1</v>
      </c>
      <c r="F2966" s="19" t="e">
        <v>#DIV/0!</v>
      </c>
      <c r="G2966" s="19">
        <v>2</v>
      </c>
      <c r="H2966" s="19">
        <v>0</v>
      </c>
      <c r="I2966" s="19">
        <v>0.333333333333333</v>
      </c>
      <c r="J2966" s="19" t="e">
        <v>#DIV/0!</v>
      </c>
      <c r="K2966" s="19">
        <v>0.5</v>
      </c>
      <c r="L2966" s="19">
        <v>0</v>
      </c>
      <c r="M2966" s="19" t="e">
        <v>#DIV/0!</v>
      </c>
      <c r="N2966" s="19">
        <v>0</v>
      </c>
      <c r="O2966" s="19">
        <v>0</v>
      </c>
    </row>
    <row r="2967" spans="1:15">
      <c r="A2967" s="240" t="s">
        <v>71</v>
      </c>
      <c r="B2967" s="47" t="s">
        <v>55</v>
      </c>
      <c r="C2967" s="12">
        <v>14</v>
      </c>
      <c r="D2967" s="241" t="e">
        <v>#DIV/0!</v>
      </c>
      <c r="E2967" s="241" t="e">
        <v>#DIV/0!</v>
      </c>
      <c r="F2967" s="241">
        <v>2</v>
      </c>
      <c r="G2967" s="241">
        <v>1</v>
      </c>
      <c r="H2967" s="241" t="e">
        <v>#DIV/0!</v>
      </c>
      <c r="I2967" s="241" t="e">
        <v>#DIV/0!</v>
      </c>
      <c r="J2967" s="241" t="e">
        <v>#DIV/0!</v>
      </c>
      <c r="K2967" s="241" t="e">
        <v>#DIV/0!</v>
      </c>
      <c r="L2967" s="241" t="e">
        <v>#DIV/0!</v>
      </c>
      <c r="M2967" s="241" t="e">
        <v>#DIV/0!</v>
      </c>
      <c r="N2967" s="241" t="e">
        <v>#DIV/0!</v>
      </c>
      <c r="O2967" s="252" t="e">
        <v>#DIV/0!</v>
      </c>
    </row>
    <row r="2968" spans="1:15">
      <c r="A2968" s="242" t="s">
        <v>71</v>
      </c>
      <c r="B2968" s="43" t="s">
        <v>57</v>
      </c>
      <c r="C2968" s="15">
        <v>2</v>
      </c>
      <c r="D2968" s="243">
        <v>0</v>
      </c>
      <c r="E2968" s="243">
        <v>0</v>
      </c>
      <c r="F2968" s="243">
        <v>1</v>
      </c>
      <c r="G2968" s="243">
        <v>1</v>
      </c>
      <c r="H2968" s="243">
        <v>0</v>
      </c>
      <c r="I2968" s="243">
        <v>0</v>
      </c>
      <c r="J2968" s="243">
        <v>0</v>
      </c>
      <c r="K2968" s="243">
        <v>0</v>
      </c>
      <c r="L2968" s="243">
        <v>0</v>
      </c>
      <c r="M2968" s="243">
        <v>0</v>
      </c>
      <c r="N2968" s="243">
        <v>0</v>
      </c>
      <c r="O2968" s="253">
        <v>0</v>
      </c>
    </row>
    <row r="2969" spans="1:15">
      <c r="A2969" s="240" t="s">
        <v>71</v>
      </c>
      <c r="B2969" s="47" t="s">
        <v>59</v>
      </c>
      <c r="C2969" s="15">
        <v>28</v>
      </c>
      <c r="D2969" s="243">
        <v>2</v>
      </c>
      <c r="E2969" s="243">
        <v>1</v>
      </c>
      <c r="F2969" s="243">
        <v>2</v>
      </c>
      <c r="G2969" s="243">
        <v>1</v>
      </c>
      <c r="H2969" s="243">
        <v>1</v>
      </c>
      <c r="I2969" s="243">
        <v>4</v>
      </c>
      <c r="J2969" s="243">
        <v>2</v>
      </c>
      <c r="K2969" s="243">
        <v>2</v>
      </c>
      <c r="L2969" s="243">
        <v>1</v>
      </c>
      <c r="M2969" s="243">
        <v>2</v>
      </c>
      <c r="N2969" s="243">
        <v>7</v>
      </c>
      <c r="O2969" s="253">
        <v>3</v>
      </c>
    </row>
    <row r="2970" spans="1:15">
      <c r="A2970" s="242" t="s">
        <v>71</v>
      </c>
      <c r="B2970" s="43" t="s">
        <v>4</v>
      </c>
      <c r="C2970" s="15">
        <v>19</v>
      </c>
      <c r="D2970" s="244">
        <v>1</v>
      </c>
      <c r="E2970" s="244">
        <v>1</v>
      </c>
      <c r="F2970" s="244">
        <v>0</v>
      </c>
      <c r="G2970" s="244">
        <v>0</v>
      </c>
      <c r="H2970" s="244">
        <v>0</v>
      </c>
      <c r="I2970" s="244">
        <v>3</v>
      </c>
      <c r="J2970" s="244">
        <v>1</v>
      </c>
      <c r="K2970" s="244">
        <v>2</v>
      </c>
      <c r="L2970" s="244">
        <v>3</v>
      </c>
      <c r="M2970" s="244">
        <v>4</v>
      </c>
      <c r="N2970" s="244">
        <v>1</v>
      </c>
      <c r="O2970" s="254">
        <v>3</v>
      </c>
    </row>
    <row r="2971" spans="1:15">
      <c r="A2971" s="240" t="s">
        <v>71</v>
      </c>
      <c r="B2971" s="47" t="s">
        <v>5</v>
      </c>
      <c r="C2971" s="241">
        <v>0.678571428571429</v>
      </c>
      <c r="D2971" s="241">
        <v>0.5</v>
      </c>
      <c r="E2971" s="241">
        <v>1</v>
      </c>
      <c r="F2971" s="241">
        <v>0</v>
      </c>
      <c r="G2971" s="241">
        <v>0</v>
      </c>
      <c r="H2971" s="241">
        <v>0</v>
      </c>
      <c r="I2971" s="241">
        <v>0.75</v>
      </c>
      <c r="J2971" s="241">
        <v>0.5</v>
      </c>
      <c r="K2971" s="241">
        <v>1</v>
      </c>
      <c r="L2971" s="241">
        <v>3</v>
      </c>
      <c r="M2971" s="241">
        <v>2</v>
      </c>
      <c r="N2971" s="241">
        <v>0.142857142857143</v>
      </c>
      <c r="O2971" s="252">
        <v>1</v>
      </c>
    </row>
    <row r="2972" spans="1:15">
      <c r="A2972" s="242" t="s">
        <v>71</v>
      </c>
      <c r="B2972" s="43" t="s">
        <v>6</v>
      </c>
      <c r="C2972" s="15">
        <v>6</v>
      </c>
      <c r="D2972" s="244">
        <v>1</v>
      </c>
      <c r="E2972" s="244">
        <v>1</v>
      </c>
      <c r="F2972" s="244">
        <v>0</v>
      </c>
      <c r="G2972" s="244">
        <v>0</v>
      </c>
      <c r="H2972" s="244">
        <v>0</v>
      </c>
      <c r="I2972" s="244">
        <v>1</v>
      </c>
      <c r="J2972" s="244">
        <v>1</v>
      </c>
      <c r="K2972" s="244">
        <v>0</v>
      </c>
      <c r="L2972" s="244">
        <v>0</v>
      </c>
      <c r="M2972" s="244">
        <v>0</v>
      </c>
      <c r="N2972" s="244">
        <v>1</v>
      </c>
      <c r="O2972" s="254">
        <v>1</v>
      </c>
    </row>
    <row r="2973" ht="14.25" spans="1:15">
      <c r="A2973" s="245" t="s">
        <v>71</v>
      </c>
      <c r="B2973" s="52" t="s">
        <v>64</v>
      </c>
      <c r="C2973" s="19">
        <v>0.315789473684211</v>
      </c>
      <c r="D2973" s="19">
        <v>1</v>
      </c>
      <c r="E2973" s="19">
        <v>1</v>
      </c>
      <c r="F2973" s="19" t="e">
        <v>#DIV/0!</v>
      </c>
      <c r="G2973" s="19" t="e">
        <v>#DIV/0!</v>
      </c>
      <c r="H2973" s="19" t="e">
        <v>#DIV/0!</v>
      </c>
      <c r="I2973" s="19">
        <v>0.333333333333333</v>
      </c>
      <c r="J2973" s="19">
        <v>1</v>
      </c>
      <c r="K2973" s="19">
        <v>0</v>
      </c>
      <c r="L2973" s="19">
        <v>0</v>
      </c>
      <c r="M2973" s="19">
        <v>0</v>
      </c>
      <c r="N2973" s="19">
        <v>1</v>
      </c>
      <c r="O2973" s="19">
        <v>0.333333333333333</v>
      </c>
    </row>
    <row r="2974" spans="1:15">
      <c r="A2974" s="240" t="s">
        <v>72</v>
      </c>
      <c r="B2974" s="47" t="s">
        <v>55</v>
      </c>
      <c r="C2974" s="12">
        <v>0.225697786333013</v>
      </c>
      <c r="D2974" s="241">
        <v>0.225</v>
      </c>
      <c r="E2974" s="241">
        <v>0.235849056603774</v>
      </c>
      <c r="F2974" s="241">
        <v>0.227722772277228</v>
      </c>
      <c r="G2974" s="241">
        <v>0.247191011235955</v>
      </c>
      <c r="H2974" s="241">
        <v>0.239766081871345</v>
      </c>
      <c r="I2974" s="241">
        <v>0.175324675324675</v>
      </c>
      <c r="J2974" s="241">
        <v>0.216049382716049</v>
      </c>
      <c r="K2974" s="241">
        <v>0.205741626794258</v>
      </c>
      <c r="L2974" s="241">
        <v>0.264840182648402</v>
      </c>
      <c r="M2974" s="241">
        <v>0.165745856353591</v>
      </c>
      <c r="N2974" s="241">
        <v>0.240174672489083</v>
      </c>
      <c r="O2974" s="252">
        <v>0.249158249158249</v>
      </c>
    </row>
    <row r="2975" spans="1:15">
      <c r="A2975" s="242" t="s">
        <v>72</v>
      </c>
      <c r="B2975" s="43" t="s">
        <v>57</v>
      </c>
      <c r="C2975" s="15">
        <v>2078</v>
      </c>
      <c r="D2975" s="243">
        <v>160</v>
      </c>
      <c r="E2975" s="243">
        <v>106</v>
      </c>
      <c r="F2975" s="243">
        <v>101</v>
      </c>
      <c r="G2975" s="243">
        <v>89</v>
      </c>
      <c r="H2975" s="243">
        <v>171</v>
      </c>
      <c r="I2975" s="243">
        <v>154</v>
      </c>
      <c r="J2975" s="243">
        <v>162</v>
      </c>
      <c r="K2975" s="243">
        <v>209</v>
      </c>
      <c r="L2975" s="243">
        <v>219</v>
      </c>
      <c r="M2975" s="243">
        <v>181</v>
      </c>
      <c r="N2975" s="243">
        <v>229</v>
      </c>
      <c r="O2975" s="253">
        <v>297</v>
      </c>
    </row>
    <row r="2976" spans="1:15">
      <c r="A2976" s="240" t="s">
        <v>72</v>
      </c>
      <c r="B2976" s="47" t="s">
        <v>59</v>
      </c>
      <c r="C2976" s="15">
        <v>469</v>
      </c>
      <c r="D2976" s="243">
        <v>36</v>
      </c>
      <c r="E2976" s="243">
        <v>25</v>
      </c>
      <c r="F2976" s="243">
        <v>23</v>
      </c>
      <c r="G2976" s="243">
        <v>22</v>
      </c>
      <c r="H2976" s="243">
        <v>41</v>
      </c>
      <c r="I2976" s="243">
        <v>27</v>
      </c>
      <c r="J2976" s="243">
        <v>35</v>
      </c>
      <c r="K2976" s="243">
        <v>43</v>
      </c>
      <c r="L2976" s="243">
        <v>58</v>
      </c>
      <c r="M2976" s="243">
        <v>30</v>
      </c>
      <c r="N2976" s="243">
        <v>55</v>
      </c>
      <c r="O2976" s="253">
        <v>74</v>
      </c>
    </row>
    <row r="2977" spans="1:15">
      <c r="A2977" s="242" t="s">
        <v>72</v>
      </c>
      <c r="B2977" s="43" t="s">
        <v>4</v>
      </c>
      <c r="C2977" s="15">
        <v>39</v>
      </c>
      <c r="D2977" s="244">
        <v>2</v>
      </c>
      <c r="E2977" s="244">
        <v>4</v>
      </c>
      <c r="F2977" s="244">
        <v>0</v>
      </c>
      <c r="G2977" s="244">
        <v>1</v>
      </c>
      <c r="H2977" s="244">
        <v>3</v>
      </c>
      <c r="I2977" s="244">
        <v>1</v>
      </c>
      <c r="J2977" s="244">
        <v>2</v>
      </c>
      <c r="K2977" s="244">
        <v>1</v>
      </c>
      <c r="L2977" s="244">
        <v>7</v>
      </c>
      <c r="M2977" s="244">
        <v>4</v>
      </c>
      <c r="N2977" s="244">
        <v>4</v>
      </c>
      <c r="O2977" s="254">
        <v>10</v>
      </c>
    </row>
    <row r="2978" spans="1:15">
      <c r="A2978" s="240" t="s">
        <v>72</v>
      </c>
      <c r="B2978" s="47" t="s">
        <v>5</v>
      </c>
      <c r="C2978" s="12">
        <v>0.0831556503198294</v>
      </c>
      <c r="D2978" s="241">
        <v>0.0555555555555556</v>
      </c>
      <c r="E2978" s="241">
        <v>0.16</v>
      </c>
      <c r="F2978" s="241">
        <v>0</v>
      </c>
      <c r="G2978" s="241">
        <v>0.0454545454545455</v>
      </c>
      <c r="H2978" s="241">
        <v>0.0731707317073171</v>
      </c>
      <c r="I2978" s="241">
        <v>0.037037037037037</v>
      </c>
      <c r="J2978" s="241">
        <v>0.0571428571428571</v>
      </c>
      <c r="K2978" s="241">
        <v>0.0232558139534884</v>
      </c>
      <c r="L2978" s="241">
        <v>0.120689655172414</v>
      </c>
      <c r="M2978" s="241">
        <v>0.133333333333333</v>
      </c>
      <c r="N2978" s="241">
        <v>0.0727272727272727</v>
      </c>
      <c r="O2978" s="252">
        <v>0.135135135135135</v>
      </c>
    </row>
    <row r="2979" spans="1:15">
      <c r="A2979" s="242" t="s">
        <v>72</v>
      </c>
      <c r="B2979" s="43" t="s">
        <v>6</v>
      </c>
      <c r="C2979" s="15">
        <v>9</v>
      </c>
      <c r="D2979" s="244">
        <v>1</v>
      </c>
      <c r="E2979" s="244">
        <v>1</v>
      </c>
      <c r="F2979" s="244">
        <v>0</v>
      </c>
      <c r="G2979" s="244">
        <v>1</v>
      </c>
      <c r="H2979" s="244">
        <v>1</v>
      </c>
      <c r="I2979" s="244">
        <v>0</v>
      </c>
      <c r="J2979" s="244">
        <v>0</v>
      </c>
      <c r="K2979" s="244">
        <v>0</v>
      </c>
      <c r="L2979" s="244">
        <v>2</v>
      </c>
      <c r="M2979" s="244">
        <v>0</v>
      </c>
      <c r="N2979" s="244">
        <v>2</v>
      </c>
      <c r="O2979" s="254">
        <v>1</v>
      </c>
    </row>
    <row r="2980" ht="14.25" spans="1:15">
      <c r="A2980" s="245" t="s">
        <v>72</v>
      </c>
      <c r="B2980" s="52" t="s">
        <v>64</v>
      </c>
      <c r="C2980" s="19">
        <v>0.230769230769231</v>
      </c>
      <c r="D2980" s="19">
        <v>0.5</v>
      </c>
      <c r="E2980" s="19">
        <v>0.25</v>
      </c>
      <c r="F2980" s="19" t="e">
        <v>#DIV/0!</v>
      </c>
      <c r="G2980" s="19">
        <v>1</v>
      </c>
      <c r="H2980" s="19">
        <v>0.333333333333333</v>
      </c>
      <c r="I2980" s="19">
        <v>0</v>
      </c>
      <c r="J2980" s="19">
        <v>0</v>
      </c>
      <c r="K2980" s="19">
        <v>0</v>
      </c>
      <c r="L2980" s="19">
        <v>0.285714285714286</v>
      </c>
      <c r="M2980" s="19">
        <v>0</v>
      </c>
      <c r="N2980" s="19">
        <v>0.5</v>
      </c>
      <c r="O2980" s="19">
        <v>0.1</v>
      </c>
    </row>
    <row r="2981" ht="14.25" spans="1:15">
      <c r="A2981" s="259">
        <v>45065</v>
      </c>
      <c r="B2981" s="259"/>
      <c r="C2981" s="259"/>
      <c r="D2981" s="259"/>
      <c r="E2981" s="259"/>
      <c r="F2981" s="259"/>
      <c r="G2981" s="259"/>
      <c r="H2981" s="259"/>
      <c r="I2981" s="259"/>
      <c r="J2981" s="259"/>
      <c r="K2981" s="259"/>
      <c r="L2981" s="259"/>
      <c r="M2981" s="259"/>
      <c r="N2981" s="259"/>
      <c r="O2981" s="259"/>
    </row>
    <row r="2982" spans="1:15">
      <c r="A2982" s="56" t="s">
        <v>1</v>
      </c>
      <c r="B2982" s="238"/>
      <c r="C2982" s="8" t="s">
        <v>42</v>
      </c>
      <c r="D2982" s="239" t="s">
        <v>43</v>
      </c>
      <c r="E2982" s="239" t="s">
        <v>44</v>
      </c>
      <c r="F2982" s="239" t="s">
        <v>45</v>
      </c>
      <c r="G2982" s="239" t="s">
        <v>46</v>
      </c>
      <c r="H2982" s="239" t="s">
        <v>47</v>
      </c>
      <c r="I2982" s="239" t="s">
        <v>48</v>
      </c>
      <c r="J2982" s="239" t="s">
        <v>49</v>
      </c>
      <c r="K2982" s="239" t="s">
        <v>50</v>
      </c>
      <c r="L2982" s="239" t="s">
        <v>51</v>
      </c>
      <c r="M2982" s="239" t="s">
        <v>52</v>
      </c>
      <c r="N2982" s="239" t="s">
        <v>53</v>
      </c>
      <c r="O2982" s="251" t="s">
        <v>54</v>
      </c>
    </row>
    <row r="2983" spans="1:15">
      <c r="A2983" s="240" t="s">
        <v>22</v>
      </c>
      <c r="B2983" s="47" t="s">
        <v>55</v>
      </c>
      <c r="C2983" s="12">
        <v>0.424873231918868</v>
      </c>
      <c r="D2983" s="241">
        <v>0.292682926829268</v>
      </c>
      <c r="E2983" s="241">
        <v>0.457013574660633</v>
      </c>
      <c r="F2983" s="241">
        <v>0.484848484848485</v>
      </c>
      <c r="G2983" s="241">
        <v>0.55421686746988</v>
      </c>
      <c r="H2983" s="241">
        <v>0.554794520547945</v>
      </c>
      <c r="I2983" s="241">
        <v>0.508896797153025</v>
      </c>
      <c r="J2983" s="241">
        <v>0.392491467576792</v>
      </c>
      <c r="K2983" s="241">
        <v>0.457516339869281</v>
      </c>
      <c r="L2983" s="241">
        <v>0.472324723247232</v>
      </c>
      <c r="M2983" s="241">
        <v>0.460567823343849</v>
      </c>
      <c r="N2983" s="241">
        <v>0.4</v>
      </c>
      <c r="O2983" s="252">
        <v>0.344230769230769</v>
      </c>
    </row>
    <row r="2984" spans="1:15">
      <c r="A2984" s="242" t="s">
        <v>22</v>
      </c>
      <c r="B2984" s="43" t="s">
        <v>57</v>
      </c>
      <c r="C2984" s="15">
        <v>3747</v>
      </c>
      <c r="D2984" s="243">
        <v>533</v>
      </c>
      <c r="E2984" s="243">
        <v>221</v>
      </c>
      <c r="F2984" s="243">
        <v>132</v>
      </c>
      <c r="G2984" s="243">
        <v>166</v>
      </c>
      <c r="H2984" s="243">
        <v>292</v>
      </c>
      <c r="I2984" s="243">
        <v>281</v>
      </c>
      <c r="J2984" s="243">
        <v>293</v>
      </c>
      <c r="K2984" s="243">
        <v>306</v>
      </c>
      <c r="L2984" s="243">
        <v>271</v>
      </c>
      <c r="M2984" s="243">
        <v>317</v>
      </c>
      <c r="N2984" s="243">
        <v>415</v>
      </c>
      <c r="O2984" s="253">
        <v>520</v>
      </c>
    </row>
    <row r="2985" spans="1:15">
      <c r="A2985" s="240" t="s">
        <v>22</v>
      </c>
      <c r="B2985" s="47" t="s">
        <v>59</v>
      </c>
      <c r="C2985" s="15">
        <v>1592</v>
      </c>
      <c r="D2985" s="243">
        <v>156</v>
      </c>
      <c r="E2985" s="243">
        <v>101</v>
      </c>
      <c r="F2985" s="243">
        <v>64</v>
      </c>
      <c r="G2985" s="243">
        <v>92</v>
      </c>
      <c r="H2985" s="243">
        <v>162</v>
      </c>
      <c r="I2985" s="243">
        <v>143</v>
      </c>
      <c r="J2985" s="243">
        <v>115</v>
      </c>
      <c r="K2985" s="243">
        <v>140</v>
      </c>
      <c r="L2985" s="243">
        <v>128</v>
      </c>
      <c r="M2985" s="243">
        <v>146</v>
      </c>
      <c r="N2985" s="243">
        <v>166</v>
      </c>
      <c r="O2985" s="253">
        <v>179</v>
      </c>
    </row>
    <row r="2986" spans="1:15">
      <c r="A2986" s="242" t="s">
        <v>22</v>
      </c>
      <c r="B2986" s="43" t="s">
        <v>4</v>
      </c>
      <c r="C2986" s="15">
        <v>147</v>
      </c>
      <c r="D2986" s="244">
        <v>12</v>
      </c>
      <c r="E2986" s="244">
        <v>9</v>
      </c>
      <c r="F2986" s="244">
        <v>10</v>
      </c>
      <c r="G2986" s="244">
        <v>3</v>
      </c>
      <c r="H2986" s="244">
        <v>10</v>
      </c>
      <c r="I2986" s="244">
        <v>14</v>
      </c>
      <c r="J2986" s="244">
        <v>10</v>
      </c>
      <c r="K2986" s="244">
        <v>15</v>
      </c>
      <c r="L2986" s="244">
        <v>10</v>
      </c>
      <c r="M2986" s="244">
        <v>10</v>
      </c>
      <c r="N2986" s="244">
        <v>17</v>
      </c>
      <c r="O2986" s="254">
        <v>27</v>
      </c>
    </row>
    <row r="2987" spans="1:15">
      <c r="A2987" s="240" t="s">
        <v>22</v>
      </c>
      <c r="B2987" s="47" t="s">
        <v>5</v>
      </c>
      <c r="C2987" s="12">
        <v>0.0923366834170854</v>
      </c>
      <c r="D2987" s="241">
        <v>0.0769230769230769</v>
      </c>
      <c r="E2987" s="241">
        <v>0.0891089108910891</v>
      </c>
      <c r="F2987" s="241">
        <v>0.15625</v>
      </c>
      <c r="G2987" s="241">
        <v>0.0326086956521739</v>
      </c>
      <c r="H2987" s="241">
        <v>0.0617283950617284</v>
      </c>
      <c r="I2987" s="241">
        <v>0.0979020979020979</v>
      </c>
      <c r="J2987" s="241">
        <v>0.0869565217391304</v>
      </c>
      <c r="K2987" s="241">
        <v>0.107142857142857</v>
      </c>
      <c r="L2987" s="241">
        <v>0.078125</v>
      </c>
      <c r="M2987" s="241">
        <v>0.0684931506849315</v>
      </c>
      <c r="N2987" s="241">
        <v>0.102409638554217</v>
      </c>
      <c r="O2987" s="252">
        <v>0.150837988826816</v>
      </c>
    </row>
    <row r="2988" spans="1:15">
      <c r="A2988" s="242" t="s">
        <v>22</v>
      </c>
      <c r="B2988" s="43" t="s">
        <v>6</v>
      </c>
      <c r="C2988" s="15">
        <v>50</v>
      </c>
      <c r="D2988" s="244">
        <v>4</v>
      </c>
      <c r="E2988" s="244">
        <v>4</v>
      </c>
      <c r="F2988" s="244">
        <v>4</v>
      </c>
      <c r="G2988" s="244">
        <v>0</v>
      </c>
      <c r="H2988" s="244">
        <v>6</v>
      </c>
      <c r="I2988" s="244">
        <v>2</v>
      </c>
      <c r="J2988" s="244">
        <v>5</v>
      </c>
      <c r="K2988" s="244">
        <v>4</v>
      </c>
      <c r="L2988" s="244">
        <v>1</v>
      </c>
      <c r="M2988" s="244">
        <v>3</v>
      </c>
      <c r="N2988" s="244">
        <v>8</v>
      </c>
      <c r="O2988" s="254">
        <v>9</v>
      </c>
    </row>
    <row r="2989" ht="14.25" spans="1:15">
      <c r="A2989" s="245" t="s">
        <v>22</v>
      </c>
      <c r="B2989" s="52" t="s">
        <v>64</v>
      </c>
      <c r="C2989" s="19">
        <v>0.340136054421769</v>
      </c>
      <c r="D2989" s="246">
        <v>0.333333333333333</v>
      </c>
      <c r="E2989" s="246">
        <v>0.444444444444444</v>
      </c>
      <c r="F2989" s="246">
        <v>0.4</v>
      </c>
      <c r="G2989" s="246">
        <v>0</v>
      </c>
      <c r="H2989" s="246">
        <v>0.6</v>
      </c>
      <c r="I2989" s="246">
        <v>0.142857142857143</v>
      </c>
      <c r="J2989" s="246">
        <v>0.5</v>
      </c>
      <c r="K2989" s="246">
        <v>0.266666666666667</v>
      </c>
      <c r="L2989" s="246">
        <v>0.1</v>
      </c>
      <c r="M2989" s="246">
        <v>0.3</v>
      </c>
      <c r="N2989" s="246">
        <v>0.470588235294118</v>
      </c>
      <c r="O2989" s="255">
        <v>0.333333333333333</v>
      </c>
    </row>
    <row r="2990" spans="1:15">
      <c r="A2990" s="247" t="s">
        <v>66</v>
      </c>
      <c r="B2990" s="248" t="s">
        <v>55</v>
      </c>
      <c r="C2990" s="12">
        <v>0.0993439550140581</v>
      </c>
      <c r="D2990" s="249">
        <v>0.0498533724340176</v>
      </c>
      <c r="E2990" s="249">
        <v>0.0412087912087912</v>
      </c>
      <c r="F2990" s="249">
        <v>0.0210970464135021</v>
      </c>
      <c r="G2990" s="249">
        <v>0.0717299578059072</v>
      </c>
      <c r="H2990" s="249">
        <v>0.119760479041916</v>
      </c>
      <c r="I2990" s="249">
        <v>0.17910447761194</v>
      </c>
      <c r="J2990" s="249">
        <v>0.155172413793103</v>
      </c>
      <c r="K2990" s="249">
        <v>0.142857142857143</v>
      </c>
      <c r="L2990" s="249">
        <v>0.186915887850467</v>
      </c>
      <c r="M2990" s="249">
        <v>0.252747252747253</v>
      </c>
      <c r="N2990" s="249">
        <v>0.180851063829787</v>
      </c>
      <c r="O2990" s="256">
        <v>0.15</v>
      </c>
    </row>
    <row r="2991" spans="1:15">
      <c r="A2991" s="242" t="s">
        <v>66</v>
      </c>
      <c r="B2991" s="43" t="s">
        <v>57</v>
      </c>
      <c r="C2991" s="15">
        <v>2134</v>
      </c>
      <c r="D2991" s="243">
        <v>341</v>
      </c>
      <c r="E2991" s="243">
        <v>364</v>
      </c>
      <c r="F2991" s="243">
        <v>237</v>
      </c>
      <c r="G2991" s="243">
        <v>237</v>
      </c>
      <c r="H2991" s="243">
        <v>167</v>
      </c>
      <c r="I2991" s="243">
        <v>134</v>
      </c>
      <c r="J2991" s="243">
        <v>116</v>
      </c>
      <c r="K2991" s="243">
        <v>126</v>
      </c>
      <c r="L2991" s="243">
        <v>107</v>
      </c>
      <c r="M2991" s="243">
        <v>91</v>
      </c>
      <c r="N2991" s="243">
        <v>94</v>
      </c>
      <c r="O2991" s="253">
        <v>120</v>
      </c>
    </row>
    <row r="2992" spans="1:15">
      <c r="A2992" s="240" t="s">
        <v>66</v>
      </c>
      <c r="B2992" s="47" t="s">
        <v>59</v>
      </c>
      <c r="C2992" s="15">
        <v>212</v>
      </c>
      <c r="D2992" s="243">
        <v>17</v>
      </c>
      <c r="E2992" s="243">
        <v>15</v>
      </c>
      <c r="F2992" s="243">
        <v>5</v>
      </c>
      <c r="G2992" s="243">
        <v>17</v>
      </c>
      <c r="H2992" s="243">
        <v>20</v>
      </c>
      <c r="I2992" s="243">
        <v>24</v>
      </c>
      <c r="J2992" s="243">
        <v>18</v>
      </c>
      <c r="K2992" s="243">
        <v>18</v>
      </c>
      <c r="L2992" s="243">
        <v>20</v>
      </c>
      <c r="M2992" s="243">
        <v>23</v>
      </c>
      <c r="N2992" s="243">
        <v>17</v>
      </c>
      <c r="O2992" s="253">
        <v>18</v>
      </c>
    </row>
    <row r="2993" spans="1:15">
      <c r="A2993" s="242" t="s">
        <v>66</v>
      </c>
      <c r="B2993" s="43" t="s">
        <v>4</v>
      </c>
      <c r="C2993" s="15">
        <v>5</v>
      </c>
      <c r="D2993" s="244">
        <v>1</v>
      </c>
      <c r="E2993" s="244">
        <v>0</v>
      </c>
      <c r="F2993" s="244">
        <v>1</v>
      </c>
      <c r="G2993" s="244">
        <v>0</v>
      </c>
      <c r="H2993" s="244">
        <v>1</v>
      </c>
      <c r="I2993" s="244">
        <v>0</v>
      </c>
      <c r="J2993" s="244">
        <v>0</v>
      </c>
      <c r="K2993" s="244">
        <v>0</v>
      </c>
      <c r="L2993" s="244">
        <v>2</v>
      </c>
      <c r="M2993" s="244">
        <v>0</v>
      </c>
      <c r="N2993" s="244">
        <v>0</v>
      </c>
      <c r="O2993" s="254">
        <v>0</v>
      </c>
    </row>
    <row r="2994" spans="1:15">
      <c r="A2994" s="240" t="s">
        <v>66</v>
      </c>
      <c r="B2994" s="47" t="s">
        <v>5</v>
      </c>
      <c r="C2994" s="12">
        <v>0.0235849056603774</v>
      </c>
      <c r="D2994" s="241">
        <v>0.0588235294117647</v>
      </c>
      <c r="E2994" s="241">
        <v>0</v>
      </c>
      <c r="F2994" s="241">
        <v>0.2</v>
      </c>
      <c r="G2994" s="241">
        <v>0</v>
      </c>
      <c r="H2994" s="241">
        <v>0.05</v>
      </c>
      <c r="I2994" s="241">
        <v>0</v>
      </c>
      <c r="J2994" s="241">
        <v>0</v>
      </c>
      <c r="K2994" s="241">
        <v>0</v>
      </c>
      <c r="L2994" s="241">
        <v>0.1</v>
      </c>
      <c r="M2994" s="241">
        <v>0</v>
      </c>
      <c r="N2994" s="241">
        <v>0</v>
      </c>
      <c r="O2994" s="252">
        <v>0</v>
      </c>
    </row>
    <row r="2995" spans="1:15">
      <c r="A2995" s="242" t="s">
        <v>66</v>
      </c>
      <c r="B2995" s="43" t="s">
        <v>6</v>
      </c>
      <c r="C2995" s="15">
        <v>5</v>
      </c>
      <c r="D2995" s="244">
        <v>2</v>
      </c>
      <c r="E2995" s="244">
        <v>0</v>
      </c>
      <c r="F2995" s="244">
        <v>0</v>
      </c>
      <c r="G2995" s="244">
        <v>1</v>
      </c>
      <c r="H2995" s="244">
        <v>1</v>
      </c>
      <c r="I2995" s="244">
        <v>0</v>
      </c>
      <c r="J2995" s="244">
        <v>0</v>
      </c>
      <c r="K2995" s="244">
        <v>0</v>
      </c>
      <c r="L2995" s="244">
        <v>0</v>
      </c>
      <c r="M2995" s="244">
        <v>1</v>
      </c>
      <c r="N2995" s="244">
        <v>0</v>
      </c>
      <c r="O2995" s="254">
        <v>0</v>
      </c>
    </row>
    <row r="2996" ht="14.25" spans="1:15">
      <c r="A2996" s="245" t="s">
        <v>66</v>
      </c>
      <c r="B2996" s="52" t="s">
        <v>64</v>
      </c>
      <c r="C2996" s="19">
        <v>1</v>
      </c>
      <c r="D2996" s="246">
        <v>2</v>
      </c>
      <c r="E2996" s="246">
        <v>0</v>
      </c>
      <c r="F2996" s="246">
        <v>0</v>
      </c>
      <c r="G2996" s="246">
        <v>0</v>
      </c>
      <c r="H2996" s="246">
        <v>1</v>
      </c>
      <c r="I2996" s="246">
        <v>0</v>
      </c>
      <c r="J2996" s="246">
        <v>0</v>
      </c>
      <c r="K2996" s="246">
        <v>0</v>
      </c>
      <c r="L2996" s="246">
        <v>0</v>
      </c>
      <c r="M2996" s="246">
        <v>0</v>
      </c>
      <c r="N2996" s="246">
        <v>0</v>
      </c>
      <c r="O2996" s="255">
        <v>0</v>
      </c>
    </row>
    <row r="2997" spans="1:15">
      <c r="A2997" s="240" t="s">
        <v>67</v>
      </c>
      <c r="B2997" s="47" t="s">
        <v>55</v>
      </c>
      <c r="C2997" s="12">
        <v>0.561274509803922</v>
      </c>
      <c r="D2997" s="241">
        <v>0.64</v>
      </c>
      <c r="E2997" s="241">
        <v>0.9</v>
      </c>
      <c r="F2997" s="241">
        <v>0.6875</v>
      </c>
      <c r="G2997" s="241">
        <v>0.428571428571429</v>
      </c>
      <c r="H2997" s="241">
        <v>0.78125</v>
      </c>
      <c r="I2997" s="241">
        <v>0.555555555555556</v>
      </c>
      <c r="J2997" s="241">
        <v>0.394736842105263</v>
      </c>
      <c r="K2997" s="241">
        <v>0.571428571428571</v>
      </c>
      <c r="L2997" s="241">
        <v>0.642857142857143</v>
      </c>
      <c r="M2997" s="241">
        <v>0.512820512820513</v>
      </c>
      <c r="N2997" s="241">
        <v>0.363636363636364</v>
      </c>
      <c r="O2997" s="252">
        <v>0.457142857142857</v>
      </c>
    </row>
    <row r="2998" spans="1:15">
      <c r="A2998" s="242" t="s">
        <v>67</v>
      </c>
      <c r="B2998" s="43" t="s">
        <v>57</v>
      </c>
      <c r="C2998" s="15">
        <v>408</v>
      </c>
      <c r="D2998" s="243">
        <v>50</v>
      </c>
      <c r="E2998" s="243">
        <v>20</v>
      </c>
      <c r="F2998" s="243">
        <v>16</v>
      </c>
      <c r="G2998" s="243">
        <v>21</v>
      </c>
      <c r="H2998" s="243">
        <v>32</v>
      </c>
      <c r="I2998" s="243">
        <v>36</v>
      </c>
      <c r="J2998" s="243">
        <v>38</v>
      </c>
      <c r="K2998" s="243">
        <v>35</v>
      </c>
      <c r="L2998" s="243">
        <v>42</v>
      </c>
      <c r="M2998" s="243">
        <v>39</v>
      </c>
      <c r="N2998" s="243">
        <v>44</v>
      </c>
      <c r="O2998" s="253">
        <v>35</v>
      </c>
    </row>
    <row r="2999" spans="1:15">
      <c r="A2999" s="240" t="s">
        <v>67</v>
      </c>
      <c r="B2999" s="47" t="s">
        <v>59</v>
      </c>
      <c r="C2999" s="15">
        <v>229</v>
      </c>
      <c r="D2999" s="243">
        <v>32</v>
      </c>
      <c r="E2999" s="243">
        <v>18</v>
      </c>
      <c r="F2999" s="243">
        <v>11</v>
      </c>
      <c r="G2999" s="243">
        <v>9</v>
      </c>
      <c r="H2999" s="243">
        <v>25</v>
      </c>
      <c r="I2999" s="243">
        <v>20</v>
      </c>
      <c r="J2999" s="243">
        <v>15</v>
      </c>
      <c r="K2999" s="243">
        <v>20</v>
      </c>
      <c r="L2999" s="243">
        <v>27</v>
      </c>
      <c r="M2999" s="243">
        <v>20</v>
      </c>
      <c r="N2999" s="243">
        <v>16</v>
      </c>
      <c r="O2999" s="253">
        <v>16</v>
      </c>
    </row>
    <row r="3000" spans="1:15">
      <c r="A3000" s="242" t="s">
        <v>67</v>
      </c>
      <c r="B3000" s="43" t="s">
        <v>4</v>
      </c>
      <c r="C3000" s="15">
        <v>8</v>
      </c>
      <c r="D3000" s="244">
        <v>2</v>
      </c>
      <c r="E3000" s="244">
        <v>2</v>
      </c>
      <c r="F3000" s="244">
        <v>0</v>
      </c>
      <c r="G3000" s="244">
        <v>1</v>
      </c>
      <c r="H3000" s="244">
        <v>0</v>
      </c>
      <c r="I3000" s="244">
        <v>0</v>
      </c>
      <c r="J3000" s="244">
        <v>0</v>
      </c>
      <c r="K3000" s="244">
        <v>2</v>
      </c>
      <c r="L3000" s="244">
        <v>1</v>
      </c>
      <c r="M3000" s="244">
        <v>0</v>
      </c>
      <c r="N3000" s="244">
        <v>0</v>
      </c>
      <c r="O3000" s="254">
        <v>0</v>
      </c>
    </row>
    <row r="3001" spans="1:15">
      <c r="A3001" s="240" t="s">
        <v>67</v>
      </c>
      <c r="B3001" s="47" t="s">
        <v>5</v>
      </c>
      <c r="C3001" s="12">
        <v>0.0349344978165939</v>
      </c>
      <c r="D3001" s="241">
        <v>0.0625</v>
      </c>
      <c r="E3001" s="241">
        <v>0.111111111111111</v>
      </c>
      <c r="F3001" s="241">
        <v>0</v>
      </c>
      <c r="G3001" s="241">
        <v>0.111111111111111</v>
      </c>
      <c r="H3001" s="241">
        <v>0</v>
      </c>
      <c r="I3001" s="241">
        <v>0</v>
      </c>
      <c r="J3001" s="241">
        <v>0</v>
      </c>
      <c r="K3001" s="241">
        <v>0.1</v>
      </c>
      <c r="L3001" s="241">
        <v>0.037037037037037</v>
      </c>
      <c r="M3001" s="241">
        <v>0</v>
      </c>
      <c r="N3001" s="241">
        <v>0</v>
      </c>
      <c r="O3001" s="252">
        <v>0</v>
      </c>
    </row>
    <row r="3002" spans="1:15">
      <c r="A3002" s="242" t="s">
        <v>67</v>
      </c>
      <c r="B3002" s="43" t="s">
        <v>6</v>
      </c>
      <c r="C3002" s="15">
        <v>4</v>
      </c>
      <c r="D3002" s="244">
        <v>2</v>
      </c>
      <c r="E3002" s="244">
        <v>0</v>
      </c>
      <c r="F3002" s="244">
        <v>0</v>
      </c>
      <c r="G3002" s="244">
        <v>1</v>
      </c>
      <c r="H3002" s="244">
        <v>0</v>
      </c>
      <c r="I3002" s="244">
        <v>0</v>
      </c>
      <c r="J3002" s="244">
        <v>0</v>
      </c>
      <c r="K3002" s="244">
        <v>0</v>
      </c>
      <c r="L3002" s="244">
        <v>1</v>
      </c>
      <c r="M3002" s="244">
        <v>0</v>
      </c>
      <c r="N3002" s="244">
        <v>0</v>
      </c>
      <c r="O3002" s="254">
        <v>0</v>
      </c>
    </row>
    <row r="3003" ht="14.25" spans="1:15">
      <c r="A3003" s="245" t="s">
        <v>67</v>
      </c>
      <c r="B3003" s="52" t="s">
        <v>64</v>
      </c>
      <c r="C3003" s="19">
        <v>0.5</v>
      </c>
      <c r="D3003" s="246">
        <v>1</v>
      </c>
      <c r="E3003" s="246">
        <v>0</v>
      </c>
      <c r="F3003" s="246">
        <v>0</v>
      </c>
      <c r="G3003" s="246">
        <v>1</v>
      </c>
      <c r="H3003" s="246">
        <v>0</v>
      </c>
      <c r="I3003" s="246">
        <v>0</v>
      </c>
      <c r="J3003" s="246">
        <v>0</v>
      </c>
      <c r="K3003" s="246">
        <v>0</v>
      </c>
      <c r="L3003" s="246">
        <v>1</v>
      </c>
      <c r="M3003" s="246">
        <v>0</v>
      </c>
      <c r="N3003" s="246">
        <v>0</v>
      </c>
      <c r="O3003" s="255">
        <v>0</v>
      </c>
    </row>
    <row r="3004" spans="1:15">
      <c r="A3004" s="240" t="s">
        <v>68</v>
      </c>
      <c r="B3004" s="47" t="s">
        <v>55</v>
      </c>
      <c r="C3004" s="12">
        <v>0.144487466884043</v>
      </c>
      <c r="D3004" s="241">
        <v>0.219269102990033</v>
      </c>
      <c r="E3004" s="241">
        <v>0.213903743315508</v>
      </c>
      <c r="F3004" s="241">
        <v>0.189024390243902</v>
      </c>
      <c r="G3004" s="241">
        <v>0.188118811881188</v>
      </c>
      <c r="H3004" s="241">
        <v>0.224431818181818</v>
      </c>
      <c r="I3004" s="241">
        <v>0.114886731391586</v>
      </c>
      <c r="J3004" s="241">
        <v>0.118852459016393</v>
      </c>
      <c r="K3004" s="241">
        <v>0.165983606557377</v>
      </c>
      <c r="L3004" s="241">
        <v>0.121593291404612</v>
      </c>
      <c r="M3004" s="241">
        <v>0.0977777777777778</v>
      </c>
      <c r="N3004" s="241">
        <v>0.114695340501792</v>
      </c>
      <c r="O3004" s="252">
        <v>0.127009646302251</v>
      </c>
    </row>
    <row r="3005" spans="1:15">
      <c r="A3005" s="242" t="s">
        <v>68</v>
      </c>
      <c r="B3005" s="43" t="s">
        <v>57</v>
      </c>
      <c r="C3005" s="15">
        <v>4907</v>
      </c>
      <c r="D3005" s="243">
        <v>301</v>
      </c>
      <c r="E3005" s="243">
        <v>187</v>
      </c>
      <c r="F3005" s="243">
        <v>164</v>
      </c>
      <c r="G3005" s="243">
        <v>202</v>
      </c>
      <c r="H3005" s="243">
        <v>352</v>
      </c>
      <c r="I3005" s="243">
        <v>618</v>
      </c>
      <c r="J3005" s="243">
        <v>488</v>
      </c>
      <c r="K3005" s="243">
        <v>488</v>
      </c>
      <c r="L3005" s="243">
        <v>477</v>
      </c>
      <c r="M3005" s="243">
        <v>450</v>
      </c>
      <c r="N3005" s="243">
        <v>558</v>
      </c>
      <c r="O3005" s="253">
        <v>622</v>
      </c>
    </row>
    <row r="3006" spans="1:15">
      <c r="A3006" s="240" t="s">
        <v>68</v>
      </c>
      <c r="B3006" s="47" t="s">
        <v>59</v>
      </c>
      <c r="C3006" s="15">
        <v>709</v>
      </c>
      <c r="D3006" s="243">
        <v>66</v>
      </c>
      <c r="E3006" s="243">
        <v>40</v>
      </c>
      <c r="F3006" s="243">
        <v>31</v>
      </c>
      <c r="G3006" s="243">
        <v>38</v>
      </c>
      <c r="H3006" s="243">
        <v>79</v>
      </c>
      <c r="I3006" s="243">
        <v>71</v>
      </c>
      <c r="J3006" s="243">
        <v>58</v>
      </c>
      <c r="K3006" s="243">
        <v>81</v>
      </c>
      <c r="L3006" s="243">
        <v>58</v>
      </c>
      <c r="M3006" s="243">
        <v>44</v>
      </c>
      <c r="N3006" s="243">
        <v>64</v>
      </c>
      <c r="O3006" s="253">
        <v>79</v>
      </c>
    </row>
    <row r="3007" spans="1:15">
      <c r="A3007" s="242" t="s">
        <v>68</v>
      </c>
      <c r="B3007" s="43" t="s">
        <v>4</v>
      </c>
      <c r="C3007" s="15">
        <v>28</v>
      </c>
      <c r="D3007" s="244">
        <v>5</v>
      </c>
      <c r="E3007" s="244">
        <v>3</v>
      </c>
      <c r="F3007" s="244">
        <v>1</v>
      </c>
      <c r="G3007" s="244">
        <v>0</v>
      </c>
      <c r="H3007" s="244">
        <v>2</v>
      </c>
      <c r="I3007" s="244">
        <v>2</v>
      </c>
      <c r="J3007" s="244">
        <v>2</v>
      </c>
      <c r="K3007" s="244">
        <v>1</v>
      </c>
      <c r="L3007" s="244">
        <v>3</v>
      </c>
      <c r="M3007" s="244">
        <v>2</v>
      </c>
      <c r="N3007" s="244">
        <v>3</v>
      </c>
      <c r="O3007" s="254">
        <v>4</v>
      </c>
    </row>
    <row r="3008" spans="1:15">
      <c r="A3008" s="240" t="s">
        <v>68</v>
      </c>
      <c r="B3008" s="47" t="s">
        <v>5</v>
      </c>
      <c r="C3008" s="12">
        <v>0.0394922425952045</v>
      </c>
      <c r="D3008" s="241">
        <v>0.0757575757575758</v>
      </c>
      <c r="E3008" s="241">
        <v>0.075</v>
      </c>
      <c r="F3008" s="241">
        <v>0.032258064516129</v>
      </c>
      <c r="G3008" s="241">
        <v>0</v>
      </c>
      <c r="H3008" s="241">
        <v>0.0253164556962025</v>
      </c>
      <c r="I3008" s="241">
        <v>0.028169014084507</v>
      </c>
      <c r="J3008" s="241">
        <v>0.0344827586206897</v>
      </c>
      <c r="K3008" s="241">
        <v>0.0123456790123457</v>
      </c>
      <c r="L3008" s="241">
        <v>0.0517241379310345</v>
      </c>
      <c r="M3008" s="241">
        <v>0.0454545454545455</v>
      </c>
      <c r="N3008" s="241">
        <v>0.046875</v>
      </c>
      <c r="O3008" s="252">
        <v>0.0506329113924051</v>
      </c>
    </row>
    <row r="3009" spans="1:15">
      <c r="A3009" s="242" t="s">
        <v>68</v>
      </c>
      <c r="B3009" s="43" t="s">
        <v>6</v>
      </c>
      <c r="C3009" s="15">
        <v>18</v>
      </c>
      <c r="D3009" s="244">
        <v>5</v>
      </c>
      <c r="E3009" s="244">
        <v>2</v>
      </c>
      <c r="F3009" s="244">
        <v>0</v>
      </c>
      <c r="G3009" s="244">
        <v>0</v>
      </c>
      <c r="H3009" s="244">
        <v>2</v>
      </c>
      <c r="I3009" s="244">
        <v>3</v>
      </c>
      <c r="J3009" s="244">
        <v>1</v>
      </c>
      <c r="K3009" s="244">
        <v>3</v>
      </c>
      <c r="L3009" s="244">
        <v>0</v>
      </c>
      <c r="M3009" s="244">
        <v>0</v>
      </c>
      <c r="N3009" s="244">
        <v>1</v>
      </c>
      <c r="O3009" s="254">
        <v>1</v>
      </c>
    </row>
    <row r="3010" ht="14.25" spans="1:15">
      <c r="A3010" s="245" t="s">
        <v>68</v>
      </c>
      <c r="B3010" s="52" t="s">
        <v>64</v>
      </c>
      <c r="C3010" s="19">
        <v>0.642857142857143</v>
      </c>
      <c r="D3010" s="246">
        <v>1</v>
      </c>
      <c r="E3010" s="246">
        <v>0.666666666666667</v>
      </c>
      <c r="F3010" s="246">
        <v>0</v>
      </c>
      <c r="G3010" s="246">
        <v>0</v>
      </c>
      <c r="H3010" s="246">
        <v>1</v>
      </c>
      <c r="I3010" s="246">
        <v>1.5</v>
      </c>
      <c r="J3010" s="246">
        <v>0.5</v>
      </c>
      <c r="K3010" s="246">
        <v>3</v>
      </c>
      <c r="L3010" s="246">
        <v>0</v>
      </c>
      <c r="M3010" s="246">
        <v>0</v>
      </c>
      <c r="N3010" s="246">
        <v>0.333333333333333</v>
      </c>
      <c r="O3010" s="255">
        <v>0.25</v>
      </c>
    </row>
    <row r="3011" spans="1:15">
      <c r="A3011" s="240" t="s">
        <v>69</v>
      </c>
      <c r="B3011" s="47" t="s">
        <v>55</v>
      </c>
      <c r="C3011" s="12">
        <v>0.854990583804143</v>
      </c>
      <c r="D3011" s="241">
        <v>0.864864864864865</v>
      </c>
      <c r="E3011" s="241">
        <v>0.85</v>
      </c>
      <c r="F3011" s="241">
        <v>1.64285714285714</v>
      </c>
      <c r="G3011" s="241">
        <v>1.03846153846154</v>
      </c>
      <c r="H3011" s="241">
        <v>0.888888888888889</v>
      </c>
      <c r="I3011" s="241">
        <v>0.851851851851852</v>
      </c>
      <c r="J3011" s="241">
        <v>0.883333333333333</v>
      </c>
      <c r="K3011" s="241">
        <v>0.821428571428571</v>
      </c>
      <c r="L3011" s="241">
        <v>0.803921568627451</v>
      </c>
      <c r="M3011" s="241">
        <v>0.869565217391304</v>
      </c>
      <c r="N3011" s="241">
        <v>0.714285714285714</v>
      </c>
      <c r="O3011" s="252">
        <v>0.745762711864407</v>
      </c>
    </row>
    <row r="3012" spans="1:15">
      <c r="A3012" s="242" t="s">
        <v>69</v>
      </c>
      <c r="B3012" s="43" t="s">
        <v>57</v>
      </c>
      <c r="C3012" s="15">
        <v>531</v>
      </c>
      <c r="D3012" s="243">
        <v>37</v>
      </c>
      <c r="E3012" s="243">
        <v>20</v>
      </c>
      <c r="F3012" s="243">
        <v>14</v>
      </c>
      <c r="G3012" s="243">
        <v>26</v>
      </c>
      <c r="H3012" s="243">
        <v>45</v>
      </c>
      <c r="I3012" s="243">
        <v>54</v>
      </c>
      <c r="J3012" s="243">
        <v>60</v>
      </c>
      <c r="K3012" s="243">
        <v>56</v>
      </c>
      <c r="L3012" s="243">
        <v>51</v>
      </c>
      <c r="M3012" s="243">
        <v>46</v>
      </c>
      <c r="N3012" s="243">
        <v>63</v>
      </c>
      <c r="O3012" s="253">
        <v>59</v>
      </c>
    </row>
    <row r="3013" spans="1:15">
      <c r="A3013" s="240" t="s">
        <v>69</v>
      </c>
      <c r="B3013" s="47" t="s">
        <v>59</v>
      </c>
      <c r="C3013" s="15">
        <v>454</v>
      </c>
      <c r="D3013" s="243">
        <v>32</v>
      </c>
      <c r="E3013" s="243">
        <v>17</v>
      </c>
      <c r="F3013" s="243">
        <v>23</v>
      </c>
      <c r="G3013" s="243">
        <v>27</v>
      </c>
      <c r="H3013" s="243">
        <v>40</v>
      </c>
      <c r="I3013" s="243">
        <v>46</v>
      </c>
      <c r="J3013" s="243">
        <v>53</v>
      </c>
      <c r="K3013" s="243">
        <v>46</v>
      </c>
      <c r="L3013" s="243">
        <v>41</v>
      </c>
      <c r="M3013" s="243">
        <v>40</v>
      </c>
      <c r="N3013" s="243">
        <v>45</v>
      </c>
      <c r="O3013" s="253">
        <v>44</v>
      </c>
    </row>
    <row r="3014" spans="1:15">
      <c r="A3014" s="242" t="s">
        <v>69</v>
      </c>
      <c r="B3014" s="43" t="s">
        <v>4</v>
      </c>
      <c r="C3014" s="15">
        <v>25</v>
      </c>
      <c r="D3014" s="244">
        <v>1</v>
      </c>
      <c r="E3014" s="244">
        <v>0</v>
      </c>
      <c r="F3014" s="244">
        <v>0</v>
      </c>
      <c r="G3014" s="244">
        <v>1</v>
      </c>
      <c r="H3014" s="244">
        <v>0</v>
      </c>
      <c r="I3014" s="244">
        <v>2</v>
      </c>
      <c r="J3014" s="244">
        <v>7</v>
      </c>
      <c r="K3014" s="244">
        <v>3</v>
      </c>
      <c r="L3014" s="244">
        <v>3</v>
      </c>
      <c r="M3014" s="244">
        <v>4</v>
      </c>
      <c r="N3014" s="244">
        <v>4</v>
      </c>
      <c r="O3014" s="254">
        <v>0</v>
      </c>
    </row>
    <row r="3015" spans="1:15">
      <c r="A3015" s="240" t="s">
        <v>69</v>
      </c>
      <c r="B3015" s="47" t="s">
        <v>5</v>
      </c>
      <c r="C3015" s="12">
        <v>0.0550660792951542</v>
      </c>
      <c r="D3015" s="241">
        <v>0.03125</v>
      </c>
      <c r="E3015" s="241">
        <v>0</v>
      </c>
      <c r="F3015" s="241">
        <v>0</v>
      </c>
      <c r="G3015" s="241">
        <v>0.037037037037037</v>
      </c>
      <c r="H3015" s="241">
        <v>0</v>
      </c>
      <c r="I3015" s="241">
        <v>0.0434782608695652</v>
      </c>
      <c r="J3015" s="241">
        <v>0.132075471698113</v>
      </c>
      <c r="K3015" s="241">
        <v>0.0652173913043478</v>
      </c>
      <c r="L3015" s="241">
        <v>0.0731707317073171</v>
      </c>
      <c r="M3015" s="241">
        <v>0.1</v>
      </c>
      <c r="N3015" s="241">
        <v>0.0888888888888889</v>
      </c>
      <c r="O3015" s="252">
        <v>0</v>
      </c>
    </row>
    <row r="3016" spans="1:15">
      <c r="A3016" s="242" t="s">
        <v>69</v>
      </c>
      <c r="B3016" s="43" t="s">
        <v>6</v>
      </c>
      <c r="C3016" s="15">
        <v>8</v>
      </c>
      <c r="D3016" s="244">
        <v>1</v>
      </c>
      <c r="E3016" s="244">
        <v>0</v>
      </c>
      <c r="F3016" s="244">
        <v>0</v>
      </c>
      <c r="G3016" s="244">
        <v>0</v>
      </c>
      <c r="H3016" s="244">
        <v>0</v>
      </c>
      <c r="I3016" s="244">
        <v>3</v>
      </c>
      <c r="J3016" s="244">
        <v>0</v>
      </c>
      <c r="K3016" s="244">
        <v>1</v>
      </c>
      <c r="L3016" s="244">
        <v>1</v>
      </c>
      <c r="M3016" s="244">
        <v>0</v>
      </c>
      <c r="N3016" s="244">
        <v>2</v>
      </c>
      <c r="O3016" s="254">
        <v>0</v>
      </c>
    </row>
    <row r="3017" ht="14.25" spans="1:15">
      <c r="A3017" s="245" t="s">
        <v>69</v>
      </c>
      <c r="B3017" s="52" t="s">
        <v>64</v>
      </c>
      <c r="C3017" s="19">
        <v>0.32</v>
      </c>
      <c r="D3017" s="246">
        <v>1</v>
      </c>
      <c r="E3017" s="246">
        <v>0</v>
      </c>
      <c r="F3017" s="246">
        <v>0</v>
      </c>
      <c r="G3017" s="246">
        <v>0</v>
      </c>
      <c r="H3017" s="246">
        <v>0</v>
      </c>
      <c r="I3017" s="246">
        <v>1.5</v>
      </c>
      <c r="J3017" s="246">
        <v>0</v>
      </c>
      <c r="K3017" s="246">
        <v>0.333333333333333</v>
      </c>
      <c r="L3017" s="246">
        <v>0.333333333333333</v>
      </c>
      <c r="M3017" s="246">
        <v>0</v>
      </c>
      <c r="N3017" s="246">
        <v>0.5</v>
      </c>
      <c r="O3017" s="255">
        <v>0</v>
      </c>
    </row>
    <row r="3018" spans="1:15">
      <c r="A3018" s="240" t="s">
        <v>70</v>
      </c>
      <c r="B3018" s="47" t="s">
        <v>55</v>
      </c>
      <c r="C3018" s="12">
        <v>0.835155225185833</v>
      </c>
      <c r="D3018" s="241">
        <v>0.918032786885246</v>
      </c>
      <c r="E3018" s="241">
        <v>0.83495145631068</v>
      </c>
      <c r="F3018" s="241">
        <v>0.73972602739726</v>
      </c>
      <c r="G3018" s="241">
        <v>0.801470588235294</v>
      </c>
      <c r="H3018" s="241">
        <v>0.947368421052632</v>
      </c>
      <c r="I3018" s="241">
        <v>0.858823529411765</v>
      </c>
      <c r="J3018" s="241">
        <v>0.95</v>
      </c>
      <c r="K3018" s="241">
        <v>0.808219178082192</v>
      </c>
      <c r="L3018" s="241">
        <v>0.792682926829268</v>
      </c>
      <c r="M3018" s="241">
        <v>0.771653543307087</v>
      </c>
      <c r="N3018" s="241">
        <v>0.828996282527881</v>
      </c>
      <c r="O3018" s="252">
        <v>0.798679867986799</v>
      </c>
    </row>
    <row r="3019" spans="1:15">
      <c r="A3019" s="242" t="s">
        <v>70</v>
      </c>
      <c r="B3019" s="43" t="s">
        <v>57</v>
      </c>
      <c r="C3019" s="15">
        <v>2287</v>
      </c>
      <c r="D3019" s="243">
        <v>183</v>
      </c>
      <c r="E3019" s="243">
        <v>103</v>
      </c>
      <c r="F3019" s="243">
        <v>73</v>
      </c>
      <c r="G3019" s="243">
        <v>136</v>
      </c>
      <c r="H3019" s="243">
        <v>171</v>
      </c>
      <c r="I3019" s="243">
        <v>170</v>
      </c>
      <c r="J3019" s="243">
        <v>160</v>
      </c>
      <c r="K3019" s="243">
        <v>219</v>
      </c>
      <c r="L3019" s="243">
        <v>246</v>
      </c>
      <c r="M3019" s="243">
        <v>254</v>
      </c>
      <c r="N3019" s="243">
        <v>269</v>
      </c>
      <c r="O3019" s="253">
        <v>303</v>
      </c>
    </row>
    <row r="3020" spans="1:15">
      <c r="A3020" s="240" t="s">
        <v>70</v>
      </c>
      <c r="B3020" s="47" t="s">
        <v>59</v>
      </c>
      <c r="C3020" s="15">
        <v>1910</v>
      </c>
      <c r="D3020" s="243">
        <v>168</v>
      </c>
      <c r="E3020" s="243">
        <v>86</v>
      </c>
      <c r="F3020" s="243">
        <v>54</v>
      </c>
      <c r="G3020" s="243">
        <v>109</v>
      </c>
      <c r="H3020" s="243">
        <v>162</v>
      </c>
      <c r="I3020" s="243">
        <v>146</v>
      </c>
      <c r="J3020" s="243">
        <v>152</v>
      </c>
      <c r="K3020" s="243">
        <v>177</v>
      </c>
      <c r="L3020" s="243">
        <v>195</v>
      </c>
      <c r="M3020" s="243">
        <v>196</v>
      </c>
      <c r="N3020" s="243">
        <v>223</v>
      </c>
      <c r="O3020" s="253">
        <v>242</v>
      </c>
    </row>
    <row r="3021" spans="1:15">
      <c r="A3021" s="242" t="s">
        <v>70</v>
      </c>
      <c r="B3021" s="43" t="s">
        <v>4</v>
      </c>
      <c r="C3021" s="15">
        <v>115</v>
      </c>
      <c r="D3021" s="244">
        <v>17</v>
      </c>
      <c r="E3021" s="244">
        <v>7</v>
      </c>
      <c r="F3021" s="244">
        <v>5</v>
      </c>
      <c r="G3021" s="244">
        <v>9</v>
      </c>
      <c r="H3021" s="244">
        <v>11</v>
      </c>
      <c r="I3021" s="244">
        <v>16</v>
      </c>
      <c r="J3021" s="244">
        <v>14</v>
      </c>
      <c r="K3021" s="244">
        <v>12</v>
      </c>
      <c r="L3021" s="244">
        <v>6</v>
      </c>
      <c r="M3021" s="244">
        <v>1</v>
      </c>
      <c r="N3021" s="244">
        <v>7</v>
      </c>
      <c r="O3021" s="254">
        <v>10</v>
      </c>
    </row>
    <row r="3022" spans="1:15">
      <c r="A3022" s="240" t="s">
        <v>70</v>
      </c>
      <c r="B3022" s="47" t="s">
        <v>5</v>
      </c>
      <c r="C3022" s="12">
        <v>0.0602094240837696</v>
      </c>
      <c r="D3022" s="241">
        <v>0.101190476190476</v>
      </c>
      <c r="E3022" s="241">
        <v>0.0813953488372093</v>
      </c>
      <c r="F3022" s="241">
        <v>0.0925925925925926</v>
      </c>
      <c r="G3022" s="241">
        <v>0.0825688073394495</v>
      </c>
      <c r="H3022" s="241">
        <v>0.0679012345679012</v>
      </c>
      <c r="I3022" s="241">
        <v>0.10958904109589</v>
      </c>
      <c r="J3022" s="241">
        <v>0.0921052631578947</v>
      </c>
      <c r="K3022" s="241">
        <v>0.0677966101694915</v>
      </c>
      <c r="L3022" s="241">
        <v>0.0307692307692308</v>
      </c>
      <c r="M3022" s="241">
        <v>0.00510204081632653</v>
      </c>
      <c r="N3022" s="241">
        <v>0.031390134529148</v>
      </c>
      <c r="O3022" s="252">
        <v>0.0413223140495868</v>
      </c>
    </row>
    <row r="3023" spans="1:15">
      <c r="A3023" s="242" t="s">
        <v>70</v>
      </c>
      <c r="B3023" s="43" t="s">
        <v>6</v>
      </c>
      <c r="C3023" s="15">
        <v>33</v>
      </c>
      <c r="D3023" s="244">
        <v>4</v>
      </c>
      <c r="E3023" s="244">
        <v>2</v>
      </c>
      <c r="F3023" s="244">
        <v>0</v>
      </c>
      <c r="G3023" s="244">
        <v>5</v>
      </c>
      <c r="H3023" s="244">
        <v>2</v>
      </c>
      <c r="I3023" s="244">
        <v>3</v>
      </c>
      <c r="J3023" s="244">
        <v>5</v>
      </c>
      <c r="K3023" s="244">
        <v>5</v>
      </c>
      <c r="L3023" s="244">
        <v>4</v>
      </c>
      <c r="M3023" s="244">
        <v>0</v>
      </c>
      <c r="N3023" s="244">
        <v>3</v>
      </c>
      <c r="O3023" s="254">
        <v>0</v>
      </c>
    </row>
    <row r="3024" ht="14.25" spans="1:15">
      <c r="A3024" s="245" t="s">
        <v>70</v>
      </c>
      <c r="B3024" s="52" t="s">
        <v>64</v>
      </c>
      <c r="C3024" s="19">
        <v>0.28695652173913</v>
      </c>
      <c r="D3024" s="246">
        <v>0.235294117647059</v>
      </c>
      <c r="E3024" s="246">
        <v>0.285714285714286</v>
      </c>
      <c r="F3024" s="246">
        <v>0</v>
      </c>
      <c r="G3024" s="246">
        <v>0.555555555555556</v>
      </c>
      <c r="H3024" s="246">
        <v>0.181818181818182</v>
      </c>
      <c r="I3024" s="246">
        <v>0.1875</v>
      </c>
      <c r="J3024" s="246">
        <v>0.357142857142857</v>
      </c>
      <c r="K3024" s="246">
        <v>0.416666666666667</v>
      </c>
      <c r="L3024" s="246">
        <v>0.666666666666667</v>
      </c>
      <c r="M3024" s="246">
        <v>0</v>
      </c>
      <c r="N3024" s="246">
        <v>0.428571428571429</v>
      </c>
      <c r="O3024" s="255">
        <v>0</v>
      </c>
    </row>
    <row r="3025" spans="1:15">
      <c r="A3025" s="240" t="s">
        <v>26</v>
      </c>
      <c r="B3025" s="47" t="s">
        <v>55</v>
      </c>
      <c r="C3025" s="12">
        <v>0.667072058376406</v>
      </c>
      <c r="D3025" s="241">
        <v>0.594713656387665</v>
      </c>
      <c r="E3025" s="241">
        <v>0.554098360655738</v>
      </c>
      <c r="F3025" s="241">
        <v>0.606666666666667</v>
      </c>
      <c r="G3025" s="241">
        <v>0.660869565217391</v>
      </c>
      <c r="H3025" s="241">
        <v>0.855345911949686</v>
      </c>
      <c r="I3025" s="241">
        <v>0.735135135135135</v>
      </c>
      <c r="J3025" s="241">
        <v>0.725225225225225</v>
      </c>
      <c r="K3025" s="241">
        <v>0.657458563535912</v>
      </c>
      <c r="L3025" s="241">
        <v>0.656084656084656</v>
      </c>
      <c r="M3025" s="241">
        <v>0.777777777777778</v>
      </c>
      <c r="N3025" s="241">
        <v>0.898550724637681</v>
      </c>
      <c r="O3025" s="252">
        <v>0.790697674418605</v>
      </c>
    </row>
    <row r="3026" spans="1:15">
      <c r="A3026" s="242" t="s">
        <v>26</v>
      </c>
      <c r="B3026" s="43" t="s">
        <v>57</v>
      </c>
      <c r="C3026" s="15">
        <v>3289</v>
      </c>
      <c r="D3026" s="243">
        <v>681</v>
      </c>
      <c r="E3026" s="243">
        <v>610</v>
      </c>
      <c r="F3026" s="243">
        <v>300</v>
      </c>
      <c r="G3026" s="243">
        <v>230</v>
      </c>
      <c r="H3026" s="243">
        <v>159</v>
      </c>
      <c r="I3026" s="243">
        <v>185</v>
      </c>
      <c r="J3026" s="243">
        <v>222</v>
      </c>
      <c r="K3026" s="243">
        <v>181</v>
      </c>
      <c r="L3026" s="243">
        <v>189</v>
      </c>
      <c r="M3026" s="243">
        <v>153</v>
      </c>
      <c r="N3026" s="243">
        <v>207</v>
      </c>
      <c r="O3026" s="253">
        <v>172</v>
      </c>
    </row>
    <row r="3027" spans="1:15">
      <c r="A3027" s="240" t="s">
        <v>26</v>
      </c>
      <c r="B3027" s="47" t="s">
        <v>59</v>
      </c>
      <c r="C3027" s="15">
        <v>2194</v>
      </c>
      <c r="D3027" s="243">
        <v>405</v>
      </c>
      <c r="E3027" s="243">
        <v>338</v>
      </c>
      <c r="F3027" s="243">
        <v>182</v>
      </c>
      <c r="G3027" s="243">
        <v>152</v>
      </c>
      <c r="H3027" s="243">
        <v>136</v>
      </c>
      <c r="I3027" s="243">
        <v>136</v>
      </c>
      <c r="J3027" s="243">
        <v>161</v>
      </c>
      <c r="K3027" s="243">
        <v>119</v>
      </c>
      <c r="L3027" s="243">
        <v>124</v>
      </c>
      <c r="M3027" s="243">
        <v>119</v>
      </c>
      <c r="N3027" s="243">
        <v>186</v>
      </c>
      <c r="O3027" s="253">
        <v>136</v>
      </c>
    </row>
    <row r="3028" spans="1:15">
      <c r="A3028" s="242" t="s">
        <v>26</v>
      </c>
      <c r="B3028" s="43" t="s">
        <v>4</v>
      </c>
      <c r="C3028" s="15">
        <v>21</v>
      </c>
      <c r="D3028" s="244">
        <v>2</v>
      </c>
      <c r="E3028" s="244">
        <v>1</v>
      </c>
      <c r="F3028" s="244">
        <v>1</v>
      </c>
      <c r="G3028" s="244">
        <v>0</v>
      </c>
      <c r="H3028" s="244">
        <v>1</v>
      </c>
      <c r="I3028" s="244">
        <v>1</v>
      </c>
      <c r="J3028" s="244">
        <v>2</v>
      </c>
      <c r="K3028" s="244">
        <v>1</v>
      </c>
      <c r="L3028" s="244">
        <v>3</v>
      </c>
      <c r="M3028" s="244">
        <v>4</v>
      </c>
      <c r="N3028" s="244">
        <v>3</v>
      </c>
      <c r="O3028" s="254">
        <v>2</v>
      </c>
    </row>
    <row r="3029" spans="1:15">
      <c r="A3029" s="240" t="s">
        <v>26</v>
      </c>
      <c r="B3029" s="47" t="s">
        <v>5</v>
      </c>
      <c r="C3029" s="12">
        <v>0.00957155879671832</v>
      </c>
      <c r="D3029" s="241">
        <v>0.00493827160493827</v>
      </c>
      <c r="E3029" s="241">
        <v>0.0029585798816568</v>
      </c>
      <c r="F3029" s="241">
        <v>0.00549450549450549</v>
      </c>
      <c r="G3029" s="241">
        <v>0</v>
      </c>
      <c r="H3029" s="241">
        <v>0.00735294117647059</v>
      </c>
      <c r="I3029" s="241">
        <v>0.00735294117647059</v>
      </c>
      <c r="J3029" s="241">
        <v>0.0124223602484472</v>
      </c>
      <c r="K3029" s="241">
        <v>0.00840336134453781</v>
      </c>
      <c r="L3029" s="241">
        <v>0.0241935483870968</v>
      </c>
      <c r="M3029" s="241">
        <v>0.0336134453781513</v>
      </c>
      <c r="N3029" s="241">
        <v>0.0161290322580645</v>
      </c>
      <c r="O3029" s="252">
        <v>0.0147058823529412</v>
      </c>
    </row>
    <row r="3030" spans="1:15">
      <c r="A3030" s="242" t="s">
        <v>26</v>
      </c>
      <c r="B3030" s="43" t="s">
        <v>6</v>
      </c>
      <c r="C3030" s="15">
        <v>4</v>
      </c>
      <c r="D3030" s="244">
        <v>0</v>
      </c>
      <c r="E3030" s="244">
        <v>0</v>
      </c>
      <c r="F3030" s="244">
        <v>1</v>
      </c>
      <c r="G3030" s="244">
        <v>0</v>
      </c>
      <c r="H3030" s="244">
        <v>0</v>
      </c>
      <c r="I3030" s="244">
        <v>0</v>
      </c>
      <c r="J3030" s="244">
        <v>0</v>
      </c>
      <c r="K3030" s="244">
        <v>1</v>
      </c>
      <c r="L3030" s="244">
        <v>1</v>
      </c>
      <c r="M3030" s="244">
        <v>1</v>
      </c>
      <c r="N3030" s="244">
        <v>0</v>
      </c>
      <c r="O3030" s="254">
        <v>0</v>
      </c>
    </row>
    <row r="3031" ht="14.25" spans="1:15">
      <c r="A3031" s="245" t="s">
        <v>26</v>
      </c>
      <c r="B3031" s="52" t="s">
        <v>64</v>
      </c>
      <c r="C3031" s="19">
        <v>0.19047619047619</v>
      </c>
      <c r="D3031" s="19">
        <v>0</v>
      </c>
      <c r="E3031" s="19">
        <v>0</v>
      </c>
      <c r="F3031" s="19">
        <v>1</v>
      </c>
      <c r="G3031" s="19" t="e">
        <v>#DIV/0!</v>
      </c>
      <c r="H3031" s="19">
        <v>0</v>
      </c>
      <c r="I3031" s="19">
        <v>0</v>
      </c>
      <c r="J3031" s="19">
        <v>0</v>
      </c>
      <c r="K3031" s="19">
        <v>1</v>
      </c>
      <c r="L3031" s="19">
        <v>0.333333333333333</v>
      </c>
      <c r="M3031" s="19">
        <v>0.25</v>
      </c>
      <c r="N3031" s="19">
        <v>0</v>
      </c>
      <c r="O3031" s="19">
        <v>0</v>
      </c>
    </row>
    <row r="3032" spans="1:15">
      <c r="A3032" s="240" t="s">
        <v>71</v>
      </c>
      <c r="B3032" s="47" t="s">
        <v>55</v>
      </c>
      <c r="C3032" s="12">
        <v>16.5</v>
      </c>
      <c r="D3032" s="241" t="e">
        <v>#DIV/0!</v>
      </c>
      <c r="E3032" s="241" t="e">
        <v>#DIV/0!</v>
      </c>
      <c r="F3032" s="241">
        <v>0</v>
      </c>
      <c r="G3032" s="241" t="e">
        <v>#DIV/0!</v>
      </c>
      <c r="H3032" s="241" t="e">
        <v>#DIV/0!</v>
      </c>
      <c r="I3032" s="241" t="e">
        <v>#DIV/0!</v>
      </c>
      <c r="J3032" s="241" t="e">
        <v>#DIV/0!</v>
      </c>
      <c r="K3032" s="241" t="e">
        <v>#DIV/0!</v>
      </c>
      <c r="L3032" s="241" t="e">
        <v>#DIV/0!</v>
      </c>
      <c r="M3032" s="241">
        <v>1</v>
      </c>
      <c r="N3032" s="241" t="e">
        <v>#DIV/0!</v>
      </c>
      <c r="O3032" s="252" t="e">
        <v>#DIV/0!</v>
      </c>
    </row>
    <row r="3033" spans="1:15">
      <c r="A3033" s="242" t="s">
        <v>71</v>
      </c>
      <c r="B3033" s="43" t="s">
        <v>57</v>
      </c>
      <c r="C3033" s="15">
        <v>2</v>
      </c>
      <c r="D3033" s="243">
        <v>0</v>
      </c>
      <c r="E3033" s="243">
        <v>0</v>
      </c>
      <c r="F3033" s="243">
        <v>1</v>
      </c>
      <c r="G3033" s="243">
        <v>0</v>
      </c>
      <c r="H3033" s="243">
        <v>0</v>
      </c>
      <c r="I3033" s="243">
        <v>0</v>
      </c>
      <c r="J3033" s="243">
        <v>0</v>
      </c>
      <c r="K3033" s="243">
        <v>0</v>
      </c>
      <c r="L3033" s="243">
        <v>0</v>
      </c>
      <c r="M3033" s="243">
        <v>1</v>
      </c>
      <c r="N3033" s="243">
        <v>0</v>
      </c>
      <c r="O3033" s="253">
        <v>0</v>
      </c>
    </row>
    <row r="3034" spans="1:15">
      <c r="A3034" s="240" t="s">
        <v>71</v>
      </c>
      <c r="B3034" s="47" t="s">
        <v>59</v>
      </c>
      <c r="C3034" s="15">
        <v>33</v>
      </c>
      <c r="D3034" s="243">
        <v>2</v>
      </c>
      <c r="E3034" s="243">
        <v>3</v>
      </c>
      <c r="F3034" s="243">
        <v>0</v>
      </c>
      <c r="G3034" s="243">
        <v>4</v>
      </c>
      <c r="H3034" s="243">
        <v>4</v>
      </c>
      <c r="I3034" s="243">
        <v>5</v>
      </c>
      <c r="J3034" s="243">
        <v>3</v>
      </c>
      <c r="K3034" s="243">
        <v>4</v>
      </c>
      <c r="L3034" s="243">
        <v>2</v>
      </c>
      <c r="M3034" s="243">
        <v>1</v>
      </c>
      <c r="N3034" s="243">
        <v>4</v>
      </c>
      <c r="O3034" s="253">
        <v>1</v>
      </c>
    </row>
    <row r="3035" spans="1:15">
      <c r="A3035" s="242" t="s">
        <v>71</v>
      </c>
      <c r="B3035" s="43" t="s">
        <v>4</v>
      </c>
      <c r="C3035" s="15">
        <v>18</v>
      </c>
      <c r="D3035" s="244">
        <v>2</v>
      </c>
      <c r="E3035" s="244">
        <v>1</v>
      </c>
      <c r="F3035" s="244">
        <v>1</v>
      </c>
      <c r="G3035" s="244">
        <v>0</v>
      </c>
      <c r="H3035" s="244">
        <v>1</v>
      </c>
      <c r="I3035" s="244">
        <v>2</v>
      </c>
      <c r="J3035" s="244">
        <v>2</v>
      </c>
      <c r="K3035" s="244">
        <v>2</v>
      </c>
      <c r="L3035" s="244">
        <v>1</v>
      </c>
      <c r="M3035" s="244">
        <v>1</v>
      </c>
      <c r="N3035" s="244">
        <v>3</v>
      </c>
      <c r="O3035" s="254">
        <v>2</v>
      </c>
    </row>
    <row r="3036" spans="1:15">
      <c r="A3036" s="240" t="s">
        <v>71</v>
      </c>
      <c r="B3036" s="47" t="s">
        <v>5</v>
      </c>
      <c r="C3036" s="241">
        <v>0.545454545454545</v>
      </c>
      <c r="D3036" s="241">
        <v>1</v>
      </c>
      <c r="E3036" s="241">
        <v>0.333333333333333</v>
      </c>
      <c r="F3036" s="241">
        <v>0</v>
      </c>
      <c r="G3036" s="241">
        <v>0</v>
      </c>
      <c r="H3036" s="241">
        <v>0.25</v>
      </c>
      <c r="I3036" s="241">
        <v>0.4</v>
      </c>
      <c r="J3036" s="241">
        <v>0.666666666666667</v>
      </c>
      <c r="K3036" s="241">
        <v>0.5</v>
      </c>
      <c r="L3036" s="241">
        <v>0.5</v>
      </c>
      <c r="M3036" s="241">
        <v>1</v>
      </c>
      <c r="N3036" s="241">
        <v>0.75</v>
      </c>
      <c r="O3036" s="252">
        <v>2</v>
      </c>
    </row>
    <row r="3037" spans="1:15">
      <c r="A3037" s="242" t="s">
        <v>71</v>
      </c>
      <c r="B3037" s="43" t="s">
        <v>6</v>
      </c>
      <c r="C3037" s="15">
        <v>7</v>
      </c>
      <c r="D3037" s="244">
        <v>2</v>
      </c>
      <c r="E3037" s="244">
        <v>2</v>
      </c>
      <c r="F3037" s="244">
        <v>0</v>
      </c>
      <c r="G3037" s="244">
        <v>0</v>
      </c>
      <c r="H3037" s="244">
        <v>0</v>
      </c>
      <c r="I3037" s="244">
        <v>0</v>
      </c>
      <c r="J3037" s="244">
        <v>1</v>
      </c>
      <c r="K3037" s="244">
        <v>1</v>
      </c>
      <c r="L3037" s="244">
        <v>0</v>
      </c>
      <c r="M3037" s="244">
        <v>0</v>
      </c>
      <c r="N3037" s="244">
        <v>1</v>
      </c>
      <c r="O3037" s="254">
        <v>0</v>
      </c>
    </row>
    <row r="3038" ht="14.25" spans="1:15">
      <c r="A3038" s="245" t="s">
        <v>71</v>
      </c>
      <c r="B3038" s="52" t="s">
        <v>64</v>
      </c>
      <c r="C3038" s="19">
        <v>0.388888888888889</v>
      </c>
      <c r="D3038" s="19">
        <v>1</v>
      </c>
      <c r="E3038" s="19">
        <v>2</v>
      </c>
      <c r="F3038" s="19">
        <v>0</v>
      </c>
      <c r="G3038" s="19" t="e">
        <v>#DIV/0!</v>
      </c>
      <c r="H3038" s="19">
        <v>0</v>
      </c>
      <c r="I3038" s="19">
        <v>0</v>
      </c>
      <c r="J3038" s="19">
        <v>0.5</v>
      </c>
      <c r="K3038" s="19">
        <v>0.5</v>
      </c>
      <c r="L3038" s="19">
        <v>0</v>
      </c>
      <c r="M3038" s="19">
        <v>0</v>
      </c>
      <c r="N3038" s="19">
        <v>0.333333333333333</v>
      </c>
      <c r="O3038" s="19">
        <v>0</v>
      </c>
    </row>
    <row r="3039" spans="1:15">
      <c r="A3039" s="240" t="s">
        <v>72</v>
      </c>
      <c r="B3039" s="47" t="s">
        <v>55</v>
      </c>
      <c r="C3039" s="12">
        <v>0.217173524150268</v>
      </c>
      <c r="D3039" s="241">
        <v>0.299595141700405</v>
      </c>
      <c r="E3039" s="241">
        <v>0.247787610619469</v>
      </c>
      <c r="F3039" s="241">
        <v>0.188405797101449</v>
      </c>
      <c r="G3039" s="241">
        <v>0.16793893129771</v>
      </c>
      <c r="H3039" s="241">
        <v>0.263803680981595</v>
      </c>
      <c r="I3039" s="241">
        <v>0.248756218905473</v>
      </c>
      <c r="J3039" s="241">
        <v>0.242424242424242</v>
      </c>
      <c r="K3039" s="241">
        <v>0.195121951219512</v>
      </c>
      <c r="L3039" s="241">
        <v>0.192857142857143</v>
      </c>
      <c r="M3039" s="241">
        <v>0.194539249146758</v>
      </c>
      <c r="N3039" s="241">
        <v>0.181564245810056</v>
      </c>
      <c r="O3039" s="252">
        <v>0.211494252873563</v>
      </c>
    </row>
    <row r="3040" spans="1:15">
      <c r="A3040" s="242" t="s">
        <v>72</v>
      </c>
      <c r="B3040" s="43" t="s">
        <v>57</v>
      </c>
      <c r="C3040" s="15">
        <v>2795</v>
      </c>
      <c r="D3040" s="243">
        <v>247</v>
      </c>
      <c r="E3040" s="243">
        <v>113</v>
      </c>
      <c r="F3040" s="243">
        <v>138</v>
      </c>
      <c r="G3040" s="243">
        <v>131</v>
      </c>
      <c r="H3040" s="243">
        <v>163</v>
      </c>
      <c r="I3040" s="243">
        <v>201</v>
      </c>
      <c r="J3040" s="243">
        <v>231</v>
      </c>
      <c r="K3040" s="243">
        <v>205</v>
      </c>
      <c r="L3040" s="243">
        <v>280</v>
      </c>
      <c r="M3040" s="243">
        <v>293</v>
      </c>
      <c r="N3040" s="243">
        <v>358</v>
      </c>
      <c r="O3040" s="253">
        <v>435</v>
      </c>
    </row>
    <row r="3041" spans="1:15">
      <c r="A3041" s="240" t="s">
        <v>72</v>
      </c>
      <c r="B3041" s="47" t="s">
        <v>59</v>
      </c>
      <c r="C3041" s="15">
        <v>607</v>
      </c>
      <c r="D3041" s="243">
        <v>74</v>
      </c>
      <c r="E3041" s="243">
        <v>28</v>
      </c>
      <c r="F3041" s="243">
        <v>26</v>
      </c>
      <c r="G3041" s="243">
        <v>22</v>
      </c>
      <c r="H3041" s="243">
        <v>43</v>
      </c>
      <c r="I3041" s="243">
        <v>50</v>
      </c>
      <c r="J3041" s="243">
        <v>56</v>
      </c>
      <c r="K3041" s="243">
        <v>40</v>
      </c>
      <c r="L3041" s="243">
        <v>54</v>
      </c>
      <c r="M3041" s="243">
        <v>57</v>
      </c>
      <c r="N3041" s="243">
        <v>65</v>
      </c>
      <c r="O3041" s="253">
        <v>92</v>
      </c>
    </row>
    <row r="3042" spans="1:15">
      <c r="A3042" s="242" t="s">
        <v>72</v>
      </c>
      <c r="B3042" s="43" t="s">
        <v>4</v>
      </c>
      <c r="C3042" s="15">
        <v>20</v>
      </c>
      <c r="D3042" s="244">
        <v>2</v>
      </c>
      <c r="E3042" s="244">
        <v>3</v>
      </c>
      <c r="F3042" s="244">
        <v>0</v>
      </c>
      <c r="G3042" s="244">
        <v>0</v>
      </c>
      <c r="H3042" s="244">
        <v>2</v>
      </c>
      <c r="I3042" s="244">
        <v>2</v>
      </c>
      <c r="J3042" s="244">
        <v>1</v>
      </c>
      <c r="K3042" s="244">
        <v>2</v>
      </c>
      <c r="L3042" s="244">
        <v>4</v>
      </c>
      <c r="M3042" s="244">
        <v>0</v>
      </c>
      <c r="N3042" s="244">
        <v>0</v>
      </c>
      <c r="O3042" s="254">
        <v>4</v>
      </c>
    </row>
    <row r="3043" spans="1:15">
      <c r="A3043" s="240" t="s">
        <v>72</v>
      </c>
      <c r="B3043" s="47" t="s">
        <v>5</v>
      </c>
      <c r="C3043" s="12">
        <v>0.0329489291598023</v>
      </c>
      <c r="D3043" s="241">
        <v>0.027027027027027</v>
      </c>
      <c r="E3043" s="241">
        <v>0.107142857142857</v>
      </c>
      <c r="F3043" s="241">
        <v>0</v>
      </c>
      <c r="G3043" s="241">
        <v>0</v>
      </c>
      <c r="H3043" s="241">
        <v>0.0465116279069767</v>
      </c>
      <c r="I3043" s="241">
        <v>0.04</v>
      </c>
      <c r="J3043" s="241">
        <v>0.0178571428571429</v>
      </c>
      <c r="K3043" s="241">
        <v>0.05</v>
      </c>
      <c r="L3043" s="241">
        <v>0.0740740740740741</v>
      </c>
      <c r="M3043" s="241">
        <v>0</v>
      </c>
      <c r="N3043" s="241">
        <v>0</v>
      </c>
      <c r="O3043" s="252">
        <v>0.0434782608695652</v>
      </c>
    </row>
    <row r="3044" spans="1:15">
      <c r="A3044" s="242" t="s">
        <v>72</v>
      </c>
      <c r="B3044" s="43" t="s">
        <v>6</v>
      </c>
      <c r="C3044" s="15">
        <v>12</v>
      </c>
      <c r="D3044" s="244">
        <v>2</v>
      </c>
      <c r="E3044" s="244">
        <v>0</v>
      </c>
      <c r="F3044" s="244">
        <v>0</v>
      </c>
      <c r="G3044" s="244">
        <v>0</v>
      </c>
      <c r="H3044" s="244">
        <v>1</v>
      </c>
      <c r="I3044" s="244">
        <v>2</v>
      </c>
      <c r="J3044" s="244">
        <v>3</v>
      </c>
      <c r="K3044" s="244">
        <v>1</v>
      </c>
      <c r="L3044" s="244">
        <v>0</v>
      </c>
      <c r="M3044" s="244">
        <v>1</v>
      </c>
      <c r="N3044" s="244">
        <v>0</v>
      </c>
      <c r="O3044" s="254">
        <v>2</v>
      </c>
    </row>
    <row r="3045" ht="14.25" spans="1:15">
      <c r="A3045" s="245" t="s">
        <v>72</v>
      </c>
      <c r="B3045" s="52" t="s">
        <v>64</v>
      </c>
      <c r="C3045" s="19">
        <v>0.6</v>
      </c>
      <c r="D3045" s="19">
        <v>1</v>
      </c>
      <c r="E3045" s="19">
        <v>0</v>
      </c>
      <c r="F3045" s="19" t="e">
        <v>#DIV/0!</v>
      </c>
      <c r="G3045" s="19" t="e">
        <v>#DIV/0!</v>
      </c>
      <c r="H3045" s="19">
        <v>0.5</v>
      </c>
      <c r="I3045" s="19">
        <v>1</v>
      </c>
      <c r="J3045" s="19">
        <v>3</v>
      </c>
      <c r="K3045" s="19">
        <v>0.5</v>
      </c>
      <c r="L3045" s="19">
        <v>0</v>
      </c>
      <c r="M3045" s="19" t="e">
        <v>#DIV/0!</v>
      </c>
      <c r="N3045" s="19" t="e">
        <v>#DIV/0!</v>
      </c>
      <c r="O3045" s="19">
        <v>0.5</v>
      </c>
    </row>
    <row r="3046" ht="14.25" spans="1:15">
      <c r="A3046" s="237">
        <v>45066</v>
      </c>
      <c r="B3046" s="237"/>
      <c r="C3046" s="237"/>
      <c r="D3046" s="237"/>
      <c r="E3046" s="237"/>
      <c r="F3046" s="237"/>
      <c r="G3046" s="237"/>
      <c r="H3046" s="237"/>
      <c r="I3046" s="237"/>
      <c r="J3046" s="237"/>
      <c r="K3046" s="237"/>
      <c r="L3046" s="237"/>
      <c r="M3046" s="237"/>
      <c r="N3046" s="237"/>
      <c r="O3046" s="237"/>
    </row>
    <row r="3047" spans="1:15">
      <c r="A3047" s="56" t="s">
        <v>1</v>
      </c>
      <c r="B3047" s="238"/>
      <c r="C3047" s="8" t="s">
        <v>42</v>
      </c>
      <c r="D3047" s="239" t="s">
        <v>43</v>
      </c>
      <c r="E3047" s="239" t="s">
        <v>44</v>
      </c>
      <c r="F3047" s="239" t="s">
        <v>45</v>
      </c>
      <c r="G3047" s="239" t="s">
        <v>46</v>
      </c>
      <c r="H3047" s="239" t="s">
        <v>47</v>
      </c>
      <c r="I3047" s="239" t="s">
        <v>48</v>
      </c>
      <c r="J3047" s="239" t="s">
        <v>49</v>
      </c>
      <c r="K3047" s="239" t="s">
        <v>50</v>
      </c>
      <c r="L3047" s="239" t="s">
        <v>51</v>
      </c>
      <c r="M3047" s="239" t="s">
        <v>52</v>
      </c>
      <c r="N3047" s="239" t="s">
        <v>53</v>
      </c>
      <c r="O3047" s="251" t="s">
        <v>54</v>
      </c>
    </row>
    <row r="3048" spans="1:15">
      <c r="A3048" s="240" t="s">
        <v>22</v>
      </c>
      <c r="B3048" s="47" t="s">
        <v>55</v>
      </c>
      <c r="C3048" s="12">
        <v>0.429425287356322</v>
      </c>
      <c r="D3048" s="241">
        <v>0.362098138747885</v>
      </c>
      <c r="E3048" s="241">
        <v>0.358267716535433</v>
      </c>
      <c r="F3048" s="241">
        <v>0.52112676056338</v>
      </c>
      <c r="G3048" s="241">
        <v>0.446700507614213</v>
      </c>
      <c r="H3048" s="241">
        <v>0.464071856287425</v>
      </c>
      <c r="I3048" s="241">
        <v>0.478260869565217</v>
      </c>
      <c r="J3048" s="241">
        <v>0.431266846361186</v>
      </c>
      <c r="K3048" s="241">
        <v>0.447941888619855</v>
      </c>
      <c r="L3048" s="241">
        <v>0.439153439153439</v>
      </c>
      <c r="M3048" s="241">
        <v>0.439678284182306</v>
      </c>
      <c r="N3048" s="241">
        <v>0.439490445859873</v>
      </c>
      <c r="O3048" s="252">
        <v>0.416666666666667</v>
      </c>
    </row>
    <row r="3049" spans="1:15">
      <c r="A3049" s="242" t="s">
        <v>22</v>
      </c>
      <c r="B3049" s="43" t="s">
        <v>57</v>
      </c>
      <c r="C3049" s="15">
        <v>4350</v>
      </c>
      <c r="D3049" s="243">
        <v>591</v>
      </c>
      <c r="E3049" s="243">
        <v>254</v>
      </c>
      <c r="F3049" s="243">
        <v>142</v>
      </c>
      <c r="G3049" s="243">
        <v>197</v>
      </c>
      <c r="H3049" s="243">
        <v>334</v>
      </c>
      <c r="I3049" s="243">
        <v>322</v>
      </c>
      <c r="J3049" s="243">
        <v>371</v>
      </c>
      <c r="K3049" s="243">
        <v>413</v>
      </c>
      <c r="L3049" s="243">
        <v>378</v>
      </c>
      <c r="M3049" s="243">
        <v>373</v>
      </c>
      <c r="N3049" s="243">
        <v>471</v>
      </c>
      <c r="O3049" s="253">
        <v>504</v>
      </c>
    </row>
    <row r="3050" spans="1:15">
      <c r="A3050" s="240" t="s">
        <v>22</v>
      </c>
      <c r="B3050" s="47" t="s">
        <v>59</v>
      </c>
      <c r="C3050" s="15">
        <v>1868</v>
      </c>
      <c r="D3050" s="243">
        <v>214</v>
      </c>
      <c r="E3050" s="243">
        <v>91</v>
      </c>
      <c r="F3050" s="243">
        <v>74</v>
      </c>
      <c r="G3050" s="243">
        <v>88</v>
      </c>
      <c r="H3050" s="243">
        <v>155</v>
      </c>
      <c r="I3050" s="243">
        <v>154</v>
      </c>
      <c r="J3050" s="243">
        <v>160</v>
      </c>
      <c r="K3050" s="243">
        <v>185</v>
      </c>
      <c r="L3050" s="243">
        <v>166</v>
      </c>
      <c r="M3050" s="243">
        <v>164</v>
      </c>
      <c r="N3050" s="243">
        <v>207</v>
      </c>
      <c r="O3050" s="253">
        <v>210</v>
      </c>
    </row>
    <row r="3051" spans="1:15">
      <c r="A3051" s="242" t="s">
        <v>22</v>
      </c>
      <c r="B3051" s="43" t="s">
        <v>4</v>
      </c>
      <c r="C3051" s="15">
        <v>189</v>
      </c>
      <c r="D3051" s="244">
        <v>22</v>
      </c>
      <c r="E3051" s="244">
        <v>10</v>
      </c>
      <c r="F3051" s="244">
        <v>6</v>
      </c>
      <c r="G3051" s="244">
        <v>8</v>
      </c>
      <c r="H3051" s="244">
        <v>15</v>
      </c>
      <c r="I3051" s="244">
        <v>17</v>
      </c>
      <c r="J3051" s="244">
        <v>15</v>
      </c>
      <c r="K3051" s="244">
        <v>19</v>
      </c>
      <c r="L3051" s="244">
        <v>18</v>
      </c>
      <c r="M3051" s="244">
        <v>15</v>
      </c>
      <c r="N3051" s="244">
        <v>17</v>
      </c>
      <c r="O3051" s="254">
        <v>27</v>
      </c>
    </row>
    <row r="3052" spans="1:15">
      <c r="A3052" s="240" t="s">
        <v>22</v>
      </c>
      <c r="B3052" s="47" t="s">
        <v>5</v>
      </c>
      <c r="C3052" s="12">
        <v>0.101177730192719</v>
      </c>
      <c r="D3052" s="241">
        <v>0.102803738317757</v>
      </c>
      <c r="E3052" s="241">
        <v>0.10989010989011</v>
      </c>
      <c r="F3052" s="241">
        <v>0.0810810810810811</v>
      </c>
      <c r="G3052" s="241">
        <v>0.0909090909090909</v>
      </c>
      <c r="H3052" s="241">
        <v>0.0967741935483871</v>
      </c>
      <c r="I3052" s="241">
        <v>0.11038961038961</v>
      </c>
      <c r="J3052" s="241">
        <v>0.09375</v>
      </c>
      <c r="K3052" s="241">
        <v>0.102702702702703</v>
      </c>
      <c r="L3052" s="241">
        <v>0.108433734939759</v>
      </c>
      <c r="M3052" s="241">
        <v>0.0914634146341463</v>
      </c>
      <c r="N3052" s="241">
        <v>0.0821256038647343</v>
      </c>
      <c r="O3052" s="252">
        <v>0.128571428571429</v>
      </c>
    </row>
    <row r="3053" spans="1:15">
      <c r="A3053" s="242" t="s">
        <v>22</v>
      </c>
      <c r="B3053" s="43" t="s">
        <v>6</v>
      </c>
      <c r="C3053" s="15">
        <v>67</v>
      </c>
      <c r="D3053" s="244">
        <v>6</v>
      </c>
      <c r="E3053" s="244">
        <v>1</v>
      </c>
      <c r="F3053" s="244">
        <v>3</v>
      </c>
      <c r="G3053" s="244">
        <v>5</v>
      </c>
      <c r="H3053" s="244">
        <v>6</v>
      </c>
      <c r="I3053" s="244">
        <v>11</v>
      </c>
      <c r="J3053" s="244">
        <v>6</v>
      </c>
      <c r="K3053" s="244">
        <v>5</v>
      </c>
      <c r="L3053" s="244">
        <v>8</v>
      </c>
      <c r="M3053" s="244">
        <v>6</v>
      </c>
      <c r="N3053" s="244">
        <v>4</v>
      </c>
      <c r="O3053" s="254">
        <v>6</v>
      </c>
    </row>
    <row r="3054" ht="14.25" spans="1:15">
      <c r="A3054" s="245" t="s">
        <v>22</v>
      </c>
      <c r="B3054" s="52" t="s">
        <v>64</v>
      </c>
      <c r="C3054" s="19">
        <v>0.354497354497354</v>
      </c>
      <c r="D3054" s="246">
        <v>0.272727272727273</v>
      </c>
      <c r="E3054" s="246">
        <v>0.1</v>
      </c>
      <c r="F3054" s="246">
        <v>0.5</v>
      </c>
      <c r="G3054" s="246">
        <v>0.625</v>
      </c>
      <c r="H3054" s="246">
        <v>0.4</v>
      </c>
      <c r="I3054" s="246">
        <v>0.647058823529412</v>
      </c>
      <c r="J3054" s="246">
        <v>0.4</v>
      </c>
      <c r="K3054" s="246">
        <v>0.263157894736842</v>
      </c>
      <c r="L3054" s="246">
        <v>0.444444444444444</v>
      </c>
      <c r="M3054" s="246">
        <v>0.4</v>
      </c>
      <c r="N3054" s="246">
        <v>0.235294117647059</v>
      </c>
      <c r="O3054" s="255">
        <v>0.222222222222222</v>
      </c>
    </row>
    <row r="3055" spans="1:15">
      <c r="A3055" s="247" t="s">
        <v>66</v>
      </c>
      <c r="B3055" s="248" t="s">
        <v>55</v>
      </c>
      <c r="C3055" s="12">
        <v>0.102425876010782</v>
      </c>
      <c r="D3055" s="249">
        <v>0.0602678571428571</v>
      </c>
      <c r="E3055" s="249">
        <v>0.0431266846361186</v>
      </c>
      <c r="F3055" s="249">
        <v>0.0358744394618834</v>
      </c>
      <c r="G3055" s="249">
        <v>0.0734463276836158</v>
      </c>
      <c r="H3055" s="249">
        <v>0.119760479041916</v>
      </c>
      <c r="I3055" s="249">
        <v>0.159420289855072</v>
      </c>
      <c r="J3055" s="249">
        <v>0.141666666666667</v>
      </c>
      <c r="K3055" s="249">
        <v>0.137404580152672</v>
      </c>
      <c r="L3055" s="249">
        <v>0.226415094339623</v>
      </c>
      <c r="M3055" s="249">
        <v>0.145833333333333</v>
      </c>
      <c r="N3055" s="249">
        <v>0.170940170940171</v>
      </c>
      <c r="O3055" s="256">
        <v>0.21969696969697</v>
      </c>
    </row>
    <row r="3056" spans="1:15">
      <c r="A3056" s="242" t="s">
        <v>66</v>
      </c>
      <c r="B3056" s="43" t="s">
        <v>57</v>
      </c>
      <c r="C3056" s="15">
        <v>2226</v>
      </c>
      <c r="D3056" s="243">
        <v>448</v>
      </c>
      <c r="E3056" s="243">
        <v>371</v>
      </c>
      <c r="F3056" s="243">
        <v>223</v>
      </c>
      <c r="G3056" s="243">
        <v>177</v>
      </c>
      <c r="H3056" s="243">
        <v>167</v>
      </c>
      <c r="I3056" s="243">
        <v>138</v>
      </c>
      <c r="J3056" s="243">
        <v>120</v>
      </c>
      <c r="K3056" s="243">
        <v>131</v>
      </c>
      <c r="L3056" s="243">
        <v>106</v>
      </c>
      <c r="M3056" s="243">
        <v>96</v>
      </c>
      <c r="N3056" s="243">
        <v>117</v>
      </c>
      <c r="O3056" s="253">
        <v>132</v>
      </c>
    </row>
    <row r="3057" spans="1:15">
      <c r="A3057" s="240" t="s">
        <v>66</v>
      </c>
      <c r="B3057" s="47" t="s">
        <v>59</v>
      </c>
      <c r="C3057" s="15">
        <v>228</v>
      </c>
      <c r="D3057" s="243">
        <v>27</v>
      </c>
      <c r="E3057" s="243">
        <v>16</v>
      </c>
      <c r="F3057" s="243">
        <v>8</v>
      </c>
      <c r="G3057" s="243">
        <v>13</v>
      </c>
      <c r="H3057" s="243">
        <v>20</v>
      </c>
      <c r="I3057" s="243">
        <v>22</v>
      </c>
      <c r="J3057" s="243">
        <v>17</v>
      </c>
      <c r="K3057" s="243">
        <v>18</v>
      </c>
      <c r="L3057" s="243">
        <v>24</v>
      </c>
      <c r="M3057" s="243">
        <v>14</v>
      </c>
      <c r="N3057" s="243">
        <v>20</v>
      </c>
      <c r="O3057" s="253">
        <v>29</v>
      </c>
    </row>
    <row r="3058" spans="1:15">
      <c r="A3058" s="242" t="s">
        <v>66</v>
      </c>
      <c r="B3058" s="43" t="s">
        <v>4</v>
      </c>
      <c r="C3058" s="15">
        <v>15</v>
      </c>
      <c r="D3058" s="244">
        <v>1</v>
      </c>
      <c r="E3058" s="244">
        <v>0</v>
      </c>
      <c r="F3058" s="244">
        <v>0</v>
      </c>
      <c r="G3058" s="244">
        <v>0</v>
      </c>
      <c r="H3058" s="244">
        <v>2</v>
      </c>
      <c r="I3058" s="244">
        <v>0</v>
      </c>
      <c r="J3058" s="244">
        <v>1</v>
      </c>
      <c r="K3058" s="244">
        <v>1</v>
      </c>
      <c r="L3058" s="244">
        <v>2</v>
      </c>
      <c r="M3058" s="244">
        <v>1</v>
      </c>
      <c r="N3058" s="244">
        <v>5</v>
      </c>
      <c r="O3058" s="254">
        <v>2</v>
      </c>
    </row>
    <row r="3059" spans="1:15">
      <c r="A3059" s="240" t="s">
        <v>66</v>
      </c>
      <c r="B3059" s="47" t="s">
        <v>5</v>
      </c>
      <c r="C3059" s="12">
        <v>0.0657894736842105</v>
      </c>
      <c r="D3059" s="241">
        <v>0.037037037037037</v>
      </c>
      <c r="E3059" s="241">
        <v>0</v>
      </c>
      <c r="F3059" s="241">
        <v>0</v>
      </c>
      <c r="G3059" s="241">
        <v>0</v>
      </c>
      <c r="H3059" s="241">
        <v>0.1</v>
      </c>
      <c r="I3059" s="241">
        <v>0</v>
      </c>
      <c r="J3059" s="241">
        <v>0.0588235294117647</v>
      </c>
      <c r="K3059" s="241">
        <v>0.0555555555555556</v>
      </c>
      <c r="L3059" s="241">
        <v>0.0833333333333333</v>
      </c>
      <c r="M3059" s="241">
        <v>0.0714285714285714</v>
      </c>
      <c r="N3059" s="241">
        <v>0.25</v>
      </c>
      <c r="O3059" s="252">
        <v>0.0689655172413793</v>
      </c>
    </row>
    <row r="3060" spans="1:15">
      <c r="A3060" s="242" t="s">
        <v>66</v>
      </c>
      <c r="B3060" s="43" t="s">
        <v>6</v>
      </c>
      <c r="C3060" s="15">
        <v>5</v>
      </c>
      <c r="D3060" s="244">
        <v>0</v>
      </c>
      <c r="E3060" s="244">
        <v>0</v>
      </c>
      <c r="F3060" s="244">
        <v>0</v>
      </c>
      <c r="G3060" s="244">
        <v>0</v>
      </c>
      <c r="H3060" s="244">
        <v>0</v>
      </c>
      <c r="I3060" s="244">
        <v>0</v>
      </c>
      <c r="J3060" s="244">
        <v>1</v>
      </c>
      <c r="K3060" s="244">
        <v>0</v>
      </c>
      <c r="L3060" s="244">
        <v>1</v>
      </c>
      <c r="M3060" s="244">
        <v>1</v>
      </c>
      <c r="N3060" s="244">
        <v>0</v>
      </c>
      <c r="O3060" s="254">
        <v>2</v>
      </c>
    </row>
    <row r="3061" ht="14.25" spans="1:15">
      <c r="A3061" s="245" t="s">
        <v>66</v>
      </c>
      <c r="B3061" s="52" t="s">
        <v>64</v>
      </c>
      <c r="C3061" s="19">
        <v>0.333333333333333</v>
      </c>
      <c r="D3061" s="246">
        <v>0</v>
      </c>
      <c r="E3061" s="246">
        <v>0</v>
      </c>
      <c r="F3061" s="246">
        <v>0</v>
      </c>
      <c r="G3061" s="246">
        <v>0</v>
      </c>
      <c r="H3061" s="246">
        <v>0</v>
      </c>
      <c r="I3061" s="246">
        <v>0</v>
      </c>
      <c r="J3061" s="246">
        <v>1</v>
      </c>
      <c r="K3061" s="246">
        <v>0</v>
      </c>
      <c r="L3061" s="246">
        <v>0.5</v>
      </c>
      <c r="M3061" s="246">
        <v>1</v>
      </c>
      <c r="N3061" s="246">
        <v>0</v>
      </c>
      <c r="O3061" s="255">
        <v>1</v>
      </c>
    </row>
    <row r="3062" spans="1:15">
      <c r="A3062" s="240" t="s">
        <v>67</v>
      </c>
      <c r="B3062" s="47" t="s">
        <v>55</v>
      </c>
      <c r="C3062" s="12">
        <v>0.56981981981982</v>
      </c>
      <c r="D3062" s="241">
        <v>0.461538461538462</v>
      </c>
      <c r="E3062" s="241">
        <v>0.657142857142857</v>
      </c>
      <c r="F3062" s="241">
        <v>1.08333333333333</v>
      </c>
      <c r="G3062" s="241">
        <v>0.619047619047619</v>
      </c>
      <c r="H3062" s="241">
        <v>0.575757575757576</v>
      </c>
      <c r="I3062" s="241">
        <v>0.533333333333333</v>
      </c>
      <c r="J3062" s="241">
        <v>0.621621621621622</v>
      </c>
      <c r="K3062" s="241">
        <v>0.456521739130435</v>
      </c>
      <c r="L3062" s="241">
        <v>0.540540540540541</v>
      </c>
      <c r="M3062" s="241">
        <v>0.478260869565217</v>
      </c>
      <c r="N3062" s="241">
        <v>0.590909090909091</v>
      </c>
      <c r="O3062" s="252">
        <v>0.694444444444444</v>
      </c>
    </row>
    <row r="3063" spans="1:15">
      <c r="A3063" s="242" t="s">
        <v>67</v>
      </c>
      <c r="B3063" s="43" t="s">
        <v>57</v>
      </c>
      <c r="C3063" s="15">
        <v>444</v>
      </c>
      <c r="D3063" s="243">
        <v>52</v>
      </c>
      <c r="E3063" s="243">
        <v>35</v>
      </c>
      <c r="F3063" s="243">
        <v>12</v>
      </c>
      <c r="G3063" s="243">
        <v>21</v>
      </c>
      <c r="H3063" s="243">
        <v>33</v>
      </c>
      <c r="I3063" s="243">
        <v>45</v>
      </c>
      <c r="J3063" s="243">
        <v>37</v>
      </c>
      <c r="K3063" s="243">
        <v>46</v>
      </c>
      <c r="L3063" s="243">
        <v>37</v>
      </c>
      <c r="M3063" s="243">
        <v>46</v>
      </c>
      <c r="N3063" s="243">
        <v>44</v>
      </c>
      <c r="O3063" s="253">
        <v>36</v>
      </c>
    </row>
    <row r="3064" spans="1:15">
      <c r="A3064" s="240" t="s">
        <v>67</v>
      </c>
      <c r="B3064" s="47" t="s">
        <v>59</v>
      </c>
      <c r="C3064" s="15">
        <v>253</v>
      </c>
      <c r="D3064" s="243">
        <v>24</v>
      </c>
      <c r="E3064" s="243">
        <v>23</v>
      </c>
      <c r="F3064" s="243">
        <v>13</v>
      </c>
      <c r="G3064" s="243">
        <v>13</v>
      </c>
      <c r="H3064" s="243">
        <v>19</v>
      </c>
      <c r="I3064" s="243">
        <v>24</v>
      </c>
      <c r="J3064" s="243">
        <v>23</v>
      </c>
      <c r="K3064" s="243">
        <v>21</v>
      </c>
      <c r="L3064" s="243">
        <v>20</v>
      </c>
      <c r="M3064" s="243">
        <v>22</v>
      </c>
      <c r="N3064" s="243">
        <v>26</v>
      </c>
      <c r="O3064" s="253">
        <v>25</v>
      </c>
    </row>
    <row r="3065" spans="1:15">
      <c r="A3065" s="242" t="s">
        <v>67</v>
      </c>
      <c r="B3065" s="43" t="s">
        <v>4</v>
      </c>
      <c r="C3065" s="15">
        <v>11</v>
      </c>
      <c r="D3065" s="244">
        <v>0</v>
      </c>
      <c r="E3065" s="244">
        <v>2</v>
      </c>
      <c r="F3065" s="244">
        <v>1</v>
      </c>
      <c r="G3065" s="244">
        <v>1</v>
      </c>
      <c r="H3065" s="244">
        <v>0</v>
      </c>
      <c r="I3065" s="244">
        <v>1</v>
      </c>
      <c r="J3065" s="244">
        <v>0</v>
      </c>
      <c r="K3065" s="244">
        <v>0</v>
      </c>
      <c r="L3065" s="244">
        <v>3</v>
      </c>
      <c r="M3065" s="244">
        <v>1</v>
      </c>
      <c r="N3065" s="244">
        <v>0</v>
      </c>
      <c r="O3065" s="254">
        <v>2</v>
      </c>
    </row>
    <row r="3066" spans="1:15">
      <c r="A3066" s="240" t="s">
        <v>67</v>
      </c>
      <c r="B3066" s="47" t="s">
        <v>5</v>
      </c>
      <c r="C3066" s="12">
        <v>0.0434782608695652</v>
      </c>
      <c r="D3066" s="241">
        <v>0</v>
      </c>
      <c r="E3066" s="241">
        <v>0.0869565217391304</v>
      </c>
      <c r="F3066" s="241">
        <v>0.0769230769230769</v>
      </c>
      <c r="G3066" s="241">
        <v>0.0769230769230769</v>
      </c>
      <c r="H3066" s="241">
        <v>0</v>
      </c>
      <c r="I3066" s="241">
        <v>0.0416666666666667</v>
      </c>
      <c r="J3066" s="241">
        <v>0</v>
      </c>
      <c r="K3066" s="241">
        <v>0</v>
      </c>
      <c r="L3066" s="241">
        <v>0.15</v>
      </c>
      <c r="M3066" s="241">
        <v>0.0454545454545455</v>
      </c>
      <c r="N3066" s="241">
        <v>0</v>
      </c>
      <c r="O3066" s="252">
        <v>0.08</v>
      </c>
    </row>
    <row r="3067" spans="1:15">
      <c r="A3067" s="242" t="s">
        <v>67</v>
      </c>
      <c r="B3067" s="43" t="s">
        <v>6</v>
      </c>
      <c r="C3067" s="15">
        <v>6</v>
      </c>
      <c r="D3067" s="244">
        <v>0</v>
      </c>
      <c r="E3067" s="244">
        <v>0</v>
      </c>
      <c r="F3067" s="244">
        <v>0</v>
      </c>
      <c r="G3067" s="244">
        <v>0</v>
      </c>
      <c r="H3067" s="244">
        <v>1</v>
      </c>
      <c r="I3067" s="244">
        <v>0</v>
      </c>
      <c r="J3067" s="244">
        <v>0</v>
      </c>
      <c r="K3067" s="244">
        <v>1</v>
      </c>
      <c r="L3067" s="244">
        <v>3</v>
      </c>
      <c r="M3067" s="244">
        <v>1</v>
      </c>
      <c r="N3067" s="244">
        <v>0</v>
      </c>
      <c r="O3067" s="254">
        <v>0</v>
      </c>
    </row>
    <row r="3068" ht="14.25" spans="1:15">
      <c r="A3068" s="245" t="s">
        <v>67</v>
      </c>
      <c r="B3068" s="52" t="s">
        <v>64</v>
      </c>
      <c r="C3068" s="19">
        <v>0.545454545454545</v>
      </c>
      <c r="D3068" s="246">
        <v>0</v>
      </c>
      <c r="E3068" s="246">
        <v>0</v>
      </c>
      <c r="F3068" s="246">
        <v>0</v>
      </c>
      <c r="G3068" s="246">
        <v>0</v>
      </c>
      <c r="H3068" s="246">
        <v>0</v>
      </c>
      <c r="I3068" s="246">
        <v>0</v>
      </c>
      <c r="J3068" s="246">
        <v>0</v>
      </c>
      <c r="K3068" s="246">
        <v>0</v>
      </c>
      <c r="L3068" s="246">
        <v>1</v>
      </c>
      <c r="M3068" s="246">
        <v>1</v>
      </c>
      <c r="N3068" s="246">
        <v>0</v>
      </c>
      <c r="O3068" s="255">
        <v>0</v>
      </c>
    </row>
    <row r="3069" spans="1:15">
      <c r="A3069" s="240" t="s">
        <v>68</v>
      </c>
      <c r="B3069" s="47" t="s">
        <v>55</v>
      </c>
      <c r="C3069" s="12">
        <v>0.192422192151556</v>
      </c>
      <c r="D3069" s="241">
        <v>0.193146417445483</v>
      </c>
      <c r="E3069" s="241">
        <v>0.204968944099379</v>
      </c>
      <c r="F3069" s="241">
        <v>0.313868613138686</v>
      </c>
      <c r="G3069" s="241">
        <v>0.243589743589744</v>
      </c>
      <c r="H3069" s="241">
        <v>0.247457627118644</v>
      </c>
      <c r="I3069" s="241">
        <v>0.207746478873239</v>
      </c>
      <c r="J3069" s="241">
        <v>0.154696132596685</v>
      </c>
      <c r="K3069" s="241">
        <v>0.154822335025381</v>
      </c>
      <c r="L3069" s="241">
        <v>0.2</v>
      </c>
      <c r="M3069" s="241">
        <v>0.231003039513678</v>
      </c>
      <c r="N3069" s="241">
        <v>0.154897494305239</v>
      </c>
      <c r="O3069" s="252">
        <v>0.154175588865096</v>
      </c>
    </row>
    <row r="3070" spans="1:15">
      <c r="A3070" s="242" t="s">
        <v>68</v>
      </c>
      <c r="B3070" s="43" t="s">
        <v>57</v>
      </c>
      <c r="C3070" s="15">
        <v>3695</v>
      </c>
      <c r="D3070" s="243">
        <v>321</v>
      </c>
      <c r="E3070" s="243">
        <v>161</v>
      </c>
      <c r="F3070" s="243">
        <v>137</v>
      </c>
      <c r="G3070" s="243">
        <v>156</v>
      </c>
      <c r="H3070" s="243">
        <v>295</v>
      </c>
      <c r="I3070" s="243">
        <v>284</v>
      </c>
      <c r="J3070" s="243">
        <v>362</v>
      </c>
      <c r="K3070" s="243">
        <v>394</v>
      </c>
      <c r="L3070" s="243">
        <v>350</v>
      </c>
      <c r="M3070" s="243">
        <v>329</v>
      </c>
      <c r="N3070" s="243">
        <v>439</v>
      </c>
      <c r="O3070" s="253">
        <v>467</v>
      </c>
    </row>
    <row r="3071" spans="1:15">
      <c r="A3071" s="240" t="s">
        <v>68</v>
      </c>
      <c r="B3071" s="47" t="s">
        <v>59</v>
      </c>
      <c r="C3071" s="15">
        <v>711</v>
      </c>
      <c r="D3071" s="243">
        <v>62</v>
      </c>
      <c r="E3071" s="243">
        <v>33</v>
      </c>
      <c r="F3071" s="243">
        <v>43</v>
      </c>
      <c r="G3071" s="243">
        <v>38</v>
      </c>
      <c r="H3071" s="243">
        <v>73</v>
      </c>
      <c r="I3071" s="243">
        <v>59</v>
      </c>
      <c r="J3071" s="243">
        <v>56</v>
      </c>
      <c r="K3071" s="243">
        <v>61</v>
      </c>
      <c r="L3071" s="243">
        <v>70</v>
      </c>
      <c r="M3071" s="243">
        <v>76</v>
      </c>
      <c r="N3071" s="243">
        <v>68</v>
      </c>
      <c r="O3071" s="253">
        <v>72</v>
      </c>
    </row>
    <row r="3072" spans="1:15">
      <c r="A3072" s="242" t="s">
        <v>68</v>
      </c>
      <c r="B3072" s="43" t="s">
        <v>4</v>
      </c>
      <c r="C3072" s="15">
        <v>32</v>
      </c>
      <c r="D3072" s="244">
        <v>2</v>
      </c>
      <c r="E3072" s="244">
        <v>1</v>
      </c>
      <c r="F3072" s="244">
        <v>4</v>
      </c>
      <c r="G3072" s="244">
        <v>2</v>
      </c>
      <c r="H3072" s="244">
        <v>3</v>
      </c>
      <c r="I3072" s="244">
        <v>1</v>
      </c>
      <c r="J3072" s="244">
        <v>1</v>
      </c>
      <c r="K3072" s="244">
        <v>2</v>
      </c>
      <c r="L3072" s="244">
        <v>2</v>
      </c>
      <c r="M3072" s="244">
        <v>6</v>
      </c>
      <c r="N3072" s="244">
        <v>4</v>
      </c>
      <c r="O3072" s="254">
        <v>4</v>
      </c>
    </row>
    <row r="3073" spans="1:15">
      <c r="A3073" s="240" t="s">
        <v>68</v>
      </c>
      <c r="B3073" s="47" t="s">
        <v>5</v>
      </c>
      <c r="C3073" s="12">
        <v>0.0450070323488045</v>
      </c>
      <c r="D3073" s="241">
        <v>0.032258064516129</v>
      </c>
      <c r="E3073" s="241">
        <v>0.0303030303030303</v>
      </c>
      <c r="F3073" s="241">
        <v>0.0930232558139535</v>
      </c>
      <c r="G3073" s="241">
        <v>0.0526315789473684</v>
      </c>
      <c r="H3073" s="241">
        <v>0.0410958904109589</v>
      </c>
      <c r="I3073" s="241">
        <v>0.0169491525423729</v>
      </c>
      <c r="J3073" s="241">
        <v>0.0178571428571429</v>
      </c>
      <c r="K3073" s="241">
        <v>0.0327868852459016</v>
      </c>
      <c r="L3073" s="241">
        <v>0.0285714285714286</v>
      </c>
      <c r="M3073" s="241">
        <v>0.0789473684210526</v>
      </c>
      <c r="N3073" s="241">
        <v>0.0588235294117647</v>
      </c>
      <c r="O3073" s="252">
        <v>0.0555555555555556</v>
      </c>
    </row>
    <row r="3074" spans="1:15">
      <c r="A3074" s="242" t="s">
        <v>68</v>
      </c>
      <c r="B3074" s="43" t="s">
        <v>6</v>
      </c>
      <c r="C3074" s="15">
        <v>18</v>
      </c>
      <c r="D3074" s="244">
        <v>1</v>
      </c>
      <c r="E3074" s="244">
        <v>0</v>
      </c>
      <c r="F3074" s="244">
        <v>3</v>
      </c>
      <c r="G3074" s="244">
        <v>0</v>
      </c>
      <c r="H3074" s="244">
        <v>2</v>
      </c>
      <c r="I3074" s="244">
        <v>1</v>
      </c>
      <c r="J3074" s="244">
        <v>0</v>
      </c>
      <c r="K3074" s="244">
        <v>0</v>
      </c>
      <c r="L3074" s="244">
        <v>3</v>
      </c>
      <c r="M3074" s="244">
        <v>3</v>
      </c>
      <c r="N3074" s="244">
        <v>5</v>
      </c>
      <c r="O3074" s="254">
        <v>0</v>
      </c>
    </row>
    <row r="3075" ht="14.25" spans="1:15">
      <c r="A3075" s="245" t="s">
        <v>68</v>
      </c>
      <c r="B3075" s="52" t="s">
        <v>64</v>
      </c>
      <c r="C3075" s="19">
        <v>0.5625</v>
      </c>
      <c r="D3075" s="246">
        <v>0.5</v>
      </c>
      <c r="E3075" s="246">
        <v>0</v>
      </c>
      <c r="F3075" s="246">
        <v>0.75</v>
      </c>
      <c r="G3075" s="246">
        <v>0</v>
      </c>
      <c r="H3075" s="246">
        <v>0.666666666666667</v>
      </c>
      <c r="I3075" s="246">
        <v>1</v>
      </c>
      <c r="J3075" s="246">
        <v>0</v>
      </c>
      <c r="K3075" s="246">
        <v>0</v>
      </c>
      <c r="L3075" s="246">
        <v>1.5</v>
      </c>
      <c r="M3075" s="246">
        <v>0.5</v>
      </c>
      <c r="N3075" s="246">
        <v>1.25</v>
      </c>
      <c r="O3075" s="255">
        <v>0</v>
      </c>
    </row>
    <row r="3076" spans="1:15">
      <c r="A3076" s="240" t="s">
        <v>69</v>
      </c>
      <c r="B3076" s="47" t="s">
        <v>55</v>
      </c>
      <c r="C3076" s="12">
        <v>0.985294117647059</v>
      </c>
      <c r="D3076" s="241">
        <v>1</v>
      </c>
      <c r="E3076" s="241">
        <v>1.11538461538462</v>
      </c>
      <c r="F3076" s="241">
        <v>0.916666666666667</v>
      </c>
      <c r="G3076" s="241">
        <v>0.833333333333333</v>
      </c>
      <c r="H3076" s="241">
        <v>1.31818181818182</v>
      </c>
      <c r="I3076" s="241">
        <v>0.896551724137931</v>
      </c>
      <c r="J3076" s="241">
        <v>0.979591836734694</v>
      </c>
      <c r="K3076" s="241">
        <v>0.92156862745098</v>
      </c>
      <c r="L3076" s="241">
        <v>0.777777777777778</v>
      </c>
      <c r="M3076" s="241">
        <v>1.04444444444444</v>
      </c>
      <c r="N3076" s="241">
        <v>0.932432432432432</v>
      </c>
      <c r="O3076" s="252">
        <v>1.10344827586207</v>
      </c>
    </row>
    <row r="3077" spans="1:15">
      <c r="A3077" s="242" t="s">
        <v>69</v>
      </c>
      <c r="B3077" s="43" t="s">
        <v>57</v>
      </c>
      <c r="C3077" s="15">
        <v>544</v>
      </c>
      <c r="D3077" s="243">
        <v>49</v>
      </c>
      <c r="E3077" s="243">
        <v>26</v>
      </c>
      <c r="F3077" s="243">
        <v>12</v>
      </c>
      <c r="G3077" s="243">
        <v>24</v>
      </c>
      <c r="H3077" s="243">
        <v>44</v>
      </c>
      <c r="I3077" s="243">
        <v>58</v>
      </c>
      <c r="J3077" s="243">
        <v>49</v>
      </c>
      <c r="K3077" s="243">
        <v>51</v>
      </c>
      <c r="L3077" s="243">
        <v>54</v>
      </c>
      <c r="M3077" s="243">
        <v>45</v>
      </c>
      <c r="N3077" s="243">
        <v>74</v>
      </c>
      <c r="O3077" s="253">
        <v>58</v>
      </c>
    </row>
    <row r="3078" spans="1:15">
      <c r="A3078" s="240" t="s">
        <v>69</v>
      </c>
      <c r="B3078" s="47" t="s">
        <v>59</v>
      </c>
      <c r="C3078" s="15">
        <v>536</v>
      </c>
      <c r="D3078" s="243">
        <v>49</v>
      </c>
      <c r="E3078" s="243">
        <v>29</v>
      </c>
      <c r="F3078" s="243">
        <v>11</v>
      </c>
      <c r="G3078" s="243">
        <v>20</v>
      </c>
      <c r="H3078" s="243">
        <v>58</v>
      </c>
      <c r="I3078" s="243">
        <v>52</v>
      </c>
      <c r="J3078" s="243">
        <v>48</v>
      </c>
      <c r="K3078" s="243">
        <v>47</v>
      </c>
      <c r="L3078" s="243">
        <v>42</v>
      </c>
      <c r="M3078" s="243">
        <v>47</v>
      </c>
      <c r="N3078" s="243">
        <v>69</v>
      </c>
      <c r="O3078" s="253">
        <v>64</v>
      </c>
    </row>
    <row r="3079" spans="1:15">
      <c r="A3079" s="242" t="s">
        <v>69</v>
      </c>
      <c r="B3079" s="43" t="s">
        <v>4</v>
      </c>
      <c r="C3079" s="15">
        <v>45</v>
      </c>
      <c r="D3079" s="244">
        <v>1</v>
      </c>
      <c r="E3079" s="244">
        <v>2</v>
      </c>
      <c r="F3079" s="244">
        <v>0</v>
      </c>
      <c r="G3079" s="244">
        <v>0</v>
      </c>
      <c r="H3079" s="244">
        <v>0</v>
      </c>
      <c r="I3079" s="244">
        <v>4</v>
      </c>
      <c r="J3079" s="244">
        <v>1</v>
      </c>
      <c r="K3079" s="244">
        <v>21</v>
      </c>
      <c r="L3079" s="244">
        <v>2</v>
      </c>
      <c r="M3079" s="244">
        <v>5</v>
      </c>
      <c r="N3079" s="244">
        <v>6</v>
      </c>
      <c r="O3079" s="254">
        <v>3</v>
      </c>
    </row>
    <row r="3080" spans="1:15">
      <c r="A3080" s="240" t="s">
        <v>69</v>
      </c>
      <c r="B3080" s="47" t="s">
        <v>5</v>
      </c>
      <c r="C3080" s="12">
        <v>0.083955223880597</v>
      </c>
      <c r="D3080" s="241">
        <v>0.0204081632653061</v>
      </c>
      <c r="E3080" s="241">
        <v>0.0689655172413793</v>
      </c>
      <c r="F3080" s="241">
        <v>0</v>
      </c>
      <c r="G3080" s="241">
        <v>0</v>
      </c>
      <c r="H3080" s="241">
        <v>0</v>
      </c>
      <c r="I3080" s="241">
        <v>0.0769230769230769</v>
      </c>
      <c r="J3080" s="241">
        <v>0.0208333333333333</v>
      </c>
      <c r="K3080" s="241">
        <v>0.446808510638298</v>
      </c>
      <c r="L3080" s="241">
        <v>0.0476190476190476</v>
      </c>
      <c r="M3080" s="241">
        <v>0.106382978723404</v>
      </c>
      <c r="N3080" s="241">
        <v>0.0869565217391304</v>
      </c>
      <c r="O3080" s="252">
        <v>0.046875</v>
      </c>
    </row>
    <row r="3081" spans="1:15">
      <c r="A3081" s="242" t="s">
        <v>69</v>
      </c>
      <c r="B3081" s="43" t="s">
        <v>6</v>
      </c>
      <c r="C3081" s="15">
        <v>14</v>
      </c>
      <c r="D3081" s="244">
        <v>2</v>
      </c>
      <c r="E3081" s="244">
        <v>0</v>
      </c>
      <c r="F3081" s="244">
        <v>0</v>
      </c>
      <c r="G3081" s="244">
        <v>1</v>
      </c>
      <c r="H3081" s="244">
        <v>0</v>
      </c>
      <c r="I3081" s="244">
        <v>0</v>
      </c>
      <c r="J3081" s="244">
        <v>1</v>
      </c>
      <c r="K3081" s="244">
        <v>1</v>
      </c>
      <c r="L3081" s="244">
        <v>1</v>
      </c>
      <c r="M3081" s="244">
        <v>0</v>
      </c>
      <c r="N3081" s="244">
        <v>5</v>
      </c>
      <c r="O3081" s="254">
        <v>3</v>
      </c>
    </row>
    <row r="3082" ht="14.25" spans="1:15">
      <c r="A3082" s="245" t="s">
        <v>69</v>
      </c>
      <c r="B3082" s="52" t="s">
        <v>64</v>
      </c>
      <c r="C3082" s="19">
        <v>0.311111111111111</v>
      </c>
      <c r="D3082" s="246">
        <v>2</v>
      </c>
      <c r="E3082" s="246">
        <v>0</v>
      </c>
      <c r="F3082" s="246">
        <v>0</v>
      </c>
      <c r="G3082" s="246">
        <v>0</v>
      </c>
      <c r="H3082" s="246">
        <v>0</v>
      </c>
      <c r="I3082" s="246">
        <v>0</v>
      </c>
      <c r="J3082" s="246">
        <v>1</v>
      </c>
      <c r="K3082" s="246">
        <v>0.0476190476190476</v>
      </c>
      <c r="L3082" s="246">
        <v>0.5</v>
      </c>
      <c r="M3082" s="246">
        <v>0</v>
      </c>
      <c r="N3082" s="246">
        <v>0.833333333333333</v>
      </c>
      <c r="O3082" s="255">
        <v>1</v>
      </c>
    </row>
    <row r="3083" spans="1:15">
      <c r="A3083" s="240" t="s">
        <v>70</v>
      </c>
      <c r="B3083" s="47" t="s">
        <v>55</v>
      </c>
      <c r="C3083" s="12">
        <v>0.715713301171606</v>
      </c>
      <c r="D3083" s="241">
        <v>0.864864864864865</v>
      </c>
      <c r="E3083" s="241">
        <v>0.780645161290323</v>
      </c>
      <c r="F3083" s="241">
        <v>0.714285714285714</v>
      </c>
      <c r="G3083" s="241">
        <v>0.786764705882353</v>
      </c>
      <c r="H3083" s="241">
        <v>0.860824742268041</v>
      </c>
      <c r="I3083" s="241">
        <v>0.764705882352941</v>
      </c>
      <c r="J3083" s="241">
        <v>0.731517509727626</v>
      </c>
      <c r="K3083" s="241">
        <v>0.80952380952381</v>
      </c>
      <c r="L3083" s="241">
        <v>0.813880126182965</v>
      </c>
      <c r="M3083" s="241">
        <v>0.797872340425532</v>
      </c>
      <c r="N3083" s="241">
        <v>0.591503267973856</v>
      </c>
      <c r="O3083" s="252">
        <v>0.303116147308782</v>
      </c>
    </row>
    <row r="3084" spans="1:15">
      <c r="A3084" s="242" t="s">
        <v>70</v>
      </c>
      <c r="B3084" s="43" t="s">
        <v>57</v>
      </c>
      <c r="C3084" s="15">
        <v>2902</v>
      </c>
      <c r="D3084" s="243">
        <v>259</v>
      </c>
      <c r="E3084" s="243">
        <v>155</v>
      </c>
      <c r="F3084" s="243">
        <v>98</v>
      </c>
      <c r="G3084" s="243">
        <v>136</v>
      </c>
      <c r="H3084" s="243">
        <v>194</v>
      </c>
      <c r="I3084" s="243">
        <v>272</v>
      </c>
      <c r="J3084" s="243">
        <v>257</v>
      </c>
      <c r="K3084" s="243">
        <v>273</v>
      </c>
      <c r="L3084" s="243">
        <v>317</v>
      </c>
      <c r="M3084" s="243">
        <v>282</v>
      </c>
      <c r="N3084" s="243">
        <v>306</v>
      </c>
      <c r="O3084" s="253">
        <v>353</v>
      </c>
    </row>
    <row r="3085" spans="1:15">
      <c r="A3085" s="240" t="s">
        <v>70</v>
      </c>
      <c r="B3085" s="47" t="s">
        <v>59</v>
      </c>
      <c r="C3085" s="15">
        <v>2077</v>
      </c>
      <c r="D3085" s="243">
        <v>224</v>
      </c>
      <c r="E3085" s="243">
        <v>121</v>
      </c>
      <c r="F3085" s="243">
        <v>70</v>
      </c>
      <c r="G3085" s="243">
        <v>107</v>
      </c>
      <c r="H3085" s="243">
        <v>167</v>
      </c>
      <c r="I3085" s="243">
        <v>208</v>
      </c>
      <c r="J3085" s="243">
        <v>188</v>
      </c>
      <c r="K3085" s="243">
        <v>221</v>
      </c>
      <c r="L3085" s="243">
        <v>258</v>
      </c>
      <c r="M3085" s="243">
        <v>225</v>
      </c>
      <c r="N3085" s="243">
        <v>181</v>
      </c>
      <c r="O3085" s="253">
        <v>107</v>
      </c>
    </row>
    <row r="3086" spans="1:15">
      <c r="A3086" s="242" t="s">
        <v>70</v>
      </c>
      <c r="B3086" s="43" t="s">
        <v>4</v>
      </c>
      <c r="C3086" s="15">
        <v>68</v>
      </c>
      <c r="D3086" s="244">
        <v>7</v>
      </c>
      <c r="E3086" s="244">
        <v>4</v>
      </c>
      <c r="F3086" s="244">
        <v>3</v>
      </c>
      <c r="G3086" s="244">
        <v>4</v>
      </c>
      <c r="H3086" s="244">
        <v>0</v>
      </c>
      <c r="I3086" s="244">
        <v>7</v>
      </c>
      <c r="J3086" s="244">
        <v>5</v>
      </c>
      <c r="K3086" s="244">
        <v>6</v>
      </c>
      <c r="L3086" s="244">
        <v>6</v>
      </c>
      <c r="M3086" s="244">
        <v>6</v>
      </c>
      <c r="N3086" s="244">
        <v>7</v>
      </c>
      <c r="O3086" s="254">
        <v>13</v>
      </c>
    </row>
    <row r="3087" spans="1:15">
      <c r="A3087" s="240" t="s">
        <v>70</v>
      </c>
      <c r="B3087" s="47" t="s">
        <v>5</v>
      </c>
      <c r="C3087" s="12">
        <v>0.0327395281656235</v>
      </c>
      <c r="D3087" s="241">
        <v>0.03125</v>
      </c>
      <c r="E3087" s="241">
        <v>0.0330578512396694</v>
      </c>
      <c r="F3087" s="241">
        <v>0.0428571428571429</v>
      </c>
      <c r="G3087" s="241">
        <v>0.0373831775700935</v>
      </c>
      <c r="H3087" s="241">
        <v>0</v>
      </c>
      <c r="I3087" s="241">
        <v>0.0336538461538462</v>
      </c>
      <c r="J3087" s="241">
        <v>0.0265957446808511</v>
      </c>
      <c r="K3087" s="241">
        <v>0.0271493212669683</v>
      </c>
      <c r="L3087" s="241">
        <v>0.0232558139534884</v>
      </c>
      <c r="M3087" s="241">
        <v>0.0266666666666667</v>
      </c>
      <c r="N3087" s="241">
        <v>0.0386740331491713</v>
      </c>
      <c r="O3087" s="252">
        <v>0.121495327102804</v>
      </c>
    </row>
    <row r="3088" spans="1:15">
      <c r="A3088" s="242" t="s">
        <v>70</v>
      </c>
      <c r="B3088" s="43" t="s">
        <v>6</v>
      </c>
      <c r="C3088" s="15">
        <v>25</v>
      </c>
      <c r="D3088" s="244">
        <v>8</v>
      </c>
      <c r="E3088" s="244">
        <v>1</v>
      </c>
      <c r="F3088" s="244">
        <v>0</v>
      </c>
      <c r="G3088" s="244">
        <v>1</v>
      </c>
      <c r="H3088" s="244">
        <v>0</v>
      </c>
      <c r="I3088" s="244">
        <v>4</v>
      </c>
      <c r="J3088" s="244">
        <v>0</v>
      </c>
      <c r="K3088" s="244">
        <v>2</v>
      </c>
      <c r="L3088" s="244">
        <v>6</v>
      </c>
      <c r="M3088" s="244">
        <v>3</v>
      </c>
      <c r="N3088" s="244">
        <v>0</v>
      </c>
      <c r="O3088" s="254">
        <v>0</v>
      </c>
    </row>
    <row r="3089" ht="14.25" spans="1:15">
      <c r="A3089" s="245" t="s">
        <v>70</v>
      </c>
      <c r="B3089" s="52" t="s">
        <v>64</v>
      </c>
      <c r="C3089" s="19">
        <v>0.367647058823529</v>
      </c>
      <c r="D3089" s="246">
        <v>1.14285714285714</v>
      </c>
      <c r="E3089" s="246">
        <v>0.25</v>
      </c>
      <c r="F3089" s="246">
        <v>0</v>
      </c>
      <c r="G3089" s="246">
        <v>0.25</v>
      </c>
      <c r="H3089" s="246">
        <v>0</v>
      </c>
      <c r="I3089" s="246">
        <v>0.571428571428571</v>
      </c>
      <c r="J3089" s="246">
        <v>0</v>
      </c>
      <c r="K3089" s="246">
        <v>0.333333333333333</v>
      </c>
      <c r="L3089" s="246">
        <v>1</v>
      </c>
      <c r="M3089" s="246">
        <v>0.5</v>
      </c>
      <c r="N3089" s="246">
        <v>0</v>
      </c>
      <c r="O3089" s="255">
        <v>0</v>
      </c>
    </row>
    <row r="3090" spans="1:15">
      <c r="A3090" s="240" t="s">
        <v>26</v>
      </c>
      <c r="B3090" s="47" t="s">
        <v>55</v>
      </c>
      <c r="C3090" s="12">
        <v>0.67538644470868</v>
      </c>
      <c r="D3090" s="241">
        <v>0.607264472190692</v>
      </c>
      <c r="E3090" s="241">
        <v>0.567467652495379</v>
      </c>
      <c r="F3090" s="241">
        <v>0.655826558265583</v>
      </c>
      <c r="G3090" s="241">
        <v>0.799043062200957</v>
      </c>
      <c r="H3090" s="241">
        <v>0.751219512195122</v>
      </c>
      <c r="I3090" s="241">
        <v>0.740932642487047</v>
      </c>
      <c r="J3090" s="241">
        <v>0.932098765432099</v>
      </c>
      <c r="K3090" s="241">
        <v>0.68</v>
      </c>
      <c r="L3090" s="241">
        <v>0.645348837209302</v>
      </c>
      <c r="M3090" s="241">
        <v>0.76978417266187</v>
      </c>
      <c r="N3090" s="241">
        <v>0.766467065868264</v>
      </c>
      <c r="O3090" s="252">
        <v>0.71523178807947</v>
      </c>
    </row>
    <row r="3091" spans="1:15">
      <c r="A3091" s="242" t="s">
        <v>26</v>
      </c>
      <c r="B3091" s="43" t="s">
        <v>57</v>
      </c>
      <c r="C3091" s="15">
        <v>3364</v>
      </c>
      <c r="D3091" s="243">
        <v>881</v>
      </c>
      <c r="E3091" s="243">
        <v>541</v>
      </c>
      <c r="F3091" s="243">
        <v>369</v>
      </c>
      <c r="G3091" s="243">
        <v>209</v>
      </c>
      <c r="H3091" s="243">
        <v>205</v>
      </c>
      <c r="I3091" s="243">
        <v>193</v>
      </c>
      <c r="J3091" s="243">
        <v>162</v>
      </c>
      <c r="K3091" s="243">
        <v>175</v>
      </c>
      <c r="L3091" s="243">
        <v>172</v>
      </c>
      <c r="M3091" s="243">
        <v>139</v>
      </c>
      <c r="N3091" s="243">
        <v>167</v>
      </c>
      <c r="O3091" s="253">
        <v>151</v>
      </c>
    </row>
    <row r="3092" spans="1:15">
      <c r="A3092" s="240" t="s">
        <v>26</v>
      </c>
      <c r="B3092" s="47" t="s">
        <v>59</v>
      </c>
      <c r="C3092" s="15">
        <v>2272</v>
      </c>
      <c r="D3092" s="243">
        <v>535</v>
      </c>
      <c r="E3092" s="243">
        <v>307</v>
      </c>
      <c r="F3092" s="243">
        <v>242</v>
      </c>
      <c r="G3092" s="243">
        <v>167</v>
      </c>
      <c r="H3092" s="243">
        <v>154</v>
      </c>
      <c r="I3092" s="243">
        <v>143</v>
      </c>
      <c r="J3092" s="243">
        <v>151</v>
      </c>
      <c r="K3092" s="243">
        <v>119</v>
      </c>
      <c r="L3092" s="243">
        <v>111</v>
      </c>
      <c r="M3092" s="243">
        <v>107</v>
      </c>
      <c r="N3092" s="243">
        <v>128</v>
      </c>
      <c r="O3092" s="253">
        <v>108</v>
      </c>
    </row>
    <row r="3093" spans="1:15">
      <c r="A3093" s="242" t="s">
        <v>26</v>
      </c>
      <c r="B3093" s="43" t="s">
        <v>4</v>
      </c>
      <c r="C3093" s="15">
        <v>16</v>
      </c>
      <c r="D3093" s="244">
        <v>1</v>
      </c>
      <c r="E3093" s="244">
        <v>2</v>
      </c>
      <c r="F3093" s="244">
        <v>1</v>
      </c>
      <c r="G3093" s="244">
        <v>0</v>
      </c>
      <c r="H3093" s="244">
        <v>0</v>
      </c>
      <c r="I3093" s="244">
        <v>4</v>
      </c>
      <c r="J3093" s="244">
        <v>1</v>
      </c>
      <c r="K3093" s="244">
        <v>0</v>
      </c>
      <c r="L3093" s="244">
        <v>2</v>
      </c>
      <c r="M3093" s="244">
        <v>1</v>
      </c>
      <c r="N3093" s="244">
        <v>3</v>
      </c>
      <c r="O3093" s="254">
        <v>1</v>
      </c>
    </row>
    <row r="3094" spans="1:15">
      <c r="A3094" s="240" t="s">
        <v>26</v>
      </c>
      <c r="B3094" s="47" t="s">
        <v>5</v>
      </c>
      <c r="C3094" s="12">
        <v>0.00704225352112676</v>
      </c>
      <c r="D3094" s="241">
        <v>0.00186915887850467</v>
      </c>
      <c r="E3094" s="241">
        <v>0.00651465798045603</v>
      </c>
      <c r="F3094" s="241">
        <v>0.00413223140495868</v>
      </c>
      <c r="G3094" s="241">
        <v>0</v>
      </c>
      <c r="H3094" s="241">
        <v>0</v>
      </c>
      <c r="I3094" s="241">
        <v>0.027972027972028</v>
      </c>
      <c r="J3094" s="241">
        <v>0.00662251655629139</v>
      </c>
      <c r="K3094" s="241">
        <v>0</v>
      </c>
      <c r="L3094" s="241">
        <v>0.018018018018018</v>
      </c>
      <c r="M3094" s="241">
        <v>0.00934579439252336</v>
      </c>
      <c r="N3094" s="241">
        <v>0.0234375</v>
      </c>
      <c r="O3094" s="252">
        <v>0.00925925925925926</v>
      </c>
    </row>
    <row r="3095" spans="1:15">
      <c r="A3095" s="242" t="s">
        <v>26</v>
      </c>
      <c r="B3095" s="43" t="s">
        <v>6</v>
      </c>
      <c r="C3095" s="15">
        <v>8</v>
      </c>
      <c r="D3095" s="244">
        <v>0</v>
      </c>
      <c r="E3095" s="244">
        <v>1</v>
      </c>
      <c r="F3095" s="244">
        <v>0</v>
      </c>
      <c r="G3095" s="244">
        <v>0</v>
      </c>
      <c r="H3095" s="244">
        <v>0</v>
      </c>
      <c r="I3095" s="244">
        <v>3</v>
      </c>
      <c r="J3095" s="244">
        <v>0</v>
      </c>
      <c r="K3095" s="244">
        <v>0</v>
      </c>
      <c r="L3095" s="244">
        <v>0</v>
      </c>
      <c r="M3095" s="244">
        <v>1</v>
      </c>
      <c r="N3095" s="244">
        <v>2</v>
      </c>
      <c r="O3095" s="254">
        <v>1</v>
      </c>
    </row>
    <row r="3096" ht="14.25" spans="1:15">
      <c r="A3096" s="245" t="s">
        <v>26</v>
      </c>
      <c r="B3096" s="52" t="s">
        <v>64</v>
      </c>
      <c r="C3096" s="19">
        <v>0.5</v>
      </c>
      <c r="D3096" s="19">
        <v>0</v>
      </c>
      <c r="E3096" s="19">
        <v>0.5</v>
      </c>
      <c r="F3096" s="19">
        <v>0</v>
      </c>
      <c r="G3096" s="19" t="e">
        <v>#DIV/0!</v>
      </c>
      <c r="H3096" s="19" t="e">
        <v>#DIV/0!</v>
      </c>
      <c r="I3096" s="19">
        <v>0.75</v>
      </c>
      <c r="J3096" s="19">
        <v>0</v>
      </c>
      <c r="K3096" s="19" t="e">
        <v>#DIV/0!</v>
      </c>
      <c r="L3096" s="19">
        <v>0</v>
      </c>
      <c r="M3096" s="19">
        <v>1</v>
      </c>
      <c r="N3096" s="19">
        <v>0.666666666666667</v>
      </c>
      <c r="O3096" s="19">
        <v>1</v>
      </c>
    </row>
    <row r="3097" spans="1:15">
      <c r="A3097" s="240" t="s">
        <v>71</v>
      </c>
      <c r="B3097" s="47" t="s">
        <v>55</v>
      </c>
      <c r="C3097" s="12">
        <v>8.5</v>
      </c>
      <c r="D3097" s="241">
        <v>7</v>
      </c>
      <c r="E3097" s="241" t="e">
        <v>#DIV/0!</v>
      </c>
      <c r="F3097" s="241">
        <v>1</v>
      </c>
      <c r="G3097" s="241">
        <v>1</v>
      </c>
      <c r="H3097" s="241" t="e">
        <v>#DIV/0!</v>
      </c>
      <c r="I3097" s="241" t="e">
        <v>#DIV/0!</v>
      </c>
      <c r="J3097" s="241" t="e">
        <v>#DIV/0!</v>
      </c>
      <c r="K3097" s="241" t="e">
        <v>#DIV/0!</v>
      </c>
      <c r="L3097" s="241" t="e">
        <v>#DIV/0!</v>
      </c>
      <c r="M3097" s="241" t="e">
        <v>#DIV/0!</v>
      </c>
      <c r="N3097" s="241" t="e">
        <v>#DIV/0!</v>
      </c>
      <c r="O3097" s="252" t="e">
        <v>#DIV/0!</v>
      </c>
    </row>
    <row r="3098" spans="1:15">
      <c r="A3098" s="242" t="s">
        <v>71</v>
      </c>
      <c r="B3098" s="43" t="s">
        <v>57</v>
      </c>
      <c r="C3098" s="15">
        <v>4</v>
      </c>
      <c r="D3098" s="243">
        <v>1</v>
      </c>
      <c r="E3098" s="243">
        <v>0</v>
      </c>
      <c r="F3098" s="243">
        <v>2</v>
      </c>
      <c r="G3098" s="243">
        <v>1</v>
      </c>
      <c r="H3098" s="243">
        <v>0</v>
      </c>
      <c r="I3098" s="243">
        <v>0</v>
      </c>
      <c r="J3098" s="243">
        <v>0</v>
      </c>
      <c r="K3098" s="243">
        <v>0</v>
      </c>
      <c r="L3098" s="243">
        <v>0</v>
      </c>
      <c r="M3098" s="243">
        <v>0</v>
      </c>
      <c r="N3098" s="243">
        <v>0</v>
      </c>
      <c r="O3098" s="253">
        <v>0</v>
      </c>
    </row>
    <row r="3099" spans="1:15">
      <c r="A3099" s="240" t="s">
        <v>71</v>
      </c>
      <c r="B3099" s="47" t="s">
        <v>59</v>
      </c>
      <c r="C3099" s="15">
        <v>34</v>
      </c>
      <c r="D3099" s="243">
        <v>7</v>
      </c>
      <c r="E3099" s="243">
        <v>3</v>
      </c>
      <c r="F3099" s="243">
        <v>2</v>
      </c>
      <c r="G3099" s="243">
        <v>1</v>
      </c>
      <c r="H3099" s="243">
        <v>5</v>
      </c>
      <c r="I3099" s="243">
        <v>3</v>
      </c>
      <c r="J3099" s="243">
        <v>2</v>
      </c>
      <c r="K3099" s="243">
        <v>2</v>
      </c>
      <c r="L3099" s="243">
        <v>5</v>
      </c>
      <c r="M3099" s="243">
        <v>2</v>
      </c>
      <c r="N3099" s="243">
        <v>0</v>
      </c>
      <c r="O3099" s="253">
        <v>2</v>
      </c>
    </row>
    <row r="3100" spans="1:15">
      <c r="A3100" s="242" t="s">
        <v>71</v>
      </c>
      <c r="B3100" s="43" t="s">
        <v>4</v>
      </c>
      <c r="C3100" s="15">
        <v>19</v>
      </c>
      <c r="D3100" s="244">
        <v>4</v>
      </c>
      <c r="E3100" s="244">
        <v>0</v>
      </c>
      <c r="F3100" s="244">
        <v>1</v>
      </c>
      <c r="G3100" s="244">
        <v>3</v>
      </c>
      <c r="H3100" s="244">
        <v>1</v>
      </c>
      <c r="I3100" s="244">
        <v>0</v>
      </c>
      <c r="J3100" s="244">
        <v>1</v>
      </c>
      <c r="K3100" s="244">
        <v>2</v>
      </c>
      <c r="L3100" s="244">
        <v>3</v>
      </c>
      <c r="M3100" s="244">
        <v>0</v>
      </c>
      <c r="N3100" s="244">
        <v>2</v>
      </c>
      <c r="O3100" s="254">
        <v>2</v>
      </c>
    </row>
    <row r="3101" spans="1:15">
      <c r="A3101" s="240" t="s">
        <v>71</v>
      </c>
      <c r="B3101" s="47" t="s">
        <v>5</v>
      </c>
      <c r="C3101" s="241">
        <v>0.558823529411765</v>
      </c>
      <c r="D3101" s="241">
        <v>0.571428571428571</v>
      </c>
      <c r="E3101" s="241">
        <v>0</v>
      </c>
      <c r="F3101" s="241">
        <v>0.5</v>
      </c>
      <c r="G3101" s="241">
        <v>3</v>
      </c>
      <c r="H3101" s="241">
        <v>0.2</v>
      </c>
      <c r="I3101" s="241">
        <v>0</v>
      </c>
      <c r="J3101" s="241">
        <v>0.5</v>
      </c>
      <c r="K3101" s="241">
        <v>1</v>
      </c>
      <c r="L3101" s="241">
        <v>0.6</v>
      </c>
      <c r="M3101" s="241">
        <v>0</v>
      </c>
      <c r="N3101" s="241">
        <v>0</v>
      </c>
      <c r="O3101" s="252">
        <v>1</v>
      </c>
    </row>
    <row r="3102" spans="1:15">
      <c r="A3102" s="242" t="s">
        <v>71</v>
      </c>
      <c r="B3102" s="43" t="s">
        <v>6</v>
      </c>
      <c r="C3102" s="15">
        <v>1</v>
      </c>
      <c r="D3102" s="244">
        <v>0</v>
      </c>
      <c r="E3102" s="244">
        <v>1</v>
      </c>
      <c r="F3102" s="244">
        <v>0</v>
      </c>
      <c r="G3102" s="244">
        <v>0</v>
      </c>
      <c r="H3102" s="244">
        <v>0</v>
      </c>
      <c r="I3102" s="244">
        <v>0</v>
      </c>
      <c r="J3102" s="244">
        <v>0</v>
      </c>
      <c r="K3102" s="244">
        <v>0</v>
      </c>
      <c r="L3102" s="244">
        <v>0</v>
      </c>
      <c r="M3102" s="244">
        <v>0</v>
      </c>
      <c r="N3102" s="244">
        <v>0</v>
      </c>
      <c r="O3102" s="254">
        <v>0</v>
      </c>
    </row>
    <row r="3103" ht="14.25" spans="1:15">
      <c r="A3103" s="245" t="s">
        <v>71</v>
      </c>
      <c r="B3103" s="52" t="s">
        <v>64</v>
      </c>
      <c r="C3103" s="19">
        <v>0.0526315789473684</v>
      </c>
      <c r="D3103" s="19">
        <v>0</v>
      </c>
      <c r="E3103" s="19" t="e">
        <v>#DIV/0!</v>
      </c>
      <c r="F3103" s="19">
        <v>0</v>
      </c>
      <c r="G3103" s="19">
        <v>0</v>
      </c>
      <c r="H3103" s="19">
        <v>0</v>
      </c>
      <c r="I3103" s="19" t="e">
        <v>#DIV/0!</v>
      </c>
      <c r="J3103" s="19">
        <v>0</v>
      </c>
      <c r="K3103" s="19">
        <v>0</v>
      </c>
      <c r="L3103" s="19">
        <v>0</v>
      </c>
      <c r="M3103" s="19" t="e">
        <v>#DIV/0!</v>
      </c>
      <c r="N3103" s="19">
        <v>0</v>
      </c>
      <c r="O3103" s="19">
        <v>0</v>
      </c>
    </row>
    <row r="3104" spans="1:15">
      <c r="A3104" s="240" t="s">
        <v>72</v>
      </c>
      <c r="B3104" s="47" t="s">
        <v>55</v>
      </c>
      <c r="C3104" s="12">
        <v>0.190758905524006</v>
      </c>
      <c r="D3104" s="241">
        <v>0.212962962962963</v>
      </c>
      <c r="E3104" s="241">
        <v>0.164835164835165</v>
      </c>
      <c r="F3104" s="241">
        <v>0.222222222222222</v>
      </c>
      <c r="G3104" s="241">
        <v>0.207317073170732</v>
      </c>
      <c r="H3104" s="241">
        <v>0.192468619246862</v>
      </c>
      <c r="I3104" s="241">
        <v>0.169329073482428</v>
      </c>
      <c r="J3104" s="241">
        <v>0.176943699731903</v>
      </c>
      <c r="K3104" s="241">
        <v>0.155440414507772</v>
      </c>
      <c r="L3104" s="241">
        <v>0.176151761517615</v>
      </c>
      <c r="M3104" s="241">
        <v>0.196765498652291</v>
      </c>
      <c r="N3104" s="241">
        <v>0.213983050847458</v>
      </c>
      <c r="O3104" s="252">
        <v>0.205673758865248</v>
      </c>
    </row>
    <row r="3105" spans="1:15">
      <c r="A3105" s="242" t="s">
        <v>72</v>
      </c>
      <c r="B3105" s="43" t="s">
        <v>57</v>
      </c>
      <c r="C3105" s="15">
        <v>3874</v>
      </c>
      <c r="D3105" s="243">
        <v>324</v>
      </c>
      <c r="E3105" s="243">
        <v>182</v>
      </c>
      <c r="F3105" s="243">
        <v>117</v>
      </c>
      <c r="G3105" s="243">
        <v>164</v>
      </c>
      <c r="H3105" s="243">
        <v>239</v>
      </c>
      <c r="I3105" s="243">
        <v>313</v>
      </c>
      <c r="J3105" s="243">
        <v>373</v>
      </c>
      <c r="K3105" s="243">
        <v>386</v>
      </c>
      <c r="L3105" s="243">
        <v>369</v>
      </c>
      <c r="M3105" s="243">
        <v>371</v>
      </c>
      <c r="N3105" s="243">
        <v>472</v>
      </c>
      <c r="O3105" s="253">
        <v>564</v>
      </c>
    </row>
    <row r="3106" spans="1:15">
      <c r="A3106" s="240" t="s">
        <v>72</v>
      </c>
      <c r="B3106" s="47" t="s">
        <v>59</v>
      </c>
      <c r="C3106" s="15">
        <v>739</v>
      </c>
      <c r="D3106" s="243">
        <v>69</v>
      </c>
      <c r="E3106" s="243">
        <v>30</v>
      </c>
      <c r="F3106" s="243">
        <v>26</v>
      </c>
      <c r="G3106" s="243">
        <v>34</v>
      </c>
      <c r="H3106" s="243">
        <v>46</v>
      </c>
      <c r="I3106" s="243">
        <v>53</v>
      </c>
      <c r="J3106" s="243">
        <v>66</v>
      </c>
      <c r="K3106" s="243">
        <v>60</v>
      </c>
      <c r="L3106" s="243">
        <v>65</v>
      </c>
      <c r="M3106" s="243">
        <v>73</v>
      </c>
      <c r="N3106" s="243">
        <v>101</v>
      </c>
      <c r="O3106" s="253">
        <v>116</v>
      </c>
    </row>
    <row r="3107" spans="1:15">
      <c r="A3107" s="242" t="s">
        <v>72</v>
      </c>
      <c r="B3107" s="43" t="s">
        <v>4</v>
      </c>
      <c r="C3107" s="15">
        <v>54</v>
      </c>
      <c r="D3107" s="244">
        <v>5</v>
      </c>
      <c r="E3107" s="244">
        <v>1</v>
      </c>
      <c r="F3107" s="244">
        <v>1</v>
      </c>
      <c r="G3107" s="244">
        <v>2</v>
      </c>
      <c r="H3107" s="244">
        <v>5</v>
      </c>
      <c r="I3107" s="244">
        <v>3</v>
      </c>
      <c r="J3107" s="244">
        <v>3</v>
      </c>
      <c r="K3107" s="244">
        <v>4</v>
      </c>
      <c r="L3107" s="244">
        <v>7</v>
      </c>
      <c r="M3107" s="244">
        <v>5</v>
      </c>
      <c r="N3107" s="244">
        <v>12</v>
      </c>
      <c r="O3107" s="254">
        <v>6</v>
      </c>
    </row>
    <row r="3108" spans="1:15">
      <c r="A3108" s="240" t="s">
        <v>72</v>
      </c>
      <c r="B3108" s="47" t="s">
        <v>5</v>
      </c>
      <c r="C3108" s="12">
        <v>0.0730717185385656</v>
      </c>
      <c r="D3108" s="241">
        <v>0.072463768115942</v>
      </c>
      <c r="E3108" s="241">
        <v>0.0333333333333333</v>
      </c>
      <c r="F3108" s="241">
        <v>0.0384615384615385</v>
      </c>
      <c r="G3108" s="241">
        <v>0.0588235294117647</v>
      </c>
      <c r="H3108" s="241">
        <v>0.108695652173913</v>
      </c>
      <c r="I3108" s="241">
        <v>0.0566037735849057</v>
      </c>
      <c r="J3108" s="241">
        <v>0.0454545454545455</v>
      </c>
      <c r="K3108" s="241">
        <v>0.0666666666666667</v>
      </c>
      <c r="L3108" s="241">
        <v>0.107692307692308</v>
      </c>
      <c r="M3108" s="241">
        <v>0.0684931506849315</v>
      </c>
      <c r="N3108" s="241">
        <v>0.118811881188119</v>
      </c>
      <c r="O3108" s="252">
        <v>0.0517241379310345</v>
      </c>
    </row>
    <row r="3109" spans="1:15">
      <c r="A3109" s="242" t="s">
        <v>72</v>
      </c>
      <c r="B3109" s="43" t="s">
        <v>6</v>
      </c>
      <c r="C3109" s="15">
        <v>16</v>
      </c>
      <c r="D3109" s="244">
        <v>0</v>
      </c>
      <c r="E3109" s="244">
        <v>1</v>
      </c>
      <c r="F3109" s="244">
        <v>0</v>
      </c>
      <c r="G3109" s="244">
        <v>0</v>
      </c>
      <c r="H3109" s="244">
        <v>3</v>
      </c>
      <c r="I3109" s="244">
        <v>1</v>
      </c>
      <c r="J3109" s="244">
        <v>1</v>
      </c>
      <c r="K3109" s="244">
        <v>1</v>
      </c>
      <c r="L3109" s="244">
        <v>2</v>
      </c>
      <c r="M3109" s="244">
        <v>4</v>
      </c>
      <c r="N3109" s="244">
        <v>2</v>
      </c>
      <c r="O3109" s="254">
        <v>1</v>
      </c>
    </row>
    <row r="3110" ht="14.25" spans="1:15">
      <c r="A3110" s="245" t="s">
        <v>72</v>
      </c>
      <c r="B3110" s="52" t="s">
        <v>64</v>
      </c>
      <c r="C3110" s="19">
        <v>0.296296296296296</v>
      </c>
      <c r="D3110" s="19">
        <v>0</v>
      </c>
      <c r="E3110" s="19">
        <v>1</v>
      </c>
      <c r="F3110" s="19">
        <v>0</v>
      </c>
      <c r="G3110" s="19">
        <v>0</v>
      </c>
      <c r="H3110" s="19">
        <v>0.6</v>
      </c>
      <c r="I3110" s="19">
        <v>0.333333333333333</v>
      </c>
      <c r="J3110" s="19">
        <v>0.333333333333333</v>
      </c>
      <c r="K3110" s="19">
        <v>0.25</v>
      </c>
      <c r="L3110" s="19">
        <v>0.285714285714286</v>
      </c>
      <c r="M3110" s="19">
        <v>0.8</v>
      </c>
      <c r="N3110" s="19">
        <v>0.166666666666667</v>
      </c>
      <c r="O3110" s="19">
        <v>0.166666666666667</v>
      </c>
    </row>
    <row r="3111" ht="14.25" spans="1:15">
      <c r="A3111" s="237">
        <v>45067</v>
      </c>
      <c r="B3111" s="237"/>
      <c r="C3111" s="237"/>
      <c r="D3111" s="237"/>
      <c r="E3111" s="237"/>
      <c r="F3111" s="237"/>
      <c r="G3111" s="237"/>
      <c r="H3111" s="237"/>
      <c r="I3111" s="237"/>
      <c r="J3111" s="237"/>
      <c r="K3111" s="237"/>
      <c r="L3111" s="237"/>
      <c r="M3111" s="237"/>
      <c r="N3111" s="237"/>
      <c r="O3111" s="237"/>
    </row>
    <row r="3112" spans="1:15">
      <c r="A3112" s="56" t="s">
        <v>1</v>
      </c>
      <c r="B3112" s="238"/>
      <c r="C3112" s="8" t="s">
        <v>42</v>
      </c>
      <c r="D3112" s="239" t="s">
        <v>43</v>
      </c>
      <c r="E3112" s="239" t="s">
        <v>44</v>
      </c>
      <c r="F3112" s="239" t="s">
        <v>45</v>
      </c>
      <c r="G3112" s="239" t="s">
        <v>46</v>
      </c>
      <c r="H3112" s="239" t="s">
        <v>47</v>
      </c>
      <c r="I3112" s="239" t="s">
        <v>48</v>
      </c>
      <c r="J3112" s="239" t="s">
        <v>49</v>
      </c>
      <c r="K3112" s="239" t="s">
        <v>50</v>
      </c>
      <c r="L3112" s="239" t="s">
        <v>51</v>
      </c>
      <c r="M3112" s="239" t="s">
        <v>52</v>
      </c>
      <c r="N3112" s="239" t="s">
        <v>53</v>
      </c>
      <c r="O3112" s="251" t="s">
        <v>54</v>
      </c>
    </row>
    <row r="3113" spans="1:15">
      <c r="A3113" s="240" t="s">
        <v>22</v>
      </c>
      <c r="B3113" s="47" t="s">
        <v>55</v>
      </c>
      <c r="C3113" s="12">
        <v>0.442847042187132</v>
      </c>
      <c r="D3113" s="241">
        <v>0.516746411483254</v>
      </c>
      <c r="E3113" s="241">
        <v>0.498220640569395</v>
      </c>
      <c r="F3113" s="241">
        <v>0.488549618320611</v>
      </c>
      <c r="G3113" s="241">
        <v>0.465686274509804</v>
      </c>
      <c r="H3113" s="241">
        <v>0.539772727272727</v>
      </c>
      <c r="I3113" s="241">
        <v>0.447204968944099</v>
      </c>
      <c r="J3113" s="241">
        <v>0.465346534653465</v>
      </c>
      <c r="K3113" s="241">
        <v>0.426767676767677</v>
      </c>
      <c r="L3113" s="241">
        <v>0.397094430992736</v>
      </c>
      <c r="M3113" s="241">
        <v>0.470588235294118</v>
      </c>
      <c r="N3113" s="241">
        <v>0.395833333333333</v>
      </c>
      <c r="O3113" s="252">
        <v>0.337883959044369</v>
      </c>
    </row>
    <row r="3114" spans="1:15">
      <c r="A3114" s="242" t="s">
        <v>22</v>
      </c>
      <c r="B3114" s="43" t="s">
        <v>57</v>
      </c>
      <c r="C3114" s="15">
        <v>4243</v>
      </c>
      <c r="D3114" s="243">
        <v>418</v>
      </c>
      <c r="E3114" s="243">
        <v>281</v>
      </c>
      <c r="F3114" s="243">
        <v>131</v>
      </c>
      <c r="G3114" s="243">
        <v>204</v>
      </c>
      <c r="H3114" s="243">
        <v>352</v>
      </c>
      <c r="I3114" s="243">
        <v>322</v>
      </c>
      <c r="J3114" s="243">
        <v>303</v>
      </c>
      <c r="K3114" s="243">
        <v>396</v>
      </c>
      <c r="L3114" s="243">
        <v>413</v>
      </c>
      <c r="M3114" s="243">
        <v>357</v>
      </c>
      <c r="N3114" s="243">
        <v>480</v>
      </c>
      <c r="O3114" s="253">
        <v>586</v>
      </c>
    </row>
    <row r="3115" spans="1:15">
      <c r="A3115" s="240" t="s">
        <v>22</v>
      </c>
      <c r="B3115" s="47" t="s">
        <v>59</v>
      </c>
      <c r="C3115" s="15">
        <v>1879</v>
      </c>
      <c r="D3115" s="243">
        <v>216</v>
      </c>
      <c r="E3115" s="243">
        <v>140</v>
      </c>
      <c r="F3115" s="243">
        <v>64</v>
      </c>
      <c r="G3115" s="243">
        <v>95</v>
      </c>
      <c r="H3115" s="243">
        <v>190</v>
      </c>
      <c r="I3115" s="243">
        <v>144</v>
      </c>
      <c r="J3115" s="243">
        <v>141</v>
      </c>
      <c r="K3115" s="243">
        <v>169</v>
      </c>
      <c r="L3115" s="243">
        <v>164</v>
      </c>
      <c r="M3115" s="243">
        <v>168</v>
      </c>
      <c r="N3115" s="243">
        <v>190</v>
      </c>
      <c r="O3115" s="253">
        <v>198</v>
      </c>
    </row>
    <row r="3116" spans="1:15">
      <c r="A3116" s="242" t="s">
        <v>22</v>
      </c>
      <c r="B3116" s="43" t="s">
        <v>4</v>
      </c>
      <c r="C3116" s="15">
        <v>166</v>
      </c>
      <c r="D3116" s="244">
        <v>23</v>
      </c>
      <c r="E3116" s="244">
        <v>13</v>
      </c>
      <c r="F3116" s="244">
        <v>5</v>
      </c>
      <c r="G3116" s="244">
        <v>7</v>
      </c>
      <c r="H3116" s="244">
        <v>10</v>
      </c>
      <c r="I3116" s="244">
        <v>15</v>
      </c>
      <c r="J3116" s="244">
        <v>15</v>
      </c>
      <c r="K3116" s="244">
        <v>15</v>
      </c>
      <c r="L3116" s="244">
        <v>15</v>
      </c>
      <c r="M3116" s="244">
        <v>10</v>
      </c>
      <c r="N3116" s="244">
        <v>13</v>
      </c>
      <c r="O3116" s="254">
        <v>25</v>
      </c>
    </row>
    <row r="3117" spans="1:15">
      <c r="A3117" s="240" t="s">
        <v>22</v>
      </c>
      <c r="B3117" s="47" t="s">
        <v>5</v>
      </c>
      <c r="C3117" s="12">
        <v>0.0883448642895157</v>
      </c>
      <c r="D3117" s="241">
        <v>0.106481481481481</v>
      </c>
      <c r="E3117" s="241">
        <v>0.0928571428571429</v>
      </c>
      <c r="F3117" s="241">
        <v>0.078125</v>
      </c>
      <c r="G3117" s="241">
        <v>0.0736842105263158</v>
      </c>
      <c r="H3117" s="241">
        <v>0.0526315789473684</v>
      </c>
      <c r="I3117" s="241">
        <v>0.104166666666667</v>
      </c>
      <c r="J3117" s="241">
        <v>0.106382978723404</v>
      </c>
      <c r="K3117" s="241">
        <v>0.0887573964497041</v>
      </c>
      <c r="L3117" s="241">
        <v>0.0914634146341463</v>
      </c>
      <c r="M3117" s="241">
        <v>0.0595238095238095</v>
      </c>
      <c r="N3117" s="241">
        <v>0.068421052631579</v>
      </c>
      <c r="O3117" s="252">
        <v>0.126262626262626</v>
      </c>
    </row>
    <row r="3118" spans="1:15">
      <c r="A3118" s="242" t="s">
        <v>22</v>
      </c>
      <c r="B3118" s="43" t="s">
        <v>6</v>
      </c>
      <c r="C3118" s="15">
        <v>69</v>
      </c>
      <c r="D3118" s="244">
        <v>12</v>
      </c>
      <c r="E3118" s="244">
        <v>7</v>
      </c>
      <c r="F3118" s="244">
        <v>4</v>
      </c>
      <c r="G3118" s="244">
        <v>5</v>
      </c>
      <c r="H3118" s="244">
        <v>5</v>
      </c>
      <c r="I3118" s="244">
        <v>6</v>
      </c>
      <c r="J3118" s="244">
        <v>6</v>
      </c>
      <c r="K3118" s="244">
        <v>6</v>
      </c>
      <c r="L3118" s="244">
        <v>6</v>
      </c>
      <c r="M3118" s="244">
        <v>7</v>
      </c>
      <c r="N3118" s="244">
        <v>1</v>
      </c>
      <c r="O3118" s="254">
        <v>4</v>
      </c>
    </row>
    <row r="3119" ht="14.25" spans="1:15">
      <c r="A3119" s="245" t="s">
        <v>22</v>
      </c>
      <c r="B3119" s="52" t="s">
        <v>64</v>
      </c>
      <c r="C3119" s="19">
        <v>0.41566265060241</v>
      </c>
      <c r="D3119" s="246">
        <v>0.521739130434783</v>
      </c>
      <c r="E3119" s="246">
        <v>0.538461538461538</v>
      </c>
      <c r="F3119" s="246">
        <v>0.8</v>
      </c>
      <c r="G3119" s="246">
        <v>0.714285714285714</v>
      </c>
      <c r="H3119" s="246">
        <v>0.5</v>
      </c>
      <c r="I3119" s="246">
        <v>0.4</v>
      </c>
      <c r="J3119" s="246">
        <v>0.4</v>
      </c>
      <c r="K3119" s="246">
        <v>0.4</v>
      </c>
      <c r="L3119" s="246">
        <v>0.4</v>
      </c>
      <c r="M3119" s="246">
        <v>0.7</v>
      </c>
      <c r="N3119" s="246">
        <v>0.0769230769230769</v>
      </c>
      <c r="O3119" s="255">
        <v>0.16</v>
      </c>
    </row>
    <row r="3120" spans="1:15">
      <c r="A3120" s="247" t="s">
        <v>66</v>
      </c>
      <c r="B3120" s="248" t="s">
        <v>55</v>
      </c>
      <c r="C3120" s="12">
        <v>0.0964995269631031</v>
      </c>
      <c r="D3120" s="249">
        <v>0.065359477124183</v>
      </c>
      <c r="E3120" s="249">
        <v>0.0314465408805031</v>
      </c>
      <c r="F3120" s="249">
        <v>0.0489795918367347</v>
      </c>
      <c r="G3120" s="249">
        <v>0.0706521739130435</v>
      </c>
      <c r="H3120" s="249">
        <v>0.0848484848484849</v>
      </c>
      <c r="I3120" s="249">
        <v>0.126506024096386</v>
      </c>
      <c r="J3120" s="249">
        <v>0.126865671641791</v>
      </c>
      <c r="K3120" s="249">
        <v>0.140740740740741</v>
      </c>
      <c r="L3120" s="249">
        <v>0.104</v>
      </c>
      <c r="M3120" s="249">
        <v>0.27906976744186</v>
      </c>
      <c r="N3120" s="249">
        <v>0.166666666666667</v>
      </c>
      <c r="O3120" s="256">
        <v>0.161764705882353</v>
      </c>
    </row>
    <row r="3121" spans="1:15">
      <c r="A3121" s="242" t="s">
        <v>66</v>
      </c>
      <c r="B3121" s="43" t="s">
        <v>57</v>
      </c>
      <c r="C3121" s="15">
        <v>2114</v>
      </c>
      <c r="D3121" s="243">
        <v>306</v>
      </c>
      <c r="E3121" s="243">
        <v>318</v>
      </c>
      <c r="F3121" s="243">
        <v>245</v>
      </c>
      <c r="G3121" s="243">
        <v>184</v>
      </c>
      <c r="H3121" s="243">
        <v>165</v>
      </c>
      <c r="I3121" s="243">
        <v>166</v>
      </c>
      <c r="J3121" s="243">
        <v>134</v>
      </c>
      <c r="K3121" s="243">
        <v>135</v>
      </c>
      <c r="L3121" s="243">
        <v>125</v>
      </c>
      <c r="M3121" s="243">
        <v>86</v>
      </c>
      <c r="N3121" s="243">
        <v>114</v>
      </c>
      <c r="O3121" s="253">
        <v>136</v>
      </c>
    </row>
    <row r="3122" spans="1:15">
      <c r="A3122" s="240" t="s">
        <v>66</v>
      </c>
      <c r="B3122" s="47" t="s">
        <v>59</v>
      </c>
      <c r="C3122" s="15">
        <v>204</v>
      </c>
      <c r="D3122" s="243">
        <v>20</v>
      </c>
      <c r="E3122" s="243">
        <v>10</v>
      </c>
      <c r="F3122" s="243">
        <v>12</v>
      </c>
      <c r="G3122" s="243">
        <v>13</v>
      </c>
      <c r="H3122" s="243">
        <v>14</v>
      </c>
      <c r="I3122" s="243">
        <v>21</v>
      </c>
      <c r="J3122" s="243">
        <v>17</v>
      </c>
      <c r="K3122" s="243">
        <v>19</v>
      </c>
      <c r="L3122" s="243">
        <v>13</v>
      </c>
      <c r="M3122" s="243">
        <v>24</v>
      </c>
      <c r="N3122" s="243">
        <v>19</v>
      </c>
      <c r="O3122" s="253">
        <v>22</v>
      </c>
    </row>
    <row r="3123" spans="1:15">
      <c r="A3123" s="242" t="s">
        <v>66</v>
      </c>
      <c r="B3123" s="43" t="s">
        <v>4</v>
      </c>
      <c r="C3123" s="15">
        <v>13</v>
      </c>
      <c r="D3123" s="244">
        <v>2</v>
      </c>
      <c r="E3123" s="244">
        <v>0</v>
      </c>
      <c r="F3123" s="244">
        <v>3</v>
      </c>
      <c r="G3123" s="244">
        <v>1</v>
      </c>
      <c r="H3123" s="244">
        <v>1</v>
      </c>
      <c r="I3123" s="244">
        <v>3</v>
      </c>
      <c r="J3123" s="244">
        <v>1</v>
      </c>
      <c r="K3123" s="244">
        <v>0</v>
      </c>
      <c r="L3123" s="244">
        <v>0</v>
      </c>
      <c r="M3123" s="244">
        <v>0</v>
      </c>
      <c r="N3123" s="244">
        <v>1</v>
      </c>
      <c r="O3123" s="254">
        <v>1</v>
      </c>
    </row>
    <row r="3124" spans="1:15">
      <c r="A3124" s="240" t="s">
        <v>66</v>
      </c>
      <c r="B3124" s="47" t="s">
        <v>5</v>
      </c>
      <c r="C3124" s="12">
        <v>0.0637254901960784</v>
      </c>
      <c r="D3124" s="241">
        <v>0.1</v>
      </c>
      <c r="E3124" s="241">
        <v>0</v>
      </c>
      <c r="F3124" s="241">
        <v>0.25</v>
      </c>
      <c r="G3124" s="241">
        <v>0.0769230769230769</v>
      </c>
      <c r="H3124" s="241">
        <v>0.0714285714285714</v>
      </c>
      <c r="I3124" s="241">
        <v>0.142857142857143</v>
      </c>
      <c r="J3124" s="241">
        <v>0.0588235294117647</v>
      </c>
      <c r="K3124" s="241">
        <v>0</v>
      </c>
      <c r="L3124" s="241">
        <v>0</v>
      </c>
      <c r="M3124" s="241">
        <v>0</v>
      </c>
      <c r="N3124" s="241">
        <v>0.0526315789473684</v>
      </c>
      <c r="O3124" s="252">
        <v>0.0454545454545455</v>
      </c>
    </row>
    <row r="3125" spans="1:15">
      <c r="A3125" s="242" t="s">
        <v>66</v>
      </c>
      <c r="B3125" s="43" t="s">
        <v>6</v>
      </c>
      <c r="C3125" s="15">
        <v>5</v>
      </c>
      <c r="D3125" s="244">
        <v>1</v>
      </c>
      <c r="E3125" s="244">
        <v>0</v>
      </c>
      <c r="F3125" s="244">
        <v>0</v>
      </c>
      <c r="G3125" s="244">
        <v>0</v>
      </c>
      <c r="H3125" s="244">
        <v>2</v>
      </c>
      <c r="I3125" s="244">
        <v>0</v>
      </c>
      <c r="J3125" s="244">
        <v>0</v>
      </c>
      <c r="K3125" s="244">
        <v>0</v>
      </c>
      <c r="L3125" s="244">
        <v>1</v>
      </c>
      <c r="M3125" s="244">
        <v>0</v>
      </c>
      <c r="N3125" s="244">
        <v>0</v>
      </c>
      <c r="O3125" s="254">
        <v>1</v>
      </c>
    </row>
    <row r="3126" ht="14.25" spans="1:15">
      <c r="A3126" s="245" t="s">
        <v>66</v>
      </c>
      <c r="B3126" s="52" t="s">
        <v>64</v>
      </c>
      <c r="C3126" s="19">
        <v>0.384615384615385</v>
      </c>
      <c r="D3126" s="246">
        <v>0.5</v>
      </c>
      <c r="E3126" s="246">
        <v>0</v>
      </c>
      <c r="F3126" s="246">
        <v>0</v>
      </c>
      <c r="G3126" s="246">
        <v>0</v>
      </c>
      <c r="H3126" s="246">
        <v>2</v>
      </c>
      <c r="I3126" s="246">
        <v>0</v>
      </c>
      <c r="J3126" s="246">
        <v>0</v>
      </c>
      <c r="K3126" s="246">
        <v>0</v>
      </c>
      <c r="L3126" s="246">
        <v>0</v>
      </c>
      <c r="M3126" s="246">
        <v>0</v>
      </c>
      <c r="N3126" s="246">
        <v>0</v>
      </c>
      <c r="O3126" s="255">
        <v>1</v>
      </c>
    </row>
    <row r="3127" spans="1:15">
      <c r="A3127" s="240" t="s">
        <v>67</v>
      </c>
      <c r="B3127" s="47" t="s">
        <v>55</v>
      </c>
      <c r="C3127" s="12">
        <v>0.562363238512035</v>
      </c>
      <c r="D3127" s="241">
        <v>0.55</v>
      </c>
      <c r="E3127" s="241">
        <v>0.375</v>
      </c>
      <c r="F3127" s="241">
        <v>0.866666666666667</v>
      </c>
      <c r="G3127" s="241">
        <v>0.944444444444444</v>
      </c>
      <c r="H3127" s="241">
        <v>0.458333333333333</v>
      </c>
      <c r="I3127" s="241">
        <v>0.466666666666667</v>
      </c>
      <c r="J3127" s="241">
        <v>1.5</v>
      </c>
      <c r="K3127" s="241">
        <v>0.53125</v>
      </c>
      <c r="L3127" s="241">
        <v>0.566666666666667</v>
      </c>
      <c r="M3127" s="241">
        <v>0.5</v>
      </c>
      <c r="N3127" s="241">
        <v>0.575</v>
      </c>
      <c r="O3127" s="252">
        <v>0.5</v>
      </c>
    </row>
    <row r="3128" spans="1:15">
      <c r="A3128" s="242" t="s">
        <v>67</v>
      </c>
      <c r="B3128" s="43" t="s">
        <v>57</v>
      </c>
      <c r="C3128" s="15">
        <v>457</v>
      </c>
      <c r="D3128" s="243">
        <v>60</v>
      </c>
      <c r="E3128" s="243">
        <v>32</v>
      </c>
      <c r="F3128" s="243">
        <v>15</v>
      </c>
      <c r="G3128" s="243">
        <v>18</v>
      </c>
      <c r="H3128" s="243">
        <v>48</v>
      </c>
      <c r="I3128" s="243">
        <v>60</v>
      </c>
      <c r="J3128" s="243">
        <v>14</v>
      </c>
      <c r="K3128" s="243">
        <v>32</v>
      </c>
      <c r="L3128" s="243">
        <v>30</v>
      </c>
      <c r="M3128" s="243">
        <v>38</v>
      </c>
      <c r="N3128" s="243">
        <v>40</v>
      </c>
      <c r="O3128" s="253">
        <v>70</v>
      </c>
    </row>
    <row r="3129" spans="1:15">
      <c r="A3129" s="240" t="s">
        <v>67</v>
      </c>
      <c r="B3129" s="47" t="s">
        <v>59</v>
      </c>
      <c r="C3129" s="15">
        <v>257</v>
      </c>
      <c r="D3129" s="243">
        <v>33</v>
      </c>
      <c r="E3129" s="243">
        <v>12</v>
      </c>
      <c r="F3129" s="243">
        <v>13</v>
      </c>
      <c r="G3129" s="243">
        <v>17</v>
      </c>
      <c r="H3129" s="243">
        <v>22</v>
      </c>
      <c r="I3129" s="243">
        <v>28</v>
      </c>
      <c r="J3129" s="243">
        <v>21</v>
      </c>
      <c r="K3129" s="243">
        <v>17</v>
      </c>
      <c r="L3129" s="243">
        <v>17</v>
      </c>
      <c r="M3129" s="243">
        <v>19</v>
      </c>
      <c r="N3129" s="243">
        <v>23</v>
      </c>
      <c r="O3129" s="253">
        <v>35</v>
      </c>
    </row>
    <row r="3130" spans="1:15">
      <c r="A3130" s="242" t="s">
        <v>67</v>
      </c>
      <c r="B3130" s="43" t="s">
        <v>4</v>
      </c>
      <c r="C3130" s="15">
        <v>14</v>
      </c>
      <c r="D3130" s="244">
        <v>1</v>
      </c>
      <c r="E3130" s="244">
        <v>0</v>
      </c>
      <c r="F3130" s="244">
        <v>0</v>
      </c>
      <c r="G3130" s="244">
        <v>1</v>
      </c>
      <c r="H3130" s="244">
        <v>0</v>
      </c>
      <c r="I3130" s="244">
        <v>4</v>
      </c>
      <c r="J3130" s="244">
        <v>3</v>
      </c>
      <c r="K3130" s="244">
        <v>1</v>
      </c>
      <c r="L3130" s="244">
        <v>0</v>
      </c>
      <c r="M3130" s="244">
        <v>1</v>
      </c>
      <c r="N3130" s="244">
        <v>1</v>
      </c>
      <c r="O3130" s="254">
        <v>2</v>
      </c>
    </row>
    <row r="3131" spans="1:15">
      <c r="A3131" s="240" t="s">
        <v>67</v>
      </c>
      <c r="B3131" s="47" t="s">
        <v>5</v>
      </c>
      <c r="C3131" s="12">
        <v>0.0544747081712062</v>
      </c>
      <c r="D3131" s="241">
        <v>0.0303030303030303</v>
      </c>
      <c r="E3131" s="241">
        <v>0</v>
      </c>
      <c r="F3131" s="241">
        <v>0</v>
      </c>
      <c r="G3131" s="241">
        <v>0.0588235294117647</v>
      </c>
      <c r="H3131" s="241">
        <v>0</v>
      </c>
      <c r="I3131" s="241">
        <v>0.142857142857143</v>
      </c>
      <c r="J3131" s="241">
        <v>0.142857142857143</v>
      </c>
      <c r="K3131" s="241">
        <v>0.0588235294117647</v>
      </c>
      <c r="L3131" s="241">
        <v>0</v>
      </c>
      <c r="M3131" s="241">
        <v>0.0526315789473684</v>
      </c>
      <c r="N3131" s="241">
        <v>0.0434782608695652</v>
      </c>
      <c r="O3131" s="252">
        <v>0.0571428571428571</v>
      </c>
    </row>
    <row r="3132" spans="1:15">
      <c r="A3132" s="242" t="s">
        <v>67</v>
      </c>
      <c r="B3132" s="43" t="s">
        <v>6</v>
      </c>
      <c r="C3132" s="15">
        <v>7</v>
      </c>
      <c r="D3132" s="244">
        <v>1</v>
      </c>
      <c r="E3132" s="244">
        <v>1</v>
      </c>
      <c r="F3132" s="244">
        <v>0</v>
      </c>
      <c r="G3132" s="244">
        <v>2</v>
      </c>
      <c r="H3132" s="244">
        <v>0</v>
      </c>
      <c r="I3132" s="244">
        <v>1</v>
      </c>
      <c r="J3132" s="244">
        <v>1</v>
      </c>
      <c r="K3132" s="244">
        <v>0</v>
      </c>
      <c r="L3132" s="244">
        <v>0</v>
      </c>
      <c r="M3132" s="244">
        <v>0</v>
      </c>
      <c r="N3132" s="244">
        <v>1</v>
      </c>
      <c r="O3132" s="254">
        <v>0</v>
      </c>
    </row>
    <row r="3133" ht="14.25" spans="1:15">
      <c r="A3133" s="245" t="s">
        <v>67</v>
      </c>
      <c r="B3133" s="52" t="s">
        <v>64</v>
      </c>
      <c r="C3133" s="19">
        <v>0.5</v>
      </c>
      <c r="D3133" s="246">
        <v>1</v>
      </c>
      <c r="E3133" s="246">
        <v>0</v>
      </c>
      <c r="F3133" s="246">
        <v>0</v>
      </c>
      <c r="G3133" s="246">
        <v>2</v>
      </c>
      <c r="H3133" s="246">
        <v>0</v>
      </c>
      <c r="I3133" s="246">
        <v>0.25</v>
      </c>
      <c r="J3133" s="246">
        <v>0.333333333333333</v>
      </c>
      <c r="K3133" s="246">
        <v>0</v>
      </c>
      <c r="L3133" s="246">
        <v>0</v>
      </c>
      <c r="M3133" s="246">
        <v>0</v>
      </c>
      <c r="N3133" s="246">
        <v>1</v>
      </c>
      <c r="O3133" s="255">
        <v>0</v>
      </c>
    </row>
    <row r="3134" spans="1:15">
      <c r="A3134" s="240" t="s">
        <v>68</v>
      </c>
      <c r="B3134" s="47" t="s">
        <v>55</v>
      </c>
      <c r="C3134" s="12">
        <v>0.12709710218607</v>
      </c>
      <c r="D3134" s="241">
        <v>0.19811320754717</v>
      </c>
      <c r="E3134" s="241">
        <v>0.0990712074303406</v>
      </c>
      <c r="F3134" s="241">
        <v>0.131147540983607</v>
      </c>
      <c r="G3134" s="241">
        <v>0.127725856697819</v>
      </c>
      <c r="H3134" s="241">
        <v>0.136513157894737</v>
      </c>
      <c r="I3134" s="241">
        <v>0.108191653786708</v>
      </c>
      <c r="J3134" s="241">
        <v>0.13421550094518</v>
      </c>
      <c r="K3134" s="241">
        <v>0.0993265993265993</v>
      </c>
      <c r="L3134" s="241">
        <v>0.107070707070707</v>
      </c>
      <c r="M3134" s="241">
        <v>0.11472275334608</v>
      </c>
      <c r="N3134" s="241">
        <v>0.165794066317627</v>
      </c>
      <c r="O3134" s="252">
        <v>0.110912343470483</v>
      </c>
    </row>
    <row r="3135" spans="1:15">
      <c r="A3135" s="242" t="s">
        <v>68</v>
      </c>
      <c r="B3135" s="43" t="s">
        <v>57</v>
      </c>
      <c r="C3135" s="15">
        <v>5901</v>
      </c>
      <c r="D3135" s="243">
        <v>424</v>
      </c>
      <c r="E3135" s="243">
        <v>323</v>
      </c>
      <c r="F3135" s="243">
        <v>305</v>
      </c>
      <c r="G3135" s="243">
        <v>321</v>
      </c>
      <c r="H3135" s="243">
        <v>608</v>
      </c>
      <c r="I3135" s="243">
        <v>647</v>
      </c>
      <c r="J3135" s="243">
        <v>529</v>
      </c>
      <c r="K3135" s="243">
        <v>594</v>
      </c>
      <c r="L3135" s="243">
        <v>495</v>
      </c>
      <c r="M3135" s="243">
        <v>523</v>
      </c>
      <c r="N3135" s="243">
        <v>573</v>
      </c>
      <c r="O3135" s="253">
        <v>559</v>
      </c>
    </row>
    <row r="3136" spans="1:15">
      <c r="A3136" s="240" t="s">
        <v>68</v>
      </c>
      <c r="B3136" s="47" t="s">
        <v>59</v>
      </c>
      <c r="C3136" s="15">
        <v>750</v>
      </c>
      <c r="D3136" s="243">
        <v>84</v>
      </c>
      <c r="E3136" s="243">
        <v>32</v>
      </c>
      <c r="F3136" s="243">
        <v>40</v>
      </c>
      <c r="G3136" s="243">
        <v>41</v>
      </c>
      <c r="H3136" s="243">
        <v>83</v>
      </c>
      <c r="I3136" s="243">
        <v>70</v>
      </c>
      <c r="J3136" s="243">
        <v>71</v>
      </c>
      <c r="K3136" s="243">
        <v>59</v>
      </c>
      <c r="L3136" s="243">
        <v>53</v>
      </c>
      <c r="M3136" s="243">
        <v>60</v>
      </c>
      <c r="N3136" s="243">
        <v>95</v>
      </c>
      <c r="O3136" s="253">
        <v>62</v>
      </c>
    </row>
    <row r="3137" spans="1:15">
      <c r="A3137" s="242" t="s">
        <v>68</v>
      </c>
      <c r="B3137" s="43" t="s">
        <v>4</v>
      </c>
      <c r="C3137" s="15">
        <v>51</v>
      </c>
      <c r="D3137" s="244">
        <v>8</v>
      </c>
      <c r="E3137" s="244">
        <v>3</v>
      </c>
      <c r="F3137" s="244">
        <v>0</v>
      </c>
      <c r="G3137" s="244">
        <v>3</v>
      </c>
      <c r="H3137" s="244">
        <v>3</v>
      </c>
      <c r="I3137" s="244">
        <v>6</v>
      </c>
      <c r="J3137" s="244">
        <v>4</v>
      </c>
      <c r="K3137" s="244">
        <v>3</v>
      </c>
      <c r="L3137" s="244">
        <v>6</v>
      </c>
      <c r="M3137" s="244">
        <v>6</v>
      </c>
      <c r="N3137" s="244">
        <v>7</v>
      </c>
      <c r="O3137" s="254">
        <v>2</v>
      </c>
    </row>
    <row r="3138" spans="1:15">
      <c r="A3138" s="240" t="s">
        <v>68</v>
      </c>
      <c r="B3138" s="47" t="s">
        <v>5</v>
      </c>
      <c r="C3138" s="12">
        <v>0.068</v>
      </c>
      <c r="D3138" s="241">
        <v>0.0952380952380952</v>
      </c>
      <c r="E3138" s="241">
        <v>0.09375</v>
      </c>
      <c r="F3138" s="241">
        <v>0</v>
      </c>
      <c r="G3138" s="241">
        <v>0.0731707317073171</v>
      </c>
      <c r="H3138" s="241">
        <v>0.036144578313253</v>
      </c>
      <c r="I3138" s="241">
        <v>0.0857142857142857</v>
      </c>
      <c r="J3138" s="241">
        <v>0.0563380281690141</v>
      </c>
      <c r="K3138" s="241">
        <v>0.0508474576271186</v>
      </c>
      <c r="L3138" s="241">
        <v>0.113207547169811</v>
      </c>
      <c r="M3138" s="241">
        <v>0.1</v>
      </c>
      <c r="N3138" s="241">
        <v>0.0736842105263158</v>
      </c>
      <c r="O3138" s="252">
        <v>0.032258064516129</v>
      </c>
    </row>
    <row r="3139" spans="1:15">
      <c r="A3139" s="242" t="s">
        <v>68</v>
      </c>
      <c r="B3139" s="43" t="s">
        <v>6</v>
      </c>
      <c r="C3139" s="15">
        <v>21</v>
      </c>
      <c r="D3139" s="244">
        <v>2</v>
      </c>
      <c r="E3139" s="244">
        <v>2</v>
      </c>
      <c r="F3139" s="244">
        <v>0</v>
      </c>
      <c r="G3139" s="244">
        <v>3</v>
      </c>
      <c r="H3139" s="244">
        <v>0</v>
      </c>
      <c r="I3139" s="244">
        <v>2</v>
      </c>
      <c r="J3139" s="244">
        <v>2</v>
      </c>
      <c r="K3139" s="244">
        <v>0</v>
      </c>
      <c r="L3139" s="244">
        <v>3</v>
      </c>
      <c r="M3139" s="244">
        <v>2</v>
      </c>
      <c r="N3139" s="244">
        <v>4</v>
      </c>
      <c r="O3139" s="254">
        <v>1</v>
      </c>
    </row>
    <row r="3140" ht="14.25" spans="1:15">
      <c r="A3140" s="245" t="s">
        <v>68</v>
      </c>
      <c r="B3140" s="52" t="s">
        <v>64</v>
      </c>
      <c r="C3140" s="19">
        <v>0.411764705882353</v>
      </c>
      <c r="D3140" s="246">
        <v>0.25</v>
      </c>
      <c r="E3140" s="246">
        <v>0.666666666666667</v>
      </c>
      <c r="F3140" s="246">
        <v>0</v>
      </c>
      <c r="G3140" s="246">
        <v>1</v>
      </c>
      <c r="H3140" s="246">
        <v>0</v>
      </c>
      <c r="I3140" s="246">
        <v>0.333333333333333</v>
      </c>
      <c r="J3140" s="246">
        <v>0.5</v>
      </c>
      <c r="K3140" s="246">
        <v>0</v>
      </c>
      <c r="L3140" s="246">
        <v>0.5</v>
      </c>
      <c r="M3140" s="246">
        <v>0.333333333333333</v>
      </c>
      <c r="N3140" s="246">
        <v>0.571428571428571</v>
      </c>
      <c r="O3140" s="255">
        <v>0.5</v>
      </c>
    </row>
    <row r="3141" spans="1:15">
      <c r="A3141" s="240" t="s">
        <v>69</v>
      </c>
      <c r="B3141" s="47" t="s">
        <v>55</v>
      </c>
      <c r="C3141" s="12">
        <v>0.996131528046422</v>
      </c>
      <c r="D3141" s="241">
        <v>1.17543859649123</v>
      </c>
      <c r="E3141" s="241">
        <v>0.88</v>
      </c>
      <c r="F3141" s="241">
        <v>2.08333333333333</v>
      </c>
      <c r="G3141" s="241">
        <v>1.35</v>
      </c>
      <c r="H3141" s="241">
        <v>1.08888888888889</v>
      </c>
      <c r="I3141" s="241">
        <v>1.11111111111111</v>
      </c>
      <c r="J3141" s="241">
        <v>0.849056603773585</v>
      </c>
      <c r="K3141" s="241">
        <v>0.843137254901961</v>
      </c>
      <c r="L3141" s="241">
        <v>0.913793103448276</v>
      </c>
      <c r="M3141" s="241">
        <v>0.760869565217391</v>
      </c>
      <c r="N3141" s="241">
        <v>0.736842105263158</v>
      </c>
      <c r="O3141" s="252">
        <v>1.1875</v>
      </c>
    </row>
    <row r="3142" spans="1:15">
      <c r="A3142" s="242" t="s">
        <v>69</v>
      </c>
      <c r="B3142" s="43" t="s">
        <v>57</v>
      </c>
      <c r="C3142" s="15">
        <v>517</v>
      </c>
      <c r="D3142" s="243">
        <v>57</v>
      </c>
      <c r="E3142" s="243">
        <v>25</v>
      </c>
      <c r="F3142" s="243">
        <v>12</v>
      </c>
      <c r="G3142" s="243">
        <v>20</v>
      </c>
      <c r="H3142" s="243">
        <v>45</v>
      </c>
      <c r="I3142" s="243">
        <v>45</v>
      </c>
      <c r="J3142" s="243">
        <v>53</v>
      </c>
      <c r="K3142" s="243">
        <v>51</v>
      </c>
      <c r="L3142" s="243">
        <v>58</v>
      </c>
      <c r="M3142" s="243">
        <v>46</v>
      </c>
      <c r="N3142" s="243">
        <v>57</v>
      </c>
      <c r="O3142" s="253">
        <v>48</v>
      </c>
    </row>
    <row r="3143" spans="1:15">
      <c r="A3143" s="240" t="s">
        <v>69</v>
      </c>
      <c r="B3143" s="47" t="s">
        <v>59</v>
      </c>
      <c r="C3143" s="15">
        <v>515</v>
      </c>
      <c r="D3143" s="243">
        <v>67</v>
      </c>
      <c r="E3143" s="243">
        <v>22</v>
      </c>
      <c r="F3143" s="243">
        <v>25</v>
      </c>
      <c r="G3143" s="243">
        <v>27</v>
      </c>
      <c r="H3143" s="243">
        <v>49</v>
      </c>
      <c r="I3143" s="243">
        <v>50</v>
      </c>
      <c r="J3143" s="243">
        <v>45</v>
      </c>
      <c r="K3143" s="243">
        <v>43</v>
      </c>
      <c r="L3143" s="243">
        <v>53</v>
      </c>
      <c r="M3143" s="243">
        <v>35</v>
      </c>
      <c r="N3143" s="243">
        <v>42</v>
      </c>
      <c r="O3143" s="253">
        <v>57</v>
      </c>
    </row>
    <row r="3144" spans="1:15">
      <c r="A3144" s="242" t="s">
        <v>69</v>
      </c>
      <c r="B3144" s="43" t="s">
        <v>4</v>
      </c>
      <c r="C3144" s="15">
        <v>21</v>
      </c>
      <c r="D3144" s="244">
        <v>1</v>
      </c>
      <c r="E3144" s="244">
        <v>0</v>
      </c>
      <c r="F3144" s="244">
        <v>0</v>
      </c>
      <c r="G3144" s="244">
        <v>0</v>
      </c>
      <c r="H3144" s="244">
        <v>3</v>
      </c>
      <c r="I3144" s="244">
        <v>3</v>
      </c>
      <c r="J3144" s="244">
        <v>2</v>
      </c>
      <c r="K3144" s="244">
        <v>3</v>
      </c>
      <c r="L3144" s="244">
        <v>1</v>
      </c>
      <c r="M3144" s="244">
        <v>5</v>
      </c>
      <c r="N3144" s="244">
        <v>1</v>
      </c>
      <c r="O3144" s="254">
        <v>2</v>
      </c>
    </row>
    <row r="3145" spans="1:15">
      <c r="A3145" s="240" t="s">
        <v>69</v>
      </c>
      <c r="B3145" s="47" t="s">
        <v>5</v>
      </c>
      <c r="C3145" s="12">
        <v>0.0407766990291262</v>
      </c>
      <c r="D3145" s="241">
        <v>0.0149253731343284</v>
      </c>
      <c r="E3145" s="241">
        <v>0</v>
      </c>
      <c r="F3145" s="241">
        <v>0</v>
      </c>
      <c r="G3145" s="241">
        <v>0</v>
      </c>
      <c r="H3145" s="241">
        <v>0.0612244897959184</v>
      </c>
      <c r="I3145" s="241">
        <v>0.06</v>
      </c>
      <c r="J3145" s="241">
        <v>0.0444444444444444</v>
      </c>
      <c r="K3145" s="241">
        <v>0.0697674418604651</v>
      </c>
      <c r="L3145" s="241">
        <v>0.0188679245283019</v>
      </c>
      <c r="M3145" s="241">
        <v>0.142857142857143</v>
      </c>
      <c r="N3145" s="241">
        <v>0.0238095238095238</v>
      </c>
      <c r="O3145" s="252">
        <v>0.0350877192982456</v>
      </c>
    </row>
    <row r="3146" spans="1:15">
      <c r="A3146" s="242" t="s">
        <v>69</v>
      </c>
      <c r="B3146" s="43" t="s">
        <v>6</v>
      </c>
      <c r="C3146" s="15">
        <v>6</v>
      </c>
      <c r="D3146" s="244">
        <v>0</v>
      </c>
      <c r="E3146" s="244">
        <v>0</v>
      </c>
      <c r="F3146" s="244">
        <v>0</v>
      </c>
      <c r="G3146" s="244">
        <v>0</v>
      </c>
      <c r="H3146" s="244">
        <v>0</v>
      </c>
      <c r="I3146" s="244">
        <v>1</v>
      </c>
      <c r="J3146" s="244">
        <v>0</v>
      </c>
      <c r="K3146" s="244">
        <v>1</v>
      </c>
      <c r="L3146" s="244">
        <v>1</v>
      </c>
      <c r="M3146" s="244">
        <v>2</v>
      </c>
      <c r="N3146" s="244">
        <v>1</v>
      </c>
      <c r="O3146" s="254">
        <v>0</v>
      </c>
    </row>
    <row r="3147" ht="14.25" spans="1:15">
      <c r="A3147" s="245" t="s">
        <v>69</v>
      </c>
      <c r="B3147" s="52" t="s">
        <v>64</v>
      </c>
      <c r="C3147" s="19">
        <v>0.285714285714286</v>
      </c>
      <c r="D3147" s="246">
        <v>0</v>
      </c>
      <c r="E3147" s="246">
        <v>0</v>
      </c>
      <c r="F3147" s="246">
        <v>0</v>
      </c>
      <c r="G3147" s="246">
        <v>0</v>
      </c>
      <c r="H3147" s="246">
        <v>0</v>
      </c>
      <c r="I3147" s="246">
        <v>0.333333333333333</v>
      </c>
      <c r="J3147" s="246">
        <v>0</v>
      </c>
      <c r="K3147" s="246">
        <v>0.333333333333333</v>
      </c>
      <c r="L3147" s="246">
        <v>1</v>
      </c>
      <c r="M3147" s="246">
        <v>0.4</v>
      </c>
      <c r="N3147" s="246">
        <v>1</v>
      </c>
      <c r="O3147" s="255">
        <v>0</v>
      </c>
    </row>
    <row r="3148" spans="1:15">
      <c r="A3148" s="240" t="s">
        <v>70</v>
      </c>
      <c r="B3148" s="47" t="s">
        <v>55</v>
      </c>
      <c r="C3148" s="12">
        <v>0.325883418906675</v>
      </c>
      <c r="D3148" s="241">
        <v>0.366412213740458</v>
      </c>
      <c r="E3148" s="241">
        <v>0.404494382022472</v>
      </c>
      <c r="F3148" s="241">
        <v>0.379310344827586</v>
      </c>
      <c r="G3148" s="241">
        <v>0.350877192982456</v>
      </c>
      <c r="H3148" s="241">
        <v>0.314393939393939</v>
      </c>
      <c r="I3148" s="241">
        <v>0.334394904458599</v>
      </c>
      <c r="J3148" s="241">
        <v>0.260135135135135</v>
      </c>
      <c r="K3148" s="241">
        <v>0.32425068119891</v>
      </c>
      <c r="L3148" s="241">
        <v>0.337883959044369</v>
      </c>
      <c r="M3148" s="241">
        <v>0.392226148409894</v>
      </c>
      <c r="N3148" s="241">
        <v>0.283707865168539</v>
      </c>
      <c r="O3148" s="252">
        <v>0.272506082725061</v>
      </c>
    </row>
    <row r="3149" spans="1:15">
      <c r="A3149" s="242" t="s">
        <v>70</v>
      </c>
      <c r="B3149" s="43" t="s">
        <v>57</v>
      </c>
      <c r="C3149" s="15">
        <v>3311</v>
      </c>
      <c r="D3149" s="243">
        <v>262</v>
      </c>
      <c r="E3149" s="243">
        <v>178</v>
      </c>
      <c r="F3149" s="243">
        <v>116</v>
      </c>
      <c r="G3149" s="243">
        <v>171</v>
      </c>
      <c r="H3149" s="243">
        <v>264</v>
      </c>
      <c r="I3149" s="243">
        <v>314</v>
      </c>
      <c r="J3149" s="243">
        <v>296</v>
      </c>
      <c r="K3149" s="243">
        <v>367</v>
      </c>
      <c r="L3149" s="243">
        <v>293</v>
      </c>
      <c r="M3149" s="243">
        <v>283</v>
      </c>
      <c r="N3149" s="243">
        <v>356</v>
      </c>
      <c r="O3149" s="253">
        <v>411</v>
      </c>
    </row>
    <row r="3150" spans="1:15">
      <c r="A3150" s="240" t="s">
        <v>70</v>
      </c>
      <c r="B3150" s="47" t="s">
        <v>59</v>
      </c>
      <c r="C3150" s="15">
        <v>1079</v>
      </c>
      <c r="D3150" s="243">
        <v>96</v>
      </c>
      <c r="E3150" s="243">
        <v>72</v>
      </c>
      <c r="F3150" s="243">
        <v>44</v>
      </c>
      <c r="G3150" s="243">
        <v>60</v>
      </c>
      <c r="H3150" s="243">
        <v>83</v>
      </c>
      <c r="I3150" s="243">
        <v>105</v>
      </c>
      <c r="J3150" s="243">
        <v>77</v>
      </c>
      <c r="K3150" s="243">
        <v>119</v>
      </c>
      <c r="L3150" s="243">
        <v>99</v>
      </c>
      <c r="M3150" s="243">
        <v>111</v>
      </c>
      <c r="N3150" s="243">
        <v>101</v>
      </c>
      <c r="O3150" s="253">
        <v>112</v>
      </c>
    </row>
    <row r="3151" spans="1:15">
      <c r="A3151" s="242" t="s">
        <v>70</v>
      </c>
      <c r="B3151" s="43" t="s">
        <v>4</v>
      </c>
      <c r="C3151" s="15">
        <v>102</v>
      </c>
      <c r="D3151" s="244">
        <v>8</v>
      </c>
      <c r="E3151" s="244">
        <v>9</v>
      </c>
      <c r="F3151" s="244">
        <v>4</v>
      </c>
      <c r="G3151" s="244">
        <v>4</v>
      </c>
      <c r="H3151" s="244">
        <v>15</v>
      </c>
      <c r="I3151" s="244">
        <v>11</v>
      </c>
      <c r="J3151" s="244">
        <v>5</v>
      </c>
      <c r="K3151" s="244">
        <v>6</v>
      </c>
      <c r="L3151" s="244">
        <v>5</v>
      </c>
      <c r="M3151" s="244">
        <v>10</v>
      </c>
      <c r="N3151" s="244">
        <v>6</v>
      </c>
      <c r="O3151" s="254">
        <v>19</v>
      </c>
    </row>
    <row r="3152" spans="1:15">
      <c r="A3152" s="240" t="s">
        <v>70</v>
      </c>
      <c r="B3152" s="47" t="s">
        <v>5</v>
      </c>
      <c r="C3152" s="12">
        <v>0.0945319740500463</v>
      </c>
      <c r="D3152" s="241">
        <v>0.0833333333333333</v>
      </c>
      <c r="E3152" s="241">
        <v>0.125</v>
      </c>
      <c r="F3152" s="241">
        <v>0.0909090909090909</v>
      </c>
      <c r="G3152" s="241">
        <v>0.0666666666666667</v>
      </c>
      <c r="H3152" s="241">
        <v>0.180722891566265</v>
      </c>
      <c r="I3152" s="241">
        <v>0.104761904761905</v>
      </c>
      <c r="J3152" s="241">
        <v>0.0649350649350649</v>
      </c>
      <c r="K3152" s="241">
        <v>0.0504201680672269</v>
      </c>
      <c r="L3152" s="241">
        <v>0.0505050505050505</v>
      </c>
      <c r="M3152" s="241">
        <v>0.0900900900900901</v>
      </c>
      <c r="N3152" s="241">
        <v>0.0594059405940594</v>
      </c>
      <c r="O3152" s="252">
        <v>0.169642857142857</v>
      </c>
    </row>
    <row r="3153" spans="1:15">
      <c r="A3153" s="242" t="s">
        <v>70</v>
      </c>
      <c r="B3153" s="43" t="s">
        <v>6</v>
      </c>
      <c r="C3153" s="15">
        <v>32</v>
      </c>
      <c r="D3153" s="244">
        <v>4</v>
      </c>
      <c r="E3153" s="244">
        <v>0</v>
      </c>
      <c r="F3153" s="244">
        <v>1</v>
      </c>
      <c r="G3153" s="244">
        <v>0</v>
      </c>
      <c r="H3153" s="244">
        <v>9</v>
      </c>
      <c r="I3153" s="244">
        <v>2</v>
      </c>
      <c r="J3153" s="244">
        <v>3</v>
      </c>
      <c r="K3153" s="244">
        <v>2</v>
      </c>
      <c r="L3153" s="244">
        <v>4</v>
      </c>
      <c r="M3153" s="244">
        <v>2</v>
      </c>
      <c r="N3153" s="244">
        <v>2</v>
      </c>
      <c r="O3153" s="254">
        <v>3</v>
      </c>
    </row>
    <row r="3154" ht="14.25" spans="1:15">
      <c r="A3154" s="245" t="s">
        <v>70</v>
      </c>
      <c r="B3154" s="52" t="s">
        <v>64</v>
      </c>
      <c r="C3154" s="19">
        <v>0.313725490196078</v>
      </c>
      <c r="D3154" s="246">
        <v>0.5</v>
      </c>
      <c r="E3154" s="246">
        <v>0</v>
      </c>
      <c r="F3154" s="246">
        <v>0.25</v>
      </c>
      <c r="G3154" s="246">
        <v>0</v>
      </c>
      <c r="H3154" s="246">
        <v>0.6</v>
      </c>
      <c r="I3154" s="246">
        <v>0.181818181818182</v>
      </c>
      <c r="J3154" s="246">
        <v>0.6</v>
      </c>
      <c r="K3154" s="246">
        <v>0.333333333333333</v>
      </c>
      <c r="L3154" s="246">
        <v>0.8</v>
      </c>
      <c r="M3154" s="246">
        <v>0.2</v>
      </c>
      <c r="N3154" s="246">
        <v>0.333333333333333</v>
      </c>
      <c r="O3154" s="255">
        <v>0.157894736842105</v>
      </c>
    </row>
    <row r="3155" spans="1:15">
      <c r="A3155" s="240" t="s">
        <v>26</v>
      </c>
      <c r="B3155" s="47" t="s">
        <v>55</v>
      </c>
      <c r="C3155" s="12">
        <v>0.697630331753554</v>
      </c>
      <c r="D3155" s="241">
        <v>0.613003095975232</v>
      </c>
      <c r="E3155" s="241">
        <v>0.60036496350365</v>
      </c>
      <c r="F3155" s="241">
        <v>0.66120218579235</v>
      </c>
      <c r="G3155" s="241">
        <v>0.796812749003984</v>
      </c>
      <c r="H3155" s="241">
        <v>0.728301886792453</v>
      </c>
      <c r="I3155" s="241">
        <v>0.799065420560748</v>
      </c>
      <c r="J3155" s="241">
        <v>0.745454545454545</v>
      </c>
      <c r="K3155" s="241">
        <v>0.828025477707006</v>
      </c>
      <c r="L3155" s="241">
        <v>0.6625</v>
      </c>
      <c r="M3155" s="241">
        <v>0.809917355371901</v>
      </c>
      <c r="N3155" s="241">
        <v>0.81203007518797</v>
      </c>
      <c r="O3155" s="252">
        <v>0.805755395683453</v>
      </c>
    </row>
    <row r="3156" spans="1:15">
      <c r="A3156" s="242" t="s">
        <v>26</v>
      </c>
      <c r="B3156" s="43" t="s">
        <v>57</v>
      </c>
      <c r="C3156" s="15">
        <v>3165</v>
      </c>
      <c r="D3156" s="243">
        <v>646</v>
      </c>
      <c r="E3156" s="243">
        <v>548</v>
      </c>
      <c r="F3156" s="243">
        <v>366</v>
      </c>
      <c r="G3156" s="243">
        <v>251</v>
      </c>
      <c r="H3156" s="243">
        <v>265</v>
      </c>
      <c r="I3156" s="243">
        <v>214</v>
      </c>
      <c r="J3156" s="243">
        <v>165</v>
      </c>
      <c r="K3156" s="243">
        <v>157</v>
      </c>
      <c r="L3156" s="243">
        <v>160</v>
      </c>
      <c r="M3156" s="243">
        <v>121</v>
      </c>
      <c r="N3156" s="243">
        <v>133</v>
      </c>
      <c r="O3156" s="253">
        <v>139</v>
      </c>
    </row>
    <row r="3157" spans="1:15">
      <c r="A3157" s="240" t="s">
        <v>26</v>
      </c>
      <c r="B3157" s="47" t="s">
        <v>59</v>
      </c>
      <c r="C3157" s="15">
        <v>2208</v>
      </c>
      <c r="D3157" s="243">
        <v>396</v>
      </c>
      <c r="E3157" s="243">
        <v>329</v>
      </c>
      <c r="F3157" s="243">
        <v>242</v>
      </c>
      <c r="G3157" s="243">
        <v>200</v>
      </c>
      <c r="H3157" s="243">
        <v>193</v>
      </c>
      <c r="I3157" s="243">
        <v>171</v>
      </c>
      <c r="J3157" s="243">
        <v>123</v>
      </c>
      <c r="K3157" s="243">
        <v>130</v>
      </c>
      <c r="L3157" s="243">
        <v>106</v>
      </c>
      <c r="M3157" s="243">
        <v>98</v>
      </c>
      <c r="N3157" s="243">
        <v>108</v>
      </c>
      <c r="O3157" s="253">
        <v>112</v>
      </c>
    </row>
    <row r="3158" spans="1:15">
      <c r="A3158" s="242" t="s">
        <v>26</v>
      </c>
      <c r="B3158" s="43" t="s">
        <v>4</v>
      </c>
      <c r="C3158" s="15">
        <v>20</v>
      </c>
      <c r="D3158" s="244">
        <v>5</v>
      </c>
      <c r="E3158" s="244">
        <v>2</v>
      </c>
      <c r="F3158" s="244">
        <v>0</v>
      </c>
      <c r="G3158" s="244">
        <v>2</v>
      </c>
      <c r="H3158" s="244">
        <v>2</v>
      </c>
      <c r="I3158" s="244">
        <v>1</v>
      </c>
      <c r="J3158" s="244">
        <v>1</v>
      </c>
      <c r="K3158" s="244">
        <v>1</v>
      </c>
      <c r="L3158" s="244">
        <v>1</v>
      </c>
      <c r="M3158" s="244">
        <v>2</v>
      </c>
      <c r="N3158" s="244">
        <v>2</v>
      </c>
      <c r="O3158" s="254">
        <v>1</v>
      </c>
    </row>
    <row r="3159" spans="1:15">
      <c r="A3159" s="240" t="s">
        <v>26</v>
      </c>
      <c r="B3159" s="47" t="s">
        <v>5</v>
      </c>
      <c r="C3159" s="12">
        <v>0.00905797101449275</v>
      </c>
      <c r="D3159" s="241">
        <v>0.0126262626262626</v>
      </c>
      <c r="E3159" s="241">
        <v>0.0060790273556231</v>
      </c>
      <c r="F3159" s="241">
        <v>0</v>
      </c>
      <c r="G3159" s="241">
        <v>0.01</v>
      </c>
      <c r="H3159" s="241">
        <v>0.0103626943005181</v>
      </c>
      <c r="I3159" s="241">
        <v>0.00584795321637427</v>
      </c>
      <c r="J3159" s="241">
        <v>0.00813008130081301</v>
      </c>
      <c r="K3159" s="241">
        <v>0.00769230769230769</v>
      </c>
      <c r="L3159" s="241">
        <v>0.00943396226415094</v>
      </c>
      <c r="M3159" s="241">
        <v>0.0204081632653061</v>
      </c>
      <c r="N3159" s="241">
        <v>0.0185185185185185</v>
      </c>
      <c r="O3159" s="252">
        <v>0.00892857142857143</v>
      </c>
    </row>
    <row r="3160" spans="1:15">
      <c r="A3160" s="242" t="s">
        <v>26</v>
      </c>
      <c r="B3160" s="43" t="s">
        <v>6</v>
      </c>
      <c r="C3160" s="15">
        <v>8</v>
      </c>
      <c r="D3160" s="244">
        <v>2</v>
      </c>
      <c r="E3160" s="244">
        <v>1</v>
      </c>
      <c r="F3160" s="244">
        <v>0</v>
      </c>
      <c r="G3160" s="244">
        <v>1</v>
      </c>
      <c r="H3160" s="244">
        <v>1</v>
      </c>
      <c r="I3160" s="244">
        <v>0</v>
      </c>
      <c r="J3160" s="244">
        <v>0</v>
      </c>
      <c r="K3160" s="244">
        <v>0</v>
      </c>
      <c r="L3160" s="244">
        <v>0</v>
      </c>
      <c r="M3160" s="244">
        <v>2</v>
      </c>
      <c r="N3160" s="244">
        <v>1</v>
      </c>
      <c r="O3160" s="254">
        <v>0</v>
      </c>
    </row>
    <row r="3161" ht="14.25" spans="1:15">
      <c r="A3161" s="245" t="s">
        <v>26</v>
      </c>
      <c r="B3161" s="52" t="s">
        <v>64</v>
      </c>
      <c r="C3161" s="19">
        <v>0.4</v>
      </c>
      <c r="D3161" s="19">
        <v>0.4</v>
      </c>
      <c r="E3161" s="19">
        <v>0.5</v>
      </c>
      <c r="F3161" s="19" t="e">
        <v>#DIV/0!</v>
      </c>
      <c r="G3161" s="19">
        <v>0.5</v>
      </c>
      <c r="H3161" s="19">
        <v>0.5</v>
      </c>
      <c r="I3161" s="19">
        <v>0</v>
      </c>
      <c r="J3161" s="19">
        <v>0</v>
      </c>
      <c r="K3161" s="19">
        <v>0</v>
      </c>
      <c r="L3161" s="19">
        <v>0</v>
      </c>
      <c r="M3161" s="19">
        <v>1</v>
      </c>
      <c r="N3161" s="19">
        <v>0.5</v>
      </c>
      <c r="O3161" s="19">
        <v>0</v>
      </c>
    </row>
    <row r="3162" spans="1:15">
      <c r="A3162" s="240" t="s">
        <v>71</v>
      </c>
      <c r="B3162" s="47" t="s">
        <v>55</v>
      </c>
      <c r="C3162" s="12">
        <v>7.5</v>
      </c>
      <c r="D3162" s="241" t="e">
        <v>#DIV/0!</v>
      </c>
      <c r="E3162" s="241" t="e">
        <v>#DIV/0!</v>
      </c>
      <c r="F3162" s="241">
        <v>0</v>
      </c>
      <c r="G3162" s="241" t="e">
        <v>#DIV/0!</v>
      </c>
      <c r="H3162" s="241" t="e">
        <v>#DIV/0!</v>
      </c>
      <c r="I3162" s="241" t="e">
        <v>#DIV/0!</v>
      </c>
      <c r="J3162" s="241" t="e">
        <v>#DIV/0!</v>
      </c>
      <c r="K3162" s="241" t="e">
        <v>#DIV/0!</v>
      </c>
      <c r="L3162" s="241" t="e">
        <v>#DIV/0!</v>
      </c>
      <c r="M3162" s="241" t="e">
        <v>#DIV/0!</v>
      </c>
      <c r="N3162" s="241" t="e">
        <v>#DIV/0!</v>
      </c>
      <c r="O3162" s="252" t="e">
        <v>#DIV/0!</v>
      </c>
    </row>
    <row r="3163" spans="1:15">
      <c r="A3163" s="242" t="s">
        <v>71</v>
      </c>
      <c r="B3163" s="43" t="s">
        <v>57</v>
      </c>
      <c r="C3163" s="15">
        <v>2</v>
      </c>
      <c r="D3163" s="243">
        <v>0</v>
      </c>
      <c r="E3163" s="243">
        <v>0</v>
      </c>
      <c r="F3163" s="243">
        <v>2</v>
      </c>
      <c r="G3163" s="243">
        <v>0</v>
      </c>
      <c r="H3163" s="243">
        <v>0</v>
      </c>
      <c r="I3163" s="243">
        <v>0</v>
      </c>
      <c r="J3163" s="243">
        <v>0</v>
      </c>
      <c r="K3163" s="243">
        <v>0</v>
      </c>
      <c r="L3163" s="243">
        <v>0</v>
      </c>
      <c r="M3163" s="243">
        <v>0</v>
      </c>
      <c r="N3163" s="243">
        <v>0</v>
      </c>
      <c r="O3163" s="253">
        <v>0</v>
      </c>
    </row>
    <row r="3164" spans="1:15">
      <c r="A3164" s="240" t="s">
        <v>71</v>
      </c>
      <c r="B3164" s="47" t="s">
        <v>59</v>
      </c>
      <c r="C3164" s="15">
        <v>15</v>
      </c>
      <c r="D3164" s="243">
        <v>1</v>
      </c>
      <c r="E3164" s="243">
        <v>0</v>
      </c>
      <c r="F3164" s="243">
        <v>0</v>
      </c>
      <c r="G3164" s="243">
        <v>0</v>
      </c>
      <c r="H3164" s="243">
        <v>1</v>
      </c>
      <c r="I3164" s="243">
        <v>2</v>
      </c>
      <c r="J3164" s="243">
        <v>2</v>
      </c>
      <c r="K3164" s="243">
        <v>0</v>
      </c>
      <c r="L3164" s="243">
        <v>3</v>
      </c>
      <c r="M3164" s="243">
        <v>1</v>
      </c>
      <c r="N3164" s="243">
        <v>1</v>
      </c>
      <c r="O3164" s="253">
        <v>4</v>
      </c>
    </row>
    <row r="3165" spans="1:15">
      <c r="A3165" s="242" t="s">
        <v>71</v>
      </c>
      <c r="B3165" s="43" t="s">
        <v>4</v>
      </c>
      <c r="C3165" s="15">
        <v>8</v>
      </c>
      <c r="D3165" s="244">
        <v>1</v>
      </c>
      <c r="E3165" s="244">
        <v>0</v>
      </c>
      <c r="F3165" s="244">
        <v>0</v>
      </c>
      <c r="G3165" s="244">
        <v>1</v>
      </c>
      <c r="H3165" s="244">
        <v>0</v>
      </c>
      <c r="I3165" s="244">
        <v>1</v>
      </c>
      <c r="J3165" s="244">
        <v>1</v>
      </c>
      <c r="K3165" s="244">
        <v>1</v>
      </c>
      <c r="L3165" s="244">
        <v>1</v>
      </c>
      <c r="M3165" s="244">
        <v>1</v>
      </c>
      <c r="N3165" s="244">
        <v>1</v>
      </c>
      <c r="O3165" s="254">
        <v>0</v>
      </c>
    </row>
    <row r="3166" spans="1:15">
      <c r="A3166" s="240" t="s">
        <v>71</v>
      </c>
      <c r="B3166" s="47" t="s">
        <v>5</v>
      </c>
      <c r="C3166" s="241">
        <v>0.533333333333333</v>
      </c>
      <c r="D3166" s="241">
        <v>1</v>
      </c>
      <c r="E3166" s="241">
        <v>0</v>
      </c>
      <c r="F3166" s="241">
        <v>0</v>
      </c>
      <c r="G3166" s="241">
        <v>0</v>
      </c>
      <c r="H3166" s="241">
        <v>0</v>
      </c>
      <c r="I3166" s="241">
        <v>0.5</v>
      </c>
      <c r="J3166" s="241">
        <v>0.5</v>
      </c>
      <c r="K3166" s="241">
        <v>0</v>
      </c>
      <c r="L3166" s="241">
        <v>0.333333333333333</v>
      </c>
      <c r="M3166" s="241">
        <v>1</v>
      </c>
      <c r="N3166" s="241">
        <v>1</v>
      </c>
      <c r="O3166" s="252">
        <v>0</v>
      </c>
    </row>
    <row r="3167" spans="1:15">
      <c r="A3167" s="242" t="s">
        <v>71</v>
      </c>
      <c r="B3167" s="43" t="s">
        <v>6</v>
      </c>
      <c r="C3167" s="15">
        <v>5</v>
      </c>
      <c r="D3167" s="244">
        <v>0</v>
      </c>
      <c r="E3167" s="244">
        <v>0</v>
      </c>
      <c r="F3167" s="244">
        <v>1</v>
      </c>
      <c r="G3167" s="244">
        <v>0</v>
      </c>
      <c r="H3167" s="244">
        <v>0</v>
      </c>
      <c r="I3167" s="244">
        <v>0</v>
      </c>
      <c r="J3167" s="244">
        <v>1</v>
      </c>
      <c r="K3167" s="244">
        <v>2</v>
      </c>
      <c r="L3167" s="244">
        <v>1</v>
      </c>
      <c r="M3167" s="244">
        <v>0</v>
      </c>
      <c r="N3167" s="244">
        <v>0</v>
      </c>
      <c r="O3167" s="254">
        <v>0</v>
      </c>
    </row>
    <row r="3168" ht="14.25" spans="1:15">
      <c r="A3168" s="245" t="s">
        <v>71</v>
      </c>
      <c r="B3168" s="52" t="s">
        <v>64</v>
      </c>
      <c r="C3168" s="19">
        <v>0.625</v>
      </c>
      <c r="D3168" s="19">
        <v>0</v>
      </c>
      <c r="E3168" s="19" t="e">
        <v>#DIV/0!</v>
      </c>
      <c r="F3168" s="19" t="e">
        <v>#DIV/0!</v>
      </c>
      <c r="G3168" s="19">
        <v>0</v>
      </c>
      <c r="H3168" s="19" t="e">
        <v>#DIV/0!</v>
      </c>
      <c r="I3168" s="19">
        <v>0</v>
      </c>
      <c r="J3168" s="19">
        <v>1</v>
      </c>
      <c r="K3168" s="19">
        <v>2</v>
      </c>
      <c r="L3168" s="19">
        <v>1</v>
      </c>
      <c r="M3168" s="19">
        <v>0</v>
      </c>
      <c r="N3168" s="19">
        <v>0</v>
      </c>
      <c r="O3168" s="19" t="e">
        <v>#DIV/0!</v>
      </c>
    </row>
    <row r="3169" spans="1:15">
      <c r="A3169" s="240" t="s">
        <v>72</v>
      </c>
      <c r="B3169" s="47" t="s">
        <v>55</v>
      </c>
      <c r="C3169" s="12">
        <v>0.178466939730837</v>
      </c>
      <c r="D3169" s="241">
        <v>0.190376569037657</v>
      </c>
      <c r="E3169" s="241">
        <v>0.191616766467066</v>
      </c>
      <c r="F3169" s="241">
        <v>0.151515151515152</v>
      </c>
      <c r="G3169" s="241">
        <v>0.112280701754386</v>
      </c>
      <c r="H3169" s="241">
        <v>0.223837209302326</v>
      </c>
      <c r="I3169" s="241">
        <v>0.212658227848101</v>
      </c>
      <c r="J3169" s="241">
        <v>0.145584725536993</v>
      </c>
      <c r="K3169" s="241">
        <v>0.149590163934426</v>
      </c>
      <c r="L3169" s="241">
        <v>0.165354330708661</v>
      </c>
      <c r="M3169" s="241">
        <v>0.222972972972973</v>
      </c>
      <c r="N3169" s="241">
        <v>0.191637630662021</v>
      </c>
      <c r="O3169" s="252">
        <v>0.166666666666667</v>
      </c>
    </row>
    <row r="3170" spans="1:15">
      <c r="A3170" s="242" t="s">
        <v>72</v>
      </c>
      <c r="B3170" s="43" t="s">
        <v>57</v>
      </c>
      <c r="C3170" s="15">
        <v>5127</v>
      </c>
      <c r="D3170" s="243">
        <v>478</v>
      </c>
      <c r="E3170" s="243">
        <v>334</v>
      </c>
      <c r="F3170" s="243">
        <v>198</v>
      </c>
      <c r="G3170" s="243">
        <v>285</v>
      </c>
      <c r="H3170" s="243">
        <v>344</v>
      </c>
      <c r="I3170" s="243">
        <v>395</v>
      </c>
      <c r="J3170" s="243">
        <v>419</v>
      </c>
      <c r="K3170" s="243">
        <v>488</v>
      </c>
      <c r="L3170" s="243">
        <v>508</v>
      </c>
      <c r="M3170" s="243">
        <v>444</v>
      </c>
      <c r="N3170" s="243">
        <v>574</v>
      </c>
      <c r="O3170" s="253">
        <v>660</v>
      </c>
    </row>
    <row r="3171" spans="1:15">
      <c r="A3171" s="240" t="s">
        <v>72</v>
      </c>
      <c r="B3171" s="47" t="s">
        <v>59</v>
      </c>
      <c r="C3171" s="15">
        <v>915</v>
      </c>
      <c r="D3171" s="243">
        <v>91</v>
      </c>
      <c r="E3171" s="243">
        <v>64</v>
      </c>
      <c r="F3171" s="243">
        <v>30</v>
      </c>
      <c r="G3171" s="243">
        <v>32</v>
      </c>
      <c r="H3171" s="243">
        <v>77</v>
      </c>
      <c r="I3171" s="243">
        <v>84</v>
      </c>
      <c r="J3171" s="243">
        <v>61</v>
      </c>
      <c r="K3171" s="243">
        <v>73</v>
      </c>
      <c r="L3171" s="243">
        <v>84</v>
      </c>
      <c r="M3171" s="243">
        <v>99</v>
      </c>
      <c r="N3171" s="243">
        <v>110</v>
      </c>
      <c r="O3171" s="253">
        <v>110</v>
      </c>
    </row>
    <row r="3172" spans="1:15">
      <c r="A3172" s="242" t="s">
        <v>72</v>
      </c>
      <c r="B3172" s="43" t="s">
        <v>4</v>
      </c>
      <c r="C3172" s="15">
        <v>85</v>
      </c>
      <c r="D3172" s="244">
        <v>9</v>
      </c>
      <c r="E3172" s="244">
        <v>5</v>
      </c>
      <c r="F3172" s="244">
        <v>2</v>
      </c>
      <c r="G3172" s="244">
        <v>1</v>
      </c>
      <c r="H3172" s="244">
        <v>8</v>
      </c>
      <c r="I3172" s="244">
        <v>6</v>
      </c>
      <c r="J3172" s="244">
        <v>6</v>
      </c>
      <c r="K3172" s="244">
        <v>8</v>
      </c>
      <c r="L3172" s="244">
        <v>10</v>
      </c>
      <c r="M3172" s="244">
        <v>11</v>
      </c>
      <c r="N3172" s="244">
        <v>6</v>
      </c>
      <c r="O3172" s="254">
        <v>13</v>
      </c>
    </row>
    <row r="3173" spans="1:15">
      <c r="A3173" s="240" t="s">
        <v>72</v>
      </c>
      <c r="B3173" s="47" t="s">
        <v>5</v>
      </c>
      <c r="C3173" s="12">
        <v>0.092896174863388</v>
      </c>
      <c r="D3173" s="241">
        <v>0.0989010989010989</v>
      </c>
      <c r="E3173" s="241">
        <v>0.078125</v>
      </c>
      <c r="F3173" s="241">
        <v>0.0666666666666667</v>
      </c>
      <c r="G3173" s="241">
        <v>0.03125</v>
      </c>
      <c r="H3173" s="241">
        <v>0.103896103896104</v>
      </c>
      <c r="I3173" s="241">
        <v>0.0714285714285714</v>
      </c>
      <c r="J3173" s="241">
        <v>0.0983606557377049</v>
      </c>
      <c r="K3173" s="241">
        <v>0.10958904109589</v>
      </c>
      <c r="L3173" s="241">
        <v>0.119047619047619</v>
      </c>
      <c r="M3173" s="241">
        <v>0.111111111111111</v>
      </c>
      <c r="N3173" s="241">
        <v>0.0545454545454545</v>
      </c>
      <c r="O3173" s="252">
        <v>0.118181818181818</v>
      </c>
    </row>
    <row r="3174" spans="1:15">
      <c r="A3174" s="242" t="s">
        <v>72</v>
      </c>
      <c r="B3174" s="43" t="s">
        <v>6</v>
      </c>
      <c r="C3174" s="15">
        <v>21</v>
      </c>
      <c r="D3174" s="244">
        <v>2</v>
      </c>
      <c r="E3174" s="244">
        <v>3</v>
      </c>
      <c r="F3174" s="244">
        <v>0</v>
      </c>
      <c r="G3174" s="244">
        <v>0</v>
      </c>
      <c r="H3174" s="244">
        <v>1</v>
      </c>
      <c r="I3174" s="244">
        <v>2</v>
      </c>
      <c r="J3174" s="244">
        <v>1</v>
      </c>
      <c r="K3174" s="244">
        <v>6</v>
      </c>
      <c r="L3174" s="244">
        <v>2</v>
      </c>
      <c r="M3174" s="244">
        <v>2</v>
      </c>
      <c r="N3174" s="244">
        <v>1</v>
      </c>
      <c r="O3174" s="254">
        <v>1</v>
      </c>
    </row>
    <row r="3175" ht="14.25" spans="1:15">
      <c r="A3175" s="245" t="s">
        <v>72</v>
      </c>
      <c r="B3175" s="52" t="s">
        <v>64</v>
      </c>
      <c r="C3175" s="19">
        <v>0.247058823529412</v>
      </c>
      <c r="D3175" s="19">
        <v>0.222222222222222</v>
      </c>
      <c r="E3175" s="19">
        <v>0.6</v>
      </c>
      <c r="F3175" s="19">
        <v>0</v>
      </c>
      <c r="G3175" s="19">
        <v>0</v>
      </c>
      <c r="H3175" s="19">
        <v>0.125</v>
      </c>
      <c r="I3175" s="19">
        <v>0.333333333333333</v>
      </c>
      <c r="J3175" s="19">
        <v>0.166666666666667</v>
      </c>
      <c r="K3175" s="19">
        <v>0.75</v>
      </c>
      <c r="L3175" s="19">
        <v>0.2</v>
      </c>
      <c r="M3175" s="19">
        <v>0.181818181818182</v>
      </c>
      <c r="N3175" s="19">
        <v>0.166666666666667</v>
      </c>
      <c r="O3175" s="19">
        <v>0.0769230769230769</v>
      </c>
    </row>
    <row r="3176" ht="14.25" spans="1:15">
      <c r="A3176" s="237">
        <v>45068</v>
      </c>
      <c r="B3176" s="237"/>
      <c r="C3176" s="237"/>
      <c r="D3176" s="237"/>
      <c r="E3176" s="237"/>
      <c r="F3176" s="237"/>
      <c r="G3176" s="237"/>
      <c r="H3176" s="237"/>
      <c r="I3176" s="237"/>
      <c r="J3176" s="237"/>
      <c r="K3176" s="237"/>
      <c r="L3176" s="237"/>
      <c r="M3176" s="237"/>
      <c r="N3176" s="237"/>
      <c r="O3176" s="237"/>
    </row>
    <row r="3177" spans="1:15">
      <c r="A3177" s="56" t="s">
        <v>1</v>
      </c>
      <c r="B3177" s="238"/>
      <c r="C3177" s="8" t="s">
        <v>42</v>
      </c>
      <c r="D3177" s="239" t="s">
        <v>43</v>
      </c>
      <c r="E3177" s="239" t="s">
        <v>44</v>
      </c>
      <c r="F3177" s="239" t="s">
        <v>45</v>
      </c>
      <c r="G3177" s="239" t="s">
        <v>46</v>
      </c>
      <c r="H3177" s="239" t="s">
        <v>47</v>
      </c>
      <c r="I3177" s="239" t="s">
        <v>48</v>
      </c>
      <c r="J3177" s="239" t="s">
        <v>49</v>
      </c>
      <c r="K3177" s="239" t="s">
        <v>50</v>
      </c>
      <c r="L3177" s="239" t="s">
        <v>51</v>
      </c>
      <c r="M3177" s="239" t="s">
        <v>52</v>
      </c>
      <c r="N3177" s="239" t="s">
        <v>53</v>
      </c>
      <c r="O3177" s="251" t="s">
        <v>54</v>
      </c>
    </row>
    <row r="3178" spans="1:15">
      <c r="A3178" s="240" t="s">
        <v>22</v>
      </c>
      <c r="B3178" s="47" t="s">
        <v>55</v>
      </c>
      <c r="C3178" s="12">
        <v>0.461332032202976</v>
      </c>
      <c r="D3178" s="241">
        <v>0.451417004048583</v>
      </c>
      <c r="E3178" s="241">
        <v>0.38671875</v>
      </c>
      <c r="F3178" s="241">
        <v>0.428571428571429</v>
      </c>
      <c r="G3178" s="241">
        <v>0.528497409326425</v>
      </c>
      <c r="H3178" s="241">
        <v>0.55700325732899</v>
      </c>
      <c r="I3178" s="241">
        <v>0.482428115015974</v>
      </c>
      <c r="J3178" s="241">
        <v>0.538243626062323</v>
      </c>
      <c r="K3178" s="241">
        <v>0.459057071960298</v>
      </c>
      <c r="L3178" s="241">
        <v>0.445040214477212</v>
      </c>
      <c r="M3178" s="241">
        <v>0.462140992167102</v>
      </c>
      <c r="N3178" s="241">
        <v>0.370967741935484</v>
      </c>
      <c r="O3178" s="252">
        <v>0.459207459207459</v>
      </c>
    </row>
    <row r="3179" spans="1:15">
      <c r="A3179" s="242" t="s">
        <v>22</v>
      </c>
      <c r="B3179" s="43" t="s">
        <v>57</v>
      </c>
      <c r="C3179" s="15">
        <v>4099</v>
      </c>
      <c r="D3179" s="243">
        <v>494</v>
      </c>
      <c r="E3179" s="243">
        <v>256</v>
      </c>
      <c r="F3179" s="243">
        <v>161</v>
      </c>
      <c r="G3179" s="243">
        <v>193</v>
      </c>
      <c r="H3179" s="243">
        <v>307</v>
      </c>
      <c r="I3179" s="243">
        <v>313</v>
      </c>
      <c r="J3179" s="243">
        <v>353</v>
      </c>
      <c r="K3179" s="243">
        <v>403</v>
      </c>
      <c r="L3179" s="243">
        <v>373</v>
      </c>
      <c r="M3179" s="243">
        <v>383</v>
      </c>
      <c r="N3179" s="243">
        <v>434</v>
      </c>
      <c r="O3179" s="253">
        <v>429</v>
      </c>
    </row>
    <row r="3180" spans="1:15">
      <c r="A3180" s="240" t="s">
        <v>22</v>
      </c>
      <c r="B3180" s="47" t="s">
        <v>59</v>
      </c>
      <c r="C3180" s="15">
        <v>1891</v>
      </c>
      <c r="D3180" s="243">
        <v>223</v>
      </c>
      <c r="E3180" s="243">
        <v>99</v>
      </c>
      <c r="F3180" s="243">
        <v>69</v>
      </c>
      <c r="G3180" s="243">
        <v>102</v>
      </c>
      <c r="H3180" s="243">
        <v>171</v>
      </c>
      <c r="I3180" s="243">
        <v>151</v>
      </c>
      <c r="J3180" s="243">
        <v>190</v>
      </c>
      <c r="K3180" s="243">
        <v>185</v>
      </c>
      <c r="L3180" s="243">
        <v>166</v>
      </c>
      <c r="M3180" s="243">
        <v>177</v>
      </c>
      <c r="N3180" s="243">
        <v>161</v>
      </c>
      <c r="O3180" s="253">
        <v>197</v>
      </c>
    </row>
    <row r="3181" spans="1:15">
      <c r="A3181" s="242" t="s">
        <v>22</v>
      </c>
      <c r="B3181" s="43" t="s">
        <v>4</v>
      </c>
      <c r="C3181" s="15">
        <v>173</v>
      </c>
      <c r="D3181" s="244">
        <v>17</v>
      </c>
      <c r="E3181" s="244">
        <v>11</v>
      </c>
      <c r="F3181" s="244">
        <v>6</v>
      </c>
      <c r="G3181" s="244">
        <v>5</v>
      </c>
      <c r="H3181" s="244">
        <v>9</v>
      </c>
      <c r="I3181" s="244">
        <v>18</v>
      </c>
      <c r="J3181" s="244">
        <v>13</v>
      </c>
      <c r="K3181" s="244">
        <v>10</v>
      </c>
      <c r="L3181" s="244">
        <v>18</v>
      </c>
      <c r="M3181" s="244">
        <v>16</v>
      </c>
      <c r="N3181" s="244">
        <v>14</v>
      </c>
      <c r="O3181" s="254">
        <v>36</v>
      </c>
    </row>
    <row r="3182" spans="1:15">
      <c r="A3182" s="240" t="s">
        <v>22</v>
      </c>
      <c r="B3182" s="47" t="s">
        <v>5</v>
      </c>
      <c r="C3182" s="12">
        <v>0.091485986250661</v>
      </c>
      <c r="D3182" s="241">
        <v>0.0762331838565022</v>
      </c>
      <c r="E3182" s="241">
        <v>0.111111111111111</v>
      </c>
      <c r="F3182" s="241">
        <v>0.0869565217391304</v>
      </c>
      <c r="G3182" s="241">
        <v>0.0490196078431373</v>
      </c>
      <c r="H3182" s="241">
        <v>0.0526315789473684</v>
      </c>
      <c r="I3182" s="241">
        <v>0.119205298013245</v>
      </c>
      <c r="J3182" s="241">
        <v>0.068421052631579</v>
      </c>
      <c r="K3182" s="241">
        <v>0.0540540540540541</v>
      </c>
      <c r="L3182" s="241">
        <v>0.108433734939759</v>
      </c>
      <c r="M3182" s="241">
        <v>0.0903954802259887</v>
      </c>
      <c r="N3182" s="241">
        <v>0.0869565217391304</v>
      </c>
      <c r="O3182" s="252">
        <v>0.182741116751269</v>
      </c>
    </row>
    <row r="3183" spans="1:15">
      <c r="A3183" s="242" t="s">
        <v>22</v>
      </c>
      <c r="B3183" s="43" t="s">
        <v>6</v>
      </c>
      <c r="C3183" s="15">
        <v>63</v>
      </c>
      <c r="D3183" s="244">
        <v>9</v>
      </c>
      <c r="E3183" s="244">
        <v>4</v>
      </c>
      <c r="F3183" s="244">
        <v>1</v>
      </c>
      <c r="G3183" s="244">
        <v>3</v>
      </c>
      <c r="H3183" s="244">
        <v>2</v>
      </c>
      <c r="I3183" s="244">
        <v>11</v>
      </c>
      <c r="J3183" s="244">
        <v>5</v>
      </c>
      <c r="K3183" s="244">
        <v>7</v>
      </c>
      <c r="L3183" s="244">
        <v>3</v>
      </c>
      <c r="M3183" s="244">
        <v>6</v>
      </c>
      <c r="N3183" s="244">
        <v>3</v>
      </c>
      <c r="O3183" s="254">
        <v>9</v>
      </c>
    </row>
    <row r="3184" ht="14.25" spans="1:15">
      <c r="A3184" s="245" t="s">
        <v>22</v>
      </c>
      <c r="B3184" s="52" t="s">
        <v>64</v>
      </c>
      <c r="C3184" s="19">
        <v>0.364161849710983</v>
      </c>
      <c r="D3184" s="246">
        <v>0.529411764705882</v>
      </c>
      <c r="E3184" s="246">
        <v>0.363636363636364</v>
      </c>
      <c r="F3184" s="246">
        <v>0.166666666666667</v>
      </c>
      <c r="G3184" s="246">
        <v>0.6</v>
      </c>
      <c r="H3184" s="246">
        <v>0.222222222222222</v>
      </c>
      <c r="I3184" s="246">
        <v>0.611111111111111</v>
      </c>
      <c r="J3184" s="246">
        <v>0.384615384615385</v>
      </c>
      <c r="K3184" s="246">
        <v>0.7</v>
      </c>
      <c r="L3184" s="246">
        <v>0.166666666666667</v>
      </c>
      <c r="M3184" s="246">
        <v>0.375</v>
      </c>
      <c r="N3184" s="246">
        <v>0.214285714285714</v>
      </c>
      <c r="O3184" s="255">
        <v>0.25</v>
      </c>
    </row>
    <row r="3185" spans="1:15">
      <c r="A3185" s="247" t="s">
        <v>66</v>
      </c>
      <c r="B3185" s="248" t="s">
        <v>55</v>
      </c>
      <c r="C3185" s="12">
        <v>0.0945472736368184</v>
      </c>
      <c r="D3185" s="249">
        <v>0.0722433460076046</v>
      </c>
      <c r="E3185" s="249">
        <v>0.0438871473354232</v>
      </c>
      <c r="F3185" s="249">
        <v>0.0349344978165939</v>
      </c>
      <c r="G3185" s="249">
        <v>0.0489130434782609</v>
      </c>
      <c r="H3185" s="249">
        <v>0.121621621621622</v>
      </c>
      <c r="I3185" s="249">
        <v>0.148148148148148</v>
      </c>
      <c r="J3185" s="249">
        <v>0.0923076923076923</v>
      </c>
      <c r="K3185" s="249">
        <v>0.0915492957746479</v>
      </c>
      <c r="L3185" s="249">
        <v>0.203703703703704</v>
      </c>
      <c r="M3185" s="249">
        <v>0.182608695652174</v>
      </c>
      <c r="N3185" s="249">
        <v>0.107438016528926</v>
      </c>
      <c r="O3185" s="256">
        <v>0.181818181818182</v>
      </c>
    </row>
    <row r="3186" spans="1:15">
      <c r="A3186" s="242" t="s">
        <v>66</v>
      </c>
      <c r="B3186" s="43" t="s">
        <v>57</v>
      </c>
      <c r="C3186" s="15">
        <v>1999</v>
      </c>
      <c r="D3186" s="243">
        <v>263</v>
      </c>
      <c r="E3186" s="243">
        <v>319</v>
      </c>
      <c r="F3186" s="243">
        <v>229</v>
      </c>
      <c r="G3186" s="243">
        <v>184</v>
      </c>
      <c r="H3186" s="243">
        <v>148</v>
      </c>
      <c r="I3186" s="243">
        <v>108</v>
      </c>
      <c r="J3186" s="243">
        <v>130</v>
      </c>
      <c r="K3186" s="243">
        <v>142</v>
      </c>
      <c r="L3186" s="243">
        <v>108</v>
      </c>
      <c r="M3186" s="243">
        <v>115</v>
      </c>
      <c r="N3186" s="243">
        <v>121</v>
      </c>
      <c r="O3186" s="253">
        <v>132</v>
      </c>
    </row>
    <row r="3187" spans="1:15">
      <c r="A3187" s="240" t="s">
        <v>66</v>
      </c>
      <c r="B3187" s="47" t="s">
        <v>59</v>
      </c>
      <c r="C3187" s="15">
        <v>189</v>
      </c>
      <c r="D3187" s="243">
        <v>19</v>
      </c>
      <c r="E3187" s="243">
        <v>14</v>
      </c>
      <c r="F3187" s="243">
        <v>8</v>
      </c>
      <c r="G3187" s="243">
        <v>9</v>
      </c>
      <c r="H3187" s="243">
        <v>18</v>
      </c>
      <c r="I3187" s="243">
        <v>16</v>
      </c>
      <c r="J3187" s="243">
        <v>12</v>
      </c>
      <c r="K3187" s="243">
        <v>13</v>
      </c>
      <c r="L3187" s="243">
        <v>22</v>
      </c>
      <c r="M3187" s="243">
        <v>21</v>
      </c>
      <c r="N3187" s="243">
        <v>13</v>
      </c>
      <c r="O3187" s="253">
        <v>24</v>
      </c>
    </row>
    <row r="3188" spans="1:15">
      <c r="A3188" s="242" t="s">
        <v>66</v>
      </c>
      <c r="B3188" s="43" t="s">
        <v>4</v>
      </c>
      <c r="C3188" s="15">
        <v>12</v>
      </c>
      <c r="D3188" s="244">
        <v>1</v>
      </c>
      <c r="E3188" s="244">
        <v>0</v>
      </c>
      <c r="F3188" s="244">
        <v>0</v>
      </c>
      <c r="G3188" s="244">
        <v>0</v>
      </c>
      <c r="H3188" s="244">
        <v>0</v>
      </c>
      <c r="I3188" s="244">
        <v>2</v>
      </c>
      <c r="J3188" s="244">
        <v>1</v>
      </c>
      <c r="K3188" s="244">
        <v>0</v>
      </c>
      <c r="L3188" s="244">
        <v>2</v>
      </c>
      <c r="M3188" s="244">
        <v>2</v>
      </c>
      <c r="N3188" s="244">
        <v>2</v>
      </c>
      <c r="O3188" s="254">
        <v>2</v>
      </c>
    </row>
    <row r="3189" spans="1:15">
      <c r="A3189" s="240" t="s">
        <v>66</v>
      </c>
      <c r="B3189" s="47" t="s">
        <v>5</v>
      </c>
      <c r="C3189" s="12">
        <v>0.0634920634920635</v>
      </c>
      <c r="D3189" s="241">
        <v>0.0526315789473684</v>
      </c>
      <c r="E3189" s="241">
        <v>0</v>
      </c>
      <c r="F3189" s="241">
        <v>0</v>
      </c>
      <c r="G3189" s="241">
        <v>0</v>
      </c>
      <c r="H3189" s="241">
        <v>0</v>
      </c>
      <c r="I3189" s="241">
        <v>0.125</v>
      </c>
      <c r="J3189" s="241">
        <v>0.0833333333333333</v>
      </c>
      <c r="K3189" s="241">
        <v>0</v>
      </c>
      <c r="L3189" s="241">
        <v>0.0909090909090909</v>
      </c>
      <c r="M3189" s="241">
        <v>0.0952380952380952</v>
      </c>
      <c r="N3189" s="241">
        <v>0.153846153846154</v>
      </c>
      <c r="O3189" s="252">
        <v>0.0833333333333333</v>
      </c>
    </row>
    <row r="3190" spans="1:15">
      <c r="A3190" s="242" t="s">
        <v>66</v>
      </c>
      <c r="B3190" s="43" t="s">
        <v>6</v>
      </c>
      <c r="C3190" s="15">
        <v>9</v>
      </c>
      <c r="D3190" s="244">
        <v>2</v>
      </c>
      <c r="E3190" s="244">
        <v>0</v>
      </c>
      <c r="F3190" s="244">
        <v>0</v>
      </c>
      <c r="G3190" s="244">
        <v>0</v>
      </c>
      <c r="H3190" s="244">
        <v>0</v>
      </c>
      <c r="I3190" s="244">
        <v>2</v>
      </c>
      <c r="J3190" s="244">
        <v>0</v>
      </c>
      <c r="K3190" s="244">
        <v>1</v>
      </c>
      <c r="L3190" s="244">
        <v>1</v>
      </c>
      <c r="M3190" s="244">
        <v>2</v>
      </c>
      <c r="N3190" s="244">
        <v>1</v>
      </c>
      <c r="O3190" s="254">
        <v>0</v>
      </c>
    </row>
    <row r="3191" ht="14.25" spans="1:15">
      <c r="A3191" s="245" t="s">
        <v>66</v>
      </c>
      <c r="B3191" s="52" t="s">
        <v>64</v>
      </c>
      <c r="C3191" s="19">
        <v>0.75</v>
      </c>
      <c r="D3191" s="246">
        <v>2</v>
      </c>
      <c r="E3191" s="246">
        <v>0</v>
      </c>
      <c r="F3191" s="246">
        <v>0</v>
      </c>
      <c r="G3191" s="246">
        <v>0</v>
      </c>
      <c r="H3191" s="246">
        <v>0</v>
      </c>
      <c r="I3191" s="246">
        <v>1</v>
      </c>
      <c r="J3191" s="246">
        <v>0</v>
      </c>
      <c r="K3191" s="246">
        <v>0</v>
      </c>
      <c r="L3191" s="246">
        <v>0.5</v>
      </c>
      <c r="M3191" s="246">
        <v>1</v>
      </c>
      <c r="N3191" s="246">
        <v>0.5</v>
      </c>
      <c r="O3191" s="255">
        <v>0</v>
      </c>
    </row>
    <row r="3192" spans="1:15">
      <c r="A3192" s="240" t="s">
        <v>67</v>
      </c>
      <c r="B3192" s="47" t="s">
        <v>55</v>
      </c>
      <c r="C3192" s="12">
        <v>0.668508287292818</v>
      </c>
      <c r="D3192" s="241">
        <v>1.2258064516129</v>
      </c>
      <c r="E3192" s="241">
        <v>0.545454545454545</v>
      </c>
      <c r="F3192" s="241">
        <v>1.33333333333333</v>
      </c>
      <c r="G3192" s="241">
        <v>0.8125</v>
      </c>
      <c r="H3192" s="241">
        <v>1.1</v>
      </c>
      <c r="I3192" s="241">
        <v>0.6</v>
      </c>
      <c r="J3192" s="241">
        <v>0.787878787878788</v>
      </c>
      <c r="K3192" s="241">
        <v>0.568181818181818</v>
      </c>
      <c r="L3192" s="241">
        <v>0.727272727272727</v>
      </c>
      <c r="M3192" s="241">
        <v>0.439024390243902</v>
      </c>
      <c r="N3192" s="241">
        <v>0.387096774193548</v>
      </c>
      <c r="O3192" s="252">
        <v>0.469387755102041</v>
      </c>
    </row>
    <row r="3193" spans="1:15">
      <c r="A3193" s="242" t="s">
        <v>67</v>
      </c>
      <c r="B3193" s="43" t="s">
        <v>57</v>
      </c>
      <c r="C3193" s="15">
        <v>362</v>
      </c>
      <c r="D3193" s="243">
        <v>31</v>
      </c>
      <c r="E3193" s="243">
        <v>33</v>
      </c>
      <c r="F3193" s="243">
        <v>6</v>
      </c>
      <c r="G3193" s="243">
        <v>16</v>
      </c>
      <c r="H3193" s="243">
        <v>20</v>
      </c>
      <c r="I3193" s="243">
        <v>25</v>
      </c>
      <c r="J3193" s="243">
        <v>33</v>
      </c>
      <c r="K3193" s="243">
        <v>44</v>
      </c>
      <c r="L3193" s="243">
        <v>33</v>
      </c>
      <c r="M3193" s="243">
        <v>41</v>
      </c>
      <c r="N3193" s="243">
        <v>31</v>
      </c>
      <c r="O3193" s="253">
        <v>49</v>
      </c>
    </row>
    <row r="3194" spans="1:15">
      <c r="A3194" s="240" t="s">
        <v>67</v>
      </c>
      <c r="B3194" s="47" t="s">
        <v>59</v>
      </c>
      <c r="C3194" s="15">
        <v>242</v>
      </c>
      <c r="D3194" s="243">
        <v>38</v>
      </c>
      <c r="E3194" s="243">
        <v>18</v>
      </c>
      <c r="F3194" s="243">
        <v>8</v>
      </c>
      <c r="G3194" s="243">
        <v>13</v>
      </c>
      <c r="H3194" s="243">
        <v>22</v>
      </c>
      <c r="I3194" s="243">
        <v>15</v>
      </c>
      <c r="J3194" s="243">
        <v>26</v>
      </c>
      <c r="K3194" s="243">
        <v>25</v>
      </c>
      <c r="L3194" s="243">
        <v>24</v>
      </c>
      <c r="M3194" s="243">
        <v>18</v>
      </c>
      <c r="N3194" s="243">
        <v>12</v>
      </c>
      <c r="O3194" s="253">
        <v>23</v>
      </c>
    </row>
    <row r="3195" spans="1:15">
      <c r="A3195" s="242" t="s">
        <v>67</v>
      </c>
      <c r="B3195" s="43" t="s">
        <v>4</v>
      </c>
      <c r="C3195" s="15">
        <v>7</v>
      </c>
      <c r="D3195" s="244">
        <v>1</v>
      </c>
      <c r="E3195" s="244">
        <v>1</v>
      </c>
      <c r="F3195" s="244">
        <v>0</v>
      </c>
      <c r="G3195" s="244">
        <v>1</v>
      </c>
      <c r="H3195" s="244">
        <v>0</v>
      </c>
      <c r="I3195" s="244">
        <v>1</v>
      </c>
      <c r="J3195" s="244">
        <v>1</v>
      </c>
      <c r="K3195" s="244">
        <v>2</v>
      </c>
      <c r="L3195" s="244">
        <v>0</v>
      </c>
      <c r="M3195" s="244">
        <v>0</v>
      </c>
      <c r="N3195" s="244">
        <v>0</v>
      </c>
      <c r="O3195" s="254">
        <v>0</v>
      </c>
    </row>
    <row r="3196" spans="1:15">
      <c r="A3196" s="240" t="s">
        <v>67</v>
      </c>
      <c r="B3196" s="47" t="s">
        <v>5</v>
      </c>
      <c r="C3196" s="12">
        <v>0.0289256198347107</v>
      </c>
      <c r="D3196" s="241">
        <v>0.0263157894736842</v>
      </c>
      <c r="E3196" s="241">
        <v>0.0555555555555556</v>
      </c>
      <c r="F3196" s="241">
        <v>0</v>
      </c>
      <c r="G3196" s="241">
        <v>0.0769230769230769</v>
      </c>
      <c r="H3196" s="241">
        <v>0</v>
      </c>
      <c r="I3196" s="241">
        <v>0.0666666666666667</v>
      </c>
      <c r="J3196" s="241">
        <v>0.0384615384615385</v>
      </c>
      <c r="K3196" s="241">
        <v>0.08</v>
      </c>
      <c r="L3196" s="241">
        <v>0</v>
      </c>
      <c r="M3196" s="241">
        <v>0</v>
      </c>
      <c r="N3196" s="241">
        <v>0</v>
      </c>
      <c r="O3196" s="252">
        <v>0</v>
      </c>
    </row>
    <row r="3197" spans="1:15">
      <c r="A3197" s="242" t="s">
        <v>67</v>
      </c>
      <c r="B3197" s="43" t="s">
        <v>6</v>
      </c>
      <c r="C3197" s="15">
        <v>7</v>
      </c>
      <c r="D3197" s="244">
        <v>1</v>
      </c>
      <c r="E3197" s="244">
        <v>1</v>
      </c>
      <c r="F3197" s="244">
        <v>1</v>
      </c>
      <c r="G3197" s="244">
        <v>0</v>
      </c>
      <c r="H3197" s="244">
        <v>1</v>
      </c>
      <c r="I3197" s="244">
        <v>0</v>
      </c>
      <c r="J3197" s="244">
        <v>0</v>
      </c>
      <c r="K3197" s="244">
        <v>1</v>
      </c>
      <c r="L3197" s="244">
        <v>1</v>
      </c>
      <c r="M3197" s="244">
        <v>0</v>
      </c>
      <c r="N3197" s="244">
        <v>1</v>
      </c>
      <c r="O3197" s="254">
        <v>0</v>
      </c>
    </row>
    <row r="3198" ht="14.25" spans="1:15">
      <c r="A3198" s="245" t="s">
        <v>67</v>
      </c>
      <c r="B3198" s="52" t="s">
        <v>64</v>
      </c>
      <c r="C3198" s="19">
        <v>1</v>
      </c>
      <c r="D3198" s="246">
        <v>1</v>
      </c>
      <c r="E3198" s="246">
        <v>1</v>
      </c>
      <c r="F3198" s="246">
        <v>0</v>
      </c>
      <c r="G3198" s="246">
        <v>0</v>
      </c>
      <c r="H3198" s="246">
        <v>0</v>
      </c>
      <c r="I3198" s="246">
        <v>0</v>
      </c>
      <c r="J3198" s="246">
        <v>0</v>
      </c>
      <c r="K3198" s="246">
        <v>0.5</v>
      </c>
      <c r="L3198" s="246">
        <v>0</v>
      </c>
      <c r="M3198" s="246">
        <v>0</v>
      </c>
      <c r="N3198" s="246">
        <v>0</v>
      </c>
      <c r="O3198" s="255">
        <v>0</v>
      </c>
    </row>
    <row r="3199" spans="1:15">
      <c r="A3199" s="240" t="s">
        <v>68</v>
      </c>
      <c r="B3199" s="47" t="s">
        <v>55</v>
      </c>
      <c r="C3199" s="12">
        <v>0.138980422562512</v>
      </c>
      <c r="D3199" s="241">
        <v>0.203619909502262</v>
      </c>
      <c r="E3199" s="241">
        <v>0.0878378378378378</v>
      </c>
      <c r="F3199" s="241">
        <v>0.161184210526316</v>
      </c>
      <c r="G3199" s="241">
        <v>0.117845117845118</v>
      </c>
      <c r="H3199" s="241">
        <v>0.17169373549884</v>
      </c>
      <c r="I3199" s="241">
        <v>0.165983606557377</v>
      </c>
      <c r="J3199" s="241">
        <v>0.111353711790393</v>
      </c>
      <c r="K3199" s="241">
        <v>0.139393939393939</v>
      </c>
      <c r="L3199" s="241">
        <v>0.120833333333333</v>
      </c>
      <c r="M3199" s="241">
        <v>0.123222748815166</v>
      </c>
      <c r="N3199" s="241">
        <v>0.125514403292181</v>
      </c>
      <c r="O3199" s="252">
        <v>0.126785714285714</v>
      </c>
    </row>
    <row r="3200" spans="1:15">
      <c r="A3200" s="242" t="s">
        <v>68</v>
      </c>
      <c r="B3200" s="43" t="s">
        <v>57</v>
      </c>
      <c r="C3200" s="15">
        <v>5159</v>
      </c>
      <c r="D3200" s="243">
        <v>442</v>
      </c>
      <c r="E3200" s="243">
        <v>296</v>
      </c>
      <c r="F3200" s="243">
        <v>304</v>
      </c>
      <c r="G3200" s="243">
        <v>297</v>
      </c>
      <c r="H3200" s="243">
        <v>431</v>
      </c>
      <c r="I3200" s="243">
        <v>488</v>
      </c>
      <c r="J3200" s="243">
        <v>458</v>
      </c>
      <c r="K3200" s="243">
        <v>495</v>
      </c>
      <c r="L3200" s="243">
        <v>480</v>
      </c>
      <c r="M3200" s="243">
        <v>422</v>
      </c>
      <c r="N3200" s="243">
        <v>486</v>
      </c>
      <c r="O3200" s="253">
        <v>560</v>
      </c>
    </row>
    <row r="3201" spans="1:15">
      <c r="A3201" s="240" t="s">
        <v>68</v>
      </c>
      <c r="B3201" s="47" t="s">
        <v>59</v>
      </c>
      <c r="C3201" s="15">
        <v>717</v>
      </c>
      <c r="D3201" s="243">
        <v>90</v>
      </c>
      <c r="E3201" s="243">
        <v>26</v>
      </c>
      <c r="F3201" s="243">
        <v>49</v>
      </c>
      <c r="G3201" s="243">
        <v>35</v>
      </c>
      <c r="H3201" s="243">
        <v>74</v>
      </c>
      <c r="I3201" s="243">
        <v>81</v>
      </c>
      <c r="J3201" s="243">
        <v>51</v>
      </c>
      <c r="K3201" s="243">
        <v>69</v>
      </c>
      <c r="L3201" s="243">
        <v>58</v>
      </c>
      <c r="M3201" s="243">
        <v>52</v>
      </c>
      <c r="N3201" s="243">
        <v>61</v>
      </c>
      <c r="O3201" s="253">
        <v>71</v>
      </c>
    </row>
    <row r="3202" spans="1:15">
      <c r="A3202" s="242" t="s">
        <v>68</v>
      </c>
      <c r="B3202" s="43" t="s">
        <v>4</v>
      </c>
      <c r="C3202" s="15">
        <v>47</v>
      </c>
      <c r="D3202" s="244">
        <v>3</v>
      </c>
      <c r="E3202" s="244">
        <v>0</v>
      </c>
      <c r="F3202" s="244">
        <v>1</v>
      </c>
      <c r="G3202" s="244">
        <v>4</v>
      </c>
      <c r="H3202" s="244">
        <v>4</v>
      </c>
      <c r="I3202" s="244">
        <v>3</v>
      </c>
      <c r="J3202" s="244">
        <v>7</v>
      </c>
      <c r="K3202" s="244">
        <v>4</v>
      </c>
      <c r="L3202" s="244">
        <v>5</v>
      </c>
      <c r="M3202" s="244">
        <v>4</v>
      </c>
      <c r="N3202" s="244">
        <v>5</v>
      </c>
      <c r="O3202" s="254">
        <v>7</v>
      </c>
    </row>
    <row r="3203" spans="1:15">
      <c r="A3203" s="240" t="s">
        <v>68</v>
      </c>
      <c r="B3203" s="47" t="s">
        <v>5</v>
      </c>
      <c r="C3203" s="12">
        <v>0.0655509065550907</v>
      </c>
      <c r="D3203" s="241">
        <v>0.0333333333333333</v>
      </c>
      <c r="E3203" s="241">
        <v>0</v>
      </c>
      <c r="F3203" s="241">
        <v>0.0204081632653061</v>
      </c>
      <c r="G3203" s="241">
        <v>0.114285714285714</v>
      </c>
      <c r="H3203" s="241">
        <v>0.0540540540540541</v>
      </c>
      <c r="I3203" s="241">
        <v>0.037037037037037</v>
      </c>
      <c r="J3203" s="241">
        <v>0.137254901960784</v>
      </c>
      <c r="K3203" s="241">
        <v>0.0579710144927536</v>
      </c>
      <c r="L3203" s="241">
        <v>0.0862068965517241</v>
      </c>
      <c r="M3203" s="241">
        <v>0.0769230769230769</v>
      </c>
      <c r="N3203" s="241">
        <v>0.0819672131147541</v>
      </c>
      <c r="O3203" s="252">
        <v>0.0985915492957746</v>
      </c>
    </row>
    <row r="3204" spans="1:15">
      <c r="A3204" s="242" t="s">
        <v>68</v>
      </c>
      <c r="B3204" s="43" t="s">
        <v>6</v>
      </c>
      <c r="C3204" s="15">
        <v>18</v>
      </c>
      <c r="D3204" s="244">
        <v>0</v>
      </c>
      <c r="E3204" s="244">
        <v>0</v>
      </c>
      <c r="F3204" s="244">
        <v>0</v>
      </c>
      <c r="G3204" s="244">
        <v>1</v>
      </c>
      <c r="H3204" s="244">
        <v>0</v>
      </c>
      <c r="I3204" s="244">
        <v>2</v>
      </c>
      <c r="J3204" s="244">
        <v>3</v>
      </c>
      <c r="K3204" s="244">
        <v>2</v>
      </c>
      <c r="L3204" s="244">
        <v>4</v>
      </c>
      <c r="M3204" s="244">
        <v>1</v>
      </c>
      <c r="N3204" s="244">
        <v>2</v>
      </c>
      <c r="O3204" s="254">
        <v>3</v>
      </c>
    </row>
    <row r="3205" ht="14.25" spans="1:15">
      <c r="A3205" s="245" t="s">
        <v>68</v>
      </c>
      <c r="B3205" s="52" t="s">
        <v>64</v>
      </c>
      <c r="C3205" s="19">
        <v>0.382978723404255</v>
      </c>
      <c r="D3205" s="246">
        <v>0</v>
      </c>
      <c r="E3205" s="246">
        <v>0</v>
      </c>
      <c r="F3205" s="246">
        <v>0</v>
      </c>
      <c r="G3205" s="246">
        <v>0.25</v>
      </c>
      <c r="H3205" s="246">
        <v>0</v>
      </c>
      <c r="I3205" s="246">
        <v>0.666666666666667</v>
      </c>
      <c r="J3205" s="246">
        <v>0.428571428571429</v>
      </c>
      <c r="K3205" s="246">
        <v>0.5</v>
      </c>
      <c r="L3205" s="246">
        <v>0.8</v>
      </c>
      <c r="M3205" s="246">
        <v>0.25</v>
      </c>
      <c r="N3205" s="246">
        <v>0.4</v>
      </c>
      <c r="O3205" s="255">
        <v>0.428571428571429</v>
      </c>
    </row>
    <row r="3206" spans="1:15">
      <c r="A3206" s="240" t="s">
        <v>69</v>
      </c>
      <c r="B3206" s="47" t="s">
        <v>55</v>
      </c>
      <c r="C3206" s="12">
        <v>0.968487394957983</v>
      </c>
      <c r="D3206" s="241">
        <v>1.64444444444444</v>
      </c>
      <c r="E3206" s="241">
        <v>1.33333333333333</v>
      </c>
      <c r="F3206" s="241">
        <v>2.14285714285714</v>
      </c>
      <c r="G3206" s="241">
        <v>1.54545454545455</v>
      </c>
      <c r="H3206" s="241">
        <v>0.780487804878049</v>
      </c>
      <c r="I3206" s="241">
        <v>0.680851063829787</v>
      </c>
      <c r="J3206" s="241">
        <v>0.765957446808511</v>
      </c>
      <c r="K3206" s="241">
        <v>0.814814814814815</v>
      </c>
      <c r="L3206" s="241">
        <v>0.846153846153846</v>
      </c>
      <c r="M3206" s="241">
        <v>0.942857142857143</v>
      </c>
      <c r="N3206" s="241">
        <v>0.69811320754717</v>
      </c>
      <c r="O3206" s="252">
        <v>1.01818181818182</v>
      </c>
    </row>
    <row r="3207" spans="1:15">
      <c r="A3207" s="242" t="s">
        <v>69</v>
      </c>
      <c r="B3207" s="43" t="s">
        <v>57</v>
      </c>
      <c r="C3207" s="15">
        <v>476</v>
      </c>
      <c r="D3207" s="243">
        <v>45</v>
      </c>
      <c r="E3207" s="243">
        <v>18</v>
      </c>
      <c r="F3207" s="243">
        <v>7</v>
      </c>
      <c r="G3207" s="243">
        <v>22</v>
      </c>
      <c r="H3207" s="243">
        <v>41</v>
      </c>
      <c r="I3207" s="243">
        <v>47</v>
      </c>
      <c r="J3207" s="243">
        <v>47</v>
      </c>
      <c r="K3207" s="243">
        <v>54</v>
      </c>
      <c r="L3207" s="243">
        <v>52</v>
      </c>
      <c r="M3207" s="243">
        <v>35</v>
      </c>
      <c r="N3207" s="243">
        <v>53</v>
      </c>
      <c r="O3207" s="253">
        <v>55</v>
      </c>
    </row>
    <row r="3208" spans="1:15">
      <c r="A3208" s="240" t="s">
        <v>69</v>
      </c>
      <c r="B3208" s="47" t="s">
        <v>59</v>
      </c>
      <c r="C3208" s="15">
        <v>461</v>
      </c>
      <c r="D3208" s="243">
        <v>74</v>
      </c>
      <c r="E3208" s="243">
        <v>24</v>
      </c>
      <c r="F3208" s="243">
        <v>15</v>
      </c>
      <c r="G3208" s="243">
        <v>34</v>
      </c>
      <c r="H3208" s="243">
        <v>32</v>
      </c>
      <c r="I3208" s="243">
        <v>32</v>
      </c>
      <c r="J3208" s="243">
        <v>36</v>
      </c>
      <c r="K3208" s="243">
        <v>44</v>
      </c>
      <c r="L3208" s="243">
        <v>44</v>
      </c>
      <c r="M3208" s="243">
        <v>33</v>
      </c>
      <c r="N3208" s="243">
        <v>37</v>
      </c>
      <c r="O3208" s="253">
        <v>56</v>
      </c>
    </row>
    <row r="3209" spans="1:15">
      <c r="A3209" s="242" t="s">
        <v>69</v>
      </c>
      <c r="B3209" s="43" t="s">
        <v>4</v>
      </c>
      <c r="C3209" s="15">
        <v>24</v>
      </c>
      <c r="D3209" s="244">
        <v>0</v>
      </c>
      <c r="E3209" s="244">
        <v>0</v>
      </c>
      <c r="F3209" s="244">
        <v>0</v>
      </c>
      <c r="G3209" s="244">
        <v>4</v>
      </c>
      <c r="H3209" s="244">
        <v>1</v>
      </c>
      <c r="I3209" s="244">
        <v>4</v>
      </c>
      <c r="J3209" s="244">
        <v>0</v>
      </c>
      <c r="K3209" s="244">
        <v>2</v>
      </c>
      <c r="L3209" s="244">
        <v>5</v>
      </c>
      <c r="M3209" s="244">
        <v>4</v>
      </c>
      <c r="N3209" s="244">
        <v>2</v>
      </c>
      <c r="O3209" s="254">
        <v>2</v>
      </c>
    </row>
    <row r="3210" spans="1:15">
      <c r="A3210" s="240" t="s">
        <v>69</v>
      </c>
      <c r="B3210" s="47" t="s">
        <v>5</v>
      </c>
      <c r="C3210" s="12">
        <v>0.052060737527115</v>
      </c>
      <c r="D3210" s="241">
        <v>0</v>
      </c>
      <c r="E3210" s="241">
        <v>0</v>
      </c>
      <c r="F3210" s="241">
        <v>0</v>
      </c>
      <c r="G3210" s="241">
        <v>0.117647058823529</v>
      </c>
      <c r="H3210" s="241">
        <v>0.03125</v>
      </c>
      <c r="I3210" s="241">
        <v>0.125</v>
      </c>
      <c r="J3210" s="241">
        <v>0</v>
      </c>
      <c r="K3210" s="241">
        <v>0.0454545454545455</v>
      </c>
      <c r="L3210" s="241">
        <v>0.113636363636364</v>
      </c>
      <c r="M3210" s="241">
        <v>0.121212121212121</v>
      </c>
      <c r="N3210" s="241">
        <v>0.0540540540540541</v>
      </c>
      <c r="O3210" s="252">
        <v>0.0357142857142857</v>
      </c>
    </row>
    <row r="3211" spans="1:15">
      <c r="A3211" s="242" t="s">
        <v>69</v>
      </c>
      <c r="B3211" s="43" t="s">
        <v>6</v>
      </c>
      <c r="C3211" s="15">
        <v>9</v>
      </c>
      <c r="D3211" s="244">
        <v>1</v>
      </c>
      <c r="E3211" s="244">
        <v>0</v>
      </c>
      <c r="F3211" s="244">
        <v>0</v>
      </c>
      <c r="G3211" s="244">
        <v>0</v>
      </c>
      <c r="H3211" s="244">
        <v>2</v>
      </c>
      <c r="I3211" s="244">
        <v>0</v>
      </c>
      <c r="J3211" s="244">
        <v>1</v>
      </c>
      <c r="K3211" s="244">
        <v>0</v>
      </c>
      <c r="L3211" s="244">
        <v>2</v>
      </c>
      <c r="M3211" s="244">
        <v>1</v>
      </c>
      <c r="N3211" s="244">
        <v>1</v>
      </c>
      <c r="O3211" s="254">
        <v>1</v>
      </c>
    </row>
    <row r="3212" ht="14.25" spans="1:15">
      <c r="A3212" s="245" t="s">
        <v>69</v>
      </c>
      <c r="B3212" s="52" t="s">
        <v>64</v>
      </c>
      <c r="C3212" s="19">
        <v>0.375</v>
      </c>
      <c r="D3212" s="246">
        <v>0</v>
      </c>
      <c r="E3212" s="246">
        <v>0</v>
      </c>
      <c r="F3212" s="246">
        <v>0</v>
      </c>
      <c r="G3212" s="246">
        <v>0</v>
      </c>
      <c r="H3212" s="246">
        <v>2</v>
      </c>
      <c r="I3212" s="246">
        <v>0</v>
      </c>
      <c r="J3212" s="246">
        <v>0</v>
      </c>
      <c r="K3212" s="246">
        <v>0</v>
      </c>
      <c r="L3212" s="246">
        <v>0.4</v>
      </c>
      <c r="M3212" s="246">
        <v>0.25</v>
      </c>
      <c r="N3212" s="246">
        <v>0.5</v>
      </c>
      <c r="O3212" s="255">
        <v>0.5</v>
      </c>
    </row>
    <row r="3213" spans="1:15">
      <c r="A3213" s="240" t="s">
        <v>70</v>
      </c>
      <c r="B3213" s="47" t="s">
        <v>55</v>
      </c>
      <c r="C3213" s="12">
        <v>0.333745746984225</v>
      </c>
      <c r="D3213" s="241">
        <v>0.358156028368794</v>
      </c>
      <c r="E3213" s="241">
        <v>0.385093167701863</v>
      </c>
      <c r="F3213" s="241">
        <v>0.596153846153846</v>
      </c>
      <c r="G3213" s="241">
        <v>0.42962962962963</v>
      </c>
      <c r="H3213" s="241">
        <v>0.468503937007874</v>
      </c>
      <c r="I3213" s="241">
        <v>0.35408560311284</v>
      </c>
      <c r="J3213" s="241">
        <v>0.333333333333333</v>
      </c>
      <c r="K3213" s="241">
        <v>0.312138728323699</v>
      </c>
      <c r="L3213" s="241">
        <v>0.319277108433735</v>
      </c>
      <c r="M3213" s="241">
        <v>0.270627062706271</v>
      </c>
      <c r="N3213" s="241">
        <v>0.285714285714286</v>
      </c>
      <c r="O3213" s="252">
        <v>0.228438228438228</v>
      </c>
    </row>
    <row r="3214" spans="1:15">
      <c r="A3214" s="242" t="s">
        <v>70</v>
      </c>
      <c r="B3214" s="43" t="s">
        <v>57</v>
      </c>
      <c r="C3214" s="15">
        <v>3233</v>
      </c>
      <c r="D3214" s="243">
        <v>282</v>
      </c>
      <c r="E3214" s="243">
        <v>161</v>
      </c>
      <c r="F3214" s="243">
        <v>104</v>
      </c>
      <c r="G3214" s="243">
        <v>135</v>
      </c>
      <c r="H3214" s="243">
        <v>254</v>
      </c>
      <c r="I3214" s="243">
        <v>257</v>
      </c>
      <c r="J3214" s="243">
        <v>252</v>
      </c>
      <c r="K3214" s="243">
        <v>346</v>
      </c>
      <c r="L3214" s="243">
        <v>332</v>
      </c>
      <c r="M3214" s="243">
        <v>303</v>
      </c>
      <c r="N3214" s="243">
        <v>378</v>
      </c>
      <c r="O3214" s="253">
        <v>429</v>
      </c>
    </row>
    <row r="3215" spans="1:15">
      <c r="A3215" s="240" t="s">
        <v>70</v>
      </c>
      <c r="B3215" s="47" t="s">
        <v>59</v>
      </c>
      <c r="C3215" s="15">
        <v>1079</v>
      </c>
      <c r="D3215" s="243">
        <v>101</v>
      </c>
      <c r="E3215" s="243">
        <v>62</v>
      </c>
      <c r="F3215" s="243">
        <v>62</v>
      </c>
      <c r="G3215" s="243">
        <v>58</v>
      </c>
      <c r="H3215" s="243">
        <v>119</v>
      </c>
      <c r="I3215" s="243">
        <v>91</v>
      </c>
      <c r="J3215" s="243">
        <v>84</v>
      </c>
      <c r="K3215" s="243">
        <v>108</v>
      </c>
      <c r="L3215" s="243">
        <v>106</v>
      </c>
      <c r="M3215" s="243">
        <v>82</v>
      </c>
      <c r="N3215" s="243">
        <v>108</v>
      </c>
      <c r="O3215" s="253">
        <v>98</v>
      </c>
    </row>
    <row r="3216" spans="1:15">
      <c r="A3216" s="242" t="s">
        <v>70</v>
      </c>
      <c r="B3216" s="43" t="s">
        <v>4</v>
      </c>
      <c r="C3216" s="15">
        <v>95</v>
      </c>
      <c r="D3216" s="244">
        <v>6</v>
      </c>
      <c r="E3216" s="244">
        <v>7</v>
      </c>
      <c r="F3216" s="244">
        <v>2</v>
      </c>
      <c r="G3216" s="244">
        <v>2</v>
      </c>
      <c r="H3216" s="244">
        <v>8</v>
      </c>
      <c r="I3216" s="244">
        <v>5</v>
      </c>
      <c r="J3216" s="244">
        <v>9</v>
      </c>
      <c r="K3216" s="244">
        <v>8</v>
      </c>
      <c r="L3216" s="244">
        <v>9</v>
      </c>
      <c r="M3216" s="244">
        <v>10</v>
      </c>
      <c r="N3216" s="244">
        <v>15</v>
      </c>
      <c r="O3216" s="254">
        <v>14</v>
      </c>
    </row>
    <row r="3217" spans="1:15">
      <c r="A3217" s="240" t="s">
        <v>70</v>
      </c>
      <c r="B3217" s="47" t="s">
        <v>5</v>
      </c>
      <c r="C3217" s="12">
        <v>0.0880444856348471</v>
      </c>
      <c r="D3217" s="241">
        <v>0.0594059405940594</v>
      </c>
      <c r="E3217" s="241">
        <v>0.112903225806452</v>
      </c>
      <c r="F3217" s="241">
        <v>0.032258064516129</v>
      </c>
      <c r="G3217" s="241">
        <v>0.0344827586206897</v>
      </c>
      <c r="H3217" s="241">
        <v>0.0672268907563025</v>
      </c>
      <c r="I3217" s="241">
        <v>0.0549450549450549</v>
      </c>
      <c r="J3217" s="241">
        <v>0.107142857142857</v>
      </c>
      <c r="K3217" s="241">
        <v>0.0740740740740741</v>
      </c>
      <c r="L3217" s="241">
        <v>0.0849056603773585</v>
      </c>
      <c r="M3217" s="241">
        <v>0.121951219512195</v>
      </c>
      <c r="N3217" s="241">
        <v>0.138888888888889</v>
      </c>
      <c r="O3217" s="252">
        <v>0.142857142857143</v>
      </c>
    </row>
    <row r="3218" spans="1:15">
      <c r="A3218" s="242" t="s">
        <v>70</v>
      </c>
      <c r="B3218" s="43" t="s">
        <v>6</v>
      </c>
      <c r="C3218" s="15">
        <v>23</v>
      </c>
      <c r="D3218" s="244">
        <v>2</v>
      </c>
      <c r="E3218" s="244">
        <v>1</v>
      </c>
      <c r="F3218" s="244">
        <v>0</v>
      </c>
      <c r="G3218" s="244">
        <v>0</v>
      </c>
      <c r="H3218" s="244">
        <v>2</v>
      </c>
      <c r="I3218" s="244">
        <v>1</v>
      </c>
      <c r="J3218" s="244">
        <v>3</v>
      </c>
      <c r="K3218" s="244">
        <v>1</v>
      </c>
      <c r="L3218" s="244">
        <v>5</v>
      </c>
      <c r="M3218" s="244">
        <v>3</v>
      </c>
      <c r="N3218" s="244">
        <v>1</v>
      </c>
      <c r="O3218" s="254">
        <v>4</v>
      </c>
    </row>
    <row r="3219" ht="14.25" spans="1:15">
      <c r="A3219" s="245" t="s">
        <v>70</v>
      </c>
      <c r="B3219" s="52" t="s">
        <v>64</v>
      </c>
      <c r="C3219" s="19">
        <v>0.242105263157895</v>
      </c>
      <c r="D3219" s="246">
        <v>0.333333333333333</v>
      </c>
      <c r="E3219" s="246">
        <v>0.142857142857143</v>
      </c>
      <c r="F3219" s="246">
        <v>0</v>
      </c>
      <c r="G3219" s="246">
        <v>0</v>
      </c>
      <c r="H3219" s="246">
        <v>0.25</v>
      </c>
      <c r="I3219" s="246">
        <v>0.2</v>
      </c>
      <c r="J3219" s="246">
        <v>0.333333333333333</v>
      </c>
      <c r="K3219" s="246">
        <v>0.125</v>
      </c>
      <c r="L3219" s="246">
        <v>0.555555555555556</v>
      </c>
      <c r="M3219" s="246">
        <v>0.3</v>
      </c>
      <c r="N3219" s="246">
        <v>0.0666666666666667</v>
      </c>
      <c r="O3219" s="255">
        <v>0.285714285714286</v>
      </c>
    </row>
    <row r="3220" spans="1:15">
      <c r="A3220" s="240" t="s">
        <v>26</v>
      </c>
      <c r="B3220" s="47" t="s">
        <v>55</v>
      </c>
      <c r="C3220" s="12">
        <v>0.692254969156957</v>
      </c>
      <c r="D3220" s="241">
        <v>0.610567514677104</v>
      </c>
      <c r="E3220" s="241">
        <v>0.589473684210526</v>
      </c>
      <c r="F3220" s="241">
        <v>0.571808510638298</v>
      </c>
      <c r="G3220" s="241">
        <v>0.672473867595819</v>
      </c>
      <c r="H3220" s="241">
        <v>0.781659388646288</v>
      </c>
      <c r="I3220" s="241">
        <v>0.957627118644068</v>
      </c>
      <c r="J3220" s="241">
        <v>0.895061728395062</v>
      </c>
      <c r="K3220" s="241">
        <v>0.826086956521739</v>
      </c>
      <c r="L3220" s="241">
        <v>0.78021978021978</v>
      </c>
      <c r="M3220" s="241">
        <v>0.824427480916031</v>
      </c>
      <c r="N3220" s="241">
        <v>0.815068493150685</v>
      </c>
      <c r="O3220" s="252">
        <v>0.613496932515337</v>
      </c>
    </row>
    <row r="3221" spans="1:15">
      <c r="A3221" s="242" t="s">
        <v>26</v>
      </c>
      <c r="B3221" s="43" t="s">
        <v>57</v>
      </c>
      <c r="C3221" s="15">
        <v>2918</v>
      </c>
      <c r="D3221" s="243">
        <v>511</v>
      </c>
      <c r="E3221" s="243">
        <v>475</v>
      </c>
      <c r="F3221" s="243">
        <v>376</v>
      </c>
      <c r="G3221" s="243">
        <v>287</v>
      </c>
      <c r="H3221" s="243">
        <v>229</v>
      </c>
      <c r="I3221" s="243">
        <v>118</v>
      </c>
      <c r="J3221" s="243">
        <v>162</v>
      </c>
      <c r="K3221" s="243">
        <v>138</v>
      </c>
      <c r="L3221" s="243">
        <v>182</v>
      </c>
      <c r="M3221" s="243">
        <v>131</v>
      </c>
      <c r="N3221" s="243">
        <v>146</v>
      </c>
      <c r="O3221" s="253">
        <v>163</v>
      </c>
    </row>
    <row r="3222" spans="1:15">
      <c r="A3222" s="240" t="s">
        <v>26</v>
      </c>
      <c r="B3222" s="47" t="s">
        <v>59</v>
      </c>
      <c r="C3222" s="15">
        <v>2020</v>
      </c>
      <c r="D3222" s="243">
        <v>312</v>
      </c>
      <c r="E3222" s="243">
        <v>280</v>
      </c>
      <c r="F3222" s="243">
        <v>215</v>
      </c>
      <c r="G3222" s="243">
        <v>193</v>
      </c>
      <c r="H3222" s="243">
        <v>179</v>
      </c>
      <c r="I3222" s="243">
        <v>113</v>
      </c>
      <c r="J3222" s="243">
        <v>145</v>
      </c>
      <c r="K3222" s="243">
        <v>114</v>
      </c>
      <c r="L3222" s="243">
        <v>142</v>
      </c>
      <c r="M3222" s="243">
        <v>108</v>
      </c>
      <c r="N3222" s="243">
        <v>119</v>
      </c>
      <c r="O3222" s="253">
        <v>100</v>
      </c>
    </row>
    <row r="3223" spans="1:15">
      <c r="A3223" s="242" t="s">
        <v>26</v>
      </c>
      <c r="B3223" s="43" t="s">
        <v>4</v>
      </c>
      <c r="C3223" s="15">
        <v>23</v>
      </c>
      <c r="D3223" s="244">
        <v>1</v>
      </c>
      <c r="E3223" s="244">
        <v>0</v>
      </c>
      <c r="F3223" s="244">
        <v>2</v>
      </c>
      <c r="G3223" s="244">
        <v>0</v>
      </c>
      <c r="H3223" s="244">
        <v>4</v>
      </c>
      <c r="I3223" s="244">
        <v>4</v>
      </c>
      <c r="J3223" s="244">
        <v>2</v>
      </c>
      <c r="K3223" s="244">
        <v>2</v>
      </c>
      <c r="L3223" s="244">
        <v>4</v>
      </c>
      <c r="M3223" s="244">
        <v>2</v>
      </c>
      <c r="N3223" s="244">
        <v>1</v>
      </c>
      <c r="O3223" s="254">
        <v>1</v>
      </c>
    </row>
    <row r="3224" spans="1:15">
      <c r="A3224" s="240" t="s">
        <v>26</v>
      </c>
      <c r="B3224" s="47" t="s">
        <v>5</v>
      </c>
      <c r="C3224" s="12">
        <v>0.0113861386138614</v>
      </c>
      <c r="D3224" s="241">
        <v>0.00320512820512821</v>
      </c>
      <c r="E3224" s="241">
        <v>0</v>
      </c>
      <c r="F3224" s="241">
        <v>0.00930232558139535</v>
      </c>
      <c r="G3224" s="241">
        <v>0</v>
      </c>
      <c r="H3224" s="241">
        <v>0.0223463687150838</v>
      </c>
      <c r="I3224" s="241">
        <v>0.0353982300884956</v>
      </c>
      <c r="J3224" s="241">
        <v>0.0137931034482759</v>
      </c>
      <c r="K3224" s="241">
        <v>0.0175438596491228</v>
      </c>
      <c r="L3224" s="241">
        <v>0.028169014084507</v>
      </c>
      <c r="M3224" s="241">
        <v>0.0185185185185185</v>
      </c>
      <c r="N3224" s="241">
        <v>0.00840336134453781</v>
      </c>
      <c r="O3224" s="252">
        <v>0.01</v>
      </c>
    </row>
    <row r="3225" spans="1:15">
      <c r="A3225" s="242" t="s">
        <v>26</v>
      </c>
      <c r="B3225" s="43" t="s">
        <v>6</v>
      </c>
      <c r="C3225" s="15">
        <v>11</v>
      </c>
      <c r="D3225" s="244">
        <v>1</v>
      </c>
      <c r="E3225" s="244">
        <v>0</v>
      </c>
      <c r="F3225" s="244">
        <v>1</v>
      </c>
      <c r="G3225" s="244">
        <v>0</v>
      </c>
      <c r="H3225" s="244">
        <v>3</v>
      </c>
      <c r="I3225" s="244">
        <v>1</v>
      </c>
      <c r="J3225" s="244">
        <v>2</v>
      </c>
      <c r="K3225" s="244">
        <v>1</v>
      </c>
      <c r="L3225" s="244">
        <v>0</v>
      </c>
      <c r="M3225" s="244">
        <v>2</v>
      </c>
      <c r="N3225" s="244">
        <v>0</v>
      </c>
      <c r="O3225" s="254">
        <v>0</v>
      </c>
    </row>
    <row r="3226" ht="14.25" spans="1:15">
      <c r="A3226" s="245" t="s">
        <v>26</v>
      </c>
      <c r="B3226" s="52" t="s">
        <v>64</v>
      </c>
      <c r="C3226" s="19">
        <v>0.478260869565217</v>
      </c>
      <c r="D3226" s="19">
        <v>1</v>
      </c>
      <c r="E3226" s="19" t="e">
        <v>#DIV/0!</v>
      </c>
      <c r="F3226" s="19">
        <v>0.5</v>
      </c>
      <c r="G3226" s="19" t="e">
        <v>#DIV/0!</v>
      </c>
      <c r="H3226" s="19">
        <v>0.75</v>
      </c>
      <c r="I3226" s="19">
        <v>0.25</v>
      </c>
      <c r="J3226" s="19">
        <v>1</v>
      </c>
      <c r="K3226" s="19">
        <v>0.5</v>
      </c>
      <c r="L3226" s="19">
        <v>0</v>
      </c>
      <c r="M3226" s="19">
        <v>1</v>
      </c>
      <c r="N3226" s="19">
        <v>0</v>
      </c>
      <c r="O3226" s="19">
        <v>0</v>
      </c>
    </row>
    <row r="3227" spans="1:15">
      <c r="A3227" s="240" t="s">
        <v>71</v>
      </c>
      <c r="B3227" s="47" t="s">
        <v>55</v>
      </c>
      <c r="C3227" s="12">
        <v>3.66666666666667</v>
      </c>
      <c r="D3227" s="241" t="e">
        <v>#DIV/0!</v>
      </c>
      <c r="E3227" s="241" t="e">
        <v>#DIV/0!</v>
      </c>
      <c r="F3227" s="241">
        <v>0</v>
      </c>
      <c r="G3227" s="241" t="e">
        <v>#DIV/0!</v>
      </c>
      <c r="H3227" s="241" t="e">
        <v>#DIV/0!</v>
      </c>
      <c r="I3227" s="241">
        <v>0</v>
      </c>
      <c r="J3227" s="241" t="e">
        <v>#DIV/0!</v>
      </c>
      <c r="K3227" s="241" t="e">
        <v>#DIV/0!</v>
      </c>
      <c r="L3227" s="241" t="e">
        <v>#DIV/0!</v>
      </c>
      <c r="M3227" s="241" t="e">
        <v>#DIV/0!</v>
      </c>
      <c r="N3227" s="241" t="e">
        <v>#DIV/0!</v>
      </c>
      <c r="O3227" s="252" t="e">
        <v>#DIV/0!</v>
      </c>
    </row>
    <row r="3228" spans="1:15">
      <c r="A3228" s="242" t="s">
        <v>71</v>
      </c>
      <c r="B3228" s="43" t="s">
        <v>57</v>
      </c>
      <c r="C3228" s="15">
        <v>3</v>
      </c>
      <c r="D3228" s="243">
        <v>0</v>
      </c>
      <c r="E3228" s="243">
        <v>0</v>
      </c>
      <c r="F3228" s="243">
        <v>2</v>
      </c>
      <c r="G3228" s="243">
        <v>0</v>
      </c>
      <c r="H3228" s="243">
        <v>0</v>
      </c>
      <c r="I3228" s="243">
        <v>1</v>
      </c>
      <c r="J3228" s="243">
        <v>0</v>
      </c>
      <c r="K3228" s="243">
        <v>0</v>
      </c>
      <c r="L3228" s="243">
        <v>0</v>
      </c>
      <c r="M3228" s="243">
        <v>0</v>
      </c>
      <c r="N3228" s="243">
        <v>0</v>
      </c>
      <c r="O3228" s="253">
        <v>0</v>
      </c>
    </row>
    <row r="3229" spans="1:15">
      <c r="A3229" s="240" t="s">
        <v>71</v>
      </c>
      <c r="B3229" s="47" t="s">
        <v>59</v>
      </c>
      <c r="C3229" s="15">
        <v>11</v>
      </c>
      <c r="D3229" s="243">
        <v>2</v>
      </c>
      <c r="E3229" s="243">
        <v>0</v>
      </c>
      <c r="F3229" s="243">
        <v>0</v>
      </c>
      <c r="G3229" s="243">
        <v>0</v>
      </c>
      <c r="H3229" s="243">
        <v>5</v>
      </c>
      <c r="I3229" s="243">
        <v>0</v>
      </c>
      <c r="J3229" s="243">
        <v>0</v>
      </c>
      <c r="K3229" s="243">
        <v>1</v>
      </c>
      <c r="L3229" s="243">
        <v>1</v>
      </c>
      <c r="M3229" s="243">
        <v>1</v>
      </c>
      <c r="N3229" s="243">
        <v>1</v>
      </c>
      <c r="O3229" s="253">
        <v>0</v>
      </c>
    </row>
    <row r="3230" spans="1:15">
      <c r="A3230" s="242" t="s">
        <v>71</v>
      </c>
      <c r="B3230" s="43" t="s">
        <v>4</v>
      </c>
      <c r="C3230" s="15">
        <v>10</v>
      </c>
      <c r="D3230" s="244">
        <v>1</v>
      </c>
      <c r="E3230" s="244">
        <v>1</v>
      </c>
      <c r="F3230" s="244">
        <v>1</v>
      </c>
      <c r="G3230" s="244">
        <v>0</v>
      </c>
      <c r="H3230" s="244">
        <v>1</v>
      </c>
      <c r="I3230" s="244">
        <v>1</v>
      </c>
      <c r="J3230" s="244">
        <v>0</v>
      </c>
      <c r="K3230" s="244">
        <v>1</v>
      </c>
      <c r="L3230" s="244">
        <v>1</v>
      </c>
      <c r="M3230" s="244">
        <v>0</v>
      </c>
      <c r="N3230" s="244">
        <v>1</v>
      </c>
      <c r="O3230" s="254">
        <v>2</v>
      </c>
    </row>
    <row r="3231" spans="1:15">
      <c r="A3231" s="240" t="s">
        <v>71</v>
      </c>
      <c r="B3231" s="47" t="s">
        <v>5</v>
      </c>
      <c r="C3231" s="241">
        <v>0.909090909090909</v>
      </c>
      <c r="D3231" s="241">
        <v>0.5</v>
      </c>
      <c r="E3231" s="241">
        <v>0</v>
      </c>
      <c r="F3231" s="241">
        <v>0</v>
      </c>
      <c r="G3231" s="241">
        <v>0</v>
      </c>
      <c r="H3231" s="241">
        <v>0.2</v>
      </c>
      <c r="I3231" s="241">
        <v>0</v>
      </c>
      <c r="J3231" s="241">
        <v>0</v>
      </c>
      <c r="K3231" s="241">
        <v>1</v>
      </c>
      <c r="L3231" s="241">
        <v>1</v>
      </c>
      <c r="M3231" s="241">
        <v>0</v>
      </c>
      <c r="N3231" s="241">
        <v>1</v>
      </c>
      <c r="O3231" s="252">
        <v>0</v>
      </c>
    </row>
    <row r="3232" spans="1:15">
      <c r="A3232" s="242" t="s">
        <v>71</v>
      </c>
      <c r="B3232" s="43" t="s">
        <v>6</v>
      </c>
      <c r="C3232" s="15">
        <v>2</v>
      </c>
      <c r="D3232" s="244">
        <v>0</v>
      </c>
      <c r="E3232" s="244">
        <v>0</v>
      </c>
      <c r="F3232" s="244">
        <v>0</v>
      </c>
      <c r="G3232" s="244">
        <v>0</v>
      </c>
      <c r="H3232" s="244">
        <v>1</v>
      </c>
      <c r="I3232" s="244">
        <v>0</v>
      </c>
      <c r="J3232" s="244">
        <v>0</v>
      </c>
      <c r="K3232" s="244">
        <v>0</v>
      </c>
      <c r="L3232" s="244">
        <v>1</v>
      </c>
      <c r="M3232" s="244">
        <v>0</v>
      </c>
      <c r="N3232" s="244">
        <v>0</v>
      </c>
      <c r="O3232" s="254">
        <v>0</v>
      </c>
    </row>
    <row r="3233" ht="14.25" spans="1:15">
      <c r="A3233" s="245" t="s">
        <v>71</v>
      </c>
      <c r="B3233" s="52" t="s">
        <v>64</v>
      </c>
      <c r="C3233" s="19">
        <v>0.2</v>
      </c>
      <c r="D3233" s="19">
        <v>0</v>
      </c>
      <c r="E3233" s="19">
        <v>0</v>
      </c>
      <c r="F3233" s="19">
        <v>0</v>
      </c>
      <c r="G3233" s="19" t="e">
        <v>#DIV/0!</v>
      </c>
      <c r="H3233" s="19">
        <v>1</v>
      </c>
      <c r="I3233" s="19">
        <v>0</v>
      </c>
      <c r="J3233" s="19" t="e">
        <v>#DIV/0!</v>
      </c>
      <c r="K3233" s="19">
        <v>0</v>
      </c>
      <c r="L3233" s="19">
        <v>1</v>
      </c>
      <c r="M3233" s="19" t="e">
        <v>#DIV/0!</v>
      </c>
      <c r="N3233" s="19">
        <v>0</v>
      </c>
      <c r="O3233" s="19">
        <v>0</v>
      </c>
    </row>
    <row r="3234" spans="1:15">
      <c r="A3234" s="240" t="s">
        <v>72</v>
      </c>
      <c r="B3234" s="47" t="s">
        <v>55</v>
      </c>
      <c r="C3234" s="12">
        <v>0.198245247545436</v>
      </c>
      <c r="D3234" s="241">
        <v>0.214432989690722</v>
      </c>
      <c r="E3234" s="241">
        <v>0.32967032967033</v>
      </c>
      <c r="F3234" s="241">
        <v>0.188679245283019</v>
      </c>
      <c r="G3234" s="241">
        <v>0.163865546218487</v>
      </c>
      <c r="H3234" s="241">
        <v>0.205882352941176</v>
      </c>
      <c r="I3234" s="241">
        <v>0.190082644628099</v>
      </c>
      <c r="J3234" s="241">
        <v>0.177111716621253</v>
      </c>
      <c r="K3234" s="241">
        <v>0.20627802690583</v>
      </c>
      <c r="L3234" s="241">
        <v>0.204035874439462</v>
      </c>
      <c r="M3234" s="241">
        <v>0.219753086419753</v>
      </c>
      <c r="N3234" s="241">
        <v>0.172711571675302</v>
      </c>
      <c r="O3234" s="252">
        <v>0.160419790104948</v>
      </c>
    </row>
    <row r="3235" spans="1:15">
      <c r="A3235" s="242" t="s">
        <v>72</v>
      </c>
      <c r="B3235" s="43" t="s">
        <v>57</v>
      </c>
      <c r="C3235" s="15">
        <v>4787</v>
      </c>
      <c r="D3235" s="243">
        <v>485</v>
      </c>
      <c r="E3235" s="243">
        <v>273</v>
      </c>
      <c r="F3235" s="243">
        <v>212</v>
      </c>
      <c r="G3235" s="243">
        <v>238</v>
      </c>
      <c r="H3235" s="243">
        <v>306</v>
      </c>
      <c r="I3235" s="243">
        <v>363</v>
      </c>
      <c r="J3235" s="243">
        <v>367</v>
      </c>
      <c r="K3235" s="243">
        <v>446</v>
      </c>
      <c r="L3235" s="243">
        <v>446</v>
      </c>
      <c r="M3235" s="243">
        <v>405</v>
      </c>
      <c r="N3235" s="243">
        <v>579</v>
      </c>
      <c r="O3235" s="253">
        <v>667</v>
      </c>
    </row>
    <row r="3236" spans="1:15">
      <c r="A3236" s="240" t="s">
        <v>72</v>
      </c>
      <c r="B3236" s="47" t="s">
        <v>59</v>
      </c>
      <c r="C3236" s="15">
        <v>949</v>
      </c>
      <c r="D3236" s="243">
        <v>104</v>
      </c>
      <c r="E3236" s="243">
        <v>90</v>
      </c>
      <c r="F3236" s="243">
        <v>40</v>
      </c>
      <c r="G3236" s="243">
        <v>39</v>
      </c>
      <c r="H3236" s="243">
        <v>63</v>
      </c>
      <c r="I3236" s="243">
        <v>69</v>
      </c>
      <c r="J3236" s="243">
        <v>65</v>
      </c>
      <c r="K3236" s="243">
        <v>92</v>
      </c>
      <c r="L3236" s="243">
        <v>91</v>
      </c>
      <c r="M3236" s="243">
        <v>89</v>
      </c>
      <c r="N3236" s="243">
        <v>100</v>
      </c>
      <c r="O3236" s="253">
        <v>107</v>
      </c>
    </row>
    <row r="3237" spans="1:15">
      <c r="A3237" s="242" t="s">
        <v>72</v>
      </c>
      <c r="B3237" s="43" t="s">
        <v>4</v>
      </c>
      <c r="C3237" s="15">
        <v>84</v>
      </c>
      <c r="D3237" s="244">
        <v>10</v>
      </c>
      <c r="E3237" s="244">
        <v>10</v>
      </c>
      <c r="F3237" s="244">
        <v>4</v>
      </c>
      <c r="G3237" s="244">
        <v>3</v>
      </c>
      <c r="H3237" s="244">
        <v>2</v>
      </c>
      <c r="I3237" s="244">
        <v>8</v>
      </c>
      <c r="J3237" s="244">
        <v>3</v>
      </c>
      <c r="K3237" s="244">
        <v>13</v>
      </c>
      <c r="L3237" s="244">
        <v>8</v>
      </c>
      <c r="M3237" s="244">
        <v>7</v>
      </c>
      <c r="N3237" s="244">
        <v>6</v>
      </c>
      <c r="O3237" s="254">
        <v>10</v>
      </c>
    </row>
    <row r="3238" spans="1:15">
      <c r="A3238" s="240" t="s">
        <v>72</v>
      </c>
      <c r="B3238" s="47" t="s">
        <v>5</v>
      </c>
      <c r="C3238" s="12">
        <v>0.0885142255005269</v>
      </c>
      <c r="D3238" s="241">
        <v>0.0961538461538462</v>
      </c>
      <c r="E3238" s="241">
        <v>0.111111111111111</v>
      </c>
      <c r="F3238" s="241">
        <v>0.1</v>
      </c>
      <c r="G3238" s="241">
        <v>0.0769230769230769</v>
      </c>
      <c r="H3238" s="241">
        <v>0.0317460317460317</v>
      </c>
      <c r="I3238" s="241">
        <v>0.115942028985507</v>
      </c>
      <c r="J3238" s="241">
        <v>0.0461538461538462</v>
      </c>
      <c r="K3238" s="241">
        <v>0.141304347826087</v>
      </c>
      <c r="L3238" s="241">
        <v>0.0879120879120879</v>
      </c>
      <c r="M3238" s="241">
        <v>0.0786516853932584</v>
      </c>
      <c r="N3238" s="241">
        <v>0.06</v>
      </c>
      <c r="O3238" s="252">
        <v>0.0934579439252336</v>
      </c>
    </row>
    <row r="3239" spans="1:15">
      <c r="A3239" s="242" t="s">
        <v>72</v>
      </c>
      <c r="B3239" s="43" t="s">
        <v>6</v>
      </c>
      <c r="C3239" s="15">
        <v>26</v>
      </c>
      <c r="D3239" s="244">
        <v>5</v>
      </c>
      <c r="E3239" s="244">
        <v>2</v>
      </c>
      <c r="F3239" s="244">
        <v>1</v>
      </c>
      <c r="G3239" s="244">
        <v>0</v>
      </c>
      <c r="H3239" s="244">
        <v>1</v>
      </c>
      <c r="I3239" s="244">
        <v>3</v>
      </c>
      <c r="J3239" s="244">
        <v>1</v>
      </c>
      <c r="K3239" s="244">
        <v>2</v>
      </c>
      <c r="L3239" s="244">
        <v>3</v>
      </c>
      <c r="M3239" s="244">
        <v>3</v>
      </c>
      <c r="N3239" s="244">
        <v>3</v>
      </c>
      <c r="O3239" s="254">
        <v>2</v>
      </c>
    </row>
    <row r="3240" ht="14.25" spans="1:15">
      <c r="A3240" s="245" t="s">
        <v>72</v>
      </c>
      <c r="B3240" s="52" t="s">
        <v>64</v>
      </c>
      <c r="C3240" s="19">
        <v>0.30952380952381</v>
      </c>
      <c r="D3240" s="19">
        <v>0.5</v>
      </c>
      <c r="E3240" s="19">
        <v>0.2</v>
      </c>
      <c r="F3240" s="19">
        <v>0.25</v>
      </c>
      <c r="G3240" s="19">
        <v>0</v>
      </c>
      <c r="H3240" s="19">
        <v>0.5</v>
      </c>
      <c r="I3240" s="19">
        <v>0.375</v>
      </c>
      <c r="J3240" s="19">
        <v>0.333333333333333</v>
      </c>
      <c r="K3240" s="19">
        <v>0.153846153846154</v>
      </c>
      <c r="L3240" s="19">
        <v>0.375</v>
      </c>
      <c r="M3240" s="19">
        <v>0.428571428571429</v>
      </c>
      <c r="N3240" s="19">
        <v>0.5</v>
      </c>
      <c r="O3240" s="19">
        <v>0.2</v>
      </c>
    </row>
    <row r="3241" ht="14.25" spans="1:15">
      <c r="A3241" s="237">
        <v>45069</v>
      </c>
      <c r="B3241" s="237"/>
      <c r="C3241" s="237"/>
      <c r="D3241" s="237"/>
      <c r="E3241" s="237"/>
      <c r="F3241" s="237"/>
      <c r="G3241" s="237"/>
      <c r="H3241" s="237"/>
      <c r="I3241" s="237"/>
      <c r="J3241" s="237"/>
      <c r="K3241" s="237"/>
      <c r="L3241" s="237"/>
      <c r="M3241" s="237"/>
      <c r="N3241" s="237"/>
      <c r="O3241" s="237"/>
    </row>
    <row r="3242" spans="1:15">
      <c r="A3242" s="56" t="s">
        <v>1</v>
      </c>
      <c r="B3242" s="238"/>
      <c r="C3242" s="8" t="s">
        <v>42</v>
      </c>
      <c r="D3242" s="239" t="s">
        <v>43</v>
      </c>
      <c r="E3242" s="239" t="s">
        <v>44</v>
      </c>
      <c r="F3242" s="239" t="s">
        <v>45</v>
      </c>
      <c r="G3242" s="239" t="s">
        <v>46</v>
      </c>
      <c r="H3242" s="239" t="s">
        <v>47</v>
      </c>
      <c r="I3242" s="239" t="s">
        <v>48</v>
      </c>
      <c r="J3242" s="239" t="s">
        <v>49</v>
      </c>
      <c r="K3242" s="239" t="s">
        <v>50</v>
      </c>
      <c r="L3242" s="239" t="s">
        <v>51</v>
      </c>
      <c r="M3242" s="239" t="s">
        <v>52</v>
      </c>
      <c r="N3242" s="239" t="s">
        <v>53</v>
      </c>
      <c r="O3242" s="251" t="s">
        <v>54</v>
      </c>
    </row>
    <row r="3243" spans="1:15">
      <c r="A3243" s="240" t="s">
        <v>22</v>
      </c>
      <c r="B3243" s="47" t="s">
        <v>55</v>
      </c>
      <c r="C3243" s="12">
        <v>0.456529920963493</v>
      </c>
      <c r="D3243" s="241">
        <v>0.425339366515837</v>
      </c>
      <c r="E3243" s="241">
        <v>0.464788732394366</v>
      </c>
      <c r="F3243" s="241">
        <v>0.395973154362416</v>
      </c>
      <c r="G3243" s="241">
        <v>0.627777777777778</v>
      </c>
      <c r="H3243" s="241">
        <v>0.45679012345679</v>
      </c>
      <c r="I3243" s="241">
        <v>0.417159763313609</v>
      </c>
      <c r="J3243" s="241">
        <v>0.505016722408027</v>
      </c>
      <c r="K3243" s="241">
        <v>0.418918918918919</v>
      </c>
      <c r="L3243" s="241">
        <v>0.44578313253012</v>
      </c>
      <c r="M3243" s="241">
        <v>1.1</v>
      </c>
      <c r="N3243" s="241" t="e">
        <v>#DIV/0!</v>
      </c>
      <c r="O3243" s="252" t="e">
        <v>#DIV/0!</v>
      </c>
    </row>
    <row r="3244" spans="1:15">
      <c r="A3244" s="242" t="s">
        <v>22</v>
      </c>
      <c r="B3244" s="43" t="s">
        <v>57</v>
      </c>
      <c r="C3244" s="15">
        <v>2657</v>
      </c>
      <c r="D3244" s="243">
        <v>442</v>
      </c>
      <c r="E3244" s="243">
        <v>213</v>
      </c>
      <c r="F3244" s="243">
        <v>149</v>
      </c>
      <c r="G3244" s="243">
        <v>180</v>
      </c>
      <c r="H3244" s="243">
        <v>324</v>
      </c>
      <c r="I3244" s="243">
        <v>338</v>
      </c>
      <c r="J3244" s="243">
        <v>299</v>
      </c>
      <c r="K3244" s="243">
        <v>370</v>
      </c>
      <c r="L3244" s="243">
        <v>332</v>
      </c>
      <c r="M3244" s="243">
        <v>10</v>
      </c>
      <c r="N3244" s="243">
        <v>0</v>
      </c>
      <c r="O3244" s="253">
        <v>0</v>
      </c>
    </row>
    <row r="3245" spans="1:15">
      <c r="A3245" s="240" t="s">
        <v>22</v>
      </c>
      <c r="B3245" s="47" t="s">
        <v>59</v>
      </c>
      <c r="C3245" s="15">
        <v>1213</v>
      </c>
      <c r="D3245" s="243">
        <v>188</v>
      </c>
      <c r="E3245" s="243">
        <v>99</v>
      </c>
      <c r="F3245" s="243">
        <v>59</v>
      </c>
      <c r="G3245" s="243">
        <v>113</v>
      </c>
      <c r="H3245" s="243">
        <v>148</v>
      </c>
      <c r="I3245" s="243">
        <v>141</v>
      </c>
      <c r="J3245" s="243">
        <v>151</v>
      </c>
      <c r="K3245" s="243">
        <v>155</v>
      </c>
      <c r="L3245" s="243">
        <v>148</v>
      </c>
      <c r="M3245" s="243">
        <v>11</v>
      </c>
      <c r="N3245" s="243">
        <v>0</v>
      </c>
      <c r="O3245" s="253">
        <v>0</v>
      </c>
    </row>
    <row r="3246" spans="1:15">
      <c r="A3246" s="242" t="s">
        <v>22</v>
      </c>
      <c r="B3246" s="43" t="s">
        <v>4</v>
      </c>
      <c r="C3246" s="15">
        <v>164</v>
      </c>
      <c r="D3246" s="244">
        <v>22</v>
      </c>
      <c r="E3246" s="244">
        <v>13</v>
      </c>
      <c r="F3246" s="244">
        <v>5</v>
      </c>
      <c r="G3246" s="244">
        <v>9</v>
      </c>
      <c r="H3246" s="244">
        <v>15</v>
      </c>
      <c r="I3246" s="244">
        <v>10</v>
      </c>
      <c r="J3246" s="244">
        <v>11</v>
      </c>
      <c r="K3246" s="244">
        <v>10</v>
      </c>
      <c r="L3246" s="244">
        <v>10</v>
      </c>
      <c r="M3246" s="244">
        <v>15</v>
      </c>
      <c r="N3246" s="244">
        <v>22</v>
      </c>
      <c r="O3246" s="254">
        <v>22</v>
      </c>
    </row>
    <row r="3247" spans="1:15">
      <c r="A3247" s="240" t="s">
        <v>22</v>
      </c>
      <c r="B3247" s="47" t="s">
        <v>5</v>
      </c>
      <c r="C3247" s="12">
        <v>0.13520197856554</v>
      </c>
      <c r="D3247" s="241">
        <v>0.117021276595745</v>
      </c>
      <c r="E3247" s="241">
        <v>0.131313131313131</v>
      </c>
      <c r="F3247" s="241">
        <v>0.0847457627118644</v>
      </c>
      <c r="G3247" s="241">
        <v>0.079646017699115</v>
      </c>
      <c r="H3247" s="241">
        <v>0.101351351351351</v>
      </c>
      <c r="I3247" s="241">
        <v>0.0709219858156028</v>
      </c>
      <c r="J3247" s="241">
        <v>0.0728476821192053</v>
      </c>
      <c r="K3247" s="241">
        <v>0.0645161290322581</v>
      </c>
      <c r="L3247" s="241">
        <v>0.0675675675675676</v>
      </c>
      <c r="M3247" s="241">
        <v>1.36363636363636</v>
      </c>
      <c r="N3247" s="241">
        <v>0</v>
      </c>
      <c r="O3247" s="252">
        <v>0</v>
      </c>
    </row>
    <row r="3248" spans="1:15">
      <c r="A3248" s="242" t="s">
        <v>22</v>
      </c>
      <c r="B3248" s="43" t="s">
        <v>6</v>
      </c>
      <c r="C3248" s="15">
        <v>56</v>
      </c>
      <c r="D3248" s="244">
        <v>9</v>
      </c>
      <c r="E3248" s="244">
        <v>6</v>
      </c>
      <c r="F3248" s="244">
        <v>0</v>
      </c>
      <c r="G3248" s="244">
        <v>3</v>
      </c>
      <c r="H3248" s="244">
        <v>8</v>
      </c>
      <c r="I3248" s="244">
        <v>5</v>
      </c>
      <c r="J3248" s="244">
        <v>2</v>
      </c>
      <c r="K3248" s="244">
        <v>4</v>
      </c>
      <c r="L3248" s="244">
        <v>4</v>
      </c>
      <c r="M3248" s="244">
        <v>0</v>
      </c>
      <c r="N3248" s="244">
        <v>11</v>
      </c>
      <c r="O3248" s="254">
        <v>4</v>
      </c>
    </row>
    <row r="3249" ht="14.25" spans="1:15">
      <c r="A3249" s="245" t="s">
        <v>22</v>
      </c>
      <c r="B3249" s="52" t="s">
        <v>64</v>
      </c>
      <c r="C3249" s="19">
        <v>0.341463414634146</v>
      </c>
      <c r="D3249" s="246">
        <v>0.409090909090909</v>
      </c>
      <c r="E3249" s="246">
        <v>0.461538461538462</v>
      </c>
      <c r="F3249" s="246">
        <v>0</v>
      </c>
      <c r="G3249" s="246">
        <v>0.333333333333333</v>
      </c>
      <c r="H3249" s="246">
        <v>0.533333333333333</v>
      </c>
      <c r="I3249" s="246">
        <v>0.5</v>
      </c>
      <c r="J3249" s="246">
        <v>0.181818181818182</v>
      </c>
      <c r="K3249" s="246">
        <v>0.4</v>
      </c>
      <c r="L3249" s="246">
        <v>0.4</v>
      </c>
      <c r="M3249" s="246">
        <v>0</v>
      </c>
      <c r="N3249" s="246">
        <v>0.5</v>
      </c>
      <c r="O3249" s="255">
        <v>0.181818181818182</v>
      </c>
    </row>
    <row r="3250" spans="1:15">
      <c r="A3250" s="247" t="s">
        <v>66</v>
      </c>
      <c r="B3250" s="248" t="s">
        <v>55</v>
      </c>
      <c r="C3250" s="12">
        <v>0.0825274016763378</v>
      </c>
      <c r="D3250" s="249">
        <v>0.0853658536585366</v>
      </c>
      <c r="E3250" s="249">
        <v>0.0609318996415771</v>
      </c>
      <c r="F3250" s="249">
        <v>0.0377358490566038</v>
      </c>
      <c r="G3250" s="249">
        <v>0.0631578947368421</v>
      </c>
      <c r="H3250" s="249">
        <v>0.0866666666666667</v>
      </c>
      <c r="I3250" s="249">
        <v>0.107438016528926</v>
      </c>
      <c r="J3250" s="249">
        <v>0.10077519379845</v>
      </c>
      <c r="K3250" s="249">
        <v>0.125984251968504</v>
      </c>
      <c r="L3250" s="249">
        <v>0.150537634408602</v>
      </c>
      <c r="M3250" s="249">
        <v>0.25</v>
      </c>
      <c r="N3250" s="249" t="e">
        <v>#DIV/0!</v>
      </c>
      <c r="O3250" s="256" t="e">
        <v>#DIV/0!</v>
      </c>
    </row>
    <row r="3251" spans="1:15">
      <c r="A3251" s="242" t="s">
        <v>66</v>
      </c>
      <c r="B3251" s="43" t="s">
        <v>57</v>
      </c>
      <c r="C3251" s="15">
        <v>1551</v>
      </c>
      <c r="D3251" s="243">
        <v>246</v>
      </c>
      <c r="E3251" s="243">
        <v>279</v>
      </c>
      <c r="F3251" s="243">
        <v>212</v>
      </c>
      <c r="G3251" s="243">
        <v>190</v>
      </c>
      <c r="H3251" s="243">
        <v>150</v>
      </c>
      <c r="I3251" s="243">
        <v>121</v>
      </c>
      <c r="J3251" s="243">
        <v>129</v>
      </c>
      <c r="K3251" s="243">
        <v>127</v>
      </c>
      <c r="L3251" s="243">
        <v>93</v>
      </c>
      <c r="M3251" s="243">
        <v>4</v>
      </c>
      <c r="N3251" s="243">
        <v>0</v>
      </c>
      <c r="O3251" s="253">
        <v>0</v>
      </c>
    </row>
    <row r="3252" spans="1:15">
      <c r="A3252" s="240" t="s">
        <v>66</v>
      </c>
      <c r="B3252" s="47" t="s">
        <v>59</v>
      </c>
      <c r="C3252" s="15">
        <v>128</v>
      </c>
      <c r="D3252" s="243">
        <v>21</v>
      </c>
      <c r="E3252" s="243">
        <v>17</v>
      </c>
      <c r="F3252" s="243">
        <v>8</v>
      </c>
      <c r="G3252" s="243">
        <v>12</v>
      </c>
      <c r="H3252" s="243">
        <v>13</v>
      </c>
      <c r="I3252" s="243">
        <v>13</v>
      </c>
      <c r="J3252" s="243">
        <v>13</v>
      </c>
      <c r="K3252" s="243">
        <v>16</v>
      </c>
      <c r="L3252" s="243">
        <v>14</v>
      </c>
      <c r="M3252" s="243">
        <v>1</v>
      </c>
      <c r="N3252" s="243">
        <v>0</v>
      </c>
      <c r="O3252" s="253">
        <v>0</v>
      </c>
    </row>
    <row r="3253" spans="1:15">
      <c r="A3253" s="242" t="s">
        <v>66</v>
      </c>
      <c r="B3253" s="43" t="s">
        <v>4</v>
      </c>
      <c r="C3253" s="15">
        <v>14</v>
      </c>
      <c r="D3253" s="244">
        <v>2</v>
      </c>
      <c r="E3253" s="244">
        <v>1</v>
      </c>
      <c r="F3253" s="244">
        <v>1</v>
      </c>
      <c r="G3253" s="244">
        <v>0</v>
      </c>
      <c r="H3253" s="244">
        <v>1</v>
      </c>
      <c r="I3253" s="244">
        <v>1</v>
      </c>
      <c r="J3253" s="244">
        <v>0</v>
      </c>
      <c r="K3253" s="244">
        <v>2</v>
      </c>
      <c r="L3253" s="244">
        <v>1</v>
      </c>
      <c r="M3253" s="244">
        <v>0</v>
      </c>
      <c r="N3253" s="244">
        <v>2</v>
      </c>
      <c r="O3253" s="254">
        <v>3</v>
      </c>
    </row>
    <row r="3254" spans="1:15">
      <c r="A3254" s="240" t="s">
        <v>66</v>
      </c>
      <c r="B3254" s="47" t="s">
        <v>5</v>
      </c>
      <c r="C3254" s="12">
        <v>0.109375</v>
      </c>
      <c r="D3254" s="241">
        <v>0.0952380952380952</v>
      </c>
      <c r="E3254" s="241">
        <v>0.0588235294117647</v>
      </c>
      <c r="F3254" s="241">
        <v>0.125</v>
      </c>
      <c r="G3254" s="241">
        <v>0</v>
      </c>
      <c r="H3254" s="241">
        <v>0.0769230769230769</v>
      </c>
      <c r="I3254" s="241">
        <v>0.0769230769230769</v>
      </c>
      <c r="J3254" s="241">
        <v>0</v>
      </c>
      <c r="K3254" s="241">
        <v>0.125</v>
      </c>
      <c r="L3254" s="241">
        <v>0.0714285714285714</v>
      </c>
      <c r="M3254" s="241">
        <v>0</v>
      </c>
      <c r="N3254" s="241">
        <v>0</v>
      </c>
      <c r="O3254" s="252">
        <v>0</v>
      </c>
    </row>
    <row r="3255" spans="1:15">
      <c r="A3255" s="242" t="s">
        <v>66</v>
      </c>
      <c r="B3255" s="43" t="s">
        <v>6</v>
      </c>
      <c r="C3255" s="15">
        <v>7</v>
      </c>
      <c r="D3255" s="244">
        <v>1</v>
      </c>
      <c r="E3255" s="244">
        <v>1</v>
      </c>
      <c r="F3255" s="244">
        <v>0</v>
      </c>
      <c r="G3255" s="244">
        <v>0</v>
      </c>
      <c r="H3255" s="244">
        <v>0</v>
      </c>
      <c r="I3255" s="244">
        <v>1</v>
      </c>
      <c r="J3255" s="244">
        <v>0</v>
      </c>
      <c r="K3255" s="244">
        <v>1</v>
      </c>
      <c r="L3255" s="244">
        <v>1</v>
      </c>
      <c r="M3255" s="244">
        <v>0</v>
      </c>
      <c r="N3255" s="244">
        <v>1</v>
      </c>
      <c r="O3255" s="254">
        <v>1</v>
      </c>
    </row>
    <row r="3256" ht="14.25" spans="1:15">
      <c r="A3256" s="245" t="s">
        <v>66</v>
      </c>
      <c r="B3256" s="52" t="s">
        <v>64</v>
      </c>
      <c r="C3256" s="19">
        <v>0.5</v>
      </c>
      <c r="D3256" s="246">
        <v>0.5</v>
      </c>
      <c r="E3256" s="246">
        <v>1</v>
      </c>
      <c r="F3256" s="246">
        <v>0</v>
      </c>
      <c r="G3256" s="246">
        <v>0</v>
      </c>
      <c r="H3256" s="246">
        <v>0</v>
      </c>
      <c r="I3256" s="246">
        <v>1</v>
      </c>
      <c r="J3256" s="246">
        <v>0</v>
      </c>
      <c r="K3256" s="246">
        <v>0.5</v>
      </c>
      <c r="L3256" s="246">
        <v>1</v>
      </c>
      <c r="M3256" s="246">
        <v>0</v>
      </c>
      <c r="N3256" s="246">
        <v>0.5</v>
      </c>
      <c r="O3256" s="255">
        <v>0.333333333333333</v>
      </c>
    </row>
    <row r="3257" spans="1:15">
      <c r="A3257" s="240" t="s">
        <v>67</v>
      </c>
      <c r="B3257" s="47" t="s">
        <v>55</v>
      </c>
      <c r="C3257" s="12">
        <v>0.541139240506329</v>
      </c>
      <c r="D3257" s="241">
        <v>0.472727272727273</v>
      </c>
      <c r="E3257" s="241">
        <v>0.371428571428571</v>
      </c>
      <c r="F3257" s="241">
        <v>0.25</v>
      </c>
      <c r="G3257" s="241">
        <v>0.458333333333333</v>
      </c>
      <c r="H3257" s="241">
        <v>0.628571428571429</v>
      </c>
      <c r="I3257" s="241">
        <v>0.647058823529412</v>
      </c>
      <c r="J3257" s="241">
        <v>0.466666666666667</v>
      </c>
      <c r="K3257" s="241">
        <v>0.9</v>
      </c>
      <c r="L3257" s="241">
        <v>0.666666666666667</v>
      </c>
      <c r="M3257" s="241">
        <v>0.75</v>
      </c>
      <c r="N3257" s="241" t="e">
        <v>#DIV/0!</v>
      </c>
      <c r="O3257" s="252" t="e">
        <v>#DIV/0!</v>
      </c>
    </row>
    <row r="3258" spans="1:15">
      <c r="A3258" s="242" t="s">
        <v>67</v>
      </c>
      <c r="B3258" s="43" t="s">
        <v>57</v>
      </c>
      <c r="C3258" s="15">
        <v>316</v>
      </c>
      <c r="D3258" s="243">
        <v>55</v>
      </c>
      <c r="E3258" s="243">
        <v>35</v>
      </c>
      <c r="F3258" s="243">
        <v>24</v>
      </c>
      <c r="G3258" s="243">
        <v>24</v>
      </c>
      <c r="H3258" s="243">
        <v>35</v>
      </c>
      <c r="I3258" s="243">
        <v>34</v>
      </c>
      <c r="J3258" s="243">
        <v>45</v>
      </c>
      <c r="K3258" s="243">
        <v>30</v>
      </c>
      <c r="L3258" s="243">
        <v>30</v>
      </c>
      <c r="M3258" s="243">
        <v>4</v>
      </c>
      <c r="N3258" s="243">
        <v>0</v>
      </c>
      <c r="O3258" s="253">
        <v>0</v>
      </c>
    </row>
    <row r="3259" spans="1:15">
      <c r="A3259" s="240" t="s">
        <v>67</v>
      </c>
      <c r="B3259" s="47" t="s">
        <v>59</v>
      </c>
      <c r="C3259" s="15">
        <v>171</v>
      </c>
      <c r="D3259" s="243">
        <v>26</v>
      </c>
      <c r="E3259" s="243">
        <v>13</v>
      </c>
      <c r="F3259" s="243">
        <v>6</v>
      </c>
      <c r="G3259" s="243">
        <v>11</v>
      </c>
      <c r="H3259" s="243">
        <v>22</v>
      </c>
      <c r="I3259" s="243">
        <v>22</v>
      </c>
      <c r="J3259" s="243">
        <v>21</v>
      </c>
      <c r="K3259" s="243">
        <v>27</v>
      </c>
      <c r="L3259" s="243">
        <v>20</v>
      </c>
      <c r="M3259" s="243">
        <v>3</v>
      </c>
      <c r="N3259" s="243">
        <v>0</v>
      </c>
      <c r="O3259" s="253">
        <v>0</v>
      </c>
    </row>
    <row r="3260" spans="1:15">
      <c r="A3260" s="242" t="s">
        <v>67</v>
      </c>
      <c r="B3260" s="43" t="s">
        <v>4</v>
      </c>
      <c r="C3260" s="15">
        <v>15</v>
      </c>
      <c r="D3260" s="244">
        <v>0</v>
      </c>
      <c r="E3260" s="244">
        <v>1</v>
      </c>
      <c r="F3260" s="244">
        <v>0</v>
      </c>
      <c r="G3260" s="244">
        <v>1</v>
      </c>
      <c r="H3260" s="244">
        <v>0</v>
      </c>
      <c r="I3260" s="244">
        <v>1</v>
      </c>
      <c r="J3260" s="244">
        <v>1</v>
      </c>
      <c r="K3260" s="244">
        <v>2</v>
      </c>
      <c r="L3260" s="244">
        <v>0</v>
      </c>
      <c r="M3260" s="244">
        <v>4</v>
      </c>
      <c r="N3260" s="244">
        <v>2</v>
      </c>
      <c r="O3260" s="254">
        <v>3</v>
      </c>
    </row>
    <row r="3261" spans="1:15">
      <c r="A3261" s="240" t="s">
        <v>67</v>
      </c>
      <c r="B3261" s="47" t="s">
        <v>5</v>
      </c>
      <c r="C3261" s="12">
        <v>0.087719298245614</v>
      </c>
      <c r="D3261" s="241">
        <v>0</v>
      </c>
      <c r="E3261" s="241">
        <v>0.0769230769230769</v>
      </c>
      <c r="F3261" s="241">
        <v>0</v>
      </c>
      <c r="G3261" s="241">
        <v>0.0909090909090909</v>
      </c>
      <c r="H3261" s="241">
        <v>0</v>
      </c>
      <c r="I3261" s="241">
        <v>0.0454545454545455</v>
      </c>
      <c r="J3261" s="241">
        <v>0.0476190476190476</v>
      </c>
      <c r="K3261" s="241">
        <v>0.0740740740740741</v>
      </c>
      <c r="L3261" s="241">
        <v>0</v>
      </c>
      <c r="M3261" s="241">
        <v>1.33333333333333</v>
      </c>
      <c r="N3261" s="241">
        <v>0</v>
      </c>
      <c r="O3261" s="252">
        <v>0</v>
      </c>
    </row>
    <row r="3262" spans="1:15">
      <c r="A3262" s="242" t="s">
        <v>67</v>
      </c>
      <c r="B3262" s="43" t="s">
        <v>6</v>
      </c>
      <c r="C3262" s="15">
        <v>5</v>
      </c>
      <c r="D3262" s="244">
        <v>1</v>
      </c>
      <c r="E3262" s="244">
        <v>0</v>
      </c>
      <c r="F3262" s="244">
        <v>0</v>
      </c>
      <c r="G3262" s="244">
        <v>0</v>
      </c>
      <c r="H3262" s="244">
        <v>1</v>
      </c>
      <c r="I3262" s="244">
        <v>0</v>
      </c>
      <c r="J3262" s="244">
        <v>1</v>
      </c>
      <c r="K3262" s="244">
        <v>0</v>
      </c>
      <c r="L3262" s="244">
        <v>0</v>
      </c>
      <c r="M3262" s="244">
        <v>1</v>
      </c>
      <c r="N3262" s="244">
        <v>1</v>
      </c>
      <c r="O3262" s="254">
        <v>0</v>
      </c>
    </row>
    <row r="3263" ht="14.25" spans="1:15">
      <c r="A3263" s="245" t="s">
        <v>67</v>
      </c>
      <c r="B3263" s="52" t="s">
        <v>64</v>
      </c>
      <c r="C3263" s="19">
        <v>0.333333333333333</v>
      </c>
      <c r="D3263" s="246">
        <v>0</v>
      </c>
      <c r="E3263" s="246">
        <v>0</v>
      </c>
      <c r="F3263" s="246">
        <v>0</v>
      </c>
      <c r="G3263" s="246">
        <v>0</v>
      </c>
      <c r="H3263" s="246">
        <v>0</v>
      </c>
      <c r="I3263" s="246">
        <v>0</v>
      </c>
      <c r="J3263" s="246">
        <v>1</v>
      </c>
      <c r="K3263" s="246">
        <v>0</v>
      </c>
      <c r="L3263" s="246">
        <v>0</v>
      </c>
      <c r="M3263" s="246">
        <v>0.25</v>
      </c>
      <c r="N3263" s="246">
        <v>0.5</v>
      </c>
      <c r="O3263" s="255">
        <v>0</v>
      </c>
    </row>
    <row r="3264" spans="1:15">
      <c r="A3264" s="240" t="s">
        <v>68</v>
      </c>
      <c r="B3264" s="47" t="s">
        <v>55</v>
      </c>
      <c r="C3264" s="12">
        <v>0.0756996482642606</v>
      </c>
      <c r="D3264" s="241">
        <v>0.0708478513356562</v>
      </c>
      <c r="E3264" s="241">
        <v>0.0521172638436482</v>
      </c>
      <c r="F3264" s="241">
        <v>0.0516351118760757</v>
      </c>
      <c r="G3264" s="241">
        <v>0.0539629005059022</v>
      </c>
      <c r="H3264" s="241">
        <v>0.0834553440702782</v>
      </c>
      <c r="I3264" s="241">
        <v>0.0963572267920094</v>
      </c>
      <c r="J3264" s="241">
        <v>0.0791946308724832</v>
      </c>
      <c r="K3264" s="241">
        <v>0.0855745721271394</v>
      </c>
      <c r="L3264" s="241">
        <v>0.0921228304405874</v>
      </c>
      <c r="M3264" s="241">
        <v>0.0681818181818182</v>
      </c>
      <c r="N3264" s="241" t="e">
        <v>#DIV/0!</v>
      </c>
      <c r="O3264" s="252" t="e">
        <v>#DIV/0!</v>
      </c>
    </row>
    <row r="3265" spans="1:15">
      <c r="A3265" s="242" t="s">
        <v>68</v>
      </c>
      <c r="B3265" s="43" t="s">
        <v>57</v>
      </c>
      <c r="C3265" s="15">
        <v>6539</v>
      </c>
      <c r="D3265" s="243">
        <v>861</v>
      </c>
      <c r="E3265" s="243">
        <v>614</v>
      </c>
      <c r="F3265" s="243">
        <v>581</v>
      </c>
      <c r="G3265" s="243">
        <v>593</v>
      </c>
      <c r="H3265" s="243">
        <v>683</v>
      </c>
      <c r="I3265" s="243">
        <v>851</v>
      </c>
      <c r="J3265" s="243">
        <v>745</v>
      </c>
      <c r="K3265" s="243">
        <v>818</v>
      </c>
      <c r="L3265" s="243">
        <v>749</v>
      </c>
      <c r="M3265" s="243">
        <v>44</v>
      </c>
      <c r="N3265" s="243">
        <v>0</v>
      </c>
      <c r="O3265" s="253">
        <v>0</v>
      </c>
    </row>
    <row r="3266" spans="1:15">
      <c r="A3266" s="240" t="s">
        <v>68</v>
      </c>
      <c r="B3266" s="47" t="s">
        <v>59</v>
      </c>
      <c r="C3266" s="15">
        <v>495</v>
      </c>
      <c r="D3266" s="243">
        <v>61</v>
      </c>
      <c r="E3266" s="243">
        <v>32</v>
      </c>
      <c r="F3266" s="243">
        <v>30</v>
      </c>
      <c r="G3266" s="243">
        <v>32</v>
      </c>
      <c r="H3266" s="243">
        <v>57</v>
      </c>
      <c r="I3266" s="243">
        <v>82</v>
      </c>
      <c r="J3266" s="243">
        <v>59</v>
      </c>
      <c r="K3266" s="243">
        <v>70</v>
      </c>
      <c r="L3266" s="243">
        <v>69</v>
      </c>
      <c r="M3266" s="243">
        <v>3</v>
      </c>
      <c r="N3266" s="243">
        <v>0</v>
      </c>
      <c r="O3266" s="253">
        <v>0</v>
      </c>
    </row>
    <row r="3267" spans="1:15">
      <c r="A3267" s="242" t="s">
        <v>68</v>
      </c>
      <c r="B3267" s="43" t="s">
        <v>4</v>
      </c>
      <c r="C3267" s="15">
        <v>42</v>
      </c>
      <c r="D3267" s="244">
        <v>5</v>
      </c>
      <c r="E3267" s="244">
        <v>2</v>
      </c>
      <c r="F3267" s="244">
        <v>4</v>
      </c>
      <c r="G3267" s="244">
        <v>3</v>
      </c>
      <c r="H3267" s="244">
        <v>5</v>
      </c>
      <c r="I3267" s="244">
        <v>4</v>
      </c>
      <c r="J3267" s="244">
        <v>4</v>
      </c>
      <c r="K3267" s="244">
        <v>5</v>
      </c>
      <c r="L3267" s="244">
        <v>3</v>
      </c>
      <c r="M3267" s="244">
        <v>0</v>
      </c>
      <c r="N3267" s="244">
        <v>3</v>
      </c>
      <c r="O3267" s="254">
        <v>4</v>
      </c>
    </row>
    <row r="3268" spans="1:15">
      <c r="A3268" s="240" t="s">
        <v>68</v>
      </c>
      <c r="B3268" s="47" t="s">
        <v>5</v>
      </c>
      <c r="C3268" s="12">
        <v>0.0848484848484849</v>
      </c>
      <c r="D3268" s="241">
        <v>0.0819672131147541</v>
      </c>
      <c r="E3268" s="241">
        <v>0.0625</v>
      </c>
      <c r="F3268" s="241">
        <v>0.133333333333333</v>
      </c>
      <c r="G3268" s="241">
        <v>0.09375</v>
      </c>
      <c r="H3268" s="241">
        <v>0.087719298245614</v>
      </c>
      <c r="I3268" s="241">
        <v>0.0487804878048781</v>
      </c>
      <c r="J3268" s="241">
        <v>0.0677966101694915</v>
      </c>
      <c r="K3268" s="241">
        <v>0.0714285714285714</v>
      </c>
      <c r="L3268" s="241">
        <v>0.0434782608695652</v>
      </c>
      <c r="M3268" s="241">
        <v>0</v>
      </c>
      <c r="N3268" s="241">
        <v>0</v>
      </c>
      <c r="O3268" s="252">
        <v>0</v>
      </c>
    </row>
    <row r="3269" spans="1:15">
      <c r="A3269" s="242" t="s">
        <v>68</v>
      </c>
      <c r="B3269" s="43" t="s">
        <v>6</v>
      </c>
      <c r="C3269" s="15">
        <v>18</v>
      </c>
      <c r="D3269" s="244">
        <v>2</v>
      </c>
      <c r="E3269" s="244">
        <v>1</v>
      </c>
      <c r="F3269" s="244">
        <v>1</v>
      </c>
      <c r="G3269" s="244">
        <v>1</v>
      </c>
      <c r="H3269" s="244">
        <v>3</v>
      </c>
      <c r="I3269" s="244">
        <v>2</v>
      </c>
      <c r="J3269" s="244">
        <v>1</v>
      </c>
      <c r="K3269" s="244">
        <v>3</v>
      </c>
      <c r="L3269" s="244">
        <v>0</v>
      </c>
      <c r="M3269" s="244">
        <v>2</v>
      </c>
      <c r="N3269" s="244">
        <v>0</v>
      </c>
      <c r="O3269" s="254">
        <v>2</v>
      </c>
    </row>
    <row r="3270" ht="14.25" spans="1:15">
      <c r="A3270" s="245" t="s">
        <v>68</v>
      </c>
      <c r="B3270" s="52" t="s">
        <v>64</v>
      </c>
      <c r="C3270" s="19">
        <v>0.428571428571429</v>
      </c>
      <c r="D3270" s="246">
        <v>0.4</v>
      </c>
      <c r="E3270" s="246">
        <v>0.5</v>
      </c>
      <c r="F3270" s="246">
        <v>0.25</v>
      </c>
      <c r="G3270" s="246">
        <v>0.333333333333333</v>
      </c>
      <c r="H3270" s="246">
        <v>0.6</v>
      </c>
      <c r="I3270" s="246">
        <v>0.5</v>
      </c>
      <c r="J3270" s="246">
        <v>0.25</v>
      </c>
      <c r="K3270" s="246">
        <v>0.6</v>
      </c>
      <c r="L3270" s="246">
        <v>0</v>
      </c>
      <c r="M3270" s="246">
        <v>0</v>
      </c>
      <c r="N3270" s="246">
        <v>0</v>
      </c>
      <c r="O3270" s="255">
        <v>0.5</v>
      </c>
    </row>
    <row r="3271" spans="1:15">
      <c r="A3271" s="240" t="s">
        <v>69</v>
      </c>
      <c r="B3271" s="47" t="s">
        <v>55</v>
      </c>
      <c r="C3271" s="12">
        <v>1.00299401197605</v>
      </c>
      <c r="D3271" s="241">
        <v>1.21276595744681</v>
      </c>
      <c r="E3271" s="241">
        <v>1.73913043478261</v>
      </c>
      <c r="F3271" s="241">
        <v>1.33333333333333</v>
      </c>
      <c r="G3271" s="241">
        <v>1.59090909090909</v>
      </c>
      <c r="H3271" s="241">
        <v>0.772727272727273</v>
      </c>
      <c r="I3271" s="241">
        <v>0.854166666666667</v>
      </c>
      <c r="J3271" s="241">
        <v>0.783783783783784</v>
      </c>
      <c r="K3271" s="241">
        <v>0.837837837837838</v>
      </c>
      <c r="L3271" s="241">
        <v>0.766666666666667</v>
      </c>
      <c r="M3271" s="241">
        <v>1.5</v>
      </c>
      <c r="N3271" s="241" t="e">
        <v>#DIV/0!</v>
      </c>
      <c r="O3271" s="252" t="e">
        <v>#DIV/0!</v>
      </c>
    </row>
    <row r="3272" spans="1:15">
      <c r="A3272" s="242" t="s">
        <v>69</v>
      </c>
      <c r="B3272" s="43" t="s">
        <v>57</v>
      </c>
      <c r="C3272" s="15">
        <v>334</v>
      </c>
      <c r="D3272" s="243">
        <v>47</v>
      </c>
      <c r="E3272" s="243">
        <v>23</v>
      </c>
      <c r="F3272" s="243">
        <v>12</v>
      </c>
      <c r="G3272" s="243">
        <v>22</v>
      </c>
      <c r="H3272" s="243">
        <v>44</v>
      </c>
      <c r="I3272" s="243">
        <v>48</v>
      </c>
      <c r="J3272" s="243">
        <v>37</v>
      </c>
      <c r="K3272" s="243">
        <v>37</v>
      </c>
      <c r="L3272" s="243">
        <v>60</v>
      </c>
      <c r="M3272" s="243">
        <v>4</v>
      </c>
      <c r="N3272" s="243">
        <v>0</v>
      </c>
      <c r="O3272" s="253">
        <v>0</v>
      </c>
    </row>
    <row r="3273" spans="1:15">
      <c r="A3273" s="240" t="s">
        <v>69</v>
      </c>
      <c r="B3273" s="47" t="s">
        <v>59</v>
      </c>
      <c r="C3273" s="15">
        <v>335</v>
      </c>
      <c r="D3273" s="243">
        <v>57</v>
      </c>
      <c r="E3273" s="243">
        <v>40</v>
      </c>
      <c r="F3273" s="243">
        <v>16</v>
      </c>
      <c r="G3273" s="243">
        <v>35</v>
      </c>
      <c r="H3273" s="243">
        <v>34</v>
      </c>
      <c r="I3273" s="243">
        <v>41</v>
      </c>
      <c r="J3273" s="243">
        <v>29</v>
      </c>
      <c r="K3273" s="243">
        <v>31</v>
      </c>
      <c r="L3273" s="243">
        <v>46</v>
      </c>
      <c r="M3273" s="243">
        <v>6</v>
      </c>
      <c r="N3273" s="243">
        <v>0</v>
      </c>
      <c r="O3273" s="253">
        <v>0</v>
      </c>
    </row>
    <row r="3274" spans="1:15">
      <c r="A3274" s="242" t="s">
        <v>69</v>
      </c>
      <c r="B3274" s="43" t="s">
        <v>4</v>
      </c>
      <c r="C3274" s="15">
        <v>25</v>
      </c>
      <c r="D3274" s="244">
        <v>0</v>
      </c>
      <c r="E3274" s="244">
        <v>1</v>
      </c>
      <c r="F3274" s="244">
        <v>0</v>
      </c>
      <c r="G3274" s="244">
        <v>2</v>
      </c>
      <c r="H3274" s="244">
        <v>2</v>
      </c>
      <c r="I3274" s="244">
        <v>3</v>
      </c>
      <c r="J3274" s="244">
        <v>2</v>
      </c>
      <c r="K3274" s="244">
        <v>4</v>
      </c>
      <c r="L3274" s="244">
        <v>4</v>
      </c>
      <c r="M3274" s="244">
        <v>0</v>
      </c>
      <c r="N3274" s="244">
        <v>4</v>
      </c>
      <c r="O3274" s="254">
        <v>3</v>
      </c>
    </row>
    <row r="3275" spans="1:15">
      <c r="A3275" s="240" t="s">
        <v>69</v>
      </c>
      <c r="B3275" s="47" t="s">
        <v>5</v>
      </c>
      <c r="C3275" s="12">
        <v>0.0746268656716418</v>
      </c>
      <c r="D3275" s="241">
        <v>0</v>
      </c>
      <c r="E3275" s="241">
        <v>0.025</v>
      </c>
      <c r="F3275" s="241">
        <v>0</v>
      </c>
      <c r="G3275" s="241">
        <v>0.0571428571428571</v>
      </c>
      <c r="H3275" s="241">
        <v>0.0588235294117647</v>
      </c>
      <c r="I3275" s="241">
        <v>0.0731707317073171</v>
      </c>
      <c r="J3275" s="241">
        <v>0.0689655172413793</v>
      </c>
      <c r="K3275" s="241">
        <v>0.129032258064516</v>
      </c>
      <c r="L3275" s="241">
        <v>0.0869565217391304</v>
      </c>
      <c r="M3275" s="241">
        <v>0</v>
      </c>
      <c r="N3275" s="241">
        <v>0</v>
      </c>
      <c r="O3275" s="252">
        <v>0</v>
      </c>
    </row>
    <row r="3276" spans="1:15">
      <c r="A3276" s="242" t="s">
        <v>69</v>
      </c>
      <c r="B3276" s="43" t="s">
        <v>6</v>
      </c>
      <c r="C3276" s="15">
        <v>9</v>
      </c>
      <c r="D3276" s="244">
        <v>0</v>
      </c>
      <c r="E3276" s="244">
        <v>1</v>
      </c>
      <c r="F3276" s="244">
        <v>0</v>
      </c>
      <c r="G3276" s="244">
        <v>1</v>
      </c>
      <c r="H3276" s="244">
        <v>0</v>
      </c>
      <c r="I3276" s="244">
        <v>1</v>
      </c>
      <c r="J3276" s="244">
        <v>0</v>
      </c>
      <c r="K3276" s="244">
        <v>2</v>
      </c>
      <c r="L3276" s="244">
        <v>1</v>
      </c>
      <c r="M3276" s="244">
        <v>1</v>
      </c>
      <c r="N3276" s="244">
        <v>1</v>
      </c>
      <c r="O3276" s="254">
        <v>1</v>
      </c>
    </row>
    <row r="3277" ht="14.25" spans="1:15">
      <c r="A3277" s="245" t="s">
        <v>69</v>
      </c>
      <c r="B3277" s="52" t="s">
        <v>64</v>
      </c>
      <c r="C3277" s="19">
        <v>0.36</v>
      </c>
      <c r="D3277" s="246">
        <v>0</v>
      </c>
      <c r="E3277" s="246">
        <v>1</v>
      </c>
      <c r="F3277" s="246">
        <v>0</v>
      </c>
      <c r="G3277" s="246">
        <v>0.5</v>
      </c>
      <c r="H3277" s="246">
        <v>0</v>
      </c>
      <c r="I3277" s="246">
        <v>0.333333333333333</v>
      </c>
      <c r="J3277" s="246">
        <v>0</v>
      </c>
      <c r="K3277" s="246">
        <v>0.5</v>
      </c>
      <c r="L3277" s="246">
        <v>0.25</v>
      </c>
      <c r="M3277" s="246">
        <v>0</v>
      </c>
      <c r="N3277" s="246">
        <v>0.25</v>
      </c>
      <c r="O3277" s="255">
        <v>0.333333333333333</v>
      </c>
    </row>
    <row r="3278" spans="1:15">
      <c r="A3278" s="240" t="s">
        <v>70</v>
      </c>
      <c r="B3278" s="47" t="s">
        <v>55</v>
      </c>
      <c r="C3278" s="12">
        <v>0.367889908256881</v>
      </c>
      <c r="D3278" s="241">
        <v>0.293515358361775</v>
      </c>
      <c r="E3278" s="241">
        <v>0.414965986394558</v>
      </c>
      <c r="F3278" s="241">
        <v>0.456140350877193</v>
      </c>
      <c r="G3278" s="241">
        <v>0.519736842105263</v>
      </c>
      <c r="H3278" s="241">
        <v>0.381322957198444</v>
      </c>
      <c r="I3278" s="241">
        <v>0.31294964028777</v>
      </c>
      <c r="J3278" s="241">
        <v>0.342019543973941</v>
      </c>
      <c r="K3278" s="241">
        <v>0.321428571428571</v>
      </c>
      <c r="L3278" s="241">
        <v>0.377358490566038</v>
      </c>
      <c r="M3278" s="241">
        <v>2.5</v>
      </c>
      <c r="N3278" s="241" t="e">
        <v>#DIV/0!</v>
      </c>
      <c r="O3278" s="252" t="e">
        <v>#DIV/0!</v>
      </c>
    </row>
    <row r="3279" spans="1:15">
      <c r="A3279" s="242" t="s">
        <v>70</v>
      </c>
      <c r="B3279" s="43" t="s">
        <v>57</v>
      </c>
      <c r="C3279" s="15">
        <v>2180</v>
      </c>
      <c r="D3279" s="243">
        <v>293</v>
      </c>
      <c r="E3279" s="243">
        <v>147</v>
      </c>
      <c r="F3279" s="243">
        <v>114</v>
      </c>
      <c r="G3279" s="243">
        <v>152</v>
      </c>
      <c r="H3279" s="243">
        <v>257</v>
      </c>
      <c r="I3279" s="243">
        <v>278</v>
      </c>
      <c r="J3279" s="243">
        <v>307</v>
      </c>
      <c r="K3279" s="243">
        <v>308</v>
      </c>
      <c r="L3279" s="243">
        <v>318</v>
      </c>
      <c r="M3279" s="243">
        <v>6</v>
      </c>
      <c r="N3279" s="243">
        <v>0</v>
      </c>
      <c r="O3279" s="253">
        <v>0</v>
      </c>
    </row>
    <row r="3280" spans="1:15">
      <c r="A3280" s="240" t="s">
        <v>70</v>
      </c>
      <c r="B3280" s="47" t="s">
        <v>59</v>
      </c>
      <c r="C3280" s="15">
        <v>802</v>
      </c>
      <c r="D3280" s="243">
        <v>86</v>
      </c>
      <c r="E3280" s="243">
        <v>61</v>
      </c>
      <c r="F3280" s="243">
        <v>52</v>
      </c>
      <c r="G3280" s="243">
        <v>79</v>
      </c>
      <c r="H3280" s="243">
        <v>98</v>
      </c>
      <c r="I3280" s="243">
        <v>87</v>
      </c>
      <c r="J3280" s="243">
        <v>105</v>
      </c>
      <c r="K3280" s="243">
        <v>99</v>
      </c>
      <c r="L3280" s="243">
        <v>120</v>
      </c>
      <c r="M3280" s="243">
        <v>15</v>
      </c>
      <c r="N3280" s="243">
        <v>0</v>
      </c>
      <c r="O3280" s="253">
        <v>0</v>
      </c>
    </row>
    <row r="3281" spans="1:15">
      <c r="A3281" s="242" t="s">
        <v>70</v>
      </c>
      <c r="B3281" s="43" t="s">
        <v>4</v>
      </c>
      <c r="C3281" s="15">
        <v>103</v>
      </c>
      <c r="D3281" s="244">
        <v>15</v>
      </c>
      <c r="E3281" s="244">
        <v>7</v>
      </c>
      <c r="F3281" s="244">
        <v>2</v>
      </c>
      <c r="G3281" s="244">
        <v>4</v>
      </c>
      <c r="H3281" s="244">
        <v>8</v>
      </c>
      <c r="I3281" s="244">
        <v>7</v>
      </c>
      <c r="J3281" s="244">
        <v>10</v>
      </c>
      <c r="K3281" s="244">
        <v>5</v>
      </c>
      <c r="L3281" s="244">
        <v>11</v>
      </c>
      <c r="M3281" s="244">
        <v>9</v>
      </c>
      <c r="N3281" s="244">
        <v>12</v>
      </c>
      <c r="O3281" s="254">
        <v>13</v>
      </c>
    </row>
    <row r="3282" spans="1:15">
      <c r="A3282" s="240" t="s">
        <v>70</v>
      </c>
      <c r="B3282" s="47" t="s">
        <v>5</v>
      </c>
      <c r="C3282" s="12">
        <v>0.128428927680798</v>
      </c>
      <c r="D3282" s="241">
        <v>0.174418604651163</v>
      </c>
      <c r="E3282" s="241">
        <v>0.114754098360656</v>
      </c>
      <c r="F3282" s="241">
        <v>0.0384615384615385</v>
      </c>
      <c r="G3282" s="241">
        <v>0.0506329113924051</v>
      </c>
      <c r="H3282" s="241">
        <v>0.0816326530612245</v>
      </c>
      <c r="I3282" s="241">
        <v>0.0804597701149425</v>
      </c>
      <c r="J3282" s="241">
        <v>0.0952380952380952</v>
      </c>
      <c r="K3282" s="241">
        <v>0.0505050505050505</v>
      </c>
      <c r="L3282" s="241">
        <v>0.0916666666666667</v>
      </c>
      <c r="M3282" s="241">
        <v>0.6</v>
      </c>
      <c r="N3282" s="241">
        <v>0</v>
      </c>
      <c r="O3282" s="252">
        <v>0</v>
      </c>
    </row>
    <row r="3283" spans="1:15">
      <c r="A3283" s="242" t="s">
        <v>70</v>
      </c>
      <c r="B3283" s="43" t="s">
        <v>6</v>
      </c>
      <c r="C3283" s="15">
        <v>34</v>
      </c>
      <c r="D3283" s="244">
        <v>6</v>
      </c>
      <c r="E3283" s="244">
        <v>2</v>
      </c>
      <c r="F3283" s="244">
        <v>3</v>
      </c>
      <c r="G3283" s="244">
        <v>0</v>
      </c>
      <c r="H3283" s="244">
        <v>4</v>
      </c>
      <c r="I3283" s="244">
        <v>2</v>
      </c>
      <c r="J3283" s="244">
        <v>2</v>
      </c>
      <c r="K3283" s="244">
        <v>2</v>
      </c>
      <c r="L3283" s="244">
        <v>3</v>
      </c>
      <c r="M3283" s="244">
        <v>4</v>
      </c>
      <c r="N3283" s="244">
        <v>4</v>
      </c>
      <c r="O3283" s="254">
        <v>2</v>
      </c>
    </row>
    <row r="3284" ht="14.25" spans="1:15">
      <c r="A3284" s="245" t="s">
        <v>70</v>
      </c>
      <c r="B3284" s="52" t="s">
        <v>64</v>
      </c>
      <c r="C3284" s="19">
        <v>0.330097087378641</v>
      </c>
      <c r="D3284" s="246">
        <v>0.4</v>
      </c>
      <c r="E3284" s="246">
        <v>0.285714285714286</v>
      </c>
      <c r="F3284" s="246">
        <v>1.5</v>
      </c>
      <c r="G3284" s="246">
        <v>0</v>
      </c>
      <c r="H3284" s="246">
        <v>0.5</v>
      </c>
      <c r="I3284" s="246">
        <v>0.285714285714286</v>
      </c>
      <c r="J3284" s="246">
        <v>0.2</v>
      </c>
      <c r="K3284" s="246">
        <v>0.4</v>
      </c>
      <c r="L3284" s="246">
        <v>0.272727272727273</v>
      </c>
      <c r="M3284" s="246">
        <v>0.444444444444444</v>
      </c>
      <c r="N3284" s="246">
        <v>0.333333333333333</v>
      </c>
      <c r="O3284" s="255">
        <v>0.153846153846154</v>
      </c>
    </row>
    <row r="3285" spans="1:15">
      <c r="A3285" s="240" t="s">
        <v>26</v>
      </c>
      <c r="B3285" s="47" t="s">
        <v>55</v>
      </c>
      <c r="C3285" s="12">
        <v>0.672562893081761</v>
      </c>
      <c r="D3285" s="241">
        <v>0.629310344827586</v>
      </c>
      <c r="E3285" s="241">
        <v>0.527186761229314</v>
      </c>
      <c r="F3285" s="241">
        <v>0.678977272727273</v>
      </c>
      <c r="G3285" s="241">
        <v>0.684210526315789</v>
      </c>
      <c r="H3285" s="241">
        <v>0.776061776061776</v>
      </c>
      <c r="I3285" s="241">
        <v>0.702702702702703</v>
      </c>
      <c r="J3285" s="241">
        <v>0.741116751269036</v>
      </c>
      <c r="K3285" s="241">
        <v>0.651315789473684</v>
      </c>
      <c r="L3285" s="241">
        <v>0.883561643835616</v>
      </c>
      <c r="M3285" s="241">
        <v>0.714285714285714</v>
      </c>
      <c r="N3285" s="241" t="e">
        <v>#DIV/0!</v>
      </c>
      <c r="O3285" s="252" t="e">
        <v>#DIV/0!</v>
      </c>
    </row>
    <row r="3286" spans="1:15">
      <c r="A3286" s="242" t="s">
        <v>26</v>
      </c>
      <c r="B3286" s="43" t="s">
        <v>57</v>
      </c>
      <c r="C3286" s="15">
        <v>2544</v>
      </c>
      <c r="D3286" s="243">
        <v>464</v>
      </c>
      <c r="E3286" s="243">
        <v>423</v>
      </c>
      <c r="F3286" s="243">
        <v>352</v>
      </c>
      <c r="G3286" s="243">
        <v>285</v>
      </c>
      <c r="H3286" s="243">
        <v>259</v>
      </c>
      <c r="I3286" s="243">
        <v>259</v>
      </c>
      <c r="J3286" s="243">
        <v>197</v>
      </c>
      <c r="K3286" s="243">
        <v>152</v>
      </c>
      <c r="L3286" s="243">
        <v>146</v>
      </c>
      <c r="M3286" s="243">
        <v>7</v>
      </c>
      <c r="N3286" s="243">
        <v>0</v>
      </c>
      <c r="O3286" s="253">
        <v>0</v>
      </c>
    </row>
    <row r="3287" spans="1:15">
      <c r="A3287" s="240" t="s">
        <v>26</v>
      </c>
      <c r="B3287" s="47" t="s">
        <v>59</v>
      </c>
      <c r="C3287" s="15">
        <v>1711</v>
      </c>
      <c r="D3287" s="243">
        <v>292</v>
      </c>
      <c r="E3287" s="243">
        <v>223</v>
      </c>
      <c r="F3287" s="243">
        <v>239</v>
      </c>
      <c r="G3287" s="243">
        <v>195</v>
      </c>
      <c r="H3287" s="243">
        <v>201</v>
      </c>
      <c r="I3287" s="243">
        <v>182</v>
      </c>
      <c r="J3287" s="243">
        <v>146</v>
      </c>
      <c r="K3287" s="243">
        <v>99</v>
      </c>
      <c r="L3287" s="243">
        <v>129</v>
      </c>
      <c r="M3287" s="243">
        <v>5</v>
      </c>
      <c r="N3287" s="243">
        <v>0</v>
      </c>
      <c r="O3287" s="253">
        <v>0</v>
      </c>
    </row>
    <row r="3288" spans="1:15">
      <c r="A3288" s="242" t="s">
        <v>26</v>
      </c>
      <c r="B3288" s="43" t="s">
        <v>4</v>
      </c>
      <c r="C3288" s="15">
        <v>10</v>
      </c>
      <c r="D3288" s="244">
        <v>2</v>
      </c>
      <c r="E3288" s="244">
        <v>1</v>
      </c>
      <c r="F3288" s="244">
        <v>0</v>
      </c>
      <c r="G3288" s="244">
        <v>0</v>
      </c>
      <c r="H3288" s="244">
        <v>1</v>
      </c>
      <c r="I3288" s="244">
        <v>0</v>
      </c>
      <c r="J3288" s="244">
        <v>1</v>
      </c>
      <c r="K3288" s="244">
        <v>0</v>
      </c>
      <c r="L3288" s="244">
        <v>1</v>
      </c>
      <c r="M3288" s="244">
        <v>1</v>
      </c>
      <c r="N3288" s="244">
        <v>1</v>
      </c>
      <c r="O3288" s="254">
        <v>2</v>
      </c>
    </row>
    <row r="3289" spans="1:15">
      <c r="A3289" s="240" t="s">
        <v>26</v>
      </c>
      <c r="B3289" s="47" t="s">
        <v>5</v>
      </c>
      <c r="C3289" s="12">
        <v>0.00584453535943892</v>
      </c>
      <c r="D3289" s="241">
        <v>0.00684931506849315</v>
      </c>
      <c r="E3289" s="241">
        <v>0.00448430493273543</v>
      </c>
      <c r="F3289" s="241">
        <v>0</v>
      </c>
      <c r="G3289" s="241">
        <v>0</v>
      </c>
      <c r="H3289" s="241">
        <v>0.00497512437810945</v>
      </c>
      <c r="I3289" s="241">
        <v>0</v>
      </c>
      <c r="J3289" s="241">
        <v>0.00684931506849315</v>
      </c>
      <c r="K3289" s="241">
        <v>0</v>
      </c>
      <c r="L3289" s="241">
        <v>0.00775193798449612</v>
      </c>
      <c r="M3289" s="241">
        <v>0.2</v>
      </c>
      <c r="N3289" s="241">
        <v>0</v>
      </c>
      <c r="O3289" s="252">
        <v>0</v>
      </c>
    </row>
    <row r="3290" spans="1:15">
      <c r="A3290" s="242" t="s">
        <v>26</v>
      </c>
      <c r="B3290" s="43" t="s">
        <v>6</v>
      </c>
      <c r="C3290" s="15">
        <v>5</v>
      </c>
      <c r="D3290" s="244">
        <v>1</v>
      </c>
      <c r="E3290" s="244">
        <v>0</v>
      </c>
      <c r="F3290" s="244">
        <v>0</v>
      </c>
      <c r="G3290" s="244">
        <v>0</v>
      </c>
      <c r="H3290" s="244">
        <v>0</v>
      </c>
      <c r="I3290" s="244">
        <v>0</v>
      </c>
      <c r="J3290" s="244">
        <v>0</v>
      </c>
      <c r="K3290" s="244">
        <v>2</v>
      </c>
      <c r="L3290" s="244">
        <v>1</v>
      </c>
      <c r="M3290" s="244">
        <v>1</v>
      </c>
      <c r="N3290" s="244">
        <v>0</v>
      </c>
      <c r="O3290" s="254">
        <v>0</v>
      </c>
    </row>
    <row r="3291" ht="14.25" spans="1:15">
      <c r="A3291" s="245" t="s">
        <v>26</v>
      </c>
      <c r="B3291" s="52" t="s">
        <v>64</v>
      </c>
      <c r="C3291" s="19">
        <v>0.5</v>
      </c>
      <c r="D3291" s="19">
        <v>0.5</v>
      </c>
      <c r="E3291" s="19">
        <v>0</v>
      </c>
      <c r="F3291" s="19" t="e">
        <v>#DIV/0!</v>
      </c>
      <c r="G3291" s="19" t="e">
        <v>#DIV/0!</v>
      </c>
      <c r="H3291" s="19">
        <v>0</v>
      </c>
      <c r="I3291" s="19" t="e">
        <v>#DIV/0!</v>
      </c>
      <c r="J3291" s="19">
        <v>0</v>
      </c>
      <c r="K3291" s="19" t="e">
        <v>#DIV/0!</v>
      </c>
      <c r="L3291" s="19">
        <v>1</v>
      </c>
      <c r="M3291" s="19">
        <v>1</v>
      </c>
      <c r="N3291" s="19">
        <v>0</v>
      </c>
      <c r="O3291" s="19">
        <v>0</v>
      </c>
    </row>
    <row r="3292" spans="1:15">
      <c r="A3292" s="240" t="s">
        <v>71</v>
      </c>
      <c r="B3292" s="47" t="s">
        <v>55</v>
      </c>
      <c r="C3292" s="12">
        <v>6</v>
      </c>
      <c r="D3292" s="241" t="e">
        <v>#DIV/0!</v>
      </c>
      <c r="E3292" s="241" t="e">
        <v>#DIV/0!</v>
      </c>
      <c r="F3292" s="241">
        <v>0</v>
      </c>
      <c r="G3292" s="241" t="e">
        <v>#DIV/0!</v>
      </c>
      <c r="H3292" s="241" t="e">
        <v>#DIV/0!</v>
      </c>
      <c r="I3292" s="241" t="e">
        <v>#DIV/0!</v>
      </c>
      <c r="J3292" s="241" t="e">
        <v>#DIV/0!</v>
      </c>
      <c r="K3292" s="241" t="e">
        <v>#DIV/0!</v>
      </c>
      <c r="L3292" s="241" t="e">
        <v>#DIV/0!</v>
      </c>
      <c r="M3292" s="241" t="e">
        <v>#DIV/0!</v>
      </c>
      <c r="N3292" s="241" t="e">
        <v>#DIV/0!</v>
      </c>
      <c r="O3292" s="252" t="e">
        <v>#DIV/0!</v>
      </c>
    </row>
    <row r="3293" spans="1:15">
      <c r="A3293" s="242" t="s">
        <v>71</v>
      </c>
      <c r="B3293" s="43" t="s">
        <v>57</v>
      </c>
      <c r="C3293" s="15">
        <v>1</v>
      </c>
      <c r="D3293" s="243">
        <v>0</v>
      </c>
      <c r="E3293" s="243">
        <v>0</v>
      </c>
      <c r="F3293" s="243">
        <v>1</v>
      </c>
      <c r="G3293" s="243">
        <v>0</v>
      </c>
      <c r="H3293" s="243">
        <v>0</v>
      </c>
      <c r="I3293" s="243">
        <v>0</v>
      </c>
      <c r="J3293" s="243">
        <v>0</v>
      </c>
      <c r="K3293" s="243">
        <v>0</v>
      </c>
      <c r="L3293" s="243">
        <v>0</v>
      </c>
      <c r="M3293" s="243">
        <v>0</v>
      </c>
      <c r="N3293" s="243">
        <v>0</v>
      </c>
      <c r="O3293" s="253">
        <v>0</v>
      </c>
    </row>
    <row r="3294" spans="1:15">
      <c r="A3294" s="240" t="s">
        <v>71</v>
      </c>
      <c r="B3294" s="47" t="s">
        <v>59</v>
      </c>
      <c r="C3294" s="15">
        <v>6</v>
      </c>
      <c r="D3294" s="243">
        <v>0</v>
      </c>
      <c r="E3294" s="243">
        <v>2</v>
      </c>
      <c r="F3294" s="243">
        <v>0</v>
      </c>
      <c r="G3294" s="243">
        <v>2</v>
      </c>
      <c r="H3294" s="243">
        <v>0</v>
      </c>
      <c r="I3294" s="243">
        <v>1</v>
      </c>
      <c r="J3294" s="243">
        <v>0</v>
      </c>
      <c r="K3294" s="243">
        <v>0</v>
      </c>
      <c r="L3294" s="243">
        <v>1</v>
      </c>
      <c r="M3294" s="243">
        <v>0</v>
      </c>
      <c r="N3294" s="243">
        <v>0</v>
      </c>
      <c r="O3294" s="253">
        <v>0</v>
      </c>
    </row>
    <row r="3295" spans="1:15">
      <c r="A3295" s="242" t="s">
        <v>71</v>
      </c>
      <c r="B3295" s="43" t="s">
        <v>4</v>
      </c>
      <c r="C3295" s="15">
        <v>13</v>
      </c>
      <c r="D3295" s="244">
        <v>2</v>
      </c>
      <c r="E3295" s="244">
        <v>0</v>
      </c>
      <c r="F3295" s="244">
        <v>0</v>
      </c>
      <c r="G3295" s="244">
        <v>0</v>
      </c>
      <c r="H3295" s="244">
        <v>0</v>
      </c>
      <c r="I3295" s="244">
        <v>2</v>
      </c>
      <c r="J3295" s="244">
        <v>1</v>
      </c>
      <c r="K3295" s="244">
        <v>4</v>
      </c>
      <c r="L3295" s="244">
        <v>1</v>
      </c>
      <c r="M3295" s="244">
        <v>0</v>
      </c>
      <c r="N3295" s="244">
        <v>1</v>
      </c>
      <c r="O3295" s="254">
        <v>2</v>
      </c>
    </row>
    <row r="3296" spans="1:15">
      <c r="A3296" s="240" t="s">
        <v>71</v>
      </c>
      <c r="B3296" s="47" t="s">
        <v>5</v>
      </c>
      <c r="C3296" s="241">
        <v>2.16666666666667</v>
      </c>
      <c r="D3296" s="241">
        <v>0</v>
      </c>
      <c r="E3296" s="241">
        <v>0</v>
      </c>
      <c r="F3296" s="241">
        <v>0</v>
      </c>
      <c r="G3296" s="241">
        <v>0</v>
      </c>
      <c r="H3296" s="241">
        <v>0</v>
      </c>
      <c r="I3296" s="241">
        <v>2</v>
      </c>
      <c r="J3296" s="241">
        <v>0</v>
      </c>
      <c r="K3296" s="241">
        <v>0</v>
      </c>
      <c r="L3296" s="241">
        <v>1</v>
      </c>
      <c r="M3296" s="241">
        <v>0</v>
      </c>
      <c r="N3296" s="241">
        <v>0</v>
      </c>
      <c r="O3296" s="252">
        <v>0</v>
      </c>
    </row>
    <row r="3297" spans="1:15">
      <c r="A3297" s="242" t="s">
        <v>71</v>
      </c>
      <c r="B3297" s="43" t="s">
        <v>6</v>
      </c>
      <c r="C3297" s="15">
        <v>4</v>
      </c>
      <c r="D3297" s="244">
        <v>1</v>
      </c>
      <c r="E3297" s="244">
        <v>0</v>
      </c>
      <c r="F3297" s="244">
        <v>0</v>
      </c>
      <c r="G3297" s="244">
        <v>0</v>
      </c>
      <c r="H3297" s="244">
        <v>1</v>
      </c>
      <c r="I3297" s="244">
        <v>0</v>
      </c>
      <c r="J3297" s="244">
        <v>0</v>
      </c>
      <c r="K3297" s="244">
        <v>1</v>
      </c>
      <c r="L3297" s="244">
        <v>1</v>
      </c>
      <c r="M3297" s="244">
        <v>0</v>
      </c>
      <c r="N3297" s="244">
        <v>0</v>
      </c>
      <c r="O3297" s="254">
        <v>0</v>
      </c>
    </row>
    <row r="3298" ht="14.25" spans="1:15">
      <c r="A3298" s="245" t="s">
        <v>71</v>
      </c>
      <c r="B3298" s="52" t="s">
        <v>64</v>
      </c>
      <c r="C3298" s="19">
        <v>0.307692307692308</v>
      </c>
      <c r="D3298" s="19">
        <v>0.5</v>
      </c>
      <c r="E3298" s="19" t="e">
        <v>#DIV/0!</v>
      </c>
      <c r="F3298" s="19" t="e">
        <v>#DIV/0!</v>
      </c>
      <c r="G3298" s="19" t="e">
        <v>#DIV/0!</v>
      </c>
      <c r="H3298" s="19" t="e">
        <v>#DIV/0!</v>
      </c>
      <c r="I3298" s="19">
        <v>0</v>
      </c>
      <c r="J3298" s="19">
        <v>0</v>
      </c>
      <c r="K3298" s="19">
        <v>0.25</v>
      </c>
      <c r="L3298" s="19">
        <v>1</v>
      </c>
      <c r="M3298" s="19" t="e">
        <v>#DIV/0!</v>
      </c>
      <c r="N3298" s="19">
        <v>0</v>
      </c>
      <c r="O3298" s="19">
        <v>0</v>
      </c>
    </row>
    <row r="3299" spans="1:15">
      <c r="A3299" s="240" t="s">
        <v>72</v>
      </c>
      <c r="B3299" s="47" t="s">
        <v>55</v>
      </c>
      <c r="C3299" s="12">
        <v>0.205091430620294</v>
      </c>
      <c r="D3299" s="241">
        <v>0.210526315789474</v>
      </c>
      <c r="E3299" s="241">
        <v>0.246478873239437</v>
      </c>
      <c r="F3299" s="241">
        <v>0.625</v>
      </c>
      <c r="G3299" s="241">
        <v>0.436363636363636</v>
      </c>
      <c r="H3299" s="241">
        <v>0.18213058419244</v>
      </c>
      <c r="I3299" s="241">
        <v>0.185567010309278</v>
      </c>
      <c r="J3299" s="241">
        <v>0.187358916478555</v>
      </c>
      <c r="K3299" s="241">
        <v>0.21415270018622</v>
      </c>
      <c r="L3299" s="241">
        <v>0.181818181818182</v>
      </c>
      <c r="M3299" s="241">
        <v>0.310344827586207</v>
      </c>
      <c r="N3299" s="241" t="e">
        <v>#DIV/0!</v>
      </c>
      <c r="O3299" s="252" t="e">
        <v>#DIV/0!</v>
      </c>
    </row>
    <row r="3300" spans="1:15">
      <c r="A3300" s="242" t="s">
        <v>72</v>
      </c>
      <c r="B3300" s="43" t="s">
        <v>57</v>
      </c>
      <c r="C3300" s="15">
        <v>2789</v>
      </c>
      <c r="D3300" s="243">
        <v>456</v>
      </c>
      <c r="E3300" s="243">
        <v>142</v>
      </c>
      <c r="F3300" s="243">
        <v>8</v>
      </c>
      <c r="G3300" s="243">
        <v>55</v>
      </c>
      <c r="H3300" s="243">
        <v>291</v>
      </c>
      <c r="I3300" s="243">
        <v>388</v>
      </c>
      <c r="J3300" s="243">
        <v>443</v>
      </c>
      <c r="K3300" s="243">
        <v>537</v>
      </c>
      <c r="L3300" s="243">
        <v>440</v>
      </c>
      <c r="M3300" s="243">
        <v>29</v>
      </c>
      <c r="N3300" s="243">
        <v>0</v>
      </c>
      <c r="O3300" s="253">
        <v>0</v>
      </c>
    </row>
    <row r="3301" spans="1:15">
      <c r="A3301" s="240" t="s">
        <v>72</v>
      </c>
      <c r="B3301" s="47" t="s">
        <v>59</v>
      </c>
      <c r="C3301" s="15">
        <v>572</v>
      </c>
      <c r="D3301" s="243">
        <v>96</v>
      </c>
      <c r="E3301" s="243">
        <v>35</v>
      </c>
      <c r="F3301" s="243">
        <v>5</v>
      </c>
      <c r="G3301" s="243">
        <v>24</v>
      </c>
      <c r="H3301" s="243">
        <v>53</v>
      </c>
      <c r="I3301" s="243">
        <v>72</v>
      </c>
      <c r="J3301" s="243">
        <v>83</v>
      </c>
      <c r="K3301" s="243">
        <v>115</v>
      </c>
      <c r="L3301" s="243">
        <v>80</v>
      </c>
      <c r="M3301" s="243">
        <v>9</v>
      </c>
      <c r="N3301" s="243">
        <v>0</v>
      </c>
      <c r="O3301" s="253">
        <v>0</v>
      </c>
    </row>
    <row r="3302" spans="1:15">
      <c r="A3302" s="242" t="s">
        <v>72</v>
      </c>
      <c r="B3302" s="43" t="s">
        <v>4</v>
      </c>
      <c r="C3302" s="15">
        <v>71</v>
      </c>
      <c r="D3302" s="244">
        <v>8</v>
      </c>
      <c r="E3302" s="244">
        <v>3</v>
      </c>
      <c r="F3302" s="244">
        <v>0</v>
      </c>
      <c r="G3302" s="244">
        <v>1</v>
      </c>
      <c r="H3302" s="244">
        <v>3</v>
      </c>
      <c r="I3302" s="244">
        <v>5</v>
      </c>
      <c r="J3302" s="244">
        <v>5</v>
      </c>
      <c r="K3302" s="244">
        <v>8</v>
      </c>
      <c r="L3302" s="244">
        <v>8</v>
      </c>
      <c r="M3302" s="244">
        <v>6</v>
      </c>
      <c r="N3302" s="244">
        <v>11</v>
      </c>
      <c r="O3302" s="254">
        <v>13</v>
      </c>
    </row>
    <row r="3303" spans="1:15">
      <c r="A3303" s="240" t="s">
        <v>72</v>
      </c>
      <c r="B3303" s="47" t="s">
        <v>5</v>
      </c>
      <c r="C3303" s="12">
        <v>0.124125874125874</v>
      </c>
      <c r="D3303" s="241">
        <v>0.0833333333333333</v>
      </c>
      <c r="E3303" s="241">
        <v>0.0857142857142857</v>
      </c>
      <c r="F3303" s="241">
        <v>0</v>
      </c>
      <c r="G3303" s="241">
        <v>0.0416666666666667</v>
      </c>
      <c r="H3303" s="241">
        <v>0.0566037735849057</v>
      </c>
      <c r="I3303" s="241">
        <v>0.0694444444444444</v>
      </c>
      <c r="J3303" s="241">
        <v>0.0602409638554217</v>
      </c>
      <c r="K3303" s="241">
        <v>0.0695652173913043</v>
      </c>
      <c r="L3303" s="241">
        <v>0.1</v>
      </c>
      <c r="M3303" s="241">
        <v>0.666666666666667</v>
      </c>
      <c r="N3303" s="241">
        <v>0</v>
      </c>
      <c r="O3303" s="252">
        <v>0</v>
      </c>
    </row>
    <row r="3304" spans="1:15">
      <c r="A3304" s="242" t="s">
        <v>72</v>
      </c>
      <c r="B3304" s="43" t="s">
        <v>6</v>
      </c>
      <c r="C3304" s="15">
        <v>15</v>
      </c>
      <c r="D3304" s="244">
        <v>2</v>
      </c>
      <c r="E3304" s="244">
        <v>0</v>
      </c>
      <c r="F3304" s="244">
        <v>0</v>
      </c>
      <c r="G3304" s="244">
        <v>0</v>
      </c>
      <c r="H3304" s="244">
        <v>0</v>
      </c>
      <c r="I3304" s="244">
        <v>1</v>
      </c>
      <c r="J3304" s="244">
        <v>2</v>
      </c>
      <c r="K3304" s="244">
        <v>0</v>
      </c>
      <c r="L3304" s="244">
        <v>3</v>
      </c>
      <c r="M3304" s="244">
        <v>1</v>
      </c>
      <c r="N3304" s="244">
        <v>4</v>
      </c>
      <c r="O3304" s="254">
        <v>2</v>
      </c>
    </row>
    <row r="3305" ht="14.25" spans="1:15">
      <c r="A3305" s="245" t="s">
        <v>72</v>
      </c>
      <c r="B3305" s="52" t="s">
        <v>64</v>
      </c>
      <c r="C3305" s="19">
        <v>0.211267605633803</v>
      </c>
      <c r="D3305" s="19">
        <v>0.25</v>
      </c>
      <c r="E3305" s="19">
        <v>0</v>
      </c>
      <c r="F3305" s="19" t="e">
        <v>#DIV/0!</v>
      </c>
      <c r="G3305" s="19">
        <v>0</v>
      </c>
      <c r="H3305" s="19">
        <v>0</v>
      </c>
      <c r="I3305" s="19">
        <v>0.2</v>
      </c>
      <c r="J3305" s="19">
        <v>0.4</v>
      </c>
      <c r="K3305" s="19">
        <v>0</v>
      </c>
      <c r="L3305" s="19">
        <v>0.375</v>
      </c>
      <c r="M3305" s="19">
        <v>0.166666666666667</v>
      </c>
      <c r="N3305" s="19">
        <v>0.363636363636364</v>
      </c>
      <c r="O3305" s="19">
        <v>0.153846153846154</v>
      </c>
    </row>
    <row r="3306" ht="14.25" spans="1:15">
      <c r="A3306" s="237">
        <v>45070</v>
      </c>
      <c r="B3306" s="237"/>
      <c r="C3306" s="237"/>
      <c r="D3306" s="237"/>
      <c r="E3306" s="237"/>
      <c r="F3306" s="237"/>
      <c r="G3306" s="237"/>
      <c r="H3306" s="237"/>
      <c r="I3306" s="237"/>
      <c r="J3306" s="237"/>
      <c r="K3306" s="237"/>
      <c r="L3306" s="237"/>
      <c r="M3306" s="237"/>
      <c r="N3306" s="237"/>
      <c r="O3306" s="237"/>
    </row>
    <row r="3307" spans="1:15">
      <c r="A3307" s="56" t="s">
        <v>1</v>
      </c>
      <c r="B3307" s="238"/>
      <c r="C3307" s="8" t="s">
        <v>42</v>
      </c>
      <c r="D3307" s="239" t="s">
        <v>43</v>
      </c>
      <c r="E3307" s="239" t="s">
        <v>44</v>
      </c>
      <c r="F3307" s="239" t="s">
        <v>45</v>
      </c>
      <c r="G3307" s="239" t="s">
        <v>46</v>
      </c>
      <c r="H3307" s="239" t="s">
        <v>47</v>
      </c>
      <c r="I3307" s="239" t="s">
        <v>48</v>
      </c>
      <c r="J3307" s="239" t="s">
        <v>49</v>
      </c>
      <c r="K3307" s="239" t="s">
        <v>50</v>
      </c>
      <c r="L3307" s="239" t="s">
        <v>51</v>
      </c>
      <c r="M3307" s="239" t="s">
        <v>52</v>
      </c>
      <c r="N3307" s="239" t="s">
        <v>53</v>
      </c>
      <c r="O3307" s="251" t="s">
        <v>54</v>
      </c>
    </row>
    <row r="3308" spans="1:15">
      <c r="A3308" s="240" t="s">
        <v>22</v>
      </c>
      <c r="B3308" s="47" t="s">
        <v>55</v>
      </c>
      <c r="C3308" s="12">
        <v>0.467782426778243</v>
      </c>
      <c r="D3308" s="241">
        <v>0.489528795811518</v>
      </c>
      <c r="E3308" s="241">
        <v>0.380952380952381</v>
      </c>
      <c r="F3308" s="241">
        <v>0.444444444444444</v>
      </c>
      <c r="G3308" s="241">
        <v>0.5</v>
      </c>
      <c r="H3308" s="241">
        <v>0.571428571428571</v>
      </c>
      <c r="I3308" s="241">
        <v>0.494983277591973</v>
      </c>
      <c r="J3308" s="241">
        <v>0.47766323024055</v>
      </c>
      <c r="K3308" s="241">
        <v>0.480874316939891</v>
      </c>
      <c r="L3308" s="241">
        <v>0.455801104972376</v>
      </c>
      <c r="M3308" s="241">
        <v>0.448680351906158</v>
      </c>
      <c r="N3308" s="241">
        <v>0.463611859838275</v>
      </c>
      <c r="O3308" s="252">
        <v>0.415647921760391</v>
      </c>
    </row>
    <row r="3309" spans="1:15">
      <c r="A3309" s="242" t="s">
        <v>22</v>
      </c>
      <c r="B3309" s="43" t="s">
        <v>57</v>
      </c>
      <c r="C3309" s="15">
        <v>3585</v>
      </c>
      <c r="D3309" s="243">
        <v>382</v>
      </c>
      <c r="E3309" s="243">
        <v>210</v>
      </c>
      <c r="F3309" s="243">
        <v>135</v>
      </c>
      <c r="G3309" s="243">
        <v>174</v>
      </c>
      <c r="H3309" s="243">
        <v>245</v>
      </c>
      <c r="I3309" s="243">
        <v>299</v>
      </c>
      <c r="J3309" s="243">
        <v>291</v>
      </c>
      <c r="K3309" s="243">
        <v>366</v>
      </c>
      <c r="L3309" s="243">
        <v>362</v>
      </c>
      <c r="M3309" s="243">
        <v>341</v>
      </c>
      <c r="N3309" s="243">
        <v>371</v>
      </c>
      <c r="O3309" s="253">
        <v>409</v>
      </c>
    </row>
    <row r="3310" spans="1:15">
      <c r="A3310" s="240" t="s">
        <v>22</v>
      </c>
      <c r="B3310" s="47" t="s">
        <v>59</v>
      </c>
      <c r="C3310" s="15">
        <v>1677</v>
      </c>
      <c r="D3310" s="243">
        <v>187</v>
      </c>
      <c r="E3310" s="243">
        <v>80</v>
      </c>
      <c r="F3310" s="243">
        <v>60</v>
      </c>
      <c r="G3310" s="243">
        <v>87</v>
      </c>
      <c r="H3310" s="243">
        <v>140</v>
      </c>
      <c r="I3310" s="243">
        <v>148</v>
      </c>
      <c r="J3310" s="243">
        <v>139</v>
      </c>
      <c r="K3310" s="243">
        <v>176</v>
      </c>
      <c r="L3310" s="243">
        <v>165</v>
      </c>
      <c r="M3310" s="243">
        <v>153</v>
      </c>
      <c r="N3310" s="243">
        <v>172</v>
      </c>
      <c r="O3310" s="253">
        <v>170</v>
      </c>
    </row>
    <row r="3311" spans="1:15">
      <c r="A3311" s="242" t="s">
        <v>22</v>
      </c>
      <c r="B3311" s="43" t="s">
        <v>4</v>
      </c>
      <c r="C3311" s="15">
        <v>158</v>
      </c>
      <c r="D3311" s="244">
        <v>18</v>
      </c>
      <c r="E3311" s="244">
        <v>6</v>
      </c>
      <c r="F3311" s="244">
        <v>6</v>
      </c>
      <c r="G3311" s="244">
        <v>6</v>
      </c>
      <c r="H3311" s="244">
        <v>6</v>
      </c>
      <c r="I3311" s="244">
        <v>20</v>
      </c>
      <c r="J3311" s="244">
        <v>15</v>
      </c>
      <c r="K3311" s="244">
        <v>18</v>
      </c>
      <c r="L3311" s="244">
        <v>18</v>
      </c>
      <c r="M3311" s="244">
        <v>5</v>
      </c>
      <c r="N3311" s="244">
        <v>18</v>
      </c>
      <c r="O3311" s="254">
        <v>22</v>
      </c>
    </row>
    <row r="3312" spans="1:15">
      <c r="A3312" s="240" t="s">
        <v>22</v>
      </c>
      <c r="B3312" s="47" t="s">
        <v>5</v>
      </c>
      <c r="C3312" s="12">
        <v>0.0942158616577221</v>
      </c>
      <c r="D3312" s="241">
        <v>0.0962566844919786</v>
      </c>
      <c r="E3312" s="241">
        <v>0.075</v>
      </c>
      <c r="F3312" s="241">
        <v>0.1</v>
      </c>
      <c r="G3312" s="241">
        <v>0.0689655172413793</v>
      </c>
      <c r="H3312" s="241">
        <v>0.0428571428571429</v>
      </c>
      <c r="I3312" s="241">
        <v>0.135135135135135</v>
      </c>
      <c r="J3312" s="241">
        <v>0.107913669064748</v>
      </c>
      <c r="K3312" s="241">
        <v>0.102272727272727</v>
      </c>
      <c r="L3312" s="241">
        <v>0.109090909090909</v>
      </c>
      <c r="M3312" s="241">
        <v>0.0326797385620915</v>
      </c>
      <c r="N3312" s="241">
        <v>0.104651162790698</v>
      </c>
      <c r="O3312" s="252">
        <v>0.129411764705882</v>
      </c>
    </row>
    <row r="3313" spans="1:15">
      <c r="A3313" s="242" t="s">
        <v>22</v>
      </c>
      <c r="B3313" s="43" t="s">
        <v>6</v>
      </c>
      <c r="C3313" s="15">
        <v>40</v>
      </c>
      <c r="D3313" s="244">
        <v>3</v>
      </c>
      <c r="E3313" s="244">
        <v>1</v>
      </c>
      <c r="F3313" s="244">
        <v>3</v>
      </c>
      <c r="G3313" s="244">
        <v>1</v>
      </c>
      <c r="H3313" s="244">
        <v>3</v>
      </c>
      <c r="I3313" s="244">
        <v>2</v>
      </c>
      <c r="J3313" s="244">
        <v>3</v>
      </c>
      <c r="K3313" s="244">
        <v>2</v>
      </c>
      <c r="L3313" s="244">
        <v>6</v>
      </c>
      <c r="M3313" s="244">
        <v>3</v>
      </c>
      <c r="N3313" s="244">
        <v>7</v>
      </c>
      <c r="O3313" s="254">
        <v>6</v>
      </c>
    </row>
    <row r="3314" ht="14.25" spans="1:15">
      <c r="A3314" s="245" t="s">
        <v>22</v>
      </c>
      <c r="B3314" s="52" t="s">
        <v>64</v>
      </c>
      <c r="C3314" s="19">
        <v>0.253164556962025</v>
      </c>
      <c r="D3314" s="246">
        <v>0.166666666666667</v>
      </c>
      <c r="E3314" s="246">
        <v>0.166666666666667</v>
      </c>
      <c r="F3314" s="246">
        <v>0.5</v>
      </c>
      <c r="G3314" s="246">
        <v>0.166666666666667</v>
      </c>
      <c r="H3314" s="246">
        <v>0.5</v>
      </c>
      <c r="I3314" s="246">
        <v>0.1</v>
      </c>
      <c r="J3314" s="246">
        <v>0.2</v>
      </c>
      <c r="K3314" s="246">
        <v>0.111111111111111</v>
      </c>
      <c r="L3314" s="246">
        <v>0.333333333333333</v>
      </c>
      <c r="M3314" s="246">
        <v>0.6</v>
      </c>
      <c r="N3314" s="246">
        <v>0.388888888888889</v>
      </c>
      <c r="O3314" s="255">
        <v>0.272727272727273</v>
      </c>
    </row>
    <row r="3315" spans="1:15">
      <c r="A3315" s="247" t="s">
        <v>66</v>
      </c>
      <c r="B3315" s="248" t="s">
        <v>55</v>
      </c>
      <c r="C3315" s="12">
        <v>0.102711157455683</v>
      </c>
      <c r="D3315" s="249">
        <v>0.0879120879120879</v>
      </c>
      <c r="E3315" s="249">
        <v>0.0316205533596838</v>
      </c>
      <c r="F3315" s="249">
        <v>0.0483091787439614</v>
      </c>
      <c r="G3315" s="249">
        <v>0.063953488372093</v>
      </c>
      <c r="H3315" s="249">
        <v>0.0989010989010989</v>
      </c>
      <c r="I3315" s="249">
        <v>0.186274509803922</v>
      </c>
      <c r="J3315" s="249">
        <v>0.0833333333333333</v>
      </c>
      <c r="K3315" s="249">
        <v>0.1171875</v>
      </c>
      <c r="L3315" s="249">
        <v>0.125</v>
      </c>
      <c r="M3315" s="249">
        <v>0.189655172413793</v>
      </c>
      <c r="N3315" s="249">
        <v>0.221153846153846</v>
      </c>
      <c r="O3315" s="256">
        <v>0.156028368794326</v>
      </c>
    </row>
    <row r="3316" spans="1:15">
      <c r="A3316" s="242" t="s">
        <v>66</v>
      </c>
      <c r="B3316" s="43" t="s">
        <v>57</v>
      </c>
      <c r="C3316" s="15">
        <v>1918</v>
      </c>
      <c r="D3316" s="243">
        <v>273</v>
      </c>
      <c r="E3316" s="243">
        <v>253</v>
      </c>
      <c r="F3316" s="243">
        <v>207</v>
      </c>
      <c r="G3316" s="243">
        <v>172</v>
      </c>
      <c r="H3316" s="243">
        <v>182</v>
      </c>
      <c r="I3316" s="243">
        <v>102</v>
      </c>
      <c r="J3316" s="243">
        <v>120</v>
      </c>
      <c r="K3316" s="243">
        <v>128</v>
      </c>
      <c r="L3316" s="243">
        <v>120</v>
      </c>
      <c r="M3316" s="243">
        <v>116</v>
      </c>
      <c r="N3316" s="243">
        <v>104</v>
      </c>
      <c r="O3316" s="253">
        <v>141</v>
      </c>
    </row>
    <row r="3317" spans="1:15">
      <c r="A3317" s="240" t="s">
        <v>66</v>
      </c>
      <c r="B3317" s="47" t="s">
        <v>59</v>
      </c>
      <c r="C3317" s="15">
        <v>197</v>
      </c>
      <c r="D3317" s="243">
        <v>24</v>
      </c>
      <c r="E3317" s="243">
        <v>8</v>
      </c>
      <c r="F3317" s="243">
        <v>10</v>
      </c>
      <c r="G3317" s="243">
        <v>11</v>
      </c>
      <c r="H3317" s="243">
        <v>18</v>
      </c>
      <c r="I3317" s="243">
        <v>19</v>
      </c>
      <c r="J3317" s="243">
        <v>10</v>
      </c>
      <c r="K3317" s="243">
        <v>15</v>
      </c>
      <c r="L3317" s="243">
        <v>15</v>
      </c>
      <c r="M3317" s="243">
        <v>22</v>
      </c>
      <c r="N3317" s="243">
        <v>23</v>
      </c>
      <c r="O3317" s="253">
        <v>22</v>
      </c>
    </row>
    <row r="3318" spans="1:15">
      <c r="A3318" s="242" t="s">
        <v>66</v>
      </c>
      <c r="B3318" s="43" t="s">
        <v>4</v>
      </c>
      <c r="C3318" s="15">
        <v>14</v>
      </c>
      <c r="D3318" s="244">
        <v>0</v>
      </c>
      <c r="E3318" s="244">
        <v>0</v>
      </c>
      <c r="F3318" s="244">
        <v>0</v>
      </c>
      <c r="G3318" s="244">
        <v>0</v>
      </c>
      <c r="H3318" s="244">
        <v>2</v>
      </c>
      <c r="I3318" s="244">
        <v>4</v>
      </c>
      <c r="J3318" s="244">
        <v>1</v>
      </c>
      <c r="K3318" s="244">
        <v>0</v>
      </c>
      <c r="L3318" s="244">
        <v>1</v>
      </c>
      <c r="M3318" s="244">
        <v>2</v>
      </c>
      <c r="N3318" s="244">
        <v>3</v>
      </c>
      <c r="O3318" s="254">
        <v>1</v>
      </c>
    </row>
    <row r="3319" spans="1:15">
      <c r="A3319" s="240" t="s">
        <v>66</v>
      </c>
      <c r="B3319" s="47" t="s">
        <v>5</v>
      </c>
      <c r="C3319" s="12">
        <v>0.0710659898477157</v>
      </c>
      <c r="D3319" s="241">
        <v>0</v>
      </c>
      <c r="E3319" s="241">
        <v>0</v>
      </c>
      <c r="F3319" s="241">
        <v>0</v>
      </c>
      <c r="G3319" s="241">
        <v>0</v>
      </c>
      <c r="H3319" s="241">
        <v>0.111111111111111</v>
      </c>
      <c r="I3319" s="241">
        <v>0.210526315789474</v>
      </c>
      <c r="J3319" s="241">
        <v>0.1</v>
      </c>
      <c r="K3319" s="241">
        <v>0</v>
      </c>
      <c r="L3319" s="241">
        <v>0.0666666666666667</v>
      </c>
      <c r="M3319" s="241">
        <v>0.0909090909090909</v>
      </c>
      <c r="N3319" s="241">
        <v>0.130434782608696</v>
      </c>
      <c r="O3319" s="252">
        <v>0.0454545454545455</v>
      </c>
    </row>
    <row r="3320" spans="1:15">
      <c r="A3320" s="242" t="s">
        <v>66</v>
      </c>
      <c r="B3320" s="43" t="s">
        <v>6</v>
      </c>
      <c r="C3320" s="15">
        <v>5</v>
      </c>
      <c r="D3320" s="244">
        <v>0</v>
      </c>
      <c r="E3320" s="244">
        <v>0</v>
      </c>
      <c r="F3320" s="244">
        <v>0</v>
      </c>
      <c r="G3320" s="244">
        <v>0</v>
      </c>
      <c r="H3320" s="244">
        <v>1</v>
      </c>
      <c r="I3320" s="244">
        <v>0</v>
      </c>
      <c r="J3320" s="244">
        <v>0</v>
      </c>
      <c r="K3320" s="244">
        <v>1</v>
      </c>
      <c r="L3320" s="244">
        <v>0</v>
      </c>
      <c r="M3320" s="244">
        <v>0</v>
      </c>
      <c r="N3320" s="244">
        <v>2</v>
      </c>
      <c r="O3320" s="254">
        <v>1</v>
      </c>
    </row>
    <row r="3321" ht="14.25" spans="1:15">
      <c r="A3321" s="245" t="s">
        <v>66</v>
      </c>
      <c r="B3321" s="52" t="s">
        <v>64</v>
      </c>
      <c r="C3321" s="19">
        <v>0.357142857142857</v>
      </c>
      <c r="D3321" s="246">
        <v>0</v>
      </c>
      <c r="E3321" s="246">
        <v>0</v>
      </c>
      <c r="F3321" s="246">
        <v>0</v>
      </c>
      <c r="G3321" s="246">
        <v>0</v>
      </c>
      <c r="H3321" s="246">
        <v>0.5</v>
      </c>
      <c r="I3321" s="246">
        <v>0</v>
      </c>
      <c r="J3321" s="246">
        <v>0</v>
      </c>
      <c r="K3321" s="246">
        <v>0</v>
      </c>
      <c r="L3321" s="246">
        <v>0</v>
      </c>
      <c r="M3321" s="246">
        <v>0</v>
      </c>
      <c r="N3321" s="246">
        <v>0.666666666666667</v>
      </c>
      <c r="O3321" s="255">
        <v>1</v>
      </c>
    </row>
    <row r="3322" spans="1:15">
      <c r="A3322" s="240" t="s">
        <v>67</v>
      </c>
      <c r="B3322" s="47" t="s">
        <v>55</v>
      </c>
      <c r="C3322" s="12">
        <v>0.644155844155844</v>
      </c>
      <c r="D3322" s="241">
        <v>0.783783783783784</v>
      </c>
      <c r="E3322" s="241">
        <v>0.823529411764706</v>
      </c>
      <c r="F3322" s="241">
        <v>1.25</v>
      </c>
      <c r="G3322" s="241">
        <v>2</v>
      </c>
      <c r="H3322" s="241">
        <v>1.1</v>
      </c>
      <c r="I3322" s="241">
        <v>0.5</v>
      </c>
      <c r="J3322" s="241">
        <v>0.705882352941177</v>
      </c>
      <c r="K3322" s="241">
        <v>0.48780487804878</v>
      </c>
      <c r="L3322" s="241">
        <v>0.352941176470588</v>
      </c>
      <c r="M3322" s="241">
        <v>0.722222222222222</v>
      </c>
      <c r="N3322" s="241">
        <v>0.581395348837209</v>
      </c>
      <c r="O3322" s="252">
        <v>0.509090909090909</v>
      </c>
    </row>
    <row r="3323" spans="1:15">
      <c r="A3323" s="242" t="s">
        <v>67</v>
      </c>
      <c r="B3323" s="43" t="s">
        <v>57</v>
      </c>
      <c r="C3323" s="15">
        <v>385</v>
      </c>
      <c r="D3323" s="243">
        <v>37</v>
      </c>
      <c r="E3323" s="243">
        <v>17</v>
      </c>
      <c r="F3323" s="243">
        <v>8</v>
      </c>
      <c r="G3323" s="243">
        <v>7</v>
      </c>
      <c r="H3323" s="243">
        <v>20</v>
      </c>
      <c r="I3323" s="243">
        <v>36</v>
      </c>
      <c r="J3323" s="243">
        <v>34</v>
      </c>
      <c r="K3323" s="243">
        <v>41</v>
      </c>
      <c r="L3323" s="243">
        <v>51</v>
      </c>
      <c r="M3323" s="243">
        <v>36</v>
      </c>
      <c r="N3323" s="243">
        <v>43</v>
      </c>
      <c r="O3323" s="253">
        <v>55</v>
      </c>
    </row>
    <row r="3324" spans="1:15">
      <c r="A3324" s="240" t="s">
        <v>67</v>
      </c>
      <c r="B3324" s="47" t="s">
        <v>59</v>
      </c>
      <c r="C3324" s="15">
        <v>248</v>
      </c>
      <c r="D3324" s="243">
        <v>29</v>
      </c>
      <c r="E3324" s="243">
        <v>14</v>
      </c>
      <c r="F3324" s="243">
        <v>10</v>
      </c>
      <c r="G3324" s="243">
        <v>14</v>
      </c>
      <c r="H3324" s="243">
        <v>22</v>
      </c>
      <c r="I3324" s="243">
        <v>18</v>
      </c>
      <c r="J3324" s="243">
        <v>24</v>
      </c>
      <c r="K3324" s="243">
        <v>20</v>
      </c>
      <c r="L3324" s="243">
        <v>18</v>
      </c>
      <c r="M3324" s="243">
        <v>26</v>
      </c>
      <c r="N3324" s="243">
        <v>25</v>
      </c>
      <c r="O3324" s="253">
        <v>28</v>
      </c>
    </row>
    <row r="3325" spans="1:15">
      <c r="A3325" s="242" t="s">
        <v>67</v>
      </c>
      <c r="B3325" s="43" t="s">
        <v>4</v>
      </c>
      <c r="C3325" s="15">
        <v>11</v>
      </c>
      <c r="D3325" s="244">
        <v>1</v>
      </c>
      <c r="E3325" s="244">
        <v>1</v>
      </c>
      <c r="F3325" s="244">
        <v>0</v>
      </c>
      <c r="G3325" s="244">
        <v>1</v>
      </c>
      <c r="H3325" s="244">
        <v>1</v>
      </c>
      <c r="I3325" s="244">
        <v>0</v>
      </c>
      <c r="J3325" s="244">
        <v>0</v>
      </c>
      <c r="K3325" s="244">
        <v>3</v>
      </c>
      <c r="L3325" s="244">
        <v>2</v>
      </c>
      <c r="M3325" s="244">
        <v>0</v>
      </c>
      <c r="N3325" s="244">
        <v>0</v>
      </c>
      <c r="O3325" s="254">
        <v>2</v>
      </c>
    </row>
    <row r="3326" spans="1:15">
      <c r="A3326" s="240" t="s">
        <v>67</v>
      </c>
      <c r="B3326" s="47" t="s">
        <v>5</v>
      </c>
      <c r="C3326" s="12">
        <v>0.0443548387096774</v>
      </c>
      <c r="D3326" s="241">
        <v>0.0344827586206897</v>
      </c>
      <c r="E3326" s="241">
        <v>0.0714285714285714</v>
      </c>
      <c r="F3326" s="241">
        <v>0</v>
      </c>
      <c r="G3326" s="241">
        <v>0.0714285714285714</v>
      </c>
      <c r="H3326" s="241">
        <v>0.0454545454545455</v>
      </c>
      <c r="I3326" s="241">
        <v>0</v>
      </c>
      <c r="J3326" s="241">
        <v>0</v>
      </c>
      <c r="K3326" s="241">
        <v>0.15</v>
      </c>
      <c r="L3326" s="241">
        <v>0.111111111111111</v>
      </c>
      <c r="M3326" s="241">
        <v>0</v>
      </c>
      <c r="N3326" s="241">
        <v>0</v>
      </c>
      <c r="O3326" s="252">
        <v>0.0714285714285714</v>
      </c>
    </row>
    <row r="3327" spans="1:15">
      <c r="A3327" s="242" t="s">
        <v>67</v>
      </c>
      <c r="B3327" s="43" t="s">
        <v>6</v>
      </c>
      <c r="C3327" s="15">
        <v>4</v>
      </c>
      <c r="D3327" s="244">
        <v>0</v>
      </c>
      <c r="E3327" s="244">
        <v>0</v>
      </c>
      <c r="F3327" s="244">
        <v>0</v>
      </c>
      <c r="G3327" s="244">
        <v>0</v>
      </c>
      <c r="H3327" s="244">
        <v>0</v>
      </c>
      <c r="I3327" s="244">
        <v>0</v>
      </c>
      <c r="J3327" s="244">
        <v>0</v>
      </c>
      <c r="K3327" s="244">
        <v>2</v>
      </c>
      <c r="L3327" s="244">
        <v>1</v>
      </c>
      <c r="M3327" s="244">
        <v>0</v>
      </c>
      <c r="N3327" s="244">
        <v>1</v>
      </c>
      <c r="O3327" s="254">
        <v>0</v>
      </c>
    </row>
    <row r="3328" ht="14.25" spans="1:15">
      <c r="A3328" s="245" t="s">
        <v>67</v>
      </c>
      <c r="B3328" s="52" t="s">
        <v>64</v>
      </c>
      <c r="C3328" s="19">
        <v>0.363636363636364</v>
      </c>
      <c r="D3328" s="246">
        <v>0</v>
      </c>
      <c r="E3328" s="246">
        <v>0</v>
      </c>
      <c r="F3328" s="246">
        <v>0</v>
      </c>
      <c r="G3328" s="246">
        <v>0</v>
      </c>
      <c r="H3328" s="246">
        <v>0</v>
      </c>
      <c r="I3328" s="246">
        <v>0</v>
      </c>
      <c r="J3328" s="246">
        <v>0</v>
      </c>
      <c r="K3328" s="246">
        <v>0.666666666666667</v>
      </c>
      <c r="L3328" s="246">
        <v>0.5</v>
      </c>
      <c r="M3328" s="246">
        <v>0</v>
      </c>
      <c r="N3328" s="246">
        <v>0</v>
      </c>
      <c r="O3328" s="255">
        <v>0</v>
      </c>
    </row>
    <row r="3329" spans="1:15">
      <c r="A3329" s="240" t="s">
        <v>68</v>
      </c>
      <c r="B3329" s="47" t="s">
        <v>55</v>
      </c>
      <c r="C3329" s="12">
        <v>0.106574505706478</v>
      </c>
      <c r="D3329" s="241">
        <v>0.0850077279752705</v>
      </c>
      <c r="E3329" s="241">
        <v>0.0676156583629893</v>
      </c>
      <c r="F3329" s="241">
        <v>0.0652985074626866</v>
      </c>
      <c r="G3329" s="241">
        <v>0.0555555555555556</v>
      </c>
      <c r="H3329" s="241">
        <v>0.0980091883614089</v>
      </c>
      <c r="I3329" s="241">
        <v>0.107402031930334</v>
      </c>
      <c r="J3329" s="241">
        <v>0.0711462450592885</v>
      </c>
      <c r="K3329" s="241">
        <v>0.104377104377104</v>
      </c>
      <c r="L3329" s="241">
        <v>0.262357414448669</v>
      </c>
      <c r="M3329" s="241">
        <v>0.207272727272727</v>
      </c>
      <c r="N3329" s="241">
        <v>0.209230769230769</v>
      </c>
      <c r="O3329" s="252">
        <v>0.155555555555556</v>
      </c>
    </row>
    <row r="3330" spans="1:15">
      <c r="A3330" s="242" t="s">
        <v>68</v>
      </c>
      <c r="B3330" s="43" t="s">
        <v>57</v>
      </c>
      <c r="C3330" s="15">
        <v>6221</v>
      </c>
      <c r="D3330" s="243">
        <v>647</v>
      </c>
      <c r="E3330" s="243">
        <v>562</v>
      </c>
      <c r="F3330" s="243">
        <v>536</v>
      </c>
      <c r="G3330" s="243">
        <v>558</v>
      </c>
      <c r="H3330" s="243">
        <v>653</v>
      </c>
      <c r="I3330" s="243">
        <v>689</v>
      </c>
      <c r="J3330" s="243">
        <v>759</v>
      </c>
      <c r="K3330" s="243">
        <v>594</v>
      </c>
      <c r="L3330" s="243">
        <v>263</v>
      </c>
      <c r="M3330" s="243">
        <v>275</v>
      </c>
      <c r="N3330" s="243">
        <v>325</v>
      </c>
      <c r="O3330" s="253">
        <v>360</v>
      </c>
    </row>
    <row r="3331" spans="1:15">
      <c r="A3331" s="240" t="s">
        <v>68</v>
      </c>
      <c r="B3331" s="47" t="s">
        <v>59</v>
      </c>
      <c r="C3331" s="15">
        <v>663</v>
      </c>
      <c r="D3331" s="243">
        <v>55</v>
      </c>
      <c r="E3331" s="243">
        <v>38</v>
      </c>
      <c r="F3331" s="243">
        <v>35</v>
      </c>
      <c r="G3331" s="243">
        <v>31</v>
      </c>
      <c r="H3331" s="243">
        <v>64</v>
      </c>
      <c r="I3331" s="243">
        <v>74</v>
      </c>
      <c r="J3331" s="243">
        <v>54</v>
      </c>
      <c r="K3331" s="243">
        <v>62</v>
      </c>
      <c r="L3331" s="243">
        <v>69</v>
      </c>
      <c r="M3331" s="243">
        <v>57</v>
      </c>
      <c r="N3331" s="243">
        <v>68</v>
      </c>
      <c r="O3331" s="253">
        <v>56</v>
      </c>
    </row>
    <row r="3332" spans="1:15">
      <c r="A3332" s="242" t="s">
        <v>68</v>
      </c>
      <c r="B3332" s="43" t="s">
        <v>4</v>
      </c>
      <c r="C3332" s="15">
        <v>34</v>
      </c>
      <c r="D3332" s="244">
        <v>2</v>
      </c>
      <c r="E3332" s="244">
        <v>2</v>
      </c>
      <c r="F3332" s="244">
        <v>0</v>
      </c>
      <c r="G3332" s="244">
        <v>3</v>
      </c>
      <c r="H3332" s="244">
        <v>5</v>
      </c>
      <c r="I3332" s="244">
        <v>1</v>
      </c>
      <c r="J3332" s="244">
        <v>5</v>
      </c>
      <c r="K3332" s="244">
        <v>2</v>
      </c>
      <c r="L3332" s="244">
        <v>1</v>
      </c>
      <c r="M3332" s="244">
        <v>2</v>
      </c>
      <c r="N3332" s="244">
        <v>4</v>
      </c>
      <c r="O3332" s="254">
        <v>7</v>
      </c>
    </row>
    <row r="3333" spans="1:15">
      <c r="A3333" s="240" t="s">
        <v>68</v>
      </c>
      <c r="B3333" s="47" t="s">
        <v>5</v>
      </c>
      <c r="C3333" s="12">
        <v>0.0512820512820513</v>
      </c>
      <c r="D3333" s="241">
        <v>0.0363636363636364</v>
      </c>
      <c r="E3333" s="241">
        <v>0.0526315789473684</v>
      </c>
      <c r="F3333" s="241">
        <v>0</v>
      </c>
      <c r="G3333" s="241">
        <v>0.0967741935483871</v>
      </c>
      <c r="H3333" s="241">
        <v>0.078125</v>
      </c>
      <c r="I3333" s="241">
        <v>0.0135135135135135</v>
      </c>
      <c r="J3333" s="241">
        <v>0.0925925925925926</v>
      </c>
      <c r="K3333" s="241">
        <v>0.032258064516129</v>
      </c>
      <c r="L3333" s="241">
        <v>0.0144927536231884</v>
      </c>
      <c r="M3333" s="241">
        <v>0.0350877192982456</v>
      </c>
      <c r="N3333" s="241">
        <v>0.0588235294117647</v>
      </c>
      <c r="O3333" s="252">
        <v>0.125</v>
      </c>
    </row>
    <row r="3334" spans="1:15">
      <c r="A3334" s="242" t="s">
        <v>68</v>
      </c>
      <c r="B3334" s="43" t="s">
        <v>6</v>
      </c>
      <c r="C3334" s="15">
        <v>15</v>
      </c>
      <c r="D3334" s="244">
        <v>1</v>
      </c>
      <c r="E3334" s="244">
        <v>0</v>
      </c>
      <c r="F3334" s="244">
        <v>0</v>
      </c>
      <c r="G3334" s="244">
        <v>1</v>
      </c>
      <c r="H3334" s="244">
        <v>2</v>
      </c>
      <c r="I3334" s="244">
        <v>3</v>
      </c>
      <c r="J3334" s="244">
        <v>1</v>
      </c>
      <c r="K3334" s="244">
        <v>1</v>
      </c>
      <c r="L3334" s="244">
        <v>1</v>
      </c>
      <c r="M3334" s="244">
        <v>2</v>
      </c>
      <c r="N3334" s="244">
        <v>0</v>
      </c>
      <c r="O3334" s="254">
        <v>3</v>
      </c>
    </row>
    <row r="3335" ht="14.25" spans="1:15">
      <c r="A3335" s="245" t="s">
        <v>68</v>
      </c>
      <c r="B3335" s="52" t="s">
        <v>64</v>
      </c>
      <c r="C3335" s="19">
        <v>0.441176470588235</v>
      </c>
      <c r="D3335" s="246">
        <v>0.5</v>
      </c>
      <c r="E3335" s="246">
        <v>0</v>
      </c>
      <c r="F3335" s="246">
        <v>0</v>
      </c>
      <c r="G3335" s="246">
        <v>0.333333333333333</v>
      </c>
      <c r="H3335" s="246">
        <v>0.4</v>
      </c>
      <c r="I3335" s="246">
        <v>3</v>
      </c>
      <c r="J3335" s="246">
        <v>0.2</v>
      </c>
      <c r="K3335" s="246">
        <v>0.5</v>
      </c>
      <c r="L3335" s="246">
        <v>1</v>
      </c>
      <c r="M3335" s="246">
        <v>1</v>
      </c>
      <c r="N3335" s="246">
        <v>0</v>
      </c>
      <c r="O3335" s="255">
        <v>0.428571428571429</v>
      </c>
    </row>
    <row r="3336" spans="1:15">
      <c r="A3336" s="240" t="s">
        <v>69</v>
      </c>
      <c r="B3336" s="47" t="s">
        <v>55</v>
      </c>
      <c r="C3336" s="12">
        <v>0.920430107526882</v>
      </c>
      <c r="D3336" s="241">
        <v>1.12820512820513</v>
      </c>
      <c r="E3336" s="241">
        <v>0.91304347826087</v>
      </c>
      <c r="F3336" s="241">
        <v>0.875</v>
      </c>
      <c r="G3336" s="241">
        <v>1.23076923076923</v>
      </c>
      <c r="H3336" s="241">
        <v>0.945945945945946</v>
      </c>
      <c r="I3336" s="241">
        <v>0.773584905660377</v>
      </c>
      <c r="J3336" s="241">
        <v>0.944444444444444</v>
      </c>
      <c r="K3336" s="241">
        <v>1</v>
      </c>
      <c r="L3336" s="241">
        <v>0.975609756097561</v>
      </c>
      <c r="M3336" s="241">
        <v>0.934782608695652</v>
      </c>
      <c r="N3336" s="241">
        <v>0.796610169491525</v>
      </c>
      <c r="O3336" s="252">
        <v>0.823529411764706</v>
      </c>
    </row>
    <row r="3337" spans="1:15">
      <c r="A3337" s="242" t="s">
        <v>69</v>
      </c>
      <c r="B3337" s="43" t="s">
        <v>57</v>
      </c>
      <c r="C3337" s="15">
        <v>465</v>
      </c>
      <c r="D3337" s="243">
        <v>39</v>
      </c>
      <c r="E3337" s="243">
        <v>23</v>
      </c>
      <c r="F3337" s="243">
        <v>16</v>
      </c>
      <c r="G3337" s="243">
        <v>13</v>
      </c>
      <c r="H3337" s="243">
        <v>37</v>
      </c>
      <c r="I3337" s="243">
        <v>53</v>
      </c>
      <c r="J3337" s="243">
        <v>36</v>
      </c>
      <c r="K3337" s="243">
        <v>51</v>
      </c>
      <c r="L3337" s="243">
        <v>41</v>
      </c>
      <c r="M3337" s="243">
        <v>46</v>
      </c>
      <c r="N3337" s="243">
        <v>59</v>
      </c>
      <c r="O3337" s="253">
        <v>51</v>
      </c>
    </row>
    <row r="3338" spans="1:15">
      <c r="A3338" s="240" t="s">
        <v>69</v>
      </c>
      <c r="B3338" s="47" t="s">
        <v>59</v>
      </c>
      <c r="C3338" s="15">
        <v>428</v>
      </c>
      <c r="D3338" s="243">
        <v>44</v>
      </c>
      <c r="E3338" s="243">
        <v>21</v>
      </c>
      <c r="F3338" s="243">
        <v>14</v>
      </c>
      <c r="G3338" s="243">
        <v>16</v>
      </c>
      <c r="H3338" s="243">
        <v>35</v>
      </c>
      <c r="I3338" s="243">
        <v>41</v>
      </c>
      <c r="J3338" s="243">
        <v>34</v>
      </c>
      <c r="K3338" s="243">
        <v>51</v>
      </c>
      <c r="L3338" s="243">
        <v>40</v>
      </c>
      <c r="M3338" s="243">
        <v>43</v>
      </c>
      <c r="N3338" s="243">
        <v>47</v>
      </c>
      <c r="O3338" s="253">
        <v>42</v>
      </c>
    </row>
    <row r="3339" spans="1:15">
      <c r="A3339" s="242" t="s">
        <v>69</v>
      </c>
      <c r="B3339" s="43" t="s">
        <v>4</v>
      </c>
      <c r="C3339" s="15">
        <v>24</v>
      </c>
      <c r="D3339" s="244">
        <v>1</v>
      </c>
      <c r="E3339" s="244">
        <v>0</v>
      </c>
      <c r="F3339" s="244">
        <v>0</v>
      </c>
      <c r="G3339" s="244">
        <v>0</v>
      </c>
      <c r="H3339" s="244">
        <v>3</v>
      </c>
      <c r="I3339" s="244">
        <v>2</v>
      </c>
      <c r="J3339" s="244">
        <v>5</v>
      </c>
      <c r="K3339" s="244">
        <v>3</v>
      </c>
      <c r="L3339" s="244">
        <v>4</v>
      </c>
      <c r="M3339" s="244">
        <v>2</v>
      </c>
      <c r="N3339" s="244">
        <v>3</v>
      </c>
      <c r="O3339" s="254">
        <v>1</v>
      </c>
    </row>
    <row r="3340" spans="1:15">
      <c r="A3340" s="240" t="s">
        <v>69</v>
      </c>
      <c r="B3340" s="47" t="s">
        <v>5</v>
      </c>
      <c r="C3340" s="12">
        <v>0.0560747663551402</v>
      </c>
      <c r="D3340" s="241">
        <v>0.0227272727272727</v>
      </c>
      <c r="E3340" s="241">
        <v>0</v>
      </c>
      <c r="F3340" s="241">
        <v>0</v>
      </c>
      <c r="G3340" s="241">
        <v>0</v>
      </c>
      <c r="H3340" s="241">
        <v>0.0857142857142857</v>
      </c>
      <c r="I3340" s="241">
        <v>0.0487804878048781</v>
      </c>
      <c r="J3340" s="241">
        <v>0.147058823529412</v>
      </c>
      <c r="K3340" s="241">
        <v>0.0588235294117647</v>
      </c>
      <c r="L3340" s="241">
        <v>0.1</v>
      </c>
      <c r="M3340" s="241">
        <v>0.0465116279069767</v>
      </c>
      <c r="N3340" s="241">
        <v>0.0638297872340425</v>
      </c>
      <c r="O3340" s="252">
        <v>0.0238095238095238</v>
      </c>
    </row>
    <row r="3341" spans="1:15">
      <c r="A3341" s="242" t="s">
        <v>69</v>
      </c>
      <c r="B3341" s="43" t="s">
        <v>6</v>
      </c>
      <c r="C3341" s="15">
        <v>13</v>
      </c>
      <c r="D3341" s="244">
        <v>2</v>
      </c>
      <c r="E3341" s="244">
        <v>0</v>
      </c>
      <c r="F3341" s="244">
        <v>0</v>
      </c>
      <c r="G3341" s="244">
        <v>0</v>
      </c>
      <c r="H3341" s="244">
        <v>3</v>
      </c>
      <c r="I3341" s="244">
        <v>0</v>
      </c>
      <c r="J3341" s="244">
        <v>1</v>
      </c>
      <c r="K3341" s="244">
        <v>1</v>
      </c>
      <c r="L3341" s="244">
        <v>4</v>
      </c>
      <c r="M3341" s="244">
        <v>0</v>
      </c>
      <c r="N3341" s="244">
        <v>2</v>
      </c>
      <c r="O3341" s="254">
        <v>0</v>
      </c>
    </row>
    <row r="3342" ht="14.25" spans="1:15">
      <c r="A3342" s="245" t="s">
        <v>69</v>
      </c>
      <c r="B3342" s="52" t="s">
        <v>64</v>
      </c>
      <c r="C3342" s="19">
        <v>0.541666666666667</v>
      </c>
      <c r="D3342" s="246">
        <v>2</v>
      </c>
      <c r="E3342" s="246">
        <v>0</v>
      </c>
      <c r="F3342" s="246">
        <v>0</v>
      </c>
      <c r="G3342" s="246">
        <v>0</v>
      </c>
      <c r="H3342" s="246">
        <v>1</v>
      </c>
      <c r="I3342" s="246">
        <v>0</v>
      </c>
      <c r="J3342" s="246">
        <v>0.2</v>
      </c>
      <c r="K3342" s="246">
        <v>0.333333333333333</v>
      </c>
      <c r="L3342" s="246">
        <v>1</v>
      </c>
      <c r="M3342" s="246">
        <v>0</v>
      </c>
      <c r="N3342" s="246">
        <v>0.666666666666667</v>
      </c>
      <c r="O3342" s="255">
        <v>0</v>
      </c>
    </row>
    <row r="3343" spans="1:15">
      <c r="A3343" s="240" t="s">
        <v>70</v>
      </c>
      <c r="B3343" s="47" t="s">
        <v>55</v>
      </c>
      <c r="C3343" s="12">
        <v>0.372185430463576</v>
      </c>
      <c r="D3343" s="241">
        <v>1.22916666666667</v>
      </c>
      <c r="E3343" s="241">
        <v>0.92156862745098</v>
      </c>
      <c r="F3343" s="241">
        <v>0.828571428571429</v>
      </c>
      <c r="G3343" s="241">
        <v>0.415384615384615</v>
      </c>
      <c r="H3343" s="241">
        <v>0.375</v>
      </c>
      <c r="I3343" s="241">
        <v>0.368055555555556</v>
      </c>
      <c r="J3343" s="241">
        <v>0.264705882352941</v>
      </c>
      <c r="K3343" s="241">
        <v>0.341040462427746</v>
      </c>
      <c r="L3343" s="241">
        <v>0.377049180327869</v>
      </c>
      <c r="M3343" s="241">
        <v>0.37962962962963</v>
      </c>
      <c r="N3343" s="241">
        <v>0.298288508557457</v>
      </c>
      <c r="O3343" s="252">
        <v>0.32258064516129</v>
      </c>
    </row>
    <row r="3344" spans="1:15">
      <c r="A3344" s="242" t="s">
        <v>70</v>
      </c>
      <c r="B3344" s="43" t="s">
        <v>57</v>
      </c>
      <c r="C3344" s="15">
        <v>3020</v>
      </c>
      <c r="D3344" s="243">
        <v>48</v>
      </c>
      <c r="E3344" s="243">
        <v>51</v>
      </c>
      <c r="F3344" s="243">
        <v>35</v>
      </c>
      <c r="G3344" s="243">
        <v>195</v>
      </c>
      <c r="H3344" s="243">
        <v>248</v>
      </c>
      <c r="I3344" s="243">
        <v>288</v>
      </c>
      <c r="J3344" s="243">
        <v>306</v>
      </c>
      <c r="K3344" s="243">
        <v>346</v>
      </c>
      <c r="L3344" s="243">
        <v>305</v>
      </c>
      <c r="M3344" s="243">
        <v>324</v>
      </c>
      <c r="N3344" s="243">
        <v>409</v>
      </c>
      <c r="O3344" s="253">
        <v>465</v>
      </c>
    </row>
    <row r="3345" spans="1:15">
      <c r="A3345" s="240" t="s">
        <v>70</v>
      </c>
      <c r="B3345" s="47" t="s">
        <v>59</v>
      </c>
      <c r="C3345" s="15">
        <v>1124</v>
      </c>
      <c r="D3345" s="243">
        <v>59</v>
      </c>
      <c r="E3345" s="243">
        <v>47</v>
      </c>
      <c r="F3345" s="243">
        <v>29</v>
      </c>
      <c r="G3345" s="243">
        <v>81</v>
      </c>
      <c r="H3345" s="243">
        <v>93</v>
      </c>
      <c r="I3345" s="243">
        <v>106</v>
      </c>
      <c r="J3345" s="243">
        <v>81</v>
      </c>
      <c r="K3345" s="243">
        <v>118</v>
      </c>
      <c r="L3345" s="243">
        <v>115</v>
      </c>
      <c r="M3345" s="243">
        <v>123</v>
      </c>
      <c r="N3345" s="243">
        <v>122</v>
      </c>
      <c r="O3345" s="253">
        <v>150</v>
      </c>
    </row>
    <row r="3346" spans="1:15">
      <c r="A3346" s="242" t="s">
        <v>70</v>
      </c>
      <c r="B3346" s="43" t="s">
        <v>4</v>
      </c>
      <c r="C3346" s="15">
        <v>89</v>
      </c>
      <c r="D3346" s="244">
        <v>0</v>
      </c>
      <c r="E3346" s="244">
        <v>0</v>
      </c>
      <c r="F3346" s="244">
        <v>0</v>
      </c>
      <c r="G3346" s="244">
        <v>2</v>
      </c>
      <c r="H3346" s="244">
        <v>10</v>
      </c>
      <c r="I3346" s="244">
        <v>9</v>
      </c>
      <c r="J3346" s="244">
        <v>5</v>
      </c>
      <c r="K3346" s="244">
        <v>10</v>
      </c>
      <c r="L3346" s="244">
        <v>16</v>
      </c>
      <c r="M3346" s="244">
        <v>6</v>
      </c>
      <c r="N3346" s="244">
        <v>13</v>
      </c>
      <c r="O3346" s="254">
        <v>18</v>
      </c>
    </row>
    <row r="3347" spans="1:15">
      <c r="A3347" s="240" t="s">
        <v>70</v>
      </c>
      <c r="B3347" s="47" t="s">
        <v>5</v>
      </c>
      <c r="C3347" s="12">
        <v>0.0791814946619217</v>
      </c>
      <c r="D3347" s="241">
        <v>0</v>
      </c>
      <c r="E3347" s="241">
        <v>0</v>
      </c>
      <c r="F3347" s="241">
        <v>0</v>
      </c>
      <c r="G3347" s="241">
        <v>0.0246913580246914</v>
      </c>
      <c r="H3347" s="241">
        <v>0.10752688172043</v>
      </c>
      <c r="I3347" s="241">
        <v>0.0849056603773585</v>
      </c>
      <c r="J3347" s="241">
        <v>0.0617283950617284</v>
      </c>
      <c r="K3347" s="241">
        <v>0.0847457627118644</v>
      </c>
      <c r="L3347" s="241">
        <v>0.139130434782609</v>
      </c>
      <c r="M3347" s="241">
        <v>0.0487804878048781</v>
      </c>
      <c r="N3347" s="241">
        <v>0.10655737704918</v>
      </c>
      <c r="O3347" s="252">
        <v>0.12</v>
      </c>
    </row>
    <row r="3348" spans="1:15">
      <c r="A3348" s="242" t="s">
        <v>70</v>
      </c>
      <c r="B3348" s="43" t="s">
        <v>6</v>
      </c>
      <c r="C3348" s="15">
        <v>31</v>
      </c>
      <c r="D3348" s="244">
        <v>2</v>
      </c>
      <c r="E3348" s="244">
        <v>1</v>
      </c>
      <c r="F3348" s="244">
        <v>0</v>
      </c>
      <c r="G3348" s="244">
        <v>1</v>
      </c>
      <c r="H3348" s="244">
        <v>4</v>
      </c>
      <c r="I3348" s="244">
        <v>1</v>
      </c>
      <c r="J3348" s="244">
        <v>2</v>
      </c>
      <c r="K3348" s="244">
        <v>4</v>
      </c>
      <c r="L3348" s="244">
        <v>4</v>
      </c>
      <c r="M3348" s="244">
        <v>4</v>
      </c>
      <c r="N3348" s="244">
        <v>2</v>
      </c>
      <c r="O3348" s="254">
        <v>6</v>
      </c>
    </row>
    <row r="3349" ht="14.25" spans="1:15">
      <c r="A3349" s="245" t="s">
        <v>70</v>
      </c>
      <c r="B3349" s="52" t="s">
        <v>64</v>
      </c>
      <c r="C3349" s="19">
        <v>0.348314606741573</v>
      </c>
      <c r="D3349" s="246">
        <v>0</v>
      </c>
      <c r="E3349" s="246">
        <v>0</v>
      </c>
      <c r="F3349" s="246">
        <v>0</v>
      </c>
      <c r="G3349" s="246">
        <v>0.5</v>
      </c>
      <c r="H3349" s="246">
        <v>0.4</v>
      </c>
      <c r="I3349" s="246">
        <v>0.111111111111111</v>
      </c>
      <c r="J3349" s="246">
        <v>0.4</v>
      </c>
      <c r="K3349" s="246">
        <v>0.4</v>
      </c>
      <c r="L3349" s="246">
        <v>0.25</v>
      </c>
      <c r="M3349" s="246">
        <v>0.666666666666667</v>
      </c>
      <c r="N3349" s="246">
        <v>0.153846153846154</v>
      </c>
      <c r="O3349" s="255">
        <v>0.333333333333333</v>
      </c>
    </row>
    <row r="3350" spans="1:15">
      <c r="A3350" s="240" t="s">
        <v>26</v>
      </c>
      <c r="B3350" s="47" t="s">
        <v>55</v>
      </c>
      <c r="C3350" s="12">
        <v>0.665450565487049</v>
      </c>
      <c r="D3350" s="241">
        <v>0.563218390804598</v>
      </c>
      <c r="E3350" s="241">
        <v>0.602905569007264</v>
      </c>
      <c r="F3350" s="241">
        <v>0.484745762711864</v>
      </c>
      <c r="G3350" s="241">
        <v>0.779661016949153</v>
      </c>
      <c r="H3350" s="241">
        <v>0.733333333333333</v>
      </c>
      <c r="I3350" s="241">
        <v>0.809859154929577</v>
      </c>
      <c r="J3350" s="241">
        <v>0.69811320754717</v>
      </c>
      <c r="K3350" s="241">
        <v>0.756756756756757</v>
      </c>
      <c r="L3350" s="241">
        <v>0.682539682539683</v>
      </c>
      <c r="M3350" s="241">
        <v>0.73469387755102</v>
      </c>
      <c r="N3350" s="241">
        <v>0.804878048780488</v>
      </c>
      <c r="O3350" s="252">
        <v>0.813008130081301</v>
      </c>
    </row>
    <row r="3351" spans="1:15">
      <c r="A3351" s="242" t="s">
        <v>26</v>
      </c>
      <c r="B3351" s="43" t="s">
        <v>57</v>
      </c>
      <c r="C3351" s="15">
        <v>2741</v>
      </c>
      <c r="D3351" s="243">
        <v>522</v>
      </c>
      <c r="E3351" s="243">
        <v>413</v>
      </c>
      <c r="F3351" s="243">
        <v>295</v>
      </c>
      <c r="G3351" s="243">
        <v>177</v>
      </c>
      <c r="H3351" s="243">
        <v>225</v>
      </c>
      <c r="I3351" s="243">
        <v>142</v>
      </c>
      <c r="J3351" s="243">
        <v>159</v>
      </c>
      <c r="K3351" s="243">
        <v>185</v>
      </c>
      <c r="L3351" s="243">
        <v>189</v>
      </c>
      <c r="M3351" s="243">
        <v>147</v>
      </c>
      <c r="N3351" s="243">
        <v>164</v>
      </c>
      <c r="O3351" s="253">
        <v>123</v>
      </c>
    </row>
    <row r="3352" spans="1:15">
      <c r="A3352" s="240" t="s">
        <v>26</v>
      </c>
      <c r="B3352" s="47" t="s">
        <v>59</v>
      </c>
      <c r="C3352" s="15">
        <v>1824</v>
      </c>
      <c r="D3352" s="243">
        <v>294</v>
      </c>
      <c r="E3352" s="243">
        <v>249</v>
      </c>
      <c r="F3352" s="243">
        <v>143</v>
      </c>
      <c r="G3352" s="243">
        <v>138</v>
      </c>
      <c r="H3352" s="243">
        <v>165</v>
      </c>
      <c r="I3352" s="243">
        <v>115</v>
      </c>
      <c r="J3352" s="243">
        <v>111</v>
      </c>
      <c r="K3352" s="243">
        <v>140</v>
      </c>
      <c r="L3352" s="243">
        <v>129</v>
      </c>
      <c r="M3352" s="243">
        <v>108</v>
      </c>
      <c r="N3352" s="243">
        <v>132</v>
      </c>
      <c r="O3352" s="253">
        <v>100</v>
      </c>
    </row>
    <row r="3353" spans="1:15">
      <c r="A3353" s="242" t="s">
        <v>26</v>
      </c>
      <c r="B3353" s="43" t="s">
        <v>4</v>
      </c>
      <c r="C3353" s="15">
        <v>12</v>
      </c>
      <c r="D3353" s="244">
        <v>2</v>
      </c>
      <c r="E3353" s="244">
        <v>0</v>
      </c>
      <c r="F3353" s="244">
        <v>0</v>
      </c>
      <c r="G3353" s="244">
        <v>0</v>
      </c>
      <c r="H3353" s="244">
        <v>0</v>
      </c>
      <c r="I3353" s="244">
        <v>1</v>
      </c>
      <c r="J3353" s="244">
        <v>1</v>
      </c>
      <c r="K3353" s="244">
        <v>1</v>
      </c>
      <c r="L3353" s="244">
        <v>1</v>
      </c>
      <c r="M3353" s="244">
        <v>1</v>
      </c>
      <c r="N3353" s="244">
        <v>1</v>
      </c>
      <c r="O3353" s="254">
        <v>4</v>
      </c>
    </row>
    <row r="3354" spans="1:15">
      <c r="A3354" s="240" t="s">
        <v>26</v>
      </c>
      <c r="B3354" s="47" t="s">
        <v>5</v>
      </c>
      <c r="C3354" s="12">
        <v>0.00657894736842105</v>
      </c>
      <c r="D3354" s="241">
        <v>0.00680272108843537</v>
      </c>
      <c r="E3354" s="241">
        <v>0</v>
      </c>
      <c r="F3354" s="241">
        <v>0</v>
      </c>
      <c r="G3354" s="241">
        <v>0</v>
      </c>
      <c r="H3354" s="241">
        <v>0</v>
      </c>
      <c r="I3354" s="241">
        <v>0.00869565217391304</v>
      </c>
      <c r="J3354" s="241">
        <v>0.00900900900900901</v>
      </c>
      <c r="K3354" s="241">
        <v>0.00714285714285714</v>
      </c>
      <c r="L3354" s="241">
        <v>0.00775193798449612</v>
      </c>
      <c r="M3354" s="241">
        <v>0.00925925925925926</v>
      </c>
      <c r="N3354" s="241">
        <v>0.00757575757575758</v>
      </c>
      <c r="O3354" s="252">
        <v>0.04</v>
      </c>
    </row>
    <row r="3355" spans="1:15">
      <c r="A3355" s="242" t="s">
        <v>26</v>
      </c>
      <c r="B3355" s="43" t="s">
        <v>6</v>
      </c>
      <c r="C3355" s="15">
        <v>1</v>
      </c>
      <c r="D3355" s="244">
        <v>0</v>
      </c>
      <c r="E3355" s="244">
        <v>0</v>
      </c>
      <c r="F3355" s="244">
        <v>0</v>
      </c>
      <c r="G3355" s="244">
        <v>0</v>
      </c>
      <c r="H3355" s="244">
        <v>0</v>
      </c>
      <c r="I3355" s="244">
        <v>0</v>
      </c>
      <c r="J3355" s="244">
        <v>0</v>
      </c>
      <c r="K3355" s="244">
        <v>1</v>
      </c>
      <c r="L3355" s="244">
        <v>0</v>
      </c>
      <c r="M3355" s="244">
        <v>0</v>
      </c>
      <c r="N3355" s="244">
        <v>0</v>
      </c>
      <c r="O3355" s="254">
        <v>0</v>
      </c>
    </row>
    <row r="3356" ht="14.25" spans="1:15">
      <c r="A3356" s="245" t="s">
        <v>26</v>
      </c>
      <c r="B3356" s="52" t="s">
        <v>64</v>
      </c>
      <c r="C3356" s="19">
        <v>0.0833333333333333</v>
      </c>
      <c r="D3356" s="19">
        <v>0</v>
      </c>
      <c r="E3356" s="19" t="e">
        <v>#DIV/0!</v>
      </c>
      <c r="F3356" s="19" t="e">
        <v>#DIV/0!</v>
      </c>
      <c r="G3356" s="19" t="e">
        <v>#DIV/0!</v>
      </c>
      <c r="H3356" s="19" t="e">
        <v>#DIV/0!</v>
      </c>
      <c r="I3356" s="19">
        <v>0</v>
      </c>
      <c r="J3356" s="19">
        <v>0</v>
      </c>
      <c r="K3356" s="19">
        <v>1</v>
      </c>
      <c r="L3356" s="19">
        <v>0</v>
      </c>
      <c r="M3356" s="19">
        <v>0</v>
      </c>
      <c r="N3356" s="19">
        <v>0</v>
      </c>
      <c r="O3356" s="19">
        <v>0</v>
      </c>
    </row>
    <row r="3357" spans="1:15">
      <c r="A3357" s="240" t="s">
        <v>71</v>
      </c>
      <c r="B3357" s="47" t="s">
        <v>55</v>
      </c>
      <c r="C3357" s="12">
        <v>2.66666666666667</v>
      </c>
      <c r="D3357" s="241" t="e">
        <v>#DIV/0!</v>
      </c>
      <c r="E3357" s="241" t="e">
        <v>#DIV/0!</v>
      </c>
      <c r="F3357" s="241" t="e">
        <v>#DIV/0!</v>
      </c>
      <c r="G3357" s="241">
        <v>0</v>
      </c>
      <c r="H3357" s="241">
        <v>0</v>
      </c>
      <c r="I3357" s="241" t="e">
        <v>#DIV/0!</v>
      </c>
      <c r="J3357" s="241" t="e">
        <v>#DIV/0!</v>
      </c>
      <c r="K3357" s="241" t="e">
        <v>#DIV/0!</v>
      </c>
      <c r="L3357" s="241" t="e">
        <v>#DIV/0!</v>
      </c>
      <c r="M3357" s="241" t="e">
        <v>#DIV/0!</v>
      </c>
      <c r="N3357" s="241" t="e">
        <v>#DIV/0!</v>
      </c>
      <c r="O3357" s="252" t="e">
        <v>#DIV/0!</v>
      </c>
    </row>
    <row r="3358" spans="1:15">
      <c r="A3358" s="242" t="s">
        <v>71</v>
      </c>
      <c r="B3358" s="43" t="s">
        <v>57</v>
      </c>
      <c r="C3358" s="15">
        <v>3</v>
      </c>
      <c r="D3358" s="243">
        <v>0</v>
      </c>
      <c r="E3358" s="243">
        <v>0</v>
      </c>
      <c r="F3358" s="243">
        <v>0</v>
      </c>
      <c r="G3358" s="243">
        <v>1</v>
      </c>
      <c r="H3358" s="243">
        <v>2</v>
      </c>
      <c r="I3358" s="243">
        <v>0</v>
      </c>
      <c r="J3358" s="243">
        <v>0</v>
      </c>
      <c r="K3358" s="243">
        <v>0</v>
      </c>
      <c r="L3358" s="243">
        <v>0</v>
      </c>
      <c r="M3358" s="243">
        <v>0</v>
      </c>
      <c r="N3358" s="243">
        <v>0</v>
      </c>
      <c r="O3358" s="253">
        <v>0</v>
      </c>
    </row>
    <row r="3359" spans="1:15">
      <c r="A3359" s="240" t="s">
        <v>71</v>
      </c>
      <c r="B3359" s="47" t="s">
        <v>59</v>
      </c>
      <c r="C3359" s="15">
        <v>8</v>
      </c>
      <c r="D3359" s="243">
        <v>1</v>
      </c>
      <c r="E3359" s="243">
        <v>0</v>
      </c>
      <c r="F3359" s="243">
        <v>1</v>
      </c>
      <c r="G3359" s="243">
        <v>0</v>
      </c>
      <c r="H3359" s="243">
        <v>0</v>
      </c>
      <c r="I3359" s="243">
        <v>0</v>
      </c>
      <c r="J3359" s="243">
        <v>2</v>
      </c>
      <c r="K3359" s="243">
        <v>0</v>
      </c>
      <c r="L3359" s="243">
        <v>1</v>
      </c>
      <c r="M3359" s="243">
        <v>1</v>
      </c>
      <c r="N3359" s="243">
        <v>1</v>
      </c>
      <c r="O3359" s="253">
        <v>1</v>
      </c>
    </row>
    <row r="3360" spans="1:15">
      <c r="A3360" s="242" t="s">
        <v>71</v>
      </c>
      <c r="B3360" s="43" t="s">
        <v>4</v>
      </c>
      <c r="C3360" s="15">
        <v>11</v>
      </c>
      <c r="D3360" s="244">
        <v>1</v>
      </c>
      <c r="E3360" s="244">
        <v>1</v>
      </c>
      <c r="F3360" s="244">
        <v>2</v>
      </c>
      <c r="G3360" s="244">
        <v>0</v>
      </c>
      <c r="H3360" s="244">
        <v>0</v>
      </c>
      <c r="I3360" s="244">
        <v>0</v>
      </c>
      <c r="J3360" s="244">
        <v>2</v>
      </c>
      <c r="K3360" s="244">
        <v>0</v>
      </c>
      <c r="L3360" s="244">
        <v>0</v>
      </c>
      <c r="M3360" s="244">
        <v>2</v>
      </c>
      <c r="N3360" s="244">
        <v>1</v>
      </c>
      <c r="O3360" s="254">
        <v>2</v>
      </c>
    </row>
    <row r="3361" spans="1:15">
      <c r="A3361" s="240" t="s">
        <v>71</v>
      </c>
      <c r="B3361" s="47" t="s">
        <v>5</v>
      </c>
      <c r="C3361" s="241">
        <v>1.375</v>
      </c>
      <c r="D3361" s="241">
        <v>1</v>
      </c>
      <c r="E3361" s="241">
        <v>0</v>
      </c>
      <c r="F3361" s="241">
        <v>2</v>
      </c>
      <c r="G3361" s="241">
        <v>0</v>
      </c>
      <c r="H3361" s="241">
        <v>0</v>
      </c>
      <c r="I3361" s="241">
        <v>0</v>
      </c>
      <c r="J3361" s="241">
        <v>1</v>
      </c>
      <c r="K3361" s="241">
        <v>0</v>
      </c>
      <c r="L3361" s="241">
        <v>0</v>
      </c>
      <c r="M3361" s="241">
        <v>2</v>
      </c>
      <c r="N3361" s="241">
        <v>1</v>
      </c>
      <c r="O3361" s="252">
        <v>2</v>
      </c>
    </row>
    <row r="3362" spans="1:15">
      <c r="A3362" s="242" t="s">
        <v>71</v>
      </c>
      <c r="B3362" s="43" t="s">
        <v>6</v>
      </c>
      <c r="C3362" s="15">
        <v>4</v>
      </c>
      <c r="D3362" s="244">
        <v>0</v>
      </c>
      <c r="E3362" s="244">
        <v>0</v>
      </c>
      <c r="F3362" s="244">
        <v>1</v>
      </c>
      <c r="G3362" s="244">
        <v>1</v>
      </c>
      <c r="H3362" s="244">
        <v>0</v>
      </c>
      <c r="I3362" s="244">
        <v>0</v>
      </c>
      <c r="J3362" s="244">
        <v>0</v>
      </c>
      <c r="K3362" s="244">
        <v>0</v>
      </c>
      <c r="L3362" s="244">
        <v>1</v>
      </c>
      <c r="M3362" s="244">
        <v>1</v>
      </c>
      <c r="N3362" s="244">
        <v>0</v>
      </c>
      <c r="O3362" s="254">
        <v>0</v>
      </c>
    </row>
    <row r="3363" ht="14.25" spans="1:15">
      <c r="A3363" s="245" t="s">
        <v>71</v>
      </c>
      <c r="B3363" s="52" t="s">
        <v>64</v>
      </c>
      <c r="C3363" s="19">
        <v>0.363636363636364</v>
      </c>
      <c r="D3363" s="19">
        <v>0</v>
      </c>
      <c r="E3363" s="19">
        <v>0</v>
      </c>
      <c r="F3363" s="19">
        <v>0.5</v>
      </c>
      <c r="G3363" s="19" t="e">
        <v>#DIV/0!</v>
      </c>
      <c r="H3363" s="19" t="e">
        <v>#DIV/0!</v>
      </c>
      <c r="I3363" s="19" t="e">
        <v>#DIV/0!</v>
      </c>
      <c r="J3363" s="19">
        <v>0</v>
      </c>
      <c r="K3363" s="19" t="e">
        <v>#DIV/0!</v>
      </c>
      <c r="L3363" s="19" t="e">
        <v>#DIV/0!</v>
      </c>
      <c r="M3363" s="19">
        <v>0.5</v>
      </c>
      <c r="N3363" s="19">
        <v>0</v>
      </c>
      <c r="O3363" s="19">
        <v>0</v>
      </c>
    </row>
    <row r="3364" spans="1:15">
      <c r="A3364" s="240" t="s">
        <v>72</v>
      </c>
      <c r="B3364" s="47" t="s">
        <v>55</v>
      </c>
      <c r="C3364" s="12">
        <v>0.205740705066461</v>
      </c>
      <c r="D3364" s="241">
        <v>0.195876288659794</v>
      </c>
      <c r="E3364" s="241">
        <v>0.214007782101167</v>
      </c>
      <c r="F3364" s="241">
        <v>0.201149425287356</v>
      </c>
      <c r="G3364" s="241">
        <v>0.211640211640212</v>
      </c>
      <c r="H3364" s="241">
        <v>0.202614379084967</v>
      </c>
      <c r="I3364" s="241">
        <v>0.225563909774436</v>
      </c>
      <c r="J3364" s="241">
        <v>0.213004484304933</v>
      </c>
      <c r="K3364" s="241">
        <v>0.2</v>
      </c>
      <c r="L3364" s="241">
        <v>0.211065573770492</v>
      </c>
      <c r="M3364" s="241">
        <v>0.20990099009901</v>
      </c>
      <c r="N3364" s="241">
        <v>0.206325301204819</v>
      </c>
      <c r="O3364" s="252">
        <v>0.193029490616622</v>
      </c>
    </row>
    <row r="3365" spans="1:15">
      <c r="A3365" s="242" t="s">
        <v>72</v>
      </c>
      <c r="B3365" s="43" t="s">
        <v>57</v>
      </c>
      <c r="C3365" s="15">
        <v>5191</v>
      </c>
      <c r="D3365" s="243">
        <v>582</v>
      </c>
      <c r="E3365" s="243">
        <v>257</v>
      </c>
      <c r="F3365" s="243">
        <v>174</v>
      </c>
      <c r="G3365" s="243">
        <v>189</v>
      </c>
      <c r="H3365" s="243">
        <v>306</v>
      </c>
      <c r="I3365" s="243">
        <v>399</v>
      </c>
      <c r="J3365" s="243">
        <v>446</v>
      </c>
      <c r="K3365" s="243">
        <v>435</v>
      </c>
      <c r="L3365" s="243">
        <v>488</v>
      </c>
      <c r="M3365" s="243">
        <v>505</v>
      </c>
      <c r="N3365" s="243">
        <v>664</v>
      </c>
      <c r="O3365" s="253">
        <v>746</v>
      </c>
    </row>
    <row r="3366" spans="1:15">
      <c r="A3366" s="240" t="s">
        <v>72</v>
      </c>
      <c r="B3366" s="47" t="s">
        <v>59</v>
      </c>
      <c r="C3366" s="15">
        <v>1068</v>
      </c>
      <c r="D3366" s="243">
        <v>114</v>
      </c>
      <c r="E3366" s="243">
        <v>55</v>
      </c>
      <c r="F3366" s="243">
        <v>35</v>
      </c>
      <c r="G3366" s="243">
        <v>40</v>
      </c>
      <c r="H3366" s="243">
        <v>62</v>
      </c>
      <c r="I3366" s="243">
        <v>90</v>
      </c>
      <c r="J3366" s="243">
        <v>95</v>
      </c>
      <c r="K3366" s="243">
        <v>87</v>
      </c>
      <c r="L3366" s="243">
        <v>103</v>
      </c>
      <c r="M3366" s="243">
        <v>106</v>
      </c>
      <c r="N3366" s="243">
        <v>137</v>
      </c>
      <c r="O3366" s="253">
        <v>144</v>
      </c>
    </row>
    <row r="3367" spans="1:15">
      <c r="A3367" s="242" t="s">
        <v>72</v>
      </c>
      <c r="B3367" s="43" t="s">
        <v>4</v>
      </c>
      <c r="C3367" s="15">
        <v>100</v>
      </c>
      <c r="D3367" s="244">
        <v>9</v>
      </c>
      <c r="E3367" s="244">
        <v>5</v>
      </c>
      <c r="F3367" s="244">
        <v>7</v>
      </c>
      <c r="G3367" s="244">
        <v>6</v>
      </c>
      <c r="H3367" s="244">
        <v>7</v>
      </c>
      <c r="I3367" s="244">
        <v>8</v>
      </c>
      <c r="J3367" s="244">
        <v>6</v>
      </c>
      <c r="K3367" s="244">
        <v>14</v>
      </c>
      <c r="L3367" s="244">
        <v>3</v>
      </c>
      <c r="M3367" s="244">
        <v>8</v>
      </c>
      <c r="N3367" s="244">
        <v>11</v>
      </c>
      <c r="O3367" s="254">
        <v>16</v>
      </c>
    </row>
    <row r="3368" spans="1:15">
      <c r="A3368" s="240" t="s">
        <v>72</v>
      </c>
      <c r="B3368" s="47" t="s">
        <v>5</v>
      </c>
      <c r="C3368" s="12">
        <v>0.0936329588014981</v>
      </c>
      <c r="D3368" s="241">
        <v>0.0789473684210526</v>
      </c>
      <c r="E3368" s="241">
        <v>0.0909090909090909</v>
      </c>
      <c r="F3368" s="241">
        <v>0.2</v>
      </c>
      <c r="G3368" s="241">
        <v>0.15</v>
      </c>
      <c r="H3368" s="241">
        <v>0.112903225806452</v>
      </c>
      <c r="I3368" s="241">
        <v>0.0888888888888889</v>
      </c>
      <c r="J3368" s="241">
        <v>0.0631578947368421</v>
      </c>
      <c r="K3368" s="241">
        <v>0.160919540229885</v>
      </c>
      <c r="L3368" s="241">
        <v>0.029126213592233</v>
      </c>
      <c r="M3368" s="241">
        <v>0.0754716981132075</v>
      </c>
      <c r="N3368" s="241">
        <v>0.0802919708029197</v>
      </c>
      <c r="O3368" s="252">
        <v>0.111111111111111</v>
      </c>
    </row>
    <row r="3369" spans="1:15">
      <c r="A3369" s="242" t="s">
        <v>72</v>
      </c>
      <c r="B3369" s="43" t="s">
        <v>6</v>
      </c>
      <c r="C3369" s="15">
        <v>30</v>
      </c>
      <c r="D3369" s="244">
        <v>3</v>
      </c>
      <c r="E3369" s="244">
        <v>3</v>
      </c>
      <c r="F3369" s="244">
        <v>1</v>
      </c>
      <c r="G3369" s="244">
        <v>3</v>
      </c>
      <c r="H3369" s="244">
        <v>3</v>
      </c>
      <c r="I3369" s="244">
        <v>3</v>
      </c>
      <c r="J3369" s="244">
        <v>1</v>
      </c>
      <c r="K3369" s="244">
        <v>3</v>
      </c>
      <c r="L3369" s="244">
        <v>2</v>
      </c>
      <c r="M3369" s="244">
        <v>3</v>
      </c>
      <c r="N3369" s="244">
        <v>2</v>
      </c>
      <c r="O3369" s="254">
        <v>3</v>
      </c>
    </row>
    <row r="3370" ht="14.25" spans="1:15">
      <c r="A3370" s="245" t="s">
        <v>72</v>
      </c>
      <c r="B3370" s="52" t="s">
        <v>64</v>
      </c>
      <c r="C3370" s="19">
        <v>0.3</v>
      </c>
      <c r="D3370" s="19">
        <v>0.333333333333333</v>
      </c>
      <c r="E3370" s="19">
        <v>0.6</v>
      </c>
      <c r="F3370" s="19">
        <v>0.142857142857143</v>
      </c>
      <c r="G3370" s="19">
        <v>0.5</v>
      </c>
      <c r="H3370" s="19">
        <v>0.428571428571429</v>
      </c>
      <c r="I3370" s="19">
        <v>0.375</v>
      </c>
      <c r="J3370" s="19">
        <v>0.166666666666667</v>
      </c>
      <c r="K3370" s="19">
        <v>0.214285714285714</v>
      </c>
      <c r="L3370" s="19">
        <v>0.666666666666667</v>
      </c>
      <c r="M3370" s="19">
        <v>0.375</v>
      </c>
      <c r="N3370" s="19">
        <v>0.181818181818182</v>
      </c>
      <c r="O3370" s="19">
        <v>0.1875</v>
      </c>
    </row>
    <row r="3371" ht="14.25" spans="1:15">
      <c r="A3371" s="237">
        <v>45071</v>
      </c>
      <c r="B3371" s="237"/>
      <c r="C3371" s="237"/>
      <c r="D3371" s="237"/>
      <c r="E3371" s="237"/>
      <c r="F3371" s="237"/>
      <c r="G3371" s="237"/>
      <c r="H3371" s="237"/>
      <c r="I3371" s="237"/>
      <c r="J3371" s="237"/>
      <c r="K3371" s="237"/>
      <c r="L3371" s="237"/>
      <c r="M3371" s="237"/>
      <c r="N3371" s="237"/>
      <c r="O3371" s="237"/>
    </row>
    <row r="3372" spans="1:15">
      <c r="A3372" s="56" t="s">
        <v>1</v>
      </c>
      <c r="B3372" s="238"/>
      <c r="C3372" s="8" t="s">
        <v>42</v>
      </c>
      <c r="D3372" s="239" t="s">
        <v>43</v>
      </c>
      <c r="E3372" s="239" t="s">
        <v>44</v>
      </c>
      <c r="F3372" s="239" t="s">
        <v>45</v>
      </c>
      <c r="G3372" s="239" t="s">
        <v>46</v>
      </c>
      <c r="H3372" s="239" t="s">
        <v>47</v>
      </c>
      <c r="I3372" s="239" t="s">
        <v>48</v>
      </c>
      <c r="J3372" s="239" t="s">
        <v>49</v>
      </c>
      <c r="K3372" s="239" t="s">
        <v>50</v>
      </c>
      <c r="L3372" s="239" t="s">
        <v>51</v>
      </c>
      <c r="M3372" s="239" t="s">
        <v>52</v>
      </c>
      <c r="N3372" s="239" t="s">
        <v>53</v>
      </c>
      <c r="O3372" s="251" t="s">
        <v>54</v>
      </c>
    </row>
    <row r="3373" spans="1:15">
      <c r="A3373" s="240" t="s">
        <v>22</v>
      </c>
      <c r="B3373" s="47" t="s">
        <v>55</v>
      </c>
      <c r="C3373" s="12">
        <v>0.443585337915235</v>
      </c>
      <c r="D3373" s="241">
        <v>0.501577287066246</v>
      </c>
      <c r="E3373" s="241">
        <v>0.450236966824645</v>
      </c>
      <c r="F3373" s="241">
        <v>0.508064516129032</v>
      </c>
      <c r="G3373" s="241">
        <v>0.436046511627907</v>
      </c>
      <c r="H3373" s="241">
        <v>0.497942386831276</v>
      </c>
      <c r="I3373" s="241">
        <v>0.410596026490066</v>
      </c>
      <c r="J3373" s="241">
        <v>0.43558282208589</v>
      </c>
      <c r="K3373" s="241">
        <v>0.463414634146341</v>
      </c>
      <c r="L3373" s="241">
        <v>0.453125</v>
      </c>
      <c r="M3373" s="241">
        <v>0.438095238095238</v>
      </c>
      <c r="N3373" s="241">
        <v>0.413157894736842</v>
      </c>
      <c r="O3373" s="252">
        <v>0.392070484581498</v>
      </c>
    </row>
    <row r="3374" spans="1:15">
      <c r="A3374" s="242" t="s">
        <v>22</v>
      </c>
      <c r="B3374" s="43" t="s">
        <v>57</v>
      </c>
      <c r="C3374" s="15">
        <v>3492</v>
      </c>
      <c r="D3374" s="243">
        <v>317</v>
      </c>
      <c r="E3374" s="243">
        <v>211</v>
      </c>
      <c r="F3374" s="243">
        <v>124</v>
      </c>
      <c r="G3374" s="243">
        <v>172</v>
      </c>
      <c r="H3374" s="243">
        <v>243</v>
      </c>
      <c r="I3374" s="243">
        <v>302</v>
      </c>
      <c r="J3374" s="243">
        <v>326</v>
      </c>
      <c r="K3374" s="243">
        <v>328</v>
      </c>
      <c r="L3374" s="243">
        <v>320</v>
      </c>
      <c r="M3374" s="243">
        <v>315</v>
      </c>
      <c r="N3374" s="243">
        <v>380</v>
      </c>
      <c r="O3374" s="253">
        <v>454</v>
      </c>
    </row>
    <row r="3375" spans="1:15">
      <c r="A3375" s="240" t="s">
        <v>22</v>
      </c>
      <c r="B3375" s="47" t="s">
        <v>59</v>
      </c>
      <c r="C3375" s="15">
        <v>1549</v>
      </c>
      <c r="D3375" s="243">
        <v>159</v>
      </c>
      <c r="E3375" s="243">
        <v>95</v>
      </c>
      <c r="F3375" s="243">
        <v>63</v>
      </c>
      <c r="G3375" s="243">
        <v>75</v>
      </c>
      <c r="H3375" s="243">
        <v>121</v>
      </c>
      <c r="I3375" s="243">
        <v>124</v>
      </c>
      <c r="J3375" s="243">
        <v>142</v>
      </c>
      <c r="K3375" s="243">
        <v>152</v>
      </c>
      <c r="L3375" s="243">
        <v>145</v>
      </c>
      <c r="M3375" s="243">
        <v>138</v>
      </c>
      <c r="N3375" s="243">
        <v>157</v>
      </c>
      <c r="O3375" s="253">
        <v>178</v>
      </c>
    </row>
    <row r="3376" spans="1:15">
      <c r="A3376" s="242" t="s">
        <v>22</v>
      </c>
      <c r="B3376" s="43" t="s">
        <v>4</v>
      </c>
      <c r="C3376" s="15">
        <v>149</v>
      </c>
      <c r="D3376" s="244">
        <v>15</v>
      </c>
      <c r="E3376" s="244">
        <v>12</v>
      </c>
      <c r="F3376" s="244">
        <v>4</v>
      </c>
      <c r="G3376" s="244">
        <v>8</v>
      </c>
      <c r="H3376" s="244">
        <v>9</v>
      </c>
      <c r="I3376" s="244">
        <v>13</v>
      </c>
      <c r="J3376" s="244">
        <v>17</v>
      </c>
      <c r="K3376" s="244">
        <v>10</v>
      </c>
      <c r="L3376" s="244">
        <v>15</v>
      </c>
      <c r="M3376" s="244">
        <v>11</v>
      </c>
      <c r="N3376" s="244">
        <v>17</v>
      </c>
      <c r="O3376" s="254">
        <v>18</v>
      </c>
    </row>
    <row r="3377" spans="1:15">
      <c r="A3377" s="240" t="s">
        <v>22</v>
      </c>
      <c r="B3377" s="47" t="s">
        <v>5</v>
      </c>
      <c r="C3377" s="12">
        <v>0.0961910910264687</v>
      </c>
      <c r="D3377" s="241">
        <v>0.0943396226415094</v>
      </c>
      <c r="E3377" s="241">
        <v>0.126315789473684</v>
      </c>
      <c r="F3377" s="241">
        <v>0.0634920634920635</v>
      </c>
      <c r="G3377" s="241">
        <v>0.106666666666667</v>
      </c>
      <c r="H3377" s="241">
        <v>0.0743801652892562</v>
      </c>
      <c r="I3377" s="241">
        <v>0.104838709677419</v>
      </c>
      <c r="J3377" s="241">
        <v>0.119718309859155</v>
      </c>
      <c r="K3377" s="241">
        <v>0.0657894736842105</v>
      </c>
      <c r="L3377" s="241">
        <v>0.103448275862069</v>
      </c>
      <c r="M3377" s="241">
        <v>0.0797101449275362</v>
      </c>
      <c r="N3377" s="241">
        <v>0.10828025477707</v>
      </c>
      <c r="O3377" s="252">
        <v>0.101123595505618</v>
      </c>
    </row>
    <row r="3378" spans="1:15">
      <c r="A3378" s="242" t="s">
        <v>22</v>
      </c>
      <c r="B3378" s="43" t="s">
        <v>6</v>
      </c>
      <c r="C3378" s="15">
        <v>55</v>
      </c>
      <c r="D3378" s="244">
        <v>6</v>
      </c>
      <c r="E3378" s="244">
        <v>8</v>
      </c>
      <c r="F3378" s="244">
        <v>0</v>
      </c>
      <c r="G3378" s="244">
        <v>3</v>
      </c>
      <c r="H3378" s="244">
        <v>1</v>
      </c>
      <c r="I3378" s="244">
        <v>6</v>
      </c>
      <c r="J3378" s="244">
        <v>6</v>
      </c>
      <c r="K3378" s="244">
        <v>3</v>
      </c>
      <c r="L3378" s="244">
        <v>6</v>
      </c>
      <c r="M3378" s="244">
        <v>5</v>
      </c>
      <c r="N3378" s="244">
        <v>4</v>
      </c>
      <c r="O3378" s="254">
        <v>7</v>
      </c>
    </row>
    <row r="3379" ht="14.25" spans="1:15">
      <c r="A3379" s="245" t="s">
        <v>22</v>
      </c>
      <c r="B3379" s="52" t="s">
        <v>64</v>
      </c>
      <c r="C3379" s="19">
        <v>0.369127516778524</v>
      </c>
      <c r="D3379" s="246">
        <v>0.4</v>
      </c>
      <c r="E3379" s="246">
        <v>0.666666666666667</v>
      </c>
      <c r="F3379" s="246">
        <v>0</v>
      </c>
      <c r="G3379" s="246">
        <v>0.375</v>
      </c>
      <c r="H3379" s="246">
        <v>0.111111111111111</v>
      </c>
      <c r="I3379" s="246">
        <v>0.461538461538462</v>
      </c>
      <c r="J3379" s="246">
        <v>0.352941176470588</v>
      </c>
      <c r="K3379" s="246">
        <v>0.3</v>
      </c>
      <c r="L3379" s="246">
        <v>0.4</v>
      </c>
      <c r="M3379" s="246">
        <v>0.454545454545455</v>
      </c>
      <c r="N3379" s="246">
        <v>0.235294117647059</v>
      </c>
      <c r="O3379" s="255">
        <v>0.388888888888889</v>
      </c>
    </row>
    <row r="3380" spans="1:15">
      <c r="A3380" s="247" t="s">
        <v>66</v>
      </c>
      <c r="B3380" s="248" t="s">
        <v>55</v>
      </c>
      <c r="C3380" s="12">
        <v>0.101117886178862</v>
      </c>
      <c r="D3380" s="249">
        <v>0.124423963133641</v>
      </c>
      <c r="E3380" s="249">
        <v>0.0469798657718121</v>
      </c>
      <c r="F3380" s="249">
        <v>0.0276497695852535</v>
      </c>
      <c r="G3380" s="249">
        <v>0.0879120879120879</v>
      </c>
      <c r="H3380" s="249">
        <v>0.0666666666666667</v>
      </c>
      <c r="I3380" s="249">
        <v>0.0821917808219178</v>
      </c>
      <c r="J3380" s="249">
        <v>0.104895104895105</v>
      </c>
      <c r="K3380" s="249">
        <v>0.125925925925926</v>
      </c>
      <c r="L3380" s="249">
        <v>0.155963302752294</v>
      </c>
      <c r="M3380" s="249">
        <v>0.223300970873786</v>
      </c>
      <c r="N3380" s="249">
        <v>0.151079136690647</v>
      </c>
      <c r="O3380" s="256">
        <v>0.162790697674419</v>
      </c>
    </row>
    <row r="3381" spans="1:15">
      <c r="A3381" s="242" t="s">
        <v>66</v>
      </c>
      <c r="B3381" s="43" t="s">
        <v>57</v>
      </c>
      <c r="C3381" s="15">
        <v>1968</v>
      </c>
      <c r="D3381" s="243">
        <v>217</v>
      </c>
      <c r="E3381" s="243">
        <v>298</v>
      </c>
      <c r="F3381" s="243">
        <v>217</v>
      </c>
      <c r="G3381" s="243">
        <v>182</v>
      </c>
      <c r="H3381" s="243">
        <v>150</v>
      </c>
      <c r="I3381" s="243">
        <v>146</v>
      </c>
      <c r="J3381" s="243">
        <v>143</v>
      </c>
      <c r="K3381" s="243">
        <v>135</v>
      </c>
      <c r="L3381" s="243">
        <v>109</v>
      </c>
      <c r="M3381" s="243">
        <v>103</v>
      </c>
      <c r="N3381" s="243">
        <v>139</v>
      </c>
      <c r="O3381" s="253">
        <v>129</v>
      </c>
    </row>
    <row r="3382" spans="1:15">
      <c r="A3382" s="240" t="s">
        <v>66</v>
      </c>
      <c r="B3382" s="47" t="s">
        <v>59</v>
      </c>
      <c r="C3382" s="15">
        <v>199</v>
      </c>
      <c r="D3382" s="243">
        <v>27</v>
      </c>
      <c r="E3382" s="243">
        <v>14</v>
      </c>
      <c r="F3382" s="243">
        <v>6</v>
      </c>
      <c r="G3382" s="243">
        <v>16</v>
      </c>
      <c r="H3382" s="243">
        <v>10</v>
      </c>
      <c r="I3382" s="243">
        <v>12</v>
      </c>
      <c r="J3382" s="243">
        <v>15</v>
      </c>
      <c r="K3382" s="243">
        <v>17</v>
      </c>
      <c r="L3382" s="243">
        <v>17</v>
      </c>
      <c r="M3382" s="243">
        <v>23</v>
      </c>
      <c r="N3382" s="243">
        <v>21</v>
      </c>
      <c r="O3382" s="253">
        <v>21</v>
      </c>
    </row>
    <row r="3383" spans="1:15">
      <c r="A3383" s="242" t="s">
        <v>66</v>
      </c>
      <c r="B3383" s="43" t="s">
        <v>4</v>
      </c>
      <c r="C3383" s="15">
        <v>13</v>
      </c>
      <c r="D3383" s="244">
        <v>1</v>
      </c>
      <c r="E3383" s="244">
        <v>2</v>
      </c>
      <c r="F3383" s="244">
        <v>0</v>
      </c>
      <c r="G3383" s="244">
        <v>0</v>
      </c>
      <c r="H3383" s="244">
        <v>0</v>
      </c>
      <c r="I3383" s="244">
        <v>0</v>
      </c>
      <c r="J3383" s="244">
        <v>1</v>
      </c>
      <c r="K3383" s="244">
        <v>2</v>
      </c>
      <c r="L3383" s="244">
        <v>0</v>
      </c>
      <c r="M3383" s="244">
        <v>5</v>
      </c>
      <c r="N3383" s="244">
        <v>1</v>
      </c>
      <c r="O3383" s="254">
        <v>1</v>
      </c>
    </row>
    <row r="3384" spans="1:15">
      <c r="A3384" s="240" t="s">
        <v>66</v>
      </c>
      <c r="B3384" s="47" t="s">
        <v>5</v>
      </c>
      <c r="C3384" s="12">
        <v>0.0653266331658292</v>
      </c>
      <c r="D3384" s="241">
        <v>0.037037037037037</v>
      </c>
      <c r="E3384" s="241">
        <v>0.142857142857143</v>
      </c>
      <c r="F3384" s="241">
        <v>0</v>
      </c>
      <c r="G3384" s="241">
        <v>0</v>
      </c>
      <c r="H3384" s="241">
        <v>0</v>
      </c>
      <c r="I3384" s="241">
        <v>0</v>
      </c>
      <c r="J3384" s="241">
        <v>0.0666666666666667</v>
      </c>
      <c r="K3384" s="241">
        <v>0.117647058823529</v>
      </c>
      <c r="L3384" s="241">
        <v>0</v>
      </c>
      <c r="M3384" s="241">
        <v>0.217391304347826</v>
      </c>
      <c r="N3384" s="241">
        <v>0.0476190476190476</v>
      </c>
      <c r="O3384" s="252">
        <v>0.0476190476190476</v>
      </c>
    </row>
    <row r="3385" spans="1:15">
      <c r="A3385" s="242" t="s">
        <v>66</v>
      </c>
      <c r="B3385" s="43" t="s">
        <v>6</v>
      </c>
      <c r="C3385" s="15">
        <v>6</v>
      </c>
      <c r="D3385" s="244">
        <v>1</v>
      </c>
      <c r="E3385" s="244">
        <v>1</v>
      </c>
      <c r="F3385" s="244">
        <v>0</v>
      </c>
      <c r="G3385" s="244">
        <v>1</v>
      </c>
      <c r="H3385" s="244">
        <v>1</v>
      </c>
      <c r="I3385" s="244">
        <v>0</v>
      </c>
      <c r="J3385" s="244">
        <v>1</v>
      </c>
      <c r="K3385" s="244">
        <v>1</v>
      </c>
      <c r="L3385" s="244">
        <v>0</v>
      </c>
      <c r="M3385" s="244">
        <v>0</v>
      </c>
      <c r="N3385" s="244">
        <v>0</v>
      </c>
      <c r="O3385" s="254">
        <v>0</v>
      </c>
    </row>
    <row r="3386" ht="14.25" spans="1:15">
      <c r="A3386" s="245" t="s">
        <v>66</v>
      </c>
      <c r="B3386" s="52" t="s">
        <v>64</v>
      </c>
      <c r="C3386" s="19">
        <v>0.461538461538462</v>
      </c>
      <c r="D3386" s="246">
        <v>1</v>
      </c>
      <c r="E3386" s="246">
        <v>0.5</v>
      </c>
      <c r="F3386" s="246">
        <v>0</v>
      </c>
      <c r="G3386" s="246">
        <v>0</v>
      </c>
      <c r="H3386" s="246">
        <v>0</v>
      </c>
      <c r="I3386" s="246">
        <v>0</v>
      </c>
      <c r="J3386" s="246">
        <v>1</v>
      </c>
      <c r="K3386" s="246">
        <v>0.5</v>
      </c>
      <c r="L3386" s="246">
        <v>0</v>
      </c>
      <c r="M3386" s="246">
        <v>0</v>
      </c>
      <c r="N3386" s="246">
        <v>0</v>
      </c>
      <c r="O3386" s="255">
        <v>0</v>
      </c>
    </row>
    <row r="3387" spans="1:15">
      <c r="A3387" s="240" t="s">
        <v>67</v>
      </c>
      <c r="B3387" s="47" t="s">
        <v>55</v>
      </c>
      <c r="C3387" s="12">
        <v>0.577825159914712</v>
      </c>
      <c r="D3387" s="241">
        <v>0.5</v>
      </c>
      <c r="E3387" s="241">
        <v>0.7</v>
      </c>
      <c r="F3387" s="241">
        <v>0.555555555555556</v>
      </c>
      <c r="G3387" s="241">
        <v>1.35714285714286</v>
      </c>
      <c r="H3387" s="241">
        <v>0.571428571428571</v>
      </c>
      <c r="I3387" s="241">
        <v>0.511627906976744</v>
      </c>
      <c r="J3387" s="241">
        <v>0.84375</v>
      </c>
      <c r="K3387" s="241">
        <v>0.431034482758621</v>
      </c>
      <c r="L3387" s="241">
        <v>0.4</v>
      </c>
      <c r="M3387" s="241">
        <v>0.404255319148936</v>
      </c>
      <c r="N3387" s="241">
        <v>0.951219512195122</v>
      </c>
      <c r="O3387" s="252">
        <v>0.5</v>
      </c>
    </row>
    <row r="3388" spans="1:15">
      <c r="A3388" s="242" t="s">
        <v>67</v>
      </c>
      <c r="B3388" s="43" t="s">
        <v>57</v>
      </c>
      <c r="C3388" s="15">
        <v>469</v>
      </c>
      <c r="D3388" s="243">
        <v>50</v>
      </c>
      <c r="E3388" s="243">
        <v>20</v>
      </c>
      <c r="F3388" s="243">
        <v>18</v>
      </c>
      <c r="G3388" s="243">
        <v>14</v>
      </c>
      <c r="H3388" s="243">
        <v>35</v>
      </c>
      <c r="I3388" s="243">
        <v>43</v>
      </c>
      <c r="J3388" s="243">
        <v>32</v>
      </c>
      <c r="K3388" s="243">
        <v>58</v>
      </c>
      <c r="L3388" s="243">
        <v>45</v>
      </c>
      <c r="M3388" s="243">
        <v>47</v>
      </c>
      <c r="N3388" s="243">
        <v>41</v>
      </c>
      <c r="O3388" s="253">
        <v>66</v>
      </c>
    </row>
    <row r="3389" spans="1:15">
      <c r="A3389" s="240" t="s">
        <v>67</v>
      </c>
      <c r="B3389" s="47" t="s">
        <v>59</v>
      </c>
      <c r="C3389" s="15">
        <v>271</v>
      </c>
      <c r="D3389" s="243">
        <v>25</v>
      </c>
      <c r="E3389" s="243">
        <v>14</v>
      </c>
      <c r="F3389" s="243">
        <v>10</v>
      </c>
      <c r="G3389" s="243">
        <v>19</v>
      </c>
      <c r="H3389" s="243">
        <v>20</v>
      </c>
      <c r="I3389" s="243">
        <v>22</v>
      </c>
      <c r="J3389" s="243">
        <v>27</v>
      </c>
      <c r="K3389" s="243">
        <v>25</v>
      </c>
      <c r="L3389" s="243">
        <v>18</v>
      </c>
      <c r="M3389" s="243">
        <v>19</v>
      </c>
      <c r="N3389" s="243">
        <v>39</v>
      </c>
      <c r="O3389" s="253">
        <v>33</v>
      </c>
    </row>
    <row r="3390" spans="1:15">
      <c r="A3390" s="242" t="s">
        <v>67</v>
      </c>
      <c r="B3390" s="43" t="s">
        <v>4</v>
      </c>
      <c r="C3390" s="15">
        <v>11</v>
      </c>
      <c r="D3390" s="244">
        <v>1</v>
      </c>
      <c r="E3390" s="244">
        <v>1</v>
      </c>
      <c r="F3390" s="244">
        <v>0</v>
      </c>
      <c r="G3390" s="244">
        <v>0</v>
      </c>
      <c r="H3390" s="244">
        <v>0</v>
      </c>
      <c r="I3390" s="244">
        <v>1</v>
      </c>
      <c r="J3390" s="244">
        <v>2</v>
      </c>
      <c r="K3390" s="244">
        <v>2</v>
      </c>
      <c r="L3390" s="244">
        <v>0</v>
      </c>
      <c r="M3390" s="244">
        <v>0</v>
      </c>
      <c r="N3390" s="244">
        <v>3</v>
      </c>
      <c r="O3390" s="254">
        <v>1</v>
      </c>
    </row>
    <row r="3391" spans="1:15">
      <c r="A3391" s="240" t="s">
        <v>67</v>
      </c>
      <c r="B3391" s="47" t="s">
        <v>5</v>
      </c>
      <c r="C3391" s="12">
        <v>0.040590405904059</v>
      </c>
      <c r="D3391" s="241">
        <v>0.04</v>
      </c>
      <c r="E3391" s="241">
        <v>0.0714285714285714</v>
      </c>
      <c r="F3391" s="241">
        <v>0</v>
      </c>
      <c r="G3391" s="241">
        <v>0</v>
      </c>
      <c r="H3391" s="241">
        <v>0</v>
      </c>
      <c r="I3391" s="241">
        <v>0.0454545454545455</v>
      </c>
      <c r="J3391" s="241">
        <v>0.0740740740740741</v>
      </c>
      <c r="K3391" s="241">
        <v>0.08</v>
      </c>
      <c r="L3391" s="241">
        <v>0</v>
      </c>
      <c r="M3391" s="241">
        <v>0</v>
      </c>
      <c r="N3391" s="241">
        <v>0.0769230769230769</v>
      </c>
      <c r="O3391" s="252">
        <v>0.0303030303030303</v>
      </c>
    </row>
    <row r="3392" spans="1:15">
      <c r="A3392" s="242" t="s">
        <v>67</v>
      </c>
      <c r="B3392" s="43" t="s">
        <v>6</v>
      </c>
      <c r="C3392" s="15">
        <v>5</v>
      </c>
      <c r="D3392" s="244">
        <v>0</v>
      </c>
      <c r="E3392" s="244">
        <v>1</v>
      </c>
      <c r="F3392" s="244">
        <v>0</v>
      </c>
      <c r="G3392" s="244">
        <v>0</v>
      </c>
      <c r="H3392" s="244">
        <v>1</v>
      </c>
      <c r="I3392" s="244">
        <v>0</v>
      </c>
      <c r="J3392" s="244">
        <v>0</v>
      </c>
      <c r="K3392" s="244">
        <v>1</v>
      </c>
      <c r="L3392" s="244">
        <v>0</v>
      </c>
      <c r="M3392" s="244">
        <v>1</v>
      </c>
      <c r="N3392" s="244">
        <v>0</v>
      </c>
      <c r="O3392" s="254">
        <v>1</v>
      </c>
    </row>
    <row r="3393" ht="14.25" spans="1:15">
      <c r="A3393" s="245" t="s">
        <v>67</v>
      </c>
      <c r="B3393" s="52" t="s">
        <v>64</v>
      </c>
      <c r="C3393" s="19">
        <v>0.454545454545455</v>
      </c>
      <c r="D3393" s="246">
        <v>0</v>
      </c>
      <c r="E3393" s="246">
        <v>1</v>
      </c>
      <c r="F3393" s="246">
        <v>0</v>
      </c>
      <c r="G3393" s="246">
        <v>0</v>
      </c>
      <c r="H3393" s="246">
        <v>0</v>
      </c>
      <c r="I3393" s="246">
        <v>0</v>
      </c>
      <c r="J3393" s="246">
        <v>0</v>
      </c>
      <c r="K3393" s="246">
        <v>0.5</v>
      </c>
      <c r="L3393" s="246">
        <v>0</v>
      </c>
      <c r="M3393" s="246">
        <v>0</v>
      </c>
      <c r="N3393" s="246">
        <v>0</v>
      </c>
      <c r="O3393" s="255">
        <v>1</v>
      </c>
    </row>
    <row r="3394" spans="1:15">
      <c r="A3394" s="240" t="s">
        <v>68</v>
      </c>
      <c r="B3394" s="47" t="s">
        <v>55</v>
      </c>
      <c r="C3394" s="12">
        <v>0.224049331963001</v>
      </c>
      <c r="D3394" s="241">
        <v>0.217543859649123</v>
      </c>
      <c r="E3394" s="241">
        <v>0.264705882352941</v>
      </c>
      <c r="F3394" s="241">
        <v>0.318181818181818</v>
      </c>
      <c r="G3394" s="241">
        <v>0.256637168141593</v>
      </c>
      <c r="H3394" s="241">
        <v>0.271084337349398</v>
      </c>
      <c r="I3394" s="241">
        <v>0.237885462555066</v>
      </c>
      <c r="J3394" s="241">
        <v>0.167647058823529</v>
      </c>
      <c r="K3394" s="241">
        <v>0.240625</v>
      </c>
      <c r="L3394" s="241">
        <v>0.221343873517787</v>
      </c>
      <c r="M3394" s="241">
        <v>0.232727272727273</v>
      </c>
      <c r="N3394" s="241">
        <v>0.226256983240223</v>
      </c>
      <c r="O3394" s="252">
        <v>0.181564245810056</v>
      </c>
    </row>
    <row r="3395" spans="1:15">
      <c r="A3395" s="242" t="s">
        <v>68</v>
      </c>
      <c r="B3395" s="43" t="s">
        <v>57</v>
      </c>
      <c r="C3395" s="15">
        <v>2919</v>
      </c>
      <c r="D3395" s="243">
        <v>285</v>
      </c>
      <c r="E3395" s="243">
        <v>136</v>
      </c>
      <c r="F3395" s="243">
        <v>88</v>
      </c>
      <c r="G3395" s="243">
        <v>113</v>
      </c>
      <c r="H3395" s="243">
        <v>166</v>
      </c>
      <c r="I3395" s="243">
        <v>227</v>
      </c>
      <c r="J3395" s="243">
        <v>340</v>
      </c>
      <c r="K3395" s="243">
        <v>320</v>
      </c>
      <c r="L3395" s="243">
        <v>253</v>
      </c>
      <c r="M3395" s="243">
        <v>275</v>
      </c>
      <c r="N3395" s="243">
        <v>358</v>
      </c>
      <c r="O3395" s="253">
        <v>358</v>
      </c>
    </row>
    <row r="3396" spans="1:15">
      <c r="A3396" s="240" t="s">
        <v>68</v>
      </c>
      <c r="B3396" s="47" t="s">
        <v>59</v>
      </c>
      <c r="C3396" s="15">
        <v>654</v>
      </c>
      <c r="D3396" s="243">
        <v>62</v>
      </c>
      <c r="E3396" s="243">
        <v>36</v>
      </c>
      <c r="F3396" s="243">
        <v>28</v>
      </c>
      <c r="G3396" s="243">
        <v>29</v>
      </c>
      <c r="H3396" s="243">
        <v>45</v>
      </c>
      <c r="I3396" s="243">
        <v>54</v>
      </c>
      <c r="J3396" s="243">
        <v>57</v>
      </c>
      <c r="K3396" s="243">
        <v>77</v>
      </c>
      <c r="L3396" s="243">
        <v>56</v>
      </c>
      <c r="M3396" s="243">
        <v>64</v>
      </c>
      <c r="N3396" s="243">
        <v>81</v>
      </c>
      <c r="O3396" s="253">
        <v>65</v>
      </c>
    </row>
    <row r="3397" spans="1:15">
      <c r="A3397" s="242" t="s">
        <v>68</v>
      </c>
      <c r="B3397" s="43" t="s">
        <v>4</v>
      </c>
      <c r="C3397" s="15">
        <v>29</v>
      </c>
      <c r="D3397" s="244">
        <v>3</v>
      </c>
      <c r="E3397" s="244">
        <v>2</v>
      </c>
      <c r="F3397" s="244">
        <v>2</v>
      </c>
      <c r="G3397" s="244">
        <v>2</v>
      </c>
      <c r="H3397" s="244">
        <v>2</v>
      </c>
      <c r="I3397" s="244">
        <v>1</v>
      </c>
      <c r="J3397" s="244">
        <v>1</v>
      </c>
      <c r="K3397" s="244">
        <v>2</v>
      </c>
      <c r="L3397" s="244">
        <v>4</v>
      </c>
      <c r="M3397" s="244">
        <v>1</v>
      </c>
      <c r="N3397" s="244">
        <v>3</v>
      </c>
      <c r="O3397" s="254">
        <v>6</v>
      </c>
    </row>
    <row r="3398" spans="1:15">
      <c r="A3398" s="240" t="s">
        <v>68</v>
      </c>
      <c r="B3398" s="47" t="s">
        <v>5</v>
      </c>
      <c r="C3398" s="12">
        <v>0.0443425076452599</v>
      </c>
      <c r="D3398" s="241">
        <v>0.0483870967741935</v>
      </c>
      <c r="E3398" s="241">
        <v>0.0555555555555556</v>
      </c>
      <c r="F3398" s="241">
        <v>0.0714285714285714</v>
      </c>
      <c r="G3398" s="241">
        <v>0.0689655172413793</v>
      </c>
      <c r="H3398" s="241">
        <v>0.0444444444444444</v>
      </c>
      <c r="I3398" s="241">
        <v>0.0185185185185185</v>
      </c>
      <c r="J3398" s="241">
        <v>0.0175438596491228</v>
      </c>
      <c r="K3398" s="241">
        <v>0.025974025974026</v>
      </c>
      <c r="L3398" s="241">
        <v>0.0714285714285714</v>
      </c>
      <c r="M3398" s="241">
        <v>0.015625</v>
      </c>
      <c r="N3398" s="241">
        <v>0.037037037037037</v>
      </c>
      <c r="O3398" s="252">
        <v>0.0923076923076923</v>
      </c>
    </row>
    <row r="3399" spans="1:15">
      <c r="A3399" s="242" t="s">
        <v>68</v>
      </c>
      <c r="B3399" s="43" t="s">
        <v>6</v>
      </c>
      <c r="C3399" s="15">
        <v>14</v>
      </c>
      <c r="D3399" s="244">
        <v>3</v>
      </c>
      <c r="E3399" s="244">
        <v>0</v>
      </c>
      <c r="F3399" s="244">
        <v>1</v>
      </c>
      <c r="G3399" s="244">
        <v>0</v>
      </c>
      <c r="H3399" s="244">
        <v>1</v>
      </c>
      <c r="I3399" s="244">
        <v>2</v>
      </c>
      <c r="J3399" s="244">
        <v>1</v>
      </c>
      <c r="K3399" s="244">
        <v>1</v>
      </c>
      <c r="L3399" s="244">
        <v>1</v>
      </c>
      <c r="M3399" s="244">
        <v>1</v>
      </c>
      <c r="N3399" s="244">
        <v>2</v>
      </c>
      <c r="O3399" s="254">
        <v>1</v>
      </c>
    </row>
    <row r="3400" ht="14.25" spans="1:15">
      <c r="A3400" s="245" t="s">
        <v>68</v>
      </c>
      <c r="B3400" s="52" t="s">
        <v>64</v>
      </c>
      <c r="C3400" s="19">
        <v>0.482758620689655</v>
      </c>
      <c r="D3400" s="246">
        <v>1</v>
      </c>
      <c r="E3400" s="246">
        <v>0</v>
      </c>
      <c r="F3400" s="246">
        <v>0.5</v>
      </c>
      <c r="G3400" s="246">
        <v>0</v>
      </c>
      <c r="H3400" s="246">
        <v>0.5</v>
      </c>
      <c r="I3400" s="246">
        <v>2</v>
      </c>
      <c r="J3400" s="246">
        <v>1</v>
      </c>
      <c r="K3400" s="246">
        <v>0.5</v>
      </c>
      <c r="L3400" s="246">
        <v>0.25</v>
      </c>
      <c r="M3400" s="246">
        <v>1</v>
      </c>
      <c r="N3400" s="246">
        <v>0.666666666666667</v>
      </c>
      <c r="O3400" s="255">
        <v>0.166666666666667</v>
      </c>
    </row>
    <row r="3401" spans="1:15">
      <c r="A3401" s="240" t="s">
        <v>69</v>
      </c>
      <c r="B3401" s="47" t="s">
        <v>55</v>
      </c>
      <c r="C3401" s="12">
        <v>0.955555555555556</v>
      </c>
      <c r="D3401" s="241">
        <v>1.31914893617021</v>
      </c>
      <c r="E3401" s="241">
        <v>1.38095238095238</v>
      </c>
      <c r="F3401" s="241">
        <v>1.25</v>
      </c>
      <c r="G3401" s="241">
        <v>0.941176470588235</v>
      </c>
      <c r="H3401" s="241">
        <v>0.888888888888889</v>
      </c>
      <c r="I3401" s="241">
        <v>0.883720930232558</v>
      </c>
      <c r="J3401" s="241">
        <v>0.770833333333333</v>
      </c>
      <c r="K3401" s="241">
        <v>0.75</v>
      </c>
      <c r="L3401" s="241">
        <v>0.80952380952381</v>
      </c>
      <c r="M3401" s="241">
        <v>0.938775510204082</v>
      </c>
      <c r="N3401" s="241">
        <v>1.06818181818182</v>
      </c>
      <c r="O3401" s="252">
        <v>0.914893617021277</v>
      </c>
    </row>
    <row r="3402" spans="1:15">
      <c r="A3402" s="242" t="s">
        <v>69</v>
      </c>
      <c r="B3402" s="43" t="s">
        <v>57</v>
      </c>
      <c r="C3402" s="15">
        <v>450</v>
      </c>
      <c r="D3402" s="243">
        <v>47</v>
      </c>
      <c r="E3402" s="243">
        <v>21</v>
      </c>
      <c r="F3402" s="243">
        <v>8</v>
      </c>
      <c r="G3402" s="243">
        <v>17</v>
      </c>
      <c r="H3402" s="243">
        <v>36</v>
      </c>
      <c r="I3402" s="243">
        <v>43</v>
      </c>
      <c r="J3402" s="243">
        <v>48</v>
      </c>
      <c r="K3402" s="243">
        <v>48</v>
      </c>
      <c r="L3402" s="243">
        <v>42</v>
      </c>
      <c r="M3402" s="243">
        <v>49</v>
      </c>
      <c r="N3402" s="243">
        <v>44</v>
      </c>
      <c r="O3402" s="253">
        <v>47</v>
      </c>
    </row>
    <row r="3403" spans="1:15">
      <c r="A3403" s="240" t="s">
        <v>69</v>
      </c>
      <c r="B3403" s="47" t="s">
        <v>59</v>
      </c>
      <c r="C3403" s="15">
        <v>430</v>
      </c>
      <c r="D3403" s="243">
        <v>62</v>
      </c>
      <c r="E3403" s="243">
        <v>29</v>
      </c>
      <c r="F3403" s="243">
        <v>10</v>
      </c>
      <c r="G3403" s="243">
        <v>16</v>
      </c>
      <c r="H3403" s="243">
        <v>32</v>
      </c>
      <c r="I3403" s="243">
        <v>38</v>
      </c>
      <c r="J3403" s="243">
        <v>37</v>
      </c>
      <c r="K3403" s="243">
        <v>36</v>
      </c>
      <c r="L3403" s="243">
        <v>34</v>
      </c>
      <c r="M3403" s="243">
        <v>46</v>
      </c>
      <c r="N3403" s="243">
        <v>47</v>
      </c>
      <c r="O3403" s="253">
        <v>43</v>
      </c>
    </row>
    <row r="3404" spans="1:15">
      <c r="A3404" s="242" t="s">
        <v>69</v>
      </c>
      <c r="B3404" s="43" t="s">
        <v>4</v>
      </c>
      <c r="C3404" s="15">
        <v>23</v>
      </c>
      <c r="D3404" s="244">
        <v>1</v>
      </c>
      <c r="E3404" s="244">
        <v>0</v>
      </c>
      <c r="F3404" s="244">
        <v>1</v>
      </c>
      <c r="G3404" s="244">
        <v>0</v>
      </c>
      <c r="H3404" s="244">
        <v>1</v>
      </c>
      <c r="I3404" s="244">
        <v>4</v>
      </c>
      <c r="J3404" s="244">
        <v>3</v>
      </c>
      <c r="K3404" s="244">
        <v>3</v>
      </c>
      <c r="L3404" s="244">
        <v>5</v>
      </c>
      <c r="M3404" s="244">
        <v>3</v>
      </c>
      <c r="N3404" s="244">
        <v>2</v>
      </c>
      <c r="O3404" s="254">
        <v>0</v>
      </c>
    </row>
    <row r="3405" spans="1:15">
      <c r="A3405" s="240" t="s">
        <v>69</v>
      </c>
      <c r="B3405" s="47" t="s">
        <v>5</v>
      </c>
      <c r="C3405" s="12">
        <v>0.0534883720930233</v>
      </c>
      <c r="D3405" s="241">
        <v>0.0161290322580645</v>
      </c>
      <c r="E3405" s="241">
        <v>0</v>
      </c>
      <c r="F3405" s="241">
        <v>0.1</v>
      </c>
      <c r="G3405" s="241">
        <v>0</v>
      </c>
      <c r="H3405" s="241">
        <v>0.03125</v>
      </c>
      <c r="I3405" s="241">
        <v>0.105263157894737</v>
      </c>
      <c r="J3405" s="241">
        <v>0.0810810810810811</v>
      </c>
      <c r="K3405" s="241">
        <v>0.0833333333333333</v>
      </c>
      <c r="L3405" s="241">
        <v>0.147058823529412</v>
      </c>
      <c r="M3405" s="241">
        <v>0.0652173913043478</v>
      </c>
      <c r="N3405" s="241">
        <v>0.0425531914893617</v>
      </c>
      <c r="O3405" s="252">
        <v>0</v>
      </c>
    </row>
    <row r="3406" spans="1:15">
      <c r="A3406" s="242" t="s">
        <v>69</v>
      </c>
      <c r="B3406" s="43" t="s">
        <v>6</v>
      </c>
      <c r="C3406" s="15">
        <v>6</v>
      </c>
      <c r="D3406" s="244">
        <v>0</v>
      </c>
      <c r="E3406" s="244">
        <v>0</v>
      </c>
      <c r="F3406" s="244">
        <v>0</v>
      </c>
      <c r="G3406" s="244">
        <v>0</v>
      </c>
      <c r="H3406" s="244">
        <v>0</v>
      </c>
      <c r="I3406" s="244">
        <v>1</v>
      </c>
      <c r="J3406" s="244">
        <v>1</v>
      </c>
      <c r="K3406" s="244">
        <v>0</v>
      </c>
      <c r="L3406" s="244">
        <v>2</v>
      </c>
      <c r="M3406" s="244">
        <v>1</v>
      </c>
      <c r="N3406" s="244">
        <v>1</v>
      </c>
      <c r="O3406" s="254">
        <v>0</v>
      </c>
    </row>
    <row r="3407" ht="14.25" spans="1:15">
      <c r="A3407" s="245" t="s">
        <v>69</v>
      </c>
      <c r="B3407" s="52" t="s">
        <v>64</v>
      </c>
      <c r="C3407" s="19">
        <v>0.260869565217391</v>
      </c>
      <c r="D3407" s="246">
        <v>0</v>
      </c>
      <c r="E3407" s="246">
        <v>0</v>
      </c>
      <c r="F3407" s="246">
        <v>0</v>
      </c>
      <c r="G3407" s="246">
        <v>0</v>
      </c>
      <c r="H3407" s="246">
        <v>0</v>
      </c>
      <c r="I3407" s="246">
        <v>0.25</v>
      </c>
      <c r="J3407" s="246">
        <v>0.333333333333333</v>
      </c>
      <c r="K3407" s="246">
        <v>0</v>
      </c>
      <c r="L3407" s="246">
        <v>0.4</v>
      </c>
      <c r="M3407" s="246">
        <v>0.333333333333333</v>
      </c>
      <c r="N3407" s="246">
        <v>0.5</v>
      </c>
      <c r="O3407" s="255">
        <v>0</v>
      </c>
    </row>
    <row r="3408" spans="1:15">
      <c r="A3408" s="240" t="s">
        <v>70</v>
      </c>
      <c r="B3408" s="47" t="s">
        <v>55</v>
      </c>
      <c r="C3408" s="12">
        <v>0.355987941901891</v>
      </c>
      <c r="D3408" s="241">
        <v>0.403333333333333</v>
      </c>
      <c r="E3408" s="241">
        <v>0.414096916299559</v>
      </c>
      <c r="F3408" s="241">
        <v>0.428571428571429</v>
      </c>
      <c r="G3408" s="241">
        <v>0.458128078817734</v>
      </c>
      <c r="H3408" s="241">
        <v>0.373015873015873</v>
      </c>
      <c r="I3408" s="241">
        <v>0.424657534246575</v>
      </c>
      <c r="J3408" s="241">
        <v>0.343373493975904</v>
      </c>
      <c r="K3408" s="241">
        <v>0.301994301994302</v>
      </c>
      <c r="L3408" s="241">
        <v>0.321428571428571</v>
      </c>
      <c r="M3408" s="241">
        <v>0.35752688172043</v>
      </c>
      <c r="N3408" s="241">
        <v>0.310513447432763</v>
      </c>
      <c r="O3408" s="252">
        <v>0.280459770114943</v>
      </c>
    </row>
    <row r="3409" spans="1:15">
      <c r="A3409" s="242" t="s">
        <v>70</v>
      </c>
      <c r="B3409" s="43" t="s">
        <v>57</v>
      </c>
      <c r="C3409" s="15">
        <v>3649</v>
      </c>
      <c r="D3409" s="243">
        <v>300</v>
      </c>
      <c r="E3409" s="243">
        <v>227</v>
      </c>
      <c r="F3409" s="243">
        <v>168</v>
      </c>
      <c r="G3409" s="243">
        <v>203</v>
      </c>
      <c r="H3409" s="243">
        <v>252</v>
      </c>
      <c r="I3409" s="243">
        <v>292</v>
      </c>
      <c r="J3409" s="243">
        <v>332</v>
      </c>
      <c r="K3409" s="243">
        <v>351</v>
      </c>
      <c r="L3409" s="243">
        <v>308</v>
      </c>
      <c r="M3409" s="243">
        <v>372</v>
      </c>
      <c r="N3409" s="243">
        <v>409</v>
      </c>
      <c r="O3409" s="253">
        <v>435</v>
      </c>
    </row>
    <row r="3410" spans="1:15">
      <c r="A3410" s="240" t="s">
        <v>70</v>
      </c>
      <c r="B3410" s="47" t="s">
        <v>59</v>
      </c>
      <c r="C3410" s="15">
        <v>1299</v>
      </c>
      <c r="D3410" s="243">
        <v>121</v>
      </c>
      <c r="E3410" s="243">
        <v>94</v>
      </c>
      <c r="F3410" s="243">
        <v>72</v>
      </c>
      <c r="G3410" s="243">
        <v>93</v>
      </c>
      <c r="H3410" s="243">
        <v>94</v>
      </c>
      <c r="I3410" s="243">
        <v>124</v>
      </c>
      <c r="J3410" s="243">
        <v>114</v>
      </c>
      <c r="K3410" s="243">
        <v>106</v>
      </c>
      <c r="L3410" s="243">
        <v>99</v>
      </c>
      <c r="M3410" s="243">
        <v>133</v>
      </c>
      <c r="N3410" s="243">
        <v>127</v>
      </c>
      <c r="O3410" s="253">
        <v>122</v>
      </c>
    </row>
    <row r="3411" spans="1:15">
      <c r="A3411" s="242" t="s">
        <v>70</v>
      </c>
      <c r="B3411" s="43" t="s">
        <v>4</v>
      </c>
      <c r="C3411" s="15">
        <v>116</v>
      </c>
      <c r="D3411" s="244">
        <v>12</v>
      </c>
      <c r="E3411" s="244">
        <v>6</v>
      </c>
      <c r="F3411" s="244">
        <v>8</v>
      </c>
      <c r="G3411" s="244">
        <v>8</v>
      </c>
      <c r="H3411" s="244">
        <v>9</v>
      </c>
      <c r="I3411" s="244">
        <v>6</v>
      </c>
      <c r="J3411" s="244">
        <v>11</v>
      </c>
      <c r="K3411" s="244">
        <v>6</v>
      </c>
      <c r="L3411" s="244">
        <v>11</v>
      </c>
      <c r="M3411" s="244">
        <v>8</v>
      </c>
      <c r="N3411" s="244">
        <v>14</v>
      </c>
      <c r="O3411" s="254">
        <v>17</v>
      </c>
    </row>
    <row r="3412" spans="1:15">
      <c r="A3412" s="240" t="s">
        <v>70</v>
      </c>
      <c r="B3412" s="47" t="s">
        <v>5</v>
      </c>
      <c r="C3412" s="12">
        <v>0.0892994611239415</v>
      </c>
      <c r="D3412" s="241">
        <v>0.0991735537190083</v>
      </c>
      <c r="E3412" s="241">
        <v>0.0638297872340425</v>
      </c>
      <c r="F3412" s="241">
        <v>0.111111111111111</v>
      </c>
      <c r="G3412" s="241">
        <v>0.0860215053763441</v>
      </c>
      <c r="H3412" s="241">
        <v>0.0957446808510638</v>
      </c>
      <c r="I3412" s="241">
        <v>0.0483870967741935</v>
      </c>
      <c r="J3412" s="241">
        <v>0.0964912280701754</v>
      </c>
      <c r="K3412" s="241">
        <v>0.0566037735849057</v>
      </c>
      <c r="L3412" s="241">
        <v>0.111111111111111</v>
      </c>
      <c r="M3412" s="241">
        <v>0.0601503759398496</v>
      </c>
      <c r="N3412" s="241">
        <v>0.110236220472441</v>
      </c>
      <c r="O3412" s="252">
        <v>0.139344262295082</v>
      </c>
    </row>
    <row r="3413" spans="1:15">
      <c r="A3413" s="242" t="s">
        <v>70</v>
      </c>
      <c r="B3413" s="43" t="s">
        <v>6</v>
      </c>
      <c r="C3413" s="15">
        <v>33</v>
      </c>
      <c r="D3413" s="244">
        <v>5</v>
      </c>
      <c r="E3413" s="244">
        <v>1</v>
      </c>
      <c r="F3413" s="244">
        <v>1</v>
      </c>
      <c r="G3413" s="244">
        <v>2</v>
      </c>
      <c r="H3413" s="244">
        <v>5</v>
      </c>
      <c r="I3413" s="244">
        <v>2</v>
      </c>
      <c r="J3413" s="244">
        <v>4</v>
      </c>
      <c r="K3413" s="244">
        <v>3</v>
      </c>
      <c r="L3413" s="244">
        <v>4</v>
      </c>
      <c r="M3413" s="244">
        <v>1</v>
      </c>
      <c r="N3413" s="244">
        <v>2</v>
      </c>
      <c r="O3413" s="254">
        <v>3</v>
      </c>
    </row>
    <row r="3414" ht="14.25" spans="1:15">
      <c r="A3414" s="245" t="s">
        <v>70</v>
      </c>
      <c r="B3414" s="52" t="s">
        <v>64</v>
      </c>
      <c r="C3414" s="19">
        <v>0.28448275862069</v>
      </c>
      <c r="D3414" s="246">
        <v>0.416666666666667</v>
      </c>
      <c r="E3414" s="246">
        <v>0.166666666666667</v>
      </c>
      <c r="F3414" s="246">
        <v>0.125</v>
      </c>
      <c r="G3414" s="246">
        <v>0.25</v>
      </c>
      <c r="H3414" s="246">
        <v>0.555555555555556</v>
      </c>
      <c r="I3414" s="246">
        <v>0.333333333333333</v>
      </c>
      <c r="J3414" s="246">
        <v>0.363636363636364</v>
      </c>
      <c r="K3414" s="246">
        <v>0.5</v>
      </c>
      <c r="L3414" s="246">
        <v>0.363636363636364</v>
      </c>
      <c r="M3414" s="246">
        <v>0.125</v>
      </c>
      <c r="N3414" s="246">
        <v>0.142857142857143</v>
      </c>
      <c r="O3414" s="255">
        <v>0.176470588235294</v>
      </c>
    </row>
    <row r="3415" spans="1:15">
      <c r="A3415" s="240" t="s">
        <v>26</v>
      </c>
      <c r="B3415" s="47" t="s">
        <v>55</v>
      </c>
      <c r="C3415" s="12">
        <v>0.678009357720119</v>
      </c>
      <c r="D3415" s="241">
        <v>0.603092783505155</v>
      </c>
      <c r="E3415" s="241">
        <v>0.561679790026247</v>
      </c>
      <c r="F3415" s="241">
        <v>0.511864406779661</v>
      </c>
      <c r="G3415" s="241">
        <v>0.650537634408602</v>
      </c>
      <c r="H3415" s="241">
        <v>0.572139303482587</v>
      </c>
      <c r="I3415" s="241">
        <v>0.816793893129771</v>
      </c>
      <c r="J3415" s="241">
        <v>0.671140939597315</v>
      </c>
      <c r="K3415" s="241">
        <v>0.818181818181818</v>
      </c>
      <c r="L3415" s="241">
        <v>0.794117647058823</v>
      </c>
      <c r="M3415" s="241">
        <v>0.837606837606838</v>
      </c>
      <c r="N3415" s="241">
        <v>1.24050632911392</v>
      </c>
      <c r="O3415" s="252">
        <v>0.95</v>
      </c>
    </row>
    <row r="3416" spans="1:15">
      <c r="A3416" s="242" t="s">
        <v>26</v>
      </c>
      <c r="B3416" s="43" t="s">
        <v>57</v>
      </c>
      <c r="C3416" s="15">
        <v>2351</v>
      </c>
      <c r="D3416" s="243">
        <v>388</v>
      </c>
      <c r="E3416" s="243">
        <v>381</v>
      </c>
      <c r="F3416" s="243">
        <v>295</v>
      </c>
      <c r="G3416" s="243">
        <v>186</v>
      </c>
      <c r="H3416" s="243">
        <v>201</v>
      </c>
      <c r="I3416" s="243">
        <v>131</v>
      </c>
      <c r="J3416" s="243">
        <v>149</v>
      </c>
      <c r="K3416" s="243">
        <v>154</v>
      </c>
      <c r="L3416" s="243">
        <v>170</v>
      </c>
      <c r="M3416" s="243">
        <v>117</v>
      </c>
      <c r="N3416" s="243">
        <v>79</v>
      </c>
      <c r="O3416" s="253">
        <v>100</v>
      </c>
    </row>
    <row r="3417" spans="1:15">
      <c r="A3417" s="240" t="s">
        <v>26</v>
      </c>
      <c r="B3417" s="47" t="s">
        <v>59</v>
      </c>
      <c r="C3417" s="15">
        <v>1594</v>
      </c>
      <c r="D3417" s="243">
        <v>234</v>
      </c>
      <c r="E3417" s="243">
        <v>214</v>
      </c>
      <c r="F3417" s="243">
        <v>151</v>
      </c>
      <c r="G3417" s="243">
        <v>121</v>
      </c>
      <c r="H3417" s="243">
        <v>115</v>
      </c>
      <c r="I3417" s="243">
        <v>107</v>
      </c>
      <c r="J3417" s="243">
        <v>100</v>
      </c>
      <c r="K3417" s="243">
        <v>126</v>
      </c>
      <c r="L3417" s="243">
        <v>135</v>
      </c>
      <c r="M3417" s="243">
        <v>98</v>
      </c>
      <c r="N3417" s="243">
        <v>98</v>
      </c>
      <c r="O3417" s="253">
        <v>95</v>
      </c>
    </row>
    <row r="3418" spans="1:15">
      <c r="A3418" s="242" t="s">
        <v>26</v>
      </c>
      <c r="B3418" s="43" t="s">
        <v>4</v>
      </c>
      <c r="C3418" s="15">
        <v>9</v>
      </c>
      <c r="D3418" s="244">
        <v>1</v>
      </c>
      <c r="E3418" s="244">
        <v>1</v>
      </c>
      <c r="F3418" s="244">
        <v>1</v>
      </c>
      <c r="G3418" s="244">
        <v>0</v>
      </c>
      <c r="H3418" s="244">
        <v>0</v>
      </c>
      <c r="I3418" s="244">
        <v>0</v>
      </c>
      <c r="J3418" s="244">
        <v>0</v>
      </c>
      <c r="K3418" s="244">
        <v>0</v>
      </c>
      <c r="L3418" s="244">
        <v>3</v>
      </c>
      <c r="M3418" s="244">
        <v>1</v>
      </c>
      <c r="N3418" s="244">
        <v>0</v>
      </c>
      <c r="O3418" s="254">
        <v>2</v>
      </c>
    </row>
    <row r="3419" spans="1:15">
      <c r="A3419" s="240" t="s">
        <v>26</v>
      </c>
      <c r="B3419" s="47" t="s">
        <v>5</v>
      </c>
      <c r="C3419" s="12">
        <v>0.00564617314930991</v>
      </c>
      <c r="D3419" s="241">
        <v>0.00427350427350427</v>
      </c>
      <c r="E3419" s="241">
        <v>0.00467289719626168</v>
      </c>
      <c r="F3419" s="241">
        <v>0.00662251655629139</v>
      </c>
      <c r="G3419" s="241">
        <v>0</v>
      </c>
      <c r="H3419" s="241">
        <v>0</v>
      </c>
      <c r="I3419" s="241">
        <v>0</v>
      </c>
      <c r="J3419" s="241">
        <v>0</v>
      </c>
      <c r="K3419" s="241">
        <v>0</v>
      </c>
      <c r="L3419" s="241">
        <v>0.0222222222222222</v>
      </c>
      <c r="M3419" s="241">
        <v>0.0102040816326531</v>
      </c>
      <c r="N3419" s="241">
        <v>0</v>
      </c>
      <c r="O3419" s="252">
        <v>0.0210526315789474</v>
      </c>
    </row>
    <row r="3420" spans="1:15">
      <c r="A3420" s="242" t="s">
        <v>26</v>
      </c>
      <c r="B3420" s="43" t="s">
        <v>6</v>
      </c>
      <c r="C3420" s="15">
        <v>5</v>
      </c>
      <c r="D3420" s="244">
        <v>0</v>
      </c>
      <c r="E3420" s="244">
        <v>0</v>
      </c>
      <c r="F3420" s="244">
        <v>2</v>
      </c>
      <c r="G3420" s="244">
        <v>0</v>
      </c>
      <c r="H3420" s="244">
        <v>1</v>
      </c>
      <c r="I3420" s="244">
        <v>1</v>
      </c>
      <c r="J3420" s="244">
        <v>0</v>
      </c>
      <c r="K3420" s="244">
        <v>0</v>
      </c>
      <c r="L3420" s="244">
        <v>1</v>
      </c>
      <c r="M3420" s="244">
        <v>0</v>
      </c>
      <c r="N3420" s="244">
        <v>0</v>
      </c>
      <c r="O3420" s="254">
        <v>0</v>
      </c>
    </row>
    <row r="3421" ht="14.25" spans="1:15">
      <c r="A3421" s="245" t="s">
        <v>26</v>
      </c>
      <c r="B3421" s="52" t="s">
        <v>64</v>
      </c>
      <c r="C3421" s="19">
        <v>0.555555555555556</v>
      </c>
      <c r="D3421" s="19">
        <v>0</v>
      </c>
      <c r="E3421" s="19">
        <v>0</v>
      </c>
      <c r="F3421" s="19">
        <v>2</v>
      </c>
      <c r="G3421" s="19" t="e">
        <v>#DIV/0!</v>
      </c>
      <c r="H3421" s="19" t="e">
        <v>#DIV/0!</v>
      </c>
      <c r="I3421" s="19" t="e">
        <v>#DIV/0!</v>
      </c>
      <c r="J3421" s="19" t="e">
        <v>#DIV/0!</v>
      </c>
      <c r="K3421" s="19" t="e">
        <v>#DIV/0!</v>
      </c>
      <c r="L3421" s="19">
        <v>0.333333333333333</v>
      </c>
      <c r="M3421" s="19">
        <v>0</v>
      </c>
      <c r="N3421" s="19" t="e">
        <v>#DIV/0!</v>
      </c>
      <c r="O3421" s="19">
        <v>0</v>
      </c>
    </row>
    <row r="3422" spans="1:15">
      <c r="A3422" s="240" t="s">
        <v>71</v>
      </c>
      <c r="B3422" s="47" t="s">
        <v>55</v>
      </c>
      <c r="C3422" s="12">
        <v>7</v>
      </c>
      <c r="D3422" s="241" t="e">
        <v>#DIV/0!</v>
      </c>
      <c r="E3422" s="241" t="e">
        <v>#DIV/0!</v>
      </c>
      <c r="F3422" s="241">
        <v>0</v>
      </c>
      <c r="G3422" s="241" t="e">
        <v>#DIV/0!</v>
      </c>
      <c r="H3422" s="241" t="e">
        <v>#DIV/0!</v>
      </c>
      <c r="I3422" s="241" t="e">
        <v>#DIV/0!</v>
      </c>
      <c r="J3422" s="241" t="e">
        <v>#DIV/0!</v>
      </c>
      <c r="K3422" s="241" t="e">
        <v>#DIV/0!</v>
      </c>
      <c r="L3422" s="241" t="e">
        <v>#DIV/0!</v>
      </c>
      <c r="M3422" s="241" t="e">
        <v>#DIV/0!</v>
      </c>
      <c r="N3422" s="241">
        <v>0</v>
      </c>
      <c r="O3422" s="252" t="e">
        <v>#DIV/0!</v>
      </c>
    </row>
    <row r="3423" spans="1:15">
      <c r="A3423" s="242" t="s">
        <v>71</v>
      </c>
      <c r="B3423" s="43" t="s">
        <v>57</v>
      </c>
      <c r="C3423" s="15">
        <v>2</v>
      </c>
      <c r="D3423" s="243">
        <v>0</v>
      </c>
      <c r="E3423" s="243">
        <v>0</v>
      </c>
      <c r="F3423" s="243">
        <v>1</v>
      </c>
      <c r="G3423" s="243">
        <v>0</v>
      </c>
      <c r="H3423" s="243">
        <v>0</v>
      </c>
      <c r="I3423" s="243">
        <v>0</v>
      </c>
      <c r="J3423" s="243">
        <v>0</v>
      </c>
      <c r="K3423" s="243">
        <v>0</v>
      </c>
      <c r="L3423" s="243">
        <v>0</v>
      </c>
      <c r="M3423" s="243">
        <v>0</v>
      </c>
      <c r="N3423" s="243">
        <v>1</v>
      </c>
      <c r="O3423" s="253">
        <v>0</v>
      </c>
    </row>
    <row r="3424" spans="1:15">
      <c r="A3424" s="240" t="s">
        <v>71</v>
      </c>
      <c r="B3424" s="47" t="s">
        <v>59</v>
      </c>
      <c r="C3424" s="15">
        <v>14</v>
      </c>
      <c r="D3424" s="243">
        <v>1</v>
      </c>
      <c r="E3424" s="243">
        <v>0</v>
      </c>
      <c r="F3424" s="243">
        <v>0</v>
      </c>
      <c r="G3424" s="243">
        <v>0</v>
      </c>
      <c r="H3424" s="243">
        <v>2</v>
      </c>
      <c r="I3424" s="243">
        <v>1</v>
      </c>
      <c r="J3424" s="243">
        <v>3</v>
      </c>
      <c r="K3424" s="243">
        <v>4</v>
      </c>
      <c r="L3424" s="243">
        <v>0</v>
      </c>
      <c r="M3424" s="243">
        <v>2</v>
      </c>
      <c r="N3424" s="243">
        <v>0</v>
      </c>
      <c r="O3424" s="253">
        <v>1</v>
      </c>
    </row>
    <row r="3425" spans="1:15">
      <c r="A3425" s="242" t="s">
        <v>71</v>
      </c>
      <c r="B3425" s="43" t="s">
        <v>4</v>
      </c>
      <c r="C3425" s="15">
        <v>4</v>
      </c>
      <c r="D3425" s="244">
        <v>1</v>
      </c>
      <c r="E3425" s="244">
        <v>0</v>
      </c>
      <c r="F3425" s="244">
        <v>0</v>
      </c>
      <c r="G3425" s="244">
        <v>0</v>
      </c>
      <c r="H3425" s="244">
        <v>0</v>
      </c>
      <c r="I3425" s="244">
        <v>0</v>
      </c>
      <c r="J3425" s="244">
        <v>1</v>
      </c>
      <c r="K3425" s="244">
        <v>2</v>
      </c>
      <c r="L3425" s="244">
        <v>0</v>
      </c>
      <c r="M3425" s="244">
        <v>0</v>
      </c>
      <c r="N3425" s="244">
        <v>0</v>
      </c>
      <c r="O3425" s="254">
        <v>0</v>
      </c>
    </row>
    <row r="3426" spans="1:15">
      <c r="A3426" s="240" t="s">
        <v>71</v>
      </c>
      <c r="B3426" s="47" t="s">
        <v>5</v>
      </c>
      <c r="C3426" s="241">
        <v>0.285714285714286</v>
      </c>
      <c r="D3426" s="241">
        <v>1</v>
      </c>
      <c r="E3426" s="241">
        <v>0</v>
      </c>
      <c r="F3426" s="241">
        <v>0</v>
      </c>
      <c r="G3426" s="241">
        <v>0</v>
      </c>
      <c r="H3426" s="241">
        <v>0</v>
      </c>
      <c r="I3426" s="241">
        <v>0</v>
      </c>
      <c r="J3426" s="241">
        <v>0.333333333333333</v>
      </c>
      <c r="K3426" s="241">
        <v>0.5</v>
      </c>
      <c r="L3426" s="241">
        <v>0</v>
      </c>
      <c r="M3426" s="241">
        <v>0</v>
      </c>
      <c r="N3426" s="241">
        <v>0</v>
      </c>
      <c r="O3426" s="252">
        <v>0</v>
      </c>
    </row>
    <row r="3427" spans="1:15">
      <c r="A3427" s="242" t="s">
        <v>71</v>
      </c>
      <c r="B3427" s="43" t="s">
        <v>6</v>
      </c>
      <c r="C3427" s="15">
        <v>3</v>
      </c>
      <c r="D3427" s="244">
        <v>0</v>
      </c>
      <c r="E3427" s="244">
        <v>0</v>
      </c>
      <c r="F3427" s="244">
        <v>1</v>
      </c>
      <c r="G3427" s="244">
        <v>0</v>
      </c>
      <c r="H3427" s="244">
        <v>0</v>
      </c>
      <c r="I3427" s="244">
        <v>0</v>
      </c>
      <c r="J3427" s="244">
        <v>0</v>
      </c>
      <c r="K3427" s="244">
        <v>2</v>
      </c>
      <c r="L3427" s="244">
        <v>0</v>
      </c>
      <c r="M3427" s="244">
        <v>0</v>
      </c>
      <c r="N3427" s="244">
        <v>0</v>
      </c>
      <c r="O3427" s="254">
        <v>0</v>
      </c>
    </row>
    <row r="3428" ht="14.25" spans="1:15">
      <c r="A3428" s="245" t="s">
        <v>71</v>
      </c>
      <c r="B3428" s="52" t="s">
        <v>64</v>
      </c>
      <c r="C3428" s="19">
        <v>0.75</v>
      </c>
      <c r="D3428" s="19">
        <v>0</v>
      </c>
      <c r="E3428" s="19" t="e">
        <v>#DIV/0!</v>
      </c>
      <c r="F3428" s="19" t="e">
        <v>#DIV/0!</v>
      </c>
      <c r="G3428" s="19" t="e">
        <v>#DIV/0!</v>
      </c>
      <c r="H3428" s="19" t="e">
        <v>#DIV/0!</v>
      </c>
      <c r="I3428" s="19" t="e">
        <v>#DIV/0!</v>
      </c>
      <c r="J3428" s="19">
        <v>0</v>
      </c>
      <c r="K3428" s="19">
        <v>1</v>
      </c>
      <c r="L3428" s="19" t="e">
        <v>#DIV/0!</v>
      </c>
      <c r="M3428" s="19" t="e">
        <v>#DIV/0!</v>
      </c>
      <c r="N3428" s="19" t="e">
        <v>#DIV/0!</v>
      </c>
      <c r="O3428" s="19" t="e">
        <v>#DIV/0!</v>
      </c>
    </row>
    <row r="3429" spans="1:15">
      <c r="A3429" s="240" t="s">
        <v>72</v>
      </c>
      <c r="B3429" s="47" t="s">
        <v>55</v>
      </c>
      <c r="C3429" s="12">
        <v>0.203392857142857</v>
      </c>
      <c r="D3429" s="241">
        <v>0.221621621621622</v>
      </c>
      <c r="E3429" s="241">
        <v>0.186851211072664</v>
      </c>
      <c r="F3429" s="241">
        <v>0.171428571428571</v>
      </c>
      <c r="G3429" s="241">
        <v>0.270042194092827</v>
      </c>
      <c r="H3429" s="241">
        <v>0.187116564417178</v>
      </c>
      <c r="I3429" s="241">
        <v>0.269021739130435</v>
      </c>
      <c r="J3429" s="241">
        <v>0.222466960352423</v>
      </c>
      <c r="K3429" s="241">
        <v>0.21981981981982</v>
      </c>
      <c r="L3429" s="241">
        <v>0.204322200392927</v>
      </c>
      <c r="M3429" s="241">
        <v>0.173489278752437</v>
      </c>
      <c r="N3429" s="241">
        <v>0.182197496522949</v>
      </c>
      <c r="O3429" s="252">
        <v>0.179190751445087</v>
      </c>
    </row>
    <row r="3430" spans="1:15">
      <c r="A3430" s="242" t="s">
        <v>72</v>
      </c>
      <c r="B3430" s="43" t="s">
        <v>57</v>
      </c>
      <c r="C3430" s="15">
        <v>5600</v>
      </c>
      <c r="D3430" s="243">
        <v>555</v>
      </c>
      <c r="E3430" s="243">
        <v>289</v>
      </c>
      <c r="F3430" s="243">
        <v>210</v>
      </c>
      <c r="G3430" s="243">
        <v>237</v>
      </c>
      <c r="H3430" s="243">
        <v>326</v>
      </c>
      <c r="I3430" s="243">
        <v>368</v>
      </c>
      <c r="J3430" s="243">
        <v>454</v>
      </c>
      <c r="K3430" s="243">
        <v>555</v>
      </c>
      <c r="L3430" s="243">
        <v>509</v>
      </c>
      <c r="M3430" s="243">
        <v>513</v>
      </c>
      <c r="N3430" s="243">
        <v>719</v>
      </c>
      <c r="O3430" s="253">
        <v>865</v>
      </c>
    </row>
    <row r="3431" spans="1:15">
      <c r="A3431" s="240" t="s">
        <v>72</v>
      </c>
      <c r="B3431" s="47" t="s">
        <v>59</v>
      </c>
      <c r="C3431" s="15">
        <v>1139</v>
      </c>
      <c r="D3431" s="243">
        <v>123</v>
      </c>
      <c r="E3431" s="243">
        <v>54</v>
      </c>
      <c r="F3431" s="243">
        <v>36</v>
      </c>
      <c r="G3431" s="243">
        <v>64</v>
      </c>
      <c r="H3431" s="243">
        <v>61</v>
      </c>
      <c r="I3431" s="243">
        <v>99</v>
      </c>
      <c r="J3431" s="243">
        <v>101</v>
      </c>
      <c r="K3431" s="243">
        <v>122</v>
      </c>
      <c r="L3431" s="243">
        <v>104</v>
      </c>
      <c r="M3431" s="243">
        <v>89</v>
      </c>
      <c r="N3431" s="243">
        <v>131</v>
      </c>
      <c r="O3431" s="253">
        <v>155</v>
      </c>
    </row>
    <row r="3432" spans="1:15">
      <c r="A3432" s="242" t="s">
        <v>72</v>
      </c>
      <c r="B3432" s="43" t="s">
        <v>4</v>
      </c>
      <c r="C3432" s="15">
        <v>119</v>
      </c>
      <c r="D3432" s="244">
        <v>14</v>
      </c>
      <c r="E3432" s="244">
        <v>7</v>
      </c>
      <c r="F3432" s="244">
        <v>3</v>
      </c>
      <c r="G3432" s="244">
        <v>5</v>
      </c>
      <c r="H3432" s="244">
        <v>10</v>
      </c>
      <c r="I3432" s="244">
        <v>3</v>
      </c>
      <c r="J3432" s="244">
        <v>11</v>
      </c>
      <c r="K3432" s="244">
        <v>21</v>
      </c>
      <c r="L3432" s="244">
        <v>12</v>
      </c>
      <c r="M3432" s="244">
        <v>5</v>
      </c>
      <c r="N3432" s="244">
        <v>9</v>
      </c>
      <c r="O3432" s="254">
        <v>19</v>
      </c>
    </row>
    <row r="3433" spans="1:15">
      <c r="A3433" s="240" t="s">
        <v>72</v>
      </c>
      <c r="B3433" s="47" t="s">
        <v>5</v>
      </c>
      <c r="C3433" s="12">
        <v>0.104477611940299</v>
      </c>
      <c r="D3433" s="241">
        <v>0.113821138211382</v>
      </c>
      <c r="E3433" s="241">
        <v>0.12962962962963</v>
      </c>
      <c r="F3433" s="241">
        <v>0.0833333333333333</v>
      </c>
      <c r="G3433" s="241">
        <v>0.078125</v>
      </c>
      <c r="H3433" s="241">
        <v>0.163934426229508</v>
      </c>
      <c r="I3433" s="241">
        <v>0.0303030303030303</v>
      </c>
      <c r="J3433" s="241">
        <v>0.108910891089109</v>
      </c>
      <c r="K3433" s="241">
        <v>0.172131147540984</v>
      </c>
      <c r="L3433" s="241">
        <v>0.115384615384615</v>
      </c>
      <c r="M3433" s="241">
        <v>0.0561797752808989</v>
      </c>
      <c r="N3433" s="241">
        <v>0.0687022900763359</v>
      </c>
      <c r="O3433" s="252">
        <v>0.12258064516129</v>
      </c>
    </row>
    <row r="3434" spans="1:15">
      <c r="A3434" s="242" t="s">
        <v>72</v>
      </c>
      <c r="B3434" s="43" t="s">
        <v>6</v>
      </c>
      <c r="C3434" s="15">
        <v>38</v>
      </c>
      <c r="D3434" s="244">
        <v>5</v>
      </c>
      <c r="E3434" s="244">
        <v>4</v>
      </c>
      <c r="F3434" s="244">
        <v>0</v>
      </c>
      <c r="G3434" s="244">
        <v>0</v>
      </c>
      <c r="H3434" s="244">
        <v>3</v>
      </c>
      <c r="I3434" s="244">
        <v>2</v>
      </c>
      <c r="J3434" s="244">
        <v>2</v>
      </c>
      <c r="K3434" s="244">
        <v>5</v>
      </c>
      <c r="L3434" s="244">
        <v>5</v>
      </c>
      <c r="M3434" s="244">
        <v>3</v>
      </c>
      <c r="N3434" s="244">
        <v>3</v>
      </c>
      <c r="O3434" s="254">
        <v>6</v>
      </c>
    </row>
    <row r="3435" ht="14.25" spans="1:15">
      <c r="A3435" s="245" t="s">
        <v>72</v>
      </c>
      <c r="B3435" s="52" t="s">
        <v>64</v>
      </c>
      <c r="C3435" s="19">
        <v>0.319327731092437</v>
      </c>
      <c r="D3435" s="19">
        <v>0.357142857142857</v>
      </c>
      <c r="E3435" s="19">
        <v>0.571428571428571</v>
      </c>
      <c r="F3435" s="19">
        <v>0</v>
      </c>
      <c r="G3435" s="19">
        <v>0</v>
      </c>
      <c r="H3435" s="19">
        <v>0.3</v>
      </c>
      <c r="I3435" s="19">
        <v>0.666666666666667</v>
      </c>
      <c r="J3435" s="19">
        <v>0.181818181818182</v>
      </c>
      <c r="K3435" s="19">
        <v>0.238095238095238</v>
      </c>
      <c r="L3435" s="19">
        <v>0.416666666666667</v>
      </c>
      <c r="M3435" s="19">
        <v>0.6</v>
      </c>
      <c r="N3435" s="19">
        <v>0.333333333333333</v>
      </c>
      <c r="O3435" s="19">
        <v>0.315789473684211</v>
      </c>
    </row>
    <row r="3436" ht="14.25" spans="1:15">
      <c r="A3436" s="237">
        <v>45072</v>
      </c>
      <c r="B3436" s="237"/>
      <c r="C3436" s="237"/>
      <c r="D3436" s="237"/>
      <c r="E3436" s="237"/>
      <c r="F3436" s="237"/>
      <c r="G3436" s="237"/>
      <c r="H3436" s="237"/>
      <c r="I3436" s="237"/>
      <c r="J3436" s="237"/>
      <c r="K3436" s="237"/>
      <c r="L3436" s="237"/>
      <c r="M3436" s="237"/>
      <c r="N3436" s="237"/>
      <c r="O3436" s="237"/>
    </row>
    <row r="3437" spans="1:15">
      <c r="A3437" s="56" t="s">
        <v>1</v>
      </c>
      <c r="B3437" s="238"/>
      <c r="C3437" s="8" t="s">
        <v>42</v>
      </c>
      <c r="D3437" s="239" t="s">
        <v>43</v>
      </c>
      <c r="E3437" s="239" t="s">
        <v>44</v>
      </c>
      <c r="F3437" s="239" t="s">
        <v>45</v>
      </c>
      <c r="G3437" s="239" t="s">
        <v>46</v>
      </c>
      <c r="H3437" s="239" t="s">
        <v>47</v>
      </c>
      <c r="I3437" s="239" t="s">
        <v>48</v>
      </c>
      <c r="J3437" s="239" t="s">
        <v>49</v>
      </c>
      <c r="K3437" s="239" t="s">
        <v>50</v>
      </c>
      <c r="L3437" s="239" t="s">
        <v>51</v>
      </c>
      <c r="M3437" s="239" t="s">
        <v>52</v>
      </c>
      <c r="N3437" s="239" t="s">
        <v>53</v>
      </c>
      <c r="O3437" s="251" t="s">
        <v>54</v>
      </c>
    </row>
    <row r="3438" spans="1:15">
      <c r="A3438" s="240" t="s">
        <v>22</v>
      </c>
      <c r="B3438" s="47" t="s">
        <v>55</v>
      </c>
      <c r="C3438" s="12">
        <v>0.409160696008188</v>
      </c>
      <c r="D3438" s="241">
        <v>0.542936288088643</v>
      </c>
      <c r="E3438" s="241">
        <v>0.495145631067961</v>
      </c>
      <c r="F3438" s="241">
        <v>0.403508771929825</v>
      </c>
      <c r="G3438" s="241">
        <v>0.502793296089385</v>
      </c>
      <c r="H3438" s="241">
        <v>0.528571428571429</v>
      </c>
      <c r="I3438" s="241">
        <v>0.388157894736842</v>
      </c>
      <c r="J3438" s="241">
        <v>0.44408945686901</v>
      </c>
      <c r="K3438" s="241">
        <v>0.415254237288136</v>
      </c>
      <c r="L3438" s="241">
        <v>0.364741641337386</v>
      </c>
      <c r="M3438" s="241">
        <v>0.37597911227154</v>
      </c>
      <c r="N3438" s="241">
        <v>0.324649298597194</v>
      </c>
      <c r="O3438" s="252">
        <v>0.319112627986348</v>
      </c>
    </row>
    <row r="3439" spans="1:15">
      <c r="A3439" s="242" t="s">
        <v>22</v>
      </c>
      <c r="B3439" s="43" t="s">
        <v>57</v>
      </c>
      <c r="C3439" s="15">
        <v>3908</v>
      </c>
      <c r="D3439" s="243">
        <v>361</v>
      </c>
      <c r="E3439" s="243">
        <v>206</v>
      </c>
      <c r="F3439" s="243">
        <v>114</v>
      </c>
      <c r="G3439" s="243">
        <v>179</v>
      </c>
      <c r="H3439" s="243">
        <v>280</v>
      </c>
      <c r="I3439" s="243">
        <v>304</v>
      </c>
      <c r="J3439" s="243">
        <v>313</v>
      </c>
      <c r="K3439" s="243">
        <v>354</v>
      </c>
      <c r="L3439" s="243">
        <v>329</v>
      </c>
      <c r="M3439" s="243">
        <v>383</v>
      </c>
      <c r="N3439" s="243">
        <v>499</v>
      </c>
      <c r="O3439" s="253">
        <v>586</v>
      </c>
    </row>
    <row r="3440" spans="1:15">
      <c r="A3440" s="240" t="s">
        <v>22</v>
      </c>
      <c r="B3440" s="47" t="s">
        <v>59</v>
      </c>
      <c r="C3440" s="15">
        <v>1599</v>
      </c>
      <c r="D3440" s="243">
        <v>196</v>
      </c>
      <c r="E3440" s="243">
        <v>102</v>
      </c>
      <c r="F3440" s="243">
        <v>46</v>
      </c>
      <c r="G3440" s="243">
        <v>90</v>
      </c>
      <c r="H3440" s="243">
        <v>148</v>
      </c>
      <c r="I3440" s="243">
        <v>118</v>
      </c>
      <c r="J3440" s="243">
        <v>139</v>
      </c>
      <c r="K3440" s="243">
        <v>147</v>
      </c>
      <c r="L3440" s="243">
        <v>120</v>
      </c>
      <c r="M3440" s="243">
        <v>144</v>
      </c>
      <c r="N3440" s="243">
        <v>162</v>
      </c>
      <c r="O3440" s="253">
        <v>187</v>
      </c>
    </row>
    <row r="3441" spans="1:15">
      <c r="A3441" s="242" t="s">
        <v>22</v>
      </c>
      <c r="B3441" s="43" t="s">
        <v>4</v>
      </c>
      <c r="C3441" s="15">
        <v>135</v>
      </c>
      <c r="D3441" s="244">
        <v>14</v>
      </c>
      <c r="E3441" s="244">
        <v>11</v>
      </c>
      <c r="F3441" s="244">
        <v>3</v>
      </c>
      <c r="G3441" s="244">
        <v>7</v>
      </c>
      <c r="H3441" s="244">
        <v>8</v>
      </c>
      <c r="I3441" s="244">
        <v>7</v>
      </c>
      <c r="J3441" s="244">
        <v>12</v>
      </c>
      <c r="K3441" s="244">
        <v>16</v>
      </c>
      <c r="L3441" s="244">
        <v>12</v>
      </c>
      <c r="M3441" s="244">
        <v>10</v>
      </c>
      <c r="N3441" s="244">
        <v>16</v>
      </c>
      <c r="O3441" s="254">
        <v>19</v>
      </c>
    </row>
    <row r="3442" spans="1:15">
      <c r="A3442" s="240" t="s">
        <v>22</v>
      </c>
      <c r="B3442" s="47" t="s">
        <v>5</v>
      </c>
      <c r="C3442" s="12">
        <v>0.0844277673545966</v>
      </c>
      <c r="D3442" s="241">
        <v>0.0714285714285714</v>
      </c>
      <c r="E3442" s="241">
        <v>0.107843137254902</v>
      </c>
      <c r="F3442" s="241">
        <v>0.0652173913043478</v>
      </c>
      <c r="G3442" s="241">
        <v>0.0777777777777778</v>
      </c>
      <c r="H3442" s="241">
        <v>0.0540540540540541</v>
      </c>
      <c r="I3442" s="241">
        <v>0.0593220338983051</v>
      </c>
      <c r="J3442" s="241">
        <v>0.0863309352517986</v>
      </c>
      <c r="K3442" s="241">
        <v>0.108843537414966</v>
      </c>
      <c r="L3442" s="241">
        <v>0.1</v>
      </c>
      <c r="M3442" s="241">
        <v>0.0694444444444444</v>
      </c>
      <c r="N3442" s="241">
        <v>0.0987654320987654</v>
      </c>
      <c r="O3442" s="252">
        <v>0.101604278074866</v>
      </c>
    </row>
    <row r="3443" spans="1:15">
      <c r="A3443" s="242" t="s">
        <v>22</v>
      </c>
      <c r="B3443" s="43" t="s">
        <v>6</v>
      </c>
      <c r="C3443" s="15">
        <v>44</v>
      </c>
      <c r="D3443" s="244">
        <v>5</v>
      </c>
      <c r="E3443" s="244">
        <v>3</v>
      </c>
      <c r="F3443" s="244">
        <v>1</v>
      </c>
      <c r="G3443" s="244">
        <v>4</v>
      </c>
      <c r="H3443" s="244">
        <v>4</v>
      </c>
      <c r="I3443" s="244">
        <v>1</v>
      </c>
      <c r="J3443" s="244">
        <v>9</v>
      </c>
      <c r="K3443" s="244">
        <v>4</v>
      </c>
      <c r="L3443" s="244">
        <v>3</v>
      </c>
      <c r="M3443" s="244">
        <v>3</v>
      </c>
      <c r="N3443" s="244">
        <v>2</v>
      </c>
      <c r="O3443" s="254">
        <v>5</v>
      </c>
    </row>
    <row r="3444" ht="14.25" spans="1:15">
      <c r="A3444" s="245" t="s">
        <v>22</v>
      </c>
      <c r="B3444" s="52" t="s">
        <v>64</v>
      </c>
      <c r="C3444" s="19">
        <v>0.325925925925926</v>
      </c>
      <c r="D3444" s="246">
        <v>0.357142857142857</v>
      </c>
      <c r="E3444" s="246">
        <v>0.272727272727273</v>
      </c>
      <c r="F3444" s="246">
        <v>0.333333333333333</v>
      </c>
      <c r="G3444" s="246">
        <v>0.571428571428571</v>
      </c>
      <c r="H3444" s="246">
        <v>0.5</v>
      </c>
      <c r="I3444" s="246">
        <v>0.142857142857143</v>
      </c>
      <c r="J3444" s="246">
        <v>0.75</v>
      </c>
      <c r="K3444" s="246">
        <v>0.25</v>
      </c>
      <c r="L3444" s="246">
        <v>0.25</v>
      </c>
      <c r="M3444" s="246">
        <v>0.3</v>
      </c>
      <c r="N3444" s="246">
        <v>0.125</v>
      </c>
      <c r="O3444" s="255">
        <v>0.263157894736842</v>
      </c>
    </row>
    <row r="3445" spans="1:15">
      <c r="A3445" s="247" t="s">
        <v>66</v>
      </c>
      <c r="B3445" s="248" t="s">
        <v>55</v>
      </c>
      <c r="C3445" s="12">
        <v>0.102590147282885</v>
      </c>
      <c r="D3445" s="249">
        <v>0.115384615384615</v>
      </c>
      <c r="E3445" s="249">
        <v>0.0447761194029851</v>
      </c>
      <c r="F3445" s="249">
        <v>0.0476190476190476</v>
      </c>
      <c r="G3445" s="249">
        <v>0.0606060606060606</v>
      </c>
      <c r="H3445" s="249">
        <v>0.075</v>
      </c>
      <c r="I3445" s="249">
        <v>0.119496855345912</v>
      </c>
      <c r="J3445" s="249">
        <v>0.0676691729323308</v>
      </c>
      <c r="K3445" s="249">
        <v>0.166666666666667</v>
      </c>
      <c r="L3445" s="249">
        <v>0.217741935483871</v>
      </c>
      <c r="M3445" s="249">
        <v>0.155038759689922</v>
      </c>
      <c r="N3445" s="249">
        <v>0.119402985074627</v>
      </c>
      <c r="O3445" s="256">
        <v>0.142857142857143</v>
      </c>
    </row>
    <row r="3446" spans="1:15">
      <c r="A3446" s="242" t="s">
        <v>66</v>
      </c>
      <c r="B3446" s="43" t="s">
        <v>57</v>
      </c>
      <c r="C3446" s="15">
        <v>1969</v>
      </c>
      <c r="D3446" s="243">
        <v>260</v>
      </c>
      <c r="E3446" s="243">
        <v>268</v>
      </c>
      <c r="F3446" s="243">
        <v>189</v>
      </c>
      <c r="G3446" s="243">
        <v>165</v>
      </c>
      <c r="H3446" s="243">
        <v>160</v>
      </c>
      <c r="I3446" s="243">
        <v>159</v>
      </c>
      <c r="J3446" s="243">
        <v>133</v>
      </c>
      <c r="K3446" s="243">
        <v>108</v>
      </c>
      <c r="L3446" s="243">
        <v>124</v>
      </c>
      <c r="M3446" s="243">
        <v>129</v>
      </c>
      <c r="N3446" s="243">
        <v>134</v>
      </c>
      <c r="O3446" s="253">
        <v>140</v>
      </c>
    </row>
    <row r="3447" spans="1:15">
      <c r="A3447" s="240" t="s">
        <v>66</v>
      </c>
      <c r="B3447" s="47" t="s">
        <v>59</v>
      </c>
      <c r="C3447" s="15">
        <v>202</v>
      </c>
      <c r="D3447" s="243">
        <v>30</v>
      </c>
      <c r="E3447" s="243">
        <v>12</v>
      </c>
      <c r="F3447" s="243">
        <v>9</v>
      </c>
      <c r="G3447" s="243">
        <v>10</v>
      </c>
      <c r="H3447" s="243">
        <v>12</v>
      </c>
      <c r="I3447" s="243">
        <v>19</v>
      </c>
      <c r="J3447" s="243">
        <v>9</v>
      </c>
      <c r="K3447" s="243">
        <v>18</v>
      </c>
      <c r="L3447" s="243">
        <v>27</v>
      </c>
      <c r="M3447" s="243">
        <v>20</v>
      </c>
      <c r="N3447" s="243">
        <v>16</v>
      </c>
      <c r="O3447" s="253">
        <v>20</v>
      </c>
    </row>
    <row r="3448" spans="1:15">
      <c r="A3448" s="242" t="s">
        <v>66</v>
      </c>
      <c r="B3448" s="43" t="s">
        <v>4</v>
      </c>
      <c r="C3448" s="15">
        <v>17</v>
      </c>
      <c r="D3448" s="244">
        <v>3</v>
      </c>
      <c r="E3448" s="244">
        <v>0</v>
      </c>
      <c r="F3448" s="244">
        <v>1</v>
      </c>
      <c r="G3448" s="244">
        <v>0</v>
      </c>
      <c r="H3448" s="244">
        <v>1</v>
      </c>
      <c r="I3448" s="244">
        <v>0</v>
      </c>
      <c r="J3448" s="244">
        <v>1</v>
      </c>
      <c r="K3448" s="244">
        <v>2</v>
      </c>
      <c r="L3448" s="244">
        <v>4</v>
      </c>
      <c r="M3448" s="244">
        <v>1</v>
      </c>
      <c r="N3448" s="244">
        <v>2</v>
      </c>
      <c r="O3448" s="254">
        <v>2</v>
      </c>
    </row>
    <row r="3449" spans="1:15">
      <c r="A3449" s="240" t="s">
        <v>66</v>
      </c>
      <c r="B3449" s="47" t="s">
        <v>5</v>
      </c>
      <c r="C3449" s="12">
        <v>0.0841584158415842</v>
      </c>
      <c r="D3449" s="241">
        <v>0.1</v>
      </c>
      <c r="E3449" s="241">
        <v>0</v>
      </c>
      <c r="F3449" s="241">
        <v>0.111111111111111</v>
      </c>
      <c r="G3449" s="241">
        <v>0</v>
      </c>
      <c r="H3449" s="241">
        <v>0.0833333333333333</v>
      </c>
      <c r="I3449" s="241">
        <v>0</v>
      </c>
      <c r="J3449" s="241">
        <v>0.111111111111111</v>
      </c>
      <c r="K3449" s="241">
        <v>0.111111111111111</v>
      </c>
      <c r="L3449" s="241">
        <v>0.148148148148148</v>
      </c>
      <c r="M3449" s="241">
        <v>0.05</v>
      </c>
      <c r="N3449" s="241">
        <v>0.125</v>
      </c>
      <c r="O3449" s="252">
        <v>0.1</v>
      </c>
    </row>
    <row r="3450" spans="1:15">
      <c r="A3450" s="242" t="s">
        <v>66</v>
      </c>
      <c r="B3450" s="43" t="s">
        <v>6</v>
      </c>
      <c r="C3450" s="15">
        <v>6</v>
      </c>
      <c r="D3450" s="244">
        <v>0</v>
      </c>
      <c r="E3450" s="244">
        <v>0</v>
      </c>
      <c r="F3450" s="244">
        <v>1</v>
      </c>
      <c r="G3450" s="244">
        <v>0</v>
      </c>
      <c r="H3450" s="244">
        <v>1</v>
      </c>
      <c r="I3450" s="244">
        <v>0</v>
      </c>
      <c r="J3450" s="244">
        <v>0</v>
      </c>
      <c r="K3450" s="244">
        <v>0</v>
      </c>
      <c r="L3450" s="244">
        <v>1</v>
      </c>
      <c r="M3450" s="244">
        <v>0</v>
      </c>
      <c r="N3450" s="244">
        <v>2</v>
      </c>
      <c r="O3450" s="254">
        <v>1</v>
      </c>
    </row>
    <row r="3451" ht="14.25" spans="1:15">
      <c r="A3451" s="245" t="s">
        <v>66</v>
      </c>
      <c r="B3451" s="52" t="s">
        <v>64</v>
      </c>
      <c r="C3451" s="19">
        <v>0.352941176470588</v>
      </c>
      <c r="D3451" s="246">
        <v>0</v>
      </c>
      <c r="E3451" s="246">
        <v>0</v>
      </c>
      <c r="F3451" s="246">
        <v>1</v>
      </c>
      <c r="G3451" s="246">
        <v>0</v>
      </c>
      <c r="H3451" s="246">
        <v>1</v>
      </c>
      <c r="I3451" s="246">
        <v>0</v>
      </c>
      <c r="J3451" s="246">
        <v>0</v>
      </c>
      <c r="K3451" s="246">
        <v>0</v>
      </c>
      <c r="L3451" s="246">
        <v>0.25</v>
      </c>
      <c r="M3451" s="246">
        <v>0</v>
      </c>
      <c r="N3451" s="246">
        <v>1</v>
      </c>
      <c r="O3451" s="255">
        <v>0.5</v>
      </c>
    </row>
    <row r="3452" spans="1:15">
      <c r="A3452" s="240" t="s">
        <v>67</v>
      </c>
      <c r="B3452" s="47" t="s">
        <v>55</v>
      </c>
      <c r="C3452" s="12">
        <v>0.608695652173913</v>
      </c>
      <c r="D3452" s="241">
        <v>0.695652173913043</v>
      </c>
      <c r="E3452" s="241">
        <v>1.04545454545455</v>
      </c>
      <c r="F3452" s="241">
        <v>1.14285714285714</v>
      </c>
      <c r="G3452" s="241">
        <v>1.4</v>
      </c>
      <c r="H3452" s="241">
        <v>1.47826086956522</v>
      </c>
      <c r="I3452" s="241">
        <v>0.634146341463415</v>
      </c>
      <c r="J3452" s="241">
        <v>0.423076923076923</v>
      </c>
      <c r="K3452" s="241">
        <v>0.463414634146341</v>
      </c>
      <c r="L3452" s="241">
        <v>0.403508771929825</v>
      </c>
      <c r="M3452" s="241">
        <v>0.238095238095238</v>
      </c>
      <c r="N3452" s="241">
        <v>0.535714285714286</v>
      </c>
      <c r="O3452" s="252">
        <v>0.622641509433962</v>
      </c>
    </row>
    <row r="3453" spans="1:15">
      <c r="A3453" s="242" t="s">
        <v>67</v>
      </c>
      <c r="B3453" s="43" t="s">
        <v>57</v>
      </c>
      <c r="C3453" s="15">
        <v>483</v>
      </c>
      <c r="D3453" s="243">
        <v>46</v>
      </c>
      <c r="E3453" s="243">
        <v>22</v>
      </c>
      <c r="F3453" s="243">
        <v>14</v>
      </c>
      <c r="G3453" s="243">
        <v>15</v>
      </c>
      <c r="H3453" s="243">
        <v>23</v>
      </c>
      <c r="I3453" s="243">
        <v>41</v>
      </c>
      <c r="J3453" s="243">
        <v>52</v>
      </c>
      <c r="K3453" s="243">
        <v>41</v>
      </c>
      <c r="L3453" s="243">
        <v>57</v>
      </c>
      <c r="M3453" s="243">
        <v>63</v>
      </c>
      <c r="N3453" s="243">
        <v>56</v>
      </c>
      <c r="O3453" s="253">
        <v>53</v>
      </c>
    </row>
    <row r="3454" spans="1:15">
      <c r="A3454" s="240" t="s">
        <v>67</v>
      </c>
      <c r="B3454" s="47" t="s">
        <v>59</v>
      </c>
      <c r="C3454" s="15">
        <v>294</v>
      </c>
      <c r="D3454" s="243">
        <v>32</v>
      </c>
      <c r="E3454" s="243">
        <v>23</v>
      </c>
      <c r="F3454" s="243">
        <v>16</v>
      </c>
      <c r="G3454" s="243">
        <v>21</v>
      </c>
      <c r="H3454" s="243">
        <v>34</v>
      </c>
      <c r="I3454" s="243">
        <v>26</v>
      </c>
      <c r="J3454" s="243">
        <v>22</v>
      </c>
      <c r="K3454" s="243">
        <v>19</v>
      </c>
      <c r="L3454" s="243">
        <v>23</v>
      </c>
      <c r="M3454" s="243">
        <v>15</v>
      </c>
      <c r="N3454" s="243">
        <v>30</v>
      </c>
      <c r="O3454" s="253">
        <v>33</v>
      </c>
    </row>
    <row r="3455" spans="1:15">
      <c r="A3455" s="242" t="s">
        <v>67</v>
      </c>
      <c r="B3455" s="43" t="s">
        <v>4</v>
      </c>
      <c r="C3455" s="15">
        <v>13</v>
      </c>
      <c r="D3455" s="244">
        <v>2</v>
      </c>
      <c r="E3455" s="244">
        <v>1</v>
      </c>
      <c r="F3455" s="244">
        <v>0</v>
      </c>
      <c r="G3455" s="244">
        <v>1</v>
      </c>
      <c r="H3455" s="244">
        <v>3</v>
      </c>
      <c r="I3455" s="244">
        <v>1</v>
      </c>
      <c r="J3455" s="244">
        <v>1</v>
      </c>
      <c r="K3455" s="244">
        <v>0</v>
      </c>
      <c r="L3455" s="244">
        <v>0</v>
      </c>
      <c r="M3455" s="244">
        <v>1</v>
      </c>
      <c r="N3455" s="244">
        <v>1</v>
      </c>
      <c r="O3455" s="254">
        <v>2</v>
      </c>
    </row>
    <row r="3456" spans="1:15">
      <c r="A3456" s="240" t="s">
        <v>67</v>
      </c>
      <c r="B3456" s="47" t="s">
        <v>5</v>
      </c>
      <c r="C3456" s="12">
        <v>0.0442176870748299</v>
      </c>
      <c r="D3456" s="241">
        <v>0.0625</v>
      </c>
      <c r="E3456" s="241">
        <v>0.0434782608695652</v>
      </c>
      <c r="F3456" s="241">
        <v>0</v>
      </c>
      <c r="G3456" s="241">
        <v>0.0476190476190476</v>
      </c>
      <c r="H3456" s="241">
        <v>0.0882352941176471</v>
      </c>
      <c r="I3456" s="241">
        <v>0.0384615384615385</v>
      </c>
      <c r="J3456" s="241">
        <v>0.0454545454545455</v>
      </c>
      <c r="K3456" s="241">
        <v>0</v>
      </c>
      <c r="L3456" s="241">
        <v>0</v>
      </c>
      <c r="M3456" s="241">
        <v>0.0666666666666667</v>
      </c>
      <c r="N3456" s="241">
        <v>0.0333333333333333</v>
      </c>
      <c r="O3456" s="252">
        <v>0.0606060606060606</v>
      </c>
    </row>
    <row r="3457" spans="1:15">
      <c r="A3457" s="242" t="s">
        <v>67</v>
      </c>
      <c r="B3457" s="43" t="s">
        <v>6</v>
      </c>
      <c r="C3457" s="15">
        <v>3</v>
      </c>
      <c r="D3457" s="244">
        <v>1</v>
      </c>
      <c r="E3457" s="244">
        <v>0</v>
      </c>
      <c r="F3457" s="244">
        <v>0</v>
      </c>
      <c r="G3457" s="244">
        <v>1</v>
      </c>
      <c r="H3457" s="244">
        <v>0</v>
      </c>
      <c r="I3457" s="244">
        <v>0</v>
      </c>
      <c r="J3457" s="244">
        <v>0</v>
      </c>
      <c r="K3457" s="244">
        <v>0</v>
      </c>
      <c r="L3457" s="244">
        <v>0</v>
      </c>
      <c r="M3457" s="244">
        <v>0</v>
      </c>
      <c r="N3457" s="244">
        <v>0</v>
      </c>
      <c r="O3457" s="254">
        <v>1</v>
      </c>
    </row>
    <row r="3458" ht="14.25" spans="1:15">
      <c r="A3458" s="245" t="s">
        <v>67</v>
      </c>
      <c r="B3458" s="52" t="s">
        <v>64</v>
      </c>
      <c r="C3458" s="19">
        <v>0.230769230769231</v>
      </c>
      <c r="D3458" s="246">
        <v>0.5</v>
      </c>
      <c r="E3458" s="246">
        <v>0</v>
      </c>
      <c r="F3458" s="246">
        <v>0</v>
      </c>
      <c r="G3458" s="246">
        <v>1</v>
      </c>
      <c r="H3458" s="246">
        <v>0</v>
      </c>
      <c r="I3458" s="246">
        <v>0</v>
      </c>
      <c r="J3458" s="246">
        <v>0</v>
      </c>
      <c r="K3458" s="246">
        <v>0</v>
      </c>
      <c r="L3458" s="246">
        <v>0</v>
      </c>
      <c r="M3458" s="246">
        <v>0</v>
      </c>
      <c r="N3458" s="246">
        <v>0</v>
      </c>
      <c r="O3458" s="255">
        <v>0.5</v>
      </c>
    </row>
    <row r="3459" spans="1:15">
      <c r="A3459" s="240" t="s">
        <v>68</v>
      </c>
      <c r="B3459" s="47" t="s">
        <v>55</v>
      </c>
      <c r="C3459" s="12">
        <v>0.20094191522763</v>
      </c>
      <c r="D3459" s="241">
        <v>0.241509433962264</v>
      </c>
      <c r="E3459" s="241">
        <v>0.36036036036036</v>
      </c>
      <c r="F3459" s="241">
        <v>0.28125</v>
      </c>
      <c r="G3459" s="241">
        <v>0.232394366197183</v>
      </c>
      <c r="H3459" s="241">
        <v>0.21978021978022</v>
      </c>
      <c r="I3459" s="241">
        <v>0.188356164383562</v>
      </c>
      <c r="J3459" s="241">
        <v>0.219123505976096</v>
      </c>
      <c r="K3459" s="241">
        <v>0.188461538461538</v>
      </c>
      <c r="L3459" s="241">
        <v>0.191222570532915</v>
      </c>
      <c r="M3459" s="241">
        <v>0.194078947368421</v>
      </c>
      <c r="N3459" s="241">
        <v>0.140394088669951</v>
      </c>
      <c r="O3459" s="252">
        <v>0.163594470046083</v>
      </c>
    </row>
    <row r="3460" spans="1:15">
      <c r="A3460" s="242" t="s">
        <v>68</v>
      </c>
      <c r="B3460" s="43" t="s">
        <v>57</v>
      </c>
      <c r="C3460" s="15">
        <v>3185</v>
      </c>
      <c r="D3460" s="243">
        <v>265</v>
      </c>
      <c r="E3460" s="243">
        <v>111</v>
      </c>
      <c r="F3460" s="243">
        <v>128</v>
      </c>
      <c r="G3460" s="243">
        <v>142</v>
      </c>
      <c r="H3460" s="243">
        <v>273</v>
      </c>
      <c r="I3460" s="243">
        <v>292</v>
      </c>
      <c r="J3460" s="243">
        <v>251</v>
      </c>
      <c r="K3460" s="243">
        <v>260</v>
      </c>
      <c r="L3460" s="243">
        <v>319</v>
      </c>
      <c r="M3460" s="243">
        <v>304</v>
      </c>
      <c r="N3460" s="243">
        <v>406</v>
      </c>
      <c r="O3460" s="253">
        <v>434</v>
      </c>
    </row>
    <row r="3461" spans="1:15">
      <c r="A3461" s="240" t="s">
        <v>68</v>
      </c>
      <c r="B3461" s="47" t="s">
        <v>59</v>
      </c>
      <c r="C3461" s="15">
        <v>640</v>
      </c>
      <c r="D3461" s="243">
        <v>64</v>
      </c>
      <c r="E3461" s="243">
        <v>40</v>
      </c>
      <c r="F3461" s="243">
        <v>36</v>
      </c>
      <c r="G3461" s="243">
        <v>33</v>
      </c>
      <c r="H3461" s="243">
        <v>60</v>
      </c>
      <c r="I3461" s="243">
        <v>55</v>
      </c>
      <c r="J3461" s="243">
        <v>55</v>
      </c>
      <c r="K3461" s="243">
        <v>49</v>
      </c>
      <c r="L3461" s="243">
        <v>61</v>
      </c>
      <c r="M3461" s="243">
        <v>59</v>
      </c>
      <c r="N3461" s="243">
        <v>57</v>
      </c>
      <c r="O3461" s="253">
        <v>71</v>
      </c>
    </row>
    <row r="3462" spans="1:15">
      <c r="A3462" s="242" t="s">
        <v>68</v>
      </c>
      <c r="B3462" s="43" t="s">
        <v>4</v>
      </c>
      <c r="C3462" s="15">
        <v>25</v>
      </c>
      <c r="D3462" s="244">
        <v>6</v>
      </c>
      <c r="E3462" s="244">
        <v>2</v>
      </c>
      <c r="F3462" s="244">
        <v>1</v>
      </c>
      <c r="G3462" s="244">
        <v>3</v>
      </c>
      <c r="H3462" s="244">
        <v>0</v>
      </c>
      <c r="I3462" s="244">
        <v>2</v>
      </c>
      <c r="J3462" s="244">
        <v>1</v>
      </c>
      <c r="K3462" s="244">
        <v>1</v>
      </c>
      <c r="L3462" s="244">
        <v>0</v>
      </c>
      <c r="M3462" s="244">
        <v>5</v>
      </c>
      <c r="N3462" s="244">
        <v>3</v>
      </c>
      <c r="O3462" s="254">
        <v>1</v>
      </c>
    </row>
    <row r="3463" spans="1:15">
      <c r="A3463" s="240" t="s">
        <v>68</v>
      </c>
      <c r="B3463" s="47" t="s">
        <v>5</v>
      </c>
      <c r="C3463" s="12">
        <v>0.0390625</v>
      </c>
      <c r="D3463" s="241">
        <v>0.09375</v>
      </c>
      <c r="E3463" s="241">
        <v>0.05</v>
      </c>
      <c r="F3463" s="241">
        <v>0.0277777777777778</v>
      </c>
      <c r="G3463" s="241">
        <v>0.0909090909090909</v>
      </c>
      <c r="H3463" s="241">
        <v>0</v>
      </c>
      <c r="I3463" s="241">
        <v>0.0363636363636364</v>
      </c>
      <c r="J3463" s="241">
        <v>0.0181818181818182</v>
      </c>
      <c r="K3463" s="241">
        <v>0.0204081632653061</v>
      </c>
      <c r="L3463" s="241">
        <v>0</v>
      </c>
      <c r="M3463" s="241">
        <v>0.0847457627118644</v>
      </c>
      <c r="N3463" s="241">
        <v>0.0526315789473684</v>
      </c>
      <c r="O3463" s="252">
        <v>0.0140845070422535</v>
      </c>
    </row>
    <row r="3464" spans="1:15">
      <c r="A3464" s="242" t="s">
        <v>68</v>
      </c>
      <c r="B3464" s="43" t="s">
        <v>6</v>
      </c>
      <c r="C3464" s="15">
        <v>9</v>
      </c>
      <c r="D3464" s="244">
        <v>2</v>
      </c>
      <c r="E3464" s="244">
        <v>0</v>
      </c>
      <c r="F3464" s="244">
        <v>1</v>
      </c>
      <c r="G3464" s="244">
        <v>0</v>
      </c>
      <c r="H3464" s="244">
        <v>0</v>
      </c>
      <c r="I3464" s="244">
        <v>1</v>
      </c>
      <c r="J3464" s="244">
        <v>1</v>
      </c>
      <c r="K3464" s="244">
        <v>0</v>
      </c>
      <c r="L3464" s="244">
        <v>1</v>
      </c>
      <c r="M3464" s="244">
        <v>0</v>
      </c>
      <c r="N3464" s="244">
        <v>1</v>
      </c>
      <c r="O3464" s="254">
        <v>2</v>
      </c>
    </row>
    <row r="3465" ht="14.25" spans="1:15">
      <c r="A3465" s="245" t="s">
        <v>68</v>
      </c>
      <c r="B3465" s="52" t="s">
        <v>64</v>
      </c>
      <c r="C3465" s="19">
        <v>0.36</v>
      </c>
      <c r="D3465" s="246">
        <v>0.333333333333333</v>
      </c>
      <c r="E3465" s="246">
        <v>0</v>
      </c>
      <c r="F3465" s="246">
        <v>1</v>
      </c>
      <c r="G3465" s="246">
        <v>0</v>
      </c>
      <c r="H3465" s="246">
        <v>0</v>
      </c>
      <c r="I3465" s="246">
        <v>0.5</v>
      </c>
      <c r="J3465" s="246">
        <v>1</v>
      </c>
      <c r="K3465" s="246">
        <v>0</v>
      </c>
      <c r="L3465" s="246">
        <v>0</v>
      </c>
      <c r="M3465" s="246">
        <v>0</v>
      </c>
      <c r="N3465" s="246">
        <v>0.333333333333333</v>
      </c>
      <c r="O3465" s="255">
        <v>2</v>
      </c>
    </row>
    <row r="3466" spans="1:15">
      <c r="A3466" s="240" t="s">
        <v>69</v>
      </c>
      <c r="B3466" s="47" t="s">
        <v>55</v>
      </c>
      <c r="C3466" s="12">
        <v>0.867469879518072</v>
      </c>
      <c r="D3466" s="241">
        <v>1.26190476190476</v>
      </c>
      <c r="E3466" s="241">
        <v>1.03846153846154</v>
      </c>
      <c r="F3466" s="241">
        <v>0.944444444444444</v>
      </c>
      <c r="G3466" s="241">
        <v>1.05263157894737</v>
      </c>
      <c r="H3466" s="241">
        <v>0.847826086956522</v>
      </c>
      <c r="I3466" s="241">
        <v>0.68</v>
      </c>
      <c r="J3466" s="241">
        <v>0.604651162790698</v>
      </c>
      <c r="K3466" s="241">
        <v>0.869565217391304</v>
      </c>
      <c r="L3466" s="241">
        <v>0.782608695652174</v>
      </c>
      <c r="M3466" s="241">
        <v>0.608695652173913</v>
      </c>
      <c r="N3466" s="241">
        <v>1.01639344262295</v>
      </c>
      <c r="O3466" s="252">
        <v>0.909090909090909</v>
      </c>
    </row>
    <row r="3467" spans="1:15">
      <c r="A3467" s="242" t="s">
        <v>69</v>
      </c>
      <c r="B3467" s="43" t="s">
        <v>57</v>
      </c>
      <c r="C3467" s="15">
        <v>498</v>
      </c>
      <c r="D3467" s="243">
        <v>42</v>
      </c>
      <c r="E3467" s="243">
        <v>26</v>
      </c>
      <c r="F3467" s="243">
        <v>18</v>
      </c>
      <c r="G3467" s="243">
        <v>19</v>
      </c>
      <c r="H3467" s="243">
        <v>46</v>
      </c>
      <c r="I3467" s="243">
        <v>50</v>
      </c>
      <c r="J3467" s="243">
        <v>43</v>
      </c>
      <c r="K3467" s="243">
        <v>46</v>
      </c>
      <c r="L3467" s="243">
        <v>46</v>
      </c>
      <c r="M3467" s="243">
        <v>46</v>
      </c>
      <c r="N3467" s="243">
        <v>61</v>
      </c>
      <c r="O3467" s="253">
        <v>55</v>
      </c>
    </row>
    <row r="3468" spans="1:15">
      <c r="A3468" s="240" t="s">
        <v>69</v>
      </c>
      <c r="B3468" s="47" t="s">
        <v>59</v>
      </c>
      <c r="C3468" s="15">
        <v>432</v>
      </c>
      <c r="D3468" s="243">
        <v>53</v>
      </c>
      <c r="E3468" s="243">
        <v>27</v>
      </c>
      <c r="F3468" s="243">
        <v>17</v>
      </c>
      <c r="G3468" s="243">
        <v>20</v>
      </c>
      <c r="H3468" s="243">
        <v>39</v>
      </c>
      <c r="I3468" s="243">
        <v>34</v>
      </c>
      <c r="J3468" s="243">
        <v>26</v>
      </c>
      <c r="K3468" s="243">
        <v>40</v>
      </c>
      <c r="L3468" s="243">
        <v>36</v>
      </c>
      <c r="M3468" s="243">
        <v>28</v>
      </c>
      <c r="N3468" s="243">
        <v>62</v>
      </c>
      <c r="O3468" s="253">
        <v>50</v>
      </c>
    </row>
    <row r="3469" spans="1:15">
      <c r="A3469" s="242" t="s">
        <v>69</v>
      </c>
      <c r="B3469" s="43" t="s">
        <v>4</v>
      </c>
      <c r="C3469" s="15">
        <v>24</v>
      </c>
      <c r="D3469" s="244">
        <v>0</v>
      </c>
      <c r="E3469" s="244">
        <v>2</v>
      </c>
      <c r="F3469" s="244">
        <v>1</v>
      </c>
      <c r="G3469" s="244">
        <v>0</v>
      </c>
      <c r="H3469" s="244">
        <v>4</v>
      </c>
      <c r="I3469" s="244">
        <v>4</v>
      </c>
      <c r="J3469" s="244">
        <v>3</v>
      </c>
      <c r="K3469" s="244">
        <v>3</v>
      </c>
      <c r="L3469" s="244">
        <v>3</v>
      </c>
      <c r="M3469" s="244">
        <v>1</v>
      </c>
      <c r="N3469" s="244">
        <v>2</v>
      </c>
      <c r="O3469" s="254">
        <v>1</v>
      </c>
    </row>
    <row r="3470" spans="1:15">
      <c r="A3470" s="240" t="s">
        <v>69</v>
      </c>
      <c r="B3470" s="47" t="s">
        <v>5</v>
      </c>
      <c r="C3470" s="12">
        <v>0.0555555555555556</v>
      </c>
      <c r="D3470" s="241">
        <v>0</v>
      </c>
      <c r="E3470" s="241">
        <v>0.0740740740740741</v>
      </c>
      <c r="F3470" s="241">
        <v>0.0588235294117647</v>
      </c>
      <c r="G3470" s="241">
        <v>0</v>
      </c>
      <c r="H3470" s="241">
        <v>0.102564102564103</v>
      </c>
      <c r="I3470" s="241">
        <v>0.117647058823529</v>
      </c>
      <c r="J3470" s="241">
        <v>0.115384615384615</v>
      </c>
      <c r="K3470" s="241">
        <v>0.075</v>
      </c>
      <c r="L3470" s="241">
        <v>0.0833333333333333</v>
      </c>
      <c r="M3470" s="241">
        <v>0.0357142857142857</v>
      </c>
      <c r="N3470" s="241">
        <v>0.032258064516129</v>
      </c>
      <c r="O3470" s="252">
        <v>0.02</v>
      </c>
    </row>
    <row r="3471" spans="1:15">
      <c r="A3471" s="242" t="s">
        <v>69</v>
      </c>
      <c r="B3471" s="43" t="s">
        <v>6</v>
      </c>
      <c r="C3471" s="15">
        <v>10</v>
      </c>
      <c r="D3471" s="244">
        <v>0</v>
      </c>
      <c r="E3471" s="244">
        <v>1</v>
      </c>
      <c r="F3471" s="244">
        <v>1</v>
      </c>
      <c r="G3471" s="244">
        <v>0</v>
      </c>
      <c r="H3471" s="244">
        <v>0</v>
      </c>
      <c r="I3471" s="244">
        <v>1</v>
      </c>
      <c r="J3471" s="244">
        <v>1</v>
      </c>
      <c r="K3471" s="244">
        <v>1</v>
      </c>
      <c r="L3471" s="244">
        <v>0</v>
      </c>
      <c r="M3471" s="244">
        <v>3</v>
      </c>
      <c r="N3471" s="244">
        <v>1</v>
      </c>
      <c r="O3471" s="254">
        <v>1</v>
      </c>
    </row>
    <row r="3472" ht="14.25" spans="1:15">
      <c r="A3472" s="245" t="s">
        <v>69</v>
      </c>
      <c r="B3472" s="52" t="s">
        <v>64</v>
      </c>
      <c r="C3472" s="19">
        <v>0.416666666666667</v>
      </c>
      <c r="D3472" s="246">
        <v>0</v>
      </c>
      <c r="E3472" s="246">
        <v>0.5</v>
      </c>
      <c r="F3472" s="246">
        <v>1</v>
      </c>
      <c r="G3472" s="246">
        <v>0</v>
      </c>
      <c r="H3472" s="246">
        <v>0</v>
      </c>
      <c r="I3472" s="246">
        <v>0.25</v>
      </c>
      <c r="J3472" s="246">
        <v>0.333333333333333</v>
      </c>
      <c r="K3472" s="246">
        <v>0.333333333333333</v>
      </c>
      <c r="L3472" s="246">
        <v>0</v>
      </c>
      <c r="M3472" s="246">
        <v>3</v>
      </c>
      <c r="N3472" s="246">
        <v>0.5</v>
      </c>
      <c r="O3472" s="255">
        <v>1</v>
      </c>
    </row>
    <row r="3473" spans="1:15">
      <c r="A3473" s="240" t="s">
        <v>70</v>
      </c>
      <c r="B3473" s="47" t="s">
        <v>55</v>
      </c>
      <c r="C3473" s="12">
        <v>0.302223308086978</v>
      </c>
      <c r="D3473" s="241">
        <v>0.367521367521368</v>
      </c>
      <c r="E3473" s="241">
        <v>0.441340782122905</v>
      </c>
      <c r="F3473" s="241">
        <v>0.331081081081081</v>
      </c>
      <c r="G3473" s="241">
        <v>0.346666666666667</v>
      </c>
      <c r="H3473" s="241">
        <v>0.456066945606695</v>
      </c>
      <c r="I3473" s="241">
        <v>0.305039787798409</v>
      </c>
      <c r="J3473" s="241">
        <v>0.307692307692308</v>
      </c>
      <c r="K3473" s="241">
        <v>0.3</v>
      </c>
      <c r="L3473" s="241">
        <v>0.231707317073171</v>
      </c>
      <c r="M3473" s="241">
        <v>0.295566502463054</v>
      </c>
      <c r="N3473" s="241">
        <v>0.229249011857708</v>
      </c>
      <c r="O3473" s="252">
        <v>0.252559726962457</v>
      </c>
    </row>
    <row r="3474" spans="1:15">
      <c r="A3474" s="242" t="s">
        <v>70</v>
      </c>
      <c r="B3474" s="43" t="s">
        <v>57</v>
      </c>
      <c r="C3474" s="15">
        <v>4093</v>
      </c>
      <c r="D3474" s="243">
        <v>351</v>
      </c>
      <c r="E3474" s="243">
        <v>179</v>
      </c>
      <c r="F3474" s="243">
        <v>148</v>
      </c>
      <c r="G3474" s="243">
        <v>150</v>
      </c>
      <c r="H3474" s="243">
        <v>239</v>
      </c>
      <c r="I3474" s="243">
        <v>377</v>
      </c>
      <c r="J3474" s="243">
        <v>351</v>
      </c>
      <c r="K3474" s="243">
        <v>390</v>
      </c>
      <c r="L3474" s="243">
        <v>410</v>
      </c>
      <c r="M3474" s="243">
        <v>406</v>
      </c>
      <c r="N3474" s="243">
        <v>506</v>
      </c>
      <c r="O3474" s="253">
        <v>586</v>
      </c>
    </row>
    <row r="3475" spans="1:15">
      <c r="A3475" s="240" t="s">
        <v>70</v>
      </c>
      <c r="B3475" s="47" t="s">
        <v>59</v>
      </c>
      <c r="C3475" s="15">
        <v>1237</v>
      </c>
      <c r="D3475" s="243">
        <v>129</v>
      </c>
      <c r="E3475" s="243">
        <v>79</v>
      </c>
      <c r="F3475" s="243">
        <v>49</v>
      </c>
      <c r="G3475" s="243">
        <v>52</v>
      </c>
      <c r="H3475" s="243">
        <v>109</v>
      </c>
      <c r="I3475" s="243">
        <v>115</v>
      </c>
      <c r="J3475" s="243">
        <v>108</v>
      </c>
      <c r="K3475" s="243">
        <v>117</v>
      </c>
      <c r="L3475" s="243">
        <v>95</v>
      </c>
      <c r="M3475" s="243">
        <v>120</v>
      </c>
      <c r="N3475" s="243">
        <v>116</v>
      </c>
      <c r="O3475" s="253">
        <v>148</v>
      </c>
    </row>
    <row r="3476" spans="1:15">
      <c r="A3476" s="242" t="s">
        <v>70</v>
      </c>
      <c r="B3476" s="43" t="s">
        <v>4</v>
      </c>
      <c r="C3476" s="15">
        <v>132</v>
      </c>
      <c r="D3476" s="244">
        <v>18</v>
      </c>
      <c r="E3476" s="244">
        <v>10</v>
      </c>
      <c r="F3476" s="244">
        <v>5</v>
      </c>
      <c r="G3476" s="244">
        <v>3</v>
      </c>
      <c r="H3476" s="244">
        <v>7</v>
      </c>
      <c r="I3476" s="244">
        <v>9</v>
      </c>
      <c r="J3476" s="244">
        <v>12</v>
      </c>
      <c r="K3476" s="244">
        <v>8</v>
      </c>
      <c r="L3476" s="244">
        <v>15</v>
      </c>
      <c r="M3476" s="244">
        <v>5</v>
      </c>
      <c r="N3476" s="244">
        <v>16</v>
      </c>
      <c r="O3476" s="254">
        <v>24</v>
      </c>
    </row>
    <row r="3477" spans="1:15">
      <c r="A3477" s="240" t="s">
        <v>70</v>
      </c>
      <c r="B3477" s="47" t="s">
        <v>5</v>
      </c>
      <c r="C3477" s="12">
        <v>0.106709781729992</v>
      </c>
      <c r="D3477" s="241">
        <v>0.13953488372093</v>
      </c>
      <c r="E3477" s="241">
        <v>0.126582278481013</v>
      </c>
      <c r="F3477" s="241">
        <v>0.102040816326531</v>
      </c>
      <c r="G3477" s="241">
        <v>0.0576923076923077</v>
      </c>
      <c r="H3477" s="241">
        <v>0.0642201834862385</v>
      </c>
      <c r="I3477" s="241">
        <v>0.0782608695652174</v>
      </c>
      <c r="J3477" s="241">
        <v>0.111111111111111</v>
      </c>
      <c r="K3477" s="241">
        <v>0.0683760683760684</v>
      </c>
      <c r="L3477" s="241">
        <v>0.157894736842105</v>
      </c>
      <c r="M3477" s="241">
        <v>0.0416666666666667</v>
      </c>
      <c r="N3477" s="241">
        <v>0.137931034482759</v>
      </c>
      <c r="O3477" s="252">
        <v>0.162162162162162</v>
      </c>
    </row>
    <row r="3478" spans="1:15">
      <c r="A3478" s="242" t="s">
        <v>70</v>
      </c>
      <c r="B3478" s="43" t="s">
        <v>6</v>
      </c>
      <c r="C3478" s="15">
        <v>33</v>
      </c>
      <c r="D3478" s="244">
        <v>6</v>
      </c>
      <c r="E3478" s="244">
        <v>2</v>
      </c>
      <c r="F3478" s="244">
        <v>2</v>
      </c>
      <c r="G3478" s="244">
        <v>1</v>
      </c>
      <c r="H3478" s="244">
        <v>2</v>
      </c>
      <c r="I3478" s="244">
        <v>7</v>
      </c>
      <c r="J3478" s="244">
        <v>3</v>
      </c>
      <c r="K3478" s="244">
        <v>3</v>
      </c>
      <c r="L3478" s="244">
        <v>1</v>
      </c>
      <c r="M3478" s="244">
        <v>1</v>
      </c>
      <c r="N3478" s="244">
        <v>3</v>
      </c>
      <c r="O3478" s="254">
        <v>2</v>
      </c>
    </row>
    <row r="3479" ht="14.25" spans="1:15">
      <c r="A3479" s="245" t="s">
        <v>70</v>
      </c>
      <c r="B3479" s="52" t="s">
        <v>64</v>
      </c>
      <c r="C3479" s="19">
        <v>0.25</v>
      </c>
      <c r="D3479" s="246">
        <v>0.333333333333333</v>
      </c>
      <c r="E3479" s="246">
        <v>0.2</v>
      </c>
      <c r="F3479" s="246">
        <v>0.4</v>
      </c>
      <c r="G3479" s="246">
        <v>0.333333333333333</v>
      </c>
      <c r="H3479" s="246">
        <v>0.285714285714286</v>
      </c>
      <c r="I3479" s="246">
        <v>0.777777777777778</v>
      </c>
      <c r="J3479" s="246">
        <v>0.25</v>
      </c>
      <c r="K3479" s="246">
        <v>0.375</v>
      </c>
      <c r="L3479" s="246">
        <v>0.0666666666666667</v>
      </c>
      <c r="M3479" s="246">
        <v>0.2</v>
      </c>
      <c r="N3479" s="246">
        <v>0.1875</v>
      </c>
      <c r="O3479" s="255">
        <v>0.0833333333333333</v>
      </c>
    </row>
    <row r="3480" spans="1:15">
      <c r="A3480" s="240" t="s">
        <v>26</v>
      </c>
      <c r="B3480" s="47" t="s">
        <v>55</v>
      </c>
      <c r="C3480" s="12">
        <v>0.700262927256792</v>
      </c>
      <c r="D3480" s="241">
        <v>0.658862876254181</v>
      </c>
      <c r="E3480" s="241">
        <v>0.588235294117647</v>
      </c>
      <c r="F3480" s="241">
        <v>0.494545454545455</v>
      </c>
      <c r="G3480" s="241">
        <v>0.634146341463415</v>
      </c>
      <c r="H3480" s="241">
        <v>0.813793103448276</v>
      </c>
      <c r="I3480" s="241">
        <v>0.873873873873874</v>
      </c>
      <c r="J3480" s="241">
        <v>0.748502994011976</v>
      </c>
      <c r="K3480" s="241">
        <v>0.597402597402597</v>
      </c>
      <c r="L3480" s="241">
        <v>0.842424242424242</v>
      </c>
      <c r="M3480" s="241">
        <v>0.823899371069182</v>
      </c>
      <c r="N3480" s="241">
        <v>0.978571428571429</v>
      </c>
      <c r="O3480" s="252">
        <v>0.816326530612245</v>
      </c>
    </row>
    <row r="3481" spans="1:15">
      <c r="A3481" s="242" t="s">
        <v>26</v>
      </c>
      <c r="B3481" s="43" t="s">
        <v>57</v>
      </c>
      <c r="C3481" s="15">
        <v>2282</v>
      </c>
      <c r="D3481" s="243">
        <v>299</v>
      </c>
      <c r="E3481" s="243">
        <v>323</v>
      </c>
      <c r="F3481" s="243">
        <v>275</v>
      </c>
      <c r="G3481" s="243">
        <v>246</v>
      </c>
      <c r="H3481" s="243">
        <v>145</v>
      </c>
      <c r="I3481" s="243">
        <v>111</v>
      </c>
      <c r="J3481" s="243">
        <v>167</v>
      </c>
      <c r="K3481" s="243">
        <v>154</v>
      </c>
      <c r="L3481" s="243">
        <v>165</v>
      </c>
      <c r="M3481" s="243">
        <v>159</v>
      </c>
      <c r="N3481" s="243">
        <v>140</v>
      </c>
      <c r="O3481" s="253">
        <v>98</v>
      </c>
    </row>
    <row r="3482" spans="1:15">
      <c r="A3482" s="240" t="s">
        <v>26</v>
      </c>
      <c r="B3482" s="47" t="s">
        <v>59</v>
      </c>
      <c r="C3482" s="15">
        <v>1598</v>
      </c>
      <c r="D3482" s="243">
        <v>197</v>
      </c>
      <c r="E3482" s="243">
        <v>190</v>
      </c>
      <c r="F3482" s="243">
        <v>136</v>
      </c>
      <c r="G3482" s="243">
        <v>156</v>
      </c>
      <c r="H3482" s="243">
        <v>118</v>
      </c>
      <c r="I3482" s="243">
        <v>97</v>
      </c>
      <c r="J3482" s="243">
        <v>125</v>
      </c>
      <c r="K3482" s="243">
        <v>92</v>
      </c>
      <c r="L3482" s="243">
        <v>139</v>
      </c>
      <c r="M3482" s="243">
        <v>131</v>
      </c>
      <c r="N3482" s="243">
        <v>137</v>
      </c>
      <c r="O3482" s="253">
        <v>80</v>
      </c>
    </row>
    <row r="3483" spans="1:15">
      <c r="A3483" s="242" t="s">
        <v>26</v>
      </c>
      <c r="B3483" s="43" t="s">
        <v>4</v>
      </c>
      <c r="C3483" s="15">
        <v>5</v>
      </c>
      <c r="D3483" s="244">
        <v>0</v>
      </c>
      <c r="E3483" s="244">
        <v>0</v>
      </c>
      <c r="F3483" s="244">
        <v>1</v>
      </c>
      <c r="G3483" s="244">
        <v>0</v>
      </c>
      <c r="H3483" s="244">
        <v>0</v>
      </c>
      <c r="I3483" s="244">
        <v>1</v>
      </c>
      <c r="J3483" s="244">
        <v>0</v>
      </c>
      <c r="K3483" s="244">
        <v>0</v>
      </c>
      <c r="L3483" s="244">
        <v>1</v>
      </c>
      <c r="M3483" s="244">
        <v>1</v>
      </c>
      <c r="N3483" s="244">
        <v>1</v>
      </c>
      <c r="O3483" s="254">
        <v>0</v>
      </c>
    </row>
    <row r="3484" spans="1:15">
      <c r="A3484" s="240" t="s">
        <v>26</v>
      </c>
      <c r="B3484" s="47" t="s">
        <v>5</v>
      </c>
      <c r="C3484" s="12">
        <v>0.00312891113892365</v>
      </c>
      <c r="D3484" s="241">
        <v>0</v>
      </c>
      <c r="E3484" s="241">
        <v>0</v>
      </c>
      <c r="F3484" s="241">
        <v>0.00735294117647059</v>
      </c>
      <c r="G3484" s="241">
        <v>0</v>
      </c>
      <c r="H3484" s="241">
        <v>0</v>
      </c>
      <c r="I3484" s="241">
        <v>0.0103092783505155</v>
      </c>
      <c r="J3484" s="241">
        <v>0</v>
      </c>
      <c r="K3484" s="241">
        <v>0</v>
      </c>
      <c r="L3484" s="241">
        <v>0.00719424460431655</v>
      </c>
      <c r="M3484" s="241">
        <v>0.00763358778625954</v>
      </c>
      <c r="N3484" s="241">
        <v>0.0072992700729927</v>
      </c>
      <c r="O3484" s="252">
        <v>0</v>
      </c>
    </row>
    <row r="3485" spans="1:15">
      <c r="A3485" s="242" t="s">
        <v>26</v>
      </c>
      <c r="B3485" s="43" t="s">
        <v>6</v>
      </c>
      <c r="C3485" s="15">
        <v>6</v>
      </c>
      <c r="D3485" s="244">
        <v>0</v>
      </c>
      <c r="E3485" s="244">
        <v>0</v>
      </c>
      <c r="F3485" s="244">
        <v>0</v>
      </c>
      <c r="G3485" s="244">
        <v>1</v>
      </c>
      <c r="H3485" s="244">
        <v>1</v>
      </c>
      <c r="I3485" s="244">
        <v>0</v>
      </c>
      <c r="J3485" s="244">
        <v>2</v>
      </c>
      <c r="K3485" s="244">
        <v>0</v>
      </c>
      <c r="L3485" s="244">
        <v>0</v>
      </c>
      <c r="M3485" s="244">
        <v>2</v>
      </c>
      <c r="N3485" s="244">
        <v>0</v>
      </c>
      <c r="O3485" s="254">
        <v>0</v>
      </c>
    </row>
    <row r="3486" ht="14.25" spans="1:15">
      <c r="A3486" s="245" t="s">
        <v>26</v>
      </c>
      <c r="B3486" s="52" t="s">
        <v>64</v>
      </c>
      <c r="C3486" s="19">
        <v>1.2</v>
      </c>
      <c r="D3486" s="19" t="e">
        <v>#DIV/0!</v>
      </c>
      <c r="E3486" s="19" t="e">
        <v>#DIV/0!</v>
      </c>
      <c r="F3486" s="19">
        <v>0</v>
      </c>
      <c r="G3486" s="19" t="e">
        <v>#DIV/0!</v>
      </c>
      <c r="H3486" s="19" t="e">
        <v>#DIV/0!</v>
      </c>
      <c r="I3486" s="19">
        <v>0</v>
      </c>
      <c r="J3486" s="19" t="e">
        <v>#DIV/0!</v>
      </c>
      <c r="K3486" s="19" t="e">
        <v>#DIV/0!</v>
      </c>
      <c r="L3486" s="19">
        <v>0</v>
      </c>
      <c r="M3486" s="19">
        <v>2</v>
      </c>
      <c r="N3486" s="19">
        <v>0</v>
      </c>
      <c r="O3486" s="19" t="e">
        <v>#DIV/0!</v>
      </c>
    </row>
    <row r="3487" spans="1:15">
      <c r="A3487" s="240" t="s">
        <v>71</v>
      </c>
      <c r="B3487" s="47" t="s">
        <v>55</v>
      </c>
      <c r="C3487" s="12">
        <v>11</v>
      </c>
      <c r="D3487" s="241" t="e">
        <v>#DIV/0!</v>
      </c>
      <c r="E3487" s="241" t="e">
        <v>#DIV/0!</v>
      </c>
      <c r="F3487" s="241">
        <v>0</v>
      </c>
      <c r="G3487" s="241" t="e">
        <v>#DIV/0!</v>
      </c>
      <c r="H3487" s="241" t="e">
        <v>#DIV/0!</v>
      </c>
      <c r="I3487" s="241" t="e">
        <v>#DIV/0!</v>
      </c>
      <c r="J3487" s="241" t="e">
        <v>#DIV/0!</v>
      </c>
      <c r="K3487" s="241" t="e">
        <v>#DIV/0!</v>
      </c>
      <c r="L3487" s="241" t="e">
        <v>#DIV/0!</v>
      </c>
      <c r="M3487" s="241" t="e">
        <v>#DIV/0!</v>
      </c>
      <c r="N3487" s="241" t="e">
        <v>#DIV/0!</v>
      </c>
      <c r="O3487" s="252" t="e">
        <v>#DIV/0!</v>
      </c>
    </row>
    <row r="3488" spans="1:15">
      <c r="A3488" s="242" t="s">
        <v>71</v>
      </c>
      <c r="B3488" s="43" t="s">
        <v>57</v>
      </c>
      <c r="C3488" s="15">
        <v>1</v>
      </c>
      <c r="D3488" s="243">
        <v>0</v>
      </c>
      <c r="E3488" s="243">
        <v>0</v>
      </c>
      <c r="F3488" s="243">
        <v>1</v>
      </c>
      <c r="G3488" s="243">
        <v>0</v>
      </c>
      <c r="H3488" s="243">
        <v>0</v>
      </c>
      <c r="I3488" s="243">
        <v>0</v>
      </c>
      <c r="J3488" s="243">
        <v>0</v>
      </c>
      <c r="K3488" s="243">
        <v>0</v>
      </c>
      <c r="L3488" s="243">
        <v>0</v>
      </c>
      <c r="M3488" s="243">
        <v>0</v>
      </c>
      <c r="N3488" s="243">
        <v>0</v>
      </c>
      <c r="O3488" s="253">
        <v>0</v>
      </c>
    </row>
    <row r="3489" spans="1:15">
      <c r="A3489" s="240" t="s">
        <v>71</v>
      </c>
      <c r="B3489" s="47" t="s">
        <v>59</v>
      </c>
      <c r="C3489" s="15">
        <v>11</v>
      </c>
      <c r="D3489" s="243">
        <v>1</v>
      </c>
      <c r="E3489" s="243">
        <v>1</v>
      </c>
      <c r="F3489" s="243">
        <v>0</v>
      </c>
      <c r="G3489" s="243">
        <v>2</v>
      </c>
      <c r="H3489" s="243">
        <v>1</v>
      </c>
      <c r="I3489" s="243">
        <v>0</v>
      </c>
      <c r="J3489" s="243">
        <v>0</v>
      </c>
      <c r="K3489" s="243">
        <v>2</v>
      </c>
      <c r="L3489" s="243">
        <v>1</v>
      </c>
      <c r="M3489" s="243">
        <v>0</v>
      </c>
      <c r="N3489" s="243">
        <v>2</v>
      </c>
      <c r="O3489" s="253">
        <v>1</v>
      </c>
    </row>
    <row r="3490" spans="1:15">
      <c r="A3490" s="242" t="s">
        <v>71</v>
      </c>
      <c r="B3490" s="43" t="s">
        <v>4</v>
      </c>
      <c r="C3490" s="15">
        <v>5</v>
      </c>
      <c r="D3490" s="244">
        <v>0</v>
      </c>
      <c r="E3490" s="244">
        <v>0</v>
      </c>
      <c r="F3490" s="244">
        <v>1</v>
      </c>
      <c r="G3490" s="244">
        <v>0</v>
      </c>
      <c r="H3490" s="244">
        <v>2</v>
      </c>
      <c r="I3490" s="244">
        <v>0</v>
      </c>
      <c r="J3490" s="244">
        <v>1</v>
      </c>
      <c r="K3490" s="244">
        <v>0</v>
      </c>
      <c r="L3490" s="244">
        <v>0</v>
      </c>
      <c r="M3490" s="244">
        <v>0</v>
      </c>
      <c r="N3490" s="244">
        <v>0</v>
      </c>
      <c r="O3490" s="254">
        <v>1</v>
      </c>
    </row>
    <row r="3491" spans="1:15">
      <c r="A3491" s="240" t="s">
        <v>71</v>
      </c>
      <c r="B3491" s="47" t="s">
        <v>5</v>
      </c>
      <c r="C3491" s="241">
        <v>0.454545454545455</v>
      </c>
      <c r="D3491" s="241">
        <v>0</v>
      </c>
      <c r="E3491" s="241">
        <v>0</v>
      </c>
      <c r="F3491" s="241">
        <v>0</v>
      </c>
      <c r="G3491" s="241">
        <v>0</v>
      </c>
      <c r="H3491" s="241">
        <v>2</v>
      </c>
      <c r="I3491" s="241">
        <v>0</v>
      </c>
      <c r="J3491" s="241">
        <v>0</v>
      </c>
      <c r="K3491" s="241">
        <v>0</v>
      </c>
      <c r="L3491" s="241">
        <v>0</v>
      </c>
      <c r="M3491" s="241">
        <v>0</v>
      </c>
      <c r="N3491" s="241">
        <v>0</v>
      </c>
      <c r="O3491" s="252">
        <v>1</v>
      </c>
    </row>
    <row r="3492" spans="1:15">
      <c r="A3492" s="242" t="s">
        <v>71</v>
      </c>
      <c r="B3492" s="43" t="s">
        <v>6</v>
      </c>
      <c r="C3492" s="15">
        <v>1</v>
      </c>
      <c r="D3492" s="244">
        <v>0</v>
      </c>
      <c r="E3492" s="244">
        <v>0</v>
      </c>
      <c r="F3492" s="244">
        <v>0</v>
      </c>
      <c r="G3492" s="244">
        <v>0</v>
      </c>
      <c r="H3492" s="244">
        <v>0</v>
      </c>
      <c r="I3492" s="244">
        <v>0</v>
      </c>
      <c r="J3492" s="244">
        <v>0</v>
      </c>
      <c r="K3492" s="244">
        <v>1</v>
      </c>
      <c r="L3492" s="244">
        <v>0</v>
      </c>
      <c r="M3492" s="244">
        <v>0</v>
      </c>
      <c r="N3492" s="244">
        <v>0</v>
      </c>
      <c r="O3492" s="254">
        <v>0</v>
      </c>
    </row>
    <row r="3493" ht="14.25" spans="1:15">
      <c r="A3493" s="245" t="s">
        <v>71</v>
      </c>
      <c r="B3493" s="52" t="s">
        <v>64</v>
      </c>
      <c r="C3493" s="19">
        <v>0.2</v>
      </c>
      <c r="D3493" s="19" t="e">
        <v>#DIV/0!</v>
      </c>
      <c r="E3493" s="19" t="e">
        <v>#DIV/0!</v>
      </c>
      <c r="F3493" s="19">
        <v>0</v>
      </c>
      <c r="G3493" s="19" t="e">
        <v>#DIV/0!</v>
      </c>
      <c r="H3493" s="19">
        <v>0</v>
      </c>
      <c r="I3493" s="19" t="e">
        <v>#DIV/0!</v>
      </c>
      <c r="J3493" s="19">
        <v>0</v>
      </c>
      <c r="K3493" s="19" t="e">
        <v>#DIV/0!</v>
      </c>
      <c r="L3493" s="19" t="e">
        <v>#DIV/0!</v>
      </c>
      <c r="M3493" s="19" t="e">
        <v>#DIV/0!</v>
      </c>
      <c r="N3493" s="19" t="e">
        <v>#DIV/0!</v>
      </c>
      <c r="O3493" s="19">
        <v>0</v>
      </c>
    </row>
    <row r="3494" spans="1:15">
      <c r="A3494" s="240" t="s">
        <v>72</v>
      </c>
      <c r="B3494" s="47" t="s">
        <v>55</v>
      </c>
      <c r="C3494" s="12">
        <v>0.174221736755871</v>
      </c>
      <c r="D3494" s="241">
        <v>0.2096</v>
      </c>
      <c r="E3494" s="241">
        <v>0.217142857142857</v>
      </c>
      <c r="F3494" s="241">
        <v>0.149532710280374</v>
      </c>
      <c r="G3494" s="241">
        <v>0.178451178451178</v>
      </c>
      <c r="H3494" s="241">
        <v>0.221024258760108</v>
      </c>
      <c r="I3494" s="241">
        <v>0.169776119402985</v>
      </c>
      <c r="J3494" s="241">
        <v>0.2109375</v>
      </c>
      <c r="K3494" s="241">
        <v>0.197031039136302</v>
      </c>
      <c r="L3494" s="241">
        <v>0.164073550212164</v>
      </c>
      <c r="M3494" s="241">
        <v>0.141456582633053</v>
      </c>
      <c r="N3494" s="241">
        <v>0.144995322731525</v>
      </c>
      <c r="O3494" s="252">
        <v>0.155723905723906</v>
      </c>
    </row>
    <row r="3495" spans="1:15">
      <c r="A3495" s="242" t="s">
        <v>72</v>
      </c>
      <c r="B3495" s="43" t="s">
        <v>57</v>
      </c>
      <c r="C3495" s="15">
        <v>7324</v>
      </c>
      <c r="D3495" s="243">
        <v>625</v>
      </c>
      <c r="E3495" s="243">
        <v>350</v>
      </c>
      <c r="F3495" s="243">
        <v>214</v>
      </c>
      <c r="G3495" s="243">
        <v>297</v>
      </c>
      <c r="H3495" s="243">
        <v>371</v>
      </c>
      <c r="I3495" s="243">
        <v>536</v>
      </c>
      <c r="J3495" s="243">
        <v>512</v>
      </c>
      <c r="K3495" s="243">
        <v>741</v>
      </c>
      <c r="L3495" s="243">
        <v>707</v>
      </c>
      <c r="M3495" s="243">
        <v>714</v>
      </c>
      <c r="N3495" s="243">
        <v>1069</v>
      </c>
      <c r="O3495" s="253">
        <v>1188</v>
      </c>
    </row>
    <row r="3496" spans="1:15">
      <c r="A3496" s="240" t="s">
        <v>72</v>
      </c>
      <c r="B3496" s="47" t="s">
        <v>59</v>
      </c>
      <c r="C3496" s="15">
        <v>1276</v>
      </c>
      <c r="D3496" s="243">
        <v>131</v>
      </c>
      <c r="E3496" s="243">
        <v>76</v>
      </c>
      <c r="F3496" s="243">
        <v>32</v>
      </c>
      <c r="G3496" s="243">
        <v>53</v>
      </c>
      <c r="H3496" s="243">
        <v>82</v>
      </c>
      <c r="I3496" s="243">
        <v>91</v>
      </c>
      <c r="J3496" s="243">
        <v>108</v>
      </c>
      <c r="K3496" s="243">
        <v>146</v>
      </c>
      <c r="L3496" s="243">
        <v>116</v>
      </c>
      <c r="M3496" s="243">
        <v>101</v>
      </c>
      <c r="N3496" s="243">
        <v>155</v>
      </c>
      <c r="O3496" s="253">
        <v>185</v>
      </c>
    </row>
    <row r="3497" spans="1:15">
      <c r="A3497" s="242" t="s">
        <v>72</v>
      </c>
      <c r="B3497" s="43" t="s">
        <v>4</v>
      </c>
      <c r="C3497" s="15">
        <v>113</v>
      </c>
      <c r="D3497" s="244">
        <v>15</v>
      </c>
      <c r="E3497" s="244">
        <v>8</v>
      </c>
      <c r="F3497" s="244">
        <v>4</v>
      </c>
      <c r="G3497" s="244">
        <v>3</v>
      </c>
      <c r="H3497" s="244">
        <v>11</v>
      </c>
      <c r="I3497" s="244">
        <v>10</v>
      </c>
      <c r="J3497" s="244">
        <v>6</v>
      </c>
      <c r="K3497" s="244">
        <v>7</v>
      </c>
      <c r="L3497" s="244">
        <v>10</v>
      </c>
      <c r="M3497" s="244">
        <v>9</v>
      </c>
      <c r="N3497" s="244">
        <v>16</v>
      </c>
      <c r="O3497" s="254">
        <v>14</v>
      </c>
    </row>
    <row r="3498" spans="1:15">
      <c r="A3498" s="240" t="s">
        <v>72</v>
      </c>
      <c r="B3498" s="47" t="s">
        <v>5</v>
      </c>
      <c r="C3498" s="12">
        <v>0.0885579937304075</v>
      </c>
      <c r="D3498" s="241">
        <v>0.114503816793893</v>
      </c>
      <c r="E3498" s="241">
        <v>0.105263157894737</v>
      </c>
      <c r="F3498" s="241">
        <v>0.125</v>
      </c>
      <c r="G3498" s="241">
        <v>0.0566037735849057</v>
      </c>
      <c r="H3498" s="241">
        <v>0.134146341463415</v>
      </c>
      <c r="I3498" s="241">
        <v>0.10989010989011</v>
      </c>
      <c r="J3498" s="241">
        <v>0.0555555555555556</v>
      </c>
      <c r="K3498" s="241">
        <v>0.0479452054794521</v>
      </c>
      <c r="L3498" s="241">
        <v>0.0862068965517241</v>
      </c>
      <c r="M3498" s="241">
        <v>0.0891089108910891</v>
      </c>
      <c r="N3498" s="241">
        <v>0.103225806451613</v>
      </c>
      <c r="O3498" s="252">
        <v>0.0756756756756757</v>
      </c>
    </row>
    <row r="3499" spans="1:15">
      <c r="A3499" s="242" t="s">
        <v>72</v>
      </c>
      <c r="B3499" s="43" t="s">
        <v>6</v>
      </c>
      <c r="C3499" s="15">
        <v>23</v>
      </c>
      <c r="D3499" s="244">
        <v>3</v>
      </c>
      <c r="E3499" s="244">
        <v>3</v>
      </c>
      <c r="F3499" s="244">
        <v>1</v>
      </c>
      <c r="G3499" s="244">
        <v>2</v>
      </c>
      <c r="H3499" s="244">
        <v>1</v>
      </c>
      <c r="I3499" s="244">
        <v>1</v>
      </c>
      <c r="J3499" s="244">
        <v>1</v>
      </c>
      <c r="K3499" s="244">
        <v>1</v>
      </c>
      <c r="L3499" s="244">
        <v>4</v>
      </c>
      <c r="M3499" s="244">
        <v>2</v>
      </c>
      <c r="N3499" s="244">
        <v>2</v>
      </c>
      <c r="O3499" s="254">
        <v>2</v>
      </c>
    </row>
    <row r="3500" ht="14.25" spans="1:15">
      <c r="A3500" s="245" t="s">
        <v>72</v>
      </c>
      <c r="B3500" s="52" t="s">
        <v>64</v>
      </c>
      <c r="C3500" s="19">
        <v>0.20353982300885</v>
      </c>
      <c r="D3500" s="19">
        <v>0.2</v>
      </c>
      <c r="E3500" s="19">
        <v>0.375</v>
      </c>
      <c r="F3500" s="19">
        <v>0.25</v>
      </c>
      <c r="G3500" s="19">
        <v>0.666666666666667</v>
      </c>
      <c r="H3500" s="19">
        <v>0.0909090909090909</v>
      </c>
      <c r="I3500" s="19">
        <v>0.1</v>
      </c>
      <c r="J3500" s="19">
        <v>0.166666666666667</v>
      </c>
      <c r="K3500" s="19">
        <v>0.142857142857143</v>
      </c>
      <c r="L3500" s="19">
        <v>0.4</v>
      </c>
      <c r="M3500" s="19">
        <v>0.222222222222222</v>
      </c>
      <c r="N3500" s="19">
        <v>0.125</v>
      </c>
      <c r="O3500" s="19">
        <v>0.142857142857143</v>
      </c>
    </row>
    <row r="3501" ht="14.25" spans="1:15">
      <c r="A3501" s="237">
        <v>45073</v>
      </c>
      <c r="B3501" s="237"/>
      <c r="C3501" s="237"/>
      <c r="D3501" s="237"/>
      <c r="E3501" s="237"/>
      <c r="F3501" s="237"/>
      <c r="G3501" s="237"/>
      <c r="H3501" s="237"/>
      <c r="I3501" s="237"/>
      <c r="J3501" s="237"/>
      <c r="K3501" s="237"/>
      <c r="L3501" s="237"/>
      <c r="M3501" s="237"/>
      <c r="N3501" s="237"/>
      <c r="O3501" s="237"/>
    </row>
    <row r="3502" spans="1:15">
      <c r="A3502" s="56" t="s">
        <v>1</v>
      </c>
      <c r="B3502" s="238"/>
      <c r="C3502" s="8" t="s">
        <v>42</v>
      </c>
      <c r="D3502" s="239" t="s">
        <v>43</v>
      </c>
      <c r="E3502" s="239" t="s">
        <v>44</v>
      </c>
      <c r="F3502" s="239" t="s">
        <v>45</v>
      </c>
      <c r="G3502" s="239" t="s">
        <v>46</v>
      </c>
      <c r="H3502" s="239" t="s">
        <v>47</v>
      </c>
      <c r="I3502" s="239" t="s">
        <v>48</v>
      </c>
      <c r="J3502" s="239" t="s">
        <v>49</v>
      </c>
      <c r="K3502" s="239" t="s">
        <v>50</v>
      </c>
      <c r="L3502" s="239" t="s">
        <v>51</v>
      </c>
      <c r="M3502" s="239" t="s">
        <v>52</v>
      </c>
      <c r="N3502" s="239" t="s">
        <v>53</v>
      </c>
      <c r="O3502" s="251" t="s">
        <v>54</v>
      </c>
    </row>
    <row r="3503" spans="1:15">
      <c r="A3503" s="240" t="s">
        <v>22</v>
      </c>
      <c r="B3503" s="47" t="s">
        <v>55</v>
      </c>
      <c r="C3503" s="12">
        <v>0.384285714285714</v>
      </c>
      <c r="D3503" s="241">
        <v>0.400386847195358</v>
      </c>
      <c r="E3503" s="241">
        <v>0.369047619047619</v>
      </c>
      <c r="F3503" s="241">
        <v>0.383333333333333</v>
      </c>
      <c r="G3503" s="241">
        <v>0.447236180904523</v>
      </c>
      <c r="H3503" s="241">
        <v>0.406976744186047</v>
      </c>
      <c r="I3503" s="241">
        <v>0.402402402402402</v>
      </c>
      <c r="J3503" s="241">
        <v>0.381471389645777</v>
      </c>
      <c r="K3503" s="241">
        <v>0.340966921119593</v>
      </c>
      <c r="L3503" s="241">
        <v>0.389705882352941</v>
      </c>
      <c r="M3503" s="241">
        <v>0.376996805111821</v>
      </c>
      <c r="N3503" s="241">
        <v>0.347619047619048</v>
      </c>
      <c r="O3503" s="252">
        <v>0.392857142857143</v>
      </c>
    </row>
    <row r="3504" spans="1:15">
      <c r="A3504" s="242" t="s">
        <v>22</v>
      </c>
      <c r="B3504" s="43" t="s">
        <v>57</v>
      </c>
      <c r="C3504" s="15">
        <v>4200</v>
      </c>
      <c r="D3504" s="243">
        <v>517</v>
      </c>
      <c r="E3504" s="243">
        <v>252</v>
      </c>
      <c r="F3504" s="243">
        <v>180</v>
      </c>
      <c r="G3504" s="243">
        <v>199</v>
      </c>
      <c r="H3504" s="243">
        <v>258</v>
      </c>
      <c r="I3504" s="243">
        <v>333</v>
      </c>
      <c r="J3504" s="243">
        <v>367</v>
      </c>
      <c r="K3504" s="243">
        <v>393</v>
      </c>
      <c r="L3504" s="243">
        <v>408</v>
      </c>
      <c r="M3504" s="243">
        <v>313</v>
      </c>
      <c r="N3504" s="243">
        <v>420</v>
      </c>
      <c r="O3504" s="253">
        <v>560</v>
      </c>
    </row>
    <row r="3505" spans="1:15">
      <c r="A3505" s="240" t="s">
        <v>22</v>
      </c>
      <c r="B3505" s="47" t="s">
        <v>59</v>
      </c>
      <c r="C3505" s="15">
        <v>1614</v>
      </c>
      <c r="D3505" s="243">
        <v>207</v>
      </c>
      <c r="E3505" s="243">
        <v>93</v>
      </c>
      <c r="F3505" s="243">
        <v>69</v>
      </c>
      <c r="G3505" s="243">
        <v>89</v>
      </c>
      <c r="H3505" s="243">
        <v>105</v>
      </c>
      <c r="I3505" s="243">
        <v>134</v>
      </c>
      <c r="J3505" s="243">
        <v>140</v>
      </c>
      <c r="K3505" s="243">
        <v>134</v>
      </c>
      <c r="L3505" s="243">
        <v>159</v>
      </c>
      <c r="M3505" s="243">
        <v>118</v>
      </c>
      <c r="N3505" s="243">
        <v>146</v>
      </c>
      <c r="O3505" s="253">
        <v>220</v>
      </c>
    </row>
    <row r="3506" spans="1:15">
      <c r="A3506" s="242" t="s">
        <v>22</v>
      </c>
      <c r="B3506" s="43" t="s">
        <v>4</v>
      </c>
      <c r="C3506" s="15">
        <v>125</v>
      </c>
      <c r="D3506" s="244">
        <v>13</v>
      </c>
      <c r="E3506" s="244">
        <v>8</v>
      </c>
      <c r="F3506" s="244">
        <v>10</v>
      </c>
      <c r="G3506" s="244">
        <v>5</v>
      </c>
      <c r="H3506" s="244">
        <v>7</v>
      </c>
      <c r="I3506" s="244">
        <v>8</v>
      </c>
      <c r="J3506" s="244">
        <v>7</v>
      </c>
      <c r="K3506" s="244">
        <v>6</v>
      </c>
      <c r="L3506" s="244">
        <v>13</v>
      </c>
      <c r="M3506" s="244">
        <v>10</v>
      </c>
      <c r="N3506" s="244">
        <v>13</v>
      </c>
      <c r="O3506" s="254">
        <v>25</v>
      </c>
    </row>
    <row r="3507" spans="1:15">
      <c r="A3507" s="240" t="s">
        <v>22</v>
      </c>
      <c r="B3507" s="47" t="s">
        <v>5</v>
      </c>
      <c r="C3507" s="12">
        <v>0.0774473358116481</v>
      </c>
      <c r="D3507" s="241">
        <v>0.0628019323671498</v>
      </c>
      <c r="E3507" s="241">
        <v>0.0860215053763441</v>
      </c>
      <c r="F3507" s="241">
        <v>0.144927536231884</v>
      </c>
      <c r="G3507" s="241">
        <v>0.0561797752808989</v>
      </c>
      <c r="H3507" s="241">
        <v>0.0666666666666667</v>
      </c>
      <c r="I3507" s="241">
        <v>0.0597014925373134</v>
      </c>
      <c r="J3507" s="241">
        <v>0.05</v>
      </c>
      <c r="K3507" s="241">
        <v>0.0447761194029851</v>
      </c>
      <c r="L3507" s="241">
        <v>0.0817610062893082</v>
      </c>
      <c r="M3507" s="241">
        <v>0.0847457627118644</v>
      </c>
      <c r="N3507" s="241">
        <v>0.089041095890411</v>
      </c>
      <c r="O3507" s="252">
        <v>0.113636363636364</v>
      </c>
    </row>
    <row r="3508" spans="1:15">
      <c r="A3508" s="242" t="s">
        <v>22</v>
      </c>
      <c r="B3508" s="43" t="s">
        <v>6</v>
      </c>
      <c r="C3508" s="15">
        <v>48</v>
      </c>
      <c r="D3508" s="244">
        <v>6</v>
      </c>
      <c r="E3508" s="244">
        <v>4</v>
      </c>
      <c r="F3508" s="244">
        <v>1</v>
      </c>
      <c r="G3508" s="244">
        <v>2</v>
      </c>
      <c r="H3508" s="244">
        <v>3</v>
      </c>
      <c r="I3508" s="244">
        <v>4</v>
      </c>
      <c r="J3508" s="244">
        <v>2</v>
      </c>
      <c r="K3508" s="244">
        <v>4</v>
      </c>
      <c r="L3508" s="244">
        <v>4</v>
      </c>
      <c r="M3508" s="244">
        <v>3</v>
      </c>
      <c r="N3508" s="244">
        <v>5</v>
      </c>
      <c r="O3508" s="254">
        <v>10</v>
      </c>
    </row>
    <row r="3509" ht="14.25" spans="1:15">
      <c r="A3509" s="245" t="s">
        <v>22</v>
      </c>
      <c r="B3509" s="52" t="s">
        <v>64</v>
      </c>
      <c r="C3509" s="19">
        <v>0.384</v>
      </c>
      <c r="D3509" s="246">
        <v>0.461538461538462</v>
      </c>
      <c r="E3509" s="246">
        <v>0.5</v>
      </c>
      <c r="F3509" s="246">
        <v>0.1</v>
      </c>
      <c r="G3509" s="246">
        <v>0.4</v>
      </c>
      <c r="H3509" s="246">
        <v>0.428571428571429</v>
      </c>
      <c r="I3509" s="246">
        <v>0.5</v>
      </c>
      <c r="J3509" s="246">
        <v>0.285714285714286</v>
      </c>
      <c r="K3509" s="246">
        <v>0.666666666666667</v>
      </c>
      <c r="L3509" s="246">
        <v>0.307692307692308</v>
      </c>
      <c r="M3509" s="246">
        <v>0.3</v>
      </c>
      <c r="N3509" s="246">
        <v>0.384615384615385</v>
      </c>
      <c r="O3509" s="255">
        <v>0.4</v>
      </c>
    </row>
    <row r="3510" spans="1:15">
      <c r="A3510" s="247" t="s">
        <v>66</v>
      </c>
      <c r="B3510" s="248" t="s">
        <v>55</v>
      </c>
      <c r="C3510" s="12">
        <v>0.103036336485814</v>
      </c>
      <c r="D3510" s="249">
        <v>0.0973451327433628</v>
      </c>
      <c r="E3510" s="249">
        <v>0.0472103004291846</v>
      </c>
      <c r="F3510" s="249">
        <v>0.025</v>
      </c>
      <c r="G3510" s="249">
        <v>0.0484848484848485</v>
      </c>
      <c r="H3510" s="249">
        <v>0.122093023255814</v>
      </c>
      <c r="I3510" s="249">
        <v>0.0885416666666667</v>
      </c>
      <c r="J3510" s="249">
        <v>0.159090909090909</v>
      </c>
      <c r="K3510" s="249">
        <v>0.0941176470588235</v>
      </c>
      <c r="L3510" s="249">
        <v>0.175182481751825</v>
      </c>
      <c r="M3510" s="249">
        <v>0.18348623853211</v>
      </c>
      <c r="N3510" s="249">
        <v>0.172413793103448</v>
      </c>
      <c r="O3510" s="256">
        <v>0.140127388535032</v>
      </c>
    </row>
    <row r="3511" spans="1:15">
      <c r="A3511" s="242" t="s">
        <v>66</v>
      </c>
      <c r="B3511" s="43" t="s">
        <v>57</v>
      </c>
      <c r="C3511" s="15">
        <v>2009</v>
      </c>
      <c r="D3511" s="243">
        <v>226</v>
      </c>
      <c r="E3511" s="243">
        <v>233</v>
      </c>
      <c r="F3511" s="243">
        <v>200</v>
      </c>
      <c r="G3511" s="243">
        <v>165</v>
      </c>
      <c r="H3511" s="243">
        <v>172</v>
      </c>
      <c r="I3511" s="243">
        <v>192</v>
      </c>
      <c r="J3511" s="243">
        <v>132</v>
      </c>
      <c r="K3511" s="243">
        <v>170</v>
      </c>
      <c r="L3511" s="243">
        <v>137</v>
      </c>
      <c r="M3511" s="243">
        <v>109</v>
      </c>
      <c r="N3511" s="243">
        <v>116</v>
      </c>
      <c r="O3511" s="253">
        <v>157</v>
      </c>
    </row>
    <row r="3512" spans="1:15">
      <c r="A3512" s="240" t="s">
        <v>66</v>
      </c>
      <c r="B3512" s="47" t="s">
        <v>59</v>
      </c>
      <c r="C3512" s="15">
        <v>207</v>
      </c>
      <c r="D3512" s="243">
        <v>22</v>
      </c>
      <c r="E3512" s="243">
        <v>11</v>
      </c>
      <c r="F3512" s="243">
        <v>5</v>
      </c>
      <c r="G3512" s="243">
        <v>8</v>
      </c>
      <c r="H3512" s="243">
        <v>21</v>
      </c>
      <c r="I3512" s="243">
        <v>17</v>
      </c>
      <c r="J3512" s="243">
        <v>21</v>
      </c>
      <c r="K3512" s="243">
        <v>16</v>
      </c>
      <c r="L3512" s="243">
        <v>24</v>
      </c>
      <c r="M3512" s="243">
        <v>20</v>
      </c>
      <c r="N3512" s="243">
        <v>20</v>
      </c>
      <c r="O3512" s="253">
        <v>22</v>
      </c>
    </row>
    <row r="3513" spans="1:15">
      <c r="A3513" s="242" t="s">
        <v>66</v>
      </c>
      <c r="B3513" s="43" t="s">
        <v>4</v>
      </c>
      <c r="C3513" s="15">
        <v>18</v>
      </c>
      <c r="D3513" s="244">
        <v>1</v>
      </c>
      <c r="E3513" s="244">
        <v>1</v>
      </c>
      <c r="F3513" s="244">
        <v>0</v>
      </c>
      <c r="G3513" s="244">
        <v>2</v>
      </c>
      <c r="H3513" s="244">
        <v>1</v>
      </c>
      <c r="I3513" s="244">
        <v>0</v>
      </c>
      <c r="J3513" s="244">
        <v>1</v>
      </c>
      <c r="K3513" s="244">
        <v>1</v>
      </c>
      <c r="L3513" s="244">
        <v>1</v>
      </c>
      <c r="M3513" s="244">
        <v>3</v>
      </c>
      <c r="N3513" s="244">
        <v>3</v>
      </c>
      <c r="O3513" s="254">
        <v>4</v>
      </c>
    </row>
    <row r="3514" spans="1:15">
      <c r="A3514" s="240" t="s">
        <v>66</v>
      </c>
      <c r="B3514" s="47" t="s">
        <v>5</v>
      </c>
      <c r="C3514" s="12">
        <v>0.0869565217391304</v>
      </c>
      <c r="D3514" s="241">
        <v>0.0454545454545455</v>
      </c>
      <c r="E3514" s="241">
        <v>0.0909090909090909</v>
      </c>
      <c r="F3514" s="241">
        <v>0</v>
      </c>
      <c r="G3514" s="241">
        <v>0.25</v>
      </c>
      <c r="H3514" s="241">
        <v>0.0476190476190476</v>
      </c>
      <c r="I3514" s="241">
        <v>0</v>
      </c>
      <c r="J3514" s="241">
        <v>0.0476190476190476</v>
      </c>
      <c r="K3514" s="241">
        <v>0.0625</v>
      </c>
      <c r="L3514" s="241">
        <v>0.0416666666666667</v>
      </c>
      <c r="M3514" s="241">
        <v>0.15</v>
      </c>
      <c r="N3514" s="241">
        <v>0.15</v>
      </c>
      <c r="O3514" s="252">
        <v>0.181818181818182</v>
      </c>
    </row>
    <row r="3515" spans="1:15">
      <c r="A3515" s="242" t="s">
        <v>66</v>
      </c>
      <c r="B3515" s="43" t="s">
        <v>6</v>
      </c>
      <c r="C3515" s="15">
        <v>11</v>
      </c>
      <c r="D3515" s="244">
        <v>2</v>
      </c>
      <c r="E3515" s="244">
        <v>1</v>
      </c>
      <c r="F3515" s="244">
        <v>0</v>
      </c>
      <c r="G3515" s="244">
        <v>1</v>
      </c>
      <c r="H3515" s="244">
        <v>1</v>
      </c>
      <c r="I3515" s="244">
        <v>0</v>
      </c>
      <c r="J3515" s="244">
        <v>0</v>
      </c>
      <c r="K3515" s="244">
        <v>0</v>
      </c>
      <c r="L3515" s="244">
        <v>1</v>
      </c>
      <c r="M3515" s="244">
        <v>2</v>
      </c>
      <c r="N3515" s="244">
        <v>0</v>
      </c>
      <c r="O3515" s="254">
        <v>3</v>
      </c>
    </row>
    <row r="3516" ht="14.25" spans="1:15">
      <c r="A3516" s="245" t="s">
        <v>66</v>
      </c>
      <c r="B3516" s="52" t="s">
        <v>64</v>
      </c>
      <c r="C3516" s="19">
        <v>0.611111111111111</v>
      </c>
      <c r="D3516" s="246">
        <v>2</v>
      </c>
      <c r="E3516" s="246">
        <v>1</v>
      </c>
      <c r="F3516" s="246">
        <v>0</v>
      </c>
      <c r="G3516" s="246">
        <v>0.5</v>
      </c>
      <c r="H3516" s="246">
        <v>1</v>
      </c>
      <c r="I3516" s="246">
        <v>0</v>
      </c>
      <c r="J3516" s="246">
        <v>0</v>
      </c>
      <c r="K3516" s="246">
        <v>0</v>
      </c>
      <c r="L3516" s="246">
        <v>1</v>
      </c>
      <c r="M3516" s="246">
        <v>0.666666666666667</v>
      </c>
      <c r="N3516" s="246">
        <v>0</v>
      </c>
      <c r="O3516" s="255">
        <v>0.75</v>
      </c>
    </row>
    <row r="3517" spans="1:15">
      <c r="A3517" s="240" t="s">
        <v>67</v>
      </c>
      <c r="B3517" s="47" t="s">
        <v>55</v>
      </c>
      <c r="C3517" s="12">
        <v>0.586693548387097</v>
      </c>
      <c r="D3517" s="241">
        <v>0.744186046511628</v>
      </c>
      <c r="E3517" s="241">
        <v>1</v>
      </c>
      <c r="F3517" s="241">
        <v>0.727272727272727</v>
      </c>
      <c r="G3517" s="241">
        <v>1</v>
      </c>
      <c r="H3517" s="241">
        <v>0.634146341463415</v>
      </c>
      <c r="I3517" s="241">
        <v>0.35</v>
      </c>
      <c r="J3517" s="241">
        <v>0.547169811320755</v>
      </c>
      <c r="K3517" s="241">
        <v>0.4</v>
      </c>
      <c r="L3517" s="241">
        <v>0.615384615384615</v>
      </c>
      <c r="M3517" s="241">
        <v>0.381818181818182</v>
      </c>
      <c r="N3517" s="241">
        <v>0.678571428571429</v>
      </c>
      <c r="O3517" s="252">
        <v>0.529411764705882</v>
      </c>
    </row>
    <row r="3518" spans="1:15">
      <c r="A3518" s="242" t="s">
        <v>67</v>
      </c>
      <c r="B3518" s="43" t="s">
        <v>57</v>
      </c>
      <c r="C3518" s="15">
        <v>496</v>
      </c>
      <c r="D3518" s="243">
        <v>43</v>
      </c>
      <c r="E3518" s="243">
        <v>27</v>
      </c>
      <c r="F3518" s="243">
        <v>11</v>
      </c>
      <c r="G3518" s="243">
        <v>17</v>
      </c>
      <c r="H3518" s="243">
        <v>41</v>
      </c>
      <c r="I3518" s="243">
        <v>40</v>
      </c>
      <c r="J3518" s="243">
        <v>53</v>
      </c>
      <c r="K3518" s="243">
        <v>50</v>
      </c>
      <c r="L3518" s="243">
        <v>52</v>
      </c>
      <c r="M3518" s="243">
        <v>55</v>
      </c>
      <c r="N3518" s="243">
        <v>56</v>
      </c>
      <c r="O3518" s="253">
        <v>51</v>
      </c>
    </row>
    <row r="3519" spans="1:15">
      <c r="A3519" s="240" t="s">
        <v>67</v>
      </c>
      <c r="B3519" s="47" t="s">
        <v>59</v>
      </c>
      <c r="C3519" s="15">
        <v>291</v>
      </c>
      <c r="D3519" s="243">
        <v>32</v>
      </c>
      <c r="E3519" s="243">
        <v>27</v>
      </c>
      <c r="F3519" s="243">
        <v>8</v>
      </c>
      <c r="G3519" s="243">
        <v>17</v>
      </c>
      <c r="H3519" s="243">
        <v>26</v>
      </c>
      <c r="I3519" s="243">
        <v>14</v>
      </c>
      <c r="J3519" s="243">
        <v>29</v>
      </c>
      <c r="K3519" s="243">
        <v>20</v>
      </c>
      <c r="L3519" s="243">
        <v>32</v>
      </c>
      <c r="M3519" s="243">
        <v>21</v>
      </c>
      <c r="N3519" s="243">
        <v>38</v>
      </c>
      <c r="O3519" s="253">
        <v>27</v>
      </c>
    </row>
    <row r="3520" spans="1:15">
      <c r="A3520" s="242" t="s">
        <v>67</v>
      </c>
      <c r="B3520" s="43" t="s">
        <v>4</v>
      </c>
      <c r="C3520" s="15">
        <v>22</v>
      </c>
      <c r="D3520" s="244">
        <v>4</v>
      </c>
      <c r="E3520" s="244">
        <v>0</v>
      </c>
      <c r="F3520" s="244">
        <v>1</v>
      </c>
      <c r="G3520" s="244">
        <v>1</v>
      </c>
      <c r="H3520" s="244">
        <v>0</v>
      </c>
      <c r="I3520" s="244">
        <v>1</v>
      </c>
      <c r="J3520" s="244">
        <v>3</v>
      </c>
      <c r="K3520" s="244">
        <v>0</v>
      </c>
      <c r="L3520" s="244">
        <v>1</v>
      </c>
      <c r="M3520" s="244">
        <v>2</v>
      </c>
      <c r="N3520" s="244">
        <v>5</v>
      </c>
      <c r="O3520" s="254">
        <v>4</v>
      </c>
    </row>
    <row r="3521" spans="1:15">
      <c r="A3521" s="240" t="s">
        <v>67</v>
      </c>
      <c r="B3521" s="47" t="s">
        <v>5</v>
      </c>
      <c r="C3521" s="12">
        <v>0.0756013745704467</v>
      </c>
      <c r="D3521" s="241">
        <v>0.125</v>
      </c>
      <c r="E3521" s="241">
        <v>0</v>
      </c>
      <c r="F3521" s="241">
        <v>0.125</v>
      </c>
      <c r="G3521" s="241">
        <v>0.0588235294117647</v>
      </c>
      <c r="H3521" s="241">
        <v>0</v>
      </c>
      <c r="I3521" s="241">
        <v>0.0714285714285714</v>
      </c>
      <c r="J3521" s="241">
        <v>0.103448275862069</v>
      </c>
      <c r="K3521" s="241">
        <v>0</v>
      </c>
      <c r="L3521" s="241">
        <v>0.03125</v>
      </c>
      <c r="M3521" s="241">
        <v>0.0952380952380952</v>
      </c>
      <c r="N3521" s="241">
        <v>0.131578947368421</v>
      </c>
      <c r="O3521" s="252">
        <v>0.148148148148148</v>
      </c>
    </row>
    <row r="3522" spans="1:15">
      <c r="A3522" s="242" t="s">
        <v>67</v>
      </c>
      <c r="B3522" s="43" t="s">
        <v>6</v>
      </c>
      <c r="C3522" s="15">
        <v>6</v>
      </c>
      <c r="D3522" s="244">
        <v>1</v>
      </c>
      <c r="E3522" s="244">
        <v>0</v>
      </c>
      <c r="F3522" s="244">
        <v>0</v>
      </c>
      <c r="G3522" s="244">
        <v>0</v>
      </c>
      <c r="H3522" s="244">
        <v>0</v>
      </c>
      <c r="I3522" s="244">
        <v>0</v>
      </c>
      <c r="J3522" s="244">
        <v>2</v>
      </c>
      <c r="K3522" s="244">
        <v>1</v>
      </c>
      <c r="L3522" s="244">
        <v>0</v>
      </c>
      <c r="M3522" s="244">
        <v>1</v>
      </c>
      <c r="N3522" s="244">
        <v>1</v>
      </c>
      <c r="O3522" s="254">
        <v>0</v>
      </c>
    </row>
    <row r="3523" ht="14.25" spans="1:15">
      <c r="A3523" s="245" t="s">
        <v>67</v>
      </c>
      <c r="B3523" s="52" t="s">
        <v>64</v>
      </c>
      <c r="C3523" s="19">
        <v>0.272727272727273</v>
      </c>
      <c r="D3523" s="246">
        <v>0.25</v>
      </c>
      <c r="E3523" s="246">
        <v>0</v>
      </c>
      <c r="F3523" s="246">
        <v>0</v>
      </c>
      <c r="G3523" s="246">
        <v>0</v>
      </c>
      <c r="H3523" s="246">
        <v>0</v>
      </c>
      <c r="I3523" s="246">
        <v>0</v>
      </c>
      <c r="J3523" s="246">
        <v>0.666666666666667</v>
      </c>
      <c r="K3523" s="246">
        <v>0</v>
      </c>
      <c r="L3523" s="246">
        <v>0</v>
      </c>
      <c r="M3523" s="246">
        <v>0.5</v>
      </c>
      <c r="N3523" s="246">
        <v>0.2</v>
      </c>
      <c r="O3523" s="255">
        <v>0</v>
      </c>
    </row>
    <row r="3524" spans="1:15">
      <c r="A3524" s="240" t="s">
        <v>68</v>
      </c>
      <c r="B3524" s="47" t="s">
        <v>55</v>
      </c>
      <c r="C3524" s="12">
        <v>0.175686073352142</v>
      </c>
      <c r="D3524" s="241">
        <v>0.166666666666667</v>
      </c>
      <c r="E3524" s="241">
        <v>0.2</v>
      </c>
      <c r="F3524" s="241">
        <v>0.298076923076923</v>
      </c>
      <c r="G3524" s="241">
        <v>0.226277372262774</v>
      </c>
      <c r="H3524" s="241">
        <v>0.209964412811388</v>
      </c>
      <c r="I3524" s="241">
        <v>0.179775280898876</v>
      </c>
      <c r="J3524" s="241">
        <v>0.143920595533499</v>
      </c>
      <c r="K3524" s="241">
        <v>0.171232876712329</v>
      </c>
      <c r="L3524" s="241">
        <v>0.16945107398568</v>
      </c>
      <c r="M3524" s="241">
        <v>0.173184357541899</v>
      </c>
      <c r="N3524" s="241">
        <v>0.180094786729858</v>
      </c>
      <c r="O3524" s="252">
        <v>0.147001934235977</v>
      </c>
    </row>
    <row r="3525" spans="1:15">
      <c r="A3525" s="242" t="s">
        <v>68</v>
      </c>
      <c r="B3525" s="43" t="s">
        <v>57</v>
      </c>
      <c r="C3525" s="15">
        <v>3899</v>
      </c>
      <c r="D3525" s="243">
        <v>324</v>
      </c>
      <c r="E3525" s="243">
        <v>140</v>
      </c>
      <c r="F3525" s="243">
        <v>104</v>
      </c>
      <c r="G3525" s="243">
        <v>137</v>
      </c>
      <c r="H3525" s="243">
        <v>281</v>
      </c>
      <c r="I3525" s="243">
        <v>356</v>
      </c>
      <c r="J3525" s="243">
        <v>403</v>
      </c>
      <c r="K3525" s="243">
        <v>438</v>
      </c>
      <c r="L3525" s="243">
        <v>419</v>
      </c>
      <c r="M3525" s="243">
        <v>358</v>
      </c>
      <c r="N3525" s="243">
        <v>422</v>
      </c>
      <c r="O3525" s="253">
        <v>517</v>
      </c>
    </row>
    <row r="3526" spans="1:15">
      <c r="A3526" s="240" t="s">
        <v>68</v>
      </c>
      <c r="B3526" s="47" t="s">
        <v>59</v>
      </c>
      <c r="C3526" s="15">
        <v>685</v>
      </c>
      <c r="D3526" s="243">
        <v>54</v>
      </c>
      <c r="E3526" s="243">
        <v>28</v>
      </c>
      <c r="F3526" s="243">
        <v>31</v>
      </c>
      <c r="G3526" s="243">
        <v>31</v>
      </c>
      <c r="H3526" s="243">
        <v>59</v>
      </c>
      <c r="I3526" s="243">
        <v>64</v>
      </c>
      <c r="J3526" s="243">
        <v>58</v>
      </c>
      <c r="K3526" s="243">
        <v>75</v>
      </c>
      <c r="L3526" s="243">
        <v>71</v>
      </c>
      <c r="M3526" s="243">
        <v>62</v>
      </c>
      <c r="N3526" s="243">
        <v>76</v>
      </c>
      <c r="O3526" s="253">
        <v>76</v>
      </c>
    </row>
    <row r="3527" spans="1:15">
      <c r="A3527" s="242" t="s">
        <v>68</v>
      </c>
      <c r="B3527" s="43" t="s">
        <v>4</v>
      </c>
      <c r="C3527" s="15">
        <v>39</v>
      </c>
      <c r="D3527" s="244">
        <v>2</v>
      </c>
      <c r="E3527" s="244">
        <v>0</v>
      </c>
      <c r="F3527" s="244">
        <v>1</v>
      </c>
      <c r="G3527" s="244">
        <v>1</v>
      </c>
      <c r="H3527" s="244">
        <v>1</v>
      </c>
      <c r="I3527" s="244">
        <v>6</v>
      </c>
      <c r="J3527" s="244">
        <v>3</v>
      </c>
      <c r="K3527" s="244">
        <v>3</v>
      </c>
      <c r="L3527" s="244">
        <v>4</v>
      </c>
      <c r="M3527" s="244">
        <v>6</v>
      </c>
      <c r="N3527" s="244">
        <v>6</v>
      </c>
      <c r="O3527" s="254">
        <v>6</v>
      </c>
    </row>
    <row r="3528" spans="1:15">
      <c r="A3528" s="240" t="s">
        <v>68</v>
      </c>
      <c r="B3528" s="47" t="s">
        <v>5</v>
      </c>
      <c r="C3528" s="12">
        <v>0.0569343065693431</v>
      </c>
      <c r="D3528" s="241">
        <v>0.037037037037037</v>
      </c>
      <c r="E3528" s="241">
        <v>0</v>
      </c>
      <c r="F3528" s="241">
        <v>0.032258064516129</v>
      </c>
      <c r="G3528" s="241">
        <v>0.032258064516129</v>
      </c>
      <c r="H3528" s="241">
        <v>0.0169491525423729</v>
      </c>
      <c r="I3528" s="241">
        <v>0.09375</v>
      </c>
      <c r="J3528" s="241">
        <v>0.0517241379310345</v>
      </c>
      <c r="K3528" s="241">
        <v>0.04</v>
      </c>
      <c r="L3528" s="241">
        <v>0.0563380281690141</v>
      </c>
      <c r="M3528" s="241">
        <v>0.0967741935483871</v>
      </c>
      <c r="N3528" s="241">
        <v>0.0789473684210526</v>
      </c>
      <c r="O3528" s="252">
        <v>0.0789473684210526</v>
      </c>
    </row>
    <row r="3529" spans="1:15">
      <c r="A3529" s="242" t="s">
        <v>68</v>
      </c>
      <c r="B3529" s="43" t="s">
        <v>6</v>
      </c>
      <c r="C3529" s="15">
        <v>9</v>
      </c>
      <c r="D3529" s="244">
        <v>3</v>
      </c>
      <c r="E3529" s="244">
        <v>0</v>
      </c>
      <c r="F3529" s="244">
        <v>0</v>
      </c>
      <c r="G3529" s="244">
        <v>1</v>
      </c>
      <c r="H3529" s="244">
        <v>0</v>
      </c>
      <c r="I3529" s="244">
        <v>1</v>
      </c>
      <c r="J3529" s="244">
        <v>2</v>
      </c>
      <c r="K3529" s="244">
        <v>1</v>
      </c>
      <c r="L3529" s="244">
        <v>0</v>
      </c>
      <c r="M3529" s="244">
        <v>0</v>
      </c>
      <c r="N3529" s="244">
        <v>0</v>
      </c>
      <c r="O3529" s="254">
        <v>1</v>
      </c>
    </row>
    <row r="3530" ht="14.25" spans="1:15">
      <c r="A3530" s="245" t="s">
        <v>68</v>
      </c>
      <c r="B3530" s="52" t="s">
        <v>64</v>
      </c>
      <c r="C3530" s="19">
        <v>0.230769230769231</v>
      </c>
      <c r="D3530" s="246">
        <v>1.5</v>
      </c>
      <c r="E3530" s="246">
        <v>0</v>
      </c>
      <c r="F3530" s="246">
        <v>0</v>
      </c>
      <c r="G3530" s="246">
        <v>1</v>
      </c>
      <c r="H3530" s="246">
        <v>0</v>
      </c>
      <c r="I3530" s="246">
        <v>0.166666666666667</v>
      </c>
      <c r="J3530" s="246">
        <v>0.666666666666667</v>
      </c>
      <c r="K3530" s="246">
        <v>0.333333333333333</v>
      </c>
      <c r="L3530" s="246">
        <v>0</v>
      </c>
      <c r="M3530" s="246">
        <v>0</v>
      </c>
      <c r="N3530" s="246">
        <v>0</v>
      </c>
      <c r="O3530" s="255">
        <v>0.166666666666667</v>
      </c>
    </row>
    <row r="3531" spans="1:15">
      <c r="A3531" s="240" t="s">
        <v>69</v>
      </c>
      <c r="B3531" s="47" t="s">
        <v>55</v>
      </c>
      <c r="C3531" s="12">
        <v>0.905838041431262</v>
      </c>
      <c r="D3531" s="241">
        <v>1.38888888888889</v>
      </c>
      <c r="E3531" s="241">
        <v>1</v>
      </c>
      <c r="F3531" s="241">
        <v>2.77777777777778</v>
      </c>
      <c r="G3531" s="241">
        <v>1</v>
      </c>
      <c r="H3531" s="241">
        <v>0.657142857142857</v>
      </c>
      <c r="I3531" s="241">
        <v>0.625</v>
      </c>
      <c r="J3531" s="241">
        <v>0.781818181818182</v>
      </c>
      <c r="K3531" s="241">
        <v>0.84375</v>
      </c>
      <c r="L3531" s="241">
        <v>0.814814814814815</v>
      </c>
      <c r="M3531" s="241">
        <v>1</v>
      </c>
      <c r="N3531" s="241">
        <v>0.826086956521739</v>
      </c>
      <c r="O3531" s="252">
        <v>0.942307692307692</v>
      </c>
    </row>
    <row r="3532" spans="1:15">
      <c r="A3532" s="242" t="s">
        <v>69</v>
      </c>
      <c r="B3532" s="43" t="s">
        <v>57</v>
      </c>
      <c r="C3532" s="15">
        <v>531</v>
      </c>
      <c r="D3532" s="243">
        <v>36</v>
      </c>
      <c r="E3532" s="243">
        <v>26</v>
      </c>
      <c r="F3532" s="243">
        <v>9</v>
      </c>
      <c r="G3532" s="243">
        <v>24</v>
      </c>
      <c r="H3532" s="243">
        <v>35</v>
      </c>
      <c r="I3532" s="243">
        <v>56</v>
      </c>
      <c r="J3532" s="243">
        <v>55</v>
      </c>
      <c r="K3532" s="243">
        <v>64</v>
      </c>
      <c r="L3532" s="243">
        <v>54</v>
      </c>
      <c r="M3532" s="243">
        <v>51</v>
      </c>
      <c r="N3532" s="243">
        <v>69</v>
      </c>
      <c r="O3532" s="253">
        <v>52</v>
      </c>
    </row>
    <row r="3533" spans="1:15">
      <c r="A3533" s="240" t="s">
        <v>69</v>
      </c>
      <c r="B3533" s="47" t="s">
        <v>59</v>
      </c>
      <c r="C3533" s="15">
        <v>481</v>
      </c>
      <c r="D3533" s="243">
        <v>50</v>
      </c>
      <c r="E3533" s="243">
        <v>26</v>
      </c>
      <c r="F3533" s="243">
        <v>25</v>
      </c>
      <c r="G3533" s="243">
        <v>24</v>
      </c>
      <c r="H3533" s="243">
        <v>23</v>
      </c>
      <c r="I3533" s="243">
        <v>35</v>
      </c>
      <c r="J3533" s="243">
        <v>43</v>
      </c>
      <c r="K3533" s="243">
        <v>54</v>
      </c>
      <c r="L3533" s="243">
        <v>44</v>
      </c>
      <c r="M3533" s="243">
        <v>51</v>
      </c>
      <c r="N3533" s="243">
        <v>57</v>
      </c>
      <c r="O3533" s="253">
        <v>49</v>
      </c>
    </row>
    <row r="3534" spans="1:15">
      <c r="A3534" s="242" t="s">
        <v>69</v>
      </c>
      <c r="B3534" s="43" t="s">
        <v>4</v>
      </c>
      <c r="C3534" s="15">
        <v>20</v>
      </c>
      <c r="D3534" s="244">
        <v>0</v>
      </c>
      <c r="E3534" s="244">
        <v>0</v>
      </c>
      <c r="F3534" s="244">
        <v>0</v>
      </c>
      <c r="G3534" s="244">
        <v>1</v>
      </c>
      <c r="H3534" s="244">
        <v>4</v>
      </c>
      <c r="I3534" s="244">
        <v>1</v>
      </c>
      <c r="J3534" s="244">
        <v>2</v>
      </c>
      <c r="K3534" s="244">
        <v>1</v>
      </c>
      <c r="L3534" s="244">
        <v>1</v>
      </c>
      <c r="M3534" s="244">
        <v>3</v>
      </c>
      <c r="N3534" s="244">
        <v>5</v>
      </c>
      <c r="O3534" s="254">
        <v>2</v>
      </c>
    </row>
    <row r="3535" spans="1:15">
      <c r="A3535" s="240" t="s">
        <v>69</v>
      </c>
      <c r="B3535" s="47" t="s">
        <v>5</v>
      </c>
      <c r="C3535" s="12">
        <v>0.0415800415800416</v>
      </c>
      <c r="D3535" s="241">
        <v>0</v>
      </c>
      <c r="E3535" s="241">
        <v>0</v>
      </c>
      <c r="F3535" s="241">
        <v>0</v>
      </c>
      <c r="G3535" s="241">
        <v>0.0416666666666667</v>
      </c>
      <c r="H3535" s="241">
        <v>0.173913043478261</v>
      </c>
      <c r="I3535" s="241">
        <v>0.0285714285714286</v>
      </c>
      <c r="J3535" s="241">
        <v>0.0465116279069767</v>
      </c>
      <c r="K3535" s="241">
        <v>0.0185185185185185</v>
      </c>
      <c r="L3535" s="241">
        <v>0.0227272727272727</v>
      </c>
      <c r="M3535" s="241">
        <v>0.0588235294117647</v>
      </c>
      <c r="N3535" s="241">
        <v>0.087719298245614</v>
      </c>
      <c r="O3535" s="252">
        <v>0.0408163265306122</v>
      </c>
    </row>
    <row r="3536" spans="1:15">
      <c r="A3536" s="242" t="s">
        <v>69</v>
      </c>
      <c r="B3536" s="43" t="s">
        <v>6</v>
      </c>
      <c r="C3536" s="15">
        <v>7</v>
      </c>
      <c r="D3536" s="244">
        <v>0</v>
      </c>
      <c r="E3536" s="244">
        <v>0</v>
      </c>
      <c r="F3536" s="244">
        <v>0</v>
      </c>
      <c r="G3536" s="244">
        <v>0</v>
      </c>
      <c r="H3536" s="244">
        <v>0</v>
      </c>
      <c r="I3536" s="244">
        <v>2</v>
      </c>
      <c r="J3536" s="244">
        <v>1</v>
      </c>
      <c r="K3536" s="244">
        <v>0</v>
      </c>
      <c r="L3536" s="244">
        <v>0</v>
      </c>
      <c r="M3536" s="244">
        <v>3</v>
      </c>
      <c r="N3536" s="244">
        <v>0</v>
      </c>
      <c r="O3536" s="254">
        <v>1</v>
      </c>
    </row>
    <row r="3537" ht="14.25" spans="1:15">
      <c r="A3537" s="245" t="s">
        <v>69</v>
      </c>
      <c r="B3537" s="52" t="s">
        <v>64</v>
      </c>
      <c r="C3537" s="19">
        <v>0.35</v>
      </c>
      <c r="D3537" s="246">
        <v>0</v>
      </c>
      <c r="E3537" s="246">
        <v>0</v>
      </c>
      <c r="F3537" s="246">
        <v>0</v>
      </c>
      <c r="G3537" s="246">
        <v>0</v>
      </c>
      <c r="H3537" s="246">
        <v>0</v>
      </c>
      <c r="I3537" s="246">
        <v>2</v>
      </c>
      <c r="J3537" s="246">
        <v>0.5</v>
      </c>
      <c r="K3537" s="246">
        <v>0</v>
      </c>
      <c r="L3537" s="246">
        <v>0</v>
      </c>
      <c r="M3537" s="246">
        <v>1</v>
      </c>
      <c r="N3537" s="246">
        <v>0</v>
      </c>
      <c r="O3537" s="255">
        <v>0.5</v>
      </c>
    </row>
    <row r="3538" spans="1:15">
      <c r="A3538" s="240" t="s">
        <v>70</v>
      </c>
      <c r="B3538" s="47" t="s">
        <v>55</v>
      </c>
      <c r="C3538" s="12">
        <v>0.261437908496732</v>
      </c>
      <c r="D3538" s="241">
        <v>0.261958997722096</v>
      </c>
      <c r="E3538" s="241">
        <v>0.284552845528455</v>
      </c>
      <c r="F3538" s="241">
        <v>0.348066298342541</v>
      </c>
      <c r="G3538" s="241">
        <v>0.269058295964126</v>
      </c>
      <c r="H3538" s="241">
        <v>0.303405572755418</v>
      </c>
      <c r="I3538" s="241">
        <v>0.251968503937008</v>
      </c>
      <c r="J3538" s="241">
        <v>0.255913978494624</v>
      </c>
      <c r="K3538" s="241">
        <v>0.236434108527132</v>
      </c>
      <c r="L3538" s="241">
        <v>0.23963133640553</v>
      </c>
      <c r="M3538" s="241">
        <v>0.262910798122066</v>
      </c>
      <c r="N3538" s="241">
        <v>0.257142857142857</v>
      </c>
      <c r="O3538" s="252">
        <v>0.25</v>
      </c>
    </row>
    <row r="3539" spans="1:15">
      <c r="A3539" s="242" t="s">
        <v>70</v>
      </c>
      <c r="B3539" s="43" t="s">
        <v>57</v>
      </c>
      <c r="C3539" s="15">
        <v>4743</v>
      </c>
      <c r="D3539" s="243">
        <v>439</v>
      </c>
      <c r="E3539" s="243">
        <v>246</v>
      </c>
      <c r="F3539" s="243">
        <v>181</v>
      </c>
      <c r="G3539" s="243">
        <v>223</v>
      </c>
      <c r="H3539" s="243">
        <v>323</v>
      </c>
      <c r="I3539" s="243">
        <v>381</v>
      </c>
      <c r="J3539" s="243">
        <v>465</v>
      </c>
      <c r="K3539" s="243">
        <v>516</v>
      </c>
      <c r="L3539" s="243">
        <v>434</v>
      </c>
      <c r="M3539" s="243">
        <v>426</v>
      </c>
      <c r="N3539" s="243">
        <v>525</v>
      </c>
      <c r="O3539" s="253">
        <v>584</v>
      </c>
    </row>
    <row r="3540" spans="1:15">
      <c r="A3540" s="240" t="s">
        <v>70</v>
      </c>
      <c r="B3540" s="47" t="s">
        <v>59</v>
      </c>
      <c r="C3540" s="15">
        <v>1240</v>
      </c>
      <c r="D3540" s="243">
        <v>115</v>
      </c>
      <c r="E3540" s="243">
        <v>70</v>
      </c>
      <c r="F3540" s="243">
        <v>63</v>
      </c>
      <c r="G3540" s="243">
        <v>60</v>
      </c>
      <c r="H3540" s="243">
        <v>98</v>
      </c>
      <c r="I3540" s="243">
        <v>96</v>
      </c>
      <c r="J3540" s="243">
        <v>119</v>
      </c>
      <c r="K3540" s="243">
        <v>122</v>
      </c>
      <c r="L3540" s="243">
        <v>104</v>
      </c>
      <c r="M3540" s="243">
        <v>112</v>
      </c>
      <c r="N3540" s="243">
        <v>135</v>
      </c>
      <c r="O3540" s="253">
        <v>146</v>
      </c>
    </row>
    <row r="3541" spans="1:15">
      <c r="A3541" s="242" t="s">
        <v>70</v>
      </c>
      <c r="B3541" s="43" t="s">
        <v>4</v>
      </c>
      <c r="C3541" s="15">
        <v>160</v>
      </c>
      <c r="D3541" s="244">
        <v>21</v>
      </c>
      <c r="E3541" s="244">
        <v>11</v>
      </c>
      <c r="F3541" s="244">
        <v>8</v>
      </c>
      <c r="G3541" s="244">
        <v>5</v>
      </c>
      <c r="H3541" s="244">
        <v>8</v>
      </c>
      <c r="I3541" s="244">
        <v>16</v>
      </c>
      <c r="J3541" s="244">
        <v>13</v>
      </c>
      <c r="K3541" s="244">
        <v>11</v>
      </c>
      <c r="L3541" s="244">
        <v>17</v>
      </c>
      <c r="M3541" s="244">
        <v>13</v>
      </c>
      <c r="N3541" s="244">
        <v>16</v>
      </c>
      <c r="O3541" s="254">
        <v>21</v>
      </c>
    </row>
    <row r="3542" spans="1:15">
      <c r="A3542" s="240" t="s">
        <v>70</v>
      </c>
      <c r="B3542" s="47" t="s">
        <v>5</v>
      </c>
      <c r="C3542" s="12">
        <v>0.129032258064516</v>
      </c>
      <c r="D3542" s="241">
        <v>0.182608695652174</v>
      </c>
      <c r="E3542" s="241">
        <v>0.157142857142857</v>
      </c>
      <c r="F3542" s="241">
        <v>0.126984126984127</v>
      </c>
      <c r="G3542" s="241">
        <v>0.0833333333333333</v>
      </c>
      <c r="H3542" s="241">
        <v>0.0816326530612245</v>
      </c>
      <c r="I3542" s="241">
        <v>0.166666666666667</v>
      </c>
      <c r="J3542" s="241">
        <v>0.109243697478992</v>
      </c>
      <c r="K3542" s="241">
        <v>0.0901639344262295</v>
      </c>
      <c r="L3542" s="241">
        <v>0.163461538461538</v>
      </c>
      <c r="M3542" s="241">
        <v>0.116071428571429</v>
      </c>
      <c r="N3542" s="241">
        <v>0.118518518518519</v>
      </c>
      <c r="O3542" s="252">
        <v>0.143835616438356</v>
      </c>
    </row>
    <row r="3543" spans="1:15">
      <c r="A3543" s="242" t="s">
        <v>70</v>
      </c>
      <c r="B3543" s="43" t="s">
        <v>6</v>
      </c>
      <c r="C3543" s="15">
        <v>36</v>
      </c>
      <c r="D3543" s="244">
        <v>3</v>
      </c>
      <c r="E3543" s="244">
        <v>3</v>
      </c>
      <c r="F3543" s="244">
        <v>1</v>
      </c>
      <c r="G3543" s="244">
        <v>1</v>
      </c>
      <c r="H3543" s="244">
        <v>3</v>
      </c>
      <c r="I3543" s="244">
        <v>3</v>
      </c>
      <c r="J3543" s="244">
        <v>2</v>
      </c>
      <c r="K3543" s="244">
        <v>5</v>
      </c>
      <c r="L3543" s="244">
        <v>4</v>
      </c>
      <c r="M3543" s="244">
        <v>3</v>
      </c>
      <c r="N3543" s="244">
        <v>4</v>
      </c>
      <c r="O3543" s="254">
        <v>4</v>
      </c>
    </row>
    <row r="3544" ht="14.25" spans="1:15">
      <c r="A3544" s="245" t="s">
        <v>70</v>
      </c>
      <c r="B3544" s="52" t="s">
        <v>64</v>
      </c>
      <c r="C3544" s="19">
        <v>0.225</v>
      </c>
      <c r="D3544" s="246">
        <v>0.142857142857143</v>
      </c>
      <c r="E3544" s="246">
        <v>0.272727272727273</v>
      </c>
      <c r="F3544" s="246">
        <v>0.125</v>
      </c>
      <c r="G3544" s="246">
        <v>0.2</v>
      </c>
      <c r="H3544" s="246">
        <v>0.375</v>
      </c>
      <c r="I3544" s="246">
        <v>0.1875</v>
      </c>
      <c r="J3544" s="246">
        <v>0.153846153846154</v>
      </c>
      <c r="K3544" s="246">
        <v>0.454545454545455</v>
      </c>
      <c r="L3544" s="246">
        <v>0.235294117647059</v>
      </c>
      <c r="M3544" s="246">
        <v>0.230769230769231</v>
      </c>
      <c r="N3544" s="246">
        <v>0.25</v>
      </c>
      <c r="O3544" s="255">
        <v>0.19047619047619</v>
      </c>
    </row>
    <row r="3545" spans="1:15">
      <c r="A3545" s="240" t="s">
        <v>26</v>
      </c>
      <c r="B3545" s="47" t="s">
        <v>55</v>
      </c>
      <c r="C3545" s="12">
        <v>0.692451945616503</v>
      </c>
      <c r="D3545" s="241">
        <v>0.6</v>
      </c>
      <c r="E3545" s="241">
        <v>0.557377049180328</v>
      </c>
      <c r="F3545" s="241">
        <v>0.658008658008658</v>
      </c>
      <c r="G3545" s="241">
        <v>0.660098522167488</v>
      </c>
      <c r="H3545" s="241">
        <v>0.639784946236559</v>
      </c>
      <c r="I3545" s="241">
        <v>0.657718120805369</v>
      </c>
      <c r="J3545" s="241">
        <v>0.811475409836066</v>
      </c>
      <c r="K3545" s="241">
        <v>0.77124183006536</v>
      </c>
      <c r="L3545" s="241">
        <v>0.827272727272727</v>
      </c>
      <c r="M3545" s="241">
        <v>0.912</v>
      </c>
      <c r="N3545" s="241">
        <v>0.766666666666667</v>
      </c>
      <c r="O3545" s="252">
        <v>0.842105263157895</v>
      </c>
    </row>
    <row r="3546" spans="1:15">
      <c r="A3546" s="242" t="s">
        <v>26</v>
      </c>
      <c r="B3546" s="43" t="s">
        <v>57</v>
      </c>
      <c r="C3546" s="15">
        <v>2133</v>
      </c>
      <c r="D3546" s="243">
        <v>285</v>
      </c>
      <c r="E3546" s="243">
        <v>305</v>
      </c>
      <c r="F3546" s="243">
        <v>231</v>
      </c>
      <c r="G3546" s="243">
        <v>203</v>
      </c>
      <c r="H3546" s="243">
        <v>186</v>
      </c>
      <c r="I3546" s="243">
        <v>149</v>
      </c>
      <c r="J3546" s="243">
        <v>122</v>
      </c>
      <c r="K3546" s="243">
        <v>153</v>
      </c>
      <c r="L3546" s="243">
        <v>110</v>
      </c>
      <c r="M3546" s="243">
        <v>125</v>
      </c>
      <c r="N3546" s="243">
        <v>150</v>
      </c>
      <c r="O3546" s="253">
        <v>114</v>
      </c>
    </row>
    <row r="3547" spans="1:15">
      <c r="A3547" s="240" t="s">
        <v>26</v>
      </c>
      <c r="B3547" s="47" t="s">
        <v>59</v>
      </c>
      <c r="C3547" s="15">
        <v>1477</v>
      </c>
      <c r="D3547" s="243">
        <v>171</v>
      </c>
      <c r="E3547" s="243">
        <v>170</v>
      </c>
      <c r="F3547" s="243">
        <v>152</v>
      </c>
      <c r="G3547" s="243">
        <v>134</v>
      </c>
      <c r="H3547" s="243">
        <v>119</v>
      </c>
      <c r="I3547" s="243">
        <v>98</v>
      </c>
      <c r="J3547" s="243">
        <v>99</v>
      </c>
      <c r="K3547" s="243">
        <v>118</v>
      </c>
      <c r="L3547" s="243">
        <v>91</v>
      </c>
      <c r="M3547" s="243">
        <v>114</v>
      </c>
      <c r="N3547" s="243">
        <v>115</v>
      </c>
      <c r="O3547" s="253">
        <v>96</v>
      </c>
    </row>
    <row r="3548" spans="1:15">
      <c r="A3548" s="242" t="s">
        <v>26</v>
      </c>
      <c r="B3548" s="43" t="s">
        <v>4</v>
      </c>
      <c r="C3548" s="15">
        <v>4</v>
      </c>
      <c r="D3548" s="244">
        <v>0</v>
      </c>
      <c r="E3548" s="244">
        <v>0</v>
      </c>
      <c r="F3548" s="244">
        <v>2</v>
      </c>
      <c r="G3548" s="244">
        <v>0</v>
      </c>
      <c r="H3548" s="244">
        <v>0</v>
      </c>
      <c r="I3548" s="244">
        <v>0</v>
      </c>
      <c r="J3548" s="244">
        <v>1</v>
      </c>
      <c r="K3548" s="244">
        <v>0</v>
      </c>
      <c r="L3548" s="244">
        <v>0</v>
      </c>
      <c r="M3548" s="244">
        <v>0</v>
      </c>
      <c r="N3548" s="244">
        <v>1</v>
      </c>
      <c r="O3548" s="254">
        <v>0</v>
      </c>
    </row>
    <row r="3549" spans="1:15">
      <c r="A3549" s="240" t="s">
        <v>26</v>
      </c>
      <c r="B3549" s="47" t="s">
        <v>5</v>
      </c>
      <c r="C3549" s="12">
        <v>0.002708192281652</v>
      </c>
      <c r="D3549" s="241">
        <v>0</v>
      </c>
      <c r="E3549" s="241">
        <v>0</v>
      </c>
      <c r="F3549" s="241">
        <v>0.0131578947368421</v>
      </c>
      <c r="G3549" s="241">
        <v>0</v>
      </c>
      <c r="H3549" s="241">
        <v>0</v>
      </c>
      <c r="I3549" s="241">
        <v>0</v>
      </c>
      <c r="J3549" s="241">
        <v>0.0101010101010101</v>
      </c>
      <c r="K3549" s="241">
        <v>0</v>
      </c>
      <c r="L3549" s="241">
        <v>0</v>
      </c>
      <c r="M3549" s="241">
        <v>0</v>
      </c>
      <c r="N3549" s="241">
        <v>0.00869565217391304</v>
      </c>
      <c r="O3549" s="252">
        <v>0</v>
      </c>
    </row>
    <row r="3550" spans="1:15">
      <c r="A3550" s="242" t="s">
        <v>26</v>
      </c>
      <c r="B3550" s="43" t="s">
        <v>6</v>
      </c>
      <c r="C3550" s="15">
        <v>4</v>
      </c>
      <c r="D3550" s="244">
        <v>0</v>
      </c>
      <c r="E3550" s="244">
        <v>1</v>
      </c>
      <c r="F3550" s="244">
        <v>0</v>
      </c>
      <c r="G3550" s="244">
        <v>0</v>
      </c>
      <c r="H3550" s="244">
        <v>0</v>
      </c>
      <c r="I3550" s="244">
        <v>0</v>
      </c>
      <c r="J3550" s="244">
        <v>0</v>
      </c>
      <c r="K3550" s="244">
        <v>0</v>
      </c>
      <c r="L3550" s="244">
        <v>1</v>
      </c>
      <c r="M3550" s="244">
        <v>0</v>
      </c>
      <c r="N3550" s="244">
        <v>1</v>
      </c>
      <c r="O3550" s="254">
        <v>1</v>
      </c>
    </row>
    <row r="3551" ht="14.25" spans="1:15">
      <c r="A3551" s="245" t="s">
        <v>26</v>
      </c>
      <c r="B3551" s="52" t="s">
        <v>64</v>
      </c>
      <c r="C3551" s="19">
        <v>1</v>
      </c>
      <c r="D3551" s="19" t="e">
        <v>#DIV/0!</v>
      </c>
      <c r="E3551" s="19" t="e">
        <v>#DIV/0!</v>
      </c>
      <c r="F3551" s="19">
        <v>0</v>
      </c>
      <c r="G3551" s="19" t="e">
        <v>#DIV/0!</v>
      </c>
      <c r="H3551" s="19" t="e">
        <v>#DIV/0!</v>
      </c>
      <c r="I3551" s="19" t="e">
        <v>#DIV/0!</v>
      </c>
      <c r="J3551" s="19">
        <v>0</v>
      </c>
      <c r="K3551" s="19" t="e">
        <v>#DIV/0!</v>
      </c>
      <c r="L3551" s="19" t="e">
        <v>#DIV/0!</v>
      </c>
      <c r="M3551" s="19" t="e">
        <v>#DIV/0!</v>
      </c>
      <c r="N3551" s="19">
        <v>1</v>
      </c>
      <c r="O3551" s="19" t="e">
        <v>#DIV/0!</v>
      </c>
    </row>
    <row r="3552" spans="1:15">
      <c r="A3552" s="240" t="s">
        <v>71</v>
      </c>
      <c r="B3552" s="47" t="s">
        <v>55</v>
      </c>
      <c r="C3552" s="12">
        <v>12.5</v>
      </c>
      <c r="D3552" s="241" t="e">
        <v>#DIV/0!</v>
      </c>
      <c r="E3552" s="241" t="e">
        <v>#DIV/0!</v>
      </c>
      <c r="F3552" s="241">
        <v>0</v>
      </c>
      <c r="G3552" s="241" t="e">
        <v>#DIV/0!</v>
      </c>
      <c r="H3552" s="241" t="e">
        <v>#DIV/0!</v>
      </c>
      <c r="I3552" s="241" t="e">
        <v>#DIV/0!</v>
      </c>
      <c r="J3552" s="241" t="e">
        <v>#DIV/0!</v>
      </c>
      <c r="K3552" s="241" t="e">
        <v>#DIV/0!</v>
      </c>
      <c r="L3552" s="241" t="e">
        <v>#DIV/0!</v>
      </c>
      <c r="M3552" s="241" t="e">
        <v>#DIV/0!</v>
      </c>
      <c r="N3552" s="241" t="e">
        <v>#DIV/0!</v>
      </c>
      <c r="O3552" s="252" t="e">
        <v>#DIV/0!</v>
      </c>
    </row>
    <row r="3553" spans="1:15">
      <c r="A3553" s="242" t="s">
        <v>71</v>
      </c>
      <c r="B3553" s="43" t="s">
        <v>57</v>
      </c>
      <c r="C3553" s="15">
        <v>2</v>
      </c>
      <c r="D3553" s="243">
        <v>0</v>
      </c>
      <c r="E3553" s="243">
        <v>0</v>
      </c>
      <c r="F3553" s="243">
        <v>2</v>
      </c>
      <c r="G3553" s="243">
        <v>0</v>
      </c>
      <c r="H3553" s="243">
        <v>0</v>
      </c>
      <c r="I3553" s="243">
        <v>0</v>
      </c>
      <c r="J3553" s="243">
        <v>0</v>
      </c>
      <c r="K3553" s="243">
        <v>0</v>
      </c>
      <c r="L3553" s="243">
        <v>0</v>
      </c>
      <c r="M3553" s="243">
        <v>0</v>
      </c>
      <c r="N3553" s="243">
        <v>0</v>
      </c>
      <c r="O3553" s="253">
        <v>0</v>
      </c>
    </row>
    <row r="3554" spans="1:15">
      <c r="A3554" s="240" t="s">
        <v>71</v>
      </c>
      <c r="B3554" s="47" t="s">
        <v>59</v>
      </c>
      <c r="C3554" s="15">
        <v>25</v>
      </c>
      <c r="D3554" s="243">
        <v>0</v>
      </c>
      <c r="E3554" s="243">
        <v>0</v>
      </c>
      <c r="F3554" s="243">
        <v>0</v>
      </c>
      <c r="G3554" s="243">
        <v>0</v>
      </c>
      <c r="H3554" s="243">
        <v>2</v>
      </c>
      <c r="I3554" s="243">
        <v>1</v>
      </c>
      <c r="J3554" s="243">
        <v>1</v>
      </c>
      <c r="K3554" s="243">
        <v>3</v>
      </c>
      <c r="L3554" s="243">
        <v>2</v>
      </c>
      <c r="M3554" s="243">
        <v>3</v>
      </c>
      <c r="N3554" s="243">
        <v>2</v>
      </c>
      <c r="O3554" s="253">
        <v>11</v>
      </c>
    </row>
    <row r="3555" spans="1:15">
      <c r="A3555" s="242" t="s">
        <v>71</v>
      </c>
      <c r="B3555" s="43" t="s">
        <v>4</v>
      </c>
      <c r="C3555" s="15">
        <v>7</v>
      </c>
      <c r="D3555" s="244">
        <v>1</v>
      </c>
      <c r="E3555" s="244">
        <v>0</v>
      </c>
      <c r="F3555" s="244">
        <v>0</v>
      </c>
      <c r="G3555" s="244">
        <v>0</v>
      </c>
      <c r="H3555" s="244">
        <v>0</v>
      </c>
      <c r="I3555" s="244">
        <v>0</v>
      </c>
      <c r="J3555" s="244">
        <v>0</v>
      </c>
      <c r="K3555" s="244">
        <v>0</v>
      </c>
      <c r="L3555" s="244">
        <v>2</v>
      </c>
      <c r="M3555" s="244">
        <v>1</v>
      </c>
      <c r="N3555" s="244">
        <v>1</v>
      </c>
      <c r="O3555" s="254">
        <v>2</v>
      </c>
    </row>
    <row r="3556" spans="1:15">
      <c r="A3556" s="240" t="s">
        <v>71</v>
      </c>
      <c r="B3556" s="47" t="s">
        <v>5</v>
      </c>
      <c r="C3556" s="241">
        <v>0.28</v>
      </c>
      <c r="D3556" s="241">
        <v>0</v>
      </c>
      <c r="E3556" s="241">
        <v>0</v>
      </c>
      <c r="F3556" s="241">
        <v>0</v>
      </c>
      <c r="G3556" s="241">
        <v>0</v>
      </c>
      <c r="H3556" s="241">
        <v>0</v>
      </c>
      <c r="I3556" s="241">
        <v>0</v>
      </c>
      <c r="J3556" s="241">
        <v>0</v>
      </c>
      <c r="K3556" s="241">
        <v>0</v>
      </c>
      <c r="L3556" s="241">
        <v>1</v>
      </c>
      <c r="M3556" s="241">
        <v>0.333333333333333</v>
      </c>
      <c r="N3556" s="241">
        <v>0.5</v>
      </c>
      <c r="O3556" s="252">
        <v>0.181818181818182</v>
      </c>
    </row>
    <row r="3557" spans="1:15">
      <c r="A3557" s="242" t="s">
        <v>71</v>
      </c>
      <c r="B3557" s="43" t="s">
        <v>6</v>
      </c>
      <c r="C3557" s="15">
        <v>2</v>
      </c>
      <c r="D3557" s="244">
        <v>0</v>
      </c>
      <c r="E3557" s="244">
        <v>0</v>
      </c>
      <c r="F3557" s="244">
        <v>0</v>
      </c>
      <c r="G3557" s="244">
        <v>0</v>
      </c>
      <c r="H3557" s="244">
        <v>0</v>
      </c>
      <c r="I3557" s="244">
        <v>1</v>
      </c>
      <c r="J3557" s="244">
        <v>0</v>
      </c>
      <c r="K3557" s="244">
        <v>0</v>
      </c>
      <c r="L3557" s="244">
        <v>0</v>
      </c>
      <c r="M3557" s="244">
        <v>0</v>
      </c>
      <c r="N3557" s="244">
        <v>0</v>
      </c>
      <c r="O3557" s="254">
        <v>1</v>
      </c>
    </row>
    <row r="3558" ht="14.25" spans="1:15">
      <c r="A3558" s="245" t="s">
        <v>71</v>
      </c>
      <c r="B3558" s="52" t="s">
        <v>64</v>
      </c>
      <c r="C3558" s="19">
        <v>0.285714285714286</v>
      </c>
      <c r="D3558" s="19">
        <v>0</v>
      </c>
      <c r="E3558" s="19" t="e">
        <v>#DIV/0!</v>
      </c>
      <c r="F3558" s="19" t="e">
        <v>#DIV/0!</v>
      </c>
      <c r="G3558" s="19" t="e">
        <v>#DIV/0!</v>
      </c>
      <c r="H3558" s="19" t="e">
        <v>#DIV/0!</v>
      </c>
      <c r="I3558" s="19" t="e">
        <v>#DIV/0!</v>
      </c>
      <c r="J3558" s="19" t="e">
        <v>#DIV/0!</v>
      </c>
      <c r="K3558" s="19" t="e">
        <v>#DIV/0!</v>
      </c>
      <c r="L3558" s="19">
        <v>0</v>
      </c>
      <c r="M3558" s="19">
        <v>0</v>
      </c>
      <c r="N3558" s="19">
        <v>0</v>
      </c>
      <c r="O3558" s="19">
        <v>0.5</v>
      </c>
    </row>
    <row r="3559" spans="1:15">
      <c r="A3559" s="240" t="s">
        <v>72</v>
      </c>
      <c r="B3559" s="47" t="s">
        <v>55</v>
      </c>
      <c r="C3559" s="12">
        <v>0.157982631930528</v>
      </c>
      <c r="D3559" s="241">
        <v>0.176670441676104</v>
      </c>
      <c r="E3559" s="241">
        <v>0.208232445520581</v>
      </c>
      <c r="F3559" s="241">
        <v>0.132743362831858</v>
      </c>
      <c r="G3559" s="241">
        <v>0.167123287671233</v>
      </c>
      <c r="H3559" s="241">
        <v>0.152727272727273</v>
      </c>
      <c r="I3559" s="241">
        <v>0.168435013262599</v>
      </c>
      <c r="J3559" s="241">
        <v>0.165354330708661</v>
      </c>
      <c r="K3559" s="241">
        <v>0.164027149321267</v>
      </c>
      <c r="L3559" s="241">
        <v>0.149184149184149</v>
      </c>
      <c r="M3559" s="241">
        <v>0.143576826196474</v>
      </c>
      <c r="N3559" s="241">
        <v>0.138023152270703</v>
      </c>
      <c r="O3559" s="252">
        <v>0.152744630071599</v>
      </c>
    </row>
    <row r="3560" spans="1:15">
      <c r="A3560" s="242" t="s">
        <v>72</v>
      </c>
      <c r="B3560" s="43" t="s">
        <v>57</v>
      </c>
      <c r="C3560" s="15">
        <v>8982</v>
      </c>
      <c r="D3560" s="243">
        <v>883</v>
      </c>
      <c r="E3560" s="243">
        <v>413</v>
      </c>
      <c r="F3560" s="243">
        <v>339</v>
      </c>
      <c r="G3560" s="243">
        <v>365</v>
      </c>
      <c r="H3560" s="243">
        <v>550</v>
      </c>
      <c r="I3560" s="243">
        <v>754</v>
      </c>
      <c r="J3560" s="243">
        <v>762</v>
      </c>
      <c r="K3560" s="243">
        <v>884</v>
      </c>
      <c r="L3560" s="243">
        <v>858</v>
      </c>
      <c r="M3560" s="243">
        <v>794</v>
      </c>
      <c r="N3560" s="243">
        <v>1123</v>
      </c>
      <c r="O3560" s="253">
        <v>1257</v>
      </c>
    </row>
    <row r="3561" spans="1:15">
      <c r="A3561" s="240" t="s">
        <v>72</v>
      </c>
      <c r="B3561" s="47" t="s">
        <v>59</v>
      </c>
      <c r="C3561" s="15">
        <v>1419</v>
      </c>
      <c r="D3561" s="243">
        <v>156</v>
      </c>
      <c r="E3561" s="243">
        <v>86</v>
      </c>
      <c r="F3561" s="243">
        <v>45</v>
      </c>
      <c r="G3561" s="243">
        <v>61</v>
      </c>
      <c r="H3561" s="243">
        <v>84</v>
      </c>
      <c r="I3561" s="243">
        <v>127</v>
      </c>
      <c r="J3561" s="243">
        <v>126</v>
      </c>
      <c r="K3561" s="243">
        <v>145</v>
      </c>
      <c r="L3561" s="243">
        <v>128</v>
      </c>
      <c r="M3561" s="243">
        <v>114</v>
      </c>
      <c r="N3561" s="243">
        <v>155</v>
      </c>
      <c r="O3561" s="253">
        <v>192</v>
      </c>
    </row>
    <row r="3562" spans="1:15">
      <c r="A3562" s="242" t="s">
        <v>72</v>
      </c>
      <c r="B3562" s="43" t="s">
        <v>4</v>
      </c>
      <c r="C3562" s="15">
        <v>127</v>
      </c>
      <c r="D3562" s="244">
        <v>16</v>
      </c>
      <c r="E3562" s="244">
        <v>5</v>
      </c>
      <c r="F3562" s="244">
        <v>5</v>
      </c>
      <c r="G3562" s="244">
        <v>3</v>
      </c>
      <c r="H3562" s="244">
        <v>7</v>
      </c>
      <c r="I3562" s="244">
        <v>9</v>
      </c>
      <c r="J3562" s="244">
        <v>12</v>
      </c>
      <c r="K3562" s="244">
        <v>13</v>
      </c>
      <c r="L3562" s="244">
        <v>7</v>
      </c>
      <c r="M3562" s="244">
        <v>11</v>
      </c>
      <c r="N3562" s="244">
        <v>13</v>
      </c>
      <c r="O3562" s="254">
        <v>26</v>
      </c>
    </row>
    <row r="3563" spans="1:15">
      <c r="A3563" s="240" t="s">
        <v>72</v>
      </c>
      <c r="B3563" s="47" t="s">
        <v>5</v>
      </c>
      <c r="C3563" s="12">
        <v>0.0894996476391825</v>
      </c>
      <c r="D3563" s="241">
        <v>0.102564102564103</v>
      </c>
      <c r="E3563" s="241">
        <v>0.0581395348837209</v>
      </c>
      <c r="F3563" s="241">
        <v>0.111111111111111</v>
      </c>
      <c r="G3563" s="241">
        <v>0.0491803278688525</v>
      </c>
      <c r="H3563" s="241">
        <v>0.0833333333333333</v>
      </c>
      <c r="I3563" s="241">
        <v>0.0708661417322835</v>
      </c>
      <c r="J3563" s="241">
        <v>0.0952380952380952</v>
      </c>
      <c r="K3563" s="241">
        <v>0.0896551724137931</v>
      </c>
      <c r="L3563" s="241">
        <v>0.0546875</v>
      </c>
      <c r="M3563" s="241">
        <v>0.0964912280701754</v>
      </c>
      <c r="N3563" s="241">
        <v>0.0838709677419355</v>
      </c>
      <c r="O3563" s="252">
        <v>0.135416666666667</v>
      </c>
    </row>
    <row r="3564" spans="1:15">
      <c r="A3564" s="242" t="s">
        <v>72</v>
      </c>
      <c r="B3564" s="43" t="s">
        <v>6</v>
      </c>
      <c r="C3564" s="15">
        <v>37</v>
      </c>
      <c r="D3564" s="244">
        <v>2</v>
      </c>
      <c r="E3564" s="244">
        <v>2</v>
      </c>
      <c r="F3564" s="244">
        <v>2</v>
      </c>
      <c r="G3564" s="244">
        <v>0</v>
      </c>
      <c r="H3564" s="244">
        <v>4</v>
      </c>
      <c r="I3564" s="244">
        <v>1</v>
      </c>
      <c r="J3564" s="244">
        <v>6</v>
      </c>
      <c r="K3564" s="244">
        <v>4</v>
      </c>
      <c r="L3564" s="244">
        <v>3</v>
      </c>
      <c r="M3564" s="244">
        <v>4</v>
      </c>
      <c r="N3564" s="244">
        <v>2</v>
      </c>
      <c r="O3564" s="254">
        <v>7</v>
      </c>
    </row>
    <row r="3565" ht="14.25" spans="1:15">
      <c r="A3565" s="245" t="s">
        <v>72</v>
      </c>
      <c r="B3565" s="52" t="s">
        <v>64</v>
      </c>
      <c r="C3565" s="19">
        <v>0.291338582677165</v>
      </c>
      <c r="D3565" s="19">
        <v>0.125</v>
      </c>
      <c r="E3565" s="19">
        <v>0.4</v>
      </c>
      <c r="F3565" s="19">
        <v>0.4</v>
      </c>
      <c r="G3565" s="19">
        <v>0</v>
      </c>
      <c r="H3565" s="19">
        <v>0.571428571428571</v>
      </c>
      <c r="I3565" s="19">
        <v>0.111111111111111</v>
      </c>
      <c r="J3565" s="19">
        <v>0.5</v>
      </c>
      <c r="K3565" s="19">
        <v>0.307692307692308</v>
      </c>
      <c r="L3565" s="19">
        <v>0.428571428571429</v>
      </c>
      <c r="M3565" s="19">
        <v>0.363636363636364</v>
      </c>
      <c r="N3565" s="19">
        <v>0.153846153846154</v>
      </c>
      <c r="O3565" s="19">
        <v>0.269230769230769</v>
      </c>
    </row>
    <row r="3566" ht="14.25" spans="1:15">
      <c r="A3566" s="237">
        <v>45074</v>
      </c>
      <c r="B3566" s="237"/>
      <c r="C3566" s="237"/>
      <c r="D3566" s="237"/>
      <c r="E3566" s="237"/>
      <c r="F3566" s="237"/>
      <c r="G3566" s="237"/>
      <c r="H3566" s="237"/>
      <c r="I3566" s="237"/>
      <c r="J3566" s="237"/>
      <c r="K3566" s="237"/>
      <c r="L3566" s="237"/>
      <c r="M3566" s="237"/>
      <c r="N3566" s="237"/>
      <c r="O3566" s="237"/>
    </row>
    <row r="3567" spans="1:15">
      <c r="A3567" s="56" t="s">
        <v>1</v>
      </c>
      <c r="B3567" s="238"/>
      <c r="C3567" s="8" t="s">
        <v>42</v>
      </c>
      <c r="D3567" s="239" t="s">
        <v>43</v>
      </c>
      <c r="E3567" s="239" t="s">
        <v>44</v>
      </c>
      <c r="F3567" s="239" t="s">
        <v>45</v>
      </c>
      <c r="G3567" s="239" t="s">
        <v>46</v>
      </c>
      <c r="H3567" s="239" t="s">
        <v>47</v>
      </c>
      <c r="I3567" s="239" t="s">
        <v>48</v>
      </c>
      <c r="J3567" s="239" t="s">
        <v>49</v>
      </c>
      <c r="K3567" s="239" t="s">
        <v>50</v>
      </c>
      <c r="L3567" s="239" t="s">
        <v>51</v>
      </c>
      <c r="M3567" s="239" t="s">
        <v>52</v>
      </c>
      <c r="N3567" s="239" t="s">
        <v>53</v>
      </c>
      <c r="O3567" s="251" t="s">
        <v>54</v>
      </c>
    </row>
    <row r="3568" spans="1:15">
      <c r="A3568" s="240" t="s">
        <v>22</v>
      </c>
      <c r="B3568" s="47" t="s">
        <v>55</v>
      </c>
      <c r="C3568" s="12">
        <v>0.394320987654321</v>
      </c>
      <c r="D3568" s="241">
        <v>0.424901185770751</v>
      </c>
      <c r="E3568" s="241">
        <v>0.284263959390863</v>
      </c>
      <c r="F3568" s="241">
        <v>0.426666666666667</v>
      </c>
      <c r="G3568" s="241">
        <v>0.351931330472103</v>
      </c>
      <c r="H3568" s="241">
        <v>0.437086092715232</v>
      </c>
      <c r="I3568" s="241">
        <v>0.43019943019943</v>
      </c>
      <c r="J3568" s="241">
        <v>0.428152492668622</v>
      </c>
      <c r="K3568" s="241">
        <v>0.405194805194805</v>
      </c>
      <c r="L3568" s="241">
        <v>0.439226519337017</v>
      </c>
      <c r="M3568" s="241">
        <v>0.433212996389892</v>
      </c>
      <c r="N3568" s="241">
        <v>0.364734299516908</v>
      </c>
      <c r="O3568" s="252">
        <v>0.31015037593985</v>
      </c>
    </row>
    <row r="3569" spans="1:15">
      <c r="A3569" s="242" t="s">
        <v>22</v>
      </c>
      <c r="B3569" s="43" t="s">
        <v>57</v>
      </c>
      <c r="C3569" s="15">
        <v>4050</v>
      </c>
      <c r="D3569" s="243">
        <v>506</v>
      </c>
      <c r="E3569" s="243">
        <v>197</v>
      </c>
      <c r="F3569" s="243">
        <v>150</v>
      </c>
      <c r="G3569" s="243">
        <v>233</v>
      </c>
      <c r="H3569" s="243">
        <v>302</v>
      </c>
      <c r="I3569" s="243">
        <v>351</v>
      </c>
      <c r="J3569" s="243">
        <v>341</v>
      </c>
      <c r="K3569" s="243">
        <v>385</v>
      </c>
      <c r="L3569" s="243">
        <v>362</v>
      </c>
      <c r="M3569" s="243">
        <v>277</v>
      </c>
      <c r="N3569" s="243">
        <v>414</v>
      </c>
      <c r="O3569" s="253">
        <v>532</v>
      </c>
    </row>
    <row r="3570" spans="1:15">
      <c r="A3570" s="240" t="s">
        <v>22</v>
      </c>
      <c r="B3570" s="47" t="s">
        <v>59</v>
      </c>
      <c r="C3570" s="15">
        <v>1597</v>
      </c>
      <c r="D3570" s="243">
        <v>215</v>
      </c>
      <c r="E3570" s="243">
        <v>56</v>
      </c>
      <c r="F3570" s="243">
        <v>64</v>
      </c>
      <c r="G3570" s="243">
        <v>82</v>
      </c>
      <c r="H3570" s="243">
        <v>132</v>
      </c>
      <c r="I3570" s="243">
        <v>151</v>
      </c>
      <c r="J3570" s="243">
        <v>146</v>
      </c>
      <c r="K3570" s="243">
        <v>156</v>
      </c>
      <c r="L3570" s="243">
        <v>159</v>
      </c>
      <c r="M3570" s="243">
        <v>120</v>
      </c>
      <c r="N3570" s="243">
        <v>151</v>
      </c>
      <c r="O3570" s="253">
        <v>165</v>
      </c>
    </row>
    <row r="3571" spans="1:15">
      <c r="A3571" s="242" t="s">
        <v>22</v>
      </c>
      <c r="B3571" s="43" t="s">
        <v>4</v>
      </c>
      <c r="C3571" s="15">
        <v>113</v>
      </c>
      <c r="D3571" s="244">
        <v>22</v>
      </c>
      <c r="E3571" s="244">
        <v>7</v>
      </c>
      <c r="F3571" s="244">
        <v>1</v>
      </c>
      <c r="G3571" s="244">
        <v>2</v>
      </c>
      <c r="H3571" s="244">
        <v>13</v>
      </c>
      <c r="I3571" s="244">
        <v>10</v>
      </c>
      <c r="J3571" s="244">
        <v>10</v>
      </c>
      <c r="K3571" s="244">
        <v>11</v>
      </c>
      <c r="L3571" s="244">
        <v>10</v>
      </c>
      <c r="M3571" s="244">
        <v>10</v>
      </c>
      <c r="N3571" s="244">
        <v>11</v>
      </c>
      <c r="O3571" s="254">
        <v>6</v>
      </c>
    </row>
    <row r="3572" spans="1:15">
      <c r="A3572" s="240" t="s">
        <v>22</v>
      </c>
      <c r="B3572" s="47" t="s">
        <v>5</v>
      </c>
      <c r="C3572" s="12">
        <v>0.0707576706324358</v>
      </c>
      <c r="D3572" s="241">
        <v>0.102325581395349</v>
      </c>
      <c r="E3572" s="241">
        <v>0.125</v>
      </c>
      <c r="F3572" s="241">
        <v>0.015625</v>
      </c>
      <c r="G3572" s="241">
        <v>0.024390243902439</v>
      </c>
      <c r="H3572" s="241">
        <v>0.0984848484848485</v>
      </c>
      <c r="I3572" s="241">
        <v>0.0662251655629139</v>
      </c>
      <c r="J3572" s="241">
        <v>0.0684931506849315</v>
      </c>
      <c r="K3572" s="241">
        <v>0.0705128205128205</v>
      </c>
      <c r="L3572" s="241">
        <v>0.0628930817610063</v>
      </c>
      <c r="M3572" s="241">
        <v>0.0833333333333333</v>
      </c>
      <c r="N3572" s="241">
        <v>0.0728476821192053</v>
      </c>
      <c r="O3572" s="252">
        <v>0.0363636363636364</v>
      </c>
    </row>
    <row r="3573" spans="1:15">
      <c r="A3573" s="242" t="s">
        <v>22</v>
      </c>
      <c r="B3573" s="43" t="s">
        <v>6</v>
      </c>
      <c r="C3573" s="15">
        <v>54</v>
      </c>
      <c r="D3573" s="244">
        <v>12</v>
      </c>
      <c r="E3573" s="244">
        <v>3</v>
      </c>
      <c r="F3573" s="244">
        <v>1</v>
      </c>
      <c r="G3573" s="244">
        <v>2</v>
      </c>
      <c r="H3573" s="244">
        <v>4</v>
      </c>
      <c r="I3573" s="244">
        <v>8</v>
      </c>
      <c r="J3573" s="244">
        <v>4</v>
      </c>
      <c r="K3573" s="244">
        <v>3</v>
      </c>
      <c r="L3573" s="244">
        <v>4</v>
      </c>
      <c r="M3573" s="244">
        <v>6</v>
      </c>
      <c r="N3573" s="244">
        <v>6</v>
      </c>
      <c r="O3573" s="254">
        <v>1</v>
      </c>
    </row>
    <row r="3574" ht="14.25" spans="1:15">
      <c r="A3574" s="245" t="s">
        <v>22</v>
      </c>
      <c r="B3574" s="52" t="s">
        <v>64</v>
      </c>
      <c r="C3574" s="19">
        <v>0.47787610619469</v>
      </c>
      <c r="D3574" s="246">
        <v>0.545454545454545</v>
      </c>
      <c r="E3574" s="246">
        <v>0.428571428571429</v>
      </c>
      <c r="F3574" s="246">
        <v>1</v>
      </c>
      <c r="G3574" s="246">
        <v>1</v>
      </c>
      <c r="H3574" s="246">
        <v>0.307692307692308</v>
      </c>
      <c r="I3574" s="246">
        <v>0.8</v>
      </c>
      <c r="J3574" s="246">
        <v>0.4</v>
      </c>
      <c r="K3574" s="246">
        <v>0.272727272727273</v>
      </c>
      <c r="L3574" s="246">
        <v>0.4</v>
      </c>
      <c r="M3574" s="246">
        <v>0.6</v>
      </c>
      <c r="N3574" s="246">
        <v>0.545454545454545</v>
      </c>
      <c r="O3574" s="255">
        <v>0.166666666666667</v>
      </c>
    </row>
    <row r="3575" spans="1:15">
      <c r="A3575" s="247" t="s">
        <v>66</v>
      </c>
      <c r="B3575" s="248" t="s">
        <v>55</v>
      </c>
      <c r="C3575" s="12">
        <v>0.132334581772784</v>
      </c>
      <c r="D3575" s="249">
        <v>0.164179104477612</v>
      </c>
      <c r="E3575" s="249">
        <v>0.0858895705521472</v>
      </c>
      <c r="F3575" s="249">
        <v>0.109489051094891</v>
      </c>
      <c r="G3575" s="249">
        <v>0.096</v>
      </c>
      <c r="H3575" s="249">
        <v>0.133333333333333</v>
      </c>
      <c r="I3575" s="249">
        <v>0.0903225806451613</v>
      </c>
      <c r="J3575" s="249">
        <v>0.151724137931034</v>
      </c>
      <c r="K3575" s="249">
        <v>0.132352941176471</v>
      </c>
      <c r="L3575" s="249">
        <v>0.168224299065421</v>
      </c>
      <c r="M3575" s="249">
        <v>0.133928571428571</v>
      </c>
      <c r="N3575" s="249">
        <v>0.149532710280374</v>
      </c>
      <c r="O3575" s="256">
        <v>0.198473282442748</v>
      </c>
    </row>
    <row r="3576" spans="1:15">
      <c r="A3576" s="242" t="s">
        <v>66</v>
      </c>
      <c r="B3576" s="43" t="s">
        <v>57</v>
      </c>
      <c r="C3576" s="15">
        <v>1602</v>
      </c>
      <c r="D3576" s="243">
        <v>134</v>
      </c>
      <c r="E3576" s="243">
        <v>163</v>
      </c>
      <c r="F3576" s="243">
        <v>137</v>
      </c>
      <c r="G3576" s="243">
        <v>125</v>
      </c>
      <c r="H3576" s="243">
        <v>150</v>
      </c>
      <c r="I3576" s="243">
        <v>155</v>
      </c>
      <c r="J3576" s="243">
        <v>145</v>
      </c>
      <c r="K3576" s="243">
        <v>136</v>
      </c>
      <c r="L3576" s="243">
        <v>107</v>
      </c>
      <c r="M3576" s="243">
        <v>112</v>
      </c>
      <c r="N3576" s="243">
        <v>107</v>
      </c>
      <c r="O3576" s="253">
        <v>131</v>
      </c>
    </row>
    <row r="3577" spans="1:15">
      <c r="A3577" s="240" t="s">
        <v>66</v>
      </c>
      <c r="B3577" s="47" t="s">
        <v>59</v>
      </c>
      <c r="C3577" s="15">
        <v>212</v>
      </c>
      <c r="D3577" s="243">
        <v>22</v>
      </c>
      <c r="E3577" s="243">
        <v>14</v>
      </c>
      <c r="F3577" s="243">
        <v>15</v>
      </c>
      <c r="G3577" s="243">
        <v>12</v>
      </c>
      <c r="H3577" s="243">
        <v>20</v>
      </c>
      <c r="I3577" s="243">
        <v>14</v>
      </c>
      <c r="J3577" s="243">
        <v>22</v>
      </c>
      <c r="K3577" s="243">
        <v>18</v>
      </c>
      <c r="L3577" s="243">
        <v>18</v>
      </c>
      <c r="M3577" s="243">
        <v>15</v>
      </c>
      <c r="N3577" s="243">
        <v>16</v>
      </c>
      <c r="O3577" s="253">
        <v>26</v>
      </c>
    </row>
    <row r="3578" spans="1:15">
      <c r="A3578" s="242" t="s">
        <v>66</v>
      </c>
      <c r="B3578" s="43" t="s">
        <v>4</v>
      </c>
      <c r="C3578" s="15">
        <v>13</v>
      </c>
      <c r="D3578" s="244">
        <v>0</v>
      </c>
      <c r="E3578" s="244">
        <v>2</v>
      </c>
      <c r="F3578" s="244">
        <v>1</v>
      </c>
      <c r="G3578" s="244">
        <v>0</v>
      </c>
      <c r="H3578" s="244">
        <v>3</v>
      </c>
      <c r="I3578" s="244">
        <v>0</v>
      </c>
      <c r="J3578" s="244">
        <v>0</v>
      </c>
      <c r="K3578" s="244">
        <v>0</v>
      </c>
      <c r="L3578" s="244">
        <v>1</v>
      </c>
      <c r="M3578" s="244">
        <v>1</v>
      </c>
      <c r="N3578" s="244">
        <v>0</v>
      </c>
      <c r="O3578" s="254">
        <v>5</v>
      </c>
    </row>
    <row r="3579" spans="1:15">
      <c r="A3579" s="240" t="s">
        <v>66</v>
      </c>
      <c r="B3579" s="47" t="s">
        <v>5</v>
      </c>
      <c r="C3579" s="12">
        <v>0.0613207547169811</v>
      </c>
      <c r="D3579" s="241">
        <v>0</v>
      </c>
      <c r="E3579" s="241">
        <v>0.142857142857143</v>
      </c>
      <c r="F3579" s="241">
        <v>0.0666666666666667</v>
      </c>
      <c r="G3579" s="241">
        <v>0</v>
      </c>
      <c r="H3579" s="241">
        <v>0.15</v>
      </c>
      <c r="I3579" s="241">
        <v>0</v>
      </c>
      <c r="J3579" s="241">
        <v>0</v>
      </c>
      <c r="K3579" s="241">
        <v>0</v>
      </c>
      <c r="L3579" s="241">
        <v>0.0555555555555556</v>
      </c>
      <c r="M3579" s="241">
        <v>0.0666666666666667</v>
      </c>
      <c r="N3579" s="241">
        <v>0</v>
      </c>
      <c r="O3579" s="252">
        <v>0.192307692307692</v>
      </c>
    </row>
    <row r="3580" spans="1:15">
      <c r="A3580" s="242" t="s">
        <v>66</v>
      </c>
      <c r="B3580" s="43" t="s">
        <v>6</v>
      </c>
      <c r="C3580" s="15">
        <v>3</v>
      </c>
      <c r="D3580" s="244">
        <v>0</v>
      </c>
      <c r="E3580" s="244">
        <v>0</v>
      </c>
      <c r="F3580" s="244">
        <v>1</v>
      </c>
      <c r="G3580" s="244">
        <v>0</v>
      </c>
      <c r="H3580" s="244">
        <v>1</v>
      </c>
      <c r="I3580" s="244">
        <v>0</v>
      </c>
      <c r="J3580" s="244">
        <v>0</v>
      </c>
      <c r="K3580" s="244">
        <v>0</v>
      </c>
      <c r="L3580" s="244">
        <v>0</v>
      </c>
      <c r="M3580" s="244">
        <v>1</v>
      </c>
      <c r="N3580" s="244">
        <v>0</v>
      </c>
      <c r="O3580" s="254">
        <v>0</v>
      </c>
    </row>
    <row r="3581" ht="14.25" spans="1:15">
      <c r="A3581" s="245" t="s">
        <v>66</v>
      </c>
      <c r="B3581" s="52" t="s">
        <v>64</v>
      </c>
      <c r="C3581" s="19">
        <v>0.230769230769231</v>
      </c>
      <c r="D3581" s="246">
        <v>0</v>
      </c>
      <c r="E3581" s="246">
        <v>0</v>
      </c>
      <c r="F3581" s="246">
        <v>1</v>
      </c>
      <c r="G3581" s="246">
        <v>0</v>
      </c>
      <c r="H3581" s="246">
        <v>0.333333333333333</v>
      </c>
      <c r="I3581" s="246">
        <v>0</v>
      </c>
      <c r="J3581" s="246">
        <v>0</v>
      </c>
      <c r="K3581" s="246">
        <v>0</v>
      </c>
      <c r="L3581" s="246">
        <v>0</v>
      </c>
      <c r="M3581" s="246">
        <v>1</v>
      </c>
      <c r="N3581" s="246">
        <v>0</v>
      </c>
      <c r="O3581" s="255">
        <v>0</v>
      </c>
    </row>
    <row r="3582" spans="1:15">
      <c r="A3582" s="240" t="s">
        <v>67</v>
      </c>
      <c r="B3582" s="47" t="s">
        <v>55</v>
      </c>
      <c r="C3582" s="12">
        <v>0.568273092369478</v>
      </c>
      <c r="D3582" s="241">
        <v>0.956521739130435</v>
      </c>
      <c r="E3582" s="241">
        <v>0.71875</v>
      </c>
      <c r="F3582" s="241">
        <v>0.62962962962963</v>
      </c>
      <c r="G3582" s="241">
        <v>0.814814814814815</v>
      </c>
      <c r="H3582" s="241">
        <v>0.545454545454545</v>
      </c>
      <c r="I3582" s="241">
        <v>0.3</v>
      </c>
      <c r="J3582" s="241">
        <v>0.529411764705882</v>
      </c>
      <c r="K3582" s="241">
        <v>0.595744680851064</v>
      </c>
      <c r="L3582" s="241">
        <v>0.435483870967742</v>
      </c>
      <c r="M3582" s="241">
        <v>0.657894736842105</v>
      </c>
      <c r="N3582" s="241">
        <v>0.377358490566038</v>
      </c>
      <c r="O3582" s="252">
        <v>0.448275862068966</v>
      </c>
    </row>
    <row r="3583" spans="1:15">
      <c r="A3583" s="242" t="s">
        <v>67</v>
      </c>
      <c r="B3583" s="43" t="s">
        <v>57</v>
      </c>
      <c r="C3583" s="15">
        <v>498</v>
      </c>
      <c r="D3583" s="243">
        <v>46</v>
      </c>
      <c r="E3583" s="243">
        <v>32</v>
      </c>
      <c r="F3583" s="243">
        <v>27</v>
      </c>
      <c r="G3583" s="243">
        <v>27</v>
      </c>
      <c r="H3583" s="243">
        <v>44</v>
      </c>
      <c r="I3583" s="243">
        <v>30</v>
      </c>
      <c r="J3583" s="243">
        <v>34</v>
      </c>
      <c r="K3583" s="243">
        <v>47</v>
      </c>
      <c r="L3583" s="243">
        <v>62</v>
      </c>
      <c r="M3583" s="243">
        <v>38</v>
      </c>
      <c r="N3583" s="243">
        <v>53</v>
      </c>
      <c r="O3583" s="253">
        <v>58</v>
      </c>
    </row>
    <row r="3584" spans="1:15">
      <c r="A3584" s="240" t="s">
        <v>67</v>
      </c>
      <c r="B3584" s="47" t="s">
        <v>59</v>
      </c>
      <c r="C3584" s="15">
        <v>283</v>
      </c>
      <c r="D3584" s="243">
        <v>44</v>
      </c>
      <c r="E3584" s="243">
        <v>23</v>
      </c>
      <c r="F3584" s="243">
        <v>17</v>
      </c>
      <c r="G3584" s="243">
        <v>22</v>
      </c>
      <c r="H3584" s="243">
        <v>24</v>
      </c>
      <c r="I3584" s="243">
        <v>9</v>
      </c>
      <c r="J3584" s="243">
        <v>18</v>
      </c>
      <c r="K3584" s="243">
        <v>28</v>
      </c>
      <c r="L3584" s="243">
        <v>27</v>
      </c>
      <c r="M3584" s="243">
        <v>25</v>
      </c>
      <c r="N3584" s="243">
        <v>20</v>
      </c>
      <c r="O3584" s="253">
        <v>26</v>
      </c>
    </row>
    <row r="3585" spans="1:15">
      <c r="A3585" s="242" t="s">
        <v>67</v>
      </c>
      <c r="B3585" s="43" t="s">
        <v>4</v>
      </c>
      <c r="C3585" s="15">
        <v>13</v>
      </c>
      <c r="D3585" s="244">
        <v>1</v>
      </c>
      <c r="E3585" s="244">
        <v>1</v>
      </c>
      <c r="F3585" s="244">
        <v>1</v>
      </c>
      <c r="G3585" s="244">
        <v>1</v>
      </c>
      <c r="H3585" s="244">
        <v>0</v>
      </c>
      <c r="I3585" s="244">
        <v>1</v>
      </c>
      <c r="J3585" s="244">
        <v>2</v>
      </c>
      <c r="K3585" s="244">
        <v>2</v>
      </c>
      <c r="L3585" s="244">
        <v>1</v>
      </c>
      <c r="M3585" s="244">
        <v>1</v>
      </c>
      <c r="N3585" s="244">
        <v>2</v>
      </c>
      <c r="O3585" s="254">
        <v>0</v>
      </c>
    </row>
    <row r="3586" spans="1:15">
      <c r="A3586" s="240" t="s">
        <v>67</v>
      </c>
      <c r="B3586" s="47" t="s">
        <v>5</v>
      </c>
      <c r="C3586" s="12">
        <v>0.0459363957597173</v>
      </c>
      <c r="D3586" s="241">
        <v>0.0227272727272727</v>
      </c>
      <c r="E3586" s="241">
        <v>0.0434782608695652</v>
      </c>
      <c r="F3586" s="241">
        <v>0.0588235294117647</v>
      </c>
      <c r="G3586" s="241">
        <v>0.0454545454545455</v>
      </c>
      <c r="H3586" s="241">
        <v>0</v>
      </c>
      <c r="I3586" s="241">
        <v>0.111111111111111</v>
      </c>
      <c r="J3586" s="241">
        <v>0.111111111111111</v>
      </c>
      <c r="K3586" s="241">
        <v>0.0714285714285714</v>
      </c>
      <c r="L3586" s="241">
        <v>0.037037037037037</v>
      </c>
      <c r="M3586" s="241">
        <v>0.04</v>
      </c>
      <c r="N3586" s="241">
        <v>0.1</v>
      </c>
      <c r="O3586" s="252">
        <v>0</v>
      </c>
    </row>
    <row r="3587" spans="1:15">
      <c r="A3587" s="242" t="s">
        <v>67</v>
      </c>
      <c r="B3587" s="43" t="s">
        <v>6</v>
      </c>
      <c r="C3587" s="15">
        <v>4</v>
      </c>
      <c r="D3587" s="244">
        <v>2</v>
      </c>
      <c r="E3587" s="244">
        <v>0</v>
      </c>
      <c r="F3587" s="244">
        <v>0</v>
      </c>
      <c r="G3587" s="244">
        <v>0</v>
      </c>
      <c r="H3587" s="244">
        <v>0</v>
      </c>
      <c r="I3587" s="244">
        <v>0</v>
      </c>
      <c r="J3587" s="244">
        <v>0</v>
      </c>
      <c r="K3587" s="244">
        <v>0</v>
      </c>
      <c r="L3587" s="244">
        <v>0</v>
      </c>
      <c r="M3587" s="244">
        <v>2</v>
      </c>
      <c r="N3587" s="244">
        <v>0</v>
      </c>
      <c r="O3587" s="254">
        <v>0</v>
      </c>
    </row>
    <row r="3588" ht="14.25" spans="1:15">
      <c r="A3588" s="245" t="s">
        <v>67</v>
      </c>
      <c r="B3588" s="52" t="s">
        <v>64</v>
      </c>
      <c r="C3588" s="19">
        <v>0.307692307692308</v>
      </c>
      <c r="D3588" s="246">
        <v>2</v>
      </c>
      <c r="E3588" s="246">
        <v>0</v>
      </c>
      <c r="F3588" s="246">
        <v>0</v>
      </c>
      <c r="G3588" s="246">
        <v>0</v>
      </c>
      <c r="H3588" s="246">
        <v>0</v>
      </c>
      <c r="I3588" s="246">
        <v>0</v>
      </c>
      <c r="J3588" s="246">
        <v>0</v>
      </c>
      <c r="K3588" s="246">
        <v>0</v>
      </c>
      <c r="L3588" s="246">
        <v>0</v>
      </c>
      <c r="M3588" s="246">
        <v>2</v>
      </c>
      <c r="N3588" s="246">
        <v>0</v>
      </c>
      <c r="O3588" s="255">
        <v>0</v>
      </c>
    </row>
    <row r="3589" spans="1:15">
      <c r="A3589" s="240" t="s">
        <v>68</v>
      </c>
      <c r="B3589" s="47" t="s">
        <v>55</v>
      </c>
      <c r="C3589" s="12">
        <v>0.123991195891416</v>
      </c>
      <c r="D3589" s="241">
        <v>0.187335092348285</v>
      </c>
      <c r="E3589" s="241">
        <v>0.246753246753247</v>
      </c>
      <c r="F3589" s="241">
        <v>0.336363636363636</v>
      </c>
      <c r="G3589" s="241">
        <v>0.198952879581152</v>
      </c>
      <c r="H3589" s="241">
        <v>0.253061224489796</v>
      </c>
      <c r="I3589" s="241">
        <v>0.172043010752688</v>
      </c>
      <c r="J3589" s="241">
        <v>0.178787878787879</v>
      </c>
      <c r="K3589" s="241">
        <v>0.179028132992327</v>
      </c>
      <c r="L3589" s="241">
        <v>0.14321608040201</v>
      </c>
      <c r="M3589" s="241">
        <v>0.130620985010707</v>
      </c>
      <c r="N3589" s="241">
        <v>0.0547667342799189</v>
      </c>
      <c r="O3589" s="252">
        <v>0.0454863540937719</v>
      </c>
    </row>
    <row r="3590" spans="1:15">
      <c r="A3590" s="242" t="s">
        <v>68</v>
      </c>
      <c r="B3590" s="43" t="s">
        <v>57</v>
      </c>
      <c r="C3590" s="15">
        <v>5452</v>
      </c>
      <c r="D3590" s="243">
        <v>379</v>
      </c>
      <c r="E3590" s="243">
        <v>154</v>
      </c>
      <c r="F3590" s="243">
        <v>110</v>
      </c>
      <c r="G3590" s="243">
        <v>191</v>
      </c>
      <c r="H3590" s="243">
        <v>245</v>
      </c>
      <c r="I3590" s="243">
        <v>372</v>
      </c>
      <c r="J3590" s="243">
        <v>330</v>
      </c>
      <c r="K3590" s="243">
        <v>391</v>
      </c>
      <c r="L3590" s="243">
        <v>398</v>
      </c>
      <c r="M3590" s="243">
        <v>467</v>
      </c>
      <c r="N3590" s="243">
        <v>986</v>
      </c>
      <c r="O3590" s="253">
        <v>1429</v>
      </c>
    </row>
    <row r="3591" spans="1:15">
      <c r="A3591" s="240" t="s">
        <v>68</v>
      </c>
      <c r="B3591" s="47" t="s">
        <v>59</v>
      </c>
      <c r="C3591" s="15">
        <v>676</v>
      </c>
      <c r="D3591" s="243">
        <v>71</v>
      </c>
      <c r="E3591" s="243">
        <v>38</v>
      </c>
      <c r="F3591" s="243">
        <v>37</v>
      </c>
      <c r="G3591" s="243">
        <v>38</v>
      </c>
      <c r="H3591" s="243">
        <v>62</v>
      </c>
      <c r="I3591" s="243">
        <v>64</v>
      </c>
      <c r="J3591" s="243">
        <v>59</v>
      </c>
      <c r="K3591" s="243">
        <v>70</v>
      </c>
      <c r="L3591" s="243">
        <v>57</v>
      </c>
      <c r="M3591" s="243">
        <v>61</v>
      </c>
      <c r="N3591" s="243">
        <v>54</v>
      </c>
      <c r="O3591" s="253">
        <v>65</v>
      </c>
    </row>
    <row r="3592" spans="1:15">
      <c r="A3592" s="242" t="s">
        <v>68</v>
      </c>
      <c r="B3592" s="43" t="s">
        <v>4</v>
      </c>
      <c r="C3592" s="15">
        <v>32</v>
      </c>
      <c r="D3592" s="244">
        <v>5</v>
      </c>
      <c r="E3592" s="244">
        <v>6</v>
      </c>
      <c r="F3592" s="244">
        <v>0</v>
      </c>
      <c r="G3592" s="244">
        <v>3</v>
      </c>
      <c r="H3592" s="244">
        <v>1</v>
      </c>
      <c r="I3592" s="244">
        <v>3</v>
      </c>
      <c r="J3592" s="244">
        <v>0</v>
      </c>
      <c r="K3592" s="244">
        <v>4</v>
      </c>
      <c r="L3592" s="244">
        <v>3</v>
      </c>
      <c r="M3592" s="244">
        <v>0</v>
      </c>
      <c r="N3592" s="244">
        <v>2</v>
      </c>
      <c r="O3592" s="254">
        <v>5</v>
      </c>
    </row>
    <row r="3593" spans="1:15">
      <c r="A3593" s="240" t="s">
        <v>68</v>
      </c>
      <c r="B3593" s="47" t="s">
        <v>5</v>
      </c>
      <c r="C3593" s="12">
        <v>0.0473372781065089</v>
      </c>
      <c r="D3593" s="241">
        <v>0.0704225352112676</v>
      </c>
      <c r="E3593" s="241">
        <v>0.157894736842105</v>
      </c>
      <c r="F3593" s="241">
        <v>0</v>
      </c>
      <c r="G3593" s="241">
        <v>0.0789473684210526</v>
      </c>
      <c r="H3593" s="241">
        <v>0.0161290322580645</v>
      </c>
      <c r="I3593" s="241">
        <v>0.046875</v>
      </c>
      <c r="J3593" s="241">
        <v>0</v>
      </c>
      <c r="K3593" s="241">
        <v>0.0571428571428571</v>
      </c>
      <c r="L3593" s="241">
        <v>0.0526315789473684</v>
      </c>
      <c r="M3593" s="241">
        <v>0</v>
      </c>
      <c r="N3593" s="241">
        <v>0.037037037037037</v>
      </c>
      <c r="O3593" s="252">
        <v>0.0769230769230769</v>
      </c>
    </row>
    <row r="3594" spans="1:15">
      <c r="A3594" s="242" t="s">
        <v>68</v>
      </c>
      <c r="B3594" s="43" t="s">
        <v>6</v>
      </c>
      <c r="C3594" s="15">
        <v>13</v>
      </c>
      <c r="D3594" s="244">
        <v>0</v>
      </c>
      <c r="E3594" s="244">
        <v>3</v>
      </c>
      <c r="F3594" s="244">
        <v>0</v>
      </c>
      <c r="G3594" s="244">
        <v>0</v>
      </c>
      <c r="H3594" s="244">
        <v>1</v>
      </c>
      <c r="I3594" s="244">
        <v>0</v>
      </c>
      <c r="J3594" s="244">
        <v>1</v>
      </c>
      <c r="K3594" s="244">
        <v>2</v>
      </c>
      <c r="L3594" s="244">
        <v>1</v>
      </c>
      <c r="M3594" s="244">
        <v>2</v>
      </c>
      <c r="N3594" s="244">
        <v>0</v>
      </c>
      <c r="O3594" s="254">
        <v>3</v>
      </c>
    </row>
    <row r="3595" ht="14.25" spans="1:15">
      <c r="A3595" s="245" t="s">
        <v>68</v>
      </c>
      <c r="B3595" s="52" t="s">
        <v>64</v>
      </c>
      <c r="C3595" s="19">
        <v>0.40625</v>
      </c>
      <c r="D3595" s="246">
        <v>0</v>
      </c>
      <c r="E3595" s="246">
        <v>0.5</v>
      </c>
      <c r="F3595" s="246">
        <v>0</v>
      </c>
      <c r="G3595" s="246">
        <v>0</v>
      </c>
      <c r="H3595" s="246">
        <v>1</v>
      </c>
      <c r="I3595" s="246">
        <v>0</v>
      </c>
      <c r="J3595" s="246">
        <v>0</v>
      </c>
      <c r="K3595" s="246">
        <v>0.5</v>
      </c>
      <c r="L3595" s="246">
        <v>0.333333333333333</v>
      </c>
      <c r="M3595" s="246">
        <v>0</v>
      </c>
      <c r="N3595" s="246">
        <v>0</v>
      </c>
      <c r="O3595" s="255">
        <v>0.6</v>
      </c>
    </row>
    <row r="3596" spans="1:15">
      <c r="A3596" s="240" t="s">
        <v>69</v>
      </c>
      <c r="B3596" s="47" t="s">
        <v>55</v>
      </c>
      <c r="C3596" s="12">
        <v>0.91701244813278</v>
      </c>
      <c r="D3596" s="241">
        <v>1.26530612244898</v>
      </c>
      <c r="E3596" s="241">
        <v>1.21052631578947</v>
      </c>
      <c r="F3596" s="241">
        <v>1.25</v>
      </c>
      <c r="G3596" s="241">
        <v>1.18518518518519</v>
      </c>
      <c r="H3596" s="241">
        <v>0.88</v>
      </c>
      <c r="I3596" s="241">
        <v>0.822222222222222</v>
      </c>
      <c r="J3596" s="241">
        <v>0.785714285714286</v>
      </c>
      <c r="K3596" s="241">
        <v>0.693877551020408</v>
      </c>
      <c r="L3596" s="241">
        <v>0.697674418604651</v>
      </c>
      <c r="M3596" s="241">
        <v>0.953488372093023</v>
      </c>
      <c r="N3596" s="241">
        <v>0.818181818181818</v>
      </c>
      <c r="O3596" s="252">
        <v>0.958333333333333</v>
      </c>
    </row>
    <row r="3597" spans="1:15">
      <c r="A3597" s="242" t="s">
        <v>69</v>
      </c>
      <c r="B3597" s="43" t="s">
        <v>57</v>
      </c>
      <c r="C3597" s="15">
        <v>482</v>
      </c>
      <c r="D3597" s="243">
        <v>49</v>
      </c>
      <c r="E3597" s="243">
        <v>19</v>
      </c>
      <c r="F3597" s="243">
        <v>12</v>
      </c>
      <c r="G3597" s="243">
        <v>27</v>
      </c>
      <c r="H3597" s="243">
        <v>50</v>
      </c>
      <c r="I3597" s="243">
        <v>45</v>
      </c>
      <c r="J3597" s="243">
        <v>42</v>
      </c>
      <c r="K3597" s="243">
        <v>49</v>
      </c>
      <c r="L3597" s="243">
        <v>43</v>
      </c>
      <c r="M3597" s="243">
        <v>43</v>
      </c>
      <c r="N3597" s="243">
        <v>55</v>
      </c>
      <c r="O3597" s="253">
        <v>48</v>
      </c>
    </row>
    <row r="3598" spans="1:15">
      <c r="A3598" s="240" t="s">
        <v>69</v>
      </c>
      <c r="B3598" s="47" t="s">
        <v>59</v>
      </c>
      <c r="C3598" s="15">
        <v>442</v>
      </c>
      <c r="D3598" s="243">
        <v>62</v>
      </c>
      <c r="E3598" s="243">
        <v>23</v>
      </c>
      <c r="F3598" s="243">
        <v>15</v>
      </c>
      <c r="G3598" s="243">
        <v>32</v>
      </c>
      <c r="H3598" s="243">
        <v>44</v>
      </c>
      <c r="I3598" s="243">
        <v>37</v>
      </c>
      <c r="J3598" s="243">
        <v>33</v>
      </c>
      <c r="K3598" s="243">
        <v>34</v>
      </c>
      <c r="L3598" s="243">
        <v>30</v>
      </c>
      <c r="M3598" s="243">
        <v>41</v>
      </c>
      <c r="N3598" s="243">
        <v>45</v>
      </c>
      <c r="O3598" s="253">
        <v>46</v>
      </c>
    </row>
    <row r="3599" spans="1:15">
      <c r="A3599" s="242" t="s">
        <v>69</v>
      </c>
      <c r="B3599" s="43" t="s">
        <v>4</v>
      </c>
      <c r="C3599" s="15">
        <v>22</v>
      </c>
      <c r="D3599" s="244">
        <v>1</v>
      </c>
      <c r="E3599" s="244">
        <v>0</v>
      </c>
      <c r="F3599" s="244">
        <v>3</v>
      </c>
      <c r="G3599" s="244">
        <v>0</v>
      </c>
      <c r="H3599" s="244">
        <v>0</v>
      </c>
      <c r="I3599" s="244">
        <v>2</v>
      </c>
      <c r="J3599" s="244">
        <v>4</v>
      </c>
      <c r="K3599" s="244">
        <v>1</v>
      </c>
      <c r="L3599" s="244">
        <v>4</v>
      </c>
      <c r="M3599" s="244">
        <v>5</v>
      </c>
      <c r="N3599" s="244">
        <v>1</v>
      </c>
      <c r="O3599" s="254">
        <v>1</v>
      </c>
    </row>
    <row r="3600" spans="1:15">
      <c r="A3600" s="240" t="s">
        <v>69</v>
      </c>
      <c r="B3600" s="47" t="s">
        <v>5</v>
      </c>
      <c r="C3600" s="12">
        <v>0.0497737556561086</v>
      </c>
      <c r="D3600" s="241">
        <v>0.0161290322580645</v>
      </c>
      <c r="E3600" s="241">
        <v>0</v>
      </c>
      <c r="F3600" s="241">
        <v>0.2</v>
      </c>
      <c r="G3600" s="241">
        <v>0</v>
      </c>
      <c r="H3600" s="241">
        <v>0</v>
      </c>
      <c r="I3600" s="241">
        <v>0.0540540540540541</v>
      </c>
      <c r="J3600" s="241">
        <v>0.121212121212121</v>
      </c>
      <c r="K3600" s="241">
        <v>0.0294117647058824</v>
      </c>
      <c r="L3600" s="241">
        <v>0.133333333333333</v>
      </c>
      <c r="M3600" s="241">
        <v>0.121951219512195</v>
      </c>
      <c r="N3600" s="241">
        <v>0.0222222222222222</v>
      </c>
      <c r="O3600" s="252">
        <v>0.0217391304347826</v>
      </c>
    </row>
    <row r="3601" spans="1:15">
      <c r="A3601" s="242" t="s">
        <v>69</v>
      </c>
      <c r="B3601" s="43" t="s">
        <v>6</v>
      </c>
      <c r="C3601" s="15">
        <v>6</v>
      </c>
      <c r="D3601" s="244">
        <v>0</v>
      </c>
      <c r="E3601" s="244">
        <v>0</v>
      </c>
      <c r="F3601" s="244">
        <v>2</v>
      </c>
      <c r="G3601" s="244">
        <v>1</v>
      </c>
      <c r="H3601" s="244">
        <v>0</v>
      </c>
      <c r="I3601" s="244">
        <v>0</v>
      </c>
      <c r="J3601" s="244">
        <v>1</v>
      </c>
      <c r="K3601" s="244">
        <v>0</v>
      </c>
      <c r="L3601" s="244">
        <v>1</v>
      </c>
      <c r="M3601" s="244">
        <v>0</v>
      </c>
      <c r="N3601" s="244">
        <v>0</v>
      </c>
      <c r="O3601" s="254">
        <v>1</v>
      </c>
    </row>
    <row r="3602" ht="14.25" spans="1:15">
      <c r="A3602" s="245" t="s">
        <v>69</v>
      </c>
      <c r="B3602" s="52" t="s">
        <v>64</v>
      </c>
      <c r="C3602" s="19">
        <v>0.272727272727273</v>
      </c>
      <c r="D3602" s="246">
        <v>0</v>
      </c>
      <c r="E3602" s="246">
        <v>0</v>
      </c>
      <c r="F3602" s="246">
        <v>0.666666666666667</v>
      </c>
      <c r="G3602" s="246">
        <v>0</v>
      </c>
      <c r="H3602" s="246">
        <v>0</v>
      </c>
      <c r="I3602" s="246">
        <v>0</v>
      </c>
      <c r="J3602" s="246">
        <v>0.25</v>
      </c>
      <c r="K3602" s="246">
        <v>0</v>
      </c>
      <c r="L3602" s="246">
        <v>0.25</v>
      </c>
      <c r="M3602" s="246">
        <v>0</v>
      </c>
      <c r="N3602" s="246">
        <v>0</v>
      </c>
      <c r="O3602" s="255">
        <v>1</v>
      </c>
    </row>
    <row r="3603" spans="1:15">
      <c r="A3603" s="240" t="s">
        <v>70</v>
      </c>
      <c r="B3603" s="47" t="s">
        <v>55</v>
      </c>
      <c r="C3603" s="12">
        <v>0.166686871135895</v>
      </c>
      <c r="D3603" s="241">
        <v>0.247464503042596</v>
      </c>
      <c r="E3603" s="241">
        <v>0.316981132075472</v>
      </c>
      <c r="F3603" s="241">
        <v>0.402439024390244</v>
      </c>
      <c r="G3603" s="241">
        <v>0.333333333333333</v>
      </c>
      <c r="H3603" s="241">
        <v>0.360215053763441</v>
      </c>
      <c r="I3603" s="241">
        <v>0.292803970223325</v>
      </c>
      <c r="J3603" s="241">
        <v>0.267857142857143</v>
      </c>
      <c r="K3603" s="241">
        <v>0.292735042735043</v>
      </c>
      <c r="L3603" s="241">
        <v>0.293478260869565</v>
      </c>
      <c r="M3603" s="241">
        <v>0.114702815432742</v>
      </c>
      <c r="N3603" s="241">
        <v>0.0626895854398382</v>
      </c>
      <c r="O3603" s="252">
        <v>0.0767716535433071</v>
      </c>
    </row>
    <row r="3604" spans="1:15">
      <c r="A3604" s="242" t="s">
        <v>70</v>
      </c>
      <c r="B3604" s="43" t="s">
        <v>57</v>
      </c>
      <c r="C3604" s="15">
        <v>8249</v>
      </c>
      <c r="D3604" s="243">
        <v>493</v>
      </c>
      <c r="E3604" s="243">
        <v>265</v>
      </c>
      <c r="F3604" s="243">
        <v>164</v>
      </c>
      <c r="G3604" s="243">
        <v>207</v>
      </c>
      <c r="H3604" s="243">
        <v>372</v>
      </c>
      <c r="I3604" s="243">
        <v>403</v>
      </c>
      <c r="J3604" s="243">
        <v>448</v>
      </c>
      <c r="K3604" s="243">
        <v>468</v>
      </c>
      <c r="L3604" s="243">
        <v>460</v>
      </c>
      <c r="M3604" s="243">
        <v>959</v>
      </c>
      <c r="N3604" s="243">
        <v>1978</v>
      </c>
      <c r="O3604" s="253">
        <v>2032</v>
      </c>
    </row>
    <row r="3605" spans="1:15">
      <c r="A3605" s="240" t="s">
        <v>70</v>
      </c>
      <c r="B3605" s="47" t="s">
        <v>59</v>
      </c>
      <c r="C3605" s="15">
        <v>1375</v>
      </c>
      <c r="D3605" s="243">
        <v>122</v>
      </c>
      <c r="E3605" s="243">
        <v>84</v>
      </c>
      <c r="F3605" s="243">
        <v>66</v>
      </c>
      <c r="G3605" s="243">
        <v>69</v>
      </c>
      <c r="H3605" s="243">
        <v>134</v>
      </c>
      <c r="I3605" s="243">
        <v>118</v>
      </c>
      <c r="J3605" s="243">
        <v>120</v>
      </c>
      <c r="K3605" s="243">
        <v>137</v>
      </c>
      <c r="L3605" s="243">
        <v>135</v>
      </c>
      <c r="M3605" s="243">
        <v>110</v>
      </c>
      <c r="N3605" s="243">
        <v>124</v>
      </c>
      <c r="O3605" s="253">
        <v>156</v>
      </c>
    </row>
    <row r="3606" spans="1:15">
      <c r="A3606" s="242" t="s">
        <v>70</v>
      </c>
      <c r="B3606" s="43" t="s">
        <v>4</v>
      </c>
      <c r="C3606" s="15">
        <v>176</v>
      </c>
      <c r="D3606" s="244">
        <v>16</v>
      </c>
      <c r="E3606" s="244">
        <v>17</v>
      </c>
      <c r="F3606" s="244">
        <v>5</v>
      </c>
      <c r="G3606" s="244">
        <v>8</v>
      </c>
      <c r="H3606" s="244">
        <v>15</v>
      </c>
      <c r="I3606" s="244">
        <v>10</v>
      </c>
      <c r="J3606" s="244">
        <v>12</v>
      </c>
      <c r="K3606" s="244">
        <v>20</v>
      </c>
      <c r="L3606" s="244">
        <v>17</v>
      </c>
      <c r="M3606" s="244">
        <v>17</v>
      </c>
      <c r="N3606" s="244">
        <v>11</v>
      </c>
      <c r="O3606" s="254">
        <v>28</v>
      </c>
    </row>
    <row r="3607" spans="1:15">
      <c r="A3607" s="240" t="s">
        <v>70</v>
      </c>
      <c r="B3607" s="47" t="s">
        <v>5</v>
      </c>
      <c r="C3607" s="12">
        <v>0.128</v>
      </c>
      <c r="D3607" s="241">
        <v>0.131147540983607</v>
      </c>
      <c r="E3607" s="241">
        <v>0.202380952380952</v>
      </c>
      <c r="F3607" s="241">
        <v>0.0757575757575758</v>
      </c>
      <c r="G3607" s="241">
        <v>0.115942028985507</v>
      </c>
      <c r="H3607" s="241">
        <v>0.111940298507463</v>
      </c>
      <c r="I3607" s="241">
        <v>0.0847457627118644</v>
      </c>
      <c r="J3607" s="241">
        <v>0.1</v>
      </c>
      <c r="K3607" s="241">
        <v>0.145985401459854</v>
      </c>
      <c r="L3607" s="241">
        <v>0.125925925925926</v>
      </c>
      <c r="M3607" s="241">
        <v>0.154545454545455</v>
      </c>
      <c r="N3607" s="241">
        <v>0.0887096774193548</v>
      </c>
      <c r="O3607" s="252">
        <v>0.179487179487179</v>
      </c>
    </row>
    <row r="3608" spans="1:15">
      <c r="A3608" s="242" t="s">
        <v>70</v>
      </c>
      <c r="B3608" s="43" t="s">
        <v>6</v>
      </c>
      <c r="C3608" s="15">
        <v>40</v>
      </c>
      <c r="D3608" s="244">
        <v>3</v>
      </c>
      <c r="E3608" s="244">
        <v>3</v>
      </c>
      <c r="F3608" s="244">
        <v>3</v>
      </c>
      <c r="G3608" s="244">
        <v>2</v>
      </c>
      <c r="H3608" s="244">
        <v>3</v>
      </c>
      <c r="I3608" s="244">
        <v>8</v>
      </c>
      <c r="J3608" s="244">
        <v>1</v>
      </c>
      <c r="K3608" s="244">
        <v>3</v>
      </c>
      <c r="L3608" s="244">
        <v>4</v>
      </c>
      <c r="M3608" s="244">
        <v>3</v>
      </c>
      <c r="N3608" s="244">
        <v>3</v>
      </c>
      <c r="O3608" s="254">
        <v>4</v>
      </c>
    </row>
    <row r="3609" ht="14.25" spans="1:15">
      <c r="A3609" s="245" t="s">
        <v>70</v>
      </c>
      <c r="B3609" s="52" t="s">
        <v>64</v>
      </c>
      <c r="C3609" s="19">
        <v>0.227272727272727</v>
      </c>
      <c r="D3609" s="246">
        <v>0.1875</v>
      </c>
      <c r="E3609" s="246">
        <v>0.176470588235294</v>
      </c>
      <c r="F3609" s="246">
        <v>0.6</v>
      </c>
      <c r="G3609" s="246">
        <v>0.25</v>
      </c>
      <c r="H3609" s="246">
        <v>0.2</v>
      </c>
      <c r="I3609" s="246">
        <v>0.8</v>
      </c>
      <c r="J3609" s="246">
        <v>0.0833333333333333</v>
      </c>
      <c r="K3609" s="246">
        <v>0.15</v>
      </c>
      <c r="L3609" s="246">
        <v>0.235294117647059</v>
      </c>
      <c r="M3609" s="246">
        <v>0.176470588235294</v>
      </c>
      <c r="N3609" s="246">
        <v>0.272727272727273</v>
      </c>
      <c r="O3609" s="255">
        <v>0.142857142857143</v>
      </c>
    </row>
    <row r="3610" spans="1:15">
      <c r="A3610" s="240" t="s">
        <v>26</v>
      </c>
      <c r="B3610" s="47" t="s">
        <v>55</v>
      </c>
      <c r="C3610" s="12">
        <v>0.70089475926715</v>
      </c>
      <c r="D3610" s="241">
        <v>0.687719298245614</v>
      </c>
      <c r="E3610" s="241">
        <v>0.578534031413613</v>
      </c>
      <c r="F3610" s="241">
        <v>0.536912751677852</v>
      </c>
      <c r="G3610" s="241">
        <v>0.577114427860697</v>
      </c>
      <c r="H3610" s="241">
        <v>0.826589595375723</v>
      </c>
      <c r="I3610" s="241">
        <v>0.694444444444444</v>
      </c>
      <c r="J3610" s="241">
        <v>0.864197530864197</v>
      </c>
      <c r="K3610" s="241">
        <v>0.84375</v>
      </c>
      <c r="L3610" s="241">
        <v>0.752136752136752</v>
      </c>
      <c r="M3610" s="241">
        <v>0.911764705882353</v>
      </c>
      <c r="N3610" s="241">
        <v>0.861538461538462</v>
      </c>
      <c r="O3610" s="252">
        <v>0.752066115702479</v>
      </c>
    </row>
    <row r="3611" spans="1:15">
      <c r="A3611" s="242" t="s">
        <v>26</v>
      </c>
      <c r="B3611" s="43" t="s">
        <v>57</v>
      </c>
      <c r="C3611" s="15">
        <v>2347</v>
      </c>
      <c r="D3611" s="243">
        <v>285</v>
      </c>
      <c r="E3611" s="243">
        <v>382</v>
      </c>
      <c r="F3611" s="243">
        <v>298</v>
      </c>
      <c r="G3611" s="243">
        <v>201</v>
      </c>
      <c r="H3611" s="243">
        <v>173</v>
      </c>
      <c r="I3611" s="243">
        <v>216</v>
      </c>
      <c r="J3611" s="243">
        <v>162</v>
      </c>
      <c r="K3611" s="243">
        <v>160</v>
      </c>
      <c r="L3611" s="243">
        <v>117</v>
      </c>
      <c r="M3611" s="243">
        <v>102</v>
      </c>
      <c r="N3611" s="243">
        <v>130</v>
      </c>
      <c r="O3611" s="253">
        <v>121</v>
      </c>
    </row>
    <row r="3612" spans="1:15">
      <c r="A3612" s="240" t="s">
        <v>26</v>
      </c>
      <c r="B3612" s="47" t="s">
        <v>59</v>
      </c>
      <c r="C3612" s="15">
        <v>1645</v>
      </c>
      <c r="D3612" s="243">
        <v>196</v>
      </c>
      <c r="E3612" s="243">
        <v>221</v>
      </c>
      <c r="F3612" s="243">
        <v>160</v>
      </c>
      <c r="G3612" s="243">
        <v>116</v>
      </c>
      <c r="H3612" s="243">
        <v>143</v>
      </c>
      <c r="I3612" s="243">
        <v>150</v>
      </c>
      <c r="J3612" s="243">
        <v>140</v>
      </c>
      <c r="K3612" s="243">
        <v>135</v>
      </c>
      <c r="L3612" s="243">
        <v>88</v>
      </c>
      <c r="M3612" s="243">
        <v>93</v>
      </c>
      <c r="N3612" s="243">
        <v>112</v>
      </c>
      <c r="O3612" s="253">
        <v>91</v>
      </c>
    </row>
    <row r="3613" spans="1:15">
      <c r="A3613" s="242" t="s">
        <v>26</v>
      </c>
      <c r="B3613" s="43" t="s">
        <v>4</v>
      </c>
      <c r="C3613" s="15">
        <v>16</v>
      </c>
      <c r="D3613" s="244">
        <v>2</v>
      </c>
      <c r="E3613" s="244">
        <v>2</v>
      </c>
      <c r="F3613" s="244">
        <v>1</v>
      </c>
      <c r="G3613" s="244">
        <v>2</v>
      </c>
      <c r="H3613" s="244">
        <v>1</v>
      </c>
      <c r="I3613" s="244">
        <v>1</v>
      </c>
      <c r="J3613" s="244">
        <v>2</v>
      </c>
      <c r="K3613" s="244">
        <v>2</v>
      </c>
      <c r="L3613" s="244">
        <v>0</v>
      </c>
      <c r="M3613" s="244">
        <v>0</v>
      </c>
      <c r="N3613" s="244">
        <v>1</v>
      </c>
      <c r="O3613" s="254">
        <v>2</v>
      </c>
    </row>
    <row r="3614" spans="1:15">
      <c r="A3614" s="240" t="s">
        <v>26</v>
      </c>
      <c r="B3614" s="47" t="s">
        <v>5</v>
      </c>
      <c r="C3614" s="12">
        <v>0.00972644376899696</v>
      </c>
      <c r="D3614" s="241">
        <v>0.0102040816326531</v>
      </c>
      <c r="E3614" s="241">
        <v>0.00904977375565611</v>
      </c>
      <c r="F3614" s="241">
        <v>0.00625</v>
      </c>
      <c r="G3614" s="241">
        <v>0.0172413793103448</v>
      </c>
      <c r="H3614" s="241">
        <v>0.00699300699300699</v>
      </c>
      <c r="I3614" s="241">
        <v>0.00666666666666667</v>
      </c>
      <c r="J3614" s="241">
        <v>0.0142857142857143</v>
      </c>
      <c r="K3614" s="241">
        <v>0.0148148148148148</v>
      </c>
      <c r="L3614" s="241">
        <v>0</v>
      </c>
      <c r="M3614" s="241">
        <v>0</v>
      </c>
      <c r="N3614" s="241">
        <v>0.00892857142857143</v>
      </c>
      <c r="O3614" s="252">
        <v>0.021978021978022</v>
      </c>
    </row>
    <row r="3615" spans="1:15">
      <c r="A3615" s="242" t="s">
        <v>26</v>
      </c>
      <c r="B3615" s="43" t="s">
        <v>6</v>
      </c>
      <c r="C3615" s="15">
        <v>5</v>
      </c>
      <c r="D3615" s="244">
        <v>1</v>
      </c>
      <c r="E3615" s="244">
        <v>1</v>
      </c>
      <c r="F3615" s="244">
        <v>1</v>
      </c>
      <c r="G3615" s="244">
        <v>0</v>
      </c>
      <c r="H3615" s="244">
        <v>0</v>
      </c>
      <c r="I3615" s="244">
        <v>0</v>
      </c>
      <c r="J3615" s="244">
        <v>0</v>
      </c>
      <c r="K3615" s="244">
        <v>1</v>
      </c>
      <c r="L3615" s="244">
        <v>0</v>
      </c>
      <c r="M3615" s="244">
        <v>0</v>
      </c>
      <c r="N3615" s="244">
        <v>0</v>
      </c>
      <c r="O3615" s="254">
        <v>1</v>
      </c>
    </row>
    <row r="3616" ht="14.25" spans="1:15">
      <c r="A3616" s="245" t="s">
        <v>26</v>
      </c>
      <c r="B3616" s="52" t="s">
        <v>64</v>
      </c>
      <c r="C3616" s="19">
        <v>0.3125</v>
      </c>
      <c r="D3616" s="19">
        <v>0.5</v>
      </c>
      <c r="E3616" s="19">
        <v>0.5</v>
      </c>
      <c r="F3616" s="19">
        <v>1</v>
      </c>
      <c r="G3616" s="19">
        <v>0</v>
      </c>
      <c r="H3616" s="19">
        <v>0</v>
      </c>
      <c r="I3616" s="19">
        <v>0</v>
      </c>
      <c r="J3616" s="19">
        <v>0</v>
      </c>
      <c r="K3616" s="19">
        <v>0.5</v>
      </c>
      <c r="L3616" s="19" t="e">
        <v>#DIV/0!</v>
      </c>
      <c r="M3616" s="19" t="e">
        <v>#DIV/0!</v>
      </c>
      <c r="N3616" s="19">
        <v>0</v>
      </c>
      <c r="O3616" s="19">
        <v>0.5</v>
      </c>
    </row>
    <row r="3617" spans="1:15">
      <c r="A3617" s="240" t="s">
        <v>71</v>
      </c>
      <c r="B3617" s="47" t="s">
        <v>55</v>
      </c>
      <c r="C3617" s="12">
        <v>1.4</v>
      </c>
      <c r="D3617" s="241" t="e">
        <v>#DIV/0!</v>
      </c>
      <c r="E3617" s="241">
        <v>0.666666666666667</v>
      </c>
      <c r="F3617" s="241">
        <v>0.333333333333333</v>
      </c>
      <c r="G3617" s="241">
        <v>0</v>
      </c>
      <c r="H3617" s="241">
        <v>0</v>
      </c>
      <c r="I3617" s="241">
        <v>0</v>
      </c>
      <c r="J3617" s="241" t="e">
        <v>#DIV/0!</v>
      </c>
      <c r="K3617" s="241" t="e">
        <v>#DIV/0!</v>
      </c>
      <c r="L3617" s="241" t="e">
        <v>#DIV/0!</v>
      </c>
      <c r="M3617" s="241" t="e">
        <v>#DIV/0!</v>
      </c>
      <c r="N3617" s="241" t="e">
        <v>#DIV/0!</v>
      </c>
      <c r="O3617" s="252" t="e">
        <v>#DIV/0!</v>
      </c>
    </row>
    <row r="3618" spans="1:15">
      <c r="A3618" s="242" t="s">
        <v>71</v>
      </c>
      <c r="B3618" s="43" t="s">
        <v>57</v>
      </c>
      <c r="C3618" s="15">
        <v>10</v>
      </c>
      <c r="D3618" s="243">
        <v>0</v>
      </c>
      <c r="E3618" s="243">
        <v>3</v>
      </c>
      <c r="F3618" s="243">
        <v>3</v>
      </c>
      <c r="G3618" s="243">
        <v>1</v>
      </c>
      <c r="H3618" s="243">
        <v>2</v>
      </c>
      <c r="I3618" s="243">
        <v>1</v>
      </c>
      <c r="J3618" s="243">
        <v>0</v>
      </c>
      <c r="K3618" s="243">
        <v>0</v>
      </c>
      <c r="L3618" s="243">
        <v>0</v>
      </c>
      <c r="M3618" s="243">
        <v>0</v>
      </c>
      <c r="N3618" s="243">
        <v>0</v>
      </c>
      <c r="O3618" s="253">
        <v>0</v>
      </c>
    </row>
    <row r="3619" spans="1:15">
      <c r="A3619" s="240" t="s">
        <v>71</v>
      </c>
      <c r="B3619" s="47" t="s">
        <v>59</v>
      </c>
      <c r="C3619" s="15">
        <v>14</v>
      </c>
      <c r="D3619" s="243">
        <v>1</v>
      </c>
      <c r="E3619" s="243">
        <v>2</v>
      </c>
      <c r="F3619" s="243">
        <v>1</v>
      </c>
      <c r="G3619" s="243">
        <v>0</v>
      </c>
      <c r="H3619" s="243">
        <v>0</v>
      </c>
      <c r="I3619" s="243">
        <v>0</v>
      </c>
      <c r="J3619" s="243">
        <v>0</v>
      </c>
      <c r="K3619" s="243">
        <v>0</v>
      </c>
      <c r="L3619" s="243">
        <v>2</v>
      </c>
      <c r="M3619" s="243">
        <v>2</v>
      </c>
      <c r="N3619" s="243">
        <v>4</v>
      </c>
      <c r="O3619" s="253">
        <v>2</v>
      </c>
    </row>
    <row r="3620" spans="1:15">
      <c r="A3620" s="242" t="s">
        <v>71</v>
      </c>
      <c r="B3620" s="43" t="s">
        <v>4</v>
      </c>
      <c r="C3620" s="15">
        <v>19</v>
      </c>
      <c r="D3620" s="244">
        <v>1</v>
      </c>
      <c r="E3620" s="244">
        <v>0</v>
      </c>
      <c r="F3620" s="244">
        <v>0</v>
      </c>
      <c r="G3620" s="244">
        <v>2</v>
      </c>
      <c r="H3620" s="244">
        <v>4</v>
      </c>
      <c r="I3620" s="244">
        <v>2</v>
      </c>
      <c r="J3620" s="244">
        <v>1</v>
      </c>
      <c r="K3620" s="244">
        <v>3</v>
      </c>
      <c r="L3620" s="244">
        <v>1</v>
      </c>
      <c r="M3620" s="244">
        <v>1</v>
      </c>
      <c r="N3620" s="244">
        <v>1</v>
      </c>
      <c r="O3620" s="254">
        <v>3</v>
      </c>
    </row>
    <row r="3621" spans="1:15">
      <c r="A3621" s="240" t="s">
        <v>71</v>
      </c>
      <c r="B3621" s="47" t="s">
        <v>5</v>
      </c>
      <c r="C3621" s="241">
        <v>1.35714285714286</v>
      </c>
      <c r="D3621" s="241">
        <v>1</v>
      </c>
      <c r="E3621" s="241">
        <v>0</v>
      </c>
      <c r="F3621" s="241">
        <v>0</v>
      </c>
      <c r="G3621" s="241">
        <v>0</v>
      </c>
      <c r="H3621" s="241">
        <v>0</v>
      </c>
      <c r="I3621" s="241">
        <v>0</v>
      </c>
      <c r="J3621" s="241">
        <v>0</v>
      </c>
      <c r="K3621" s="241">
        <v>0</v>
      </c>
      <c r="L3621" s="241">
        <v>0.5</v>
      </c>
      <c r="M3621" s="241">
        <v>0.5</v>
      </c>
      <c r="N3621" s="241">
        <v>0.25</v>
      </c>
      <c r="O3621" s="252">
        <v>1.5</v>
      </c>
    </row>
    <row r="3622" spans="1:15">
      <c r="A3622" s="242" t="s">
        <v>71</v>
      </c>
      <c r="B3622" s="43" t="s">
        <v>6</v>
      </c>
      <c r="C3622" s="15">
        <v>2</v>
      </c>
      <c r="D3622" s="244">
        <v>0</v>
      </c>
      <c r="E3622" s="244">
        <v>0</v>
      </c>
      <c r="F3622" s="244">
        <v>0</v>
      </c>
      <c r="G3622" s="244">
        <v>0</v>
      </c>
      <c r="H3622" s="244">
        <v>0</v>
      </c>
      <c r="I3622" s="244">
        <v>1</v>
      </c>
      <c r="J3622" s="244">
        <v>0</v>
      </c>
      <c r="K3622" s="244">
        <v>1</v>
      </c>
      <c r="L3622" s="244">
        <v>0</v>
      </c>
      <c r="M3622" s="244">
        <v>0</v>
      </c>
      <c r="N3622" s="244">
        <v>0</v>
      </c>
      <c r="O3622" s="254">
        <v>0</v>
      </c>
    </row>
    <row r="3623" ht="14.25" spans="1:15">
      <c r="A3623" s="245" t="s">
        <v>71</v>
      </c>
      <c r="B3623" s="52" t="s">
        <v>64</v>
      </c>
      <c r="C3623" s="19">
        <v>0.105263157894737</v>
      </c>
      <c r="D3623" s="19">
        <v>0</v>
      </c>
      <c r="E3623" s="19" t="e">
        <v>#DIV/0!</v>
      </c>
      <c r="F3623" s="19" t="e">
        <v>#DIV/0!</v>
      </c>
      <c r="G3623" s="19">
        <v>0</v>
      </c>
      <c r="H3623" s="19">
        <v>0</v>
      </c>
      <c r="I3623" s="19">
        <v>0.5</v>
      </c>
      <c r="J3623" s="19">
        <v>0</v>
      </c>
      <c r="K3623" s="19">
        <v>0.333333333333333</v>
      </c>
      <c r="L3623" s="19">
        <v>0</v>
      </c>
      <c r="M3623" s="19">
        <v>0</v>
      </c>
      <c r="N3623" s="19">
        <v>0</v>
      </c>
      <c r="O3623" s="19">
        <v>0</v>
      </c>
    </row>
    <row r="3624" spans="1:15">
      <c r="A3624" s="240" t="s">
        <v>72</v>
      </c>
      <c r="B3624" s="47" t="s">
        <v>55</v>
      </c>
      <c r="C3624" s="12">
        <v>0.145752575035995</v>
      </c>
      <c r="D3624" s="241">
        <v>0.160731472569779</v>
      </c>
      <c r="E3624" s="241">
        <v>0.169772256728778</v>
      </c>
      <c r="F3624" s="241">
        <v>0.138504155124654</v>
      </c>
      <c r="G3624" s="241">
        <v>0.165071770334928</v>
      </c>
      <c r="H3624" s="241">
        <v>0.1265625</v>
      </c>
      <c r="I3624" s="241">
        <v>0.137741046831956</v>
      </c>
      <c r="J3624" s="241">
        <v>0.135834411384217</v>
      </c>
      <c r="K3624" s="241">
        <v>0.131791907514451</v>
      </c>
      <c r="L3624" s="241">
        <v>0.15311004784689</v>
      </c>
      <c r="M3624" s="241">
        <v>0.138785625774473</v>
      </c>
      <c r="N3624" s="241">
        <v>0.143002028397566</v>
      </c>
      <c r="O3624" s="252">
        <v>0.152511415525114</v>
      </c>
    </row>
    <row r="3625" spans="1:15">
      <c r="A3625" s="242" t="s">
        <v>72</v>
      </c>
      <c r="B3625" s="43" t="s">
        <v>57</v>
      </c>
      <c r="C3625" s="15">
        <v>9029</v>
      </c>
      <c r="D3625" s="243">
        <v>1039</v>
      </c>
      <c r="E3625" s="243">
        <v>483</v>
      </c>
      <c r="F3625" s="243">
        <v>361</v>
      </c>
      <c r="G3625" s="243">
        <v>418</v>
      </c>
      <c r="H3625" s="243">
        <v>640</v>
      </c>
      <c r="I3625" s="243">
        <v>726</v>
      </c>
      <c r="J3625" s="243">
        <v>773</v>
      </c>
      <c r="K3625" s="243">
        <v>865</v>
      </c>
      <c r="L3625" s="243">
        <v>836</v>
      </c>
      <c r="M3625" s="243">
        <v>807</v>
      </c>
      <c r="N3625" s="243">
        <v>986</v>
      </c>
      <c r="O3625" s="253">
        <v>1095</v>
      </c>
    </row>
    <row r="3626" spans="1:15">
      <c r="A3626" s="240" t="s">
        <v>72</v>
      </c>
      <c r="B3626" s="47" t="s">
        <v>59</v>
      </c>
      <c r="C3626" s="15">
        <v>1316</v>
      </c>
      <c r="D3626" s="243">
        <v>167</v>
      </c>
      <c r="E3626" s="243">
        <v>82</v>
      </c>
      <c r="F3626" s="243">
        <v>50</v>
      </c>
      <c r="G3626" s="243">
        <v>69</v>
      </c>
      <c r="H3626" s="243">
        <v>81</v>
      </c>
      <c r="I3626" s="243">
        <v>100</v>
      </c>
      <c r="J3626" s="243">
        <v>105</v>
      </c>
      <c r="K3626" s="243">
        <v>114</v>
      </c>
      <c r="L3626" s="243">
        <v>128</v>
      </c>
      <c r="M3626" s="243">
        <v>112</v>
      </c>
      <c r="N3626" s="243">
        <v>141</v>
      </c>
      <c r="O3626" s="253">
        <v>167</v>
      </c>
    </row>
    <row r="3627" spans="1:15">
      <c r="A3627" s="242" t="s">
        <v>72</v>
      </c>
      <c r="B3627" s="43" t="s">
        <v>4</v>
      </c>
      <c r="C3627" s="15">
        <v>140</v>
      </c>
      <c r="D3627" s="244">
        <v>22</v>
      </c>
      <c r="E3627" s="244">
        <v>8</v>
      </c>
      <c r="F3627" s="244">
        <v>4</v>
      </c>
      <c r="G3627" s="244">
        <v>9</v>
      </c>
      <c r="H3627" s="244">
        <v>6</v>
      </c>
      <c r="I3627" s="244">
        <v>9</v>
      </c>
      <c r="J3627" s="244">
        <v>12</v>
      </c>
      <c r="K3627" s="244">
        <v>11</v>
      </c>
      <c r="L3627" s="244">
        <v>12</v>
      </c>
      <c r="M3627" s="244">
        <v>8</v>
      </c>
      <c r="N3627" s="244">
        <v>15</v>
      </c>
      <c r="O3627" s="254">
        <v>24</v>
      </c>
    </row>
    <row r="3628" spans="1:15">
      <c r="A3628" s="240" t="s">
        <v>72</v>
      </c>
      <c r="B3628" s="47" t="s">
        <v>5</v>
      </c>
      <c r="C3628" s="12">
        <v>0.106382978723404</v>
      </c>
      <c r="D3628" s="241">
        <v>0.131736526946108</v>
      </c>
      <c r="E3628" s="241">
        <v>0.0975609756097561</v>
      </c>
      <c r="F3628" s="241">
        <v>0.08</v>
      </c>
      <c r="G3628" s="241">
        <v>0.130434782608696</v>
      </c>
      <c r="H3628" s="241">
        <v>0.0740740740740741</v>
      </c>
      <c r="I3628" s="241">
        <v>0.09</v>
      </c>
      <c r="J3628" s="241">
        <v>0.114285714285714</v>
      </c>
      <c r="K3628" s="241">
        <v>0.0964912280701754</v>
      </c>
      <c r="L3628" s="241">
        <v>0.09375</v>
      </c>
      <c r="M3628" s="241">
        <v>0.0714285714285714</v>
      </c>
      <c r="N3628" s="241">
        <v>0.106382978723404</v>
      </c>
      <c r="O3628" s="252">
        <v>0.143712574850299</v>
      </c>
    </row>
    <row r="3629" spans="1:15">
      <c r="A3629" s="242" t="s">
        <v>72</v>
      </c>
      <c r="B3629" s="43" t="s">
        <v>6</v>
      </c>
      <c r="C3629" s="15">
        <v>34</v>
      </c>
      <c r="D3629" s="244">
        <v>5</v>
      </c>
      <c r="E3629" s="244">
        <v>1</v>
      </c>
      <c r="F3629" s="244">
        <v>3</v>
      </c>
      <c r="G3629" s="244">
        <v>2</v>
      </c>
      <c r="H3629" s="244">
        <v>5</v>
      </c>
      <c r="I3629" s="244">
        <v>3</v>
      </c>
      <c r="J3629" s="244">
        <v>3</v>
      </c>
      <c r="K3629" s="244">
        <v>1</v>
      </c>
      <c r="L3629" s="244">
        <v>5</v>
      </c>
      <c r="M3629" s="244">
        <v>1</v>
      </c>
      <c r="N3629" s="244">
        <v>2</v>
      </c>
      <c r="O3629" s="254">
        <v>3</v>
      </c>
    </row>
    <row r="3630" ht="14.25" spans="1:15">
      <c r="A3630" s="245" t="s">
        <v>72</v>
      </c>
      <c r="B3630" s="52" t="s">
        <v>64</v>
      </c>
      <c r="C3630" s="19">
        <v>0.242857142857143</v>
      </c>
      <c r="D3630" s="19">
        <v>0.227272727272727</v>
      </c>
      <c r="E3630" s="19">
        <v>0.125</v>
      </c>
      <c r="F3630" s="19">
        <v>0.75</v>
      </c>
      <c r="G3630" s="19">
        <v>0.222222222222222</v>
      </c>
      <c r="H3630" s="19">
        <v>0.833333333333333</v>
      </c>
      <c r="I3630" s="19">
        <v>0.333333333333333</v>
      </c>
      <c r="J3630" s="19">
        <v>0.25</v>
      </c>
      <c r="K3630" s="19">
        <v>0.0909090909090909</v>
      </c>
      <c r="L3630" s="19">
        <v>0.416666666666667</v>
      </c>
      <c r="M3630" s="19">
        <v>0.125</v>
      </c>
      <c r="N3630" s="19">
        <v>0.133333333333333</v>
      </c>
      <c r="O3630" s="19">
        <v>0.125</v>
      </c>
    </row>
    <row r="3631" ht="14.25" spans="1:15">
      <c r="A3631" s="237">
        <v>45075</v>
      </c>
      <c r="B3631" s="237"/>
      <c r="C3631" s="237"/>
      <c r="D3631" s="237"/>
      <c r="E3631" s="237"/>
      <c r="F3631" s="237"/>
      <c r="G3631" s="237"/>
      <c r="H3631" s="237"/>
      <c r="I3631" s="237"/>
      <c r="J3631" s="237"/>
      <c r="K3631" s="237"/>
      <c r="L3631" s="237"/>
      <c r="M3631" s="237"/>
      <c r="N3631" s="237"/>
      <c r="O3631" s="237"/>
    </row>
    <row r="3632" spans="1:15">
      <c r="A3632" s="56" t="s">
        <v>1</v>
      </c>
      <c r="B3632" s="238"/>
      <c r="C3632" s="8" t="s">
        <v>42</v>
      </c>
      <c r="D3632" s="239" t="s">
        <v>43</v>
      </c>
      <c r="E3632" s="239" t="s">
        <v>44</v>
      </c>
      <c r="F3632" s="239" t="s">
        <v>45</v>
      </c>
      <c r="G3632" s="239" t="s">
        <v>46</v>
      </c>
      <c r="H3632" s="239" t="s">
        <v>47</v>
      </c>
      <c r="I3632" s="239" t="s">
        <v>48</v>
      </c>
      <c r="J3632" s="239" t="s">
        <v>49</v>
      </c>
      <c r="K3632" s="239" t="s">
        <v>50</v>
      </c>
      <c r="L3632" s="239" t="s">
        <v>51</v>
      </c>
      <c r="M3632" s="239" t="s">
        <v>52</v>
      </c>
      <c r="N3632" s="239" t="s">
        <v>53</v>
      </c>
      <c r="O3632" s="251" t="s">
        <v>54</v>
      </c>
    </row>
    <row r="3633" spans="1:15">
      <c r="A3633" s="240" t="s">
        <v>22</v>
      </c>
      <c r="B3633" s="47" t="s">
        <v>55</v>
      </c>
      <c r="C3633" s="12">
        <v>0.377941981390257</v>
      </c>
      <c r="D3633" s="241">
        <v>0.34549356223176</v>
      </c>
      <c r="E3633" s="241">
        <v>0.282608695652174</v>
      </c>
      <c r="F3633" s="241">
        <v>0.291044776119403</v>
      </c>
      <c r="G3633" s="241">
        <v>0.415730337078652</v>
      </c>
      <c r="H3633" s="241">
        <v>0.419087136929461</v>
      </c>
      <c r="I3633" s="241">
        <v>0.421455938697318</v>
      </c>
      <c r="J3633" s="241">
        <v>0.325</v>
      </c>
      <c r="K3633" s="241">
        <v>0.418478260869565</v>
      </c>
      <c r="L3633" s="241">
        <v>0.393292682926829</v>
      </c>
      <c r="M3633" s="241">
        <v>0.424561403508772</v>
      </c>
      <c r="N3633" s="241">
        <v>0.384401114206128</v>
      </c>
      <c r="O3633" s="252">
        <v>0.382231404958678</v>
      </c>
    </row>
    <row r="3634" spans="1:15">
      <c r="A3634" s="242" t="s">
        <v>22</v>
      </c>
      <c r="B3634" s="43" t="s">
        <v>57</v>
      </c>
      <c r="C3634" s="15">
        <v>3654</v>
      </c>
      <c r="D3634" s="243">
        <v>466</v>
      </c>
      <c r="E3634" s="243">
        <v>230</v>
      </c>
      <c r="F3634" s="243">
        <v>134</v>
      </c>
      <c r="G3634" s="243">
        <v>178</v>
      </c>
      <c r="H3634" s="243">
        <v>241</v>
      </c>
      <c r="I3634" s="243">
        <v>261</v>
      </c>
      <c r="J3634" s="243">
        <v>320</v>
      </c>
      <c r="K3634" s="243">
        <v>368</v>
      </c>
      <c r="L3634" s="243">
        <v>328</v>
      </c>
      <c r="M3634" s="243">
        <v>285</v>
      </c>
      <c r="N3634" s="243">
        <v>359</v>
      </c>
      <c r="O3634" s="253">
        <v>484</v>
      </c>
    </row>
    <row r="3635" spans="1:15">
      <c r="A3635" s="240" t="s">
        <v>22</v>
      </c>
      <c r="B3635" s="47" t="s">
        <v>59</v>
      </c>
      <c r="C3635" s="15">
        <v>1381</v>
      </c>
      <c r="D3635" s="243">
        <v>161</v>
      </c>
      <c r="E3635" s="243">
        <v>65</v>
      </c>
      <c r="F3635" s="243">
        <v>39</v>
      </c>
      <c r="G3635" s="243">
        <v>74</v>
      </c>
      <c r="H3635" s="243">
        <v>101</v>
      </c>
      <c r="I3635" s="243">
        <v>110</v>
      </c>
      <c r="J3635" s="243">
        <v>104</v>
      </c>
      <c r="K3635" s="243">
        <v>154</v>
      </c>
      <c r="L3635" s="243">
        <v>129</v>
      </c>
      <c r="M3635" s="243">
        <v>121</v>
      </c>
      <c r="N3635" s="243">
        <v>138</v>
      </c>
      <c r="O3635" s="253">
        <v>185</v>
      </c>
    </row>
    <row r="3636" spans="1:15">
      <c r="A3636" s="242" t="s">
        <v>22</v>
      </c>
      <c r="B3636" s="43" t="s">
        <v>4</v>
      </c>
      <c r="C3636" s="15">
        <v>97</v>
      </c>
      <c r="D3636" s="244">
        <v>10</v>
      </c>
      <c r="E3636" s="244">
        <v>7</v>
      </c>
      <c r="F3636" s="244">
        <v>3</v>
      </c>
      <c r="G3636" s="244">
        <v>2</v>
      </c>
      <c r="H3636" s="244">
        <v>4</v>
      </c>
      <c r="I3636" s="244">
        <v>4</v>
      </c>
      <c r="J3636" s="244">
        <v>5</v>
      </c>
      <c r="K3636" s="244">
        <v>11</v>
      </c>
      <c r="L3636" s="244">
        <v>7</v>
      </c>
      <c r="M3636" s="244">
        <v>7</v>
      </c>
      <c r="N3636" s="244">
        <v>18</v>
      </c>
      <c r="O3636" s="254">
        <v>19</v>
      </c>
    </row>
    <row r="3637" spans="1:15">
      <c r="A3637" s="240" t="s">
        <v>22</v>
      </c>
      <c r="B3637" s="47" t="s">
        <v>5</v>
      </c>
      <c r="C3637" s="12">
        <v>0.0702389572773353</v>
      </c>
      <c r="D3637" s="241">
        <v>0.062111801242236</v>
      </c>
      <c r="E3637" s="241">
        <v>0.107692307692308</v>
      </c>
      <c r="F3637" s="241">
        <v>0.0769230769230769</v>
      </c>
      <c r="G3637" s="241">
        <v>0.027027027027027</v>
      </c>
      <c r="H3637" s="241">
        <v>0.0396039603960396</v>
      </c>
      <c r="I3637" s="241">
        <v>0.0363636363636364</v>
      </c>
      <c r="J3637" s="241">
        <v>0.0480769230769231</v>
      </c>
      <c r="K3637" s="241">
        <v>0.0714285714285714</v>
      </c>
      <c r="L3637" s="241">
        <v>0.0542635658914729</v>
      </c>
      <c r="M3637" s="241">
        <v>0.0578512396694215</v>
      </c>
      <c r="N3637" s="241">
        <v>0.130434782608696</v>
      </c>
      <c r="O3637" s="252">
        <v>0.102702702702703</v>
      </c>
    </row>
    <row r="3638" spans="1:15">
      <c r="A3638" s="242" t="s">
        <v>22</v>
      </c>
      <c r="B3638" s="43" t="s">
        <v>6</v>
      </c>
      <c r="C3638" s="15">
        <v>29</v>
      </c>
      <c r="D3638" s="244">
        <v>4</v>
      </c>
      <c r="E3638" s="244">
        <v>1</v>
      </c>
      <c r="F3638" s="244">
        <v>1</v>
      </c>
      <c r="G3638" s="244">
        <v>1</v>
      </c>
      <c r="H3638" s="244">
        <v>2</v>
      </c>
      <c r="I3638" s="244">
        <v>0</v>
      </c>
      <c r="J3638" s="244">
        <v>2</v>
      </c>
      <c r="K3638" s="244">
        <v>6</v>
      </c>
      <c r="L3638" s="244">
        <v>2</v>
      </c>
      <c r="M3638" s="244">
        <v>2</v>
      </c>
      <c r="N3638" s="244">
        <v>2</v>
      </c>
      <c r="O3638" s="254">
        <v>6</v>
      </c>
    </row>
    <row r="3639" ht="14.25" spans="1:15">
      <c r="A3639" s="245" t="s">
        <v>22</v>
      </c>
      <c r="B3639" s="52" t="s">
        <v>64</v>
      </c>
      <c r="C3639" s="19">
        <v>0.298969072164948</v>
      </c>
      <c r="D3639" s="246">
        <v>0.4</v>
      </c>
      <c r="E3639" s="246">
        <v>0.142857142857143</v>
      </c>
      <c r="F3639" s="246">
        <v>0.333333333333333</v>
      </c>
      <c r="G3639" s="246">
        <v>0.5</v>
      </c>
      <c r="H3639" s="246">
        <v>0.5</v>
      </c>
      <c r="I3639" s="246">
        <v>0</v>
      </c>
      <c r="J3639" s="246">
        <v>0.4</v>
      </c>
      <c r="K3639" s="246">
        <v>0.545454545454545</v>
      </c>
      <c r="L3639" s="246">
        <v>0.285714285714286</v>
      </c>
      <c r="M3639" s="246">
        <v>0.285714285714286</v>
      </c>
      <c r="N3639" s="246">
        <v>0.111111111111111</v>
      </c>
      <c r="O3639" s="255">
        <v>0.315789473684211</v>
      </c>
    </row>
    <row r="3640" spans="1:15">
      <c r="A3640" s="247" t="s">
        <v>66</v>
      </c>
      <c r="B3640" s="248" t="s">
        <v>55</v>
      </c>
      <c r="C3640" s="12">
        <v>0.134747348721148</v>
      </c>
      <c r="D3640" s="249">
        <v>0.164835164835165</v>
      </c>
      <c r="E3640" s="249">
        <v>0.0986842105263158</v>
      </c>
      <c r="F3640" s="249">
        <v>0.0229007633587786</v>
      </c>
      <c r="G3640" s="249">
        <v>0.0510948905109489</v>
      </c>
      <c r="H3640" s="249">
        <v>0.147286821705426</v>
      </c>
      <c r="I3640" s="249">
        <v>0.147887323943662</v>
      </c>
      <c r="J3640" s="249">
        <v>0.138211382113821</v>
      </c>
      <c r="K3640" s="249">
        <v>0.185483870967742</v>
      </c>
      <c r="L3640" s="249">
        <v>0.162393162393162</v>
      </c>
      <c r="M3640" s="249">
        <v>0.160919540229885</v>
      </c>
      <c r="N3640" s="249">
        <v>0.220472440944882</v>
      </c>
      <c r="O3640" s="256">
        <v>0.131578947368421</v>
      </c>
    </row>
    <row r="3641" spans="1:15">
      <c r="A3641" s="242" t="s">
        <v>66</v>
      </c>
      <c r="B3641" s="43" t="s">
        <v>57</v>
      </c>
      <c r="C3641" s="15">
        <v>1603</v>
      </c>
      <c r="D3641" s="243">
        <v>182</v>
      </c>
      <c r="E3641" s="243">
        <v>152</v>
      </c>
      <c r="F3641" s="243">
        <v>131</v>
      </c>
      <c r="G3641" s="243">
        <v>137</v>
      </c>
      <c r="H3641" s="243">
        <v>129</v>
      </c>
      <c r="I3641" s="243">
        <v>142</v>
      </c>
      <c r="J3641" s="243">
        <v>123</v>
      </c>
      <c r="K3641" s="243">
        <v>124</v>
      </c>
      <c r="L3641" s="243">
        <v>117</v>
      </c>
      <c r="M3641" s="243">
        <v>87</v>
      </c>
      <c r="N3641" s="243">
        <v>127</v>
      </c>
      <c r="O3641" s="253">
        <v>152</v>
      </c>
    </row>
    <row r="3642" spans="1:15">
      <c r="A3642" s="240" t="s">
        <v>66</v>
      </c>
      <c r="B3642" s="47" t="s">
        <v>59</v>
      </c>
      <c r="C3642" s="15">
        <v>216</v>
      </c>
      <c r="D3642" s="243">
        <v>30</v>
      </c>
      <c r="E3642" s="243">
        <v>15</v>
      </c>
      <c r="F3642" s="243">
        <v>3</v>
      </c>
      <c r="G3642" s="243">
        <v>7</v>
      </c>
      <c r="H3642" s="243">
        <v>19</v>
      </c>
      <c r="I3642" s="243">
        <v>21</v>
      </c>
      <c r="J3642" s="243">
        <v>17</v>
      </c>
      <c r="K3642" s="243">
        <v>23</v>
      </c>
      <c r="L3642" s="243">
        <v>19</v>
      </c>
      <c r="M3642" s="243">
        <v>14</v>
      </c>
      <c r="N3642" s="243">
        <v>28</v>
      </c>
      <c r="O3642" s="253">
        <v>20</v>
      </c>
    </row>
    <row r="3643" spans="1:15">
      <c r="A3643" s="242" t="s">
        <v>66</v>
      </c>
      <c r="B3643" s="43" t="s">
        <v>4</v>
      </c>
      <c r="C3643" s="15">
        <v>8</v>
      </c>
      <c r="D3643" s="244">
        <v>1</v>
      </c>
      <c r="E3643" s="244">
        <v>1</v>
      </c>
      <c r="F3643" s="244">
        <v>1</v>
      </c>
      <c r="G3643" s="244">
        <v>0</v>
      </c>
      <c r="H3643" s="244">
        <v>0</v>
      </c>
      <c r="I3643" s="244">
        <v>1</v>
      </c>
      <c r="J3643" s="244">
        <v>1</v>
      </c>
      <c r="K3643" s="244">
        <v>0</v>
      </c>
      <c r="L3643" s="244">
        <v>1</v>
      </c>
      <c r="M3643" s="244">
        <v>2</v>
      </c>
      <c r="N3643" s="244">
        <v>0</v>
      </c>
      <c r="O3643" s="254">
        <v>0</v>
      </c>
    </row>
    <row r="3644" spans="1:15">
      <c r="A3644" s="240" t="s">
        <v>66</v>
      </c>
      <c r="B3644" s="47" t="s">
        <v>5</v>
      </c>
      <c r="C3644" s="12">
        <v>0.037037037037037</v>
      </c>
      <c r="D3644" s="241">
        <v>0.0333333333333333</v>
      </c>
      <c r="E3644" s="241">
        <v>0.0666666666666667</v>
      </c>
      <c r="F3644" s="241">
        <v>0.333333333333333</v>
      </c>
      <c r="G3644" s="241">
        <v>0</v>
      </c>
      <c r="H3644" s="241">
        <v>0</v>
      </c>
      <c r="I3644" s="241">
        <v>0.0476190476190476</v>
      </c>
      <c r="J3644" s="241">
        <v>0.0588235294117647</v>
      </c>
      <c r="K3644" s="241">
        <v>0</v>
      </c>
      <c r="L3644" s="241">
        <v>0.0526315789473684</v>
      </c>
      <c r="M3644" s="241">
        <v>0.142857142857143</v>
      </c>
      <c r="N3644" s="241">
        <v>0</v>
      </c>
      <c r="O3644" s="252">
        <v>0</v>
      </c>
    </row>
    <row r="3645" spans="1:15">
      <c r="A3645" s="242" t="s">
        <v>66</v>
      </c>
      <c r="B3645" s="43" t="s">
        <v>6</v>
      </c>
      <c r="C3645" s="15">
        <v>4</v>
      </c>
      <c r="D3645" s="244">
        <v>0</v>
      </c>
      <c r="E3645" s="244">
        <v>1</v>
      </c>
      <c r="F3645" s="244">
        <v>0</v>
      </c>
      <c r="G3645" s="244">
        <v>0</v>
      </c>
      <c r="H3645" s="244">
        <v>0</v>
      </c>
      <c r="I3645" s="244">
        <v>1</v>
      </c>
      <c r="J3645" s="244">
        <v>0</v>
      </c>
      <c r="K3645" s="244">
        <v>1</v>
      </c>
      <c r="L3645" s="244">
        <v>1</v>
      </c>
      <c r="M3645" s="244">
        <v>0</v>
      </c>
      <c r="N3645" s="244">
        <v>0</v>
      </c>
      <c r="O3645" s="254">
        <v>0</v>
      </c>
    </row>
    <row r="3646" ht="14.25" spans="1:15">
      <c r="A3646" s="245" t="s">
        <v>66</v>
      </c>
      <c r="B3646" s="52" t="s">
        <v>64</v>
      </c>
      <c r="C3646" s="19">
        <v>0.5</v>
      </c>
      <c r="D3646" s="246">
        <v>0</v>
      </c>
      <c r="E3646" s="246">
        <v>1</v>
      </c>
      <c r="F3646" s="246">
        <v>0</v>
      </c>
      <c r="G3646" s="246">
        <v>0</v>
      </c>
      <c r="H3646" s="246">
        <v>0</v>
      </c>
      <c r="I3646" s="246">
        <v>1</v>
      </c>
      <c r="J3646" s="246">
        <v>0</v>
      </c>
      <c r="K3646" s="246">
        <v>0</v>
      </c>
      <c r="L3646" s="246">
        <v>1</v>
      </c>
      <c r="M3646" s="246">
        <v>0</v>
      </c>
      <c r="N3646" s="246">
        <v>0</v>
      </c>
      <c r="O3646" s="255">
        <v>0</v>
      </c>
    </row>
    <row r="3647" spans="1:15">
      <c r="A3647" s="240" t="s">
        <v>67</v>
      </c>
      <c r="B3647" s="47" t="s">
        <v>55</v>
      </c>
      <c r="C3647" s="12">
        <v>0.500967117988395</v>
      </c>
      <c r="D3647" s="241">
        <v>0.558139534883721</v>
      </c>
      <c r="E3647" s="241">
        <v>0.518518518518518</v>
      </c>
      <c r="F3647" s="241">
        <v>0.619047619047619</v>
      </c>
      <c r="G3647" s="241">
        <v>1.05882352941176</v>
      </c>
      <c r="H3647" s="241">
        <v>0.807692307692308</v>
      </c>
      <c r="I3647" s="241">
        <v>0.422222222222222</v>
      </c>
      <c r="J3647" s="241">
        <v>0.560975609756098</v>
      </c>
      <c r="K3647" s="241">
        <v>0.577777777777778</v>
      </c>
      <c r="L3647" s="241">
        <v>0.405405405405405</v>
      </c>
      <c r="M3647" s="241">
        <v>0.230769230769231</v>
      </c>
      <c r="N3647" s="241">
        <v>0.467741935483871</v>
      </c>
      <c r="O3647" s="252">
        <v>0.477272727272727</v>
      </c>
    </row>
    <row r="3648" spans="1:15">
      <c r="A3648" s="242" t="s">
        <v>67</v>
      </c>
      <c r="B3648" s="43" t="s">
        <v>57</v>
      </c>
      <c r="C3648" s="15">
        <v>517</v>
      </c>
      <c r="D3648" s="243">
        <v>43</v>
      </c>
      <c r="E3648" s="243">
        <v>27</v>
      </c>
      <c r="F3648" s="243">
        <v>21</v>
      </c>
      <c r="G3648" s="243">
        <v>17</v>
      </c>
      <c r="H3648" s="243">
        <v>26</v>
      </c>
      <c r="I3648" s="243">
        <v>45</v>
      </c>
      <c r="J3648" s="243">
        <v>41</v>
      </c>
      <c r="K3648" s="243">
        <v>45</v>
      </c>
      <c r="L3648" s="243">
        <v>37</v>
      </c>
      <c r="M3648" s="243">
        <v>65</v>
      </c>
      <c r="N3648" s="243">
        <v>62</v>
      </c>
      <c r="O3648" s="253">
        <v>88</v>
      </c>
    </row>
    <row r="3649" spans="1:15">
      <c r="A3649" s="240" t="s">
        <v>67</v>
      </c>
      <c r="B3649" s="47" t="s">
        <v>59</v>
      </c>
      <c r="C3649" s="15">
        <v>259</v>
      </c>
      <c r="D3649" s="243">
        <v>24</v>
      </c>
      <c r="E3649" s="243">
        <v>14</v>
      </c>
      <c r="F3649" s="243">
        <v>13</v>
      </c>
      <c r="G3649" s="243">
        <v>18</v>
      </c>
      <c r="H3649" s="243">
        <v>21</v>
      </c>
      <c r="I3649" s="243">
        <v>19</v>
      </c>
      <c r="J3649" s="243">
        <v>23</v>
      </c>
      <c r="K3649" s="243">
        <v>26</v>
      </c>
      <c r="L3649" s="243">
        <v>15</v>
      </c>
      <c r="M3649" s="243">
        <v>15</v>
      </c>
      <c r="N3649" s="243">
        <v>29</v>
      </c>
      <c r="O3649" s="253">
        <v>42</v>
      </c>
    </row>
    <row r="3650" spans="1:15">
      <c r="A3650" s="242" t="s">
        <v>67</v>
      </c>
      <c r="B3650" s="43" t="s">
        <v>4</v>
      </c>
      <c r="C3650" s="15">
        <v>17</v>
      </c>
      <c r="D3650" s="244">
        <v>1</v>
      </c>
      <c r="E3650" s="244">
        <v>2</v>
      </c>
      <c r="F3650" s="244">
        <v>2</v>
      </c>
      <c r="G3650" s="244">
        <v>1</v>
      </c>
      <c r="H3650" s="244">
        <v>2</v>
      </c>
      <c r="I3650" s="244">
        <v>0</v>
      </c>
      <c r="J3650" s="244">
        <v>1</v>
      </c>
      <c r="K3650" s="244">
        <v>3</v>
      </c>
      <c r="L3650" s="244">
        <v>2</v>
      </c>
      <c r="M3650" s="244">
        <v>1</v>
      </c>
      <c r="N3650" s="244">
        <v>0</v>
      </c>
      <c r="O3650" s="254">
        <v>2</v>
      </c>
    </row>
    <row r="3651" spans="1:15">
      <c r="A3651" s="240" t="s">
        <v>67</v>
      </c>
      <c r="B3651" s="47" t="s">
        <v>5</v>
      </c>
      <c r="C3651" s="12">
        <v>0.0656370656370656</v>
      </c>
      <c r="D3651" s="241">
        <v>0.0416666666666667</v>
      </c>
      <c r="E3651" s="241">
        <v>0.142857142857143</v>
      </c>
      <c r="F3651" s="241">
        <v>0.153846153846154</v>
      </c>
      <c r="G3651" s="241">
        <v>0.0555555555555556</v>
      </c>
      <c r="H3651" s="241">
        <v>0.0952380952380952</v>
      </c>
      <c r="I3651" s="241">
        <v>0</v>
      </c>
      <c r="J3651" s="241">
        <v>0.0434782608695652</v>
      </c>
      <c r="K3651" s="241">
        <v>0.115384615384615</v>
      </c>
      <c r="L3651" s="241">
        <v>0.133333333333333</v>
      </c>
      <c r="M3651" s="241">
        <v>0.0666666666666667</v>
      </c>
      <c r="N3651" s="241">
        <v>0</v>
      </c>
      <c r="O3651" s="252">
        <v>0.0476190476190476</v>
      </c>
    </row>
    <row r="3652" spans="1:15">
      <c r="A3652" s="242" t="s">
        <v>67</v>
      </c>
      <c r="B3652" s="43" t="s">
        <v>6</v>
      </c>
      <c r="C3652" s="15">
        <v>3</v>
      </c>
      <c r="D3652" s="244">
        <v>1</v>
      </c>
      <c r="E3652" s="244">
        <v>0</v>
      </c>
      <c r="F3652" s="244">
        <v>0</v>
      </c>
      <c r="G3652" s="244">
        <v>0</v>
      </c>
      <c r="H3652" s="244">
        <v>0</v>
      </c>
      <c r="I3652" s="244">
        <v>0</v>
      </c>
      <c r="J3652" s="244">
        <v>0</v>
      </c>
      <c r="K3652" s="244">
        <v>0</v>
      </c>
      <c r="L3652" s="244">
        <v>0</v>
      </c>
      <c r="M3652" s="244">
        <v>1</v>
      </c>
      <c r="N3652" s="244">
        <v>0</v>
      </c>
      <c r="O3652" s="254">
        <v>1</v>
      </c>
    </row>
    <row r="3653" ht="14.25" spans="1:15">
      <c r="A3653" s="245" t="s">
        <v>67</v>
      </c>
      <c r="B3653" s="52" t="s">
        <v>64</v>
      </c>
      <c r="C3653" s="19">
        <v>0.176470588235294</v>
      </c>
      <c r="D3653" s="246">
        <v>1</v>
      </c>
      <c r="E3653" s="246">
        <v>0</v>
      </c>
      <c r="F3653" s="246">
        <v>0</v>
      </c>
      <c r="G3653" s="246">
        <v>0</v>
      </c>
      <c r="H3653" s="246">
        <v>0</v>
      </c>
      <c r="I3653" s="246">
        <v>0</v>
      </c>
      <c r="J3653" s="246">
        <v>0</v>
      </c>
      <c r="K3653" s="246">
        <v>0</v>
      </c>
      <c r="L3653" s="246">
        <v>0</v>
      </c>
      <c r="M3653" s="246">
        <v>1</v>
      </c>
      <c r="N3653" s="246">
        <v>0</v>
      </c>
      <c r="O3653" s="255">
        <v>0.5</v>
      </c>
    </row>
    <row r="3654" spans="1:15">
      <c r="A3654" s="240" t="s">
        <v>68</v>
      </c>
      <c r="B3654" s="47" t="s">
        <v>55</v>
      </c>
      <c r="C3654" s="12">
        <v>0.108967596081387</v>
      </c>
      <c r="D3654" s="241">
        <v>0.368421052631579</v>
      </c>
      <c r="E3654" s="241">
        <v>0.192307692307692</v>
      </c>
      <c r="F3654" s="241">
        <v>0.333333333333333</v>
      </c>
      <c r="G3654" s="241">
        <v>0.192982456140351</v>
      </c>
      <c r="H3654" s="241">
        <v>0.296116504854369</v>
      </c>
      <c r="I3654" s="241">
        <v>0.185792349726776</v>
      </c>
      <c r="J3654" s="241">
        <v>0.114341085271318</v>
      </c>
      <c r="K3654" s="241">
        <v>0.0826542491268917</v>
      </c>
      <c r="L3654" s="241">
        <v>0.058766859344894</v>
      </c>
      <c r="M3654" s="241">
        <v>0.0767613038906414</v>
      </c>
      <c r="N3654" s="241">
        <v>0.0867810292633703</v>
      </c>
      <c r="O3654" s="252">
        <v>0.0594149908592322</v>
      </c>
    </row>
    <row r="3655" spans="1:15">
      <c r="A3655" s="242" t="s">
        <v>68</v>
      </c>
      <c r="B3655" s="43" t="s">
        <v>57</v>
      </c>
      <c r="C3655" s="15">
        <v>6635</v>
      </c>
      <c r="D3655" s="243">
        <v>247</v>
      </c>
      <c r="E3655" s="243">
        <v>130</v>
      </c>
      <c r="F3655" s="243">
        <v>123</v>
      </c>
      <c r="G3655" s="243">
        <v>114</v>
      </c>
      <c r="H3655" s="243">
        <v>206</v>
      </c>
      <c r="I3655" s="243">
        <v>366</v>
      </c>
      <c r="J3655" s="243">
        <v>516</v>
      </c>
      <c r="K3655" s="243">
        <v>859</v>
      </c>
      <c r="L3655" s="243">
        <v>1038</v>
      </c>
      <c r="M3655" s="243">
        <v>951</v>
      </c>
      <c r="N3655" s="243">
        <v>991</v>
      </c>
      <c r="O3655" s="253">
        <v>1094</v>
      </c>
    </row>
    <row r="3656" spans="1:15">
      <c r="A3656" s="240" t="s">
        <v>68</v>
      </c>
      <c r="B3656" s="47" t="s">
        <v>59</v>
      </c>
      <c r="C3656" s="15">
        <v>723</v>
      </c>
      <c r="D3656" s="243">
        <v>91</v>
      </c>
      <c r="E3656" s="243">
        <v>25</v>
      </c>
      <c r="F3656" s="243">
        <v>41</v>
      </c>
      <c r="G3656" s="243">
        <v>22</v>
      </c>
      <c r="H3656" s="243">
        <v>61</v>
      </c>
      <c r="I3656" s="243">
        <v>68</v>
      </c>
      <c r="J3656" s="243">
        <v>59</v>
      </c>
      <c r="K3656" s="243">
        <v>71</v>
      </c>
      <c r="L3656" s="243">
        <v>61</v>
      </c>
      <c r="M3656" s="243">
        <v>73</v>
      </c>
      <c r="N3656" s="243">
        <v>86</v>
      </c>
      <c r="O3656" s="253">
        <v>65</v>
      </c>
    </row>
    <row r="3657" spans="1:15">
      <c r="A3657" s="242" t="s">
        <v>68</v>
      </c>
      <c r="B3657" s="43" t="s">
        <v>4</v>
      </c>
      <c r="C3657" s="15">
        <v>25</v>
      </c>
      <c r="D3657" s="244">
        <v>2</v>
      </c>
      <c r="E3657" s="244">
        <v>2</v>
      </c>
      <c r="F3657" s="244">
        <v>1</v>
      </c>
      <c r="G3657" s="244">
        <v>0</v>
      </c>
      <c r="H3657" s="244">
        <v>1</v>
      </c>
      <c r="I3657" s="244">
        <v>0</v>
      </c>
      <c r="J3657" s="244">
        <v>1</v>
      </c>
      <c r="K3657" s="244">
        <v>3</v>
      </c>
      <c r="L3657" s="244">
        <v>0</v>
      </c>
      <c r="M3657" s="244">
        <v>4</v>
      </c>
      <c r="N3657" s="244">
        <v>7</v>
      </c>
      <c r="O3657" s="254">
        <v>4</v>
      </c>
    </row>
    <row r="3658" spans="1:15">
      <c r="A3658" s="240" t="s">
        <v>68</v>
      </c>
      <c r="B3658" s="47" t="s">
        <v>5</v>
      </c>
      <c r="C3658" s="12">
        <v>0.0345781466113416</v>
      </c>
      <c r="D3658" s="241">
        <v>0.021978021978022</v>
      </c>
      <c r="E3658" s="241">
        <v>0.08</v>
      </c>
      <c r="F3658" s="241">
        <v>0.024390243902439</v>
      </c>
      <c r="G3658" s="241">
        <v>0</v>
      </c>
      <c r="H3658" s="241">
        <v>0.0163934426229508</v>
      </c>
      <c r="I3658" s="241">
        <v>0</v>
      </c>
      <c r="J3658" s="241">
        <v>0.0169491525423729</v>
      </c>
      <c r="K3658" s="241">
        <v>0.0422535211267606</v>
      </c>
      <c r="L3658" s="241">
        <v>0</v>
      </c>
      <c r="M3658" s="241">
        <v>0.0547945205479452</v>
      </c>
      <c r="N3658" s="241">
        <v>0.0813953488372093</v>
      </c>
      <c r="O3658" s="252">
        <v>0.0615384615384615</v>
      </c>
    </row>
    <row r="3659" spans="1:15">
      <c r="A3659" s="242" t="s">
        <v>68</v>
      </c>
      <c r="B3659" s="43" t="s">
        <v>6</v>
      </c>
      <c r="C3659" s="15">
        <v>9</v>
      </c>
      <c r="D3659" s="244">
        <v>1</v>
      </c>
      <c r="E3659" s="244">
        <v>1</v>
      </c>
      <c r="F3659" s="244">
        <v>0</v>
      </c>
      <c r="G3659" s="244">
        <v>0</v>
      </c>
      <c r="H3659" s="244">
        <v>0</v>
      </c>
      <c r="I3659" s="244">
        <v>1</v>
      </c>
      <c r="J3659" s="244">
        <v>1</v>
      </c>
      <c r="K3659" s="244">
        <v>1</v>
      </c>
      <c r="L3659" s="244">
        <v>1</v>
      </c>
      <c r="M3659" s="244">
        <v>1</v>
      </c>
      <c r="N3659" s="244">
        <v>0</v>
      </c>
      <c r="O3659" s="254">
        <v>2</v>
      </c>
    </row>
    <row r="3660" ht="14.25" spans="1:15">
      <c r="A3660" s="245" t="s">
        <v>68</v>
      </c>
      <c r="B3660" s="52" t="s">
        <v>64</v>
      </c>
      <c r="C3660" s="19">
        <v>0.36</v>
      </c>
      <c r="D3660" s="246">
        <v>0.5</v>
      </c>
      <c r="E3660" s="246">
        <v>0.5</v>
      </c>
      <c r="F3660" s="246">
        <v>0</v>
      </c>
      <c r="G3660" s="246">
        <v>0</v>
      </c>
      <c r="H3660" s="246">
        <v>0</v>
      </c>
      <c r="I3660" s="246">
        <v>0</v>
      </c>
      <c r="J3660" s="246">
        <v>1</v>
      </c>
      <c r="K3660" s="246">
        <v>0.333333333333333</v>
      </c>
      <c r="L3660" s="246">
        <v>0</v>
      </c>
      <c r="M3660" s="246">
        <v>0.25</v>
      </c>
      <c r="N3660" s="246">
        <v>0</v>
      </c>
      <c r="O3660" s="255">
        <v>0.5</v>
      </c>
    </row>
    <row r="3661" spans="1:15">
      <c r="A3661" s="240" t="s">
        <v>69</v>
      </c>
      <c r="B3661" s="47" t="s">
        <v>55</v>
      </c>
      <c r="C3661" s="12">
        <v>0.956709956709957</v>
      </c>
      <c r="D3661" s="241">
        <v>1.33333333333333</v>
      </c>
      <c r="E3661" s="241">
        <v>1.69565217391304</v>
      </c>
      <c r="F3661" s="241">
        <v>2.16666666666667</v>
      </c>
      <c r="G3661" s="241">
        <v>1.125</v>
      </c>
      <c r="H3661" s="241">
        <v>0.973684210526316</v>
      </c>
      <c r="I3661" s="241">
        <v>0.605263157894737</v>
      </c>
      <c r="J3661" s="241">
        <v>0.740740740740741</v>
      </c>
      <c r="K3661" s="241">
        <v>0.894736842105263</v>
      </c>
      <c r="L3661" s="241">
        <v>0.78</v>
      </c>
      <c r="M3661" s="241">
        <v>0.893617021276596</v>
      </c>
      <c r="N3661" s="241">
        <v>0.886363636363636</v>
      </c>
      <c r="O3661" s="252">
        <v>0.931818181818182</v>
      </c>
    </row>
    <row r="3662" spans="1:15">
      <c r="A3662" s="242" t="s">
        <v>69</v>
      </c>
      <c r="B3662" s="43" t="s">
        <v>57</v>
      </c>
      <c r="C3662" s="15">
        <v>462</v>
      </c>
      <c r="D3662" s="243">
        <v>45</v>
      </c>
      <c r="E3662" s="243">
        <v>23</v>
      </c>
      <c r="F3662" s="243">
        <v>6</v>
      </c>
      <c r="G3662" s="243">
        <v>16</v>
      </c>
      <c r="H3662" s="243">
        <v>38</v>
      </c>
      <c r="I3662" s="243">
        <v>38</v>
      </c>
      <c r="J3662" s="243">
        <v>54</v>
      </c>
      <c r="K3662" s="243">
        <v>57</v>
      </c>
      <c r="L3662" s="243">
        <v>50</v>
      </c>
      <c r="M3662" s="243">
        <v>47</v>
      </c>
      <c r="N3662" s="243">
        <v>44</v>
      </c>
      <c r="O3662" s="253">
        <v>44</v>
      </c>
    </row>
    <row r="3663" spans="1:15">
      <c r="A3663" s="240" t="s">
        <v>69</v>
      </c>
      <c r="B3663" s="47" t="s">
        <v>59</v>
      </c>
      <c r="C3663" s="15">
        <v>442</v>
      </c>
      <c r="D3663" s="243">
        <v>60</v>
      </c>
      <c r="E3663" s="243">
        <v>39</v>
      </c>
      <c r="F3663" s="243">
        <v>13</v>
      </c>
      <c r="G3663" s="243">
        <v>18</v>
      </c>
      <c r="H3663" s="243">
        <v>37</v>
      </c>
      <c r="I3663" s="243">
        <v>23</v>
      </c>
      <c r="J3663" s="243">
        <v>40</v>
      </c>
      <c r="K3663" s="243">
        <v>51</v>
      </c>
      <c r="L3663" s="243">
        <v>39</v>
      </c>
      <c r="M3663" s="243">
        <v>42</v>
      </c>
      <c r="N3663" s="243">
        <v>39</v>
      </c>
      <c r="O3663" s="253">
        <v>41</v>
      </c>
    </row>
    <row r="3664" spans="1:15">
      <c r="A3664" s="242" t="s">
        <v>69</v>
      </c>
      <c r="B3664" s="43" t="s">
        <v>4</v>
      </c>
      <c r="C3664" s="15">
        <v>17</v>
      </c>
      <c r="D3664" s="244">
        <v>0</v>
      </c>
      <c r="E3664" s="244">
        <v>0</v>
      </c>
      <c r="F3664" s="244">
        <v>1</v>
      </c>
      <c r="G3664" s="244">
        <v>0</v>
      </c>
      <c r="H3664" s="244">
        <v>0</v>
      </c>
      <c r="I3664" s="244">
        <v>2</v>
      </c>
      <c r="J3664" s="244">
        <v>2</v>
      </c>
      <c r="K3664" s="244">
        <v>2</v>
      </c>
      <c r="L3664" s="244">
        <v>0</v>
      </c>
      <c r="M3664" s="244">
        <v>6</v>
      </c>
      <c r="N3664" s="244">
        <v>3</v>
      </c>
      <c r="O3664" s="254">
        <v>1</v>
      </c>
    </row>
    <row r="3665" spans="1:15">
      <c r="A3665" s="240" t="s">
        <v>69</v>
      </c>
      <c r="B3665" s="47" t="s">
        <v>5</v>
      </c>
      <c r="C3665" s="12">
        <v>0.0384615384615385</v>
      </c>
      <c r="D3665" s="241">
        <v>0</v>
      </c>
      <c r="E3665" s="241">
        <v>0</v>
      </c>
      <c r="F3665" s="241">
        <v>0.0769230769230769</v>
      </c>
      <c r="G3665" s="241">
        <v>0</v>
      </c>
      <c r="H3665" s="241">
        <v>0</v>
      </c>
      <c r="I3665" s="241">
        <v>0.0869565217391304</v>
      </c>
      <c r="J3665" s="241">
        <v>0.05</v>
      </c>
      <c r="K3665" s="241">
        <v>0.0392156862745098</v>
      </c>
      <c r="L3665" s="241">
        <v>0</v>
      </c>
      <c r="M3665" s="241">
        <v>0.142857142857143</v>
      </c>
      <c r="N3665" s="241">
        <v>0.0769230769230769</v>
      </c>
      <c r="O3665" s="252">
        <v>0.024390243902439</v>
      </c>
    </row>
    <row r="3666" spans="1:15">
      <c r="A3666" s="242" t="s">
        <v>69</v>
      </c>
      <c r="B3666" s="43" t="s">
        <v>6</v>
      </c>
      <c r="C3666" s="15">
        <v>7</v>
      </c>
      <c r="D3666" s="244">
        <v>2</v>
      </c>
      <c r="E3666" s="244">
        <v>0</v>
      </c>
      <c r="F3666" s="244">
        <v>0</v>
      </c>
      <c r="G3666" s="244">
        <v>0</v>
      </c>
      <c r="H3666" s="244">
        <v>0</v>
      </c>
      <c r="I3666" s="244">
        <v>0</v>
      </c>
      <c r="J3666" s="244">
        <v>2</v>
      </c>
      <c r="K3666" s="244">
        <v>0</v>
      </c>
      <c r="L3666" s="244">
        <v>0</v>
      </c>
      <c r="M3666" s="244">
        <v>1</v>
      </c>
      <c r="N3666" s="244">
        <v>1</v>
      </c>
      <c r="O3666" s="254">
        <v>1</v>
      </c>
    </row>
    <row r="3667" ht="14.25" spans="1:15">
      <c r="A3667" s="245" t="s">
        <v>69</v>
      </c>
      <c r="B3667" s="52" t="s">
        <v>64</v>
      </c>
      <c r="C3667" s="19">
        <v>0.411764705882353</v>
      </c>
      <c r="D3667" s="246">
        <v>0</v>
      </c>
      <c r="E3667" s="246">
        <v>0</v>
      </c>
      <c r="F3667" s="246">
        <v>0</v>
      </c>
      <c r="G3667" s="246">
        <v>0</v>
      </c>
      <c r="H3667" s="246">
        <v>0</v>
      </c>
      <c r="I3667" s="246">
        <v>0</v>
      </c>
      <c r="J3667" s="246">
        <v>1</v>
      </c>
      <c r="K3667" s="246">
        <v>0</v>
      </c>
      <c r="L3667" s="246">
        <v>0</v>
      </c>
      <c r="M3667" s="246">
        <v>0.166666666666667</v>
      </c>
      <c r="N3667" s="246">
        <v>0.333333333333333</v>
      </c>
      <c r="O3667" s="255">
        <v>1</v>
      </c>
    </row>
    <row r="3668" spans="1:15">
      <c r="A3668" s="240" t="s">
        <v>70</v>
      </c>
      <c r="B3668" s="47" t="s">
        <v>55</v>
      </c>
      <c r="C3668" s="12">
        <v>0.184978800726832</v>
      </c>
      <c r="D3668" s="241">
        <v>0.279176201372998</v>
      </c>
      <c r="E3668" s="241">
        <v>0.353909465020576</v>
      </c>
      <c r="F3668" s="241">
        <v>0.507352941176471</v>
      </c>
      <c r="G3668" s="241">
        <v>0.408602150537634</v>
      </c>
      <c r="H3668" s="241">
        <v>0.353801169590643</v>
      </c>
      <c r="I3668" s="241">
        <v>0.305295950155763</v>
      </c>
      <c r="J3668" s="241">
        <v>0.185495118549512</v>
      </c>
      <c r="K3668" s="241">
        <v>0.117994100294985</v>
      </c>
      <c r="L3668" s="241">
        <v>0.107705053852527</v>
      </c>
      <c r="M3668" s="241">
        <v>0.127896200185357</v>
      </c>
      <c r="N3668" s="241">
        <v>0.153908794788274</v>
      </c>
      <c r="O3668" s="252">
        <v>0.182563338301043</v>
      </c>
    </row>
    <row r="3669" spans="1:15">
      <c r="A3669" s="242" t="s">
        <v>70</v>
      </c>
      <c r="B3669" s="43" t="s">
        <v>57</v>
      </c>
      <c r="C3669" s="15">
        <v>8255</v>
      </c>
      <c r="D3669" s="243">
        <v>437</v>
      </c>
      <c r="E3669" s="243">
        <v>243</v>
      </c>
      <c r="F3669" s="243">
        <v>136</v>
      </c>
      <c r="G3669" s="243">
        <v>186</v>
      </c>
      <c r="H3669" s="243">
        <v>342</v>
      </c>
      <c r="I3669" s="243">
        <v>321</v>
      </c>
      <c r="J3669" s="243">
        <v>717</v>
      </c>
      <c r="K3669" s="243">
        <v>1017</v>
      </c>
      <c r="L3669" s="243">
        <v>1207</v>
      </c>
      <c r="M3669" s="243">
        <v>1079</v>
      </c>
      <c r="N3669" s="243">
        <v>1228</v>
      </c>
      <c r="O3669" s="253">
        <v>1342</v>
      </c>
    </row>
    <row r="3670" spans="1:15">
      <c r="A3670" s="240" t="s">
        <v>70</v>
      </c>
      <c r="B3670" s="47" t="s">
        <v>59</v>
      </c>
      <c r="C3670" s="15">
        <v>1527</v>
      </c>
      <c r="D3670" s="243">
        <v>122</v>
      </c>
      <c r="E3670" s="243">
        <v>86</v>
      </c>
      <c r="F3670" s="243">
        <v>69</v>
      </c>
      <c r="G3670" s="243">
        <v>76</v>
      </c>
      <c r="H3670" s="243">
        <v>121</v>
      </c>
      <c r="I3670" s="243">
        <v>98</v>
      </c>
      <c r="J3670" s="243">
        <v>133</v>
      </c>
      <c r="K3670" s="243">
        <v>120</v>
      </c>
      <c r="L3670" s="243">
        <v>130</v>
      </c>
      <c r="M3670" s="243">
        <v>138</v>
      </c>
      <c r="N3670" s="243">
        <v>189</v>
      </c>
      <c r="O3670" s="253">
        <v>245</v>
      </c>
    </row>
    <row r="3671" spans="1:15">
      <c r="A3671" s="242" t="s">
        <v>70</v>
      </c>
      <c r="B3671" s="43" t="s">
        <v>4</v>
      </c>
      <c r="C3671" s="15">
        <v>164</v>
      </c>
      <c r="D3671" s="244">
        <v>23</v>
      </c>
      <c r="E3671" s="244">
        <v>11</v>
      </c>
      <c r="F3671" s="244">
        <v>7</v>
      </c>
      <c r="G3671" s="244">
        <v>5</v>
      </c>
      <c r="H3671" s="244">
        <v>14</v>
      </c>
      <c r="I3671" s="244">
        <v>6</v>
      </c>
      <c r="J3671" s="244">
        <v>11</v>
      </c>
      <c r="K3671" s="244">
        <v>13</v>
      </c>
      <c r="L3671" s="244">
        <v>13</v>
      </c>
      <c r="M3671" s="244">
        <v>18</v>
      </c>
      <c r="N3671" s="244">
        <v>17</v>
      </c>
      <c r="O3671" s="254">
        <v>26</v>
      </c>
    </row>
    <row r="3672" spans="1:15">
      <c r="A3672" s="240" t="s">
        <v>70</v>
      </c>
      <c r="B3672" s="47" t="s">
        <v>5</v>
      </c>
      <c r="C3672" s="12">
        <v>0.107400130975769</v>
      </c>
      <c r="D3672" s="241">
        <v>0.188524590163934</v>
      </c>
      <c r="E3672" s="241">
        <v>0.127906976744186</v>
      </c>
      <c r="F3672" s="241">
        <v>0.101449275362319</v>
      </c>
      <c r="G3672" s="241">
        <v>0.0657894736842105</v>
      </c>
      <c r="H3672" s="241">
        <v>0.115702479338843</v>
      </c>
      <c r="I3672" s="241">
        <v>0.0612244897959184</v>
      </c>
      <c r="J3672" s="241">
        <v>0.0827067669172932</v>
      </c>
      <c r="K3672" s="241">
        <v>0.108333333333333</v>
      </c>
      <c r="L3672" s="241">
        <v>0.1</v>
      </c>
      <c r="M3672" s="241">
        <v>0.130434782608696</v>
      </c>
      <c r="N3672" s="241">
        <v>0.0899470899470899</v>
      </c>
      <c r="O3672" s="252">
        <v>0.106122448979592</v>
      </c>
    </row>
    <row r="3673" spans="1:15">
      <c r="A3673" s="242" t="s">
        <v>70</v>
      </c>
      <c r="B3673" s="43" t="s">
        <v>6</v>
      </c>
      <c r="C3673" s="15">
        <v>52</v>
      </c>
      <c r="D3673" s="244">
        <v>8</v>
      </c>
      <c r="E3673" s="244">
        <v>9</v>
      </c>
      <c r="F3673" s="244">
        <v>3</v>
      </c>
      <c r="G3673" s="244">
        <v>0</v>
      </c>
      <c r="H3673" s="244">
        <v>4</v>
      </c>
      <c r="I3673" s="244">
        <v>2</v>
      </c>
      <c r="J3673" s="244">
        <v>0</v>
      </c>
      <c r="K3673" s="244">
        <v>5</v>
      </c>
      <c r="L3673" s="244">
        <v>2</v>
      </c>
      <c r="M3673" s="244">
        <v>7</v>
      </c>
      <c r="N3673" s="244">
        <v>9</v>
      </c>
      <c r="O3673" s="254">
        <v>3</v>
      </c>
    </row>
    <row r="3674" ht="14.25" spans="1:15">
      <c r="A3674" s="245" t="s">
        <v>70</v>
      </c>
      <c r="B3674" s="52" t="s">
        <v>64</v>
      </c>
      <c r="C3674" s="19">
        <v>0.317073170731707</v>
      </c>
      <c r="D3674" s="246">
        <v>0.347826086956522</v>
      </c>
      <c r="E3674" s="246">
        <v>0.818181818181818</v>
      </c>
      <c r="F3674" s="246">
        <v>0.428571428571429</v>
      </c>
      <c r="G3674" s="246">
        <v>0</v>
      </c>
      <c r="H3674" s="246">
        <v>0.285714285714286</v>
      </c>
      <c r="I3674" s="246">
        <v>0.333333333333333</v>
      </c>
      <c r="J3674" s="246">
        <v>0</v>
      </c>
      <c r="K3674" s="246">
        <v>0.384615384615385</v>
      </c>
      <c r="L3674" s="246">
        <v>0.153846153846154</v>
      </c>
      <c r="M3674" s="246">
        <v>0.388888888888889</v>
      </c>
      <c r="N3674" s="246">
        <v>0.529411764705882</v>
      </c>
      <c r="O3674" s="255">
        <v>0.115384615384615</v>
      </c>
    </row>
    <row r="3675" spans="1:15">
      <c r="A3675" s="240" t="s">
        <v>26</v>
      </c>
      <c r="B3675" s="47" t="s">
        <v>55</v>
      </c>
      <c r="C3675" s="12">
        <v>0.684160756501182</v>
      </c>
      <c r="D3675" s="241">
        <v>0.647798742138365</v>
      </c>
      <c r="E3675" s="241">
        <v>0.462264150943396</v>
      </c>
      <c r="F3675" s="241">
        <v>0.5</v>
      </c>
      <c r="G3675" s="241">
        <v>0.603864734299517</v>
      </c>
      <c r="H3675" s="241">
        <v>0.663507109004739</v>
      </c>
      <c r="I3675" s="241">
        <v>0.85625</v>
      </c>
      <c r="J3675" s="241">
        <v>0.790419161676647</v>
      </c>
      <c r="K3675" s="241">
        <v>0.767605633802817</v>
      </c>
      <c r="L3675" s="241">
        <v>1.01626016260163</v>
      </c>
      <c r="M3675" s="241">
        <v>0.827956989247312</v>
      </c>
      <c r="N3675" s="241">
        <v>0.74496644295302</v>
      </c>
      <c r="O3675" s="252">
        <v>1.07142857142857</v>
      </c>
    </row>
    <row r="3676" spans="1:15">
      <c r="A3676" s="242" t="s">
        <v>26</v>
      </c>
      <c r="B3676" s="43" t="s">
        <v>57</v>
      </c>
      <c r="C3676" s="15">
        <v>2115</v>
      </c>
      <c r="D3676" s="243">
        <v>159</v>
      </c>
      <c r="E3676" s="243">
        <v>318</v>
      </c>
      <c r="F3676" s="243">
        <v>302</v>
      </c>
      <c r="G3676" s="243">
        <v>207</v>
      </c>
      <c r="H3676" s="243">
        <v>211</v>
      </c>
      <c r="I3676" s="243">
        <v>160</v>
      </c>
      <c r="J3676" s="243">
        <v>167</v>
      </c>
      <c r="K3676" s="243">
        <v>142</v>
      </c>
      <c r="L3676" s="243">
        <v>123</v>
      </c>
      <c r="M3676" s="243">
        <v>93</v>
      </c>
      <c r="N3676" s="243">
        <v>149</v>
      </c>
      <c r="O3676" s="253">
        <v>84</v>
      </c>
    </row>
    <row r="3677" spans="1:15">
      <c r="A3677" s="240" t="s">
        <v>26</v>
      </c>
      <c r="B3677" s="47" t="s">
        <v>59</v>
      </c>
      <c r="C3677" s="15">
        <v>1447</v>
      </c>
      <c r="D3677" s="243">
        <v>103</v>
      </c>
      <c r="E3677" s="243">
        <v>147</v>
      </c>
      <c r="F3677" s="243">
        <v>151</v>
      </c>
      <c r="G3677" s="243">
        <v>125</v>
      </c>
      <c r="H3677" s="243">
        <v>140</v>
      </c>
      <c r="I3677" s="243">
        <v>137</v>
      </c>
      <c r="J3677" s="243">
        <v>132</v>
      </c>
      <c r="K3677" s="243">
        <v>109</v>
      </c>
      <c r="L3677" s="243">
        <v>125</v>
      </c>
      <c r="M3677" s="243">
        <v>77</v>
      </c>
      <c r="N3677" s="243">
        <v>111</v>
      </c>
      <c r="O3677" s="253">
        <v>90</v>
      </c>
    </row>
    <row r="3678" spans="1:15">
      <c r="A3678" s="242" t="s">
        <v>26</v>
      </c>
      <c r="B3678" s="43" t="s">
        <v>4</v>
      </c>
      <c r="C3678" s="15">
        <v>10</v>
      </c>
      <c r="D3678" s="244">
        <v>2</v>
      </c>
      <c r="E3678" s="244">
        <v>1</v>
      </c>
      <c r="F3678" s="244">
        <v>0</v>
      </c>
      <c r="G3678" s="244">
        <v>0</v>
      </c>
      <c r="H3678" s="244">
        <v>1</v>
      </c>
      <c r="I3678" s="244">
        <v>1</v>
      </c>
      <c r="J3678" s="244">
        <v>0</v>
      </c>
      <c r="K3678" s="244">
        <v>0</v>
      </c>
      <c r="L3678" s="244">
        <v>1</v>
      </c>
      <c r="M3678" s="244">
        <v>1</v>
      </c>
      <c r="N3678" s="244">
        <v>1</v>
      </c>
      <c r="O3678" s="254">
        <v>2</v>
      </c>
    </row>
    <row r="3679" spans="1:15">
      <c r="A3679" s="240" t="s">
        <v>26</v>
      </c>
      <c r="B3679" s="47" t="s">
        <v>5</v>
      </c>
      <c r="C3679" s="12">
        <v>0.00691085003455425</v>
      </c>
      <c r="D3679" s="241">
        <v>0.0194174757281553</v>
      </c>
      <c r="E3679" s="241">
        <v>0.00680272108843537</v>
      </c>
      <c r="F3679" s="241">
        <v>0</v>
      </c>
      <c r="G3679" s="241">
        <v>0</v>
      </c>
      <c r="H3679" s="241">
        <v>0.00714285714285714</v>
      </c>
      <c r="I3679" s="241">
        <v>0.0072992700729927</v>
      </c>
      <c r="J3679" s="241">
        <v>0</v>
      </c>
      <c r="K3679" s="241">
        <v>0</v>
      </c>
      <c r="L3679" s="241">
        <v>0.008</v>
      </c>
      <c r="M3679" s="241">
        <v>0.012987012987013</v>
      </c>
      <c r="N3679" s="241">
        <v>0.00900900900900901</v>
      </c>
      <c r="O3679" s="252">
        <v>0.0222222222222222</v>
      </c>
    </row>
    <row r="3680" spans="1:15">
      <c r="A3680" s="242" t="s">
        <v>26</v>
      </c>
      <c r="B3680" s="43" t="s">
        <v>6</v>
      </c>
      <c r="C3680" s="15">
        <v>3</v>
      </c>
      <c r="D3680" s="244">
        <v>1</v>
      </c>
      <c r="E3680" s="244">
        <v>1</v>
      </c>
      <c r="F3680" s="244">
        <v>0</v>
      </c>
      <c r="G3680" s="244">
        <v>0</v>
      </c>
      <c r="H3680" s="244">
        <v>0</v>
      </c>
      <c r="I3680" s="244">
        <v>0</v>
      </c>
      <c r="J3680" s="244">
        <v>0</v>
      </c>
      <c r="K3680" s="244">
        <v>0</v>
      </c>
      <c r="L3680" s="244">
        <v>0</v>
      </c>
      <c r="M3680" s="244">
        <v>0</v>
      </c>
      <c r="N3680" s="244">
        <v>1</v>
      </c>
      <c r="O3680" s="254">
        <v>0</v>
      </c>
    </row>
    <row r="3681" ht="14.25" spans="1:15">
      <c r="A3681" s="245" t="s">
        <v>26</v>
      </c>
      <c r="B3681" s="52" t="s">
        <v>64</v>
      </c>
      <c r="C3681" s="19">
        <v>0.3</v>
      </c>
      <c r="D3681" s="19">
        <v>0.5</v>
      </c>
      <c r="E3681" s="19">
        <v>1</v>
      </c>
      <c r="F3681" s="19" t="e">
        <v>#DIV/0!</v>
      </c>
      <c r="G3681" s="19" t="e">
        <v>#DIV/0!</v>
      </c>
      <c r="H3681" s="19">
        <v>0</v>
      </c>
      <c r="I3681" s="19">
        <v>0</v>
      </c>
      <c r="J3681" s="19" t="e">
        <v>#DIV/0!</v>
      </c>
      <c r="K3681" s="19" t="e">
        <v>#DIV/0!</v>
      </c>
      <c r="L3681" s="19">
        <v>0</v>
      </c>
      <c r="M3681" s="19">
        <v>0</v>
      </c>
      <c r="N3681" s="19">
        <v>1</v>
      </c>
      <c r="O3681" s="19">
        <v>0</v>
      </c>
    </row>
    <row r="3682" spans="1:15">
      <c r="A3682" s="240" t="s">
        <v>71</v>
      </c>
      <c r="B3682" s="47" t="s">
        <v>55</v>
      </c>
      <c r="C3682" s="12">
        <v>14</v>
      </c>
      <c r="D3682" s="241" t="e">
        <v>#DIV/0!</v>
      </c>
      <c r="E3682" s="241" t="e">
        <v>#DIV/0!</v>
      </c>
      <c r="F3682" s="241">
        <v>0</v>
      </c>
      <c r="G3682" s="241" t="e">
        <v>#DIV/0!</v>
      </c>
      <c r="H3682" s="241" t="e">
        <v>#DIV/0!</v>
      </c>
      <c r="I3682" s="241" t="e">
        <v>#DIV/0!</v>
      </c>
      <c r="J3682" s="241" t="e">
        <v>#DIV/0!</v>
      </c>
      <c r="K3682" s="241" t="e">
        <v>#DIV/0!</v>
      </c>
      <c r="L3682" s="241" t="e">
        <v>#DIV/0!</v>
      </c>
      <c r="M3682" s="241" t="e">
        <v>#DIV/0!</v>
      </c>
      <c r="N3682" s="241" t="e">
        <v>#DIV/0!</v>
      </c>
      <c r="O3682" s="252" t="e">
        <v>#DIV/0!</v>
      </c>
    </row>
    <row r="3683" spans="1:15">
      <c r="A3683" s="242" t="s">
        <v>71</v>
      </c>
      <c r="B3683" s="43" t="s">
        <v>57</v>
      </c>
      <c r="C3683" s="15">
        <v>1</v>
      </c>
      <c r="D3683" s="243">
        <v>0</v>
      </c>
      <c r="E3683" s="243">
        <v>0</v>
      </c>
      <c r="F3683" s="243">
        <v>1</v>
      </c>
      <c r="G3683" s="243">
        <v>0</v>
      </c>
      <c r="H3683" s="243">
        <v>0</v>
      </c>
      <c r="I3683" s="243">
        <v>0</v>
      </c>
      <c r="J3683" s="243">
        <v>0</v>
      </c>
      <c r="K3683" s="243">
        <v>0</v>
      </c>
      <c r="L3683" s="243">
        <v>0</v>
      </c>
      <c r="M3683" s="243">
        <v>0</v>
      </c>
      <c r="N3683" s="243">
        <v>0</v>
      </c>
      <c r="O3683" s="253">
        <v>0</v>
      </c>
    </row>
    <row r="3684" spans="1:15">
      <c r="A3684" s="240" t="s">
        <v>71</v>
      </c>
      <c r="B3684" s="47" t="s">
        <v>59</v>
      </c>
      <c r="C3684" s="15">
        <v>14</v>
      </c>
      <c r="D3684" s="243">
        <v>0</v>
      </c>
      <c r="E3684" s="243">
        <v>0</v>
      </c>
      <c r="F3684" s="243">
        <v>0</v>
      </c>
      <c r="G3684" s="243">
        <v>1</v>
      </c>
      <c r="H3684" s="243">
        <v>1</v>
      </c>
      <c r="I3684" s="243">
        <v>4</v>
      </c>
      <c r="J3684" s="243">
        <v>1</v>
      </c>
      <c r="K3684" s="243">
        <v>4</v>
      </c>
      <c r="L3684" s="243">
        <v>1</v>
      </c>
      <c r="M3684" s="243">
        <v>0</v>
      </c>
      <c r="N3684" s="243">
        <v>0</v>
      </c>
      <c r="O3684" s="253">
        <v>2</v>
      </c>
    </row>
    <row r="3685" spans="1:15">
      <c r="A3685" s="242" t="s">
        <v>71</v>
      </c>
      <c r="B3685" s="43" t="s">
        <v>4</v>
      </c>
      <c r="C3685" s="15">
        <v>7</v>
      </c>
      <c r="D3685" s="244">
        <v>1</v>
      </c>
      <c r="E3685" s="244">
        <v>0</v>
      </c>
      <c r="F3685" s="244">
        <v>0</v>
      </c>
      <c r="G3685" s="244">
        <v>0</v>
      </c>
      <c r="H3685" s="244">
        <v>0</v>
      </c>
      <c r="I3685" s="244">
        <v>0</v>
      </c>
      <c r="J3685" s="244">
        <v>2</v>
      </c>
      <c r="K3685" s="244">
        <v>2</v>
      </c>
      <c r="L3685" s="244">
        <v>1</v>
      </c>
      <c r="M3685" s="244">
        <v>0</v>
      </c>
      <c r="N3685" s="244">
        <v>0</v>
      </c>
      <c r="O3685" s="254">
        <v>1</v>
      </c>
    </row>
    <row r="3686" spans="1:15">
      <c r="A3686" s="240" t="s">
        <v>71</v>
      </c>
      <c r="B3686" s="47" t="s">
        <v>5</v>
      </c>
      <c r="C3686" s="241">
        <v>0.5</v>
      </c>
      <c r="D3686" s="241">
        <v>0</v>
      </c>
      <c r="E3686" s="241">
        <v>0</v>
      </c>
      <c r="F3686" s="241">
        <v>0</v>
      </c>
      <c r="G3686" s="241">
        <v>0</v>
      </c>
      <c r="H3686" s="241">
        <v>0</v>
      </c>
      <c r="I3686" s="241">
        <v>0</v>
      </c>
      <c r="J3686" s="241">
        <v>2</v>
      </c>
      <c r="K3686" s="241">
        <v>0.5</v>
      </c>
      <c r="L3686" s="241">
        <v>1</v>
      </c>
      <c r="M3686" s="241">
        <v>0</v>
      </c>
      <c r="N3686" s="241">
        <v>0</v>
      </c>
      <c r="O3686" s="252">
        <v>0.5</v>
      </c>
    </row>
    <row r="3687" spans="1:15">
      <c r="A3687" s="242" t="s">
        <v>71</v>
      </c>
      <c r="B3687" s="43" t="s">
        <v>6</v>
      </c>
      <c r="C3687" s="15">
        <v>1</v>
      </c>
      <c r="D3687" s="244">
        <v>1</v>
      </c>
      <c r="E3687" s="244">
        <v>0</v>
      </c>
      <c r="F3687" s="244">
        <v>0</v>
      </c>
      <c r="G3687" s="244">
        <v>0</v>
      </c>
      <c r="H3687" s="244">
        <v>0</v>
      </c>
      <c r="I3687" s="244">
        <v>0</v>
      </c>
      <c r="J3687" s="244">
        <v>0</v>
      </c>
      <c r="K3687" s="244">
        <v>0</v>
      </c>
      <c r="L3687" s="244">
        <v>0</v>
      </c>
      <c r="M3687" s="244">
        <v>0</v>
      </c>
      <c r="N3687" s="244">
        <v>0</v>
      </c>
      <c r="O3687" s="254">
        <v>0</v>
      </c>
    </row>
    <row r="3688" ht="14.25" spans="1:15">
      <c r="A3688" s="245" t="s">
        <v>71</v>
      </c>
      <c r="B3688" s="52" t="s">
        <v>64</v>
      </c>
      <c r="C3688" s="19">
        <v>0.142857142857143</v>
      </c>
      <c r="D3688" s="19">
        <v>1</v>
      </c>
      <c r="E3688" s="19" t="e">
        <v>#DIV/0!</v>
      </c>
      <c r="F3688" s="19" t="e">
        <v>#DIV/0!</v>
      </c>
      <c r="G3688" s="19" t="e">
        <v>#DIV/0!</v>
      </c>
      <c r="H3688" s="19" t="e">
        <v>#DIV/0!</v>
      </c>
      <c r="I3688" s="19" t="e">
        <v>#DIV/0!</v>
      </c>
      <c r="J3688" s="19">
        <v>0</v>
      </c>
      <c r="K3688" s="19">
        <v>0</v>
      </c>
      <c r="L3688" s="19">
        <v>0</v>
      </c>
      <c r="M3688" s="19" t="e">
        <v>#DIV/0!</v>
      </c>
      <c r="N3688" s="19" t="e">
        <v>#DIV/0!</v>
      </c>
      <c r="O3688" s="19">
        <v>0</v>
      </c>
    </row>
    <row r="3689" spans="1:15">
      <c r="A3689" s="240" t="s">
        <v>72</v>
      </c>
      <c r="B3689" s="47" t="s">
        <v>55</v>
      </c>
      <c r="C3689" s="12">
        <v>0.164935393970104</v>
      </c>
      <c r="D3689" s="241">
        <v>0.172067039106145</v>
      </c>
      <c r="E3689" s="241">
        <v>0.168</v>
      </c>
      <c r="F3689" s="241">
        <v>0.196911196911197</v>
      </c>
      <c r="G3689" s="241">
        <v>0.147208121827411</v>
      </c>
      <c r="H3689" s="241">
        <v>0.188235294117647</v>
      </c>
      <c r="I3689" s="241">
        <v>0.179533213644524</v>
      </c>
      <c r="J3689" s="241">
        <v>0.18361153262519</v>
      </c>
      <c r="K3689" s="241">
        <v>0.165007112375533</v>
      </c>
      <c r="L3689" s="241">
        <v>0.14756446991404</v>
      </c>
      <c r="M3689" s="241">
        <v>0.15210843373494</v>
      </c>
      <c r="N3689" s="241">
        <v>0.154554759467758</v>
      </c>
      <c r="O3689" s="252">
        <v>0.154916512059369</v>
      </c>
    </row>
    <row r="3690" spans="1:15">
      <c r="A3690" s="242" t="s">
        <v>72</v>
      </c>
      <c r="B3690" s="43" t="s">
        <v>57</v>
      </c>
      <c r="C3690" s="15">
        <v>7894</v>
      </c>
      <c r="D3690" s="243">
        <v>895</v>
      </c>
      <c r="E3690" s="243">
        <v>500</v>
      </c>
      <c r="F3690" s="243">
        <v>259</v>
      </c>
      <c r="G3690" s="243">
        <v>394</v>
      </c>
      <c r="H3690" s="243">
        <v>510</v>
      </c>
      <c r="I3690" s="243">
        <v>557</v>
      </c>
      <c r="J3690" s="243">
        <v>659</v>
      </c>
      <c r="K3690" s="243">
        <v>703</v>
      </c>
      <c r="L3690" s="243">
        <v>698</v>
      </c>
      <c r="M3690" s="243">
        <v>664</v>
      </c>
      <c r="N3690" s="243">
        <v>977</v>
      </c>
      <c r="O3690" s="253">
        <v>1078</v>
      </c>
    </row>
    <row r="3691" spans="1:15">
      <c r="A3691" s="240" t="s">
        <v>72</v>
      </c>
      <c r="B3691" s="47" t="s">
        <v>59</v>
      </c>
      <c r="C3691" s="15">
        <v>1302</v>
      </c>
      <c r="D3691" s="243">
        <v>154</v>
      </c>
      <c r="E3691" s="243">
        <v>84</v>
      </c>
      <c r="F3691" s="243">
        <v>51</v>
      </c>
      <c r="G3691" s="243">
        <v>58</v>
      </c>
      <c r="H3691" s="243">
        <v>96</v>
      </c>
      <c r="I3691" s="243">
        <v>100</v>
      </c>
      <c r="J3691" s="243">
        <v>121</v>
      </c>
      <c r="K3691" s="243">
        <v>116</v>
      </c>
      <c r="L3691" s="243">
        <v>103</v>
      </c>
      <c r="M3691" s="243">
        <v>101</v>
      </c>
      <c r="N3691" s="243">
        <v>151</v>
      </c>
      <c r="O3691" s="253">
        <v>167</v>
      </c>
    </row>
    <row r="3692" spans="1:15">
      <c r="A3692" s="242" t="s">
        <v>72</v>
      </c>
      <c r="B3692" s="43" t="s">
        <v>4</v>
      </c>
      <c r="C3692" s="15">
        <v>122</v>
      </c>
      <c r="D3692" s="244">
        <v>16</v>
      </c>
      <c r="E3692" s="244">
        <v>14</v>
      </c>
      <c r="F3692" s="244">
        <v>4</v>
      </c>
      <c r="G3692" s="244">
        <v>2</v>
      </c>
      <c r="H3692" s="244">
        <v>7</v>
      </c>
      <c r="I3692" s="244">
        <v>6</v>
      </c>
      <c r="J3692" s="244">
        <v>10</v>
      </c>
      <c r="K3692" s="244">
        <v>12</v>
      </c>
      <c r="L3692" s="244">
        <v>15</v>
      </c>
      <c r="M3692" s="244">
        <v>10</v>
      </c>
      <c r="N3692" s="244">
        <v>9</v>
      </c>
      <c r="O3692" s="254">
        <v>17</v>
      </c>
    </row>
    <row r="3693" spans="1:15">
      <c r="A3693" s="240" t="s">
        <v>72</v>
      </c>
      <c r="B3693" s="47" t="s">
        <v>5</v>
      </c>
      <c r="C3693" s="12">
        <v>0.0937019969278034</v>
      </c>
      <c r="D3693" s="241">
        <v>0.103896103896104</v>
      </c>
      <c r="E3693" s="241">
        <v>0.166666666666667</v>
      </c>
      <c r="F3693" s="241">
        <v>0.0784313725490196</v>
      </c>
      <c r="G3693" s="241">
        <v>0.0344827586206897</v>
      </c>
      <c r="H3693" s="241">
        <v>0.0729166666666667</v>
      </c>
      <c r="I3693" s="241">
        <v>0.06</v>
      </c>
      <c r="J3693" s="241">
        <v>0.0826446280991736</v>
      </c>
      <c r="K3693" s="241">
        <v>0.103448275862069</v>
      </c>
      <c r="L3693" s="241">
        <v>0.145631067961165</v>
      </c>
      <c r="M3693" s="241">
        <v>0.099009900990099</v>
      </c>
      <c r="N3693" s="241">
        <v>0.0596026490066225</v>
      </c>
      <c r="O3693" s="252">
        <v>0.101796407185629</v>
      </c>
    </row>
    <row r="3694" spans="1:15">
      <c r="A3694" s="242" t="s">
        <v>72</v>
      </c>
      <c r="B3694" s="43" t="s">
        <v>6</v>
      </c>
      <c r="C3694" s="15">
        <v>29</v>
      </c>
      <c r="D3694" s="244">
        <v>6</v>
      </c>
      <c r="E3694" s="244">
        <v>1</v>
      </c>
      <c r="F3694" s="244">
        <v>0</v>
      </c>
      <c r="G3694" s="244">
        <v>0</v>
      </c>
      <c r="H3694" s="244">
        <v>4</v>
      </c>
      <c r="I3694" s="244">
        <v>5</v>
      </c>
      <c r="J3694" s="244">
        <v>1</v>
      </c>
      <c r="K3694" s="244">
        <v>2</v>
      </c>
      <c r="L3694" s="244">
        <v>2</v>
      </c>
      <c r="M3694" s="244">
        <v>2</v>
      </c>
      <c r="N3694" s="244">
        <v>2</v>
      </c>
      <c r="O3694" s="254">
        <v>4</v>
      </c>
    </row>
    <row r="3695" ht="14.25" spans="1:15">
      <c r="A3695" s="245" t="s">
        <v>72</v>
      </c>
      <c r="B3695" s="52" t="s">
        <v>64</v>
      </c>
      <c r="C3695" s="19">
        <v>0.237704918032787</v>
      </c>
      <c r="D3695" s="19">
        <v>0.375</v>
      </c>
      <c r="E3695" s="19">
        <v>0.0714285714285714</v>
      </c>
      <c r="F3695" s="19">
        <v>0</v>
      </c>
      <c r="G3695" s="19">
        <v>0</v>
      </c>
      <c r="H3695" s="19">
        <v>0.571428571428571</v>
      </c>
      <c r="I3695" s="19">
        <v>0.833333333333333</v>
      </c>
      <c r="J3695" s="19">
        <v>0.1</v>
      </c>
      <c r="K3695" s="19">
        <v>0.166666666666667</v>
      </c>
      <c r="L3695" s="19">
        <v>0.133333333333333</v>
      </c>
      <c r="M3695" s="19">
        <v>0.2</v>
      </c>
      <c r="N3695" s="19">
        <v>0.222222222222222</v>
      </c>
      <c r="O3695" s="19">
        <v>0.235294117647059</v>
      </c>
    </row>
    <row r="3696" ht="14.25" spans="1:15">
      <c r="A3696" s="237">
        <v>45076</v>
      </c>
      <c r="B3696" s="237"/>
      <c r="C3696" s="237"/>
      <c r="D3696" s="237"/>
      <c r="E3696" s="237"/>
      <c r="F3696" s="237"/>
      <c r="G3696" s="237"/>
      <c r="H3696" s="237"/>
      <c r="I3696" s="237"/>
      <c r="J3696" s="237"/>
      <c r="K3696" s="237"/>
      <c r="L3696" s="237"/>
      <c r="M3696" s="237"/>
      <c r="N3696" s="237"/>
      <c r="O3696" s="237"/>
    </row>
    <row r="3697" spans="1:15">
      <c r="A3697" s="56" t="s">
        <v>1</v>
      </c>
      <c r="B3697" s="238"/>
      <c r="C3697" s="8" t="s">
        <v>42</v>
      </c>
      <c r="D3697" s="239" t="s">
        <v>43</v>
      </c>
      <c r="E3697" s="239" t="s">
        <v>44</v>
      </c>
      <c r="F3697" s="239" t="s">
        <v>45</v>
      </c>
      <c r="G3697" s="239" t="s">
        <v>46</v>
      </c>
      <c r="H3697" s="239" t="s">
        <v>47</v>
      </c>
      <c r="I3697" s="239" t="s">
        <v>48</v>
      </c>
      <c r="J3697" s="239" t="s">
        <v>49</v>
      </c>
      <c r="K3697" s="239" t="s">
        <v>50</v>
      </c>
      <c r="L3697" s="239" t="s">
        <v>51</v>
      </c>
      <c r="M3697" s="239" t="s">
        <v>52</v>
      </c>
      <c r="N3697" s="239" t="s">
        <v>53</v>
      </c>
      <c r="O3697" s="251" t="s">
        <v>54</v>
      </c>
    </row>
    <row r="3698" spans="1:15">
      <c r="A3698" s="240" t="s">
        <v>22</v>
      </c>
      <c r="B3698" s="47" t="s">
        <v>55</v>
      </c>
      <c r="C3698" s="12">
        <v>0.399233296823658</v>
      </c>
      <c r="D3698" s="241">
        <v>0.368794326241135</v>
      </c>
      <c r="E3698" s="241">
        <v>0.372641509433962</v>
      </c>
      <c r="F3698" s="241">
        <v>0.301369863013699</v>
      </c>
      <c r="G3698" s="241">
        <v>0.410810810810811</v>
      </c>
      <c r="H3698" s="241">
        <v>0.476666666666667</v>
      </c>
      <c r="I3698" s="241">
        <v>0.398625429553265</v>
      </c>
      <c r="J3698" s="241">
        <v>0.399361022364217</v>
      </c>
      <c r="K3698" s="241">
        <v>0.392523364485981</v>
      </c>
      <c r="L3698" s="241">
        <v>0.465573770491803</v>
      </c>
      <c r="M3698" s="241">
        <v>0.465189873417721</v>
      </c>
      <c r="N3698" s="241">
        <v>0.348600508905852</v>
      </c>
      <c r="O3698" s="252">
        <v>0.373601789709172</v>
      </c>
    </row>
    <row r="3699" spans="1:15">
      <c r="A3699" s="242" t="s">
        <v>22</v>
      </c>
      <c r="B3699" s="43" t="s">
        <v>57</v>
      </c>
      <c r="C3699" s="15">
        <v>3652</v>
      </c>
      <c r="D3699" s="243">
        <v>423</v>
      </c>
      <c r="E3699" s="243">
        <v>212</v>
      </c>
      <c r="F3699" s="243">
        <v>146</v>
      </c>
      <c r="G3699" s="243">
        <v>185</v>
      </c>
      <c r="H3699" s="243">
        <v>300</v>
      </c>
      <c r="I3699" s="243">
        <v>291</v>
      </c>
      <c r="J3699" s="243">
        <v>313</v>
      </c>
      <c r="K3699" s="243">
        <v>321</v>
      </c>
      <c r="L3699" s="243">
        <v>305</v>
      </c>
      <c r="M3699" s="243">
        <v>316</v>
      </c>
      <c r="N3699" s="243">
        <v>393</v>
      </c>
      <c r="O3699" s="253">
        <v>447</v>
      </c>
    </row>
    <row r="3700" spans="1:15">
      <c r="A3700" s="240" t="s">
        <v>22</v>
      </c>
      <c r="B3700" s="47" t="s">
        <v>59</v>
      </c>
      <c r="C3700" s="15">
        <v>1458</v>
      </c>
      <c r="D3700" s="243">
        <v>156</v>
      </c>
      <c r="E3700" s="243">
        <v>79</v>
      </c>
      <c r="F3700" s="243">
        <v>44</v>
      </c>
      <c r="G3700" s="243">
        <v>76</v>
      </c>
      <c r="H3700" s="243">
        <v>143</v>
      </c>
      <c r="I3700" s="243">
        <v>116</v>
      </c>
      <c r="J3700" s="243">
        <v>125</v>
      </c>
      <c r="K3700" s="243">
        <v>126</v>
      </c>
      <c r="L3700" s="243">
        <v>142</v>
      </c>
      <c r="M3700" s="243">
        <v>147</v>
      </c>
      <c r="N3700" s="243">
        <v>137</v>
      </c>
      <c r="O3700" s="253">
        <v>167</v>
      </c>
    </row>
    <row r="3701" spans="1:15">
      <c r="A3701" s="242" t="s">
        <v>22</v>
      </c>
      <c r="B3701" s="43" t="s">
        <v>4</v>
      </c>
      <c r="C3701" s="15">
        <v>102</v>
      </c>
      <c r="D3701" s="244">
        <v>11</v>
      </c>
      <c r="E3701" s="244">
        <v>6</v>
      </c>
      <c r="F3701" s="244">
        <v>3</v>
      </c>
      <c r="G3701" s="244">
        <v>5</v>
      </c>
      <c r="H3701" s="244">
        <v>10</v>
      </c>
      <c r="I3701" s="244">
        <v>7</v>
      </c>
      <c r="J3701" s="244">
        <v>7</v>
      </c>
      <c r="K3701" s="244">
        <v>17</v>
      </c>
      <c r="L3701" s="244">
        <v>7</v>
      </c>
      <c r="M3701" s="244">
        <v>7</v>
      </c>
      <c r="N3701" s="244">
        <v>10</v>
      </c>
      <c r="O3701" s="254">
        <v>12</v>
      </c>
    </row>
    <row r="3702" spans="1:15">
      <c r="A3702" s="240" t="s">
        <v>22</v>
      </c>
      <c r="B3702" s="47" t="s">
        <v>5</v>
      </c>
      <c r="C3702" s="12">
        <v>0.0699588477366255</v>
      </c>
      <c r="D3702" s="241">
        <v>0.0705128205128205</v>
      </c>
      <c r="E3702" s="241">
        <v>0.0759493670886076</v>
      </c>
      <c r="F3702" s="241">
        <v>0.0681818181818182</v>
      </c>
      <c r="G3702" s="241">
        <v>0.0657894736842105</v>
      </c>
      <c r="H3702" s="241">
        <v>0.0699300699300699</v>
      </c>
      <c r="I3702" s="241">
        <v>0.0603448275862069</v>
      </c>
      <c r="J3702" s="241">
        <v>0.056</v>
      </c>
      <c r="K3702" s="241">
        <v>0.134920634920635</v>
      </c>
      <c r="L3702" s="241">
        <v>0.0492957746478873</v>
      </c>
      <c r="M3702" s="241">
        <v>0.0476190476190476</v>
      </c>
      <c r="N3702" s="241">
        <v>0.072992700729927</v>
      </c>
      <c r="O3702" s="252">
        <v>0.0718562874251497</v>
      </c>
    </row>
    <row r="3703" spans="1:15">
      <c r="A3703" s="242" t="s">
        <v>22</v>
      </c>
      <c r="B3703" s="43" t="s">
        <v>6</v>
      </c>
      <c r="C3703" s="15">
        <v>47</v>
      </c>
      <c r="D3703" s="244">
        <v>5</v>
      </c>
      <c r="E3703" s="244">
        <v>3</v>
      </c>
      <c r="F3703" s="244">
        <v>2</v>
      </c>
      <c r="G3703" s="244">
        <v>3</v>
      </c>
      <c r="H3703" s="244">
        <v>5</v>
      </c>
      <c r="I3703" s="244">
        <v>3</v>
      </c>
      <c r="J3703" s="244">
        <v>3</v>
      </c>
      <c r="K3703" s="244">
        <v>4</v>
      </c>
      <c r="L3703" s="244">
        <v>7</v>
      </c>
      <c r="M3703" s="244">
        <v>4</v>
      </c>
      <c r="N3703" s="244">
        <v>4</v>
      </c>
      <c r="O3703" s="254">
        <v>4</v>
      </c>
    </row>
    <row r="3704" ht="14.25" spans="1:15">
      <c r="A3704" s="245" t="s">
        <v>22</v>
      </c>
      <c r="B3704" s="52" t="s">
        <v>64</v>
      </c>
      <c r="C3704" s="19">
        <v>0.46078431372549</v>
      </c>
      <c r="D3704" s="246">
        <v>0.454545454545455</v>
      </c>
      <c r="E3704" s="246">
        <v>0.5</v>
      </c>
      <c r="F3704" s="246">
        <v>0.666666666666667</v>
      </c>
      <c r="G3704" s="246">
        <v>0.6</v>
      </c>
      <c r="H3704" s="246">
        <v>0.5</v>
      </c>
      <c r="I3704" s="246">
        <v>0.428571428571429</v>
      </c>
      <c r="J3704" s="246">
        <v>0.428571428571429</v>
      </c>
      <c r="K3704" s="246">
        <v>0.235294117647059</v>
      </c>
      <c r="L3704" s="246">
        <v>1</v>
      </c>
      <c r="M3704" s="246">
        <v>0.571428571428571</v>
      </c>
      <c r="N3704" s="246">
        <v>0.4</v>
      </c>
      <c r="O3704" s="255">
        <v>0.333333333333333</v>
      </c>
    </row>
    <row r="3705" spans="1:15">
      <c r="A3705" s="247" t="s">
        <v>66</v>
      </c>
      <c r="B3705" s="248" t="s">
        <v>55</v>
      </c>
      <c r="C3705" s="12">
        <v>0.12311901504788</v>
      </c>
      <c r="D3705" s="249">
        <v>0.189393939393939</v>
      </c>
      <c r="E3705" s="249">
        <v>0.111111111111111</v>
      </c>
      <c r="F3705" s="249">
        <v>0.0769230769230769</v>
      </c>
      <c r="G3705" s="249">
        <v>0.0642201834862385</v>
      </c>
      <c r="H3705" s="249">
        <v>0.144144144144144</v>
      </c>
      <c r="I3705" s="249">
        <v>0.0782608695652174</v>
      </c>
      <c r="J3705" s="249">
        <v>0.148148148148148</v>
      </c>
      <c r="K3705" s="249">
        <v>0.0866141732283465</v>
      </c>
      <c r="L3705" s="249">
        <v>0.109243697478992</v>
      </c>
      <c r="M3705" s="249">
        <v>0.16</v>
      </c>
      <c r="N3705" s="249">
        <v>0.185185185185185</v>
      </c>
      <c r="O3705" s="256">
        <v>0.124137931034483</v>
      </c>
    </row>
    <row r="3706" spans="1:15">
      <c r="A3706" s="242" t="s">
        <v>66</v>
      </c>
      <c r="B3706" s="43" t="s">
        <v>57</v>
      </c>
      <c r="C3706" s="15">
        <v>1462</v>
      </c>
      <c r="D3706" s="243">
        <v>132</v>
      </c>
      <c r="E3706" s="243">
        <v>144</v>
      </c>
      <c r="F3706" s="243">
        <v>117</v>
      </c>
      <c r="G3706" s="243">
        <v>109</v>
      </c>
      <c r="H3706" s="243">
        <v>111</v>
      </c>
      <c r="I3706" s="243">
        <v>115</v>
      </c>
      <c r="J3706" s="243">
        <v>135</v>
      </c>
      <c r="K3706" s="243">
        <v>127</v>
      </c>
      <c r="L3706" s="243">
        <v>119</v>
      </c>
      <c r="M3706" s="243">
        <v>100</v>
      </c>
      <c r="N3706" s="243">
        <v>108</v>
      </c>
      <c r="O3706" s="253">
        <v>145</v>
      </c>
    </row>
    <row r="3707" spans="1:15">
      <c r="A3707" s="240" t="s">
        <v>66</v>
      </c>
      <c r="B3707" s="47" t="s">
        <v>59</v>
      </c>
      <c r="C3707" s="15">
        <v>180</v>
      </c>
      <c r="D3707" s="243">
        <v>25</v>
      </c>
      <c r="E3707" s="243">
        <v>16</v>
      </c>
      <c r="F3707" s="243">
        <v>9</v>
      </c>
      <c r="G3707" s="243">
        <v>7</v>
      </c>
      <c r="H3707" s="243">
        <v>16</v>
      </c>
      <c r="I3707" s="243">
        <v>9</v>
      </c>
      <c r="J3707" s="243">
        <v>20</v>
      </c>
      <c r="K3707" s="243">
        <v>11</v>
      </c>
      <c r="L3707" s="243">
        <v>13</v>
      </c>
      <c r="M3707" s="243">
        <v>16</v>
      </c>
      <c r="N3707" s="243">
        <v>20</v>
      </c>
      <c r="O3707" s="253">
        <v>18</v>
      </c>
    </row>
    <row r="3708" spans="1:15">
      <c r="A3708" s="242" t="s">
        <v>66</v>
      </c>
      <c r="B3708" s="43" t="s">
        <v>4</v>
      </c>
      <c r="C3708" s="15">
        <v>14</v>
      </c>
      <c r="D3708" s="244">
        <v>0</v>
      </c>
      <c r="E3708" s="244">
        <v>0</v>
      </c>
      <c r="F3708" s="244">
        <v>1</v>
      </c>
      <c r="G3708" s="244">
        <v>0</v>
      </c>
      <c r="H3708" s="244">
        <v>1</v>
      </c>
      <c r="I3708" s="244">
        <v>1</v>
      </c>
      <c r="J3708" s="244">
        <v>2</v>
      </c>
      <c r="K3708" s="244">
        <v>0</v>
      </c>
      <c r="L3708" s="244">
        <v>1</v>
      </c>
      <c r="M3708" s="244">
        <v>1</v>
      </c>
      <c r="N3708" s="244">
        <v>2</v>
      </c>
      <c r="O3708" s="254">
        <v>5</v>
      </c>
    </row>
    <row r="3709" spans="1:15">
      <c r="A3709" s="240" t="s">
        <v>66</v>
      </c>
      <c r="B3709" s="47" t="s">
        <v>5</v>
      </c>
      <c r="C3709" s="12">
        <v>0.0777777777777778</v>
      </c>
      <c r="D3709" s="241">
        <v>0</v>
      </c>
      <c r="E3709" s="241">
        <v>0</v>
      </c>
      <c r="F3709" s="241">
        <v>0.111111111111111</v>
      </c>
      <c r="G3709" s="241">
        <v>0</v>
      </c>
      <c r="H3709" s="241">
        <v>0.0625</v>
      </c>
      <c r="I3709" s="241">
        <v>0.111111111111111</v>
      </c>
      <c r="J3709" s="241">
        <v>0.1</v>
      </c>
      <c r="K3709" s="241">
        <v>0</v>
      </c>
      <c r="L3709" s="241">
        <v>0.0769230769230769</v>
      </c>
      <c r="M3709" s="241">
        <v>0.0625</v>
      </c>
      <c r="N3709" s="241">
        <v>0.1</v>
      </c>
      <c r="O3709" s="252">
        <v>0.277777777777778</v>
      </c>
    </row>
    <row r="3710" spans="1:15">
      <c r="A3710" s="242" t="s">
        <v>66</v>
      </c>
      <c r="B3710" s="43" t="s">
        <v>6</v>
      </c>
      <c r="C3710" s="15">
        <v>5</v>
      </c>
      <c r="D3710" s="244">
        <v>0</v>
      </c>
      <c r="E3710" s="244">
        <v>0</v>
      </c>
      <c r="F3710" s="244">
        <v>0</v>
      </c>
      <c r="G3710" s="244">
        <v>0</v>
      </c>
      <c r="H3710" s="244">
        <v>0</v>
      </c>
      <c r="I3710" s="244">
        <v>0</v>
      </c>
      <c r="J3710" s="244">
        <v>2</v>
      </c>
      <c r="K3710" s="244">
        <v>0</v>
      </c>
      <c r="L3710" s="244">
        <v>0</v>
      </c>
      <c r="M3710" s="244">
        <v>0</v>
      </c>
      <c r="N3710" s="244">
        <v>2</v>
      </c>
      <c r="O3710" s="254">
        <v>1</v>
      </c>
    </row>
    <row r="3711" ht="14.25" spans="1:15">
      <c r="A3711" s="245" t="s">
        <v>66</v>
      </c>
      <c r="B3711" s="52" t="s">
        <v>64</v>
      </c>
      <c r="C3711" s="19">
        <v>0.357142857142857</v>
      </c>
      <c r="D3711" s="246">
        <v>0</v>
      </c>
      <c r="E3711" s="246">
        <v>0</v>
      </c>
      <c r="F3711" s="246">
        <v>0</v>
      </c>
      <c r="G3711" s="246">
        <v>0</v>
      </c>
      <c r="H3711" s="246">
        <v>0</v>
      </c>
      <c r="I3711" s="246">
        <v>0</v>
      </c>
      <c r="J3711" s="246">
        <v>1</v>
      </c>
      <c r="K3711" s="246">
        <v>0</v>
      </c>
      <c r="L3711" s="246">
        <v>0</v>
      </c>
      <c r="M3711" s="246">
        <v>0</v>
      </c>
      <c r="N3711" s="246">
        <v>1</v>
      </c>
      <c r="O3711" s="255">
        <v>0.2</v>
      </c>
    </row>
    <row r="3712" spans="1:15">
      <c r="A3712" s="240" t="s">
        <v>67</v>
      </c>
      <c r="B3712" s="47" t="s">
        <v>55</v>
      </c>
      <c r="C3712" s="12">
        <v>0.433145009416196</v>
      </c>
      <c r="D3712" s="241">
        <v>0.612244897959184</v>
      </c>
      <c r="E3712" s="241">
        <v>0.555555555555556</v>
      </c>
      <c r="F3712" s="241">
        <v>0.476190476190476</v>
      </c>
      <c r="G3712" s="241">
        <v>1.58333333333333</v>
      </c>
      <c r="H3712" s="241">
        <v>0.421052631578947</v>
      </c>
      <c r="I3712" s="241">
        <v>0.441860465116279</v>
      </c>
      <c r="J3712" s="241">
        <v>0.461538461538462</v>
      </c>
      <c r="K3712" s="241">
        <v>0.314285714285714</v>
      </c>
      <c r="L3712" s="241">
        <v>0.326086956521739</v>
      </c>
      <c r="M3712" s="241">
        <v>0.236842105263158</v>
      </c>
      <c r="N3712" s="241">
        <v>0.333333333333333</v>
      </c>
      <c r="O3712" s="252">
        <v>0.450980392156863</v>
      </c>
    </row>
    <row r="3713" spans="1:15">
      <c r="A3713" s="242" t="s">
        <v>67</v>
      </c>
      <c r="B3713" s="43" t="s">
        <v>57</v>
      </c>
      <c r="C3713" s="15">
        <v>531</v>
      </c>
      <c r="D3713" s="243">
        <v>49</v>
      </c>
      <c r="E3713" s="243">
        <v>27</v>
      </c>
      <c r="F3713" s="243">
        <v>21</v>
      </c>
      <c r="G3713" s="243">
        <v>12</v>
      </c>
      <c r="H3713" s="243">
        <v>57</v>
      </c>
      <c r="I3713" s="243">
        <v>43</v>
      </c>
      <c r="J3713" s="243">
        <v>39</v>
      </c>
      <c r="K3713" s="243">
        <v>70</v>
      </c>
      <c r="L3713" s="243">
        <v>46</v>
      </c>
      <c r="M3713" s="243">
        <v>38</v>
      </c>
      <c r="N3713" s="243">
        <v>78</v>
      </c>
      <c r="O3713" s="253">
        <v>51</v>
      </c>
    </row>
    <row r="3714" spans="1:15">
      <c r="A3714" s="240" t="s">
        <v>67</v>
      </c>
      <c r="B3714" s="47" t="s">
        <v>59</v>
      </c>
      <c r="C3714" s="15">
        <v>230</v>
      </c>
      <c r="D3714" s="243">
        <v>30</v>
      </c>
      <c r="E3714" s="243">
        <v>15</v>
      </c>
      <c r="F3714" s="243">
        <v>10</v>
      </c>
      <c r="G3714" s="243">
        <v>19</v>
      </c>
      <c r="H3714" s="243">
        <v>24</v>
      </c>
      <c r="I3714" s="243">
        <v>19</v>
      </c>
      <c r="J3714" s="243">
        <v>18</v>
      </c>
      <c r="K3714" s="243">
        <v>22</v>
      </c>
      <c r="L3714" s="243">
        <v>15</v>
      </c>
      <c r="M3714" s="243">
        <v>9</v>
      </c>
      <c r="N3714" s="243">
        <v>26</v>
      </c>
      <c r="O3714" s="253">
        <v>23</v>
      </c>
    </row>
    <row r="3715" spans="1:15">
      <c r="A3715" s="242" t="s">
        <v>67</v>
      </c>
      <c r="B3715" s="43" t="s">
        <v>4</v>
      </c>
      <c r="C3715" s="15">
        <v>4</v>
      </c>
      <c r="D3715" s="244">
        <v>0</v>
      </c>
      <c r="E3715" s="244">
        <v>1</v>
      </c>
      <c r="F3715" s="244">
        <v>0</v>
      </c>
      <c r="G3715" s="244">
        <v>0</v>
      </c>
      <c r="H3715" s="244">
        <v>0</v>
      </c>
      <c r="I3715" s="244">
        <v>0</v>
      </c>
      <c r="J3715" s="244">
        <v>0</v>
      </c>
      <c r="K3715" s="244">
        <v>2</v>
      </c>
      <c r="L3715" s="244">
        <v>0</v>
      </c>
      <c r="M3715" s="244">
        <v>1</v>
      </c>
      <c r="N3715" s="244">
        <v>0</v>
      </c>
      <c r="O3715" s="254">
        <v>0</v>
      </c>
    </row>
    <row r="3716" spans="1:15">
      <c r="A3716" s="240" t="s">
        <v>67</v>
      </c>
      <c r="B3716" s="47" t="s">
        <v>5</v>
      </c>
      <c r="C3716" s="12">
        <v>0.0173913043478261</v>
      </c>
      <c r="D3716" s="241">
        <v>0</v>
      </c>
      <c r="E3716" s="241">
        <v>0.0666666666666667</v>
      </c>
      <c r="F3716" s="241">
        <v>0</v>
      </c>
      <c r="G3716" s="241">
        <v>0</v>
      </c>
      <c r="H3716" s="241">
        <v>0</v>
      </c>
      <c r="I3716" s="241">
        <v>0</v>
      </c>
      <c r="J3716" s="241">
        <v>0</v>
      </c>
      <c r="K3716" s="241">
        <v>0.0909090909090909</v>
      </c>
      <c r="L3716" s="241">
        <v>0</v>
      </c>
      <c r="M3716" s="241">
        <v>0.111111111111111</v>
      </c>
      <c r="N3716" s="241">
        <v>0</v>
      </c>
      <c r="O3716" s="252">
        <v>0</v>
      </c>
    </row>
    <row r="3717" spans="1:15">
      <c r="A3717" s="242" t="s">
        <v>67</v>
      </c>
      <c r="B3717" s="43" t="s">
        <v>6</v>
      </c>
      <c r="C3717" s="15">
        <v>6</v>
      </c>
      <c r="D3717" s="244">
        <v>0</v>
      </c>
      <c r="E3717" s="244">
        <v>2</v>
      </c>
      <c r="F3717" s="244">
        <v>0</v>
      </c>
      <c r="G3717" s="244">
        <v>0</v>
      </c>
      <c r="H3717" s="244">
        <v>0</v>
      </c>
      <c r="I3717" s="244">
        <v>0</v>
      </c>
      <c r="J3717" s="244">
        <v>0</v>
      </c>
      <c r="K3717" s="244">
        <v>0</v>
      </c>
      <c r="L3717" s="244">
        <v>1</v>
      </c>
      <c r="M3717" s="244">
        <v>2</v>
      </c>
      <c r="N3717" s="244">
        <v>1</v>
      </c>
      <c r="O3717" s="254">
        <v>0</v>
      </c>
    </row>
    <row r="3718" ht="14.25" spans="1:15">
      <c r="A3718" s="245" t="s">
        <v>67</v>
      </c>
      <c r="B3718" s="52" t="s">
        <v>64</v>
      </c>
      <c r="C3718" s="19">
        <v>1.5</v>
      </c>
      <c r="D3718" s="246">
        <v>0</v>
      </c>
      <c r="E3718" s="246">
        <v>2</v>
      </c>
      <c r="F3718" s="246">
        <v>0</v>
      </c>
      <c r="G3718" s="246">
        <v>0</v>
      </c>
      <c r="H3718" s="246">
        <v>0</v>
      </c>
      <c r="I3718" s="246">
        <v>0</v>
      </c>
      <c r="J3718" s="246">
        <v>0</v>
      </c>
      <c r="K3718" s="246">
        <v>0</v>
      </c>
      <c r="L3718" s="246">
        <v>0</v>
      </c>
      <c r="M3718" s="246">
        <v>2</v>
      </c>
      <c r="N3718" s="246">
        <v>0</v>
      </c>
      <c r="O3718" s="255">
        <v>0</v>
      </c>
    </row>
    <row r="3719" spans="1:15">
      <c r="A3719" s="240" t="s">
        <v>68</v>
      </c>
      <c r="B3719" s="47" t="s">
        <v>55</v>
      </c>
      <c r="C3719" s="12">
        <v>0.0886530124084317</v>
      </c>
      <c r="D3719" s="241">
        <v>0.0949152542372881</v>
      </c>
      <c r="E3719" s="241">
        <v>0.0865979381443299</v>
      </c>
      <c r="F3719" s="241">
        <v>0.0454545454545455</v>
      </c>
      <c r="G3719" s="241">
        <v>0.0799136069114471</v>
      </c>
      <c r="H3719" s="241">
        <v>0.0881913303437967</v>
      </c>
      <c r="I3719" s="241">
        <v>0.0726495726495727</v>
      </c>
      <c r="J3719" s="241">
        <v>0.10031847133758</v>
      </c>
      <c r="K3719" s="241">
        <v>0.075043630017452</v>
      </c>
      <c r="L3719" s="241">
        <v>0.0972762645914397</v>
      </c>
      <c r="M3719" s="241">
        <v>0.0933609958506224</v>
      </c>
      <c r="N3719" s="241">
        <v>0.0909090909090909</v>
      </c>
      <c r="O3719" s="252">
        <v>0.154205607476636</v>
      </c>
    </row>
    <row r="3720" spans="1:15">
      <c r="A3720" s="242" t="s">
        <v>68</v>
      </c>
      <c r="B3720" s="43" t="s">
        <v>57</v>
      </c>
      <c r="C3720" s="15">
        <v>6689</v>
      </c>
      <c r="D3720" s="243">
        <v>590</v>
      </c>
      <c r="E3720" s="243">
        <v>485</v>
      </c>
      <c r="F3720" s="243">
        <v>528</v>
      </c>
      <c r="G3720" s="243">
        <v>463</v>
      </c>
      <c r="H3720" s="243">
        <v>669</v>
      </c>
      <c r="I3720" s="243">
        <v>702</v>
      </c>
      <c r="J3720" s="243">
        <v>628</v>
      </c>
      <c r="K3720" s="243">
        <v>573</v>
      </c>
      <c r="L3720" s="243">
        <v>514</v>
      </c>
      <c r="M3720" s="243">
        <v>482</v>
      </c>
      <c r="N3720" s="243">
        <v>627</v>
      </c>
      <c r="O3720" s="253">
        <v>428</v>
      </c>
    </row>
    <row r="3721" spans="1:15">
      <c r="A3721" s="240" t="s">
        <v>68</v>
      </c>
      <c r="B3721" s="47" t="s">
        <v>59</v>
      </c>
      <c r="C3721" s="15">
        <v>593</v>
      </c>
      <c r="D3721" s="243">
        <v>56</v>
      </c>
      <c r="E3721" s="243">
        <v>42</v>
      </c>
      <c r="F3721" s="243">
        <v>24</v>
      </c>
      <c r="G3721" s="243">
        <v>37</v>
      </c>
      <c r="H3721" s="243">
        <v>59</v>
      </c>
      <c r="I3721" s="243">
        <v>51</v>
      </c>
      <c r="J3721" s="243">
        <v>63</v>
      </c>
      <c r="K3721" s="243">
        <v>43</v>
      </c>
      <c r="L3721" s="243">
        <v>50</v>
      </c>
      <c r="M3721" s="243">
        <v>45</v>
      </c>
      <c r="N3721" s="243">
        <v>57</v>
      </c>
      <c r="O3721" s="253">
        <v>66</v>
      </c>
    </row>
    <row r="3722" spans="1:15">
      <c r="A3722" s="242" t="s">
        <v>68</v>
      </c>
      <c r="B3722" s="43" t="s">
        <v>4</v>
      </c>
      <c r="C3722" s="15">
        <v>28</v>
      </c>
      <c r="D3722" s="244">
        <v>0</v>
      </c>
      <c r="E3722" s="244">
        <v>3</v>
      </c>
      <c r="F3722" s="244">
        <v>1</v>
      </c>
      <c r="G3722" s="244">
        <v>3</v>
      </c>
      <c r="H3722" s="244">
        <v>2</v>
      </c>
      <c r="I3722" s="244">
        <v>3</v>
      </c>
      <c r="J3722" s="244">
        <v>2</v>
      </c>
      <c r="K3722" s="244">
        <v>3</v>
      </c>
      <c r="L3722" s="244">
        <v>2</v>
      </c>
      <c r="M3722" s="244">
        <v>2</v>
      </c>
      <c r="N3722" s="244">
        <v>1</v>
      </c>
      <c r="O3722" s="254">
        <v>6</v>
      </c>
    </row>
    <row r="3723" spans="1:15">
      <c r="A3723" s="240" t="s">
        <v>68</v>
      </c>
      <c r="B3723" s="47" t="s">
        <v>5</v>
      </c>
      <c r="C3723" s="12">
        <v>0.0472175379426644</v>
      </c>
      <c r="D3723" s="241">
        <v>0</v>
      </c>
      <c r="E3723" s="241">
        <v>0.0714285714285714</v>
      </c>
      <c r="F3723" s="241">
        <v>0.0416666666666667</v>
      </c>
      <c r="G3723" s="241">
        <v>0.0810810810810811</v>
      </c>
      <c r="H3723" s="241">
        <v>0.0338983050847458</v>
      </c>
      <c r="I3723" s="241">
        <v>0.0588235294117647</v>
      </c>
      <c r="J3723" s="241">
        <v>0.0317460317460317</v>
      </c>
      <c r="K3723" s="241">
        <v>0.0697674418604651</v>
      </c>
      <c r="L3723" s="241">
        <v>0.04</v>
      </c>
      <c r="M3723" s="241">
        <v>0.0444444444444444</v>
      </c>
      <c r="N3723" s="241">
        <v>0.0175438596491228</v>
      </c>
      <c r="O3723" s="252">
        <v>0.0909090909090909</v>
      </c>
    </row>
    <row r="3724" spans="1:15">
      <c r="A3724" s="242" t="s">
        <v>68</v>
      </c>
      <c r="B3724" s="43" t="s">
        <v>6</v>
      </c>
      <c r="C3724" s="15">
        <v>17</v>
      </c>
      <c r="D3724" s="244">
        <v>3</v>
      </c>
      <c r="E3724" s="244">
        <v>0</v>
      </c>
      <c r="F3724" s="244">
        <v>1</v>
      </c>
      <c r="G3724" s="244">
        <v>0</v>
      </c>
      <c r="H3724" s="244">
        <v>1</v>
      </c>
      <c r="I3724" s="244">
        <v>0</v>
      </c>
      <c r="J3724" s="244">
        <v>1</v>
      </c>
      <c r="K3724" s="244">
        <v>1</v>
      </c>
      <c r="L3724" s="244">
        <v>6</v>
      </c>
      <c r="M3724" s="244">
        <v>2</v>
      </c>
      <c r="N3724" s="244">
        <v>1</v>
      </c>
      <c r="O3724" s="254">
        <v>1</v>
      </c>
    </row>
    <row r="3725" ht="14.25" spans="1:15">
      <c r="A3725" s="245" t="s">
        <v>68</v>
      </c>
      <c r="B3725" s="52" t="s">
        <v>64</v>
      </c>
      <c r="C3725" s="19">
        <v>0.607142857142857</v>
      </c>
      <c r="D3725" s="246">
        <v>0</v>
      </c>
      <c r="E3725" s="246">
        <v>0</v>
      </c>
      <c r="F3725" s="246">
        <v>1</v>
      </c>
      <c r="G3725" s="246">
        <v>0</v>
      </c>
      <c r="H3725" s="246">
        <v>0.5</v>
      </c>
      <c r="I3725" s="246">
        <v>0</v>
      </c>
      <c r="J3725" s="246">
        <v>0.5</v>
      </c>
      <c r="K3725" s="246">
        <v>0.333333333333333</v>
      </c>
      <c r="L3725" s="246">
        <v>3</v>
      </c>
      <c r="M3725" s="246">
        <v>1</v>
      </c>
      <c r="N3725" s="246">
        <v>1</v>
      </c>
      <c r="O3725" s="255">
        <v>0.166666666666667</v>
      </c>
    </row>
    <row r="3726" spans="1:15">
      <c r="A3726" s="240" t="s">
        <v>69</v>
      </c>
      <c r="B3726" s="47" t="s">
        <v>55</v>
      </c>
      <c r="C3726" s="12">
        <v>0.997858672376874</v>
      </c>
      <c r="D3726" s="241">
        <v>1.66666666666667</v>
      </c>
      <c r="E3726" s="241">
        <v>2</v>
      </c>
      <c r="F3726" s="241">
        <v>1.13333333333333</v>
      </c>
      <c r="G3726" s="241">
        <v>1.2</v>
      </c>
      <c r="H3726" s="241">
        <v>1.11428571428571</v>
      </c>
      <c r="I3726" s="241">
        <v>0.934782608695652</v>
      </c>
      <c r="J3726" s="241">
        <v>0.88</v>
      </c>
      <c r="K3726" s="241">
        <v>0.918367346938776</v>
      </c>
      <c r="L3726" s="241">
        <v>0.78</v>
      </c>
      <c r="M3726" s="241">
        <v>0.804347826086957</v>
      </c>
      <c r="N3726" s="241">
        <v>0.742424242424242</v>
      </c>
      <c r="O3726" s="252">
        <v>1.07142857142857</v>
      </c>
    </row>
    <row r="3727" spans="1:15">
      <c r="A3727" s="242" t="s">
        <v>69</v>
      </c>
      <c r="B3727" s="43" t="s">
        <v>57</v>
      </c>
      <c r="C3727" s="15">
        <v>467</v>
      </c>
      <c r="D3727" s="243">
        <v>36</v>
      </c>
      <c r="E3727" s="243">
        <v>12</v>
      </c>
      <c r="F3727" s="243">
        <v>15</v>
      </c>
      <c r="G3727" s="243">
        <v>20</v>
      </c>
      <c r="H3727" s="243">
        <v>35</v>
      </c>
      <c r="I3727" s="243">
        <v>46</v>
      </c>
      <c r="J3727" s="243">
        <v>50</v>
      </c>
      <c r="K3727" s="243">
        <v>49</v>
      </c>
      <c r="L3727" s="243">
        <v>50</v>
      </c>
      <c r="M3727" s="243">
        <v>46</v>
      </c>
      <c r="N3727" s="243">
        <v>66</v>
      </c>
      <c r="O3727" s="253">
        <v>42</v>
      </c>
    </row>
    <row r="3728" spans="1:15">
      <c r="A3728" s="240" t="s">
        <v>69</v>
      </c>
      <c r="B3728" s="47" t="s">
        <v>59</v>
      </c>
      <c r="C3728" s="15">
        <v>466</v>
      </c>
      <c r="D3728" s="243">
        <v>60</v>
      </c>
      <c r="E3728" s="243">
        <v>24</v>
      </c>
      <c r="F3728" s="243">
        <v>17</v>
      </c>
      <c r="G3728" s="243">
        <v>24</v>
      </c>
      <c r="H3728" s="243">
        <v>39</v>
      </c>
      <c r="I3728" s="243">
        <v>43</v>
      </c>
      <c r="J3728" s="243">
        <v>44</v>
      </c>
      <c r="K3728" s="243">
        <v>45</v>
      </c>
      <c r="L3728" s="243">
        <v>39</v>
      </c>
      <c r="M3728" s="243">
        <v>37</v>
      </c>
      <c r="N3728" s="243">
        <v>49</v>
      </c>
      <c r="O3728" s="253">
        <v>45</v>
      </c>
    </row>
    <row r="3729" spans="1:15">
      <c r="A3729" s="242" t="s">
        <v>69</v>
      </c>
      <c r="B3729" s="43" t="s">
        <v>4</v>
      </c>
      <c r="C3729" s="15">
        <v>22</v>
      </c>
      <c r="D3729" s="244">
        <v>2</v>
      </c>
      <c r="E3729" s="244">
        <v>0</v>
      </c>
      <c r="F3729" s="244">
        <v>0</v>
      </c>
      <c r="G3729" s="244">
        <v>4</v>
      </c>
      <c r="H3729" s="244">
        <v>0</v>
      </c>
      <c r="I3729" s="244">
        <v>4</v>
      </c>
      <c r="J3729" s="244">
        <v>3</v>
      </c>
      <c r="K3729" s="244">
        <v>2</v>
      </c>
      <c r="L3729" s="244">
        <v>2</v>
      </c>
      <c r="M3729" s="244">
        <v>2</v>
      </c>
      <c r="N3729" s="244">
        <v>3</v>
      </c>
      <c r="O3729" s="254">
        <v>0</v>
      </c>
    </row>
    <row r="3730" spans="1:15">
      <c r="A3730" s="240" t="s">
        <v>69</v>
      </c>
      <c r="B3730" s="47" t="s">
        <v>5</v>
      </c>
      <c r="C3730" s="12">
        <v>0.0472103004291846</v>
      </c>
      <c r="D3730" s="241">
        <v>0.0333333333333333</v>
      </c>
      <c r="E3730" s="241">
        <v>0</v>
      </c>
      <c r="F3730" s="241">
        <v>0</v>
      </c>
      <c r="G3730" s="241">
        <v>0.166666666666667</v>
      </c>
      <c r="H3730" s="241">
        <v>0</v>
      </c>
      <c r="I3730" s="241">
        <v>0.0930232558139535</v>
      </c>
      <c r="J3730" s="241">
        <v>0.0681818181818182</v>
      </c>
      <c r="K3730" s="241">
        <v>0.0444444444444444</v>
      </c>
      <c r="L3730" s="241">
        <v>0.0512820512820513</v>
      </c>
      <c r="M3730" s="241">
        <v>0.0540540540540541</v>
      </c>
      <c r="N3730" s="241">
        <v>0.0612244897959184</v>
      </c>
      <c r="O3730" s="252">
        <v>0</v>
      </c>
    </row>
    <row r="3731" spans="1:15">
      <c r="A3731" s="242" t="s">
        <v>69</v>
      </c>
      <c r="B3731" s="43" t="s">
        <v>6</v>
      </c>
      <c r="C3731" s="15">
        <v>6</v>
      </c>
      <c r="D3731" s="244">
        <v>1</v>
      </c>
      <c r="E3731" s="244">
        <v>0</v>
      </c>
      <c r="F3731" s="244">
        <v>0</v>
      </c>
      <c r="G3731" s="244">
        <v>2</v>
      </c>
      <c r="H3731" s="244">
        <v>0</v>
      </c>
      <c r="I3731" s="244">
        <v>0</v>
      </c>
      <c r="J3731" s="244">
        <v>0</v>
      </c>
      <c r="K3731" s="244">
        <v>0</v>
      </c>
      <c r="L3731" s="244">
        <v>1</v>
      </c>
      <c r="M3731" s="244">
        <v>1</v>
      </c>
      <c r="N3731" s="244">
        <v>1</v>
      </c>
      <c r="O3731" s="254">
        <v>0</v>
      </c>
    </row>
    <row r="3732" ht="14.25" spans="1:15">
      <c r="A3732" s="245" t="s">
        <v>69</v>
      </c>
      <c r="B3732" s="52" t="s">
        <v>64</v>
      </c>
      <c r="C3732" s="19">
        <v>0.272727272727273</v>
      </c>
      <c r="D3732" s="246">
        <v>0.5</v>
      </c>
      <c r="E3732" s="246">
        <v>0</v>
      </c>
      <c r="F3732" s="246">
        <v>0</v>
      </c>
      <c r="G3732" s="246">
        <v>0.5</v>
      </c>
      <c r="H3732" s="246">
        <v>0</v>
      </c>
      <c r="I3732" s="246">
        <v>0</v>
      </c>
      <c r="J3732" s="246">
        <v>0</v>
      </c>
      <c r="K3732" s="246">
        <v>0</v>
      </c>
      <c r="L3732" s="246">
        <v>0.5</v>
      </c>
      <c r="M3732" s="246">
        <v>0.5</v>
      </c>
      <c r="N3732" s="246">
        <v>0.333333333333333</v>
      </c>
      <c r="O3732" s="255">
        <v>0</v>
      </c>
    </row>
    <row r="3733" spans="1:15">
      <c r="A3733" s="240" t="s">
        <v>70</v>
      </c>
      <c r="B3733" s="47" t="s">
        <v>55</v>
      </c>
      <c r="C3733" s="12">
        <v>0.290647482014389</v>
      </c>
      <c r="D3733" s="241">
        <v>0.225225225225225</v>
      </c>
      <c r="E3733" s="241">
        <v>0.192832764505119</v>
      </c>
      <c r="F3733" s="241">
        <v>0.12890625</v>
      </c>
      <c r="G3733" s="241">
        <v>0.192504258943782</v>
      </c>
      <c r="H3733" s="241">
        <v>0.34185733512786</v>
      </c>
      <c r="I3733" s="241">
        <v>0.376329787234043</v>
      </c>
      <c r="J3733" s="241">
        <v>0.27063599458728</v>
      </c>
      <c r="K3733" s="241">
        <v>0.387137452711223</v>
      </c>
      <c r="L3733" s="241">
        <v>0.352020860495437</v>
      </c>
      <c r="M3733" s="241">
        <v>0.287187039764359</v>
      </c>
      <c r="N3733" s="241">
        <v>0.260416666666667</v>
      </c>
      <c r="O3733" s="252">
        <v>0.412199630314233</v>
      </c>
    </row>
    <row r="3734" spans="1:15">
      <c r="A3734" s="242" t="s">
        <v>70</v>
      </c>
      <c r="B3734" s="43" t="s">
        <v>57</v>
      </c>
      <c r="C3734" s="15">
        <v>8340</v>
      </c>
      <c r="D3734" s="243">
        <v>777</v>
      </c>
      <c r="E3734" s="243">
        <v>586</v>
      </c>
      <c r="F3734" s="243">
        <v>512</v>
      </c>
      <c r="G3734" s="243">
        <v>587</v>
      </c>
      <c r="H3734" s="243">
        <v>743</v>
      </c>
      <c r="I3734" s="243">
        <v>752</v>
      </c>
      <c r="J3734" s="243">
        <v>739</v>
      </c>
      <c r="K3734" s="243">
        <v>793</v>
      </c>
      <c r="L3734" s="243">
        <v>767</v>
      </c>
      <c r="M3734" s="243">
        <v>679</v>
      </c>
      <c r="N3734" s="243">
        <v>864</v>
      </c>
      <c r="O3734" s="253">
        <v>541</v>
      </c>
    </row>
    <row r="3735" spans="1:15">
      <c r="A3735" s="240" t="s">
        <v>70</v>
      </c>
      <c r="B3735" s="47" t="s">
        <v>59</v>
      </c>
      <c r="C3735" s="15">
        <v>2424</v>
      </c>
      <c r="D3735" s="243">
        <v>175</v>
      </c>
      <c r="E3735" s="243">
        <v>113</v>
      </c>
      <c r="F3735" s="243">
        <v>66</v>
      </c>
      <c r="G3735" s="243">
        <v>113</v>
      </c>
      <c r="H3735" s="243">
        <v>254</v>
      </c>
      <c r="I3735" s="243">
        <v>283</v>
      </c>
      <c r="J3735" s="243">
        <v>200</v>
      </c>
      <c r="K3735" s="243">
        <v>307</v>
      </c>
      <c r="L3735" s="243">
        <v>270</v>
      </c>
      <c r="M3735" s="243">
        <v>195</v>
      </c>
      <c r="N3735" s="243">
        <v>225</v>
      </c>
      <c r="O3735" s="253">
        <v>223</v>
      </c>
    </row>
    <row r="3736" spans="1:15">
      <c r="A3736" s="242" t="s">
        <v>70</v>
      </c>
      <c r="B3736" s="43" t="s">
        <v>4</v>
      </c>
      <c r="C3736" s="15">
        <v>144</v>
      </c>
      <c r="D3736" s="244">
        <v>15</v>
      </c>
      <c r="E3736" s="244">
        <v>12</v>
      </c>
      <c r="F3736" s="244">
        <v>8</v>
      </c>
      <c r="G3736" s="244">
        <v>6</v>
      </c>
      <c r="H3736" s="244">
        <v>19</v>
      </c>
      <c r="I3736" s="244">
        <v>9</v>
      </c>
      <c r="J3736" s="244">
        <v>5</v>
      </c>
      <c r="K3736" s="244">
        <v>17</v>
      </c>
      <c r="L3736" s="244">
        <v>13</v>
      </c>
      <c r="M3736" s="244">
        <v>9</v>
      </c>
      <c r="N3736" s="244">
        <v>19</v>
      </c>
      <c r="O3736" s="254">
        <v>12</v>
      </c>
    </row>
    <row r="3737" spans="1:15">
      <c r="A3737" s="240" t="s">
        <v>70</v>
      </c>
      <c r="B3737" s="47" t="s">
        <v>5</v>
      </c>
      <c r="C3737" s="12">
        <v>0.0594059405940594</v>
      </c>
      <c r="D3737" s="241">
        <v>0.0857142857142857</v>
      </c>
      <c r="E3737" s="241">
        <v>0.106194690265487</v>
      </c>
      <c r="F3737" s="241">
        <v>0.121212121212121</v>
      </c>
      <c r="G3737" s="241">
        <v>0.0530973451327434</v>
      </c>
      <c r="H3737" s="241">
        <v>0.0748031496062992</v>
      </c>
      <c r="I3737" s="241">
        <v>0.0318021201413428</v>
      </c>
      <c r="J3737" s="241">
        <v>0.025</v>
      </c>
      <c r="K3737" s="241">
        <v>0.0553745928338762</v>
      </c>
      <c r="L3737" s="241">
        <v>0.0481481481481481</v>
      </c>
      <c r="M3737" s="241">
        <v>0.0461538461538462</v>
      </c>
      <c r="N3737" s="241">
        <v>0.0844444444444444</v>
      </c>
      <c r="O3737" s="252">
        <v>0.0538116591928251</v>
      </c>
    </row>
    <row r="3738" spans="1:15">
      <c r="A3738" s="242" t="s">
        <v>70</v>
      </c>
      <c r="B3738" s="43" t="s">
        <v>6</v>
      </c>
      <c r="C3738" s="15">
        <v>39</v>
      </c>
      <c r="D3738" s="244">
        <v>5</v>
      </c>
      <c r="E3738" s="244">
        <v>5</v>
      </c>
      <c r="F3738" s="244">
        <v>1</v>
      </c>
      <c r="G3738" s="244">
        <v>4</v>
      </c>
      <c r="H3738" s="244">
        <v>5</v>
      </c>
      <c r="I3738" s="244">
        <v>3</v>
      </c>
      <c r="J3738" s="244">
        <v>1</v>
      </c>
      <c r="K3738" s="244">
        <v>1</v>
      </c>
      <c r="L3738" s="244">
        <v>6</v>
      </c>
      <c r="M3738" s="244">
        <v>4</v>
      </c>
      <c r="N3738" s="244">
        <v>2</v>
      </c>
      <c r="O3738" s="254">
        <v>2</v>
      </c>
    </row>
    <row r="3739" ht="14.25" spans="1:15">
      <c r="A3739" s="245" t="s">
        <v>70</v>
      </c>
      <c r="B3739" s="52" t="s">
        <v>64</v>
      </c>
      <c r="C3739" s="19">
        <v>0.270833333333333</v>
      </c>
      <c r="D3739" s="246">
        <v>0.333333333333333</v>
      </c>
      <c r="E3739" s="246">
        <v>0.416666666666667</v>
      </c>
      <c r="F3739" s="246">
        <v>0.125</v>
      </c>
      <c r="G3739" s="246">
        <v>0.666666666666667</v>
      </c>
      <c r="H3739" s="246">
        <v>0.263157894736842</v>
      </c>
      <c r="I3739" s="246">
        <v>0.333333333333333</v>
      </c>
      <c r="J3739" s="246">
        <v>0.2</v>
      </c>
      <c r="K3739" s="246">
        <v>0.0588235294117647</v>
      </c>
      <c r="L3739" s="246">
        <v>0.461538461538462</v>
      </c>
      <c r="M3739" s="246">
        <v>0.444444444444444</v>
      </c>
      <c r="N3739" s="246">
        <v>0.105263157894737</v>
      </c>
      <c r="O3739" s="255">
        <v>0.166666666666667</v>
      </c>
    </row>
    <row r="3740" spans="1:15">
      <c r="A3740" s="240" t="s">
        <v>26</v>
      </c>
      <c r="B3740" s="47" t="s">
        <v>55</v>
      </c>
      <c r="C3740" s="12">
        <v>0.719745222929936</v>
      </c>
      <c r="D3740" s="241">
        <v>0.687258687258687</v>
      </c>
      <c r="E3740" s="241">
        <v>0.552325581395349</v>
      </c>
      <c r="F3740" s="241">
        <v>0.54726368159204</v>
      </c>
      <c r="G3740" s="241">
        <v>0.658536585365854</v>
      </c>
      <c r="H3740" s="241">
        <v>0.703703703703704</v>
      </c>
      <c r="I3740" s="241">
        <v>0.753554502369668</v>
      </c>
      <c r="J3740" s="241">
        <v>0.795031055900621</v>
      </c>
      <c r="K3740" s="241">
        <v>0.801324503311258</v>
      </c>
      <c r="L3740" s="241">
        <v>0.802919708029197</v>
      </c>
      <c r="M3740" s="241">
        <v>0.954545454545455</v>
      </c>
      <c r="N3740" s="241">
        <v>1.09278350515464</v>
      </c>
      <c r="O3740" s="252">
        <v>0.830188679245283</v>
      </c>
    </row>
    <row r="3741" spans="1:15">
      <c r="A3741" s="242" t="s">
        <v>26</v>
      </c>
      <c r="B3741" s="43" t="s">
        <v>57</v>
      </c>
      <c r="C3741" s="15">
        <v>2198</v>
      </c>
      <c r="D3741" s="243">
        <v>259</v>
      </c>
      <c r="E3741" s="243">
        <v>344</v>
      </c>
      <c r="F3741" s="243">
        <v>201</v>
      </c>
      <c r="G3741" s="243">
        <v>205</v>
      </c>
      <c r="H3741" s="243">
        <v>216</v>
      </c>
      <c r="I3741" s="243">
        <v>211</v>
      </c>
      <c r="J3741" s="243">
        <v>161</v>
      </c>
      <c r="K3741" s="243">
        <v>151</v>
      </c>
      <c r="L3741" s="243">
        <v>137</v>
      </c>
      <c r="M3741" s="243">
        <v>110</v>
      </c>
      <c r="N3741" s="243">
        <v>97</v>
      </c>
      <c r="O3741" s="253">
        <v>106</v>
      </c>
    </row>
    <row r="3742" spans="1:15">
      <c r="A3742" s="240" t="s">
        <v>26</v>
      </c>
      <c r="B3742" s="47" t="s">
        <v>59</v>
      </c>
      <c r="C3742" s="15">
        <v>1582</v>
      </c>
      <c r="D3742" s="243">
        <v>178</v>
      </c>
      <c r="E3742" s="243">
        <v>190</v>
      </c>
      <c r="F3742" s="243">
        <v>110</v>
      </c>
      <c r="G3742" s="243">
        <v>135</v>
      </c>
      <c r="H3742" s="243">
        <v>152</v>
      </c>
      <c r="I3742" s="243">
        <v>159</v>
      </c>
      <c r="J3742" s="243">
        <v>128</v>
      </c>
      <c r="K3742" s="243">
        <v>121</v>
      </c>
      <c r="L3742" s="243">
        <v>110</v>
      </c>
      <c r="M3742" s="243">
        <v>105</v>
      </c>
      <c r="N3742" s="243">
        <v>106</v>
      </c>
      <c r="O3742" s="253">
        <v>88</v>
      </c>
    </row>
    <row r="3743" spans="1:15">
      <c r="A3743" s="242" t="s">
        <v>26</v>
      </c>
      <c r="B3743" s="43" t="s">
        <v>4</v>
      </c>
      <c r="C3743" s="15">
        <v>13</v>
      </c>
      <c r="D3743" s="244">
        <v>1</v>
      </c>
      <c r="E3743" s="244">
        <v>0</v>
      </c>
      <c r="F3743" s="244">
        <v>1</v>
      </c>
      <c r="G3743" s="244">
        <v>2</v>
      </c>
      <c r="H3743" s="244">
        <v>1</v>
      </c>
      <c r="I3743" s="244">
        <v>1</v>
      </c>
      <c r="J3743" s="244">
        <v>1</v>
      </c>
      <c r="K3743" s="244">
        <v>0</v>
      </c>
      <c r="L3743" s="244">
        <v>3</v>
      </c>
      <c r="M3743" s="244">
        <v>0</v>
      </c>
      <c r="N3743" s="244">
        <v>2</v>
      </c>
      <c r="O3743" s="254">
        <v>1</v>
      </c>
    </row>
    <row r="3744" spans="1:15">
      <c r="A3744" s="240" t="s">
        <v>26</v>
      </c>
      <c r="B3744" s="47" t="s">
        <v>5</v>
      </c>
      <c r="C3744" s="12">
        <v>0.00821744627054362</v>
      </c>
      <c r="D3744" s="241">
        <v>0.00561797752808989</v>
      </c>
      <c r="E3744" s="241">
        <v>0</v>
      </c>
      <c r="F3744" s="241">
        <v>0.00909090909090909</v>
      </c>
      <c r="G3744" s="241">
        <v>0.0148148148148148</v>
      </c>
      <c r="H3744" s="241">
        <v>0.00657894736842105</v>
      </c>
      <c r="I3744" s="241">
        <v>0.00628930817610063</v>
      </c>
      <c r="J3744" s="241">
        <v>0.0078125</v>
      </c>
      <c r="K3744" s="241">
        <v>0</v>
      </c>
      <c r="L3744" s="241">
        <v>0.0272727272727273</v>
      </c>
      <c r="M3744" s="241">
        <v>0</v>
      </c>
      <c r="N3744" s="241">
        <v>0.0188679245283019</v>
      </c>
      <c r="O3744" s="252">
        <v>0.0113636363636364</v>
      </c>
    </row>
    <row r="3745" spans="1:15">
      <c r="A3745" s="242" t="s">
        <v>26</v>
      </c>
      <c r="B3745" s="43" t="s">
        <v>6</v>
      </c>
      <c r="C3745" s="15">
        <v>10</v>
      </c>
      <c r="D3745" s="244">
        <v>0</v>
      </c>
      <c r="E3745" s="244">
        <v>1</v>
      </c>
      <c r="F3745" s="244">
        <v>2</v>
      </c>
      <c r="G3745" s="244">
        <v>3</v>
      </c>
      <c r="H3745" s="244">
        <v>0</v>
      </c>
      <c r="I3745" s="244">
        <v>0</v>
      </c>
      <c r="J3745" s="244">
        <v>0</v>
      </c>
      <c r="K3745" s="244">
        <v>2</v>
      </c>
      <c r="L3745" s="244">
        <v>1</v>
      </c>
      <c r="M3745" s="244">
        <v>0</v>
      </c>
      <c r="N3745" s="244">
        <v>0</v>
      </c>
      <c r="O3745" s="254">
        <v>1</v>
      </c>
    </row>
    <row r="3746" ht="14.25" spans="1:15">
      <c r="A3746" s="245" t="s">
        <v>26</v>
      </c>
      <c r="B3746" s="52" t="s">
        <v>64</v>
      </c>
      <c r="C3746" s="19">
        <v>0.769230769230769</v>
      </c>
      <c r="D3746" s="19">
        <v>0</v>
      </c>
      <c r="E3746" s="19" t="e">
        <v>#DIV/0!</v>
      </c>
      <c r="F3746" s="19">
        <v>2</v>
      </c>
      <c r="G3746" s="19">
        <v>1.5</v>
      </c>
      <c r="H3746" s="19">
        <v>0</v>
      </c>
      <c r="I3746" s="19">
        <v>0</v>
      </c>
      <c r="J3746" s="19">
        <v>0</v>
      </c>
      <c r="K3746" s="19" t="e">
        <v>#DIV/0!</v>
      </c>
      <c r="L3746" s="19">
        <v>0.333333333333333</v>
      </c>
      <c r="M3746" s="19" t="e">
        <v>#DIV/0!</v>
      </c>
      <c r="N3746" s="19">
        <v>0</v>
      </c>
      <c r="O3746" s="19">
        <v>1</v>
      </c>
    </row>
    <row r="3747" spans="1:15">
      <c r="A3747" s="240" t="s">
        <v>71</v>
      </c>
      <c r="B3747" s="47" t="s">
        <v>55</v>
      </c>
      <c r="C3747" s="12">
        <v>3.33333333333333</v>
      </c>
      <c r="D3747" s="241" t="e">
        <v>#DIV/0!</v>
      </c>
      <c r="E3747" s="241" t="e">
        <v>#DIV/0!</v>
      </c>
      <c r="F3747" s="241">
        <v>0.333333333333333</v>
      </c>
      <c r="G3747" s="241" t="e">
        <v>#DIV/0!</v>
      </c>
      <c r="H3747" s="241" t="e">
        <v>#DIV/0!</v>
      </c>
      <c r="I3747" s="241" t="e">
        <v>#DIV/0!</v>
      </c>
      <c r="J3747" s="241" t="e">
        <v>#DIV/0!</v>
      </c>
      <c r="K3747" s="241" t="e">
        <v>#DIV/0!</v>
      </c>
      <c r="L3747" s="241" t="e">
        <v>#DIV/0!</v>
      </c>
      <c r="M3747" s="241" t="e">
        <v>#DIV/0!</v>
      </c>
      <c r="N3747" s="241" t="e">
        <v>#DIV/0!</v>
      </c>
      <c r="O3747" s="252" t="e">
        <v>#DIV/0!</v>
      </c>
    </row>
    <row r="3748" spans="1:15">
      <c r="A3748" s="242" t="s">
        <v>71</v>
      </c>
      <c r="B3748" s="43" t="s">
        <v>57</v>
      </c>
      <c r="C3748" s="15">
        <v>3</v>
      </c>
      <c r="D3748" s="243">
        <v>0</v>
      </c>
      <c r="E3748" s="243">
        <v>0</v>
      </c>
      <c r="F3748" s="243">
        <v>3</v>
      </c>
      <c r="G3748" s="243">
        <v>0</v>
      </c>
      <c r="H3748" s="243">
        <v>0</v>
      </c>
      <c r="I3748" s="243">
        <v>0</v>
      </c>
      <c r="J3748" s="243">
        <v>0</v>
      </c>
      <c r="K3748" s="243">
        <v>0</v>
      </c>
      <c r="L3748" s="243">
        <v>0</v>
      </c>
      <c r="M3748" s="243">
        <v>0</v>
      </c>
      <c r="N3748" s="243">
        <v>0</v>
      </c>
      <c r="O3748" s="253">
        <v>0</v>
      </c>
    </row>
    <row r="3749" spans="1:15">
      <c r="A3749" s="240" t="s">
        <v>71</v>
      </c>
      <c r="B3749" s="47" t="s">
        <v>59</v>
      </c>
      <c r="C3749" s="15">
        <v>10</v>
      </c>
      <c r="D3749" s="243">
        <v>2</v>
      </c>
      <c r="E3749" s="243">
        <v>1</v>
      </c>
      <c r="F3749" s="243">
        <v>1</v>
      </c>
      <c r="G3749" s="243">
        <v>3</v>
      </c>
      <c r="H3749" s="243">
        <v>0</v>
      </c>
      <c r="I3749" s="243">
        <v>2</v>
      </c>
      <c r="J3749" s="243">
        <v>0</v>
      </c>
      <c r="K3749" s="243">
        <v>0</v>
      </c>
      <c r="L3749" s="243">
        <v>0</v>
      </c>
      <c r="M3749" s="243">
        <v>1</v>
      </c>
      <c r="N3749" s="243">
        <v>0</v>
      </c>
      <c r="O3749" s="253">
        <v>0</v>
      </c>
    </row>
    <row r="3750" spans="1:15">
      <c r="A3750" s="242" t="s">
        <v>71</v>
      </c>
      <c r="B3750" s="43" t="s">
        <v>4</v>
      </c>
      <c r="C3750" s="15">
        <v>5</v>
      </c>
      <c r="D3750" s="244">
        <v>1</v>
      </c>
      <c r="E3750" s="244">
        <v>0</v>
      </c>
      <c r="F3750" s="244">
        <v>0</v>
      </c>
      <c r="G3750" s="244">
        <v>0</v>
      </c>
      <c r="H3750" s="244">
        <v>1</v>
      </c>
      <c r="I3750" s="244">
        <v>1</v>
      </c>
      <c r="J3750" s="244">
        <v>0</v>
      </c>
      <c r="K3750" s="244">
        <v>0</v>
      </c>
      <c r="L3750" s="244">
        <v>1</v>
      </c>
      <c r="M3750" s="244">
        <v>1</v>
      </c>
      <c r="N3750" s="244">
        <v>0</v>
      </c>
      <c r="O3750" s="254">
        <v>0</v>
      </c>
    </row>
    <row r="3751" spans="1:15">
      <c r="A3751" s="240" t="s">
        <v>71</v>
      </c>
      <c r="B3751" s="47" t="s">
        <v>5</v>
      </c>
      <c r="C3751" s="241">
        <v>0.5</v>
      </c>
      <c r="D3751" s="241">
        <v>0.5</v>
      </c>
      <c r="E3751" s="241">
        <v>0</v>
      </c>
      <c r="F3751" s="241">
        <v>0</v>
      </c>
      <c r="G3751" s="241">
        <v>0</v>
      </c>
      <c r="H3751" s="241">
        <v>0</v>
      </c>
      <c r="I3751" s="241">
        <v>0.5</v>
      </c>
      <c r="J3751" s="241">
        <v>0</v>
      </c>
      <c r="K3751" s="241">
        <v>0</v>
      </c>
      <c r="L3751" s="241">
        <v>0</v>
      </c>
      <c r="M3751" s="241">
        <v>1</v>
      </c>
      <c r="N3751" s="241">
        <v>0</v>
      </c>
      <c r="O3751" s="252">
        <v>0</v>
      </c>
    </row>
    <row r="3752" spans="1:15">
      <c r="A3752" s="242" t="s">
        <v>71</v>
      </c>
      <c r="B3752" s="43" t="s">
        <v>6</v>
      </c>
      <c r="C3752" s="15">
        <v>5</v>
      </c>
      <c r="D3752" s="244">
        <v>1</v>
      </c>
      <c r="E3752" s="244">
        <v>0</v>
      </c>
      <c r="F3752" s="244">
        <v>1</v>
      </c>
      <c r="G3752" s="244">
        <v>0</v>
      </c>
      <c r="H3752" s="244">
        <v>1</v>
      </c>
      <c r="I3752" s="244">
        <v>0</v>
      </c>
      <c r="J3752" s="244">
        <v>2</v>
      </c>
      <c r="K3752" s="244">
        <v>0</v>
      </c>
      <c r="L3752" s="244">
        <v>0</v>
      </c>
      <c r="M3752" s="244">
        <v>0</v>
      </c>
      <c r="N3752" s="244">
        <v>0</v>
      </c>
      <c r="O3752" s="254">
        <v>0</v>
      </c>
    </row>
    <row r="3753" ht="14.25" spans="1:15">
      <c r="A3753" s="245" t="s">
        <v>71</v>
      </c>
      <c r="B3753" s="52" t="s">
        <v>64</v>
      </c>
      <c r="C3753" s="19">
        <v>1</v>
      </c>
      <c r="D3753" s="19">
        <v>1</v>
      </c>
      <c r="E3753" s="19" t="e">
        <v>#DIV/0!</v>
      </c>
      <c r="F3753" s="19" t="e">
        <v>#DIV/0!</v>
      </c>
      <c r="G3753" s="19" t="e">
        <v>#DIV/0!</v>
      </c>
      <c r="H3753" s="19">
        <v>1</v>
      </c>
      <c r="I3753" s="19">
        <v>0</v>
      </c>
      <c r="J3753" s="19" t="e">
        <v>#DIV/0!</v>
      </c>
      <c r="K3753" s="19" t="e">
        <v>#DIV/0!</v>
      </c>
      <c r="L3753" s="19">
        <v>0</v>
      </c>
      <c r="M3753" s="19">
        <v>0</v>
      </c>
      <c r="N3753" s="19" t="e">
        <v>#DIV/0!</v>
      </c>
      <c r="O3753" s="19" t="e">
        <v>#DIV/0!</v>
      </c>
    </row>
    <row r="3754" spans="1:15">
      <c r="A3754" s="240" t="s">
        <v>72</v>
      </c>
      <c r="B3754" s="47" t="s">
        <v>55</v>
      </c>
      <c r="C3754" s="12">
        <v>0.169403283940729</v>
      </c>
      <c r="D3754" s="241">
        <v>0.188034188034188</v>
      </c>
      <c r="E3754" s="241">
        <v>0.241379310344828</v>
      </c>
      <c r="F3754" s="241">
        <v>0.161702127659574</v>
      </c>
      <c r="G3754" s="241">
        <v>0.187683284457478</v>
      </c>
      <c r="H3754" s="241">
        <v>0.217647058823529</v>
      </c>
      <c r="I3754" s="241">
        <v>0.17219589257504</v>
      </c>
      <c r="J3754" s="241">
        <v>0.151111111111111</v>
      </c>
      <c r="K3754" s="241">
        <v>0.155251141552511</v>
      </c>
      <c r="L3754" s="241">
        <v>0.151197604790419</v>
      </c>
      <c r="M3754" s="241">
        <v>0.173716012084592</v>
      </c>
      <c r="N3754" s="241">
        <v>0.142387732749179</v>
      </c>
      <c r="O3754" s="252">
        <v>0.154368932038835</v>
      </c>
    </row>
    <row r="3755" spans="1:15">
      <c r="A3755" s="242" t="s">
        <v>72</v>
      </c>
      <c r="B3755" s="43" t="s">
        <v>57</v>
      </c>
      <c r="C3755" s="15">
        <v>7491</v>
      </c>
      <c r="D3755" s="243">
        <v>819</v>
      </c>
      <c r="E3755" s="243">
        <v>348</v>
      </c>
      <c r="F3755" s="243">
        <v>235</v>
      </c>
      <c r="G3755" s="243">
        <v>341</v>
      </c>
      <c r="H3755" s="243">
        <v>510</v>
      </c>
      <c r="I3755" s="243">
        <v>633</v>
      </c>
      <c r="J3755" s="243">
        <v>675</v>
      </c>
      <c r="K3755" s="243">
        <v>657</v>
      </c>
      <c r="L3755" s="243">
        <v>668</v>
      </c>
      <c r="M3755" s="243">
        <v>662</v>
      </c>
      <c r="N3755" s="243">
        <v>913</v>
      </c>
      <c r="O3755" s="253">
        <v>1030</v>
      </c>
    </row>
    <row r="3756" spans="1:15">
      <c r="A3756" s="240" t="s">
        <v>72</v>
      </c>
      <c r="B3756" s="47" t="s">
        <v>59</v>
      </c>
      <c r="C3756" s="15">
        <v>1269</v>
      </c>
      <c r="D3756" s="243">
        <v>154</v>
      </c>
      <c r="E3756" s="243">
        <v>84</v>
      </c>
      <c r="F3756" s="243">
        <v>38</v>
      </c>
      <c r="G3756" s="243">
        <v>64</v>
      </c>
      <c r="H3756" s="243">
        <v>111</v>
      </c>
      <c r="I3756" s="243">
        <v>109</v>
      </c>
      <c r="J3756" s="243">
        <v>102</v>
      </c>
      <c r="K3756" s="243">
        <v>102</v>
      </c>
      <c r="L3756" s="243">
        <v>101</v>
      </c>
      <c r="M3756" s="243">
        <v>115</v>
      </c>
      <c r="N3756" s="243">
        <v>130</v>
      </c>
      <c r="O3756" s="253">
        <v>159</v>
      </c>
    </row>
    <row r="3757" spans="1:15">
      <c r="A3757" s="242" t="s">
        <v>72</v>
      </c>
      <c r="B3757" s="43" t="s">
        <v>4</v>
      </c>
      <c r="C3757" s="15">
        <v>143</v>
      </c>
      <c r="D3757" s="244">
        <v>20</v>
      </c>
      <c r="E3757" s="244">
        <v>8</v>
      </c>
      <c r="F3757" s="244">
        <v>5</v>
      </c>
      <c r="G3757" s="244">
        <v>7</v>
      </c>
      <c r="H3757" s="244">
        <v>15</v>
      </c>
      <c r="I3757" s="244">
        <v>20</v>
      </c>
      <c r="J3757" s="244">
        <v>8</v>
      </c>
      <c r="K3757" s="244">
        <v>8</v>
      </c>
      <c r="L3757" s="244">
        <v>8</v>
      </c>
      <c r="M3757" s="244">
        <v>17</v>
      </c>
      <c r="N3757" s="244">
        <v>7</v>
      </c>
      <c r="O3757" s="254">
        <v>20</v>
      </c>
    </row>
    <row r="3758" spans="1:15">
      <c r="A3758" s="240" t="s">
        <v>72</v>
      </c>
      <c r="B3758" s="47" t="s">
        <v>5</v>
      </c>
      <c r="C3758" s="12">
        <v>0.112687155240347</v>
      </c>
      <c r="D3758" s="241">
        <v>0.12987012987013</v>
      </c>
      <c r="E3758" s="241">
        <v>0.0952380952380952</v>
      </c>
      <c r="F3758" s="241">
        <v>0.131578947368421</v>
      </c>
      <c r="G3758" s="241">
        <v>0.109375</v>
      </c>
      <c r="H3758" s="241">
        <v>0.135135135135135</v>
      </c>
      <c r="I3758" s="241">
        <v>0.18348623853211</v>
      </c>
      <c r="J3758" s="241">
        <v>0.0784313725490196</v>
      </c>
      <c r="K3758" s="241">
        <v>0.0784313725490196</v>
      </c>
      <c r="L3758" s="241">
        <v>0.0792079207920792</v>
      </c>
      <c r="M3758" s="241">
        <v>0.147826086956522</v>
      </c>
      <c r="N3758" s="241">
        <v>0.0538461538461538</v>
      </c>
      <c r="O3758" s="252">
        <v>0.125786163522013</v>
      </c>
    </row>
    <row r="3759" spans="1:15">
      <c r="A3759" s="242" t="s">
        <v>72</v>
      </c>
      <c r="B3759" s="43" t="s">
        <v>6</v>
      </c>
      <c r="C3759" s="15">
        <v>43</v>
      </c>
      <c r="D3759" s="244">
        <v>6</v>
      </c>
      <c r="E3759" s="244">
        <v>0</v>
      </c>
      <c r="F3759" s="244">
        <v>2</v>
      </c>
      <c r="G3759" s="244">
        <v>2</v>
      </c>
      <c r="H3759" s="244">
        <v>5</v>
      </c>
      <c r="I3759" s="244">
        <v>7</v>
      </c>
      <c r="J3759" s="244">
        <v>7</v>
      </c>
      <c r="K3759" s="244">
        <v>3</v>
      </c>
      <c r="L3759" s="244">
        <v>1</v>
      </c>
      <c r="M3759" s="244">
        <v>4</v>
      </c>
      <c r="N3759" s="244">
        <v>2</v>
      </c>
      <c r="O3759" s="254">
        <v>4</v>
      </c>
    </row>
    <row r="3760" ht="14.25" spans="1:15">
      <c r="A3760" s="245" t="s">
        <v>72</v>
      </c>
      <c r="B3760" s="52" t="s">
        <v>64</v>
      </c>
      <c r="C3760" s="19">
        <v>0.300699300699301</v>
      </c>
      <c r="D3760" s="19">
        <v>0.3</v>
      </c>
      <c r="E3760" s="19">
        <v>0</v>
      </c>
      <c r="F3760" s="19">
        <v>0.4</v>
      </c>
      <c r="G3760" s="19">
        <v>0.285714285714286</v>
      </c>
      <c r="H3760" s="19">
        <v>0.333333333333333</v>
      </c>
      <c r="I3760" s="19">
        <v>0.35</v>
      </c>
      <c r="J3760" s="19">
        <v>0.875</v>
      </c>
      <c r="K3760" s="19">
        <v>0.375</v>
      </c>
      <c r="L3760" s="19">
        <v>0.125</v>
      </c>
      <c r="M3760" s="19">
        <v>0.235294117647059</v>
      </c>
      <c r="N3760" s="19">
        <v>0.285714285714286</v>
      </c>
      <c r="O3760" s="19">
        <v>0.2</v>
      </c>
    </row>
    <row r="3761" ht="14.25" spans="1:15">
      <c r="A3761" s="259">
        <v>45077</v>
      </c>
      <c r="B3761" s="259"/>
      <c r="C3761" s="259"/>
      <c r="D3761" s="259"/>
      <c r="E3761" s="259"/>
      <c r="F3761" s="259"/>
      <c r="G3761" s="259"/>
      <c r="H3761" s="259"/>
      <c r="I3761" s="259"/>
      <c r="J3761" s="259"/>
      <c r="K3761" s="259"/>
      <c r="L3761" s="259"/>
      <c r="M3761" s="259"/>
      <c r="N3761" s="259"/>
      <c r="O3761" s="259"/>
    </row>
    <row r="3762" spans="1:15">
      <c r="A3762" s="56" t="s">
        <v>1</v>
      </c>
      <c r="B3762" s="238"/>
      <c r="C3762" s="8" t="s">
        <v>42</v>
      </c>
      <c r="D3762" s="239" t="s">
        <v>43</v>
      </c>
      <c r="E3762" s="239" t="s">
        <v>44</v>
      </c>
      <c r="F3762" s="239" t="s">
        <v>45</v>
      </c>
      <c r="G3762" s="239" t="s">
        <v>46</v>
      </c>
      <c r="H3762" s="239" t="s">
        <v>47</v>
      </c>
      <c r="I3762" s="239" t="s">
        <v>48</v>
      </c>
      <c r="J3762" s="239" t="s">
        <v>49</v>
      </c>
      <c r="K3762" s="239" t="s">
        <v>50</v>
      </c>
      <c r="L3762" s="239" t="s">
        <v>51</v>
      </c>
      <c r="M3762" s="239" t="s">
        <v>52</v>
      </c>
      <c r="N3762" s="239" t="s">
        <v>53</v>
      </c>
      <c r="O3762" s="251" t="s">
        <v>54</v>
      </c>
    </row>
    <row r="3763" spans="1:15">
      <c r="A3763" s="240" t="s">
        <v>22</v>
      </c>
      <c r="B3763" s="47" t="s">
        <v>55</v>
      </c>
      <c r="C3763" s="12">
        <v>0.406321184510251</v>
      </c>
      <c r="D3763" s="241">
        <v>0.381081081081081</v>
      </c>
      <c r="E3763" s="241">
        <v>0.413953488372093</v>
      </c>
      <c r="F3763" s="241">
        <v>0.372093023255814</v>
      </c>
      <c r="G3763" s="241">
        <v>0.382222222222222</v>
      </c>
      <c r="H3763" s="241">
        <v>0.489082969432314</v>
      </c>
      <c r="I3763" s="241">
        <v>0.384615384615385</v>
      </c>
      <c r="J3763" s="241">
        <v>0.366071428571429</v>
      </c>
      <c r="K3763" s="241">
        <v>0.45</v>
      </c>
      <c r="L3763" s="241">
        <v>0.429487179487179</v>
      </c>
      <c r="M3763" s="241">
        <v>0.382252559726962</v>
      </c>
      <c r="N3763" s="241">
        <v>0.407185628742515</v>
      </c>
      <c r="O3763" s="252">
        <v>0.410550458715596</v>
      </c>
    </row>
    <row r="3764" spans="1:15">
      <c r="A3764" s="242" t="s">
        <v>22</v>
      </c>
      <c r="B3764" s="43" t="s">
        <v>57</v>
      </c>
      <c r="C3764" s="15">
        <v>3512</v>
      </c>
      <c r="D3764" s="243">
        <v>370</v>
      </c>
      <c r="E3764" s="243">
        <v>215</v>
      </c>
      <c r="F3764" s="243">
        <v>129</v>
      </c>
      <c r="G3764" s="243">
        <v>225</v>
      </c>
      <c r="H3764" s="243">
        <v>229</v>
      </c>
      <c r="I3764" s="243">
        <v>273</v>
      </c>
      <c r="J3764" s="243">
        <v>336</v>
      </c>
      <c r="K3764" s="243">
        <v>360</v>
      </c>
      <c r="L3764" s="243">
        <v>312</v>
      </c>
      <c r="M3764" s="243">
        <v>293</v>
      </c>
      <c r="N3764" s="243">
        <v>334</v>
      </c>
      <c r="O3764" s="253">
        <v>436</v>
      </c>
    </row>
    <row r="3765" spans="1:15">
      <c r="A3765" s="240" t="s">
        <v>22</v>
      </c>
      <c r="B3765" s="47" t="s">
        <v>59</v>
      </c>
      <c r="C3765" s="15">
        <v>1427</v>
      </c>
      <c r="D3765" s="243">
        <v>141</v>
      </c>
      <c r="E3765" s="243">
        <v>89</v>
      </c>
      <c r="F3765" s="243">
        <v>48</v>
      </c>
      <c r="G3765" s="243">
        <v>86</v>
      </c>
      <c r="H3765" s="243">
        <v>112</v>
      </c>
      <c r="I3765" s="243">
        <v>105</v>
      </c>
      <c r="J3765" s="243">
        <v>123</v>
      </c>
      <c r="K3765" s="243">
        <v>162</v>
      </c>
      <c r="L3765" s="243">
        <v>134</v>
      </c>
      <c r="M3765" s="243">
        <v>112</v>
      </c>
      <c r="N3765" s="243">
        <v>136</v>
      </c>
      <c r="O3765" s="253">
        <v>179</v>
      </c>
    </row>
    <row r="3766" spans="1:15">
      <c r="A3766" s="242" t="s">
        <v>22</v>
      </c>
      <c r="B3766" s="43" t="s">
        <v>4</v>
      </c>
      <c r="C3766" s="15">
        <v>100</v>
      </c>
      <c r="D3766" s="244">
        <v>8</v>
      </c>
      <c r="E3766" s="244">
        <v>13</v>
      </c>
      <c r="F3766" s="244">
        <v>3</v>
      </c>
      <c r="G3766" s="244">
        <v>2</v>
      </c>
      <c r="H3766" s="244">
        <v>3</v>
      </c>
      <c r="I3766" s="244">
        <v>6</v>
      </c>
      <c r="J3766" s="244">
        <v>11</v>
      </c>
      <c r="K3766" s="244">
        <v>8</v>
      </c>
      <c r="L3766" s="244">
        <v>12</v>
      </c>
      <c r="M3766" s="244">
        <v>8</v>
      </c>
      <c r="N3766" s="244">
        <v>10</v>
      </c>
      <c r="O3766" s="254">
        <v>16</v>
      </c>
    </row>
    <row r="3767" spans="1:15">
      <c r="A3767" s="240" t="s">
        <v>22</v>
      </c>
      <c r="B3767" s="47" t="s">
        <v>5</v>
      </c>
      <c r="C3767" s="12">
        <v>0.0700770847932726</v>
      </c>
      <c r="D3767" s="241">
        <v>0.0567375886524823</v>
      </c>
      <c r="E3767" s="241">
        <v>0.146067415730337</v>
      </c>
      <c r="F3767" s="241">
        <v>0.0625</v>
      </c>
      <c r="G3767" s="241">
        <v>0.0232558139534884</v>
      </c>
      <c r="H3767" s="241">
        <v>0.0267857142857143</v>
      </c>
      <c r="I3767" s="241">
        <v>0.0571428571428571</v>
      </c>
      <c r="J3767" s="241">
        <v>0.0894308943089431</v>
      </c>
      <c r="K3767" s="241">
        <v>0.0493827160493827</v>
      </c>
      <c r="L3767" s="241">
        <v>0.0895522388059701</v>
      </c>
      <c r="M3767" s="241">
        <v>0.0714285714285714</v>
      </c>
      <c r="N3767" s="241">
        <v>0.0735294117647059</v>
      </c>
      <c r="O3767" s="252">
        <v>0.0893854748603352</v>
      </c>
    </row>
    <row r="3768" spans="1:15">
      <c r="A3768" s="242" t="s">
        <v>22</v>
      </c>
      <c r="B3768" s="43" t="s">
        <v>6</v>
      </c>
      <c r="C3768" s="15">
        <v>32</v>
      </c>
      <c r="D3768" s="244">
        <v>4</v>
      </c>
      <c r="E3768" s="244">
        <v>2</v>
      </c>
      <c r="F3768" s="244">
        <v>2</v>
      </c>
      <c r="G3768" s="244">
        <v>3</v>
      </c>
      <c r="H3768" s="244">
        <v>1</v>
      </c>
      <c r="I3768" s="244">
        <v>6</v>
      </c>
      <c r="J3768" s="244">
        <v>0</v>
      </c>
      <c r="K3768" s="244">
        <v>3</v>
      </c>
      <c r="L3768" s="244">
        <v>2</v>
      </c>
      <c r="M3768" s="244">
        <v>2</v>
      </c>
      <c r="N3768" s="244">
        <v>5</v>
      </c>
      <c r="O3768" s="254">
        <v>2</v>
      </c>
    </row>
    <row r="3769" ht="14.25" spans="1:15">
      <c r="A3769" s="245" t="s">
        <v>22</v>
      </c>
      <c r="B3769" s="52" t="s">
        <v>64</v>
      </c>
      <c r="C3769" s="19">
        <v>0.32</v>
      </c>
      <c r="D3769" s="246">
        <v>0.5</v>
      </c>
      <c r="E3769" s="246">
        <v>0.153846153846154</v>
      </c>
      <c r="F3769" s="246">
        <v>0.666666666666667</v>
      </c>
      <c r="G3769" s="246">
        <v>1.5</v>
      </c>
      <c r="H3769" s="246">
        <v>0.333333333333333</v>
      </c>
      <c r="I3769" s="246">
        <v>1</v>
      </c>
      <c r="J3769" s="246">
        <v>0</v>
      </c>
      <c r="K3769" s="246">
        <v>0.375</v>
      </c>
      <c r="L3769" s="246">
        <v>0.166666666666667</v>
      </c>
      <c r="M3769" s="246">
        <v>0.25</v>
      </c>
      <c r="N3769" s="246">
        <v>0.5</v>
      </c>
      <c r="O3769" s="255">
        <v>0.125</v>
      </c>
    </row>
    <row r="3770" spans="1:15">
      <c r="A3770" s="247" t="s">
        <v>66</v>
      </c>
      <c r="B3770" s="248" t="s">
        <v>55</v>
      </c>
      <c r="C3770" s="12">
        <v>0.104588394062078</v>
      </c>
      <c r="D3770" s="249">
        <v>0.0875</v>
      </c>
      <c r="E3770" s="249">
        <v>0.0324675324675325</v>
      </c>
      <c r="F3770" s="249">
        <v>0.0588235294117647</v>
      </c>
      <c r="G3770" s="249">
        <v>0.0645161290322581</v>
      </c>
      <c r="H3770" s="249">
        <v>0.122950819672131</v>
      </c>
      <c r="I3770" s="249">
        <v>0.15748031496063</v>
      </c>
      <c r="J3770" s="249">
        <v>0.106870229007634</v>
      </c>
      <c r="K3770" s="249">
        <v>0.0847457627118644</v>
      </c>
      <c r="L3770" s="249">
        <v>0.154639175257732</v>
      </c>
      <c r="M3770" s="249">
        <v>0.107843137254902</v>
      </c>
      <c r="N3770" s="249">
        <v>0.103092783505155</v>
      </c>
      <c r="O3770" s="256">
        <v>0.198473282442748</v>
      </c>
    </row>
    <row r="3771" spans="1:15">
      <c r="A3771" s="242" t="s">
        <v>66</v>
      </c>
      <c r="B3771" s="43" t="s">
        <v>57</v>
      </c>
      <c r="C3771" s="15">
        <v>1482</v>
      </c>
      <c r="D3771" s="243">
        <v>160</v>
      </c>
      <c r="E3771" s="243">
        <v>154</v>
      </c>
      <c r="F3771" s="243">
        <v>119</v>
      </c>
      <c r="G3771" s="243">
        <v>124</v>
      </c>
      <c r="H3771" s="243">
        <v>122</v>
      </c>
      <c r="I3771" s="243">
        <v>127</v>
      </c>
      <c r="J3771" s="243">
        <v>131</v>
      </c>
      <c r="K3771" s="243">
        <v>118</v>
      </c>
      <c r="L3771" s="243">
        <v>97</v>
      </c>
      <c r="M3771" s="243">
        <v>102</v>
      </c>
      <c r="N3771" s="243">
        <v>97</v>
      </c>
      <c r="O3771" s="253">
        <v>131</v>
      </c>
    </row>
    <row r="3772" spans="1:15">
      <c r="A3772" s="240" t="s">
        <v>66</v>
      </c>
      <c r="B3772" s="47" t="s">
        <v>59</v>
      </c>
      <c r="C3772" s="15">
        <v>155</v>
      </c>
      <c r="D3772" s="243">
        <v>14</v>
      </c>
      <c r="E3772" s="243">
        <v>5</v>
      </c>
      <c r="F3772" s="243">
        <v>7</v>
      </c>
      <c r="G3772" s="243">
        <v>8</v>
      </c>
      <c r="H3772" s="243">
        <v>15</v>
      </c>
      <c r="I3772" s="243">
        <v>20</v>
      </c>
      <c r="J3772" s="243">
        <v>14</v>
      </c>
      <c r="K3772" s="243">
        <v>10</v>
      </c>
      <c r="L3772" s="243">
        <v>15</v>
      </c>
      <c r="M3772" s="243">
        <v>11</v>
      </c>
      <c r="N3772" s="243">
        <v>10</v>
      </c>
      <c r="O3772" s="253">
        <v>26</v>
      </c>
    </row>
    <row r="3773" spans="1:15">
      <c r="A3773" s="242" t="s">
        <v>66</v>
      </c>
      <c r="B3773" s="43" t="s">
        <v>4</v>
      </c>
      <c r="C3773" s="15">
        <v>7</v>
      </c>
      <c r="D3773" s="244">
        <v>2</v>
      </c>
      <c r="E3773" s="244">
        <v>0</v>
      </c>
      <c r="F3773" s="244">
        <v>0</v>
      </c>
      <c r="G3773" s="244">
        <v>0</v>
      </c>
      <c r="H3773" s="244">
        <v>0</v>
      </c>
      <c r="I3773" s="244">
        <v>1</v>
      </c>
      <c r="J3773" s="244">
        <v>1</v>
      </c>
      <c r="K3773" s="244">
        <v>0</v>
      </c>
      <c r="L3773" s="244">
        <v>0</v>
      </c>
      <c r="M3773" s="244">
        <v>1</v>
      </c>
      <c r="N3773" s="244">
        <v>2</v>
      </c>
      <c r="O3773" s="254">
        <v>0</v>
      </c>
    </row>
    <row r="3774" spans="1:15">
      <c r="A3774" s="240" t="s">
        <v>66</v>
      </c>
      <c r="B3774" s="47" t="s">
        <v>5</v>
      </c>
      <c r="C3774" s="12">
        <v>0.0451612903225806</v>
      </c>
      <c r="D3774" s="241">
        <v>0.142857142857143</v>
      </c>
      <c r="E3774" s="241">
        <v>0</v>
      </c>
      <c r="F3774" s="241">
        <v>0</v>
      </c>
      <c r="G3774" s="241">
        <v>0</v>
      </c>
      <c r="H3774" s="241">
        <v>0</v>
      </c>
      <c r="I3774" s="241">
        <v>0.05</v>
      </c>
      <c r="J3774" s="241">
        <v>0.0714285714285714</v>
      </c>
      <c r="K3774" s="241">
        <v>0</v>
      </c>
      <c r="L3774" s="241">
        <v>0</v>
      </c>
      <c r="M3774" s="241">
        <v>0.0909090909090909</v>
      </c>
      <c r="N3774" s="241">
        <v>0.2</v>
      </c>
      <c r="O3774" s="252">
        <v>0</v>
      </c>
    </row>
    <row r="3775" spans="1:15">
      <c r="A3775" s="242" t="s">
        <v>66</v>
      </c>
      <c r="B3775" s="43" t="s">
        <v>6</v>
      </c>
      <c r="C3775" s="15">
        <v>6</v>
      </c>
      <c r="D3775" s="244">
        <v>0</v>
      </c>
      <c r="E3775" s="244">
        <v>0</v>
      </c>
      <c r="F3775" s="244">
        <v>0</v>
      </c>
      <c r="G3775" s="244">
        <v>0</v>
      </c>
      <c r="H3775" s="244">
        <v>1</v>
      </c>
      <c r="I3775" s="244">
        <v>0</v>
      </c>
      <c r="J3775" s="244">
        <v>0</v>
      </c>
      <c r="K3775" s="244">
        <v>2</v>
      </c>
      <c r="L3775" s="244">
        <v>0</v>
      </c>
      <c r="M3775" s="244">
        <v>1</v>
      </c>
      <c r="N3775" s="244">
        <v>1</v>
      </c>
      <c r="O3775" s="254">
        <v>1</v>
      </c>
    </row>
    <row r="3776" ht="14.25" spans="1:15">
      <c r="A3776" s="245" t="s">
        <v>66</v>
      </c>
      <c r="B3776" s="52" t="s">
        <v>64</v>
      </c>
      <c r="C3776" s="19">
        <v>0.857142857142857</v>
      </c>
      <c r="D3776" s="246">
        <v>0</v>
      </c>
      <c r="E3776" s="246">
        <v>0</v>
      </c>
      <c r="F3776" s="246">
        <v>0</v>
      </c>
      <c r="G3776" s="246">
        <v>0</v>
      </c>
      <c r="H3776" s="246">
        <v>0</v>
      </c>
      <c r="I3776" s="246">
        <v>0</v>
      </c>
      <c r="J3776" s="246">
        <v>0</v>
      </c>
      <c r="K3776" s="246">
        <v>0</v>
      </c>
      <c r="L3776" s="246">
        <v>0</v>
      </c>
      <c r="M3776" s="246">
        <v>1</v>
      </c>
      <c r="N3776" s="246">
        <v>0.5</v>
      </c>
      <c r="O3776" s="255">
        <v>0</v>
      </c>
    </row>
    <row r="3777" spans="1:15">
      <c r="A3777" s="240" t="s">
        <v>67</v>
      </c>
      <c r="B3777" s="47" t="s">
        <v>55</v>
      </c>
      <c r="C3777" s="12">
        <v>0.521064301552106</v>
      </c>
      <c r="D3777" s="241">
        <v>0.519230769230769</v>
      </c>
      <c r="E3777" s="241">
        <v>0.521739130434783</v>
      </c>
      <c r="F3777" s="241">
        <v>0.666666666666667</v>
      </c>
      <c r="G3777" s="241">
        <v>1.4</v>
      </c>
      <c r="H3777" s="241">
        <v>1.07692307692308</v>
      </c>
      <c r="I3777" s="241">
        <v>0.458333333333333</v>
      </c>
      <c r="J3777" s="241">
        <v>0.575</v>
      </c>
      <c r="K3777" s="241">
        <v>0.347826086956522</v>
      </c>
      <c r="L3777" s="241">
        <v>0.409090909090909</v>
      </c>
      <c r="M3777" s="241">
        <v>0.571428571428571</v>
      </c>
      <c r="N3777" s="241">
        <v>0.393939393939394</v>
      </c>
      <c r="O3777" s="252">
        <v>0.48</v>
      </c>
    </row>
    <row r="3778" spans="1:15">
      <c r="A3778" s="242" t="s">
        <v>67</v>
      </c>
      <c r="B3778" s="43" t="s">
        <v>57</v>
      </c>
      <c r="C3778" s="15">
        <v>451</v>
      </c>
      <c r="D3778" s="243">
        <v>52</v>
      </c>
      <c r="E3778" s="243">
        <v>23</v>
      </c>
      <c r="F3778" s="243">
        <v>12</v>
      </c>
      <c r="G3778" s="243">
        <v>15</v>
      </c>
      <c r="H3778" s="243">
        <v>13</v>
      </c>
      <c r="I3778" s="243">
        <v>48</v>
      </c>
      <c r="J3778" s="243">
        <v>40</v>
      </c>
      <c r="K3778" s="243">
        <v>46</v>
      </c>
      <c r="L3778" s="243">
        <v>44</v>
      </c>
      <c r="M3778" s="243">
        <v>42</v>
      </c>
      <c r="N3778" s="243">
        <v>66</v>
      </c>
      <c r="O3778" s="253">
        <v>50</v>
      </c>
    </row>
    <row r="3779" spans="1:15">
      <c r="A3779" s="240" t="s">
        <v>67</v>
      </c>
      <c r="B3779" s="47" t="s">
        <v>59</v>
      </c>
      <c r="C3779" s="15">
        <v>235</v>
      </c>
      <c r="D3779" s="243">
        <v>27</v>
      </c>
      <c r="E3779" s="243">
        <v>12</v>
      </c>
      <c r="F3779" s="243">
        <v>8</v>
      </c>
      <c r="G3779" s="243">
        <v>21</v>
      </c>
      <c r="H3779" s="243">
        <v>14</v>
      </c>
      <c r="I3779" s="243">
        <v>22</v>
      </c>
      <c r="J3779" s="243">
        <v>23</v>
      </c>
      <c r="K3779" s="243">
        <v>16</v>
      </c>
      <c r="L3779" s="243">
        <v>18</v>
      </c>
      <c r="M3779" s="243">
        <v>24</v>
      </c>
      <c r="N3779" s="243">
        <v>26</v>
      </c>
      <c r="O3779" s="253">
        <v>24</v>
      </c>
    </row>
    <row r="3780" spans="1:15">
      <c r="A3780" s="242" t="s">
        <v>67</v>
      </c>
      <c r="B3780" s="43" t="s">
        <v>4</v>
      </c>
      <c r="C3780" s="15">
        <v>7</v>
      </c>
      <c r="D3780" s="244">
        <v>1</v>
      </c>
      <c r="E3780" s="244">
        <v>1</v>
      </c>
      <c r="F3780" s="244">
        <v>0</v>
      </c>
      <c r="G3780" s="244">
        <v>0</v>
      </c>
      <c r="H3780" s="244">
        <v>1</v>
      </c>
      <c r="I3780" s="244">
        <v>1</v>
      </c>
      <c r="J3780" s="244">
        <v>0</v>
      </c>
      <c r="K3780" s="244">
        <v>0</v>
      </c>
      <c r="L3780" s="244">
        <v>1</v>
      </c>
      <c r="M3780" s="244">
        <v>1</v>
      </c>
      <c r="N3780" s="244">
        <v>1</v>
      </c>
      <c r="O3780" s="254">
        <v>0</v>
      </c>
    </row>
    <row r="3781" spans="1:15">
      <c r="A3781" s="240" t="s">
        <v>67</v>
      </c>
      <c r="B3781" s="47" t="s">
        <v>5</v>
      </c>
      <c r="C3781" s="12">
        <v>0.0297872340425532</v>
      </c>
      <c r="D3781" s="241">
        <v>0.037037037037037</v>
      </c>
      <c r="E3781" s="241">
        <v>0.0833333333333333</v>
      </c>
      <c r="F3781" s="241">
        <v>0</v>
      </c>
      <c r="G3781" s="241">
        <v>0</v>
      </c>
      <c r="H3781" s="241">
        <v>0.0714285714285714</v>
      </c>
      <c r="I3781" s="241">
        <v>0.0454545454545455</v>
      </c>
      <c r="J3781" s="241">
        <v>0</v>
      </c>
      <c r="K3781" s="241">
        <v>0</v>
      </c>
      <c r="L3781" s="241">
        <v>0.0555555555555556</v>
      </c>
      <c r="M3781" s="241">
        <v>0.0416666666666667</v>
      </c>
      <c r="N3781" s="241">
        <v>0.0384615384615385</v>
      </c>
      <c r="O3781" s="252">
        <v>0</v>
      </c>
    </row>
    <row r="3782" spans="1:15">
      <c r="A3782" s="242" t="s">
        <v>67</v>
      </c>
      <c r="B3782" s="43" t="s">
        <v>6</v>
      </c>
      <c r="C3782" s="15">
        <v>2</v>
      </c>
      <c r="D3782" s="244">
        <v>0</v>
      </c>
      <c r="E3782" s="244">
        <v>0</v>
      </c>
      <c r="F3782" s="244">
        <v>0</v>
      </c>
      <c r="G3782" s="244">
        <v>0</v>
      </c>
      <c r="H3782" s="244">
        <v>1</v>
      </c>
      <c r="I3782" s="244">
        <v>0</v>
      </c>
      <c r="J3782" s="244">
        <v>0</v>
      </c>
      <c r="K3782" s="244">
        <v>0</v>
      </c>
      <c r="L3782" s="244">
        <v>0</v>
      </c>
      <c r="M3782" s="244">
        <v>0</v>
      </c>
      <c r="N3782" s="244">
        <v>1</v>
      </c>
      <c r="O3782" s="254">
        <v>0</v>
      </c>
    </row>
    <row r="3783" ht="14.25" spans="1:15">
      <c r="A3783" s="245" t="s">
        <v>67</v>
      </c>
      <c r="B3783" s="52" t="s">
        <v>64</v>
      </c>
      <c r="C3783" s="19">
        <v>0.285714285714286</v>
      </c>
      <c r="D3783" s="246">
        <v>0</v>
      </c>
      <c r="E3783" s="246">
        <v>0</v>
      </c>
      <c r="F3783" s="246">
        <v>0</v>
      </c>
      <c r="G3783" s="246">
        <v>0</v>
      </c>
      <c r="H3783" s="246">
        <v>1</v>
      </c>
      <c r="I3783" s="246">
        <v>0</v>
      </c>
      <c r="J3783" s="246">
        <v>0</v>
      </c>
      <c r="K3783" s="246">
        <v>0</v>
      </c>
      <c r="L3783" s="246">
        <v>0</v>
      </c>
      <c r="M3783" s="246">
        <v>0</v>
      </c>
      <c r="N3783" s="246">
        <v>1</v>
      </c>
      <c r="O3783" s="255">
        <v>0</v>
      </c>
    </row>
    <row r="3784" spans="1:15">
      <c r="A3784" s="240" t="s">
        <v>68</v>
      </c>
      <c r="B3784" s="47" t="s">
        <v>55</v>
      </c>
      <c r="C3784" s="12">
        <v>0.127057830308147</v>
      </c>
      <c r="D3784" s="241">
        <v>0.181818181818182</v>
      </c>
      <c r="E3784" s="241">
        <v>0.181159420289855</v>
      </c>
      <c r="F3784" s="241">
        <v>0.0898876404494382</v>
      </c>
      <c r="G3784" s="241">
        <v>0.0916844349680171</v>
      </c>
      <c r="H3784" s="241">
        <v>0.14404432132964</v>
      </c>
      <c r="I3784" s="241">
        <v>0.125290023201856</v>
      </c>
      <c r="J3784" s="241">
        <v>0.133333333333333</v>
      </c>
      <c r="K3784" s="241">
        <v>0.107723577235772</v>
      </c>
      <c r="L3784" s="241">
        <v>0.118712273641851</v>
      </c>
      <c r="M3784" s="241">
        <v>0.109442060085837</v>
      </c>
      <c r="N3784" s="241">
        <v>0.158024691358025</v>
      </c>
      <c r="O3784" s="252">
        <v>0.135416666666667</v>
      </c>
    </row>
    <row r="3785" spans="1:15">
      <c r="A3785" s="242" t="s">
        <v>68</v>
      </c>
      <c r="B3785" s="43" t="s">
        <v>57</v>
      </c>
      <c r="C3785" s="15">
        <v>4738</v>
      </c>
      <c r="D3785" s="243">
        <v>297</v>
      </c>
      <c r="E3785" s="243">
        <v>138</v>
      </c>
      <c r="F3785" s="243">
        <v>267</v>
      </c>
      <c r="G3785" s="243">
        <v>469</v>
      </c>
      <c r="H3785" s="243">
        <v>361</v>
      </c>
      <c r="I3785" s="243">
        <v>431</v>
      </c>
      <c r="J3785" s="243">
        <v>435</v>
      </c>
      <c r="K3785" s="243">
        <v>492</v>
      </c>
      <c r="L3785" s="243">
        <v>497</v>
      </c>
      <c r="M3785" s="243">
        <v>466</v>
      </c>
      <c r="N3785" s="243">
        <v>405</v>
      </c>
      <c r="O3785" s="253">
        <v>480</v>
      </c>
    </row>
    <row r="3786" spans="1:15">
      <c r="A3786" s="240" t="s">
        <v>68</v>
      </c>
      <c r="B3786" s="47" t="s">
        <v>59</v>
      </c>
      <c r="C3786" s="15">
        <v>602</v>
      </c>
      <c r="D3786" s="243">
        <v>54</v>
      </c>
      <c r="E3786" s="243">
        <v>25</v>
      </c>
      <c r="F3786" s="243">
        <v>24</v>
      </c>
      <c r="G3786" s="243">
        <v>43</v>
      </c>
      <c r="H3786" s="243">
        <v>52</v>
      </c>
      <c r="I3786" s="243">
        <v>54</v>
      </c>
      <c r="J3786" s="243">
        <v>58</v>
      </c>
      <c r="K3786" s="243">
        <v>53</v>
      </c>
      <c r="L3786" s="243">
        <v>59</v>
      </c>
      <c r="M3786" s="243">
        <v>51</v>
      </c>
      <c r="N3786" s="243">
        <v>64</v>
      </c>
      <c r="O3786" s="253">
        <v>65</v>
      </c>
    </row>
    <row r="3787" spans="1:15">
      <c r="A3787" s="242" t="s">
        <v>68</v>
      </c>
      <c r="B3787" s="43" t="s">
        <v>4</v>
      </c>
      <c r="C3787" s="15">
        <v>32</v>
      </c>
      <c r="D3787" s="244">
        <v>1</v>
      </c>
      <c r="E3787" s="244">
        <v>3</v>
      </c>
      <c r="F3787" s="244">
        <v>0</v>
      </c>
      <c r="G3787" s="244">
        <v>2</v>
      </c>
      <c r="H3787" s="244">
        <v>3</v>
      </c>
      <c r="I3787" s="244">
        <v>3</v>
      </c>
      <c r="J3787" s="244">
        <v>4</v>
      </c>
      <c r="K3787" s="244">
        <v>4</v>
      </c>
      <c r="L3787" s="244">
        <v>5</v>
      </c>
      <c r="M3787" s="244">
        <v>1</v>
      </c>
      <c r="N3787" s="244">
        <v>3</v>
      </c>
      <c r="O3787" s="254">
        <v>3</v>
      </c>
    </row>
    <row r="3788" spans="1:15">
      <c r="A3788" s="240" t="s">
        <v>68</v>
      </c>
      <c r="B3788" s="47" t="s">
        <v>5</v>
      </c>
      <c r="C3788" s="12">
        <v>0.053156146179402</v>
      </c>
      <c r="D3788" s="241">
        <v>0.0185185185185185</v>
      </c>
      <c r="E3788" s="241">
        <v>0.12</v>
      </c>
      <c r="F3788" s="241">
        <v>0</v>
      </c>
      <c r="G3788" s="241">
        <v>0.0465116279069767</v>
      </c>
      <c r="H3788" s="241">
        <v>0.0576923076923077</v>
      </c>
      <c r="I3788" s="241">
        <v>0.0555555555555556</v>
      </c>
      <c r="J3788" s="241">
        <v>0.0689655172413793</v>
      </c>
      <c r="K3788" s="241">
        <v>0.0754716981132075</v>
      </c>
      <c r="L3788" s="241">
        <v>0.0847457627118644</v>
      </c>
      <c r="M3788" s="241">
        <v>0.0196078431372549</v>
      </c>
      <c r="N3788" s="241">
        <v>0.046875</v>
      </c>
      <c r="O3788" s="252">
        <v>0.0461538461538462</v>
      </c>
    </row>
    <row r="3789" spans="1:15">
      <c r="A3789" s="242" t="s">
        <v>68</v>
      </c>
      <c r="B3789" s="43" t="s">
        <v>6</v>
      </c>
      <c r="C3789" s="15">
        <v>12</v>
      </c>
      <c r="D3789" s="244">
        <v>1</v>
      </c>
      <c r="E3789" s="244">
        <v>2</v>
      </c>
      <c r="F3789" s="244">
        <v>0</v>
      </c>
      <c r="G3789" s="244">
        <v>1</v>
      </c>
      <c r="H3789" s="244">
        <v>0</v>
      </c>
      <c r="I3789" s="244">
        <v>0</v>
      </c>
      <c r="J3789" s="244">
        <v>2</v>
      </c>
      <c r="K3789" s="244">
        <v>0</v>
      </c>
      <c r="L3789" s="244">
        <v>1</v>
      </c>
      <c r="M3789" s="244">
        <v>0</v>
      </c>
      <c r="N3789" s="244">
        <v>1</v>
      </c>
      <c r="O3789" s="254">
        <v>4</v>
      </c>
    </row>
    <row r="3790" ht="14.25" spans="1:15">
      <c r="A3790" s="245" t="s">
        <v>68</v>
      </c>
      <c r="B3790" s="52" t="s">
        <v>64</v>
      </c>
      <c r="C3790" s="19">
        <v>0.375</v>
      </c>
      <c r="D3790" s="246">
        <v>1</v>
      </c>
      <c r="E3790" s="246">
        <v>0.666666666666667</v>
      </c>
      <c r="F3790" s="246">
        <v>0</v>
      </c>
      <c r="G3790" s="246">
        <v>0.5</v>
      </c>
      <c r="H3790" s="246">
        <v>0</v>
      </c>
      <c r="I3790" s="246">
        <v>0</v>
      </c>
      <c r="J3790" s="246">
        <v>0.5</v>
      </c>
      <c r="K3790" s="246">
        <v>0</v>
      </c>
      <c r="L3790" s="246">
        <v>0.2</v>
      </c>
      <c r="M3790" s="246">
        <v>0</v>
      </c>
      <c r="N3790" s="246">
        <v>0.333333333333333</v>
      </c>
      <c r="O3790" s="255">
        <v>1.33333333333333</v>
      </c>
    </row>
    <row r="3791" spans="1:15">
      <c r="A3791" s="240" t="s">
        <v>69</v>
      </c>
      <c r="B3791" s="47" t="s">
        <v>55</v>
      </c>
      <c r="C3791" s="12">
        <v>1.34365325077399</v>
      </c>
      <c r="D3791" s="241">
        <v>1.20408163265306</v>
      </c>
      <c r="E3791" s="241">
        <v>1</v>
      </c>
      <c r="F3791" s="241">
        <v>2.5</v>
      </c>
      <c r="G3791" s="241">
        <v>1.2</v>
      </c>
      <c r="H3791" s="241">
        <v>0.837837837837838</v>
      </c>
      <c r="I3791" s="241">
        <v>0.833333333333333</v>
      </c>
      <c r="J3791" s="241">
        <v>2.05263157894737</v>
      </c>
      <c r="K3791" s="241">
        <v>1.73913043478261</v>
      </c>
      <c r="L3791" s="241">
        <v>2</v>
      </c>
      <c r="M3791" s="241">
        <v>1.72222222222222</v>
      </c>
      <c r="N3791" s="241">
        <v>1.36363636363636</v>
      </c>
      <c r="O3791" s="252">
        <v>1.38709677419355</v>
      </c>
    </row>
    <row r="3792" spans="1:15">
      <c r="A3792" s="242" t="s">
        <v>69</v>
      </c>
      <c r="B3792" s="43" t="s">
        <v>57</v>
      </c>
      <c r="C3792" s="15">
        <v>323</v>
      </c>
      <c r="D3792" s="243">
        <v>49</v>
      </c>
      <c r="E3792" s="243">
        <v>20</v>
      </c>
      <c r="F3792" s="243">
        <v>10</v>
      </c>
      <c r="G3792" s="243">
        <v>20</v>
      </c>
      <c r="H3792" s="243">
        <v>37</v>
      </c>
      <c r="I3792" s="243">
        <v>42</v>
      </c>
      <c r="J3792" s="243">
        <v>19</v>
      </c>
      <c r="K3792" s="243">
        <v>23</v>
      </c>
      <c r="L3792" s="243">
        <v>21</v>
      </c>
      <c r="M3792" s="243">
        <v>18</v>
      </c>
      <c r="N3792" s="243">
        <v>33</v>
      </c>
      <c r="O3792" s="253">
        <v>31</v>
      </c>
    </row>
    <row r="3793" spans="1:15">
      <c r="A3793" s="240" t="s">
        <v>69</v>
      </c>
      <c r="B3793" s="47" t="s">
        <v>59</v>
      </c>
      <c r="C3793" s="15">
        <v>434</v>
      </c>
      <c r="D3793" s="243">
        <v>59</v>
      </c>
      <c r="E3793" s="243">
        <v>20</v>
      </c>
      <c r="F3793" s="243">
        <v>25</v>
      </c>
      <c r="G3793" s="243">
        <v>24</v>
      </c>
      <c r="H3793" s="243">
        <v>31</v>
      </c>
      <c r="I3793" s="243">
        <v>35</v>
      </c>
      <c r="J3793" s="243">
        <v>39</v>
      </c>
      <c r="K3793" s="243">
        <v>40</v>
      </c>
      <c r="L3793" s="243">
        <v>42</v>
      </c>
      <c r="M3793" s="243">
        <v>31</v>
      </c>
      <c r="N3793" s="243">
        <v>45</v>
      </c>
      <c r="O3793" s="253">
        <v>43</v>
      </c>
    </row>
    <row r="3794" spans="1:15">
      <c r="A3794" s="242" t="s">
        <v>69</v>
      </c>
      <c r="B3794" s="43" t="s">
        <v>4</v>
      </c>
      <c r="C3794" s="15">
        <v>18</v>
      </c>
      <c r="D3794" s="244">
        <v>0</v>
      </c>
      <c r="E3794" s="244">
        <v>0</v>
      </c>
      <c r="F3794" s="244">
        <v>0</v>
      </c>
      <c r="G3794" s="244">
        <v>0</v>
      </c>
      <c r="H3794" s="244">
        <v>0</v>
      </c>
      <c r="I3794" s="244">
        <v>0</v>
      </c>
      <c r="J3794" s="244">
        <v>3</v>
      </c>
      <c r="K3794" s="244">
        <v>5</v>
      </c>
      <c r="L3794" s="244">
        <v>3</v>
      </c>
      <c r="M3794" s="244">
        <v>5</v>
      </c>
      <c r="N3794" s="244">
        <v>1</v>
      </c>
      <c r="O3794" s="254">
        <v>1</v>
      </c>
    </row>
    <row r="3795" spans="1:15">
      <c r="A3795" s="240" t="s">
        <v>69</v>
      </c>
      <c r="B3795" s="47" t="s">
        <v>5</v>
      </c>
      <c r="C3795" s="12">
        <v>0.0414746543778802</v>
      </c>
      <c r="D3795" s="241">
        <v>0</v>
      </c>
      <c r="E3795" s="241">
        <v>0</v>
      </c>
      <c r="F3795" s="241">
        <v>0</v>
      </c>
      <c r="G3795" s="241">
        <v>0</v>
      </c>
      <c r="H3795" s="241">
        <v>0</v>
      </c>
      <c r="I3795" s="241">
        <v>0</v>
      </c>
      <c r="J3795" s="241">
        <v>0.0769230769230769</v>
      </c>
      <c r="K3795" s="241">
        <v>0.125</v>
      </c>
      <c r="L3795" s="241">
        <v>0.0714285714285714</v>
      </c>
      <c r="M3795" s="241">
        <v>0.161290322580645</v>
      </c>
      <c r="N3795" s="241">
        <v>0.0222222222222222</v>
      </c>
      <c r="O3795" s="252">
        <v>0.0232558139534884</v>
      </c>
    </row>
    <row r="3796" spans="1:15">
      <c r="A3796" s="242" t="s">
        <v>69</v>
      </c>
      <c r="B3796" s="43" t="s">
        <v>6</v>
      </c>
      <c r="C3796" s="15">
        <v>7</v>
      </c>
      <c r="D3796" s="244">
        <v>0</v>
      </c>
      <c r="E3796" s="244">
        <v>0</v>
      </c>
      <c r="F3796" s="244">
        <v>0</v>
      </c>
      <c r="G3796" s="244">
        <v>0</v>
      </c>
      <c r="H3796" s="244">
        <v>0</v>
      </c>
      <c r="I3796" s="244">
        <v>0</v>
      </c>
      <c r="J3796" s="244">
        <v>2</v>
      </c>
      <c r="K3796" s="244">
        <v>1</v>
      </c>
      <c r="L3796" s="244">
        <v>1</v>
      </c>
      <c r="M3796" s="244">
        <v>1</v>
      </c>
      <c r="N3796" s="244">
        <v>0</v>
      </c>
      <c r="O3796" s="254">
        <v>2</v>
      </c>
    </row>
    <row r="3797" ht="14.25" spans="1:15">
      <c r="A3797" s="245" t="s">
        <v>69</v>
      </c>
      <c r="B3797" s="52" t="s">
        <v>64</v>
      </c>
      <c r="C3797" s="19">
        <v>0.388888888888889</v>
      </c>
      <c r="D3797" s="246">
        <v>0</v>
      </c>
      <c r="E3797" s="246">
        <v>0</v>
      </c>
      <c r="F3797" s="246">
        <v>0</v>
      </c>
      <c r="G3797" s="246">
        <v>0</v>
      </c>
      <c r="H3797" s="246">
        <v>0</v>
      </c>
      <c r="I3797" s="246">
        <v>0</v>
      </c>
      <c r="J3797" s="246">
        <v>0.666666666666667</v>
      </c>
      <c r="K3797" s="246">
        <v>0.2</v>
      </c>
      <c r="L3797" s="246">
        <v>0.333333333333333</v>
      </c>
      <c r="M3797" s="246">
        <v>0.2</v>
      </c>
      <c r="N3797" s="246">
        <v>0</v>
      </c>
      <c r="O3797" s="255">
        <v>2</v>
      </c>
    </row>
    <row r="3798" spans="1:15">
      <c r="A3798" s="240" t="s">
        <v>70</v>
      </c>
      <c r="B3798" s="47" t="s">
        <v>55</v>
      </c>
      <c r="C3798" s="12">
        <v>0.571803435114504</v>
      </c>
      <c r="D3798" s="241">
        <v>0.417302798982188</v>
      </c>
      <c r="E3798" s="241">
        <v>0.390697674418605</v>
      </c>
      <c r="F3798" s="241">
        <v>0.4140625</v>
      </c>
      <c r="G3798" s="241">
        <v>0.355855855855856</v>
      </c>
      <c r="H3798" s="241">
        <v>0.710344827586207</v>
      </c>
      <c r="I3798" s="241">
        <v>0.740540540540541</v>
      </c>
      <c r="J3798" s="241">
        <v>0.575609756097561</v>
      </c>
      <c r="K3798" s="241">
        <v>0.706443914081146</v>
      </c>
      <c r="L3798" s="241">
        <v>0.723514211886305</v>
      </c>
      <c r="M3798" s="241">
        <v>0.637532133676093</v>
      </c>
      <c r="N3798" s="241">
        <v>0.529787234042553</v>
      </c>
      <c r="O3798" s="252">
        <v>0.456913827655311</v>
      </c>
    </row>
    <row r="3799" spans="1:15">
      <c r="A3799" s="242" t="s">
        <v>70</v>
      </c>
      <c r="B3799" s="43" t="s">
        <v>57</v>
      </c>
      <c r="C3799" s="15">
        <v>4192</v>
      </c>
      <c r="D3799" s="243">
        <v>393</v>
      </c>
      <c r="E3799" s="243">
        <v>215</v>
      </c>
      <c r="F3799" s="243">
        <v>128</v>
      </c>
      <c r="G3799" s="243">
        <v>222</v>
      </c>
      <c r="H3799" s="243">
        <v>290</v>
      </c>
      <c r="I3799" s="243">
        <v>370</v>
      </c>
      <c r="J3799" s="243">
        <v>410</v>
      </c>
      <c r="K3799" s="243">
        <v>419</v>
      </c>
      <c r="L3799" s="243">
        <v>387</v>
      </c>
      <c r="M3799" s="243">
        <v>389</v>
      </c>
      <c r="N3799" s="243">
        <v>470</v>
      </c>
      <c r="O3799" s="253">
        <v>499</v>
      </c>
    </row>
    <row r="3800" spans="1:15">
      <c r="A3800" s="240" t="s">
        <v>70</v>
      </c>
      <c r="B3800" s="47" t="s">
        <v>59</v>
      </c>
      <c r="C3800" s="15">
        <v>2397</v>
      </c>
      <c r="D3800" s="243">
        <v>164</v>
      </c>
      <c r="E3800" s="243">
        <v>84</v>
      </c>
      <c r="F3800" s="243">
        <v>53</v>
      </c>
      <c r="G3800" s="243">
        <v>79</v>
      </c>
      <c r="H3800" s="243">
        <v>206</v>
      </c>
      <c r="I3800" s="243">
        <v>274</v>
      </c>
      <c r="J3800" s="243">
        <v>236</v>
      </c>
      <c r="K3800" s="243">
        <v>296</v>
      </c>
      <c r="L3800" s="243">
        <v>280</v>
      </c>
      <c r="M3800" s="243">
        <v>248</v>
      </c>
      <c r="N3800" s="243">
        <v>249</v>
      </c>
      <c r="O3800" s="253">
        <v>228</v>
      </c>
    </row>
    <row r="3801" spans="1:15">
      <c r="A3801" s="242" t="s">
        <v>70</v>
      </c>
      <c r="B3801" s="43" t="s">
        <v>4</v>
      </c>
      <c r="C3801" s="15">
        <v>131</v>
      </c>
      <c r="D3801" s="244">
        <v>18</v>
      </c>
      <c r="E3801" s="244">
        <v>11</v>
      </c>
      <c r="F3801" s="244">
        <v>7</v>
      </c>
      <c r="G3801" s="244">
        <v>8</v>
      </c>
      <c r="H3801" s="244">
        <v>3</v>
      </c>
      <c r="I3801" s="244">
        <v>7</v>
      </c>
      <c r="J3801" s="244">
        <v>13</v>
      </c>
      <c r="K3801" s="244">
        <v>8</v>
      </c>
      <c r="L3801" s="244">
        <v>12</v>
      </c>
      <c r="M3801" s="244">
        <v>13</v>
      </c>
      <c r="N3801" s="244">
        <v>13</v>
      </c>
      <c r="O3801" s="254">
        <v>18</v>
      </c>
    </row>
    <row r="3802" spans="1:15">
      <c r="A3802" s="240" t="s">
        <v>70</v>
      </c>
      <c r="B3802" s="47" t="s">
        <v>5</v>
      </c>
      <c r="C3802" s="12">
        <v>0.0546516478931998</v>
      </c>
      <c r="D3802" s="241">
        <v>0.109756097560976</v>
      </c>
      <c r="E3802" s="241">
        <v>0.130952380952381</v>
      </c>
      <c r="F3802" s="241">
        <v>0.132075471698113</v>
      </c>
      <c r="G3802" s="241">
        <v>0.10126582278481</v>
      </c>
      <c r="H3802" s="241">
        <v>0.0145631067961165</v>
      </c>
      <c r="I3802" s="241">
        <v>0.0255474452554745</v>
      </c>
      <c r="J3802" s="241">
        <v>0.0550847457627119</v>
      </c>
      <c r="K3802" s="241">
        <v>0.027027027027027</v>
      </c>
      <c r="L3802" s="241">
        <v>0.0428571428571429</v>
      </c>
      <c r="M3802" s="241">
        <v>0.0524193548387097</v>
      </c>
      <c r="N3802" s="241">
        <v>0.0522088353413655</v>
      </c>
      <c r="O3802" s="252">
        <v>0.0789473684210526</v>
      </c>
    </row>
    <row r="3803" spans="1:15">
      <c r="A3803" s="242" t="s">
        <v>70</v>
      </c>
      <c r="B3803" s="43" t="s">
        <v>6</v>
      </c>
      <c r="C3803" s="15">
        <v>45</v>
      </c>
      <c r="D3803" s="244">
        <v>9</v>
      </c>
      <c r="E3803" s="244">
        <v>3</v>
      </c>
      <c r="F3803" s="244">
        <v>0</v>
      </c>
      <c r="G3803" s="244">
        <v>2</v>
      </c>
      <c r="H3803" s="244">
        <v>3</v>
      </c>
      <c r="I3803" s="244">
        <v>0</v>
      </c>
      <c r="J3803" s="244">
        <v>3</v>
      </c>
      <c r="K3803" s="244">
        <v>4</v>
      </c>
      <c r="L3803" s="244">
        <v>5</v>
      </c>
      <c r="M3803" s="244">
        <v>4</v>
      </c>
      <c r="N3803" s="244">
        <v>6</v>
      </c>
      <c r="O3803" s="254">
        <v>6</v>
      </c>
    </row>
    <row r="3804" ht="14.25" spans="1:15">
      <c r="A3804" s="245" t="s">
        <v>70</v>
      </c>
      <c r="B3804" s="52" t="s">
        <v>64</v>
      </c>
      <c r="C3804" s="19">
        <v>0.343511450381679</v>
      </c>
      <c r="D3804" s="246">
        <v>0.5</v>
      </c>
      <c r="E3804" s="246">
        <v>0.272727272727273</v>
      </c>
      <c r="F3804" s="246">
        <v>0</v>
      </c>
      <c r="G3804" s="246">
        <v>0.25</v>
      </c>
      <c r="H3804" s="246">
        <v>1</v>
      </c>
      <c r="I3804" s="246">
        <v>0</v>
      </c>
      <c r="J3804" s="246">
        <v>0.230769230769231</v>
      </c>
      <c r="K3804" s="246">
        <v>0.5</v>
      </c>
      <c r="L3804" s="246">
        <v>0.416666666666667</v>
      </c>
      <c r="M3804" s="246">
        <v>0.307692307692308</v>
      </c>
      <c r="N3804" s="246">
        <v>0.461538461538462</v>
      </c>
      <c r="O3804" s="255">
        <v>0.333333333333333</v>
      </c>
    </row>
    <row r="3805" spans="1:15">
      <c r="A3805" s="240" t="s">
        <v>26</v>
      </c>
      <c r="B3805" s="47" t="s">
        <v>55</v>
      </c>
      <c r="C3805" s="12">
        <v>0.731596360628619</v>
      </c>
      <c r="D3805" s="241">
        <v>0.552763819095477</v>
      </c>
      <c r="E3805" s="241">
        <v>0.613793103448276</v>
      </c>
      <c r="F3805" s="241">
        <v>0.586901763224181</v>
      </c>
      <c r="G3805" s="241">
        <v>0.800970873786408</v>
      </c>
      <c r="H3805" s="241">
        <v>0.9375</v>
      </c>
      <c r="I3805" s="241">
        <v>0.955357142857143</v>
      </c>
      <c r="J3805" s="241">
        <v>0.989583333333333</v>
      </c>
      <c r="K3805" s="241">
        <v>1.17857142857143</v>
      </c>
      <c r="L3805" s="241">
        <v>1.12903225806452</v>
      </c>
      <c r="M3805" s="241">
        <v>1.03448275862069</v>
      </c>
      <c r="N3805" s="241">
        <v>1.109375</v>
      </c>
      <c r="O3805" s="252">
        <v>1.76086956521739</v>
      </c>
    </row>
    <row r="3806" spans="1:15">
      <c r="A3806" s="242" t="s">
        <v>26</v>
      </c>
      <c r="B3806" s="43" t="s">
        <v>57</v>
      </c>
      <c r="C3806" s="15">
        <v>2418</v>
      </c>
      <c r="D3806" s="243">
        <v>597</v>
      </c>
      <c r="E3806" s="243">
        <v>580</v>
      </c>
      <c r="F3806" s="243">
        <v>397</v>
      </c>
      <c r="G3806" s="243">
        <v>206</v>
      </c>
      <c r="H3806" s="243">
        <v>144</v>
      </c>
      <c r="I3806" s="243">
        <v>112</v>
      </c>
      <c r="J3806" s="243">
        <v>96</v>
      </c>
      <c r="K3806" s="243">
        <v>56</v>
      </c>
      <c r="L3806" s="243">
        <v>62</v>
      </c>
      <c r="M3806" s="243">
        <v>58</v>
      </c>
      <c r="N3806" s="243">
        <v>64</v>
      </c>
      <c r="O3806" s="253">
        <v>46</v>
      </c>
    </row>
    <row r="3807" spans="1:15">
      <c r="A3807" s="240" t="s">
        <v>26</v>
      </c>
      <c r="B3807" s="47" t="s">
        <v>59</v>
      </c>
      <c r="C3807" s="15">
        <v>1769</v>
      </c>
      <c r="D3807" s="243">
        <v>330</v>
      </c>
      <c r="E3807" s="243">
        <v>356</v>
      </c>
      <c r="F3807" s="243">
        <v>233</v>
      </c>
      <c r="G3807" s="243">
        <v>165</v>
      </c>
      <c r="H3807" s="243">
        <v>135</v>
      </c>
      <c r="I3807" s="243">
        <v>107</v>
      </c>
      <c r="J3807" s="243">
        <v>95</v>
      </c>
      <c r="K3807" s="243">
        <v>66</v>
      </c>
      <c r="L3807" s="243">
        <v>70</v>
      </c>
      <c r="M3807" s="243">
        <v>60</v>
      </c>
      <c r="N3807" s="243">
        <v>71</v>
      </c>
      <c r="O3807" s="253">
        <v>81</v>
      </c>
    </row>
    <row r="3808" spans="1:15">
      <c r="A3808" s="242" t="s">
        <v>26</v>
      </c>
      <c r="B3808" s="43" t="s">
        <v>4</v>
      </c>
      <c r="C3808" s="15">
        <v>9</v>
      </c>
      <c r="D3808" s="244">
        <v>0</v>
      </c>
      <c r="E3808" s="244">
        <v>1</v>
      </c>
      <c r="F3808" s="244">
        <v>0</v>
      </c>
      <c r="G3808" s="244">
        <v>0</v>
      </c>
      <c r="H3808" s="244">
        <v>0</v>
      </c>
      <c r="I3808" s="244">
        <v>2</v>
      </c>
      <c r="J3808" s="244">
        <v>1</v>
      </c>
      <c r="K3808" s="244">
        <v>2</v>
      </c>
      <c r="L3808" s="244">
        <v>0</v>
      </c>
      <c r="M3808" s="244">
        <v>2</v>
      </c>
      <c r="N3808" s="244">
        <v>0</v>
      </c>
      <c r="O3808" s="254">
        <v>1</v>
      </c>
    </row>
    <row r="3809" spans="1:15">
      <c r="A3809" s="240" t="s">
        <v>26</v>
      </c>
      <c r="B3809" s="47" t="s">
        <v>5</v>
      </c>
      <c r="C3809" s="12">
        <v>0.00508762012436405</v>
      </c>
      <c r="D3809" s="241">
        <v>0</v>
      </c>
      <c r="E3809" s="241">
        <v>0.00280898876404494</v>
      </c>
      <c r="F3809" s="241">
        <v>0</v>
      </c>
      <c r="G3809" s="241">
        <v>0</v>
      </c>
      <c r="H3809" s="241">
        <v>0</v>
      </c>
      <c r="I3809" s="241">
        <v>0.0186915887850467</v>
      </c>
      <c r="J3809" s="241">
        <v>0.0105263157894737</v>
      </c>
      <c r="K3809" s="241">
        <v>0.0303030303030303</v>
      </c>
      <c r="L3809" s="241">
        <v>0</v>
      </c>
      <c r="M3809" s="241">
        <v>0.0333333333333333</v>
      </c>
      <c r="N3809" s="241">
        <v>0</v>
      </c>
      <c r="O3809" s="252">
        <v>0.0123456790123457</v>
      </c>
    </row>
    <row r="3810" spans="1:15">
      <c r="A3810" s="242" t="s">
        <v>26</v>
      </c>
      <c r="B3810" s="43" t="s">
        <v>6</v>
      </c>
      <c r="C3810" s="15">
        <v>2</v>
      </c>
      <c r="D3810" s="244">
        <v>1</v>
      </c>
      <c r="E3810" s="244">
        <v>0</v>
      </c>
      <c r="F3810" s="244">
        <v>0</v>
      </c>
      <c r="G3810" s="244">
        <v>0</v>
      </c>
      <c r="H3810" s="244">
        <v>0</v>
      </c>
      <c r="I3810" s="244">
        <v>0</v>
      </c>
      <c r="J3810" s="244">
        <v>0</v>
      </c>
      <c r="K3810" s="244">
        <v>0</v>
      </c>
      <c r="L3810" s="244">
        <v>1</v>
      </c>
      <c r="M3810" s="244">
        <v>0</v>
      </c>
      <c r="N3810" s="244">
        <v>0</v>
      </c>
      <c r="O3810" s="254">
        <v>0</v>
      </c>
    </row>
    <row r="3811" ht="14.25" spans="1:15">
      <c r="A3811" s="245" t="s">
        <v>26</v>
      </c>
      <c r="B3811" s="52" t="s">
        <v>64</v>
      </c>
      <c r="C3811" s="19">
        <v>0.222222222222222</v>
      </c>
      <c r="D3811" s="19" t="e">
        <v>#DIV/0!</v>
      </c>
      <c r="E3811" s="19">
        <v>0</v>
      </c>
      <c r="F3811" s="19" t="e">
        <v>#DIV/0!</v>
      </c>
      <c r="G3811" s="19" t="e">
        <v>#DIV/0!</v>
      </c>
      <c r="H3811" s="19" t="e">
        <v>#DIV/0!</v>
      </c>
      <c r="I3811" s="19">
        <v>0</v>
      </c>
      <c r="J3811" s="19">
        <v>0</v>
      </c>
      <c r="K3811" s="19">
        <v>0</v>
      </c>
      <c r="L3811" s="19" t="e">
        <v>#DIV/0!</v>
      </c>
      <c r="M3811" s="19">
        <v>0</v>
      </c>
      <c r="N3811" s="19" t="e">
        <v>#DIV/0!</v>
      </c>
      <c r="O3811" s="19">
        <v>0</v>
      </c>
    </row>
    <row r="3812" spans="1:15">
      <c r="A3812" s="240" t="s">
        <v>71</v>
      </c>
      <c r="B3812" s="47" t="s">
        <v>55</v>
      </c>
      <c r="C3812" s="12">
        <v>1.8</v>
      </c>
      <c r="D3812" s="241">
        <v>0</v>
      </c>
      <c r="E3812" s="241">
        <v>0.333333333333333</v>
      </c>
      <c r="F3812" s="241">
        <v>0.333333333333333</v>
      </c>
      <c r="G3812" s="241">
        <v>0.666666666666667</v>
      </c>
      <c r="H3812" s="241" t="e">
        <v>#DIV/0!</v>
      </c>
      <c r="I3812" s="241" t="e">
        <v>#DIV/0!</v>
      </c>
      <c r="J3812" s="241" t="e">
        <v>#DIV/0!</v>
      </c>
      <c r="K3812" s="241" t="e">
        <v>#DIV/0!</v>
      </c>
      <c r="L3812" s="241" t="e">
        <v>#DIV/0!</v>
      </c>
      <c r="M3812" s="241" t="e">
        <v>#DIV/0!</v>
      </c>
      <c r="N3812" s="241" t="e">
        <v>#DIV/0!</v>
      </c>
      <c r="O3812" s="252" t="e">
        <v>#DIV/0!</v>
      </c>
    </row>
    <row r="3813" spans="1:15">
      <c r="A3813" s="242" t="s">
        <v>71</v>
      </c>
      <c r="B3813" s="43" t="s">
        <v>57</v>
      </c>
      <c r="C3813" s="15">
        <v>10</v>
      </c>
      <c r="D3813" s="243">
        <v>1</v>
      </c>
      <c r="E3813" s="243">
        <v>3</v>
      </c>
      <c r="F3813" s="243">
        <v>3</v>
      </c>
      <c r="G3813" s="243">
        <v>3</v>
      </c>
      <c r="H3813" s="243">
        <v>0</v>
      </c>
      <c r="I3813" s="243">
        <v>0</v>
      </c>
      <c r="J3813" s="243">
        <v>0</v>
      </c>
      <c r="K3813" s="243">
        <v>0</v>
      </c>
      <c r="L3813" s="243">
        <v>0</v>
      </c>
      <c r="M3813" s="243">
        <v>0</v>
      </c>
      <c r="N3813" s="243">
        <v>0</v>
      </c>
      <c r="O3813" s="253">
        <v>0</v>
      </c>
    </row>
    <row r="3814" spans="1:15">
      <c r="A3814" s="240" t="s">
        <v>71</v>
      </c>
      <c r="B3814" s="47" t="s">
        <v>59</v>
      </c>
      <c r="C3814" s="15">
        <v>18</v>
      </c>
      <c r="D3814" s="243">
        <v>0</v>
      </c>
      <c r="E3814" s="243">
        <v>1</v>
      </c>
      <c r="F3814" s="243">
        <v>1</v>
      </c>
      <c r="G3814" s="243">
        <v>2</v>
      </c>
      <c r="H3814" s="243">
        <v>1</v>
      </c>
      <c r="I3814" s="243">
        <v>0</v>
      </c>
      <c r="J3814" s="243">
        <v>2</v>
      </c>
      <c r="K3814" s="243">
        <v>5</v>
      </c>
      <c r="L3814" s="243">
        <v>1</v>
      </c>
      <c r="M3814" s="243">
        <v>0</v>
      </c>
      <c r="N3814" s="243">
        <v>1</v>
      </c>
      <c r="O3814" s="253">
        <v>4</v>
      </c>
    </row>
    <row r="3815" spans="1:15">
      <c r="A3815" s="242" t="s">
        <v>71</v>
      </c>
      <c r="B3815" s="43" t="s">
        <v>4</v>
      </c>
      <c r="C3815" s="15">
        <v>10</v>
      </c>
      <c r="D3815" s="244">
        <v>4</v>
      </c>
      <c r="E3815" s="244">
        <v>0</v>
      </c>
      <c r="F3815" s="244">
        <v>0</v>
      </c>
      <c r="G3815" s="244">
        <v>0</v>
      </c>
      <c r="H3815" s="244">
        <v>0</v>
      </c>
      <c r="I3815" s="244">
        <v>1</v>
      </c>
      <c r="J3815" s="244">
        <v>0</v>
      </c>
      <c r="K3815" s="244">
        <v>2</v>
      </c>
      <c r="L3815" s="244">
        <v>1</v>
      </c>
      <c r="M3815" s="244">
        <v>0</v>
      </c>
      <c r="N3815" s="244">
        <v>1</v>
      </c>
      <c r="O3815" s="254">
        <v>1</v>
      </c>
    </row>
    <row r="3816" spans="1:15">
      <c r="A3816" s="240" t="s">
        <v>71</v>
      </c>
      <c r="B3816" s="47" t="s">
        <v>5</v>
      </c>
      <c r="C3816" s="241">
        <v>0.555555555555556</v>
      </c>
      <c r="D3816" s="241">
        <v>0</v>
      </c>
      <c r="E3816" s="241">
        <v>0</v>
      </c>
      <c r="F3816" s="241">
        <v>0</v>
      </c>
      <c r="G3816" s="241">
        <v>0</v>
      </c>
      <c r="H3816" s="241">
        <v>0</v>
      </c>
      <c r="I3816" s="241">
        <v>0</v>
      </c>
      <c r="J3816" s="241">
        <v>0</v>
      </c>
      <c r="K3816" s="241">
        <v>0.4</v>
      </c>
      <c r="L3816" s="241">
        <v>1</v>
      </c>
      <c r="M3816" s="241">
        <v>0</v>
      </c>
      <c r="N3816" s="241">
        <v>1</v>
      </c>
      <c r="O3816" s="252">
        <v>0.25</v>
      </c>
    </row>
    <row r="3817" spans="1:15">
      <c r="A3817" s="242" t="s">
        <v>71</v>
      </c>
      <c r="B3817" s="43" t="s">
        <v>6</v>
      </c>
      <c r="C3817" s="15">
        <v>4</v>
      </c>
      <c r="D3817" s="244">
        <v>2</v>
      </c>
      <c r="E3817" s="244">
        <v>0</v>
      </c>
      <c r="F3817" s="244">
        <v>0</v>
      </c>
      <c r="G3817" s="244">
        <v>0</v>
      </c>
      <c r="H3817" s="244">
        <v>0</v>
      </c>
      <c r="I3817" s="244">
        <v>0</v>
      </c>
      <c r="J3817" s="244">
        <v>0</v>
      </c>
      <c r="K3817" s="244">
        <v>2</v>
      </c>
      <c r="L3817" s="244">
        <v>0</v>
      </c>
      <c r="M3817" s="244">
        <v>0</v>
      </c>
      <c r="N3817" s="244">
        <v>0</v>
      </c>
      <c r="O3817" s="254">
        <v>0</v>
      </c>
    </row>
    <row r="3818" ht="14.25" spans="1:15">
      <c r="A3818" s="245" t="s">
        <v>71</v>
      </c>
      <c r="B3818" s="52" t="s">
        <v>64</v>
      </c>
      <c r="C3818" s="19">
        <v>0.4</v>
      </c>
      <c r="D3818" s="19">
        <v>0.5</v>
      </c>
      <c r="E3818" s="19" t="e">
        <v>#DIV/0!</v>
      </c>
      <c r="F3818" s="19" t="e">
        <v>#DIV/0!</v>
      </c>
      <c r="G3818" s="19" t="e">
        <v>#DIV/0!</v>
      </c>
      <c r="H3818" s="19" t="e">
        <v>#DIV/0!</v>
      </c>
      <c r="I3818" s="19">
        <v>0</v>
      </c>
      <c r="J3818" s="19" t="e">
        <v>#DIV/0!</v>
      </c>
      <c r="K3818" s="19">
        <v>1</v>
      </c>
      <c r="L3818" s="19">
        <v>0</v>
      </c>
      <c r="M3818" s="19" t="e">
        <v>#DIV/0!</v>
      </c>
      <c r="N3818" s="19">
        <v>0</v>
      </c>
      <c r="O3818" s="19">
        <v>0</v>
      </c>
    </row>
    <row r="3819" spans="1:15">
      <c r="A3819" s="240" t="s">
        <v>72</v>
      </c>
      <c r="B3819" s="47" t="s">
        <v>55</v>
      </c>
      <c r="C3819" s="12">
        <v>0.185790679908327</v>
      </c>
      <c r="D3819" s="241">
        <v>0.208549222797927</v>
      </c>
      <c r="E3819" s="241">
        <v>0.239202657807309</v>
      </c>
      <c r="F3819" s="241">
        <v>0.192982456140351</v>
      </c>
      <c r="G3819" s="241">
        <v>0.215189873417722</v>
      </c>
      <c r="H3819" s="241">
        <v>0.182957393483709</v>
      </c>
      <c r="I3819" s="241">
        <v>0.180293501048218</v>
      </c>
      <c r="J3819" s="241">
        <v>0.183471074380165</v>
      </c>
      <c r="K3819" s="241">
        <v>0.1765625</v>
      </c>
      <c r="L3819" s="241">
        <v>0.176565008025682</v>
      </c>
      <c r="M3819" s="241">
        <v>0.170212765957447</v>
      </c>
      <c r="N3819" s="241">
        <v>0.151761517615176</v>
      </c>
      <c r="O3819" s="252">
        <v>0.192743764172336</v>
      </c>
    </row>
    <row r="3820" spans="1:15">
      <c r="A3820" s="242" t="s">
        <v>72</v>
      </c>
      <c r="B3820" s="43" t="s">
        <v>57</v>
      </c>
      <c r="C3820" s="15">
        <v>6545</v>
      </c>
      <c r="D3820" s="243">
        <v>772</v>
      </c>
      <c r="E3820" s="243">
        <v>301</v>
      </c>
      <c r="F3820" s="243">
        <v>228</v>
      </c>
      <c r="G3820" s="243">
        <v>316</v>
      </c>
      <c r="H3820" s="243">
        <v>399</v>
      </c>
      <c r="I3820" s="243">
        <v>477</v>
      </c>
      <c r="J3820" s="243">
        <v>605</v>
      </c>
      <c r="K3820" s="243">
        <v>640</v>
      </c>
      <c r="L3820" s="243">
        <v>623</v>
      </c>
      <c r="M3820" s="243">
        <v>564</v>
      </c>
      <c r="N3820" s="243">
        <v>738</v>
      </c>
      <c r="O3820" s="253">
        <v>882</v>
      </c>
    </row>
    <row r="3821" spans="1:15">
      <c r="A3821" s="240" t="s">
        <v>72</v>
      </c>
      <c r="B3821" s="47" t="s">
        <v>59</v>
      </c>
      <c r="C3821" s="15">
        <v>1216</v>
      </c>
      <c r="D3821" s="243">
        <v>161</v>
      </c>
      <c r="E3821" s="243">
        <v>72</v>
      </c>
      <c r="F3821" s="243">
        <v>44</v>
      </c>
      <c r="G3821" s="243">
        <v>68</v>
      </c>
      <c r="H3821" s="243">
        <v>73</v>
      </c>
      <c r="I3821" s="243">
        <v>86</v>
      </c>
      <c r="J3821" s="243">
        <v>111</v>
      </c>
      <c r="K3821" s="243">
        <v>113</v>
      </c>
      <c r="L3821" s="243">
        <v>110</v>
      </c>
      <c r="M3821" s="243">
        <v>96</v>
      </c>
      <c r="N3821" s="243">
        <v>112</v>
      </c>
      <c r="O3821" s="253">
        <v>170</v>
      </c>
    </row>
    <row r="3822" spans="1:15">
      <c r="A3822" s="242" t="s">
        <v>72</v>
      </c>
      <c r="B3822" s="43" t="s">
        <v>4</v>
      </c>
      <c r="C3822" s="15">
        <v>144</v>
      </c>
      <c r="D3822" s="244">
        <v>24</v>
      </c>
      <c r="E3822" s="244">
        <v>14</v>
      </c>
      <c r="F3822" s="244">
        <v>2</v>
      </c>
      <c r="G3822" s="244">
        <v>12</v>
      </c>
      <c r="H3822" s="244">
        <v>10</v>
      </c>
      <c r="I3822" s="244">
        <v>10</v>
      </c>
      <c r="J3822" s="244">
        <v>10</v>
      </c>
      <c r="K3822" s="244">
        <v>11</v>
      </c>
      <c r="L3822" s="244">
        <v>18</v>
      </c>
      <c r="M3822" s="244">
        <v>10</v>
      </c>
      <c r="N3822" s="244">
        <v>5</v>
      </c>
      <c r="O3822" s="254">
        <v>18</v>
      </c>
    </row>
    <row r="3823" spans="1:15">
      <c r="A3823" s="240" t="s">
        <v>72</v>
      </c>
      <c r="B3823" s="47" t="s">
        <v>5</v>
      </c>
      <c r="C3823" s="12">
        <v>0.118421052631579</v>
      </c>
      <c r="D3823" s="241">
        <v>0.149068322981366</v>
      </c>
      <c r="E3823" s="241">
        <v>0.194444444444444</v>
      </c>
      <c r="F3823" s="241">
        <v>0.0454545454545455</v>
      </c>
      <c r="G3823" s="241">
        <v>0.176470588235294</v>
      </c>
      <c r="H3823" s="241">
        <v>0.136986301369863</v>
      </c>
      <c r="I3823" s="241">
        <v>0.116279069767442</v>
      </c>
      <c r="J3823" s="241">
        <v>0.0900900900900901</v>
      </c>
      <c r="K3823" s="241">
        <v>0.0973451327433628</v>
      </c>
      <c r="L3823" s="241">
        <v>0.163636363636364</v>
      </c>
      <c r="M3823" s="241">
        <v>0.104166666666667</v>
      </c>
      <c r="N3823" s="241">
        <v>0.0446428571428571</v>
      </c>
      <c r="O3823" s="252">
        <v>0.105882352941176</v>
      </c>
    </row>
    <row r="3824" spans="1:15">
      <c r="A3824" s="242" t="s">
        <v>72</v>
      </c>
      <c r="B3824" s="43" t="s">
        <v>6</v>
      </c>
      <c r="C3824" s="15">
        <v>35</v>
      </c>
      <c r="D3824" s="244">
        <v>5</v>
      </c>
      <c r="E3824" s="244">
        <v>7</v>
      </c>
      <c r="F3824" s="244">
        <v>3</v>
      </c>
      <c r="G3824" s="244">
        <v>4</v>
      </c>
      <c r="H3824" s="244">
        <v>1</v>
      </c>
      <c r="I3824" s="244">
        <v>2</v>
      </c>
      <c r="J3824" s="244">
        <v>0</v>
      </c>
      <c r="K3824" s="244">
        <v>2</v>
      </c>
      <c r="L3824" s="244">
        <v>3</v>
      </c>
      <c r="M3824" s="244">
        <v>3</v>
      </c>
      <c r="N3824" s="244">
        <v>2</v>
      </c>
      <c r="O3824" s="254">
        <v>3</v>
      </c>
    </row>
    <row r="3825" ht="14.25" spans="1:15">
      <c r="A3825" s="245" t="s">
        <v>72</v>
      </c>
      <c r="B3825" s="52" t="s">
        <v>64</v>
      </c>
      <c r="C3825" s="19">
        <v>0.243055555555556</v>
      </c>
      <c r="D3825" s="19">
        <v>0.208333333333333</v>
      </c>
      <c r="E3825" s="19">
        <v>0.5</v>
      </c>
      <c r="F3825" s="19">
        <v>1.5</v>
      </c>
      <c r="G3825" s="19">
        <v>0.333333333333333</v>
      </c>
      <c r="H3825" s="19">
        <v>0.1</v>
      </c>
      <c r="I3825" s="19">
        <v>0.2</v>
      </c>
      <c r="J3825" s="19">
        <v>0</v>
      </c>
      <c r="K3825" s="19">
        <v>0.181818181818182</v>
      </c>
      <c r="L3825" s="19">
        <v>0.166666666666667</v>
      </c>
      <c r="M3825" s="19">
        <v>0.3</v>
      </c>
      <c r="N3825" s="19">
        <v>0.4</v>
      </c>
      <c r="O3825" s="19">
        <v>0.166666666666667</v>
      </c>
    </row>
    <row r="3826" ht="14.25" spans="1:15">
      <c r="A3826" s="237">
        <v>45078</v>
      </c>
      <c r="B3826" s="237"/>
      <c r="C3826" s="237"/>
      <c r="D3826" s="237"/>
      <c r="E3826" s="237"/>
      <c r="F3826" s="237"/>
      <c r="G3826" s="237"/>
      <c r="H3826" s="237"/>
      <c r="I3826" s="237"/>
      <c r="J3826" s="237"/>
      <c r="K3826" s="237"/>
      <c r="L3826" s="237"/>
      <c r="M3826" s="237"/>
      <c r="N3826" s="237"/>
      <c r="O3826" s="237"/>
    </row>
    <row r="3827" spans="1:15">
      <c r="A3827" s="56" t="s">
        <v>1</v>
      </c>
      <c r="B3827" s="238"/>
      <c r="C3827" s="8" t="s">
        <v>42</v>
      </c>
      <c r="D3827" s="239" t="s">
        <v>43</v>
      </c>
      <c r="E3827" s="239" t="s">
        <v>44</v>
      </c>
      <c r="F3827" s="239" t="s">
        <v>45</v>
      </c>
      <c r="G3827" s="239" t="s">
        <v>46</v>
      </c>
      <c r="H3827" s="239" t="s">
        <v>47</v>
      </c>
      <c r="I3827" s="239" t="s">
        <v>48</v>
      </c>
      <c r="J3827" s="239" t="s">
        <v>49</v>
      </c>
      <c r="K3827" s="239" t="s">
        <v>50</v>
      </c>
      <c r="L3827" s="239" t="s">
        <v>51</v>
      </c>
      <c r="M3827" s="239" t="s">
        <v>52</v>
      </c>
      <c r="N3827" s="239" t="s">
        <v>53</v>
      </c>
      <c r="O3827" s="251" t="s">
        <v>54</v>
      </c>
    </row>
    <row r="3828" spans="1:15">
      <c r="A3828" s="240" t="s">
        <v>22</v>
      </c>
      <c r="B3828" s="47" t="s">
        <v>55</v>
      </c>
      <c r="C3828" s="12">
        <v>0.438356164383562</v>
      </c>
      <c r="D3828" s="241">
        <v>0.543956043956044</v>
      </c>
      <c r="E3828" s="241">
        <v>0.452991452991453</v>
      </c>
      <c r="F3828" s="241">
        <v>0.378205128205128</v>
      </c>
      <c r="G3828" s="241">
        <v>0.400943396226415</v>
      </c>
      <c r="H3828" s="241">
        <v>0.456066945606695</v>
      </c>
      <c r="I3828" s="241">
        <v>0.443333333333333</v>
      </c>
      <c r="J3828" s="241">
        <v>0.420886075949367</v>
      </c>
      <c r="K3828" s="241">
        <v>0.410112359550562</v>
      </c>
      <c r="L3828" s="241">
        <v>0.400576368876081</v>
      </c>
      <c r="M3828" s="241">
        <v>0.431746031746032</v>
      </c>
      <c r="N3828" s="241">
        <v>0.445652173913043</v>
      </c>
      <c r="O3828" s="252">
        <v>0.433408577878104</v>
      </c>
    </row>
    <row r="3829" spans="1:15">
      <c r="A3829" s="242" t="s">
        <v>22</v>
      </c>
      <c r="B3829" s="43" t="s">
        <v>57</v>
      </c>
      <c r="C3829" s="15">
        <v>3650</v>
      </c>
      <c r="D3829" s="243">
        <v>364</v>
      </c>
      <c r="E3829" s="243">
        <v>234</v>
      </c>
      <c r="F3829" s="243">
        <v>156</v>
      </c>
      <c r="G3829" s="243">
        <v>212</v>
      </c>
      <c r="H3829" s="243">
        <v>239</v>
      </c>
      <c r="I3829" s="243">
        <v>300</v>
      </c>
      <c r="J3829" s="243">
        <v>316</v>
      </c>
      <c r="K3829" s="243">
        <v>356</v>
      </c>
      <c r="L3829" s="243">
        <v>347</v>
      </c>
      <c r="M3829" s="243">
        <v>315</v>
      </c>
      <c r="N3829" s="243">
        <v>368</v>
      </c>
      <c r="O3829" s="253">
        <v>443</v>
      </c>
    </row>
    <row r="3830" spans="1:15">
      <c r="A3830" s="240" t="s">
        <v>22</v>
      </c>
      <c r="B3830" s="47" t="s">
        <v>59</v>
      </c>
      <c r="C3830" s="15">
        <v>1600</v>
      </c>
      <c r="D3830" s="243">
        <v>198</v>
      </c>
      <c r="E3830" s="243">
        <v>106</v>
      </c>
      <c r="F3830" s="243">
        <v>59</v>
      </c>
      <c r="G3830" s="243">
        <v>85</v>
      </c>
      <c r="H3830" s="243">
        <v>109</v>
      </c>
      <c r="I3830" s="243">
        <v>133</v>
      </c>
      <c r="J3830" s="243">
        <v>133</v>
      </c>
      <c r="K3830" s="243">
        <v>146</v>
      </c>
      <c r="L3830" s="243">
        <v>139</v>
      </c>
      <c r="M3830" s="243">
        <v>136</v>
      </c>
      <c r="N3830" s="243">
        <v>164</v>
      </c>
      <c r="O3830" s="253">
        <v>192</v>
      </c>
    </row>
    <row r="3831" spans="1:15">
      <c r="A3831" s="242" t="s">
        <v>22</v>
      </c>
      <c r="B3831" s="43" t="s">
        <v>4</v>
      </c>
      <c r="C3831" s="15">
        <v>124</v>
      </c>
      <c r="D3831" s="244">
        <v>21</v>
      </c>
      <c r="E3831" s="244">
        <v>13</v>
      </c>
      <c r="F3831" s="244">
        <v>4</v>
      </c>
      <c r="G3831" s="244">
        <v>8</v>
      </c>
      <c r="H3831" s="244">
        <v>5</v>
      </c>
      <c r="I3831" s="244">
        <v>2</v>
      </c>
      <c r="J3831" s="244">
        <v>11</v>
      </c>
      <c r="K3831" s="244">
        <v>11</v>
      </c>
      <c r="L3831" s="244">
        <v>19</v>
      </c>
      <c r="M3831" s="244">
        <v>10</v>
      </c>
      <c r="N3831" s="244">
        <v>11</v>
      </c>
      <c r="O3831" s="254">
        <v>9</v>
      </c>
    </row>
    <row r="3832" spans="1:15">
      <c r="A3832" s="240" t="s">
        <v>22</v>
      </c>
      <c r="B3832" s="47" t="s">
        <v>5</v>
      </c>
      <c r="C3832" s="12">
        <v>0.0775</v>
      </c>
      <c r="D3832" s="241">
        <v>0.106060606060606</v>
      </c>
      <c r="E3832" s="241">
        <v>0.122641509433962</v>
      </c>
      <c r="F3832" s="241">
        <v>0.0677966101694915</v>
      </c>
      <c r="G3832" s="241">
        <v>0.0941176470588235</v>
      </c>
      <c r="H3832" s="241">
        <v>0.0458715596330275</v>
      </c>
      <c r="I3832" s="241">
        <v>0.0150375939849624</v>
      </c>
      <c r="J3832" s="241">
        <v>0.0827067669172932</v>
      </c>
      <c r="K3832" s="241">
        <v>0.0753424657534247</v>
      </c>
      <c r="L3832" s="241">
        <v>0.136690647482014</v>
      </c>
      <c r="M3832" s="241">
        <v>0.0735294117647059</v>
      </c>
      <c r="N3832" s="241">
        <v>0.0670731707317073</v>
      </c>
      <c r="O3832" s="252">
        <v>0.046875</v>
      </c>
    </row>
    <row r="3833" spans="1:15">
      <c r="A3833" s="242" t="s">
        <v>22</v>
      </c>
      <c r="B3833" s="43" t="s">
        <v>6</v>
      </c>
      <c r="C3833" s="15">
        <v>56</v>
      </c>
      <c r="D3833" s="244">
        <v>13</v>
      </c>
      <c r="E3833" s="244">
        <v>3</v>
      </c>
      <c r="F3833" s="244">
        <v>2</v>
      </c>
      <c r="G3833" s="244">
        <v>1</v>
      </c>
      <c r="H3833" s="244">
        <v>2</v>
      </c>
      <c r="I3833" s="244">
        <v>3</v>
      </c>
      <c r="J3833" s="244">
        <v>3</v>
      </c>
      <c r="K3833" s="244">
        <v>6</v>
      </c>
      <c r="L3833" s="244">
        <v>4</v>
      </c>
      <c r="M3833" s="244">
        <v>6</v>
      </c>
      <c r="N3833" s="244">
        <v>7</v>
      </c>
      <c r="O3833" s="254">
        <v>6</v>
      </c>
    </row>
    <row r="3834" ht="14.25" spans="1:15">
      <c r="A3834" s="245" t="s">
        <v>22</v>
      </c>
      <c r="B3834" s="52" t="s">
        <v>64</v>
      </c>
      <c r="C3834" s="19">
        <v>0.451612903225806</v>
      </c>
      <c r="D3834" s="246">
        <v>0.619047619047619</v>
      </c>
      <c r="E3834" s="246">
        <v>0.230769230769231</v>
      </c>
      <c r="F3834" s="246">
        <v>0.5</v>
      </c>
      <c r="G3834" s="246">
        <v>0.125</v>
      </c>
      <c r="H3834" s="246">
        <v>0.4</v>
      </c>
      <c r="I3834" s="246">
        <v>1.5</v>
      </c>
      <c r="J3834" s="246">
        <v>0.272727272727273</v>
      </c>
      <c r="K3834" s="246">
        <v>0.545454545454545</v>
      </c>
      <c r="L3834" s="246">
        <v>0.210526315789474</v>
      </c>
      <c r="M3834" s="246">
        <v>0.6</v>
      </c>
      <c r="N3834" s="246">
        <v>0.636363636363636</v>
      </c>
      <c r="O3834" s="255">
        <v>0.666666666666667</v>
      </c>
    </row>
    <row r="3835" spans="1:15">
      <c r="A3835" s="247" t="s">
        <v>66</v>
      </c>
      <c r="B3835" s="248" t="s">
        <v>55</v>
      </c>
      <c r="C3835" s="12">
        <v>0.107118175535591</v>
      </c>
      <c r="D3835" s="249">
        <v>0.233009708737864</v>
      </c>
      <c r="E3835" s="249">
        <v>0.0701754385964912</v>
      </c>
      <c r="F3835" s="249">
        <v>0.046875</v>
      </c>
      <c r="G3835" s="249">
        <v>0.0833333333333333</v>
      </c>
      <c r="H3835" s="249">
        <v>0.0681818181818182</v>
      </c>
      <c r="I3835" s="249">
        <v>0.092436974789916</v>
      </c>
      <c r="J3835" s="249">
        <v>0.0573770491803279</v>
      </c>
      <c r="K3835" s="249">
        <v>0.0892857142857143</v>
      </c>
      <c r="L3835" s="249">
        <v>0.170212765957447</v>
      </c>
      <c r="M3835" s="249">
        <v>0.114583333333333</v>
      </c>
      <c r="N3835" s="249">
        <v>0.105263157894737</v>
      </c>
      <c r="O3835" s="256">
        <v>0.198529411764706</v>
      </c>
    </row>
    <row r="3836" spans="1:15">
      <c r="A3836" s="242" t="s">
        <v>66</v>
      </c>
      <c r="B3836" s="43" t="s">
        <v>57</v>
      </c>
      <c r="C3836" s="15">
        <v>1447</v>
      </c>
      <c r="D3836" s="243">
        <v>103</v>
      </c>
      <c r="E3836" s="243">
        <v>171</v>
      </c>
      <c r="F3836" s="243">
        <v>128</v>
      </c>
      <c r="G3836" s="243">
        <v>120</v>
      </c>
      <c r="H3836" s="243">
        <v>132</v>
      </c>
      <c r="I3836" s="243">
        <v>119</v>
      </c>
      <c r="J3836" s="243">
        <v>122</v>
      </c>
      <c r="K3836" s="243">
        <v>112</v>
      </c>
      <c r="L3836" s="243">
        <v>94</v>
      </c>
      <c r="M3836" s="243">
        <v>96</v>
      </c>
      <c r="N3836" s="243">
        <v>114</v>
      </c>
      <c r="O3836" s="253">
        <v>136</v>
      </c>
    </row>
    <row r="3837" spans="1:15">
      <c r="A3837" s="240" t="s">
        <v>66</v>
      </c>
      <c r="B3837" s="47" t="s">
        <v>59</v>
      </c>
      <c r="C3837" s="15">
        <v>155</v>
      </c>
      <c r="D3837" s="243">
        <v>24</v>
      </c>
      <c r="E3837" s="243">
        <v>12</v>
      </c>
      <c r="F3837" s="243">
        <v>6</v>
      </c>
      <c r="G3837" s="243">
        <v>10</v>
      </c>
      <c r="H3837" s="243">
        <v>9</v>
      </c>
      <c r="I3837" s="243">
        <v>11</v>
      </c>
      <c r="J3837" s="243">
        <v>7</v>
      </c>
      <c r="K3837" s="243">
        <v>10</v>
      </c>
      <c r="L3837" s="243">
        <v>16</v>
      </c>
      <c r="M3837" s="243">
        <v>11</v>
      </c>
      <c r="N3837" s="243">
        <v>12</v>
      </c>
      <c r="O3837" s="253">
        <v>27</v>
      </c>
    </row>
    <row r="3838" spans="1:15">
      <c r="A3838" s="242" t="s">
        <v>66</v>
      </c>
      <c r="B3838" s="43" t="s">
        <v>4</v>
      </c>
      <c r="C3838" s="15">
        <v>14</v>
      </c>
      <c r="D3838" s="244">
        <v>2</v>
      </c>
      <c r="E3838" s="244">
        <v>2</v>
      </c>
      <c r="F3838" s="244">
        <v>1</v>
      </c>
      <c r="G3838" s="244">
        <v>1</v>
      </c>
      <c r="H3838" s="244">
        <v>0</v>
      </c>
      <c r="I3838" s="244">
        <v>1</v>
      </c>
      <c r="J3838" s="244">
        <v>0</v>
      </c>
      <c r="K3838" s="244">
        <v>0</v>
      </c>
      <c r="L3838" s="244">
        <v>3</v>
      </c>
      <c r="M3838" s="244">
        <v>0</v>
      </c>
      <c r="N3838" s="244">
        <v>1</v>
      </c>
      <c r="O3838" s="254">
        <v>3</v>
      </c>
    </row>
    <row r="3839" spans="1:15">
      <c r="A3839" s="240" t="s">
        <v>66</v>
      </c>
      <c r="B3839" s="47" t="s">
        <v>5</v>
      </c>
      <c r="C3839" s="12">
        <v>0.0903225806451613</v>
      </c>
      <c r="D3839" s="241">
        <v>0.0833333333333333</v>
      </c>
      <c r="E3839" s="241">
        <v>0.166666666666667</v>
      </c>
      <c r="F3839" s="241">
        <v>0.166666666666667</v>
      </c>
      <c r="G3839" s="241">
        <v>0.1</v>
      </c>
      <c r="H3839" s="241">
        <v>0</v>
      </c>
      <c r="I3839" s="241">
        <v>0.0909090909090909</v>
      </c>
      <c r="J3839" s="241">
        <v>0</v>
      </c>
      <c r="K3839" s="241">
        <v>0</v>
      </c>
      <c r="L3839" s="241">
        <v>0.1875</v>
      </c>
      <c r="M3839" s="241">
        <v>0</v>
      </c>
      <c r="N3839" s="241">
        <v>0.0833333333333333</v>
      </c>
      <c r="O3839" s="252">
        <v>0.111111111111111</v>
      </c>
    </row>
    <row r="3840" spans="1:15">
      <c r="A3840" s="242" t="s">
        <v>66</v>
      </c>
      <c r="B3840" s="43" t="s">
        <v>6</v>
      </c>
      <c r="C3840" s="15">
        <v>4</v>
      </c>
      <c r="D3840" s="244">
        <v>2</v>
      </c>
      <c r="E3840" s="244">
        <v>0</v>
      </c>
      <c r="F3840" s="244">
        <v>0</v>
      </c>
      <c r="G3840" s="244">
        <v>0</v>
      </c>
      <c r="H3840" s="244">
        <v>0</v>
      </c>
      <c r="I3840" s="244">
        <v>1</v>
      </c>
      <c r="J3840" s="244">
        <v>1</v>
      </c>
      <c r="K3840" s="244">
        <v>0</v>
      </c>
      <c r="L3840" s="244">
        <v>0</v>
      </c>
      <c r="M3840" s="244">
        <v>0</v>
      </c>
      <c r="N3840" s="244">
        <v>0</v>
      </c>
      <c r="O3840" s="254">
        <v>0</v>
      </c>
    </row>
    <row r="3841" ht="14.25" spans="1:15">
      <c r="A3841" s="245" t="s">
        <v>66</v>
      </c>
      <c r="B3841" s="52" t="s">
        <v>64</v>
      </c>
      <c r="C3841" s="19">
        <v>0.285714285714286</v>
      </c>
      <c r="D3841" s="246">
        <v>1</v>
      </c>
      <c r="E3841" s="246">
        <v>0</v>
      </c>
      <c r="F3841" s="246">
        <v>0</v>
      </c>
      <c r="G3841" s="246">
        <v>0</v>
      </c>
      <c r="H3841" s="246">
        <v>0</v>
      </c>
      <c r="I3841" s="246">
        <v>1</v>
      </c>
      <c r="J3841" s="246">
        <v>0</v>
      </c>
      <c r="K3841" s="246">
        <v>0</v>
      </c>
      <c r="L3841" s="246">
        <v>0</v>
      </c>
      <c r="M3841" s="246">
        <v>0</v>
      </c>
      <c r="N3841" s="246">
        <v>0</v>
      </c>
      <c r="O3841" s="255">
        <v>0</v>
      </c>
    </row>
    <row r="3842" spans="1:15">
      <c r="A3842" s="240" t="s">
        <v>67</v>
      </c>
      <c r="B3842" s="47" t="s">
        <v>55</v>
      </c>
      <c r="C3842" s="12">
        <v>0.557235421166307</v>
      </c>
      <c r="D3842" s="241">
        <v>0.492063492063492</v>
      </c>
      <c r="E3842" s="241">
        <v>0.5</v>
      </c>
      <c r="F3842" s="241">
        <v>0.785714285714286</v>
      </c>
      <c r="G3842" s="241">
        <v>0.818181818181818</v>
      </c>
      <c r="H3842" s="241">
        <v>0.533333333333333</v>
      </c>
      <c r="I3842" s="241">
        <v>0.609756097560976</v>
      </c>
      <c r="J3842" s="241">
        <v>0.435897435897436</v>
      </c>
      <c r="K3842" s="241">
        <v>0.684210526315789</v>
      </c>
      <c r="L3842" s="241">
        <v>0.82051282051282</v>
      </c>
      <c r="M3842" s="241">
        <v>0.444444444444444</v>
      </c>
      <c r="N3842" s="241">
        <v>0.458333333333333</v>
      </c>
      <c r="O3842" s="252">
        <v>0.461538461538462</v>
      </c>
    </row>
    <row r="3843" spans="1:15">
      <c r="A3843" s="242" t="s">
        <v>67</v>
      </c>
      <c r="B3843" s="43" t="s">
        <v>57</v>
      </c>
      <c r="C3843" s="15">
        <v>463</v>
      </c>
      <c r="D3843" s="243">
        <v>63</v>
      </c>
      <c r="E3843" s="243">
        <v>32</v>
      </c>
      <c r="F3843" s="243">
        <v>14</v>
      </c>
      <c r="G3843" s="243">
        <v>22</v>
      </c>
      <c r="H3843" s="243">
        <v>30</v>
      </c>
      <c r="I3843" s="243">
        <v>41</v>
      </c>
      <c r="J3843" s="243">
        <v>39</v>
      </c>
      <c r="K3843" s="243">
        <v>38</v>
      </c>
      <c r="L3843" s="243">
        <v>39</v>
      </c>
      <c r="M3843" s="243">
        <v>45</v>
      </c>
      <c r="N3843" s="243">
        <v>48</v>
      </c>
      <c r="O3843" s="253">
        <v>52</v>
      </c>
    </row>
    <row r="3844" spans="1:15">
      <c r="A3844" s="240" t="s">
        <v>67</v>
      </c>
      <c r="B3844" s="47" t="s">
        <v>59</v>
      </c>
      <c r="C3844" s="15">
        <v>258</v>
      </c>
      <c r="D3844" s="243">
        <v>31</v>
      </c>
      <c r="E3844" s="243">
        <v>16</v>
      </c>
      <c r="F3844" s="243">
        <v>11</v>
      </c>
      <c r="G3844" s="243">
        <v>18</v>
      </c>
      <c r="H3844" s="243">
        <v>16</v>
      </c>
      <c r="I3844" s="243">
        <v>25</v>
      </c>
      <c r="J3844" s="243">
        <v>17</v>
      </c>
      <c r="K3844" s="243">
        <v>26</v>
      </c>
      <c r="L3844" s="243">
        <v>32</v>
      </c>
      <c r="M3844" s="243">
        <v>20</v>
      </c>
      <c r="N3844" s="243">
        <v>22</v>
      </c>
      <c r="O3844" s="253">
        <v>24</v>
      </c>
    </row>
    <row r="3845" spans="1:15">
      <c r="A3845" s="242" t="s">
        <v>67</v>
      </c>
      <c r="B3845" s="43" t="s">
        <v>4</v>
      </c>
      <c r="C3845" s="15">
        <v>14</v>
      </c>
      <c r="D3845" s="244">
        <v>3</v>
      </c>
      <c r="E3845" s="244">
        <v>2</v>
      </c>
      <c r="F3845" s="244">
        <v>2</v>
      </c>
      <c r="G3845" s="244">
        <v>1</v>
      </c>
      <c r="H3845" s="244">
        <v>0</v>
      </c>
      <c r="I3845" s="244">
        <v>1</v>
      </c>
      <c r="J3845" s="244">
        <v>1</v>
      </c>
      <c r="K3845" s="244">
        <v>0</v>
      </c>
      <c r="L3845" s="244">
        <v>1</v>
      </c>
      <c r="M3845" s="244">
        <v>0</v>
      </c>
      <c r="N3845" s="244">
        <v>1</v>
      </c>
      <c r="O3845" s="254">
        <v>2</v>
      </c>
    </row>
    <row r="3846" spans="1:15">
      <c r="A3846" s="240" t="s">
        <v>67</v>
      </c>
      <c r="B3846" s="47" t="s">
        <v>5</v>
      </c>
      <c r="C3846" s="12">
        <v>0.0542635658914729</v>
      </c>
      <c r="D3846" s="241">
        <v>0.0967741935483871</v>
      </c>
      <c r="E3846" s="241">
        <v>0.125</v>
      </c>
      <c r="F3846" s="241">
        <v>0.181818181818182</v>
      </c>
      <c r="G3846" s="241">
        <v>0.0555555555555556</v>
      </c>
      <c r="H3846" s="241">
        <v>0</v>
      </c>
      <c r="I3846" s="241">
        <v>0.04</v>
      </c>
      <c r="J3846" s="241">
        <v>0.0588235294117647</v>
      </c>
      <c r="K3846" s="241">
        <v>0</v>
      </c>
      <c r="L3846" s="241">
        <v>0.03125</v>
      </c>
      <c r="M3846" s="241">
        <v>0</v>
      </c>
      <c r="N3846" s="241">
        <v>0.0454545454545455</v>
      </c>
      <c r="O3846" s="252">
        <v>0.0833333333333333</v>
      </c>
    </row>
    <row r="3847" spans="1:15">
      <c r="A3847" s="242" t="s">
        <v>67</v>
      </c>
      <c r="B3847" s="43" t="s">
        <v>6</v>
      </c>
      <c r="C3847" s="15">
        <v>3</v>
      </c>
      <c r="D3847" s="244">
        <v>2</v>
      </c>
      <c r="E3847" s="244">
        <v>0</v>
      </c>
      <c r="F3847" s="244">
        <v>0</v>
      </c>
      <c r="G3847" s="244">
        <v>1</v>
      </c>
      <c r="H3847" s="244">
        <v>0</v>
      </c>
      <c r="I3847" s="244">
        <v>0</v>
      </c>
      <c r="J3847" s="244">
        <v>0</v>
      </c>
      <c r="K3847" s="244">
        <v>0</v>
      </c>
      <c r="L3847" s="244">
        <v>0</v>
      </c>
      <c r="M3847" s="244">
        <v>0</v>
      </c>
      <c r="N3847" s="244">
        <v>0</v>
      </c>
      <c r="O3847" s="254">
        <v>0</v>
      </c>
    </row>
    <row r="3848" ht="14.25" spans="1:15">
      <c r="A3848" s="245" t="s">
        <v>67</v>
      </c>
      <c r="B3848" s="52" t="s">
        <v>64</v>
      </c>
      <c r="C3848" s="19">
        <v>0.214285714285714</v>
      </c>
      <c r="D3848" s="246">
        <v>0.666666666666667</v>
      </c>
      <c r="E3848" s="246">
        <v>0</v>
      </c>
      <c r="F3848" s="246">
        <v>0</v>
      </c>
      <c r="G3848" s="246">
        <v>1</v>
      </c>
      <c r="H3848" s="246">
        <v>0</v>
      </c>
      <c r="I3848" s="246">
        <v>0</v>
      </c>
      <c r="J3848" s="246">
        <v>0</v>
      </c>
      <c r="K3848" s="246">
        <v>0</v>
      </c>
      <c r="L3848" s="246">
        <v>0</v>
      </c>
      <c r="M3848" s="246">
        <v>0</v>
      </c>
      <c r="N3848" s="246">
        <v>0</v>
      </c>
      <c r="O3848" s="255">
        <v>0</v>
      </c>
    </row>
    <row r="3849" spans="1:15">
      <c r="A3849" s="240" t="s">
        <v>68</v>
      </c>
      <c r="B3849" s="47" t="s">
        <v>55</v>
      </c>
      <c r="C3849" s="12">
        <v>0.128983308042489</v>
      </c>
      <c r="D3849" s="241">
        <v>0.215743440233236</v>
      </c>
      <c r="E3849" s="241">
        <v>0.210843373493976</v>
      </c>
      <c r="F3849" s="241">
        <v>0.146443514644351</v>
      </c>
      <c r="G3849" s="241">
        <v>0.115830115830116</v>
      </c>
      <c r="H3849" s="241">
        <v>0.13719512195122</v>
      </c>
      <c r="I3849" s="241">
        <v>0.103792415169661</v>
      </c>
      <c r="J3849" s="241">
        <v>0.0877551020408163</v>
      </c>
      <c r="K3849" s="241">
        <v>0.0838445807770961</v>
      </c>
      <c r="L3849" s="241">
        <v>0.120950323974082</v>
      </c>
      <c r="M3849" s="241">
        <v>0.12565445026178</v>
      </c>
      <c r="N3849" s="241">
        <v>0.146186440677966</v>
      </c>
      <c r="O3849" s="252">
        <v>0.139293139293139</v>
      </c>
    </row>
    <row r="3850" spans="1:15">
      <c r="A3850" s="242" t="s">
        <v>68</v>
      </c>
      <c r="B3850" s="43" t="s">
        <v>57</v>
      </c>
      <c r="C3850" s="15">
        <v>4613</v>
      </c>
      <c r="D3850" s="243">
        <v>343</v>
      </c>
      <c r="E3850" s="243">
        <v>166</v>
      </c>
      <c r="F3850" s="243">
        <v>239</v>
      </c>
      <c r="G3850" s="243">
        <v>259</v>
      </c>
      <c r="H3850" s="243">
        <v>328</v>
      </c>
      <c r="I3850" s="243">
        <v>501</v>
      </c>
      <c r="J3850" s="243">
        <v>490</v>
      </c>
      <c r="K3850" s="243">
        <v>489</v>
      </c>
      <c r="L3850" s="243">
        <v>463</v>
      </c>
      <c r="M3850" s="243">
        <v>382</v>
      </c>
      <c r="N3850" s="243">
        <v>472</v>
      </c>
      <c r="O3850" s="253">
        <v>481</v>
      </c>
    </row>
    <row r="3851" spans="1:15">
      <c r="A3851" s="240" t="s">
        <v>68</v>
      </c>
      <c r="B3851" s="47" t="s">
        <v>59</v>
      </c>
      <c r="C3851" s="15">
        <v>595</v>
      </c>
      <c r="D3851" s="243">
        <v>74</v>
      </c>
      <c r="E3851" s="243">
        <v>35</v>
      </c>
      <c r="F3851" s="243">
        <v>35</v>
      </c>
      <c r="G3851" s="243">
        <v>30</v>
      </c>
      <c r="H3851" s="243">
        <v>45</v>
      </c>
      <c r="I3851" s="243">
        <v>52</v>
      </c>
      <c r="J3851" s="243">
        <v>43</v>
      </c>
      <c r="K3851" s="243">
        <v>41</v>
      </c>
      <c r="L3851" s="243">
        <v>56</v>
      </c>
      <c r="M3851" s="243">
        <v>48</v>
      </c>
      <c r="N3851" s="243">
        <v>69</v>
      </c>
      <c r="O3851" s="253">
        <v>67</v>
      </c>
    </row>
    <row r="3852" spans="1:15">
      <c r="A3852" s="242" t="s">
        <v>68</v>
      </c>
      <c r="B3852" s="43" t="s">
        <v>4</v>
      </c>
      <c r="C3852" s="15">
        <v>31</v>
      </c>
      <c r="D3852" s="244">
        <v>2</v>
      </c>
      <c r="E3852" s="244">
        <v>0</v>
      </c>
      <c r="F3852" s="244">
        <v>3</v>
      </c>
      <c r="G3852" s="244">
        <v>0</v>
      </c>
      <c r="H3852" s="244">
        <v>0</v>
      </c>
      <c r="I3852" s="244">
        <v>2</v>
      </c>
      <c r="J3852" s="244">
        <v>4</v>
      </c>
      <c r="K3852" s="244">
        <v>3</v>
      </c>
      <c r="L3852" s="244">
        <v>4</v>
      </c>
      <c r="M3852" s="244">
        <v>5</v>
      </c>
      <c r="N3852" s="244">
        <v>2</v>
      </c>
      <c r="O3852" s="254">
        <v>6</v>
      </c>
    </row>
    <row r="3853" spans="1:15">
      <c r="A3853" s="240" t="s">
        <v>68</v>
      </c>
      <c r="B3853" s="47" t="s">
        <v>5</v>
      </c>
      <c r="C3853" s="12">
        <v>0.0521008403361345</v>
      </c>
      <c r="D3853" s="241">
        <v>0.027027027027027</v>
      </c>
      <c r="E3853" s="241">
        <v>0</v>
      </c>
      <c r="F3853" s="241">
        <v>0.0857142857142857</v>
      </c>
      <c r="G3853" s="241">
        <v>0</v>
      </c>
      <c r="H3853" s="241">
        <v>0</v>
      </c>
      <c r="I3853" s="241">
        <v>0.0384615384615385</v>
      </c>
      <c r="J3853" s="241">
        <v>0.0930232558139535</v>
      </c>
      <c r="K3853" s="241">
        <v>0.0731707317073171</v>
      </c>
      <c r="L3853" s="241">
        <v>0.0714285714285714</v>
      </c>
      <c r="M3853" s="241">
        <v>0.104166666666667</v>
      </c>
      <c r="N3853" s="241">
        <v>0.0289855072463768</v>
      </c>
      <c r="O3853" s="252">
        <v>0.0895522388059701</v>
      </c>
    </row>
    <row r="3854" spans="1:15">
      <c r="A3854" s="242" t="s">
        <v>68</v>
      </c>
      <c r="B3854" s="43" t="s">
        <v>6</v>
      </c>
      <c r="C3854" s="15">
        <v>12</v>
      </c>
      <c r="D3854" s="244">
        <v>1</v>
      </c>
      <c r="E3854" s="244">
        <v>1</v>
      </c>
      <c r="F3854" s="244">
        <v>1</v>
      </c>
      <c r="G3854" s="244">
        <v>2</v>
      </c>
      <c r="H3854" s="244">
        <v>0</v>
      </c>
      <c r="I3854" s="244">
        <v>0</v>
      </c>
      <c r="J3854" s="244">
        <v>0</v>
      </c>
      <c r="K3854" s="244">
        <v>2</v>
      </c>
      <c r="L3854" s="244">
        <v>0</v>
      </c>
      <c r="M3854" s="244">
        <v>4</v>
      </c>
      <c r="N3854" s="244">
        <v>1</v>
      </c>
      <c r="O3854" s="254">
        <v>0</v>
      </c>
    </row>
    <row r="3855" ht="14.25" spans="1:15">
      <c r="A3855" s="245" t="s">
        <v>68</v>
      </c>
      <c r="B3855" s="52" t="s">
        <v>64</v>
      </c>
      <c r="C3855" s="19">
        <v>0.387096774193548</v>
      </c>
      <c r="D3855" s="246">
        <v>0.5</v>
      </c>
      <c r="E3855" s="246">
        <v>0</v>
      </c>
      <c r="F3855" s="246">
        <v>0.333333333333333</v>
      </c>
      <c r="G3855" s="246">
        <v>0</v>
      </c>
      <c r="H3855" s="246">
        <v>0</v>
      </c>
      <c r="I3855" s="246">
        <v>0</v>
      </c>
      <c r="J3855" s="246">
        <v>0</v>
      </c>
      <c r="K3855" s="246">
        <v>0.666666666666667</v>
      </c>
      <c r="L3855" s="246">
        <v>0</v>
      </c>
      <c r="M3855" s="246">
        <v>0.8</v>
      </c>
      <c r="N3855" s="246">
        <v>0.5</v>
      </c>
      <c r="O3855" s="255">
        <v>0</v>
      </c>
    </row>
    <row r="3856" spans="1:15">
      <c r="A3856" s="240" t="s">
        <v>69</v>
      </c>
      <c r="B3856" s="47" t="s">
        <v>55</v>
      </c>
      <c r="C3856" s="12">
        <v>1.66409266409266</v>
      </c>
      <c r="D3856" s="241">
        <v>1.42222222222222</v>
      </c>
      <c r="E3856" s="241">
        <v>1.5625</v>
      </c>
      <c r="F3856" s="241">
        <v>1.45454545454545</v>
      </c>
      <c r="G3856" s="241">
        <v>1.66666666666667</v>
      </c>
      <c r="H3856" s="241">
        <v>2.08333333333333</v>
      </c>
      <c r="I3856" s="241">
        <v>1.61111111111111</v>
      </c>
      <c r="J3856" s="241">
        <v>2.42105263157895</v>
      </c>
      <c r="K3856" s="241">
        <v>1.75</v>
      </c>
      <c r="L3856" s="241">
        <v>1.82608695652174</v>
      </c>
      <c r="M3856" s="241">
        <v>1.78260869565217</v>
      </c>
      <c r="N3856" s="241">
        <v>1.70833333333333</v>
      </c>
      <c r="O3856" s="252">
        <v>1.27272727272727</v>
      </c>
    </row>
    <row r="3857" spans="1:15">
      <c r="A3857" s="242" t="s">
        <v>69</v>
      </c>
      <c r="B3857" s="43" t="s">
        <v>57</v>
      </c>
      <c r="C3857" s="15">
        <v>259</v>
      </c>
      <c r="D3857" s="243">
        <v>45</v>
      </c>
      <c r="E3857" s="243">
        <v>16</v>
      </c>
      <c r="F3857" s="243">
        <v>11</v>
      </c>
      <c r="G3857" s="243">
        <v>15</v>
      </c>
      <c r="H3857" s="243">
        <v>12</v>
      </c>
      <c r="I3857" s="243">
        <v>18</v>
      </c>
      <c r="J3857" s="243">
        <v>19</v>
      </c>
      <c r="K3857" s="243">
        <v>20</v>
      </c>
      <c r="L3857" s="243">
        <v>23</v>
      </c>
      <c r="M3857" s="243">
        <v>23</v>
      </c>
      <c r="N3857" s="243">
        <v>24</v>
      </c>
      <c r="O3857" s="253">
        <v>33</v>
      </c>
    </row>
    <row r="3858" spans="1:15">
      <c r="A3858" s="240" t="s">
        <v>69</v>
      </c>
      <c r="B3858" s="47" t="s">
        <v>59</v>
      </c>
      <c r="C3858" s="15">
        <v>431</v>
      </c>
      <c r="D3858" s="243">
        <v>64</v>
      </c>
      <c r="E3858" s="243">
        <v>25</v>
      </c>
      <c r="F3858" s="243">
        <v>16</v>
      </c>
      <c r="G3858" s="243">
        <v>25</v>
      </c>
      <c r="H3858" s="243">
        <v>25</v>
      </c>
      <c r="I3858" s="243">
        <v>29</v>
      </c>
      <c r="J3858" s="243">
        <v>46</v>
      </c>
      <c r="K3858" s="243">
        <v>35</v>
      </c>
      <c r="L3858" s="243">
        <v>42</v>
      </c>
      <c r="M3858" s="243">
        <v>41</v>
      </c>
      <c r="N3858" s="243">
        <v>41</v>
      </c>
      <c r="O3858" s="253">
        <v>42</v>
      </c>
    </row>
    <row r="3859" spans="1:15">
      <c r="A3859" s="242" t="s">
        <v>69</v>
      </c>
      <c r="B3859" s="43" t="s">
        <v>4</v>
      </c>
      <c r="C3859" s="15">
        <v>18</v>
      </c>
      <c r="D3859" s="244">
        <v>2</v>
      </c>
      <c r="E3859" s="244">
        <v>0</v>
      </c>
      <c r="F3859" s="244">
        <v>0</v>
      </c>
      <c r="G3859" s="244">
        <v>0</v>
      </c>
      <c r="H3859" s="244">
        <v>0</v>
      </c>
      <c r="I3859" s="244">
        <v>0</v>
      </c>
      <c r="J3859" s="244">
        <v>5</v>
      </c>
      <c r="K3859" s="244">
        <v>2</v>
      </c>
      <c r="L3859" s="244">
        <v>1</v>
      </c>
      <c r="M3859" s="244">
        <v>3</v>
      </c>
      <c r="N3859" s="244">
        <v>1</v>
      </c>
      <c r="O3859" s="254">
        <v>4</v>
      </c>
    </row>
    <row r="3860" spans="1:15">
      <c r="A3860" s="240" t="s">
        <v>69</v>
      </c>
      <c r="B3860" s="47" t="s">
        <v>5</v>
      </c>
      <c r="C3860" s="12">
        <v>0.0417633410672854</v>
      </c>
      <c r="D3860" s="241">
        <v>0.03125</v>
      </c>
      <c r="E3860" s="241">
        <v>0</v>
      </c>
      <c r="F3860" s="241">
        <v>0</v>
      </c>
      <c r="G3860" s="241">
        <v>0</v>
      </c>
      <c r="H3860" s="241">
        <v>0</v>
      </c>
      <c r="I3860" s="241">
        <v>0</v>
      </c>
      <c r="J3860" s="241">
        <v>0.108695652173913</v>
      </c>
      <c r="K3860" s="241">
        <v>0.0571428571428571</v>
      </c>
      <c r="L3860" s="241">
        <v>0.0238095238095238</v>
      </c>
      <c r="M3860" s="241">
        <v>0.0731707317073171</v>
      </c>
      <c r="N3860" s="241">
        <v>0.024390243902439</v>
      </c>
      <c r="O3860" s="252">
        <v>0.0952380952380952</v>
      </c>
    </row>
    <row r="3861" spans="1:15">
      <c r="A3861" s="242" t="s">
        <v>69</v>
      </c>
      <c r="B3861" s="43" t="s">
        <v>6</v>
      </c>
      <c r="C3861" s="15">
        <v>3</v>
      </c>
      <c r="D3861" s="244">
        <v>0</v>
      </c>
      <c r="E3861" s="244">
        <v>0</v>
      </c>
      <c r="F3861" s="244">
        <v>0</v>
      </c>
      <c r="G3861" s="244">
        <v>0</v>
      </c>
      <c r="H3861" s="244">
        <v>0</v>
      </c>
      <c r="I3861" s="244">
        <v>0</v>
      </c>
      <c r="J3861" s="244">
        <v>0</v>
      </c>
      <c r="K3861" s="244">
        <v>0</v>
      </c>
      <c r="L3861" s="244">
        <v>1</v>
      </c>
      <c r="M3861" s="244">
        <v>0</v>
      </c>
      <c r="N3861" s="244">
        <v>1</v>
      </c>
      <c r="O3861" s="254">
        <v>1</v>
      </c>
    </row>
    <row r="3862" ht="14.25" spans="1:15">
      <c r="A3862" s="245" t="s">
        <v>69</v>
      </c>
      <c r="B3862" s="52" t="s">
        <v>64</v>
      </c>
      <c r="C3862" s="19">
        <v>0.166666666666667</v>
      </c>
      <c r="D3862" s="246">
        <v>0</v>
      </c>
      <c r="E3862" s="246">
        <v>0</v>
      </c>
      <c r="F3862" s="246">
        <v>0</v>
      </c>
      <c r="G3862" s="246">
        <v>0</v>
      </c>
      <c r="H3862" s="246">
        <v>0</v>
      </c>
      <c r="I3862" s="246">
        <v>0</v>
      </c>
      <c r="J3862" s="246">
        <v>0</v>
      </c>
      <c r="K3862" s="246">
        <v>0</v>
      </c>
      <c r="L3862" s="246">
        <v>1</v>
      </c>
      <c r="M3862" s="246">
        <v>0</v>
      </c>
      <c r="N3862" s="246">
        <v>1</v>
      </c>
      <c r="O3862" s="255">
        <v>0.25</v>
      </c>
    </row>
    <row r="3863" spans="1:15">
      <c r="A3863" s="240" t="s">
        <v>70</v>
      </c>
      <c r="B3863" s="47" t="s">
        <v>55</v>
      </c>
      <c r="C3863" s="12">
        <v>0.602807971014493</v>
      </c>
      <c r="D3863" s="241">
        <v>0.465789473684211</v>
      </c>
      <c r="E3863" s="241">
        <v>0.460714285714286</v>
      </c>
      <c r="F3863" s="241">
        <v>0.446078431372549</v>
      </c>
      <c r="G3863" s="241">
        <v>0.453815261044177</v>
      </c>
      <c r="H3863" s="241">
        <v>0.66374269005848</v>
      </c>
      <c r="I3863" s="241">
        <v>0.707379134860051</v>
      </c>
      <c r="J3863" s="241">
        <v>0.616336633663366</v>
      </c>
      <c r="K3863" s="241">
        <v>0.755924170616114</v>
      </c>
      <c r="L3863" s="241">
        <v>0.745257452574526</v>
      </c>
      <c r="M3863" s="241">
        <v>0.620865139949109</v>
      </c>
      <c r="N3863" s="241">
        <v>0.625287356321839</v>
      </c>
      <c r="O3863" s="252">
        <v>0.528440366972477</v>
      </c>
    </row>
    <row r="3864" spans="1:15">
      <c r="A3864" s="242" t="s">
        <v>70</v>
      </c>
      <c r="B3864" s="43" t="s">
        <v>57</v>
      </c>
      <c r="C3864" s="15">
        <v>4416</v>
      </c>
      <c r="D3864" s="243">
        <v>380</v>
      </c>
      <c r="E3864" s="243">
        <v>280</v>
      </c>
      <c r="F3864" s="243">
        <v>204</v>
      </c>
      <c r="G3864" s="243">
        <v>249</v>
      </c>
      <c r="H3864" s="243">
        <v>342</v>
      </c>
      <c r="I3864" s="243">
        <v>393</v>
      </c>
      <c r="J3864" s="243">
        <v>404</v>
      </c>
      <c r="K3864" s="243">
        <v>422</v>
      </c>
      <c r="L3864" s="243">
        <v>369</v>
      </c>
      <c r="M3864" s="243">
        <v>393</v>
      </c>
      <c r="N3864" s="243">
        <v>435</v>
      </c>
      <c r="O3864" s="253">
        <v>545</v>
      </c>
    </row>
    <row r="3865" spans="1:15">
      <c r="A3865" s="240" t="s">
        <v>70</v>
      </c>
      <c r="B3865" s="47" t="s">
        <v>59</v>
      </c>
      <c r="C3865" s="15">
        <v>2662</v>
      </c>
      <c r="D3865" s="243">
        <v>177</v>
      </c>
      <c r="E3865" s="243">
        <v>129</v>
      </c>
      <c r="F3865" s="243">
        <v>91</v>
      </c>
      <c r="G3865" s="243">
        <v>113</v>
      </c>
      <c r="H3865" s="243">
        <v>227</v>
      </c>
      <c r="I3865" s="243">
        <v>278</v>
      </c>
      <c r="J3865" s="243">
        <v>249</v>
      </c>
      <c r="K3865" s="243">
        <v>319</v>
      </c>
      <c r="L3865" s="243">
        <v>275</v>
      </c>
      <c r="M3865" s="243">
        <v>244</v>
      </c>
      <c r="N3865" s="243">
        <v>272</v>
      </c>
      <c r="O3865" s="253">
        <v>288</v>
      </c>
    </row>
    <row r="3866" spans="1:15">
      <c r="A3866" s="242" t="s">
        <v>70</v>
      </c>
      <c r="B3866" s="43" t="s">
        <v>4</v>
      </c>
      <c r="C3866" s="15">
        <v>146</v>
      </c>
      <c r="D3866" s="244">
        <v>18</v>
      </c>
      <c r="E3866" s="244">
        <v>12</v>
      </c>
      <c r="F3866" s="244">
        <v>5</v>
      </c>
      <c r="G3866" s="244">
        <v>8</v>
      </c>
      <c r="H3866" s="244">
        <v>6</v>
      </c>
      <c r="I3866" s="244">
        <v>12</v>
      </c>
      <c r="J3866" s="244">
        <v>12</v>
      </c>
      <c r="K3866" s="244">
        <v>14</v>
      </c>
      <c r="L3866" s="244">
        <v>7</v>
      </c>
      <c r="M3866" s="244">
        <v>13</v>
      </c>
      <c r="N3866" s="244">
        <v>12</v>
      </c>
      <c r="O3866" s="254">
        <v>27</v>
      </c>
    </row>
    <row r="3867" spans="1:15">
      <c r="A3867" s="240" t="s">
        <v>70</v>
      </c>
      <c r="B3867" s="47" t="s">
        <v>5</v>
      </c>
      <c r="C3867" s="12">
        <v>0.0548459804658152</v>
      </c>
      <c r="D3867" s="241">
        <v>0.101694915254237</v>
      </c>
      <c r="E3867" s="241">
        <v>0.0930232558139535</v>
      </c>
      <c r="F3867" s="241">
        <v>0.0549450549450549</v>
      </c>
      <c r="G3867" s="241">
        <v>0.0707964601769911</v>
      </c>
      <c r="H3867" s="241">
        <v>0.026431718061674</v>
      </c>
      <c r="I3867" s="241">
        <v>0.0431654676258993</v>
      </c>
      <c r="J3867" s="241">
        <v>0.0481927710843374</v>
      </c>
      <c r="K3867" s="241">
        <v>0.0438871473354232</v>
      </c>
      <c r="L3867" s="241">
        <v>0.0254545454545455</v>
      </c>
      <c r="M3867" s="241">
        <v>0.0532786885245902</v>
      </c>
      <c r="N3867" s="241">
        <v>0.0441176470588235</v>
      </c>
      <c r="O3867" s="252">
        <v>0.09375</v>
      </c>
    </row>
    <row r="3868" spans="1:15">
      <c r="A3868" s="242" t="s">
        <v>70</v>
      </c>
      <c r="B3868" s="43" t="s">
        <v>6</v>
      </c>
      <c r="C3868" s="15">
        <v>42</v>
      </c>
      <c r="D3868" s="244">
        <v>7</v>
      </c>
      <c r="E3868" s="244">
        <v>4</v>
      </c>
      <c r="F3868" s="244">
        <v>2</v>
      </c>
      <c r="G3868" s="244">
        <v>2</v>
      </c>
      <c r="H3868" s="244">
        <v>4</v>
      </c>
      <c r="I3868" s="244">
        <v>4</v>
      </c>
      <c r="J3868" s="244">
        <v>1</v>
      </c>
      <c r="K3868" s="244">
        <v>4</v>
      </c>
      <c r="L3868" s="244">
        <v>2</v>
      </c>
      <c r="M3868" s="244">
        <v>3</v>
      </c>
      <c r="N3868" s="244">
        <v>4</v>
      </c>
      <c r="O3868" s="254">
        <v>5</v>
      </c>
    </row>
    <row r="3869" ht="14.25" spans="1:15">
      <c r="A3869" s="245" t="s">
        <v>70</v>
      </c>
      <c r="B3869" s="52" t="s">
        <v>64</v>
      </c>
      <c r="C3869" s="19">
        <v>0.287671232876712</v>
      </c>
      <c r="D3869" s="246">
        <v>0.388888888888889</v>
      </c>
      <c r="E3869" s="246">
        <v>0.333333333333333</v>
      </c>
      <c r="F3869" s="246">
        <v>0.4</v>
      </c>
      <c r="G3869" s="246">
        <v>0.25</v>
      </c>
      <c r="H3869" s="246">
        <v>0.666666666666667</v>
      </c>
      <c r="I3869" s="246">
        <v>0.333333333333333</v>
      </c>
      <c r="J3869" s="246">
        <v>0.0833333333333333</v>
      </c>
      <c r="K3869" s="246">
        <v>0.285714285714286</v>
      </c>
      <c r="L3869" s="246">
        <v>0.285714285714286</v>
      </c>
      <c r="M3869" s="246">
        <v>0.230769230769231</v>
      </c>
      <c r="N3869" s="246">
        <v>0.333333333333333</v>
      </c>
      <c r="O3869" s="255">
        <v>0.185185185185185</v>
      </c>
    </row>
    <row r="3870" spans="1:15">
      <c r="A3870" s="240" t="s">
        <v>26</v>
      </c>
      <c r="B3870" s="47" t="s">
        <v>55</v>
      </c>
      <c r="C3870" s="12">
        <v>0.726078028747433</v>
      </c>
      <c r="D3870" s="241">
        <v>0.798850574712644</v>
      </c>
      <c r="E3870" s="241">
        <v>0.559118236472946</v>
      </c>
      <c r="F3870" s="241">
        <v>0.6</v>
      </c>
      <c r="G3870" s="241">
        <v>0.576271186440678</v>
      </c>
      <c r="H3870" s="241">
        <v>0.777173913043478</v>
      </c>
      <c r="I3870" s="241">
        <v>0.743055555555556</v>
      </c>
      <c r="J3870" s="241">
        <v>1.02962962962963</v>
      </c>
      <c r="K3870" s="241">
        <v>0.855932203389831</v>
      </c>
      <c r="L3870" s="241">
        <v>0.767123287671233</v>
      </c>
      <c r="M3870" s="241">
        <v>0.971428571428571</v>
      </c>
      <c r="N3870" s="241">
        <v>1.18181818181818</v>
      </c>
      <c r="O3870" s="252">
        <v>1.01449275362319</v>
      </c>
    </row>
    <row r="3871" spans="1:15">
      <c r="A3871" s="242" t="s">
        <v>26</v>
      </c>
      <c r="B3871" s="43" t="s">
        <v>57</v>
      </c>
      <c r="C3871" s="15">
        <v>2435</v>
      </c>
      <c r="D3871" s="243">
        <v>348</v>
      </c>
      <c r="E3871" s="243">
        <v>499</v>
      </c>
      <c r="F3871" s="243">
        <v>350</v>
      </c>
      <c r="G3871" s="243">
        <v>295</v>
      </c>
      <c r="H3871" s="243">
        <v>184</v>
      </c>
      <c r="I3871" s="243">
        <v>144</v>
      </c>
      <c r="J3871" s="243">
        <v>135</v>
      </c>
      <c r="K3871" s="243">
        <v>118</v>
      </c>
      <c r="L3871" s="243">
        <v>146</v>
      </c>
      <c r="M3871" s="243">
        <v>70</v>
      </c>
      <c r="N3871" s="243">
        <v>77</v>
      </c>
      <c r="O3871" s="253">
        <v>69</v>
      </c>
    </row>
    <row r="3872" spans="1:15">
      <c r="A3872" s="240" t="s">
        <v>26</v>
      </c>
      <c r="B3872" s="47" t="s">
        <v>59</v>
      </c>
      <c r="C3872" s="15">
        <v>1768</v>
      </c>
      <c r="D3872" s="243">
        <v>278</v>
      </c>
      <c r="E3872" s="243">
        <v>279</v>
      </c>
      <c r="F3872" s="243">
        <v>210</v>
      </c>
      <c r="G3872" s="243">
        <v>170</v>
      </c>
      <c r="H3872" s="243">
        <v>143</v>
      </c>
      <c r="I3872" s="243">
        <v>107</v>
      </c>
      <c r="J3872" s="243">
        <v>139</v>
      </c>
      <c r="K3872" s="243">
        <v>101</v>
      </c>
      <c r="L3872" s="243">
        <v>112</v>
      </c>
      <c r="M3872" s="243">
        <v>68</v>
      </c>
      <c r="N3872" s="243">
        <v>91</v>
      </c>
      <c r="O3872" s="253">
        <v>70</v>
      </c>
    </row>
    <row r="3873" spans="1:15">
      <c r="A3873" s="242" t="s">
        <v>26</v>
      </c>
      <c r="B3873" s="43" t="s">
        <v>4</v>
      </c>
      <c r="C3873" s="15">
        <v>6</v>
      </c>
      <c r="D3873" s="244">
        <v>2</v>
      </c>
      <c r="E3873" s="244">
        <v>0</v>
      </c>
      <c r="F3873" s="244">
        <v>0</v>
      </c>
      <c r="G3873" s="244">
        <v>0</v>
      </c>
      <c r="H3873" s="244">
        <v>0</v>
      </c>
      <c r="I3873" s="244">
        <v>0</v>
      </c>
      <c r="J3873" s="244">
        <v>0</v>
      </c>
      <c r="K3873" s="244">
        <v>0</v>
      </c>
      <c r="L3873" s="244">
        <v>1</v>
      </c>
      <c r="M3873" s="244">
        <v>0</v>
      </c>
      <c r="N3873" s="244">
        <v>1</v>
      </c>
      <c r="O3873" s="254">
        <v>2</v>
      </c>
    </row>
    <row r="3874" spans="1:15">
      <c r="A3874" s="240" t="s">
        <v>26</v>
      </c>
      <c r="B3874" s="47" t="s">
        <v>5</v>
      </c>
      <c r="C3874" s="12">
        <v>0.00339366515837104</v>
      </c>
      <c r="D3874" s="241">
        <v>0.00719424460431655</v>
      </c>
      <c r="E3874" s="241">
        <v>0</v>
      </c>
      <c r="F3874" s="241">
        <v>0</v>
      </c>
      <c r="G3874" s="241">
        <v>0</v>
      </c>
      <c r="H3874" s="241">
        <v>0</v>
      </c>
      <c r="I3874" s="241">
        <v>0</v>
      </c>
      <c r="J3874" s="241">
        <v>0</v>
      </c>
      <c r="K3874" s="241">
        <v>0</v>
      </c>
      <c r="L3874" s="241">
        <v>0.00892857142857143</v>
      </c>
      <c r="M3874" s="241">
        <v>0</v>
      </c>
      <c r="N3874" s="241">
        <v>0.010989010989011</v>
      </c>
      <c r="O3874" s="252">
        <v>0.0285714285714286</v>
      </c>
    </row>
    <row r="3875" spans="1:15">
      <c r="A3875" s="242" t="s">
        <v>26</v>
      </c>
      <c r="B3875" s="43" t="s">
        <v>6</v>
      </c>
      <c r="C3875" s="15">
        <v>3</v>
      </c>
      <c r="D3875" s="244">
        <v>0</v>
      </c>
      <c r="E3875" s="244">
        <v>0</v>
      </c>
      <c r="F3875" s="244">
        <v>0</v>
      </c>
      <c r="G3875" s="244">
        <v>0</v>
      </c>
      <c r="H3875" s="244">
        <v>0</v>
      </c>
      <c r="I3875" s="244">
        <v>0</v>
      </c>
      <c r="J3875" s="244">
        <v>0</v>
      </c>
      <c r="K3875" s="244">
        <v>0</v>
      </c>
      <c r="L3875" s="244">
        <v>1</v>
      </c>
      <c r="M3875" s="244">
        <v>0</v>
      </c>
      <c r="N3875" s="244">
        <v>1</v>
      </c>
      <c r="O3875" s="254">
        <v>1</v>
      </c>
    </row>
    <row r="3876" ht="14.25" spans="1:15">
      <c r="A3876" s="245" t="s">
        <v>26</v>
      </c>
      <c r="B3876" s="52" t="s">
        <v>64</v>
      </c>
      <c r="C3876" s="19">
        <v>0.5</v>
      </c>
      <c r="D3876" s="19">
        <v>0</v>
      </c>
      <c r="E3876" s="19" t="e">
        <v>#DIV/0!</v>
      </c>
      <c r="F3876" s="19" t="e">
        <v>#DIV/0!</v>
      </c>
      <c r="G3876" s="19" t="e">
        <v>#DIV/0!</v>
      </c>
      <c r="H3876" s="19" t="e">
        <v>#DIV/0!</v>
      </c>
      <c r="I3876" s="19" t="e">
        <v>#DIV/0!</v>
      </c>
      <c r="J3876" s="19" t="e">
        <v>#DIV/0!</v>
      </c>
      <c r="K3876" s="19" t="e">
        <v>#DIV/0!</v>
      </c>
      <c r="L3876" s="19">
        <v>1</v>
      </c>
      <c r="M3876" s="19" t="e">
        <v>#DIV/0!</v>
      </c>
      <c r="N3876" s="19">
        <v>1</v>
      </c>
      <c r="O3876" s="19">
        <v>0.5</v>
      </c>
    </row>
    <row r="3877" spans="1:15">
      <c r="A3877" s="240" t="s">
        <v>71</v>
      </c>
      <c r="B3877" s="47" t="s">
        <v>55</v>
      </c>
      <c r="C3877" s="12">
        <v>4</v>
      </c>
      <c r="D3877" s="241" t="e">
        <v>#DIV/0!</v>
      </c>
      <c r="E3877" s="241" t="e">
        <v>#DIV/0!</v>
      </c>
      <c r="F3877" s="241">
        <v>0.5</v>
      </c>
      <c r="G3877" s="241" t="e">
        <v>#DIV/0!</v>
      </c>
      <c r="H3877" s="241" t="e">
        <v>#DIV/0!</v>
      </c>
      <c r="I3877" s="241" t="e">
        <v>#DIV/0!</v>
      </c>
      <c r="J3877" s="241" t="e">
        <v>#DIV/0!</v>
      </c>
      <c r="K3877" s="241" t="e">
        <v>#DIV/0!</v>
      </c>
      <c r="L3877" s="241" t="e">
        <v>#DIV/0!</v>
      </c>
      <c r="M3877" s="241" t="e">
        <v>#DIV/0!</v>
      </c>
      <c r="N3877" s="241" t="e">
        <v>#DIV/0!</v>
      </c>
      <c r="O3877" s="252" t="e">
        <v>#DIV/0!</v>
      </c>
    </row>
    <row r="3878" spans="1:15">
      <c r="A3878" s="242" t="s">
        <v>71</v>
      </c>
      <c r="B3878" s="43" t="s">
        <v>57</v>
      </c>
      <c r="C3878" s="15">
        <v>2</v>
      </c>
      <c r="D3878" s="243">
        <v>0</v>
      </c>
      <c r="E3878" s="243">
        <v>0</v>
      </c>
      <c r="F3878" s="243">
        <v>2</v>
      </c>
      <c r="G3878" s="243">
        <v>0</v>
      </c>
      <c r="H3878" s="243">
        <v>0</v>
      </c>
      <c r="I3878" s="243">
        <v>0</v>
      </c>
      <c r="J3878" s="243">
        <v>0</v>
      </c>
      <c r="K3878" s="243">
        <v>0</v>
      </c>
      <c r="L3878" s="243">
        <v>0</v>
      </c>
      <c r="M3878" s="243">
        <v>0</v>
      </c>
      <c r="N3878" s="243">
        <v>0</v>
      </c>
      <c r="O3878" s="253">
        <v>0</v>
      </c>
    </row>
    <row r="3879" spans="1:15">
      <c r="A3879" s="240" t="s">
        <v>71</v>
      </c>
      <c r="B3879" s="47" t="s">
        <v>59</v>
      </c>
      <c r="C3879" s="15">
        <v>8</v>
      </c>
      <c r="D3879" s="243">
        <v>4</v>
      </c>
      <c r="E3879" s="243">
        <v>1</v>
      </c>
      <c r="F3879" s="243">
        <v>1</v>
      </c>
      <c r="G3879" s="243">
        <v>0</v>
      </c>
      <c r="H3879" s="243">
        <v>0</v>
      </c>
      <c r="I3879" s="243">
        <v>0</v>
      </c>
      <c r="J3879" s="243">
        <v>0</v>
      </c>
      <c r="K3879" s="243">
        <v>0</v>
      </c>
      <c r="L3879" s="243">
        <v>0</v>
      </c>
      <c r="M3879" s="243">
        <v>1</v>
      </c>
      <c r="N3879" s="243">
        <v>1</v>
      </c>
      <c r="O3879" s="253">
        <v>0</v>
      </c>
    </row>
    <row r="3880" spans="1:15">
      <c r="A3880" s="242" t="s">
        <v>71</v>
      </c>
      <c r="B3880" s="43" t="s">
        <v>4</v>
      </c>
      <c r="C3880" s="15">
        <v>17</v>
      </c>
      <c r="D3880" s="244">
        <v>2</v>
      </c>
      <c r="E3880" s="244">
        <v>2</v>
      </c>
      <c r="F3880" s="244">
        <v>1</v>
      </c>
      <c r="G3880" s="244">
        <v>1</v>
      </c>
      <c r="H3880" s="244">
        <v>2</v>
      </c>
      <c r="I3880" s="244">
        <v>0</v>
      </c>
      <c r="J3880" s="244">
        <v>0</v>
      </c>
      <c r="K3880" s="244">
        <v>2</v>
      </c>
      <c r="L3880" s="244">
        <v>2</v>
      </c>
      <c r="M3880" s="244">
        <v>0</v>
      </c>
      <c r="N3880" s="244">
        <v>2</v>
      </c>
      <c r="O3880" s="254">
        <v>3</v>
      </c>
    </row>
    <row r="3881" spans="1:15">
      <c r="A3881" s="240" t="s">
        <v>71</v>
      </c>
      <c r="B3881" s="47" t="s">
        <v>5</v>
      </c>
      <c r="C3881" s="241">
        <v>2.125</v>
      </c>
      <c r="D3881" s="241">
        <v>0.5</v>
      </c>
      <c r="E3881" s="241">
        <v>2</v>
      </c>
      <c r="F3881" s="241">
        <v>1</v>
      </c>
      <c r="G3881" s="241">
        <v>0</v>
      </c>
      <c r="H3881" s="241">
        <v>0</v>
      </c>
      <c r="I3881" s="241">
        <v>0</v>
      </c>
      <c r="J3881" s="241">
        <v>0</v>
      </c>
      <c r="K3881" s="241">
        <v>0</v>
      </c>
      <c r="L3881" s="241">
        <v>0</v>
      </c>
      <c r="M3881" s="241">
        <v>0</v>
      </c>
      <c r="N3881" s="241">
        <v>2</v>
      </c>
      <c r="O3881" s="252">
        <v>0</v>
      </c>
    </row>
    <row r="3882" spans="1:15">
      <c r="A3882" s="242" t="s">
        <v>71</v>
      </c>
      <c r="B3882" s="43" t="s">
        <v>6</v>
      </c>
      <c r="C3882" s="15">
        <v>2</v>
      </c>
      <c r="D3882" s="244">
        <v>0</v>
      </c>
      <c r="E3882" s="244">
        <v>0</v>
      </c>
      <c r="F3882" s="244">
        <v>1</v>
      </c>
      <c r="G3882" s="244">
        <v>0</v>
      </c>
      <c r="H3882" s="244">
        <v>0</v>
      </c>
      <c r="I3882" s="244">
        <v>0</v>
      </c>
      <c r="J3882" s="244">
        <v>0</v>
      </c>
      <c r="K3882" s="244">
        <v>0</v>
      </c>
      <c r="L3882" s="244">
        <v>0</v>
      </c>
      <c r="M3882" s="244">
        <v>0</v>
      </c>
      <c r="N3882" s="244">
        <v>1</v>
      </c>
      <c r="O3882" s="254">
        <v>0</v>
      </c>
    </row>
    <row r="3883" ht="14.25" spans="1:15">
      <c r="A3883" s="245" t="s">
        <v>71</v>
      </c>
      <c r="B3883" s="52" t="s">
        <v>64</v>
      </c>
      <c r="C3883" s="19">
        <v>0.117647058823529</v>
      </c>
      <c r="D3883" s="19">
        <v>0</v>
      </c>
      <c r="E3883" s="19">
        <v>0</v>
      </c>
      <c r="F3883" s="19">
        <v>1</v>
      </c>
      <c r="G3883" s="19">
        <v>0</v>
      </c>
      <c r="H3883" s="19">
        <v>0</v>
      </c>
      <c r="I3883" s="19" t="e">
        <v>#DIV/0!</v>
      </c>
      <c r="J3883" s="19" t="e">
        <v>#DIV/0!</v>
      </c>
      <c r="K3883" s="19">
        <v>0</v>
      </c>
      <c r="L3883" s="19">
        <v>0</v>
      </c>
      <c r="M3883" s="19" t="e">
        <v>#DIV/0!</v>
      </c>
      <c r="N3883" s="19">
        <v>0.5</v>
      </c>
      <c r="O3883" s="19">
        <v>0</v>
      </c>
    </row>
    <row r="3884" spans="1:15">
      <c r="A3884" s="240" t="s">
        <v>72</v>
      </c>
      <c r="B3884" s="47" t="s">
        <v>55</v>
      </c>
      <c r="C3884" s="12">
        <v>0.168357305071915</v>
      </c>
      <c r="D3884" s="241">
        <v>0.200787401574803</v>
      </c>
      <c r="E3884" s="241">
        <v>0.187667560321716</v>
      </c>
      <c r="F3884" s="241">
        <v>0.175298804780877</v>
      </c>
      <c r="G3884" s="241">
        <v>0.166666666666667</v>
      </c>
      <c r="H3884" s="241">
        <v>0.213541666666667</v>
      </c>
      <c r="I3884" s="241">
        <v>0.17479674796748</v>
      </c>
      <c r="J3884" s="241">
        <v>0.155555555555556</v>
      </c>
      <c r="K3884" s="241">
        <v>0.12199036918138</v>
      </c>
      <c r="L3884" s="241">
        <v>0.205623901581722</v>
      </c>
      <c r="M3884" s="241">
        <v>0.157258064516129</v>
      </c>
      <c r="N3884" s="241">
        <v>0.146886016451234</v>
      </c>
      <c r="O3884" s="252">
        <v>0.15174672489083</v>
      </c>
    </row>
    <row r="3885" spans="1:15">
      <c r="A3885" s="242" t="s">
        <v>72</v>
      </c>
      <c r="B3885" s="43" t="s">
        <v>57</v>
      </c>
      <c r="C3885" s="15">
        <v>6605</v>
      </c>
      <c r="D3885" s="243">
        <v>762</v>
      </c>
      <c r="E3885" s="243">
        <v>373</v>
      </c>
      <c r="F3885" s="243">
        <v>251</v>
      </c>
      <c r="G3885" s="243">
        <v>348</v>
      </c>
      <c r="H3885" s="243">
        <v>384</v>
      </c>
      <c r="I3885" s="243">
        <v>492</v>
      </c>
      <c r="J3885" s="243">
        <v>540</v>
      </c>
      <c r="K3885" s="243">
        <v>623</v>
      </c>
      <c r="L3885" s="243">
        <v>569</v>
      </c>
      <c r="M3885" s="243">
        <v>496</v>
      </c>
      <c r="N3885" s="243">
        <v>851</v>
      </c>
      <c r="O3885" s="253">
        <v>916</v>
      </c>
    </row>
    <row r="3886" spans="1:15">
      <c r="A3886" s="240" t="s">
        <v>72</v>
      </c>
      <c r="B3886" s="47" t="s">
        <v>59</v>
      </c>
      <c r="C3886" s="15">
        <v>1112</v>
      </c>
      <c r="D3886" s="243">
        <v>153</v>
      </c>
      <c r="E3886" s="243">
        <v>70</v>
      </c>
      <c r="F3886" s="243">
        <v>44</v>
      </c>
      <c r="G3886" s="243">
        <v>58</v>
      </c>
      <c r="H3886" s="243">
        <v>82</v>
      </c>
      <c r="I3886" s="243">
        <v>86</v>
      </c>
      <c r="J3886" s="243">
        <v>84</v>
      </c>
      <c r="K3886" s="243">
        <v>76</v>
      </c>
      <c r="L3886" s="243">
        <v>117</v>
      </c>
      <c r="M3886" s="243">
        <v>78</v>
      </c>
      <c r="N3886" s="243">
        <v>125</v>
      </c>
      <c r="O3886" s="253">
        <v>139</v>
      </c>
    </row>
    <row r="3887" spans="1:15">
      <c r="A3887" s="242" t="s">
        <v>72</v>
      </c>
      <c r="B3887" s="43" t="s">
        <v>4</v>
      </c>
      <c r="C3887" s="15">
        <v>116</v>
      </c>
      <c r="D3887" s="244">
        <v>14</v>
      </c>
      <c r="E3887" s="244">
        <v>10</v>
      </c>
      <c r="F3887" s="244">
        <v>2</v>
      </c>
      <c r="G3887" s="244">
        <v>4</v>
      </c>
      <c r="H3887" s="244">
        <v>6</v>
      </c>
      <c r="I3887" s="244">
        <v>17</v>
      </c>
      <c r="J3887" s="244">
        <v>9</v>
      </c>
      <c r="K3887" s="244">
        <v>9</v>
      </c>
      <c r="L3887" s="244">
        <v>8</v>
      </c>
      <c r="M3887" s="244">
        <v>9</v>
      </c>
      <c r="N3887" s="244">
        <v>10</v>
      </c>
      <c r="O3887" s="254">
        <v>18</v>
      </c>
    </row>
    <row r="3888" spans="1:15">
      <c r="A3888" s="240" t="s">
        <v>72</v>
      </c>
      <c r="B3888" s="47" t="s">
        <v>5</v>
      </c>
      <c r="C3888" s="12">
        <v>0.10431654676259</v>
      </c>
      <c r="D3888" s="241">
        <v>0.0915032679738562</v>
      </c>
      <c r="E3888" s="241">
        <v>0.142857142857143</v>
      </c>
      <c r="F3888" s="241">
        <v>0.0454545454545455</v>
      </c>
      <c r="G3888" s="241">
        <v>0.0689655172413793</v>
      </c>
      <c r="H3888" s="241">
        <v>0.0731707317073171</v>
      </c>
      <c r="I3888" s="241">
        <v>0.197674418604651</v>
      </c>
      <c r="J3888" s="241">
        <v>0.107142857142857</v>
      </c>
      <c r="K3888" s="241">
        <v>0.118421052631579</v>
      </c>
      <c r="L3888" s="241">
        <v>0.0683760683760684</v>
      </c>
      <c r="M3888" s="241">
        <v>0.115384615384615</v>
      </c>
      <c r="N3888" s="241">
        <v>0.08</v>
      </c>
      <c r="O3888" s="252">
        <v>0.129496402877698</v>
      </c>
    </row>
    <row r="3889" spans="1:15">
      <c r="A3889" s="242" t="s">
        <v>72</v>
      </c>
      <c r="B3889" s="43" t="s">
        <v>6</v>
      </c>
      <c r="C3889" s="15">
        <v>34</v>
      </c>
      <c r="D3889" s="244">
        <v>9</v>
      </c>
      <c r="E3889" s="244">
        <v>1</v>
      </c>
      <c r="F3889" s="244">
        <v>0</v>
      </c>
      <c r="G3889" s="244">
        <v>1</v>
      </c>
      <c r="H3889" s="244">
        <v>1</v>
      </c>
      <c r="I3889" s="244">
        <v>3</v>
      </c>
      <c r="J3889" s="244">
        <v>3</v>
      </c>
      <c r="K3889" s="244">
        <v>5</v>
      </c>
      <c r="L3889" s="244">
        <v>5</v>
      </c>
      <c r="M3889" s="244">
        <v>0</v>
      </c>
      <c r="N3889" s="244">
        <v>3</v>
      </c>
      <c r="O3889" s="254">
        <v>3</v>
      </c>
    </row>
    <row r="3890" ht="14.25" spans="1:15">
      <c r="A3890" s="245" t="s">
        <v>72</v>
      </c>
      <c r="B3890" s="52" t="s">
        <v>64</v>
      </c>
      <c r="C3890" s="19">
        <v>0.293103448275862</v>
      </c>
      <c r="D3890" s="19">
        <v>0.642857142857143</v>
      </c>
      <c r="E3890" s="19">
        <v>0.1</v>
      </c>
      <c r="F3890" s="19">
        <v>0</v>
      </c>
      <c r="G3890" s="19">
        <v>0.25</v>
      </c>
      <c r="H3890" s="19">
        <v>0.166666666666667</v>
      </c>
      <c r="I3890" s="19">
        <v>0.176470588235294</v>
      </c>
      <c r="J3890" s="19">
        <v>0.333333333333333</v>
      </c>
      <c r="K3890" s="19">
        <v>0.555555555555556</v>
      </c>
      <c r="L3890" s="19">
        <v>0.625</v>
      </c>
      <c r="M3890" s="19">
        <v>0</v>
      </c>
      <c r="N3890" s="19">
        <v>0.3</v>
      </c>
      <c r="O3890" s="19">
        <v>0.166666666666667</v>
      </c>
    </row>
    <row r="3891" ht="14.25" spans="1:15">
      <c r="A3891" s="237">
        <v>45079</v>
      </c>
      <c r="B3891" s="237"/>
      <c r="C3891" s="237"/>
      <c r="D3891" s="237"/>
      <c r="E3891" s="237"/>
      <c r="F3891" s="237"/>
      <c r="G3891" s="237"/>
      <c r="H3891" s="237"/>
      <c r="I3891" s="237"/>
      <c r="J3891" s="237"/>
      <c r="K3891" s="237"/>
      <c r="L3891" s="237"/>
      <c r="M3891" s="237"/>
      <c r="N3891" s="237"/>
      <c r="O3891" s="237"/>
    </row>
    <row r="3892" spans="1:15">
      <c r="A3892" s="56" t="s">
        <v>1</v>
      </c>
      <c r="B3892" s="238"/>
      <c r="C3892" s="8" t="s">
        <v>42</v>
      </c>
      <c r="D3892" s="239" t="s">
        <v>43</v>
      </c>
      <c r="E3892" s="239" t="s">
        <v>44</v>
      </c>
      <c r="F3892" s="239" t="s">
        <v>45</v>
      </c>
      <c r="G3892" s="239" t="s">
        <v>46</v>
      </c>
      <c r="H3892" s="239" t="s">
        <v>47</v>
      </c>
      <c r="I3892" s="239" t="s">
        <v>48</v>
      </c>
      <c r="J3892" s="239" t="s">
        <v>49</v>
      </c>
      <c r="K3892" s="239" t="s">
        <v>50</v>
      </c>
      <c r="L3892" s="239" t="s">
        <v>51</v>
      </c>
      <c r="M3892" s="239" t="s">
        <v>52</v>
      </c>
      <c r="N3892" s="239" t="s">
        <v>53</v>
      </c>
      <c r="O3892" s="251" t="s">
        <v>54</v>
      </c>
    </row>
    <row r="3893" spans="1:15">
      <c r="A3893" s="240" t="s">
        <v>22</v>
      </c>
      <c r="B3893" s="47" t="s">
        <v>55</v>
      </c>
      <c r="C3893" s="12">
        <v>0.440321240653559</v>
      </c>
      <c r="D3893" s="241">
        <v>0.494186046511628</v>
      </c>
      <c r="E3893" s="241">
        <v>0.402116402116402</v>
      </c>
      <c r="F3893" s="241">
        <v>0.420634920634921</v>
      </c>
      <c r="G3893" s="241">
        <v>0.497354497354497</v>
      </c>
      <c r="H3893" s="241">
        <v>0.551829268292683</v>
      </c>
      <c r="I3893" s="241">
        <v>0.416403785488959</v>
      </c>
      <c r="J3893" s="241">
        <v>0.451298701298701</v>
      </c>
      <c r="K3893" s="241">
        <v>0.390625</v>
      </c>
      <c r="L3893" s="241">
        <v>0.414634146341463</v>
      </c>
      <c r="M3893" s="241">
        <v>0.445544554455446</v>
      </c>
      <c r="N3893" s="241">
        <v>0.434782608695652</v>
      </c>
      <c r="O3893" s="252">
        <v>0.381188118811881</v>
      </c>
    </row>
    <row r="3894" spans="1:15">
      <c r="A3894" s="242" t="s">
        <v>22</v>
      </c>
      <c r="B3894" s="43" t="s">
        <v>57</v>
      </c>
      <c r="C3894" s="15">
        <v>3611</v>
      </c>
      <c r="D3894" s="243">
        <v>344</v>
      </c>
      <c r="E3894" s="243">
        <v>189</v>
      </c>
      <c r="F3894" s="243">
        <v>126</v>
      </c>
      <c r="G3894" s="243">
        <v>189</v>
      </c>
      <c r="H3894" s="243">
        <v>328</v>
      </c>
      <c r="I3894" s="243">
        <v>317</v>
      </c>
      <c r="J3894" s="243">
        <v>308</v>
      </c>
      <c r="K3894" s="243">
        <v>384</v>
      </c>
      <c r="L3894" s="243">
        <v>328</v>
      </c>
      <c r="M3894" s="243">
        <v>303</v>
      </c>
      <c r="N3894" s="243">
        <v>391</v>
      </c>
      <c r="O3894" s="253">
        <v>404</v>
      </c>
    </row>
    <row r="3895" spans="1:15">
      <c r="A3895" s="240" t="s">
        <v>22</v>
      </c>
      <c r="B3895" s="47" t="s">
        <v>59</v>
      </c>
      <c r="C3895" s="15">
        <v>1590</v>
      </c>
      <c r="D3895" s="243">
        <v>170</v>
      </c>
      <c r="E3895" s="243">
        <v>76</v>
      </c>
      <c r="F3895" s="243">
        <v>53</v>
      </c>
      <c r="G3895" s="243">
        <v>94</v>
      </c>
      <c r="H3895" s="243">
        <v>181</v>
      </c>
      <c r="I3895" s="243">
        <v>132</v>
      </c>
      <c r="J3895" s="243">
        <v>139</v>
      </c>
      <c r="K3895" s="243">
        <v>150</v>
      </c>
      <c r="L3895" s="243">
        <v>136</v>
      </c>
      <c r="M3895" s="243">
        <v>135</v>
      </c>
      <c r="N3895" s="243">
        <v>170</v>
      </c>
      <c r="O3895" s="253">
        <v>154</v>
      </c>
    </row>
    <row r="3896" spans="1:15">
      <c r="A3896" s="242" t="s">
        <v>22</v>
      </c>
      <c r="B3896" s="43" t="s">
        <v>4</v>
      </c>
      <c r="C3896" s="15">
        <v>108</v>
      </c>
      <c r="D3896" s="244">
        <v>14</v>
      </c>
      <c r="E3896" s="244">
        <v>2</v>
      </c>
      <c r="F3896" s="244">
        <v>6</v>
      </c>
      <c r="G3896" s="244">
        <v>4</v>
      </c>
      <c r="H3896" s="244">
        <v>6</v>
      </c>
      <c r="I3896" s="244">
        <v>7</v>
      </c>
      <c r="J3896" s="244">
        <v>11</v>
      </c>
      <c r="K3896" s="244">
        <v>10</v>
      </c>
      <c r="L3896" s="244">
        <v>14</v>
      </c>
      <c r="M3896" s="244">
        <v>10</v>
      </c>
      <c r="N3896" s="244">
        <v>10</v>
      </c>
      <c r="O3896" s="254">
        <v>14</v>
      </c>
    </row>
    <row r="3897" spans="1:15">
      <c r="A3897" s="240" t="s">
        <v>22</v>
      </c>
      <c r="B3897" s="47" t="s">
        <v>5</v>
      </c>
      <c r="C3897" s="12">
        <v>0.0679245283018868</v>
      </c>
      <c r="D3897" s="241">
        <v>0.0823529411764706</v>
      </c>
      <c r="E3897" s="241">
        <v>0.0263157894736842</v>
      </c>
      <c r="F3897" s="241">
        <v>0.113207547169811</v>
      </c>
      <c r="G3897" s="241">
        <v>0.0425531914893617</v>
      </c>
      <c r="H3897" s="241">
        <v>0.0331491712707182</v>
      </c>
      <c r="I3897" s="241">
        <v>0.053030303030303</v>
      </c>
      <c r="J3897" s="241">
        <v>0.079136690647482</v>
      </c>
      <c r="K3897" s="241">
        <v>0.0666666666666667</v>
      </c>
      <c r="L3897" s="241">
        <v>0.102941176470588</v>
      </c>
      <c r="M3897" s="241">
        <v>0.0740740740740741</v>
      </c>
      <c r="N3897" s="241">
        <v>0.0588235294117647</v>
      </c>
      <c r="O3897" s="252">
        <v>0.0909090909090909</v>
      </c>
    </row>
    <row r="3898" spans="1:15">
      <c r="A3898" s="242" t="s">
        <v>22</v>
      </c>
      <c r="B3898" s="43" t="s">
        <v>6</v>
      </c>
      <c r="C3898" s="15">
        <v>42</v>
      </c>
      <c r="D3898" s="244">
        <v>5</v>
      </c>
      <c r="E3898" s="244">
        <v>2</v>
      </c>
      <c r="F3898" s="244">
        <v>1</v>
      </c>
      <c r="G3898" s="244">
        <v>2</v>
      </c>
      <c r="H3898" s="244">
        <v>3</v>
      </c>
      <c r="I3898" s="244">
        <v>4</v>
      </c>
      <c r="J3898" s="244">
        <v>4</v>
      </c>
      <c r="K3898" s="244">
        <v>1</v>
      </c>
      <c r="L3898" s="244">
        <v>5</v>
      </c>
      <c r="M3898" s="244">
        <v>4</v>
      </c>
      <c r="N3898" s="244">
        <v>8</v>
      </c>
      <c r="O3898" s="254">
        <v>3</v>
      </c>
    </row>
    <row r="3899" ht="14.25" spans="1:15">
      <c r="A3899" s="245" t="s">
        <v>22</v>
      </c>
      <c r="B3899" s="52" t="s">
        <v>64</v>
      </c>
      <c r="C3899" s="19">
        <v>0.388888888888889</v>
      </c>
      <c r="D3899" s="246">
        <v>0.357142857142857</v>
      </c>
      <c r="E3899" s="246">
        <v>1</v>
      </c>
      <c r="F3899" s="246">
        <v>0.166666666666667</v>
      </c>
      <c r="G3899" s="246">
        <v>0.5</v>
      </c>
      <c r="H3899" s="246">
        <v>0.5</v>
      </c>
      <c r="I3899" s="246">
        <v>0.571428571428571</v>
      </c>
      <c r="J3899" s="246">
        <v>0.363636363636364</v>
      </c>
      <c r="K3899" s="246">
        <v>0.1</v>
      </c>
      <c r="L3899" s="246">
        <v>0.357142857142857</v>
      </c>
      <c r="M3899" s="246">
        <v>0.4</v>
      </c>
      <c r="N3899" s="246">
        <v>0.8</v>
      </c>
      <c r="O3899" s="255">
        <v>0.214285714285714</v>
      </c>
    </row>
    <row r="3900" spans="1:15">
      <c r="A3900" s="247" t="s">
        <v>66</v>
      </c>
      <c r="B3900" s="248" t="s">
        <v>55</v>
      </c>
      <c r="C3900" s="12">
        <v>0.0954063604240283</v>
      </c>
      <c r="D3900" s="249">
        <v>0.095</v>
      </c>
      <c r="E3900" s="249">
        <v>0.0666666666666667</v>
      </c>
      <c r="F3900" s="249">
        <v>0.0526315789473684</v>
      </c>
      <c r="G3900" s="249">
        <v>0.0979020979020979</v>
      </c>
      <c r="H3900" s="249">
        <v>0.0939597315436242</v>
      </c>
      <c r="I3900" s="249">
        <v>0.0866666666666667</v>
      </c>
      <c r="J3900" s="249">
        <v>0.112903225806452</v>
      </c>
      <c r="K3900" s="249">
        <v>0.0763358778625954</v>
      </c>
      <c r="L3900" s="249">
        <v>0.108108108108108</v>
      </c>
      <c r="M3900" s="249">
        <v>0.178082191780822</v>
      </c>
      <c r="N3900" s="249">
        <v>0.109677419354839</v>
      </c>
      <c r="O3900" s="256">
        <v>0.114093959731544</v>
      </c>
    </row>
    <row r="3901" spans="1:15">
      <c r="A3901" s="242" t="s">
        <v>66</v>
      </c>
      <c r="B3901" s="43" t="s">
        <v>57</v>
      </c>
      <c r="C3901" s="15">
        <v>1698</v>
      </c>
      <c r="D3901" s="243">
        <v>200</v>
      </c>
      <c r="E3901" s="243">
        <v>180</v>
      </c>
      <c r="F3901" s="243">
        <v>133</v>
      </c>
      <c r="G3901" s="243">
        <v>143</v>
      </c>
      <c r="H3901" s="243">
        <v>149</v>
      </c>
      <c r="I3901" s="243">
        <v>150</v>
      </c>
      <c r="J3901" s="243">
        <v>124</v>
      </c>
      <c r="K3901" s="243">
        <v>131</v>
      </c>
      <c r="L3901" s="243">
        <v>111</v>
      </c>
      <c r="M3901" s="243">
        <v>73</v>
      </c>
      <c r="N3901" s="243">
        <v>155</v>
      </c>
      <c r="O3901" s="253">
        <v>149</v>
      </c>
    </row>
    <row r="3902" spans="1:15">
      <c r="A3902" s="240" t="s">
        <v>66</v>
      </c>
      <c r="B3902" s="47" t="s">
        <v>59</v>
      </c>
      <c r="C3902" s="15">
        <v>162</v>
      </c>
      <c r="D3902" s="243">
        <v>19</v>
      </c>
      <c r="E3902" s="243">
        <v>12</v>
      </c>
      <c r="F3902" s="243">
        <v>7</v>
      </c>
      <c r="G3902" s="243">
        <v>14</v>
      </c>
      <c r="H3902" s="243">
        <v>14</v>
      </c>
      <c r="I3902" s="243">
        <v>13</v>
      </c>
      <c r="J3902" s="243">
        <v>14</v>
      </c>
      <c r="K3902" s="243">
        <v>10</v>
      </c>
      <c r="L3902" s="243">
        <v>12</v>
      </c>
      <c r="M3902" s="243">
        <v>13</v>
      </c>
      <c r="N3902" s="243">
        <v>17</v>
      </c>
      <c r="O3902" s="253">
        <v>17</v>
      </c>
    </row>
    <row r="3903" spans="1:15">
      <c r="A3903" s="242" t="s">
        <v>66</v>
      </c>
      <c r="B3903" s="43" t="s">
        <v>4</v>
      </c>
      <c r="C3903" s="15">
        <v>8</v>
      </c>
      <c r="D3903" s="244">
        <v>2</v>
      </c>
      <c r="E3903" s="244">
        <v>0</v>
      </c>
      <c r="F3903" s="244">
        <v>1</v>
      </c>
      <c r="G3903" s="244">
        <v>0</v>
      </c>
      <c r="H3903" s="244">
        <v>0</v>
      </c>
      <c r="I3903" s="244">
        <v>1</v>
      </c>
      <c r="J3903" s="244">
        <v>0</v>
      </c>
      <c r="K3903" s="244">
        <v>0</v>
      </c>
      <c r="L3903" s="244">
        <v>2</v>
      </c>
      <c r="M3903" s="244">
        <v>1</v>
      </c>
      <c r="N3903" s="244">
        <v>1</v>
      </c>
      <c r="O3903" s="254">
        <v>0</v>
      </c>
    </row>
    <row r="3904" spans="1:15">
      <c r="A3904" s="240" t="s">
        <v>66</v>
      </c>
      <c r="B3904" s="47" t="s">
        <v>5</v>
      </c>
      <c r="C3904" s="12">
        <v>0.0493827160493827</v>
      </c>
      <c r="D3904" s="241">
        <v>0.105263157894737</v>
      </c>
      <c r="E3904" s="241">
        <v>0</v>
      </c>
      <c r="F3904" s="241">
        <v>0.142857142857143</v>
      </c>
      <c r="G3904" s="241">
        <v>0</v>
      </c>
      <c r="H3904" s="241">
        <v>0</v>
      </c>
      <c r="I3904" s="241">
        <v>0.0769230769230769</v>
      </c>
      <c r="J3904" s="241">
        <v>0</v>
      </c>
      <c r="K3904" s="241">
        <v>0</v>
      </c>
      <c r="L3904" s="241">
        <v>0.166666666666667</v>
      </c>
      <c r="M3904" s="241">
        <v>0.0769230769230769</v>
      </c>
      <c r="N3904" s="241">
        <v>0.0588235294117647</v>
      </c>
      <c r="O3904" s="252">
        <v>0</v>
      </c>
    </row>
    <row r="3905" spans="1:15">
      <c r="A3905" s="242" t="s">
        <v>66</v>
      </c>
      <c r="B3905" s="43" t="s">
        <v>6</v>
      </c>
      <c r="C3905" s="15">
        <v>4</v>
      </c>
      <c r="D3905" s="244">
        <v>2</v>
      </c>
      <c r="E3905" s="244">
        <v>0</v>
      </c>
      <c r="F3905" s="244">
        <v>0</v>
      </c>
      <c r="G3905" s="244">
        <v>0</v>
      </c>
      <c r="H3905" s="244">
        <v>0</v>
      </c>
      <c r="I3905" s="244">
        <v>0</v>
      </c>
      <c r="J3905" s="244">
        <v>1</v>
      </c>
      <c r="K3905" s="244">
        <v>0</v>
      </c>
      <c r="L3905" s="244">
        <v>0</v>
      </c>
      <c r="M3905" s="244">
        <v>0</v>
      </c>
      <c r="N3905" s="244">
        <v>1</v>
      </c>
      <c r="O3905" s="254">
        <v>0</v>
      </c>
    </row>
    <row r="3906" ht="14.25" spans="1:15">
      <c r="A3906" s="245" t="s">
        <v>66</v>
      </c>
      <c r="B3906" s="52" t="s">
        <v>64</v>
      </c>
      <c r="C3906" s="19">
        <v>0.5</v>
      </c>
      <c r="D3906" s="246">
        <v>1</v>
      </c>
      <c r="E3906" s="246">
        <v>0</v>
      </c>
      <c r="F3906" s="246">
        <v>0</v>
      </c>
      <c r="G3906" s="246">
        <v>0</v>
      </c>
      <c r="H3906" s="246">
        <v>0</v>
      </c>
      <c r="I3906" s="246">
        <v>0</v>
      </c>
      <c r="J3906" s="246">
        <v>0</v>
      </c>
      <c r="K3906" s="246">
        <v>0</v>
      </c>
      <c r="L3906" s="246">
        <v>0</v>
      </c>
      <c r="M3906" s="246">
        <v>0</v>
      </c>
      <c r="N3906" s="246">
        <v>1</v>
      </c>
      <c r="O3906" s="255">
        <v>0</v>
      </c>
    </row>
    <row r="3907" spans="1:15">
      <c r="A3907" s="240" t="s">
        <v>67</v>
      </c>
      <c r="B3907" s="47" t="s">
        <v>55</v>
      </c>
      <c r="C3907" s="12">
        <v>0.472361809045226</v>
      </c>
      <c r="D3907" s="241">
        <v>0.425925925925926</v>
      </c>
      <c r="E3907" s="241">
        <v>0.333333333333333</v>
      </c>
      <c r="F3907" s="241">
        <v>0.379310344827586</v>
      </c>
      <c r="G3907" s="241">
        <v>0.838709677419355</v>
      </c>
      <c r="H3907" s="241">
        <v>0.526315789473684</v>
      </c>
      <c r="I3907" s="241">
        <v>0.431034482758621</v>
      </c>
      <c r="J3907" s="241">
        <v>0.511111111111111</v>
      </c>
      <c r="K3907" s="241">
        <v>0.596153846153846</v>
      </c>
      <c r="L3907" s="241">
        <v>0.386363636363636</v>
      </c>
      <c r="M3907" s="241">
        <v>0.363636363636364</v>
      </c>
      <c r="N3907" s="241">
        <v>0.507692307692308</v>
      </c>
      <c r="O3907" s="252">
        <v>0.446153846153846</v>
      </c>
    </row>
    <row r="3908" spans="1:15">
      <c r="A3908" s="242" t="s">
        <v>67</v>
      </c>
      <c r="B3908" s="43" t="s">
        <v>57</v>
      </c>
      <c r="C3908" s="15">
        <v>597</v>
      </c>
      <c r="D3908" s="243">
        <v>54</v>
      </c>
      <c r="E3908" s="243">
        <v>42</v>
      </c>
      <c r="F3908" s="243">
        <v>29</v>
      </c>
      <c r="G3908" s="243">
        <v>31</v>
      </c>
      <c r="H3908" s="243">
        <v>57</v>
      </c>
      <c r="I3908" s="243">
        <v>58</v>
      </c>
      <c r="J3908" s="243">
        <v>45</v>
      </c>
      <c r="K3908" s="243">
        <v>52</v>
      </c>
      <c r="L3908" s="243">
        <v>44</v>
      </c>
      <c r="M3908" s="243">
        <v>55</v>
      </c>
      <c r="N3908" s="243">
        <v>65</v>
      </c>
      <c r="O3908" s="253">
        <v>65</v>
      </c>
    </row>
    <row r="3909" spans="1:15">
      <c r="A3909" s="240" t="s">
        <v>67</v>
      </c>
      <c r="B3909" s="47" t="s">
        <v>59</v>
      </c>
      <c r="C3909" s="15">
        <v>282</v>
      </c>
      <c r="D3909" s="243">
        <v>23</v>
      </c>
      <c r="E3909" s="243">
        <v>14</v>
      </c>
      <c r="F3909" s="243">
        <v>11</v>
      </c>
      <c r="G3909" s="243">
        <v>26</v>
      </c>
      <c r="H3909" s="243">
        <v>30</v>
      </c>
      <c r="I3909" s="243">
        <v>25</v>
      </c>
      <c r="J3909" s="243">
        <v>23</v>
      </c>
      <c r="K3909" s="243">
        <v>31</v>
      </c>
      <c r="L3909" s="243">
        <v>17</v>
      </c>
      <c r="M3909" s="243">
        <v>20</v>
      </c>
      <c r="N3909" s="243">
        <v>33</v>
      </c>
      <c r="O3909" s="253">
        <v>29</v>
      </c>
    </row>
    <row r="3910" spans="1:15">
      <c r="A3910" s="242" t="s">
        <v>67</v>
      </c>
      <c r="B3910" s="43" t="s">
        <v>4</v>
      </c>
      <c r="C3910" s="15">
        <v>9</v>
      </c>
      <c r="D3910" s="244">
        <v>0</v>
      </c>
      <c r="E3910" s="244">
        <v>0</v>
      </c>
      <c r="F3910" s="244">
        <v>1</v>
      </c>
      <c r="G3910" s="244">
        <v>0</v>
      </c>
      <c r="H3910" s="244">
        <v>0</v>
      </c>
      <c r="I3910" s="244">
        <v>0</v>
      </c>
      <c r="J3910" s="244">
        <v>0</v>
      </c>
      <c r="K3910" s="244">
        <v>1</v>
      </c>
      <c r="L3910" s="244">
        <v>1</v>
      </c>
      <c r="M3910" s="244">
        <v>0</v>
      </c>
      <c r="N3910" s="244">
        <v>2</v>
      </c>
      <c r="O3910" s="254">
        <v>4</v>
      </c>
    </row>
    <row r="3911" spans="1:15">
      <c r="A3911" s="240" t="s">
        <v>67</v>
      </c>
      <c r="B3911" s="47" t="s">
        <v>5</v>
      </c>
      <c r="C3911" s="12">
        <v>0.0319148936170213</v>
      </c>
      <c r="D3911" s="241">
        <v>0</v>
      </c>
      <c r="E3911" s="241">
        <v>0</v>
      </c>
      <c r="F3911" s="241">
        <v>0.0909090909090909</v>
      </c>
      <c r="G3911" s="241">
        <v>0</v>
      </c>
      <c r="H3911" s="241">
        <v>0</v>
      </c>
      <c r="I3911" s="241">
        <v>0</v>
      </c>
      <c r="J3911" s="241">
        <v>0</v>
      </c>
      <c r="K3911" s="241">
        <v>0.032258064516129</v>
      </c>
      <c r="L3911" s="241">
        <v>0.0588235294117647</v>
      </c>
      <c r="M3911" s="241">
        <v>0</v>
      </c>
      <c r="N3911" s="241">
        <v>0.0606060606060606</v>
      </c>
      <c r="O3911" s="252">
        <v>0.137931034482759</v>
      </c>
    </row>
    <row r="3912" spans="1:15">
      <c r="A3912" s="242" t="s">
        <v>67</v>
      </c>
      <c r="B3912" s="43" t="s">
        <v>6</v>
      </c>
      <c r="C3912" s="15">
        <v>5</v>
      </c>
      <c r="D3912" s="244">
        <v>0</v>
      </c>
      <c r="E3912" s="244">
        <v>0</v>
      </c>
      <c r="F3912" s="244">
        <v>1</v>
      </c>
      <c r="G3912" s="244">
        <v>0</v>
      </c>
      <c r="H3912" s="244">
        <v>1</v>
      </c>
      <c r="I3912" s="244">
        <v>1</v>
      </c>
      <c r="J3912" s="244">
        <v>0</v>
      </c>
      <c r="K3912" s="244">
        <v>0</v>
      </c>
      <c r="L3912" s="244">
        <v>1</v>
      </c>
      <c r="M3912" s="244">
        <v>0</v>
      </c>
      <c r="N3912" s="244">
        <v>0</v>
      </c>
      <c r="O3912" s="254">
        <v>1</v>
      </c>
    </row>
    <row r="3913" ht="14.25" spans="1:15">
      <c r="A3913" s="245" t="s">
        <v>67</v>
      </c>
      <c r="B3913" s="52" t="s">
        <v>64</v>
      </c>
      <c r="C3913" s="19">
        <v>0.555555555555556</v>
      </c>
      <c r="D3913" s="246">
        <v>0</v>
      </c>
      <c r="E3913" s="246">
        <v>0</v>
      </c>
      <c r="F3913" s="246">
        <v>1</v>
      </c>
      <c r="G3913" s="246">
        <v>0</v>
      </c>
      <c r="H3913" s="246">
        <v>0</v>
      </c>
      <c r="I3913" s="246">
        <v>0</v>
      </c>
      <c r="J3913" s="246">
        <v>0</v>
      </c>
      <c r="K3913" s="246">
        <v>0</v>
      </c>
      <c r="L3913" s="246">
        <v>1</v>
      </c>
      <c r="M3913" s="246">
        <v>0</v>
      </c>
      <c r="N3913" s="246">
        <v>0</v>
      </c>
      <c r="O3913" s="255">
        <v>0.25</v>
      </c>
    </row>
    <row r="3914" spans="1:15">
      <c r="A3914" s="240" t="s">
        <v>68</v>
      </c>
      <c r="B3914" s="47" t="s">
        <v>55</v>
      </c>
      <c r="C3914" s="12">
        <v>0.123575176406731</v>
      </c>
      <c r="D3914" s="241">
        <v>0.182634730538922</v>
      </c>
      <c r="E3914" s="241">
        <v>0.242603550295858</v>
      </c>
      <c r="F3914" s="241">
        <v>0.181818181818182</v>
      </c>
      <c r="G3914" s="241">
        <v>0.130208333333333</v>
      </c>
      <c r="H3914" s="241">
        <v>0.0964539007092199</v>
      </c>
      <c r="I3914" s="241">
        <v>0.101382488479263</v>
      </c>
      <c r="J3914" s="241">
        <v>0.121323529411765</v>
      </c>
      <c r="K3914" s="241">
        <v>0.137214137214137</v>
      </c>
      <c r="L3914" s="241">
        <v>0.108411214953271</v>
      </c>
      <c r="M3914" s="241">
        <v>0.0841487279843444</v>
      </c>
      <c r="N3914" s="241">
        <v>0.109979633401222</v>
      </c>
      <c r="O3914" s="252">
        <v>0.139442231075697</v>
      </c>
    </row>
    <row r="3915" spans="1:15">
      <c r="A3915" s="242" t="s">
        <v>68</v>
      </c>
      <c r="B3915" s="43" t="s">
        <v>57</v>
      </c>
      <c r="C3915" s="15">
        <v>5527</v>
      </c>
      <c r="D3915" s="243">
        <v>334</v>
      </c>
      <c r="E3915" s="243">
        <v>169</v>
      </c>
      <c r="F3915" s="243">
        <v>220</v>
      </c>
      <c r="G3915" s="243">
        <v>384</v>
      </c>
      <c r="H3915" s="243">
        <v>705</v>
      </c>
      <c r="I3915" s="243">
        <v>651</v>
      </c>
      <c r="J3915" s="243">
        <v>544</v>
      </c>
      <c r="K3915" s="243">
        <v>481</v>
      </c>
      <c r="L3915" s="243">
        <v>535</v>
      </c>
      <c r="M3915" s="243">
        <v>511</v>
      </c>
      <c r="N3915" s="243">
        <v>491</v>
      </c>
      <c r="O3915" s="253">
        <v>502</v>
      </c>
    </row>
    <row r="3916" spans="1:15">
      <c r="A3916" s="240" t="s">
        <v>68</v>
      </c>
      <c r="B3916" s="47" t="s">
        <v>59</v>
      </c>
      <c r="C3916" s="15">
        <v>683</v>
      </c>
      <c r="D3916" s="243">
        <v>61</v>
      </c>
      <c r="E3916" s="243">
        <v>41</v>
      </c>
      <c r="F3916" s="243">
        <v>40</v>
      </c>
      <c r="G3916" s="243">
        <v>50</v>
      </c>
      <c r="H3916" s="243">
        <v>68</v>
      </c>
      <c r="I3916" s="243">
        <v>66</v>
      </c>
      <c r="J3916" s="243">
        <v>66</v>
      </c>
      <c r="K3916" s="243">
        <v>66</v>
      </c>
      <c r="L3916" s="243">
        <v>58</v>
      </c>
      <c r="M3916" s="243">
        <v>43</v>
      </c>
      <c r="N3916" s="243">
        <v>54</v>
      </c>
      <c r="O3916" s="253">
        <v>70</v>
      </c>
    </row>
    <row r="3917" spans="1:15">
      <c r="A3917" s="242" t="s">
        <v>68</v>
      </c>
      <c r="B3917" s="43" t="s">
        <v>4</v>
      </c>
      <c r="C3917" s="15">
        <v>30</v>
      </c>
      <c r="D3917" s="244">
        <v>2</v>
      </c>
      <c r="E3917" s="244">
        <v>2</v>
      </c>
      <c r="F3917" s="244">
        <v>2</v>
      </c>
      <c r="G3917" s="244">
        <v>5</v>
      </c>
      <c r="H3917" s="244">
        <v>2</v>
      </c>
      <c r="I3917" s="244">
        <v>0</v>
      </c>
      <c r="J3917" s="244">
        <v>2</v>
      </c>
      <c r="K3917" s="244">
        <v>2</v>
      </c>
      <c r="L3917" s="244">
        <v>1</v>
      </c>
      <c r="M3917" s="244">
        <v>0</v>
      </c>
      <c r="N3917" s="244">
        <v>5</v>
      </c>
      <c r="O3917" s="254">
        <v>7</v>
      </c>
    </row>
    <row r="3918" spans="1:15">
      <c r="A3918" s="240" t="s">
        <v>68</v>
      </c>
      <c r="B3918" s="47" t="s">
        <v>5</v>
      </c>
      <c r="C3918" s="12">
        <v>0.0439238653001464</v>
      </c>
      <c r="D3918" s="241">
        <v>0.0327868852459016</v>
      </c>
      <c r="E3918" s="241">
        <v>0.0487804878048781</v>
      </c>
      <c r="F3918" s="241">
        <v>0.05</v>
      </c>
      <c r="G3918" s="241">
        <v>0.1</v>
      </c>
      <c r="H3918" s="241">
        <v>0.0294117647058824</v>
      </c>
      <c r="I3918" s="241">
        <v>0</v>
      </c>
      <c r="J3918" s="241">
        <v>0.0303030303030303</v>
      </c>
      <c r="K3918" s="241">
        <v>0.0303030303030303</v>
      </c>
      <c r="L3918" s="241">
        <v>0.0172413793103448</v>
      </c>
      <c r="M3918" s="241">
        <v>0</v>
      </c>
      <c r="N3918" s="241">
        <v>0.0925925925925926</v>
      </c>
      <c r="O3918" s="252">
        <v>0.1</v>
      </c>
    </row>
    <row r="3919" spans="1:15">
      <c r="A3919" s="242" t="s">
        <v>68</v>
      </c>
      <c r="B3919" s="43" t="s">
        <v>6</v>
      </c>
      <c r="C3919" s="15">
        <v>13</v>
      </c>
      <c r="D3919" s="244">
        <v>1</v>
      </c>
      <c r="E3919" s="244">
        <v>0</v>
      </c>
      <c r="F3919" s="244">
        <v>1</v>
      </c>
      <c r="G3919" s="244">
        <v>0</v>
      </c>
      <c r="H3919" s="244">
        <v>1</v>
      </c>
      <c r="I3919" s="244">
        <v>0</v>
      </c>
      <c r="J3919" s="244">
        <v>1</v>
      </c>
      <c r="K3919" s="244">
        <v>3</v>
      </c>
      <c r="L3919" s="244">
        <v>2</v>
      </c>
      <c r="M3919" s="244">
        <v>1</v>
      </c>
      <c r="N3919" s="244">
        <v>0</v>
      </c>
      <c r="O3919" s="254">
        <v>3</v>
      </c>
    </row>
    <row r="3920" ht="14.25" spans="1:15">
      <c r="A3920" s="245" t="s">
        <v>68</v>
      </c>
      <c r="B3920" s="52" t="s">
        <v>64</v>
      </c>
      <c r="C3920" s="19">
        <v>0.433333333333333</v>
      </c>
      <c r="D3920" s="246">
        <v>0.5</v>
      </c>
      <c r="E3920" s="246">
        <v>0</v>
      </c>
      <c r="F3920" s="246">
        <v>0.5</v>
      </c>
      <c r="G3920" s="246">
        <v>0</v>
      </c>
      <c r="H3920" s="246">
        <v>0.5</v>
      </c>
      <c r="I3920" s="246">
        <v>0</v>
      </c>
      <c r="J3920" s="246">
        <v>0.5</v>
      </c>
      <c r="K3920" s="246">
        <v>1.5</v>
      </c>
      <c r="L3920" s="246">
        <v>2</v>
      </c>
      <c r="M3920" s="246">
        <v>0</v>
      </c>
      <c r="N3920" s="246">
        <v>0</v>
      </c>
      <c r="O3920" s="255">
        <v>0.428571428571429</v>
      </c>
    </row>
    <row r="3921" spans="1:15">
      <c r="A3921" s="240" t="s">
        <v>69</v>
      </c>
      <c r="B3921" s="47" t="s">
        <v>55</v>
      </c>
      <c r="C3921" s="12">
        <v>1.55555555555556</v>
      </c>
      <c r="D3921" s="241">
        <v>1.36842105263158</v>
      </c>
      <c r="E3921" s="241">
        <v>1.3</v>
      </c>
      <c r="F3921" s="241">
        <v>1.33333333333333</v>
      </c>
      <c r="G3921" s="241">
        <v>1.69230769230769</v>
      </c>
      <c r="H3921" s="241">
        <v>2.92307692307692</v>
      </c>
      <c r="I3921" s="241">
        <v>1.93333333333333</v>
      </c>
      <c r="J3921" s="241">
        <v>1.63157894736842</v>
      </c>
      <c r="K3921" s="241">
        <v>2.11111111111111</v>
      </c>
      <c r="L3921" s="241">
        <v>1.45454545454545</v>
      </c>
      <c r="M3921" s="241">
        <v>1.55555555555556</v>
      </c>
      <c r="N3921" s="241">
        <v>1.48648648648649</v>
      </c>
      <c r="O3921" s="252">
        <v>1.08333333333333</v>
      </c>
    </row>
    <row r="3922" spans="1:15">
      <c r="A3922" s="242" t="s">
        <v>69</v>
      </c>
      <c r="B3922" s="43" t="s">
        <v>57</v>
      </c>
      <c r="C3922" s="15">
        <v>270</v>
      </c>
      <c r="D3922" s="243">
        <v>38</v>
      </c>
      <c r="E3922" s="243">
        <v>20</v>
      </c>
      <c r="F3922" s="243">
        <v>12</v>
      </c>
      <c r="G3922" s="243">
        <v>13</v>
      </c>
      <c r="H3922" s="243">
        <v>13</v>
      </c>
      <c r="I3922" s="243">
        <v>15</v>
      </c>
      <c r="J3922" s="243">
        <v>19</v>
      </c>
      <c r="K3922" s="243">
        <v>18</v>
      </c>
      <c r="L3922" s="243">
        <v>22</v>
      </c>
      <c r="M3922" s="243">
        <v>27</v>
      </c>
      <c r="N3922" s="243">
        <v>37</v>
      </c>
      <c r="O3922" s="253">
        <v>36</v>
      </c>
    </row>
    <row r="3923" spans="1:15">
      <c r="A3923" s="240" t="s">
        <v>69</v>
      </c>
      <c r="B3923" s="47" t="s">
        <v>59</v>
      </c>
      <c r="C3923" s="15">
        <v>420</v>
      </c>
      <c r="D3923" s="243">
        <v>52</v>
      </c>
      <c r="E3923" s="243">
        <v>26</v>
      </c>
      <c r="F3923" s="243">
        <v>16</v>
      </c>
      <c r="G3923" s="243">
        <v>22</v>
      </c>
      <c r="H3923" s="243">
        <v>38</v>
      </c>
      <c r="I3923" s="243">
        <v>29</v>
      </c>
      <c r="J3923" s="243">
        <v>31</v>
      </c>
      <c r="K3923" s="243">
        <v>38</v>
      </c>
      <c r="L3923" s="243">
        <v>32</v>
      </c>
      <c r="M3923" s="243">
        <v>42</v>
      </c>
      <c r="N3923" s="243">
        <v>55</v>
      </c>
      <c r="O3923" s="253">
        <v>39</v>
      </c>
    </row>
    <row r="3924" spans="1:15">
      <c r="A3924" s="242" t="s">
        <v>69</v>
      </c>
      <c r="B3924" s="43" t="s">
        <v>4</v>
      </c>
      <c r="C3924" s="15">
        <v>14</v>
      </c>
      <c r="D3924" s="244">
        <v>1</v>
      </c>
      <c r="E3924" s="244">
        <v>0</v>
      </c>
      <c r="F3924" s="244">
        <v>0</v>
      </c>
      <c r="G3924" s="244">
        <v>1</v>
      </c>
      <c r="H3924" s="244">
        <v>0</v>
      </c>
      <c r="I3924" s="244">
        <v>2</v>
      </c>
      <c r="J3924" s="244">
        <v>1</v>
      </c>
      <c r="K3924" s="244">
        <v>1</v>
      </c>
      <c r="L3924" s="244">
        <v>3</v>
      </c>
      <c r="M3924" s="244">
        <v>4</v>
      </c>
      <c r="N3924" s="244">
        <v>1</v>
      </c>
      <c r="O3924" s="254">
        <v>0</v>
      </c>
    </row>
    <row r="3925" spans="1:15">
      <c r="A3925" s="240" t="s">
        <v>69</v>
      </c>
      <c r="B3925" s="47" t="s">
        <v>5</v>
      </c>
      <c r="C3925" s="12">
        <v>0.0333333333333333</v>
      </c>
      <c r="D3925" s="241">
        <v>0.0192307692307692</v>
      </c>
      <c r="E3925" s="241">
        <v>0</v>
      </c>
      <c r="F3925" s="241">
        <v>0</v>
      </c>
      <c r="G3925" s="241">
        <v>0.0454545454545455</v>
      </c>
      <c r="H3925" s="241">
        <v>0</v>
      </c>
      <c r="I3925" s="241">
        <v>0.0689655172413793</v>
      </c>
      <c r="J3925" s="241">
        <v>0.032258064516129</v>
      </c>
      <c r="K3925" s="241">
        <v>0.0263157894736842</v>
      </c>
      <c r="L3925" s="241">
        <v>0.09375</v>
      </c>
      <c r="M3925" s="241">
        <v>0.0952380952380952</v>
      </c>
      <c r="N3925" s="241">
        <v>0.0181818181818182</v>
      </c>
      <c r="O3925" s="252">
        <v>0</v>
      </c>
    </row>
    <row r="3926" spans="1:15">
      <c r="A3926" s="242" t="s">
        <v>69</v>
      </c>
      <c r="B3926" s="43" t="s">
        <v>6</v>
      </c>
      <c r="C3926" s="15">
        <v>5</v>
      </c>
      <c r="D3926" s="244">
        <v>1</v>
      </c>
      <c r="E3926" s="244">
        <v>0</v>
      </c>
      <c r="F3926" s="244">
        <v>0</v>
      </c>
      <c r="G3926" s="244">
        <v>0</v>
      </c>
      <c r="H3926" s="244">
        <v>0</v>
      </c>
      <c r="I3926" s="244">
        <v>1</v>
      </c>
      <c r="J3926" s="244">
        <v>1</v>
      </c>
      <c r="K3926" s="244">
        <v>0</v>
      </c>
      <c r="L3926" s="244">
        <v>2</v>
      </c>
      <c r="M3926" s="244">
        <v>0</v>
      </c>
      <c r="N3926" s="244">
        <v>0</v>
      </c>
      <c r="O3926" s="254">
        <v>0</v>
      </c>
    </row>
    <row r="3927" ht="14.25" spans="1:15">
      <c r="A3927" s="245" t="s">
        <v>69</v>
      </c>
      <c r="B3927" s="52" t="s">
        <v>64</v>
      </c>
      <c r="C3927" s="19">
        <v>0.357142857142857</v>
      </c>
      <c r="D3927" s="246">
        <v>1</v>
      </c>
      <c r="E3927" s="246">
        <v>0</v>
      </c>
      <c r="F3927" s="246">
        <v>0</v>
      </c>
      <c r="G3927" s="246">
        <v>0</v>
      </c>
      <c r="H3927" s="246">
        <v>0</v>
      </c>
      <c r="I3927" s="246">
        <v>0.5</v>
      </c>
      <c r="J3927" s="246">
        <v>1</v>
      </c>
      <c r="K3927" s="246">
        <v>0</v>
      </c>
      <c r="L3927" s="246">
        <v>0.666666666666667</v>
      </c>
      <c r="M3927" s="246">
        <v>0</v>
      </c>
      <c r="N3927" s="246">
        <v>0</v>
      </c>
      <c r="O3927" s="255">
        <v>0</v>
      </c>
    </row>
    <row r="3928" spans="1:15">
      <c r="A3928" s="240" t="s">
        <v>70</v>
      </c>
      <c r="B3928" s="47" t="s">
        <v>55</v>
      </c>
      <c r="C3928" s="12">
        <v>0.629704301075269</v>
      </c>
      <c r="D3928" s="241">
        <v>0.605263157894737</v>
      </c>
      <c r="E3928" s="241">
        <v>0.532751091703057</v>
      </c>
      <c r="F3928" s="241">
        <v>0.497142857142857</v>
      </c>
      <c r="G3928" s="241">
        <v>0.583657587548638</v>
      </c>
      <c r="H3928" s="241">
        <v>0.703125</v>
      </c>
      <c r="I3928" s="241">
        <v>0.736572890025575</v>
      </c>
      <c r="J3928" s="241">
        <v>0.650246305418719</v>
      </c>
      <c r="K3928" s="241">
        <v>0.648584905660377</v>
      </c>
      <c r="L3928" s="241">
        <v>0.74293059125964</v>
      </c>
      <c r="M3928" s="241">
        <v>0.657216494845361</v>
      </c>
      <c r="N3928" s="241">
        <v>0.558232931726908</v>
      </c>
      <c r="O3928" s="252">
        <v>0.558011049723757</v>
      </c>
    </row>
    <row r="3929" spans="1:15">
      <c r="A3929" s="242" t="s">
        <v>70</v>
      </c>
      <c r="B3929" s="43" t="s">
        <v>57</v>
      </c>
      <c r="C3929" s="15">
        <v>4464</v>
      </c>
      <c r="D3929" s="243">
        <v>380</v>
      </c>
      <c r="E3929" s="243">
        <v>229</v>
      </c>
      <c r="F3929" s="243">
        <v>175</v>
      </c>
      <c r="G3929" s="243">
        <v>257</v>
      </c>
      <c r="H3929" s="243">
        <v>384</v>
      </c>
      <c r="I3929" s="243">
        <v>391</v>
      </c>
      <c r="J3929" s="243">
        <v>406</v>
      </c>
      <c r="K3929" s="243">
        <v>424</v>
      </c>
      <c r="L3929" s="243">
        <v>389</v>
      </c>
      <c r="M3929" s="243">
        <v>388</v>
      </c>
      <c r="N3929" s="243">
        <v>498</v>
      </c>
      <c r="O3929" s="253">
        <v>543</v>
      </c>
    </row>
    <row r="3930" spans="1:15">
      <c r="A3930" s="240" t="s">
        <v>70</v>
      </c>
      <c r="B3930" s="47" t="s">
        <v>59</v>
      </c>
      <c r="C3930" s="15">
        <v>2811</v>
      </c>
      <c r="D3930" s="243">
        <v>230</v>
      </c>
      <c r="E3930" s="243">
        <v>122</v>
      </c>
      <c r="F3930" s="243">
        <v>87</v>
      </c>
      <c r="G3930" s="243">
        <v>150</v>
      </c>
      <c r="H3930" s="243">
        <v>270</v>
      </c>
      <c r="I3930" s="243">
        <v>288</v>
      </c>
      <c r="J3930" s="243">
        <v>264</v>
      </c>
      <c r="K3930" s="243">
        <v>275</v>
      </c>
      <c r="L3930" s="243">
        <v>289</v>
      </c>
      <c r="M3930" s="243">
        <v>255</v>
      </c>
      <c r="N3930" s="243">
        <v>278</v>
      </c>
      <c r="O3930" s="253">
        <v>303</v>
      </c>
    </row>
    <row r="3931" spans="1:15">
      <c r="A3931" s="242" t="s">
        <v>70</v>
      </c>
      <c r="B3931" s="43" t="s">
        <v>4</v>
      </c>
      <c r="C3931" s="15">
        <v>181</v>
      </c>
      <c r="D3931" s="244">
        <v>23</v>
      </c>
      <c r="E3931" s="244">
        <v>12</v>
      </c>
      <c r="F3931" s="244">
        <v>5</v>
      </c>
      <c r="G3931" s="244">
        <v>9</v>
      </c>
      <c r="H3931" s="244">
        <v>17</v>
      </c>
      <c r="I3931" s="244">
        <v>15</v>
      </c>
      <c r="J3931" s="244">
        <v>15</v>
      </c>
      <c r="K3931" s="244">
        <v>16</v>
      </c>
      <c r="L3931" s="244">
        <v>22</v>
      </c>
      <c r="M3931" s="244">
        <v>14</v>
      </c>
      <c r="N3931" s="244">
        <v>9</v>
      </c>
      <c r="O3931" s="254">
        <v>24</v>
      </c>
    </row>
    <row r="3932" spans="1:15">
      <c r="A3932" s="240" t="s">
        <v>70</v>
      </c>
      <c r="B3932" s="47" t="s">
        <v>5</v>
      </c>
      <c r="C3932" s="12">
        <v>0.0643898968338669</v>
      </c>
      <c r="D3932" s="241">
        <v>0.1</v>
      </c>
      <c r="E3932" s="241">
        <v>0.0983606557377049</v>
      </c>
      <c r="F3932" s="241">
        <v>0.0574712643678161</v>
      </c>
      <c r="G3932" s="241">
        <v>0.06</v>
      </c>
      <c r="H3932" s="241">
        <v>0.062962962962963</v>
      </c>
      <c r="I3932" s="241">
        <v>0.0520833333333333</v>
      </c>
      <c r="J3932" s="241">
        <v>0.0568181818181818</v>
      </c>
      <c r="K3932" s="241">
        <v>0.0581818181818182</v>
      </c>
      <c r="L3932" s="241">
        <v>0.0761245674740484</v>
      </c>
      <c r="M3932" s="241">
        <v>0.0549019607843137</v>
      </c>
      <c r="N3932" s="241">
        <v>0.0323741007194245</v>
      </c>
      <c r="O3932" s="252">
        <v>0.0792079207920792</v>
      </c>
    </row>
    <row r="3933" spans="1:15">
      <c r="A3933" s="242" t="s">
        <v>70</v>
      </c>
      <c r="B3933" s="43" t="s">
        <v>6</v>
      </c>
      <c r="C3933" s="15">
        <v>59</v>
      </c>
      <c r="D3933" s="244">
        <v>6</v>
      </c>
      <c r="E3933" s="244">
        <v>3</v>
      </c>
      <c r="F3933" s="244">
        <v>4</v>
      </c>
      <c r="G3933" s="244">
        <v>2</v>
      </c>
      <c r="H3933" s="244">
        <v>10</v>
      </c>
      <c r="I3933" s="244">
        <v>1</v>
      </c>
      <c r="J3933" s="244">
        <v>6</v>
      </c>
      <c r="K3933" s="244">
        <v>4</v>
      </c>
      <c r="L3933" s="244">
        <v>11</v>
      </c>
      <c r="M3933" s="244">
        <v>2</v>
      </c>
      <c r="N3933" s="244">
        <v>5</v>
      </c>
      <c r="O3933" s="254">
        <v>5</v>
      </c>
    </row>
    <row r="3934" ht="14.25" spans="1:15">
      <c r="A3934" s="245" t="s">
        <v>70</v>
      </c>
      <c r="B3934" s="52" t="s">
        <v>64</v>
      </c>
      <c r="C3934" s="19">
        <v>0.325966850828729</v>
      </c>
      <c r="D3934" s="246">
        <v>0.260869565217391</v>
      </c>
      <c r="E3934" s="246">
        <v>0.25</v>
      </c>
      <c r="F3934" s="246">
        <v>0.8</v>
      </c>
      <c r="G3934" s="246">
        <v>0.222222222222222</v>
      </c>
      <c r="H3934" s="246">
        <v>0.588235294117647</v>
      </c>
      <c r="I3934" s="246">
        <v>0.0666666666666667</v>
      </c>
      <c r="J3934" s="246">
        <v>0.4</v>
      </c>
      <c r="K3934" s="246">
        <v>0.25</v>
      </c>
      <c r="L3934" s="246">
        <v>0.5</v>
      </c>
      <c r="M3934" s="246">
        <v>0.142857142857143</v>
      </c>
      <c r="N3934" s="246">
        <v>0.555555555555556</v>
      </c>
      <c r="O3934" s="255">
        <v>0.208333333333333</v>
      </c>
    </row>
    <row r="3935" spans="1:15">
      <c r="A3935" s="240" t="s">
        <v>26</v>
      </c>
      <c r="B3935" s="47" t="s">
        <v>55</v>
      </c>
      <c r="C3935" s="12">
        <v>0.719312275089964</v>
      </c>
      <c r="D3935" s="241">
        <v>0.534109816971714</v>
      </c>
      <c r="E3935" s="241">
        <v>0.613744075829384</v>
      </c>
      <c r="F3935" s="241">
        <v>0.584070796460177</v>
      </c>
      <c r="G3935" s="241">
        <v>0.733840304182509</v>
      </c>
      <c r="H3935" s="241">
        <v>0.752427184466019</v>
      </c>
      <c r="I3935" s="241">
        <v>0.713235294117647</v>
      </c>
      <c r="J3935" s="241">
        <v>1.11111111111111</v>
      </c>
      <c r="K3935" s="241">
        <v>0.93</v>
      </c>
      <c r="L3935" s="241">
        <v>1.28395061728395</v>
      </c>
      <c r="M3935" s="241">
        <v>1.27536231884058</v>
      </c>
      <c r="N3935" s="241">
        <v>0.879120879120879</v>
      </c>
      <c r="O3935" s="252">
        <v>1.07058823529412</v>
      </c>
    </row>
    <row r="3936" spans="1:15">
      <c r="A3936" s="242" t="s">
        <v>26</v>
      </c>
      <c r="B3936" s="43" t="s">
        <v>57</v>
      </c>
      <c r="C3936" s="15">
        <v>2501</v>
      </c>
      <c r="D3936" s="243">
        <v>601</v>
      </c>
      <c r="E3936" s="243">
        <v>422</v>
      </c>
      <c r="F3936" s="243">
        <v>339</v>
      </c>
      <c r="G3936" s="243">
        <v>263</v>
      </c>
      <c r="H3936" s="243">
        <v>206</v>
      </c>
      <c r="I3936" s="243">
        <v>136</v>
      </c>
      <c r="J3936" s="243">
        <v>108</v>
      </c>
      <c r="K3936" s="243">
        <v>100</v>
      </c>
      <c r="L3936" s="243">
        <v>81</v>
      </c>
      <c r="M3936" s="243">
        <v>69</v>
      </c>
      <c r="N3936" s="243">
        <v>91</v>
      </c>
      <c r="O3936" s="253">
        <v>85</v>
      </c>
    </row>
    <row r="3937" spans="1:15">
      <c r="A3937" s="240" t="s">
        <v>26</v>
      </c>
      <c r="B3937" s="47" t="s">
        <v>59</v>
      </c>
      <c r="C3937" s="15">
        <v>1799</v>
      </c>
      <c r="D3937" s="243">
        <v>321</v>
      </c>
      <c r="E3937" s="243">
        <v>259</v>
      </c>
      <c r="F3937" s="243">
        <v>198</v>
      </c>
      <c r="G3937" s="243">
        <v>193</v>
      </c>
      <c r="H3937" s="243">
        <v>155</v>
      </c>
      <c r="I3937" s="243">
        <v>97</v>
      </c>
      <c r="J3937" s="243">
        <v>120</v>
      </c>
      <c r="K3937" s="243">
        <v>93</v>
      </c>
      <c r="L3937" s="243">
        <v>104</v>
      </c>
      <c r="M3937" s="243">
        <v>88</v>
      </c>
      <c r="N3937" s="243">
        <v>80</v>
      </c>
      <c r="O3937" s="253">
        <v>91</v>
      </c>
    </row>
    <row r="3938" spans="1:15">
      <c r="A3938" s="242" t="s">
        <v>26</v>
      </c>
      <c r="B3938" s="43" t="s">
        <v>4</v>
      </c>
      <c r="C3938" s="15">
        <v>10</v>
      </c>
      <c r="D3938" s="244">
        <v>1</v>
      </c>
      <c r="E3938" s="244">
        <v>0</v>
      </c>
      <c r="F3938" s="244">
        <v>0</v>
      </c>
      <c r="G3938" s="244">
        <v>0</v>
      </c>
      <c r="H3938" s="244">
        <v>1</v>
      </c>
      <c r="I3938" s="244">
        <v>1</v>
      </c>
      <c r="J3938" s="244">
        <v>0</v>
      </c>
      <c r="K3938" s="244">
        <v>0</v>
      </c>
      <c r="L3938" s="244">
        <v>0</v>
      </c>
      <c r="M3938" s="244">
        <v>0</v>
      </c>
      <c r="N3938" s="244">
        <v>3</v>
      </c>
      <c r="O3938" s="254">
        <v>4</v>
      </c>
    </row>
    <row r="3939" spans="1:15">
      <c r="A3939" s="240" t="s">
        <v>26</v>
      </c>
      <c r="B3939" s="47" t="s">
        <v>5</v>
      </c>
      <c r="C3939" s="12">
        <v>0.00555864369093941</v>
      </c>
      <c r="D3939" s="241">
        <v>0.00311526479750779</v>
      </c>
      <c r="E3939" s="241">
        <v>0</v>
      </c>
      <c r="F3939" s="241">
        <v>0</v>
      </c>
      <c r="G3939" s="241">
        <v>0</v>
      </c>
      <c r="H3939" s="241">
        <v>0.00645161290322581</v>
      </c>
      <c r="I3939" s="241">
        <v>0.0103092783505155</v>
      </c>
      <c r="J3939" s="241">
        <v>0</v>
      </c>
      <c r="K3939" s="241">
        <v>0</v>
      </c>
      <c r="L3939" s="241">
        <v>0</v>
      </c>
      <c r="M3939" s="241">
        <v>0</v>
      </c>
      <c r="N3939" s="241">
        <v>0.0375</v>
      </c>
      <c r="O3939" s="252">
        <v>0.043956043956044</v>
      </c>
    </row>
    <row r="3940" spans="1:15">
      <c r="A3940" s="242" t="s">
        <v>26</v>
      </c>
      <c r="B3940" s="43" t="s">
        <v>6</v>
      </c>
      <c r="C3940" s="15">
        <v>1</v>
      </c>
      <c r="D3940" s="244">
        <v>1</v>
      </c>
      <c r="E3940" s="244">
        <v>0</v>
      </c>
      <c r="F3940" s="244">
        <v>0</v>
      </c>
      <c r="G3940" s="244">
        <v>0</v>
      </c>
      <c r="H3940" s="244">
        <v>0</v>
      </c>
      <c r="I3940" s="244">
        <v>0</v>
      </c>
      <c r="J3940" s="244">
        <v>0</v>
      </c>
      <c r="K3940" s="244">
        <v>0</v>
      </c>
      <c r="L3940" s="244">
        <v>0</v>
      </c>
      <c r="M3940" s="244">
        <v>0</v>
      </c>
      <c r="N3940" s="244">
        <v>0</v>
      </c>
      <c r="O3940" s="254">
        <v>0</v>
      </c>
    </row>
    <row r="3941" ht="14.25" spans="1:15">
      <c r="A3941" s="245" t="s">
        <v>26</v>
      </c>
      <c r="B3941" s="52" t="s">
        <v>64</v>
      </c>
      <c r="C3941" s="19">
        <v>0.1</v>
      </c>
      <c r="D3941" s="19">
        <v>1</v>
      </c>
      <c r="E3941" s="19" t="e">
        <v>#DIV/0!</v>
      </c>
      <c r="F3941" s="19" t="e">
        <v>#DIV/0!</v>
      </c>
      <c r="G3941" s="19" t="e">
        <v>#DIV/0!</v>
      </c>
      <c r="H3941" s="19">
        <v>0</v>
      </c>
      <c r="I3941" s="19">
        <v>0</v>
      </c>
      <c r="J3941" s="19" t="e">
        <v>#DIV/0!</v>
      </c>
      <c r="K3941" s="19" t="e">
        <v>#DIV/0!</v>
      </c>
      <c r="L3941" s="19" t="e">
        <v>#DIV/0!</v>
      </c>
      <c r="M3941" s="19" t="e">
        <v>#DIV/0!</v>
      </c>
      <c r="N3941" s="19">
        <v>0</v>
      </c>
      <c r="O3941" s="19">
        <v>0</v>
      </c>
    </row>
    <row r="3942" spans="1:15">
      <c r="A3942" s="240" t="s">
        <v>71</v>
      </c>
      <c r="B3942" s="47" t="s">
        <v>55</v>
      </c>
      <c r="C3942" s="12">
        <v>3</v>
      </c>
      <c r="D3942" s="241">
        <v>0</v>
      </c>
      <c r="E3942" s="241" t="e">
        <v>#DIV/0!</v>
      </c>
      <c r="F3942" s="241">
        <v>0</v>
      </c>
      <c r="G3942" s="241" t="e">
        <v>#DIV/0!</v>
      </c>
      <c r="H3942" s="241" t="e">
        <v>#DIV/0!</v>
      </c>
      <c r="I3942" s="241" t="e">
        <v>#DIV/0!</v>
      </c>
      <c r="J3942" s="241" t="e">
        <v>#DIV/0!</v>
      </c>
      <c r="K3942" s="241" t="e">
        <v>#DIV/0!</v>
      </c>
      <c r="L3942" s="241" t="e">
        <v>#DIV/0!</v>
      </c>
      <c r="M3942" s="241" t="e">
        <v>#DIV/0!</v>
      </c>
      <c r="N3942" s="241" t="e">
        <v>#DIV/0!</v>
      </c>
      <c r="O3942" s="252" t="e">
        <v>#DIV/0!</v>
      </c>
    </row>
    <row r="3943" spans="1:15">
      <c r="A3943" s="242" t="s">
        <v>71</v>
      </c>
      <c r="B3943" s="43" t="s">
        <v>57</v>
      </c>
      <c r="C3943" s="15">
        <v>3</v>
      </c>
      <c r="D3943" s="243">
        <v>1</v>
      </c>
      <c r="E3943" s="243">
        <v>0</v>
      </c>
      <c r="F3943" s="243">
        <v>2</v>
      </c>
      <c r="G3943" s="243">
        <v>0</v>
      </c>
      <c r="H3943" s="243">
        <v>0</v>
      </c>
      <c r="I3943" s="243">
        <v>0</v>
      </c>
      <c r="J3943" s="243">
        <v>0</v>
      </c>
      <c r="K3943" s="243">
        <v>0</v>
      </c>
      <c r="L3943" s="243">
        <v>0</v>
      </c>
      <c r="M3943" s="243">
        <v>0</v>
      </c>
      <c r="N3943" s="243">
        <v>0</v>
      </c>
      <c r="O3943" s="253">
        <v>0</v>
      </c>
    </row>
    <row r="3944" spans="1:15">
      <c r="A3944" s="240" t="s">
        <v>71</v>
      </c>
      <c r="B3944" s="47" t="s">
        <v>59</v>
      </c>
      <c r="C3944" s="15">
        <v>9</v>
      </c>
      <c r="D3944" s="243">
        <v>0</v>
      </c>
      <c r="E3944" s="243">
        <v>1</v>
      </c>
      <c r="F3944" s="243">
        <v>0</v>
      </c>
      <c r="G3944" s="243">
        <v>1</v>
      </c>
      <c r="H3944" s="243">
        <v>0</v>
      </c>
      <c r="I3944" s="243">
        <v>1</v>
      </c>
      <c r="J3944" s="243">
        <v>0</v>
      </c>
      <c r="K3944" s="243">
        <v>1</v>
      </c>
      <c r="L3944" s="243">
        <v>2</v>
      </c>
      <c r="M3944" s="243">
        <v>2</v>
      </c>
      <c r="N3944" s="243">
        <v>1</v>
      </c>
      <c r="O3944" s="253">
        <v>0</v>
      </c>
    </row>
    <row r="3945" spans="1:15">
      <c r="A3945" s="242" t="s">
        <v>71</v>
      </c>
      <c r="B3945" s="43" t="s">
        <v>4</v>
      </c>
      <c r="C3945" s="15">
        <v>9</v>
      </c>
      <c r="D3945" s="244">
        <v>1</v>
      </c>
      <c r="E3945" s="244">
        <v>0</v>
      </c>
      <c r="F3945" s="244">
        <v>1</v>
      </c>
      <c r="G3945" s="244">
        <v>0</v>
      </c>
      <c r="H3945" s="244">
        <v>0</v>
      </c>
      <c r="I3945" s="244">
        <v>2</v>
      </c>
      <c r="J3945" s="244">
        <v>0</v>
      </c>
      <c r="K3945" s="244">
        <v>1</v>
      </c>
      <c r="L3945" s="244">
        <v>1</v>
      </c>
      <c r="M3945" s="244">
        <v>0</v>
      </c>
      <c r="N3945" s="244">
        <v>1</v>
      </c>
      <c r="O3945" s="254">
        <v>2</v>
      </c>
    </row>
    <row r="3946" spans="1:15">
      <c r="A3946" s="240" t="s">
        <v>71</v>
      </c>
      <c r="B3946" s="47" t="s">
        <v>5</v>
      </c>
      <c r="C3946" s="241">
        <v>1</v>
      </c>
      <c r="D3946" s="241">
        <v>0</v>
      </c>
      <c r="E3946" s="241">
        <v>0</v>
      </c>
      <c r="F3946" s="241">
        <v>0</v>
      </c>
      <c r="G3946" s="241">
        <v>0</v>
      </c>
      <c r="H3946" s="241">
        <v>0</v>
      </c>
      <c r="I3946" s="241">
        <v>2</v>
      </c>
      <c r="J3946" s="241">
        <v>0</v>
      </c>
      <c r="K3946" s="241">
        <v>1</v>
      </c>
      <c r="L3946" s="241">
        <v>0.5</v>
      </c>
      <c r="M3946" s="241">
        <v>0</v>
      </c>
      <c r="N3946" s="241">
        <v>1</v>
      </c>
      <c r="O3946" s="252">
        <v>0</v>
      </c>
    </row>
    <row r="3947" spans="1:15">
      <c r="A3947" s="242" t="s">
        <v>71</v>
      </c>
      <c r="B3947" s="43" t="s">
        <v>6</v>
      </c>
      <c r="C3947" s="15">
        <v>5</v>
      </c>
      <c r="D3947" s="244">
        <v>1</v>
      </c>
      <c r="E3947" s="244">
        <v>0</v>
      </c>
      <c r="F3947" s="244">
        <v>0</v>
      </c>
      <c r="G3947" s="244">
        <v>2</v>
      </c>
      <c r="H3947" s="244">
        <v>0</v>
      </c>
      <c r="I3947" s="244">
        <v>0</v>
      </c>
      <c r="J3947" s="244">
        <v>0</v>
      </c>
      <c r="K3947" s="244">
        <v>0</v>
      </c>
      <c r="L3947" s="244">
        <v>0</v>
      </c>
      <c r="M3947" s="244">
        <v>0</v>
      </c>
      <c r="N3947" s="244">
        <v>1</v>
      </c>
      <c r="O3947" s="254">
        <v>1</v>
      </c>
    </row>
    <row r="3948" ht="14.25" spans="1:15">
      <c r="A3948" s="245" t="s">
        <v>71</v>
      </c>
      <c r="B3948" s="52" t="s">
        <v>64</v>
      </c>
      <c r="C3948" s="19">
        <v>0.555555555555556</v>
      </c>
      <c r="D3948" s="19">
        <v>1</v>
      </c>
      <c r="E3948" s="19" t="e">
        <v>#DIV/0!</v>
      </c>
      <c r="F3948" s="19">
        <v>0</v>
      </c>
      <c r="G3948" s="19" t="e">
        <v>#DIV/0!</v>
      </c>
      <c r="H3948" s="19" t="e">
        <v>#DIV/0!</v>
      </c>
      <c r="I3948" s="19">
        <v>0</v>
      </c>
      <c r="J3948" s="19" t="e">
        <v>#DIV/0!</v>
      </c>
      <c r="K3948" s="19">
        <v>0</v>
      </c>
      <c r="L3948" s="19">
        <v>0</v>
      </c>
      <c r="M3948" s="19" t="e">
        <v>#DIV/0!</v>
      </c>
      <c r="N3948" s="19">
        <v>1</v>
      </c>
      <c r="O3948" s="19">
        <v>0.5</v>
      </c>
    </row>
    <row r="3949" spans="1:15">
      <c r="A3949" s="240" t="s">
        <v>72</v>
      </c>
      <c r="B3949" s="47" t="s">
        <v>55</v>
      </c>
      <c r="C3949" s="12">
        <v>0.16168961782454</v>
      </c>
      <c r="D3949" s="241">
        <v>0.153305203938115</v>
      </c>
      <c r="E3949" s="241">
        <v>0.204778156996587</v>
      </c>
      <c r="F3949" s="241">
        <v>0.169902912621359</v>
      </c>
      <c r="G3949" s="241">
        <v>0.208029197080292</v>
      </c>
      <c r="H3949" s="241">
        <v>0.168949771689498</v>
      </c>
      <c r="I3949" s="241">
        <v>0.145956607495069</v>
      </c>
      <c r="J3949" s="241">
        <v>0.169429097605893</v>
      </c>
      <c r="K3949" s="241">
        <v>0.145922746781116</v>
      </c>
      <c r="L3949" s="241">
        <v>0.158362989323843</v>
      </c>
      <c r="M3949" s="241">
        <v>0.139495798319328</v>
      </c>
      <c r="N3949" s="241">
        <v>0.181818181818182</v>
      </c>
      <c r="O3949" s="252">
        <v>0.149882903981265</v>
      </c>
    </row>
    <row r="3950" spans="1:15">
      <c r="A3950" s="242" t="s">
        <v>72</v>
      </c>
      <c r="B3950" s="43" t="s">
        <v>57</v>
      </c>
      <c r="C3950" s="15">
        <v>6463</v>
      </c>
      <c r="D3950" s="243">
        <v>711</v>
      </c>
      <c r="E3950" s="243">
        <v>293</v>
      </c>
      <c r="F3950" s="243">
        <v>206</v>
      </c>
      <c r="G3950" s="243">
        <v>274</v>
      </c>
      <c r="H3950" s="243">
        <v>438</v>
      </c>
      <c r="I3950" s="243">
        <v>507</v>
      </c>
      <c r="J3950" s="243">
        <v>543</v>
      </c>
      <c r="K3950" s="243">
        <v>699</v>
      </c>
      <c r="L3950" s="243">
        <v>562</v>
      </c>
      <c r="M3950" s="243">
        <v>595</v>
      </c>
      <c r="N3950" s="243">
        <v>781</v>
      </c>
      <c r="O3950" s="253">
        <v>854</v>
      </c>
    </row>
    <row r="3951" spans="1:15">
      <c r="A3951" s="240" t="s">
        <v>72</v>
      </c>
      <c r="B3951" s="47" t="s">
        <v>59</v>
      </c>
      <c r="C3951" s="15">
        <v>1045</v>
      </c>
      <c r="D3951" s="243">
        <v>109</v>
      </c>
      <c r="E3951" s="243">
        <v>60</v>
      </c>
      <c r="F3951" s="243">
        <v>35</v>
      </c>
      <c r="G3951" s="243">
        <v>57</v>
      </c>
      <c r="H3951" s="243">
        <v>74</v>
      </c>
      <c r="I3951" s="243">
        <v>74</v>
      </c>
      <c r="J3951" s="243">
        <v>92</v>
      </c>
      <c r="K3951" s="243">
        <v>102</v>
      </c>
      <c r="L3951" s="243">
        <v>89</v>
      </c>
      <c r="M3951" s="243">
        <v>83</v>
      </c>
      <c r="N3951" s="243">
        <v>142</v>
      </c>
      <c r="O3951" s="253">
        <v>128</v>
      </c>
    </row>
    <row r="3952" spans="1:15">
      <c r="A3952" s="242" t="s">
        <v>72</v>
      </c>
      <c r="B3952" s="43" t="s">
        <v>4</v>
      </c>
      <c r="C3952" s="15">
        <v>88</v>
      </c>
      <c r="D3952" s="244">
        <v>14</v>
      </c>
      <c r="E3952" s="244">
        <v>2</v>
      </c>
      <c r="F3952" s="244">
        <v>3</v>
      </c>
      <c r="G3952" s="244">
        <v>5</v>
      </c>
      <c r="H3952" s="244">
        <v>8</v>
      </c>
      <c r="I3952" s="244">
        <v>5</v>
      </c>
      <c r="J3952" s="244">
        <v>5</v>
      </c>
      <c r="K3952" s="244">
        <v>10</v>
      </c>
      <c r="L3952" s="244">
        <v>8</v>
      </c>
      <c r="M3952" s="244">
        <v>5</v>
      </c>
      <c r="N3952" s="244">
        <v>15</v>
      </c>
      <c r="O3952" s="254">
        <v>8</v>
      </c>
    </row>
    <row r="3953" spans="1:15">
      <c r="A3953" s="240" t="s">
        <v>72</v>
      </c>
      <c r="B3953" s="47" t="s">
        <v>5</v>
      </c>
      <c r="C3953" s="12">
        <v>0.0842105263157895</v>
      </c>
      <c r="D3953" s="241">
        <v>0.128440366972477</v>
      </c>
      <c r="E3953" s="241">
        <v>0.0333333333333333</v>
      </c>
      <c r="F3953" s="241">
        <v>0.0857142857142857</v>
      </c>
      <c r="G3953" s="241">
        <v>0.087719298245614</v>
      </c>
      <c r="H3953" s="241">
        <v>0.108108108108108</v>
      </c>
      <c r="I3953" s="241">
        <v>0.0675675675675676</v>
      </c>
      <c r="J3953" s="241">
        <v>0.0543478260869565</v>
      </c>
      <c r="K3953" s="241">
        <v>0.0980392156862745</v>
      </c>
      <c r="L3953" s="241">
        <v>0.0898876404494382</v>
      </c>
      <c r="M3953" s="241">
        <v>0.0602409638554217</v>
      </c>
      <c r="N3953" s="241">
        <v>0.105633802816901</v>
      </c>
      <c r="O3953" s="252">
        <v>0.0625</v>
      </c>
    </row>
    <row r="3954" spans="1:15">
      <c r="A3954" s="242" t="s">
        <v>72</v>
      </c>
      <c r="B3954" s="43" t="s">
        <v>6</v>
      </c>
      <c r="C3954" s="15">
        <v>23</v>
      </c>
      <c r="D3954" s="244">
        <v>4</v>
      </c>
      <c r="E3954" s="244">
        <v>0</v>
      </c>
      <c r="F3954" s="244">
        <v>0</v>
      </c>
      <c r="G3954" s="244">
        <v>1</v>
      </c>
      <c r="H3954" s="244">
        <v>2</v>
      </c>
      <c r="I3954" s="244">
        <v>3</v>
      </c>
      <c r="J3954" s="244">
        <v>2</v>
      </c>
      <c r="K3954" s="244">
        <v>3</v>
      </c>
      <c r="L3954" s="244">
        <v>1</v>
      </c>
      <c r="M3954" s="244">
        <v>0</v>
      </c>
      <c r="N3954" s="244">
        <v>4</v>
      </c>
      <c r="O3954" s="254">
        <v>3</v>
      </c>
    </row>
    <row r="3955" ht="14.25" spans="1:15">
      <c r="A3955" s="245" t="s">
        <v>72</v>
      </c>
      <c r="B3955" s="52" t="s">
        <v>64</v>
      </c>
      <c r="C3955" s="19">
        <v>0.261363636363636</v>
      </c>
      <c r="D3955" s="19">
        <v>0.285714285714286</v>
      </c>
      <c r="E3955" s="19">
        <v>0</v>
      </c>
      <c r="F3955" s="19">
        <v>0</v>
      </c>
      <c r="G3955" s="19">
        <v>0.2</v>
      </c>
      <c r="H3955" s="19">
        <v>0.25</v>
      </c>
      <c r="I3955" s="19">
        <v>0.6</v>
      </c>
      <c r="J3955" s="19">
        <v>0.4</v>
      </c>
      <c r="K3955" s="19">
        <v>0.3</v>
      </c>
      <c r="L3955" s="19">
        <v>0.125</v>
      </c>
      <c r="M3955" s="19">
        <v>0</v>
      </c>
      <c r="N3955" s="19">
        <v>0.266666666666667</v>
      </c>
      <c r="O3955" s="19">
        <v>0.375</v>
      </c>
    </row>
    <row r="3956" ht="14.25" spans="1:15">
      <c r="A3956" s="259">
        <v>45080</v>
      </c>
      <c r="B3956" s="259"/>
      <c r="C3956" s="259"/>
      <c r="D3956" s="259"/>
      <c r="E3956" s="259"/>
      <c r="F3956" s="259"/>
      <c r="G3956" s="259"/>
      <c r="H3956" s="259"/>
      <c r="I3956" s="259"/>
      <c r="J3956" s="259"/>
      <c r="K3956" s="259"/>
      <c r="L3956" s="259"/>
      <c r="M3956" s="259"/>
      <c r="N3956" s="259"/>
      <c r="O3956" s="259"/>
    </row>
    <row r="3957" spans="1:15">
      <c r="A3957" s="56" t="s">
        <v>1</v>
      </c>
      <c r="B3957" s="238"/>
      <c r="C3957" s="8" t="s">
        <v>42</v>
      </c>
      <c r="D3957" s="239" t="s">
        <v>43</v>
      </c>
      <c r="E3957" s="239" t="s">
        <v>44</v>
      </c>
      <c r="F3957" s="239" t="s">
        <v>45</v>
      </c>
      <c r="G3957" s="239" t="s">
        <v>46</v>
      </c>
      <c r="H3957" s="239" t="s">
        <v>47</v>
      </c>
      <c r="I3957" s="239" t="s">
        <v>48</v>
      </c>
      <c r="J3957" s="239" t="s">
        <v>49</v>
      </c>
      <c r="K3957" s="239" t="s">
        <v>50</v>
      </c>
      <c r="L3957" s="239" t="s">
        <v>51</v>
      </c>
      <c r="M3957" s="239" t="s">
        <v>52</v>
      </c>
      <c r="N3957" s="239" t="s">
        <v>53</v>
      </c>
      <c r="O3957" s="251" t="s">
        <v>54</v>
      </c>
    </row>
    <row r="3958" spans="1:15">
      <c r="A3958" s="240" t="s">
        <v>22</v>
      </c>
      <c r="B3958" s="47" t="s">
        <v>55</v>
      </c>
      <c r="C3958" s="12">
        <v>0.39938446969697</v>
      </c>
      <c r="D3958" s="241">
        <v>0.484931506849315</v>
      </c>
      <c r="E3958" s="241">
        <v>0.398907103825137</v>
      </c>
      <c r="F3958" s="241">
        <v>0.386206896551724</v>
      </c>
      <c r="G3958" s="241">
        <v>0.390374331550802</v>
      </c>
      <c r="H3958" s="241">
        <v>0.411003236245955</v>
      </c>
      <c r="I3958" s="241">
        <v>0.427244582043344</v>
      </c>
      <c r="J3958" s="241">
        <v>0.408719346049046</v>
      </c>
      <c r="K3958" s="241">
        <v>0.412322274881517</v>
      </c>
      <c r="L3958" s="241">
        <v>0.345537757437071</v>
      </c>
      <c r="M3958" s="241">
        <v>0.381944444444444</v>
      </c>
      <c r="N3958" s="241">
        <v>0.357281553398058</v>
      </c>
      <c r="O3958" s="252">
        <v>0.406307977736549</v>
      </c>
    </row>
    <row r="3959" spans="1:15">
      <c r="A3959" s="242" t="s">
        <v>22</v>
      </c>
      <c r="B3959" s="43" t="s">
        <v>57</v>
      </c>
      <c r="C3959" s="15">
        <v>4224</v>
      </c>
      <c r="D3959" s="243">
        <v>365</v>
      </c>
      <c r="E3959" s="243">
        <v>183</v>
      </c>
      <c r="F3959" s="243">
        <v>145</v>
      </c>
      <c r="G3959" s="243">
        <v>187</v>
      </c>
      <c r="H3959" s="243">
        <v>309</v>
      </c>
      <c r="I3959" s="243">
        <v>323</v>
      </c>
      <c r="J3959" s="243">
        <v>367</v>
      </c>
      <c r="K3959" s="243">
        <v>422</v>
      </c>
      <c r="L3959" s="243">
        <v>437</v>
      </c>
      <c r="M3959" s="243">
        <v>432</v>
      </c>
      <c r="N3959" s="243">
        <v>515</v>
      </c>
      <c r="O3959" s="253">
        <v>539</v>
      </c>
    </row>
    <row r="3960" spans="1:15">
      <c r="A3960" s="240" t="s">
        <v>22</v>
      </c>
      <c r="B3960" s="47" t="s">
        <v>59</v>
      </c>
      <c r="C3960" s="15">
        <v>1687</v>
      </c>
      <c r="D3960" s="243">
        <v>177</v>
      </c>
      <c r="E3960" s="243">
        <v>73</v>
      </c>
      <c r="F3960" s="243">
        <v>56</v>
      </c>
      <c r="G3960" s="243">
        <v>73</v>
      </c>
      <c r="H3960" s="243">
        <v>127</v>
      </c>
      <c r="I3960" s="243">
        <v>138</v>
      </c>
      <c r="J3960" s="243">
        <v>150</v>
      </c>
      <c r="K3960" s="243">
        <v>174</v>
      </c>
      <c r="L3960" s="243">
        <v>151</v>
      </c>
      <c r="M3960" s="243">
        <v>165</v>
      </c>
      <c r="N3960" s="243">
        <v>184</v>
      </c>
      <c r="O3960" s="253">
        <v>219</v>
      </c>
    </row>
    <row r="3961" spans="1:15">
      <c r="A3961" s="242" t="s">
        <v>22</v>
      </c>
      <c r="B3961" s="43" t="s">
        <v>4</v>
      </c>
      <c r="C3961" s="15">
        <v>126</v>
      </c>
      <c r="D3961" s="244">
        <v>13</v>
      </c>
      <c r="E3961" s="244">
        <v>5</v>
      </c>
      <c r="F3961" s="244">
        <v>4</v>
      </c>
      <c r="G3961" s="244">
        <v>4</v>
      </c>
      <c r="H3961" s="244">
        <v>6</v>
      </c>
      <c r="I3961" s="244">
        <v>13</v>
      </c>
      <c r="J3961" s="244">
        <v>10</v>
      </c>
      <c r="K3961" s="244">
        <v>17</v>
      </c>
      <c r="L3961" s="244">
        <v>8</v>
      </c>
      <c r="M3961" s="244">
        <v>10</v>
      </c>
      <c r="N3961" s="244">
        <v>17</v>
      </c>
      <c r="O3961" s="254">
        <v>19</v>
      </c>
    </row>
    <row r="3962" spans="1:15">
      <c r="A3962" s="240" t="s">
        <v>22</v>
      </c>
      <c r="B3962" s="47" t="s">
        <v>5</v>
      </c>
      <c r="C3962" s="12">
        <v>0.0746887966804979</v>
      </c>
      <c r="D3962" s="241">
        <v>0.0734463276836158</v>
      </c>
      <c r="E3962" s="241">
        <v>0.0684931506849315</v>
      </c>
      <c r="F3962" s="241">
        <v>0.0714285714285714</v>
      </c>
      <c r="G3962" s="241">
        <v>0.0547945205479452</v>
      </c>
      <c r="H3962" s="241">
        <v>0.047244094488189</v>
      </c>
      <c r="I3962" s="241">
        <v>0.0942028985507246</v>
      </c>
      <c r="J3962" s="241">
        <v>0.0666666666666667</v>
      </c>
      <c r="K3962" s="241">
        <v>0.0977011494252874</v>
      </c>
      <c r="L3962" s="241">
        <v>0.0529801324503311</v>
      </c>
      <c r="M3962" s="241">
        <v>0.0606060606060606</v>
      </c>
      <c r="N3962" s="241">
        <v>0.0923913043478261</v>
      </c>
      <c r="O3962" s="252">
        <v>0.0867579908675799</v>
      </c>
    </row>
    <row r="3963" spans="1:15">
      <c r="A3963" s="242" t="s">
        <v>22</v>
      </c>
      <c r="B3963" s="43" t="s">
        <v>6</v>
      </c>
      <c r="C3963" s="15">
        <v>48</v>
      </c>
      <c r="D3963" s="244">
        <v>8</v>
      </c>
      <c r="E3963" s="244">
        <v>2</v>
      </c>
      <c r="F3963" s="244">
        <v>0</v>
      </c>
      <c r="G3963" s="244">
        <v>0</v>
      </c>
      <c r="H3963" s="244">
        <v>4</v>
      </c>
      <c r="I3963" s="244">
        <v>3</v>
      </c>
      <c r="J3963" s="244">
        <v>4</v>
      </c>
      <c r="K3963" s="244">
        <v>3</v>
      </c>
      <c r="L3963" s="244">
        <v>7</v>
      </c>
      <c r="M3963" s="244">
        <v>4</v>
      </c>
      <c r="N3963" s="244">
        <v>10</v>
      </c>
      <c r="O3963" s="254">
        <v>3</v>
      </c>
    </row>
    <row r="3964" ht="14.25" spans="1:15">
      <c r="A3964" s="245" t="s">
        <v>22</v>
      </c>
      <c r="B3964" s="52" t="s">
        <v>64</v>
      </c>
      <c r="C3964" s="19">
        <v>0.380952380952381</v>
      </c>
      <c r="D3964" s="246">
        <v>0.615384615384615</v>
      </c>
      <c r="E3964" s="246">
        <v>0.4</v>
      </c>
      <c r="F3964" s="246">
        <v>0</v>
      </c>
      <c r="G3964" s="246">
        <v>0</v>
      </c>
      <c r="H3964" s="246">
        <v>0.666666666666667</v>
      </c>
      <c r="I3964" s="246">
        <v>0.230769230769231</v>
      </c>
      <c r="J3964" s="246">
        <v>0.4</v>
      </c>
      <c r="K3964" s="246">
        <v>0.176470588235294</v>
      </c>
      <c r="L3964" s="246">
        <v>0.875</v>
      </c>
      <c r="M3964" s="246">
        <v>0.4</v>
      </c>
      <c r="N3964" s="246">
        <v>0.588235294117647</v>
      </c>
      <c r="O3964" s="255">
        <v>0.157894736842105</v>
      </c>
    </row>
    <row r="3965" spans="1:15">
      <c r="A3965" s="247" t="s">
        <v>66</v>
      </c>
      <c r="B3965" s="248" t="s">
        <v>55</v>
      </c>
      <c r="C3965" s="12">
        <v>0.0784313725490196</v>
      </c>
      <c r="D3965" s="249">
        <v>0.111842105263158</v>
      </c>
      <c r="E3965" s="249">
        <v>0.0403225806451613</v>
      </c>
      <c r="F3965" s="249">
        <v>0.0421052631578947</v>
      </c>
      <c r="G3965" s="249">
        <v>0.0416666666666667</v>
      </c>
      <c r="H3965" s="249">
        <v>0.0740740740740741</v>
      </c>
      <c r="I3965" s="249">
        <v>0.0793650793650794</v>
      </c>
      <c r="J3965" s="249">
        <v>0.0714285714285714</v>
      </c>
      <c r="K3965" s="249">
        <v>0.0555555555555556</v>
      </c>
      <c r="L3965" s="249">
        <v>0.0526315789473684</v>
      </c>
      <c r="M3965" s="249">
        <v>0.101123595505618</v>
      </c>
      <c r="N3965" s="249">
        <v>0.145038167938931</v>
      </c>
      <c r="O3965" s="256">
        <v>0.185714285714286</v>
      </c>
    </row>
    <row r="3966" spans="1:15">
      <c r="A3966" s="242" t="s">
        <v>66</v>
      </c>
      <c r="B3966" s="43" t="s">
        <v>57</v>
      </c>
      <c r="C3966" s="15">
        <v>1836</v>
      </c>
      <c r="D3966" s="243">
        <v>152</v>
      </c>
      <c r="E3966" s="243">
        <v>248</v>
      </c>
      <c r="F3966" s="243">
        <v>190</v>
      </c>
      <c r="G3966" s="243">
        <v>168</v>
      </c>
      <c r="H3966" s="243">
        <v>162</v>
      </c>
      <c r="I3966" s="243">
        <v>126</v>
      </c>
      <c r="J3966" s="243">
        <v>154</v>
      </c>
      <c r="K3966" s="243">
        <v>162</v>
      </c>
      <c r="L3966" s="243">
        <v>114</v>
      </c>
      <c r="M3966" s="243">
        <v>89</v>
      </c>
      <c r="N3966" s="243">
        <v>131</v>
      </c>
      <c r="O3966" s="253">
        <v>140</v>
      </c>
    </row>
    <row r="3967" spans="1:15">
      <c r="A3967" s="240" t="s">
        <v>66</v>
      </c>
      <c r="B3967" s="47" t="s">
        <v>59</v>
      </c>
      <c r="C3967" s="15">
        <v>144</v>
      </c>
      <c r="D3967" s="243">
        <v>17</v>
      </c>
      <c r="E3967" s="243">
        <v>10</v>
      </c>
      <c r="F3967" s="243">
        <v>8</v>
      </c>
      <c r="G3967" s="243">
        <v>7</v>
      </c>
      <c r="H3967" s="243">
        <v>12</v>
      </c>
      <c r="I3967" s="243">
        <v>10</v>
      </c>
      <c r="J3967" s="243">
        <v>11</v>
      </c>
      <c r="K3967" s="243">
        <v>9</v>
      </c>
      <c r="L3967" s="243">
        <v>6</v>
      </c>
      <c r="M3967" s="243">
        <v>9</v>
      </c>
      <c r="N3967" s="243">
        <v>19</v>
      </c>
      <c r="O3967" s="253">
        <v>26</v>
      </c>
    </row>
    <row r="3968" spans="1:15">
      <c r="A3968" s="242" t="s">
        <v>66</v>
      </c>
      <c r="B3968" s="43" t="s">
        <v>4</v>
      </c>
      <c r="C3968" s="15">
        <v>8</v>
      </c>
      <c r="D3968" s="244">
        <v>2</v>
      </c>
      <c r="E3968" s="244">
        <v>1</v>
      </c>
      <c r="F3968" s="244">
        <v>1</v>
      </c>
      <c r="G3968" s="244">
        <v>0</v>
      </c>
      <c r="H3968" s="244">
        <v>0</v>
      </c>
      <c r="I3968" s="244">
        <v>3</v>
      </c>
      <c r="J3968" s="244">
        <v>0</v>
      </c>
      <c r="K3968" s="244">
        <v>0</v>
      </c>
      <c r="L3968" s="244">
        <v>0</v>
      </c>
      <c r="M3968" s="244">
        <v>0</v>
      </c>
      <c r="N3968" s="244">
        <v>1</v>
      </c>
      <c r="O3968" s="254">
        <v>0</v>
      </c>
    </row>
    <row r="3969" spans="1:15">
      <c r="A3969" s="240" t="s">
        <v>66</v>
      </c>
      <c r="B3969" s="47" t="s">
        <v>5</v>
      </c>
      <c r="C3969" s="12">
        <v>0.0555555555555556</v>
      </c>
      <c r="D3969" s="241">
        <v>0.117647058823529</v>
      </c>
      <c r="E3969" s="241">
        <v>0.1</v>
      </c>
      <c r="F3969" s="241">
        <v>0.125</v>
      </c>
      <c r="G3969" s="241">
        <v>0</v>
      </c>
      <c r="H3969" s="241">
        <v>0</v>
      </c>
      <c r="I3969" s="241">
        <v>0.3</v>
      </c>
      <c r="J3969" s="241">
        <v>0</v>
      </c>
      <c r="K3969" s="241">
        <v>0</v>
      </c>
      <c r="L3969" s="241">
        <v>0</v>
      </c>
      <c r="M3969" s="241">
        <v>0</v>
      </c>
      <c r="N3969" s="241">
        <v>0.0526315789473684</v>
      </c>
      <c r="O3969" s="252">
        <v>0</v>
      </c>
    </row>
    <row r="3970" spans="1:15">
      <c r="A3970" s="242" t="s">
        <v>66</v>
      </c>
      <c r="B3970" s="43" t="s">
        <v>6</v>
      </c>
      <c r="C3970" s="15">
        <v>2</v>
      </c>
      <c r="D3970" s="244">
        <v>0</v>
      </c>
      <c r="E3970" s="244">
        <v>1</v>
      </c>
      <c r="F3970" s="244">
        <v>0</v>
      </c>
      <c r="G3970" s="244">
        <v>0</v>
      </c>
      <c r="H3970" s="244">
        <v>0</v>
      </c>
      <c r="I3970" s="244">
        <v>0</v>
      </c>
      <c r="J3970" s="244">
        <v>1</v>
      </c>
      <c r="K3970" s="244">
        <v>0</v>
      </c>
      <c r="L3970" s="244">
        <v>0</v>
      </c>
      <c r="M3970" s="244">
        <v>0</v>
      </c>
      <c r="N3970" s="244">
        <v>0</v>
      </c>
      <c r="O3970" s="254">
        <v>0</v>
      </c>
    </row>
    <row r="3971" ht="14.25" spans="1:15">
      <c r="A3971" s="245" t="s">
        <v>66</v>
      </c>
      <c r="B3971" s="52" t="s">
        <v>64</v>
      </c>
      <c r="C3971" s="19">
        <v>0.25</v>
      </c>
      <c r="D3971" s="246">
        <v>0</v>
      </c>
      <c r="E3971" s="246">
        <v>1</v>
      </c>
      <c r="F3971" s="246">
        <v>0</v>
      </c>
      <c r="G3971" s="246">
        <v>0</v>
      </c>
      <c r="H3971" s="246">
        <v>0</v>
      </c>
      <c r="I3971" s="246">
        <v>0</v>
      </c>
      <c r="J3971" s="246">
        <v>0</v>
      </c>
      <c r="K3971" s="246">
        <v>0</v>
      </c>
      <c r="L3971" s="246">
        <v>0</v>
      </c>
      <c r="M3971" s="246">
        <v>0</v>
      </c>
      <c r="N3971" s="246">
        <v>0</v>
      </c>
      <c r="O3971" s="255">
        <v>0</v>
      </c>
    </row>
    <row r="3972" spans="1:15">
      <c r="A3972" s="240" t="s">
        <v>67</v>
      </c>
      <c r="B3972" s="47" t="s">
        <v>55</v>
      </c>
      <c r="C3972" s="12">
        <v>0.467084639498433</v>
      </c>
      <c r="D3972" s="241">
        <v>0.518072289156627</v>
      </c>
      <c r="E3972" s="241">
        <v>0.571428571428571</v>
      </c>
      <c r="F3972" s="241">
        <v>0.307692307692308</v>
      </c>
      <c r="G3972" s="241">
        <v>0.85</v>
      </c>
      <c r="H3972" s="241">
        <v>0.925925925925926</v>
      </c>
      <c r="I3972" s="241">
        <v>0.409090909090909</v>
      </c>
      <c r="J3972" s="241">
        <v>0.523809523809524</v>
      </c>
      <c r="K3972" s="241">
        <v>0.383333333333333</v>
      </c>
      <c r="L3972" s="241">
        <v>0.373134328358209</v>
      </c>
      <c r="M3972" s="241">
        <v>0.413793103448276</v>
      </c>
      <c r="N3972" s="241">
        <v>0.524590163934426</v>
      </c>
      <c r="O3972" s="252">
        <v>0.319148936170213</v>
      </c>
    </row>
    <row r="3973" spans="1:15">
      <c r="A3973" s="242" t="s">
        <v>67</v>
      </c>
      <c r="B3973" s="43" t="s">
        <v>57</v>
      </c>
      <c r="C3973" s="15">
        <v>638</v>
      </c>
      <c r="D3973" s="243">
        <v>83</v>
      </c>
      <c r="E3973" s="243">
        <v>35</v>
      </c>
      <c r="F3973" s="243">
        <v>26</v>
      </c>
      <c r="G3973" s="243">
        <v>20</v>
      </c>
      <c r="H3973" s="243">
        <v>27</v>
      </c>
      <c r="I3973" s="243">
        <v>44</v>
      </c>
      <c r="J3973" s="243">
        <v>63</v>
      </c>
      <c r="K3973" s="243">
        <v>60</v>
      </c>
      <c r="L3973" s="243">
        <v>67</v>
      </c>
      <c r="M3973" s="243">
        <v>58</v>
      </c>
      <c r="N3973" s="243">
        <v>61</v>
      </c>
      <c r="O3973" s="253">
        <v>94</v>
      </c>
    </row>
    <row r="3974" spans="1:15">
      <c r="A3974" s="240" t="s">
        <v>67</v>
      </c>
      <c r="B3974" s="47" t="s">
        <v>59</v>
      </c>
      <c r="C3974" s="15">
        <v>298</v>
      </c>
      <c r="D3974" s="243">
        <v>43</v>
      </c>
      <c r="E3974" s="243">
        <v>20</v>
      </c>
      <c r="F3974" s="243">
        <v>8</v>
      </c>
      <c r="G3974" s="243">
        <v>17</v>
      </c>
      <c r="H3974" s="243">
        <v>25</v>
      </c>
      <c r="I3974" s="243">
        <v>18</v>
      </c>
      <c r="J3974" s="243">
        <v>33</v>
      </c>
      <c r="K3974" s="243">
        <v>23</v>
      </c>
      <c r="L3974" s="243">
        <v>25</v>
      </c>
      <c r="M3974" s="243">
        <v>24</v>
      </c>
      <c r="N3974" s="243">
        <v>32</v>
      </c>
      <c r="O3974" s="253">
        <v>30</v>
      </c>
    </row>
    <row r="3975" spans="1:15">
      <c r="A3975" s="242" t="s">
        <v>67</v>
      </c>
      <c r="B3975" s="43" t="s">
        <v>4</v>
      </c>
      <c r="C3975" s="15">
        <v>12</v>
      </c>
      <c r="D3975" s="244">
        <v>5</v>
      </c>
      <c r="E3975" s="244">
        <v>0</v>
      </c>
      <c r="F3975" s="244">
        <v>1</v>
      </c>
      <c r="G3975" s="244">
        <v>0</v>
      </c>
      <c r="H3975" s="244">
        <v>1</v>
      </c>
      <c r="I3975" s="244">
        <v>0</v>
      </c>
      <c r="J3975" s="244">
        <v>0</v>
      </c>
      <c r="K3975" s="244">
        <v>0</v>
      </c>
      <c r="L3975" s="244">
        <v>2</v>
      </c>
      <c r="M3975" s="244">
        <v>1</v>
      </c>
      <c r="N3975" s="244">
        <v>2</v>
      </c>
      <c r="O3975" s="254">
        <v>0</v>
      </c>
    </row>
    <row r="3976" spans="1:15">
      <c r="A3976" s="240" t="s">
        <v>67</v>
      </c>
      <c r="B3976" s="47" t="s">
        <v>5</v>
      </c>
      <c r="C3976" s="12">
        <v>0.0402684563758389</v>
      </c>
      <c r="D3976" s="241">
        <v>0.116279069767442</v>
      </c>
      <c r="E3976" s="241">
        <v>0</v>
      </c>
      <c r="F3976" s="241">
        <v>0.125</v>
      </c>
      <c r="G3976" s="241">
        <v>0</v>
      </c>
      <c r="H3976" s="241">
        <v>0.04</v>
      </c>
      <c r="I3976" s="241">
        <v>0</v>
      </c>
      <c r="J3976" s="241">
        <v>0</v>
      </c>
      <c r="K3976" s="241">
        <v>0</v>
      </c>
      <c r="L3976" s="241">
        <v>0.08</v>
      </c>
      <c r="M3976" s="241">
        <v>0.0416666666666667</v>
      </c>
      <c r="N3976" s="241">
        <v>0.0625</v>
      </c>
      <c r="O3976" s="252">
        <v>0</v>
      </c>
    </row>
    <row r="3977" spans="1:15">
      <c r="A3977" s="242" t="s">
        <v>67</v>
      </c>
      <c r="B3977" s="43" t="s">
        <v>6</v>
      </c>
      <c r="C3977" s="15">
        <v>4</v>
      </c>
      <c r="D3977" s="244">
        <v>2</v>
      </c>
      <c r="E3977" s="244">
        <v>0</v>
      </c>
      <c r="F3977" s="244">
        <v>0</v>
      </c>
      <c r="G3977" s="244">
        <v>0</v>
      </c>
      <c r="H3977" s="244">
        <v>0</v>
      </c>
      <c r="I3977" s="244">
        <v>0</v>
      </c>
      <c r="J3977" s="244">
        <v>0</v>
      </c>
      <c r="K3977" s="244">
        <v>0</v>
      </c>
      <c r="L3977" s="244">
        <v>1</v>
      </c>
      <c r="M3977" s="244">
        <v>0</v>
      </c>
      <c r="N3977" s="244">
        <v>1</v>
      </c>
      <c r="O3977" s="254">
        <v>0</v>
      </c>
    </row>
    <row r="3978" ht="14.25" spans="1:15">
      <c r="A3978" s="245" t="s">
        <v>67</v>
      </c>
      <c r="B3978" s="52" t="s">
        <v>64</v>
      </c>
      <c r="C3978" s="19">
        <v>0.333333333333333</v>
      </c>
      <c r="D3978" s="246">
        <v>0.4</v>
      </c>
      <c r="E3978" s="246">
        <v>0</v>
      </c>
      <c r="F3978" s="246">
        <v>0</v>
      </c>
      <c r="G3978" s="246">
        <v>0</v>
      </c>
      <c r="H3978" s="246">
        <v>0</v>
      </c>
      <c r="I3978" s="246">
        <v>0</v>
      </c>
      <c r="J3978" s="246">
        <v>0</v>
      </c>
      <c r="K3978" s="246">
        <v>0</v>
      </c>
      <c r="L3978" s="246">
        <v>0.5</v>
      </c>
      <c r="M3978" s="246">
        <v>0</v>
      </c>
      <c r="N3978" s="246">
        <v>0.5</v>
      </c>
      <c r="O3978" s="255">
        <v>0</v>
      </c>
    </row>
    <row r="3979" spans="1:15">
      <c r="A3979" s="240" t="s">
        <v>68</v>
      </c>
      <c r="B3979" s="47" t="s">
        <v>55</v>
      </c>
      <c r="C3979" s="12">
        <v>0.15416285452882</v>
      </c>
      <c r="D3979" s="241">
        <v>0.162962962962963</v>
      </c>
      <c r="E3979" s="241">
        <v>0.187793427230047</v>
      </c>
      <c r="F3979" s="241">
        <v>0.190217391304348</v>
      </c>
      <c r="G3979" s="241">
        <v>0.200854700854701</v>
      </c>
      <c r="H3979" s="241">
        <v>0.121212121212121</v>
      </c>
      <c r="I3979" s="241">
        <v>0.119834710743802</v>
      </c>
      <c r="J3979" s="241">
        <v>0.12770137524558</v>
      </c>
      <c r="K3979" s="241">
        <v>0.131372549019608</v>
      </c>
      <c r="L3979" s="241">
        <v>0.15211970074813</v>
      </c>
      <c r="M3979" s="241">
        <v>0.171140939597315</v>
      </c>
      <c r="N3979" s="241">
        <v>0.178391959798995</v>
      </c>
      <c r="O3979" s="252">
        <v>0.179802955665025</v>
      </c>
    </row>
    <row r="3980" spans="1:15">
      <c r="A3980" s="242" t="s">
        <v>68</v>
      </c>
      <c r="B3980" s="43" t="s">
        <v>57</v>
      </c>
      <c r="C3980" s="15">
        <v>4372</v>
      </c>
      <c r="D3980" s="243">
        <v>405</v>
      </c>
      <c r="E3980" s="243">
        <v>213</v>
      </c>
      <c r="F3980" s="243">
        <v>184</v>
      </c>
      <c r="G3980" s="243">
        <v>234</v>
      </c>
      <c r="H3980" s="243">
        <v>330</v>
      </c>
      <c r="I3980" s="243">
        <v>484</v>
      </c>
      <c r="J3980" s="243">
        <v>509</v>
      </c>
      <c r="K3980" s="243">
        <v>510</v>
      </c>
      <c r="L3980" s="243">
        <v>401</v>
      </c>
      <c r="M3980" s="243">
        <v>298</v>
      </c>
      <c r="N3980" s="243">
        <v>398</v>
      </c>
      <c r="O3980" s="253">
        <v>406</v>
      </c>
    </row>
    <row r="3981" spans="1:15">
      <c r="A3981" s="240" t="s">
        <v>68</v>
      </c>
      <c r="B3981" s="47" t="s">
        <v>59</v>
      </c>
      <c r="C3981" s="15">
        <v>674</v>
      </c>
      <c r="D3981" s="243">
        <v>66</v>
      </c>
      <c r="E3981" s="243">
        <v>40</v>
      </c>
      <c r="F3981" s="243">
        <v>35</v>
      </c>
      <c r="G3981" s="243">
        <v>47</v>
      </c>
      <c r="H3981" s="243">
        <v>40</v>
      </c>
      <c r="I3981" s="243">
        <v>58</v>
      </c>
      <c r="J3981" s="243">
        <v>65</v>
      </c>
      <c r="K3981" s="243">
        <v>67</v>
      </c>
      <c r="L3981" s="243">
        <v>61</v>
      </c>
      <c r="M3981" s="243">
        <v>51</v>
      </c>
      <c r="N3981" s="243">
        <v>71</v>
      </c>
      <c r="O3981" s="253">
        <v>73</v>
      </c>
    </row>
    <row r="3982" spans="1:15">
      <c r="A3982" s="242" t="s">
        <v>68</v>
      </c>
      <c r="B3982" s="43" t="s">
        <v>4</v>
      </c>
      <c r="C3982" s="15">
        <v>41</v>
      </c>
      <c r="D3982" s="244">
        <v>4</v>
      </c>
      <c r="E3982" s="244">
        <v>4</v>
      </c>
      <c r="F3982" s="244">
        <v>2</v>
      </c>
      <c r="G3982" s="244">
        <v>3</v>
      </c>
      <c r="H3982" s="244">
        <v>0</v>
      </c>
      <c r="I3982" s="244">
        <v>3</v>
      </c>
      <c r="J3982" s="244">
        <v>2</v>
      </c>
      <c r="K3982" s="244">
        <v>3</v>
      </c>
      <c r="L3982" s="244">
        <v>4</v>
      </c>
      <c r="M3982" s="244">
        <v>3</v>
      </c>
      <c r="N3982" s="244">
        <v>7</v>
      </c>
      <c r="O3982" s="254">
        <v>6</v>
      </c>
    </row>
    <row r="3983" spans="1:15">
      <c r="A3983" s="240" t="s">
        <v>68</v>
      </c>
      <c r="B3983" s="47" t="s">
        <v>5</v>
      </c>
      <c r="C3983" s="12">
        <v>0.0608308605341246</v>
      </c>
      <c r="D3983" s="241">
        <v>0.0606060606060606</v>
      </c>
      <c r="E3983" s="241">
        <v>0.1</v>
      </c>
      <c r="F3983" s="241">
        <v>0.0571428571428571</v>
      </c>
      <c r="G3983" s="241">
        <v>0.0638297872340425</v>
      </c>
      <c r="H3983" s="241">
        <v>0</v>
      </c>
      <c r="I3983" s="241">
        <v>0.0517241379310345</v>
      </c>
      <c r="J3983" s="241">
        <v>0.0307692307692308</v>
      </c>
      <c r="K3983" s="241">
        <v>0.0447761194029851</v>
      </c>
      <c r="L3983" s="241">
        <v>0.0655737704918033</v>
      </c>
      <c r="M3983" s="241">
        <v>0.0588235294117647</v>
      </c>
      <c r="N3983" s="241">
        <v>0.0985915492957746</v>
      </c>
      <c r="O3983" s="252">
        <v>0.0821917808219178</v>
      </c>
    </row>
    <row r="3984" spans="1:15">
      <c r="A3984" s="242" t="s">
        <v>68</v>
      </c>
      <c r="B3984" s="43" t="s">
        <v>6</v>
      </c>
      <c r="C3984" s="15">
        <v>17</v>
      </c>
      <c r="D3984" s="244">
        <v>5</v>
      </c>
      <c r="E3984" s="244">
        <v>1</v>
      </c>
      <c r="F3984" s="244">
        <v>0</v>
      </c>
      <c r="G3984" s="244">
        <v>0</v>
      </c>
      <c r="H3984" s="244">
        <v>0</v>
      </c>
      <c r="I3984" s="244">
        <v>0</v>
      </c>
      <c r="J3984" s="244">
        <v>0</v>
      </c>
      <c r="K3984" s="244">
        <v>1</v>
      </c>
      <c r="L3984" s="244">
        <v>1</v>
      </c>
      <c r="M3984" s="244">
        <v>0</v>
      </c>
      <c r="N3984" s="244">
        <v>4</v>
      </c>
      <c r="O3984" s="254">
        <v>5</v>
      </c>
    </row>
    <row r="3985" ht="14.25" spans="1:15">
      <c r="A3985" s="245" t="s">
        <v>68</v>
      </c>
      <c r="B3985" s="52" t="s">
        <v>64</v>
      </c>
      <c r="C3985" s="19">
        <v>0.414634146341463</v>
      </c>
      <c r="D3985" s="246">
        <v>1.25</v>
      </c>
      <c r="E3985" s="246">
        <v>0.25</v>
      </c>
      <c r="F3985" s="246">
        <v>0</v>
      </c>
      <c r="G3985" s="246">
        <v>0</v>
      </c>
      <c r="H3985" s="246">
        <v>0</v>
      </c>
      <c r="I3985" s="246">
        <v>0</v>
      </c>
      <c r="J3985" s="246">
        <v>0</v>
      </c>
      <c r="K3985" s="246">
        <v>0.333333333333333</v>
      </c>
      <c r="L3985" s="246">
        <v>0.25</v>
      </c>
      <c r="M3985" s="246">
        <v>0</v>
      </c>
      <c r="N3985" s="246">
        <v>0.571428571428571</v>
      </c>
      <c r="O3985" s="255">
        <v>0.833333333333333</v>
      </c>
    </row>
    <row r="3986" spans="1:15">
      <c r="A3986" s="240" t="s">
        <v>69</v>
      </c>
      <c r="B3986" s="47" t="s">
        <v>55</v>
      </c>
      <c r="C3986" s="12">
        <v>1.56488549618321</v>
      </c>
      <c r="D3986" s="241">
        <v>1.5625</v>
      </c>
      <c r="E3986" s="241">
        <v>1.31578947368421</v>
      </c>
      <c r="F3986" s="241">
        <v>1.25</v>
      </c>
      <c r="G3986" s="241">
        <v>2.08333333333333</v>
      </c>
      <c r="H3986" s="241">
        <v>1.33333333333333</v>
      </c>
      <c r="I3986" s="241">
        <v>1.19230769230769</v>
      </c>
      <c r="J3986" s="241">
        <v>1.4</v>
      </c>
      <c r="K3986" s="241">
        <v>1.78947368421053</v>
      </c>
      <c r="L3986" s="241">
        <v>1.72222222222222</v>
      </c>
      <c r="M3986" s="241">
        <v>1.84615384615385</v>
      </c>
      <c r="N3986" s="241">
        <v>1.55882352941176</v>
      </c>
      <c r="O3986" s="252">
        <v>1.79166666666667</v>
      </c>
    </row>
    <row r="3987" spans="1:15">
      <c r="A3987" s="242" t="s">
        <v>69</v>
      </c>
      <c r="B3987" s="43" t="s">
        <v>57</v>
      </c>
      <c r="C3987" s="15">
        <v>262</v>
      </c>
      <c r="D3987" s="243">
        <v>32</v>
      </c>
      <c r="E3987" s="243">
        <v>19</v>
      </c>
      <c r="F3987" s="243">
        <v>12</v>
      </c>
      <c r="G3987" s="243">
        <v>12</v>
      </c>
      <c r="H3987" s="243">
        <v>15</v>
      </c>
      <c r="I3987" s="243">
        <v>26</v>
      </c>
      <c r="J3987" s="243">
        <v>25</v>
      </c>
      <c r="K3987" s="243">
        <v>19</v>
      </c>
      <c r="L3987" s="243">
        <v>18</v>
      </c>
      <c r="M3987" s="243">
        <v>26</v>
      </c>
      <c r="N3987" s="243">
        <v>34</v>
      </c>
      <c r="O3987" s="253">
        <v>24</v>
      </c>
    </row>
    <row r="3988" spans="1:15">
      <c r="A3988" s="240" t="s">
        <v>69</v>
      </c>
      <c r="B3988" s="47" t="s">
        <v>59</v>
      </c>
      <c r="C3988" s="15">
        <v>410</v>
      </c>
      <c r="D3988" s="243">
        <v>50</v>
      </c>
      <c r="E3988" s="243">
        <v>25</v>
      </c>
      <c r="F3988" s="243">
        <v>15</v>
      </c>
      <c r="G3988" s="243">
        <v>25</v>
      </c>
      <c r="H3988" s="243">
        <v>20</v>
      </c>
      <c r="I3988" s="243">
        <v>31</v>
      </c>
      <c r="J3988" s="243">
        <v>35</v>
      </c>
      <c r="K3988" s="243">
        <v>34</v>
      </c>
      <c r="L3988" s="243">
        <v>31</v>
      </c>
      <c r="M3988" s="243">
        <v>48</v>
      </c>
      <c r="N3988" s="243">
        <v>53</v>
      </c>
      <c r="O3988" s="253">
        <v>43</v>
      </c>
    </row>
    <row r="3989" spans="1:15">
      <c r="A3989" s="242" t="s">
        <v>69</v>
      </c>
      <c r="B3989" s="43" t="s">
        <v>4</v>
      </c>
      <c r="C3989" s="15">
        <v>18</v>
      </c>
      <c r="D3989" s="244">
        <v>1</v>
      </c>
      <c r="E3989" s="244">
        <v>0</v>
      </c>
      <c r="F3989" s="244">
        <v>0</v>
      </c>
      <c r="G3989" s="244">
        <v>0</v>
      </c>
      <c r="H3989" s="244">
        <v>0</v>
      </c>
      <c r="I3989" s="244">
        <v>0</v>
      </c>
      <c r="J3989" s="244">
        <v>2</v>
      </c>
      <c r="K3989" s="244">
        <v>1</v>
      </c>
      <c r="L3989" s="244">
        <v>6</v>
      </c>
      <c r="M3989" s="244">
        <v>4</v>
      </c>
      <c r="N3989" s="244">
        <v>1</v>
      </c>
      <c r="O3989" s="254">
        <v>3</v>
      </c>
    </row>
    <row r="3990" spans="1:15">
      <c r="A3990" s="240" t="s">
        <v>69</v>
      </c>
      <c r="B3990" s="47" t="s">
        <v>5</v>
      </c>
      <c r="C3990" s="12">
        <v>0.0439024390243902</v>
      </c>
      <c r="D3990" s="241">
        <v>0.02</v>
      </c>
      <c r="E3990" s="241">
        <v>0</v>
      </c>
      <c r="F3990" s="241">
        <v>0</v>
      </c>
      <c r="G3990" s="241">
        <v>0</v>
      </c>
      <c r="H3990" s="241">
        <v>0</v>
      </c>
      <c r="I3990" s="241">
        <v>0</v>
      </c>
      <c r="J3990" s="241">
        <v>0.0571428571428571</v>
      </c>
      <c r="K3990" s="241">
        <v>0.0294117647058824</v>
      </c>
      <c r="L3990" s="241">
        <v>0.193548387096774</v>
      </c>
      <c r="M3990" s="241">
        <v>0.0833333333333333</v>
      </c>
      <c r="N3990" s="241">
        <v>0.0188679245283019</v>
      </c>
      <c r="O3990" s="252">
        <v>0.0697674418604651</v>
      </c>
    </row>
    <row r="3991" spans="1:15">
      <c r="A3991" s="242" t="s">
        <v>69</v>
      </c>
      <c r="B3991" s="43" t="s">
        <v>6</v>
      </c>
      <c r="C3991" s="15">
        <v>7</v>
      </c>
      <c r="D3991" s="244">
        <v>2</v>
      </c>
      <c r="E3991" s="244">
        <v>1</v>
      </c>
      <c r="F3991" s="244">
        <v>0</v>
      </c>
      <c r="G3991" s="244">
        <v>0</v>
      </c>
      <c r="H3991" s="244">
        <v>0</v>
      </c>
      <c r="I3991" s="244">
        <v>0</v>
      </c>
      <c r="J3991" s="244">
        <v>0</v>
      </c>
      <c r="K3991" s="244">
        <v>0</v>
      </c>
      <c r="L3991" s="244">
        <v>0</v>
      </c>
      <c r="M3991" s="244">
        <v>2</v>
      </c>
      <c r="N3991" s="244">
        <v>0</v>
      </c>
      <c r="O3991" s="254">
        <v>2</v>
      </c>
    </row>
    <row r="3992" ht="14.25" spans="1:15">
      <c r="A3992" s="245" t="s">
        <v>69</v>
      </c>
      <c r="B3992" s="52" t="s">
        <v>64</v>
      </c>
      <c r="C3992" s="19">
        <v>0.388888888888889</v>
      </c>
      <c r="D3992" s="246">
        <v>2</v>
      </c>
      <c r="E3992" s="246">
        <v>0</v>
      </c>
      <c r="F3992" s="246">
        <v>0</v>
      </c>
      <c r="G3992" s="246">
        <v>0</v>
      </c>
      <c r="H3992" s="246">
        <v>0</v>
      </c>
      <c r="I3992" s="246">
        <v>0</v>
      </c>
      <c r="J3992" s="246">
        <v>0</v>
      </c>
      <c r="K3992" s="246">
        <v>0</v>
      </c>
      <c r="L3992" s="246">
        <v>0</v>
      </c>
      <c r="M3992" s="246">
        <v>0.5</v>
      </c>
      <c r="N3992" s="246">
        <v>0</v>
      </c>
      <c r="O3992" s="255">
        <v>0.666666666666667</v>
      </c>
    </row>
    <row r="3993" spans="1:15">
      <c r="A3993" s="240" t="s">
        <v>70</v>
      </c>
      <c r="B3993" s="47" t="s">
        <v>55</v>
      </c>
      <c r="C3993" s="12">
        <v>0.639159627463721</v>
      </c>
      <c r="D3993" s="241">
        <v>0.569047619047619</v>
      </c>
      <c r="E3993" s="241">
        <v>0.584033613445378</v>
      </c>
      <c r="F3993" s="241">
        <v>0.558510638297872</v>
      </c>
      <c r="G3993" s="241">
        <v>0.513513513513513</v>
      </c>
      <c r="H3993" s="241">
        <v>0.787234042553192</v>
      </c>
      <c r="I3993" s="241">
        <v>0.745664739884393</v>
      </c>
      <c r="J3993" s="241">
        <v>0.635746606334842</v>
      </c>
      <c r="K3993" s="241">
        <v>0.710588235294118</v>
      </c>
      <c r="L3993" s="241">
        <v>0.709129511677282</v>
      </c>
      <c r="M3993" s="241">
        <v>0.636781609195402</v>
      </c>
      <c r="N3993" s="241">
        <v>0.600790513833992</v>
      </c>
      <c r="O3993" s="252">
        <v>0.585669781931464</v>
      </c>
    </row>
    <row r="3994" spans="1:15">
      <c r="A3994" s="242" t="s">
        <v>70</v>
      </c>
      <c r="B3994" s="43" t="s">
        <v>57</v>
      </c>
      <c r="C3994" s="15">
        <v>4617</v>
      </c>
      <c r="D3994" s="243">
        <v>420</v>
      </c>
      <c r="E3994" s="243">
        <v>238</v>
      </c>
      <c r="F3994" s="243">
        <v>188</v>
      </c>
      <c r="G3994" s="243">
        <v>222</v>
      </c>
      <c r="H3994" s="243">
        <v>282</v>
      </c>
      <c r="I3994" s="243">
        <v>346</v>
      </c>
      <c r="J3994" s="243">
        <v>442</v>
      </c>
      <c r="K3994" s="243">
        <v>425</v>
      </c>
      <c r="L3994" s="243">
        <v>471</v>
      </c>
      <c r="M3994" s="243">
        <v>435</v>
      </c>
      <c r="N3994" s="243">
        <v>506</v>
      </c>
      <c r="O3994" s="253">
        <v>642</v>
      </c>
    </row>
    <row r="3995" spans="1:15">
      <c r="A3995" s="240" t="s">
        <v>70</v>
      </c>
      <c r="B3995" s="47" t="s">
        <v>59</v>
      </c>
      <c r="C3995" s="15">
        <v>2951</v>
      </c>
      <c r="D3995" s="243">
        <v>239</v>
      </c>
      <c r="E3995" s="243">
        <v>139</v>
      </c>
      <c r="F3995" s="243">
        <v>105</v>
      </c>
      <c r="G3995" s="243">
        <v>114</v>
      </c>
      <c r="H3995" s="243">
        <v>222</v>
      </c>
      <c r="I3995" s="243">
        <v>258</v>
      </c>
      <c r="J3995" s="243">
        <v>281</v>
      </c>
      <c r="K3995" s="243">
        <v>302</v>
      </c>
      <c r="L3995" s="243">
        <v>334</v>
      </c>
      <c r="M3995" s="243">
        <v>277</v>
      </c>
      <c r="N3995" s="243">
        <v>304</v>
      </c>
      <c r="O3995" s="253">
        <v>376</v>
      </c>
    </row>
    <row r="3996" spans="1:15">
      <c r="A3996" s="242" t="s">
        <v>70</v>
      </c>
      <c r="B3996" s="43" t="s">
        <v>4</v>
      </c>
      <c r="C3996" s="15">
        <v>191</v>
      </c>
      <c r="D3996" s="244">
        <v>13</v>
      </c>
      <c r="E3996" s="244">
        <v>12</v>
      </c>
      <c r="F3996" s="244">
        <v>12</v>
      </c>
      <c r="G3996" s="244">
        <v>8</v>
      </c>
      <c r="H3996" s="244">
        <v>6</v>
      </c>
      <c r="I3996" s="244">
        <v>14</v>
      </c>
      <c r="J3996" s="244">
        <v>18</v>
      </c>
      <c r="K3996" s="244">
        <v>18</v>
      </c>
      <c r="L3996" s="244">
        <v>17</v>
      </c>
      <c r="M3996" s="244">
        <v>12</v>
      </c>
      <c r="N3996" s="244">
        <v>23</v>
      </c>
      <c r="O3996" s="254">
        <v>38</v>
      </c>
    </row>
    <row r="3997" spans="1:15">
      <c r="A3997" s="240" t="s">
        <v>70</v>
      </c>
      <c r="B3997" s="47" t="s">
        <v>5</v>
      </c>
      <c r="C3997" s="12">
        <v>0.0647238224330735</v>
      </c>
      <c r="D3997" s="241">
        <v>0.0543933054393305</v>
      </c>
      <c r="E3997" s="241">
        <v>0.0863309352517986</v>
      </c>
      <c r="F3997" s="241">
        <v>0.114285714285714</v>
      </c>
      <c r="G3997" s="241">
        <v>0.0701754385964912</v>
      </c>
      <c r="H3997" s="241">
        <v>0.027027027027027</v>
      </c>
      <c r="I3997" s="241">
        <v>0.0542635658914729</v>
      </c>
      <c r="J3997" s="241">
        <v>0.0640569395017794</v>
      </c>
      <c r="K3997" s="241">
        <v>0.0596026490066225</v>
      </c>
      <c r="L3997" s="241">
        <v>0.0508982035928144</v>
      </c>
      <c r="M3997" s="241">
        <v>0.0433212996389892</v>
      </c>
      <c r="N3997" s="241">
        <v>0.0756578947368421</v>
      </c>
      <c r="O3997" s="252">
        <v>0.101063829787234</v>
      </c>
    </row>
    <row r="3998" spans="1:15">
      <c r="A3998" s="242" t="s">
        <v>70</v>
      </c>
      <c r="B3998" s="43" t="s">
        <v>6</v>
      </c>
      <c r="C3998" s="15">
        <v>45</v>
      </c>
      <c r="D3998" s="244">
        <v>3</v>
      </c>
      <c r="E3998" s="244">
        <v>2</v>
      </c>
      <c r="F3998" s="244">
        <v>3</v>
      </c>
      <c r="G3998" s="244">
        <v>2</v>
      </c>
      <c r="H3998" s="244">
        <v>3</v>
      </c>
      <c r="I3998" s="244">
        <v>3</v>
      </c>
      <c r="J3998" s="244">
        <v>8</v>
      </c>
      <c r="K3998" s="244">
        <v>6</v>
      </c>
      <c r="L3998" s="244">
        <v>3</v>
      </c>
      <c r="M3998" s="244">
        <v>3</v>
      </c>
      <c r="N3998" s="244">
        <v>5</v>
      </c>
      <c r="O3998" s="254">
        <v>4</v>
      </c>
    </row>
    <row r="3999" ht="14.25" spans="1:15">
      <c r="A3999" s="245" t="s">
        <v>70</v>
      </c>
      <c r="B3999" s="52" t="s">
        <v>64</v>
      </c>
      <c r="C3999" s="19">
        <v>0.235602094240838</v>
      </c>
      <c r="D3999" s="246">
        <v>0.230769230769231</v>
      </c>
      <c r="E3999" s="246">
        <v>0.166666666666667</v>
      </c>
      <c r="F3999" s="246">
        <v>0.25</v>
      </c>
      <c r="G3999" s="246">
        <v>0.25</v>
      </c>
      <c r="H3999" s="246">
        <v>0.5</v>
      </c>
      <c r="I3999" s="246">
        <v>0.214285714285714</v>
      </c>
      <c r="J3999" s="246">
        <v>0.444444444444444</v>
      </c>
      <c r="K3999" s="246">
        <v>0.333333333333333</v>
      </c>
      <c r="L3999" s="246">
        <v>0.176470588235294</v>
      </c>
      <c r="M3999" s="246">
        <v>0.25</v>
      </c>
      <c r="N3999" s="246">
        <v>0.217391304347826</v>
      </c>
      <c r="O3999" s="255">
        <v>0.105263157894737</v>
      </c>
    </row>
    <row r="4000" spans="1:15">
      <c r="A4000" s="240" t="s">
        <v>26</v>
      </c>
      <c r="B4000" s="47" t="s">
        <v>55</v>
      </c>
      <c r="C4000" s="12">
        <v>0.658675335229581</v>
      </c>
      <c r="D4000" s="241">
        <v>0.462349397590361</v>
      </c>
      <c r="E4000" s="241">
        <v>0.634042553191489</v>
      </c>
      <c r="F4000" s="241">
        <v>0.59190031152648</v>
      </c>
      <c r="G4000" s="241">
        <v>0.612040133779264</v>
      </c>
      <c r="H4000" s="241">
        <v>0.698324022346369</v>
      </c>
      <c r="I4000" s="241">
        <v>0.803030303030303</v>
      </c>
      <c r="J4000" s="241">
        <v>0.991525423728814</v>
      </c>
      <c r="K4000" s="241">
        <v>0.714285714285714</v>
      </c>
      <c r="L4000" s="241">
        <v>0.89</v>
      </c>
      <c r="M4000" s="241">
        <v>0.850574712643678</v>
      </c>
      <c r="N4000" s="241">
        <v>0.970873786407767</v>
      </c>
      <c r="O4000" s="252">
        <v>0.955555555555556</v>
      </c>
    </row>
    <row r="4001" spans="1:15">
      <c r="A4001" s="242" t="s">
        <v>26</v>
      </c>
      <c r="B4001" s="43" t="s">
        <v>57</v>
      </c>
      <c r="C4001" s="15">
        <v>2461</v>
      </c>
      <c r="D4001" s="243">
        <v>664</v>
      </c>
      <c r="E4001" s="243">
        <v>235</v>
      </c>
      <c r="F4001" s="243">
        <v>321</v>
      </c>
      <c r="G4001" s="243">
        <v>299</v>
      </c>
      <c r="H4001" s="243">
        <v>179</v>
      </c>
      <c r="I4001" s="243">
        <v>132</v>
      </c>
      <c r="J4001" s="243">
        <v>118</v>
      </c>
      <c r="K4001" s="243">
        <v>133</v>
      </c>
      <c r="L4001" s="243">
        <v>100</v>
      </c>
      <c r="M4001" s="243">
        <v>87</v>
      </c>
      <c r="N4001" s="243">
        <v>103</v>
      </c>
      <c r="O4001" s="253">
        <v>90</v>
      </c>
    </row>
    <row r="4002" spans="1:15">
      <c r="A4002" s="240" t="s">
        <v>26</v>
      </c>
      <c r="B4002" s="47" t="s">
        <v>59</v>
      </c>
      <c r="C4002" s="15">
        <v>1621</v>
      </c>
      <c r="D4002" s="243">
        <v>307</v>
      </c>
      <c r="E4002" s="243">
        <v>149</v>
      </c>
      <c r="F4002" s="243">
        <v>190</v>
      </c>
      <c r="G4002" s="243">
        <v>183</v>
      </c>
      <c r="H4002" s="243">
        <v>125</v>
      </c>
      <c r="I4002" s="243">
        <v>106</v>
      </c>
      <c r="J4002" s="243">
        <v>117</v>
      </c>
      <c r="K4002" s="243">
        <v>95</v>
      </c>
      <c r="L4002" s="243">
        <v>89</v>
      </c>
      <c r="M4002" s="243">
        <v>74</v>
      </c>
      <c r="N4002" s="243">
        <v>100</v>
      </c>
      <c r="O4002" s="253">
        <v>86</v>
      </c>
    </row>
    <row r="4003" spans="1:15">
      <c r="A4003" s="242" t="s">
        <v>26</v>
      </c>
      <c r="B4003" s="43" t="s">
        <v>4</v>
      </c>
      <c r="C4003" s="15">
        <v>4</v>
      </c>
      <c r="D4003" s="244">
        <v>0</v>
      </c>
      <c r="E4003" s="244">
        <v>0</v>
      </c>
      <c r="F4003" s="244">
        <v>1</v>
      </c>
      <c r="G4003" s="244">
        <v>0</v>
      </c>
      <c r="H4003" s="244">
        <v>0</v>
      </c>
      <c r="I4003" s="244">
        <v>0</v>
      </c>
      <c r="J4003" s="244">
        <v>1</v>
      </c>
      <c r="K4003" s="244">
        <v>0</v>
      </c>
      <c r="L4003" s="244">
        <v>1</v>
      </c>
      <c r="M4003" s="244">
        <v>1</v>
      </c>
      <c r="N4003" s="244">
        <v>0</v>
      </c>
      <c r="O4003" s="254">
        <v>0</v>
      </c>
    </row>
    <row r="4004" spans="1:15">
      <c r="A4004" s="240" t="s">
        <v>26</v>
      </c>
      <c r="B4004" s="47" t="s">
        <v>5</v>
      </c>
      <c r="C4004" s="12">
        <v>0.00246761258482418</v>
      </c>
      <c r="D4004" s="241">
        <v>0</v>
      </c>
      <c r="E4004" s="241">
        <v>0</v>
      </c>
      <c r="F4004" s="241">
        <v>0.00526315789473684</v>
      </c>
      <c r="G4004" s="241">
        <v>0</v>
      </c>
      <c r="H4004" s="241">
        <v>0</v>
      </c>
      <c r="I4004" s="241">
        <v>0</v>
      </c>
      <c r="J4004" s="241">
        <v>0.00854700854700855</v>
      </c>
      <c r="K4004" s="241">
        <v>0</v>
      </c>
      <c r="L4004" s="241">
        <v>0.0112359550561798</v>
      </c>
      <c r="M4004" s="241">
        <v>0.0135135135135135</v>
      </c>
      <c r="N4004" s="241">
        <v>0</v>
      </c>
      <c r="O4004" s="252">
        <v>0</v>
      </c>
    </row>
    <row r="4005" spans="1:15">
      <c r="A4005" s="242" t="s">
        <v>26</v>
      </c>
      <c r="B4005" s="43" t="s">
        <v>6</v>
      </c>
      <c r="C4005" s="15">
        <v>4</v>
      </c>
      <c r="D4005" s="244">
        <v>1</v>
      </c>
      <c r="E4005" s="244">
        <v>0</v>
      </c>
      <c r="F4005" s="244">
        <v>1</v>
      </c>
      <c r="G4005" s="244">
        <v>0</v>
      </c>
      <c r="H4005" s="244">
        <v>0</v>
      </c>
      <c r="I4005" s="244">
        <v>0</v>
      </c>
      <c r="J4005" s="244">
        <v>0</v>
      </c>
      <c r="K4005" s="244">
        <v>2</v>
      </c>
      <c r="L4005" s="244">
        <v>0</v>
      </c>
      <c r="M4005" s="244">
        <v>0</v>
      </c>
      <c r="N4005" s="244">
        <v>0</v>
      </c>
      <c r="O4005" s="254">
        <v>0</v>
      </c>
    </row>
    <row r="4006" ht="14.25" spans="1:15">
      <c r="A4006" s="245" t="s">
        <v>26</v>
      </c>
      <c r="B4006" s="52" t="s">
        <v>64</v>
      </c>
      <c r="C4006" s="19">
        <v>1</v>
      </c>
      <c r="D4006" s="19" t="e">
        <v>#DIV/0!</v>
      </c>
      <c r="E4006" s="19" t="e">
        <v>#DIV/0!</v>
      </c>
      <c r="F4006" s="19">
        <v>1</v>
      </c>
      <c r="G4006" s="19" t="e">
        <v>#DIV/0!</v>
      </c>
      <c r="H4006" s="19" t="e">
        <v>#DIV/0!</v>
      </c>
      <c r="I4006" s="19" t="e">
        <v>#DIV/0!</v>
      </c>
      <c r="J4006" s="19">
        <v>0</v>
      </c>
      <c r="K4006" s="19" t="e">
        <v>#DIV/0!</v>
      </c>
      <c r="L4006" s="19">
        <v>0</v>
      </c>
      <c r="M4006" s="19">
        <v>0</v>
      </c>
      <c r="N4006" s="19" t="e">
        <v>#DIV/0!</v>
      </c>
      <c r="O4006" s="19" t="e">
        <v>#DIV/0!</v>
      </c>
    </row>
    <row r="4007" spans="1:15">
      <c r="A4007" s="240" t="s">
        <v>71</v>
      </c>
      <c r="B4007" s="47" t="s">
        <v>55</v>
      </c>
      <c r="C4007" s="12">
        <v>18</v>
      </c>
      <c r="D4007" s="241" t="e">
        <v>#DIV/0!</v>
      </c>
      <c r="E4007" s="241" t="e">
        <v>#DIV/0!</v>
      </c>
      <c r="F4007" s="241">
        <v>0.5</v>
      </c>
      <c r="G4007" s="241" t="e">
        <v>#DIV/0!</v>
      </c>
      <c r="H4007" s="241" t="e">
        <v>#DIV/0!</v>
      </c>
      <c r="I4007" s="241" t="e">
        <v>#DIV/0!</v>
      </c>
      <c r="J4007" s="241" t="e">
        <v>#DIV/0!</v>
      </c>
      <c r="K4007" s="241" t="e">
        <v>#DIV/0!</v>
      </c>
      <c r="L4007" s="241" t="e">
        <v>#DIV/0!</v>
      </c>
      <c r="M4007" s="241" t="e">
        <v>#DIV/0!</v>
      </c>
      <c r="N4007" s="241" t="e">
        <v>#DIV/0!</v>
      </c>
      <c r="O4007" s="252" t="e">
        <v>#DIV/0!</v>
      </c>
    </row>
    <row r="4008" spans="1:15">
      <c r="A4008" s="242" t="s">
        <v>71</v>
      </c>
      <c r="B4008" s="43" t="s">
        <v>57</v>
      </c>
      <c r="C4008" s="15">
        <v>2</v>
      </c>
      <c r="D4008" s="243">
        <v>0</v>
      </c>
      <c r="E4008" s="243">
        <v>0</v>
      </c>
      <c r="F4008" s="243">
        <v>2</v>
      </c>
      <c r="G4008" s="243">
        <v>0</v>
      </c>
      <c r="H4008" s="243">
        <v>0</v>
      </c>
      <c r="I4008" s="243">
        <v>0</v>
      </c>
      <c r="J4008" s="243">
        <v>0</v>
      </c>
      <c r="K4008" s="243">
        <v>0</v>
      </c>
      <c r="L4008" s="243">
        <v>0</v>
      </c>
      <c r="M4008" s="243">
        <v>0</v>
      </c>
      <c r="N4008" s="243">
        <v>0</v>
      </c>
      <c r="O4008" s="253">
        <v>0</v>
      </c>
    </row>
    <row r="4009" spans="1:15">
      <c r="A4009" s="240" t="s">
        <v>71</v>
      </c>
      <c r="B4009" s="47" t="s">
        <v>59</v>
      </c>
      <c r="C4009" s="15">
        <v>36</v>
      </c>
      <c r="D4009" s="243">
        <v>1</v>
      </c>
      <c r="E4009" s="243">
        <v>0</v>
      </c>
      <c r="F4009" s="243">
        <v>1</v>
      </c>
      <c r="G4009" s="243">
        <v>1</v>
      </c>
      <c r="H4009" s="243">
        <v>1</v>
      </c>
      <c r="I4009" s="243">
        <v>1</v>
      </c>
      <c r="J4009" s="243">
        <v>1</v>
      </c>
      <c r="K4009" s="243">
        <v>4</v>
      </c>
      <c r="L4009" s="243">
        <v>4</v>
      </c>
      <c r="M4009" s="243">
        <v>6</v>
      </c>
      <c r="N4009" s="243">
        <v>11</v>
      </c>
      <c r="O4009" s="253">
        <v>5</v>
      </c>
    </row>
    <row r="4010" spans="1:15">
      <c r="A4010" s="242" t="s">
        <v>71</v>
      </c>
      <c r="B4010" s="43" t="s">
        <v>4</v>
      </c>
      <c r="C4010" s="15">
        <v>15</v>
      </c>
      <c r="D4010" s="244">
        <v>0</v>
      </c>
      <c r="E4010" s="244">
        <v>1</v>
      </c>
      <c r="F4010" s="244">
        <v>0</v>
      </c>
      <c r="G4010" s="244">
        <v>0</v>
      </c>
      <c r="H4010" s="244">
        <v>1</v>
      </c>
      <c r="I4010" s="244">
        <v>1</v>
      </c>
      <c r="J4010" s="244">
        <v>0</v>
      </c>
      <c r="K4010" s="244">
        <v>3</v>
      </c>
      <c r="L4010" s="244">
        <v>1</v>
      </c>
      <c r="M4010" s="244">
        <v>2</v>
      </c>
      <c r="N4010" s="244">
        <v>4</v>
      </c>
      <c r="O4010" s="254">
        <v>2</v>
      </c>
    </row>
    <row r="4011" spans="1:15">
      <c r="A4011" s="240" t="s">
        <v>71</v>
      </c>
      <c r="B4011" s="47" t="s">
        <v>5</v>
      </c>
      <c r="C4011" s="241">
        <v>0.416666666666667</v>
      </c>
      <c r="D4011" s="241">
        <v>0</v>
      </c>
      <c r="E4011" s="241">
        <v>0</v>
      </c>
      <c r="F4011" s="241">
        <v>0</v>
      </c>
      <c r="G4011" s="241">
        <v>0</v>
      </c>
      <c r="H4011" s="241">
        <v>1</v>
      </c>
      <c r="I4011" s="241">
        <v>1</v>
      </c>
      <c r="J4011" s="241">
        <v>0</v>
      </c>
      <c r="K4011" s="241">
        <v>0.75</v>
      </c>
      <c r="L4011" s="241">
        <v>0.25</v>
      </c>
      <c r="M4011" s="241">
        <v>0.333333333333333</v>
      </c>
      <c r="N4011" s="241">
        <v>0.363636363636364</v>
      </c>
      <c r="O4011" s="252">
        <v>0.4</v>
      </c>
    </row>
    <row r="4012" spans="1:15">
      <c r="A4012" s="242" t="s">
        <v>71</v>
      </c>
      <c r="B4012" s="43" t="s">
        <v>6</v>
      </c>
      <c r="C4012" s="15">
        <v>1</v>
      </c>
      <c r="D4012" s="244">
        <v>0</v>
      </c>
      <c r="E4012" s="244">
        <v>0</v>
      </c>
      <c r="F4012" s="244">
        <v>0</v>
      </c>
      <c r="G4012" s="244">
        <v>0</v>
      </c>
      <c r="H4012" s="244">
        <v>0</v>
      </c>
      <c r="I4012" s="244">
        <v>0</v>
      </c>
      <c r="J4012" s="244">
        <v>0</v>
      </c>
      <c r="K4012" s="244">
        <v>1</v>
      </c>
      <c r="L4012" s="244">
        <v>0</v>
      </c>
      <c r="M4012" s="244">
        <v>0</v>
      </c>
      <c r="N4012" s="244">
        <v>0</v>
      </c>
      <c r="O4012" s="254">
        <v>0</v>
      </c>
    </row>
    <row r="4013" ht="14.25" spans="1:15">
      <c r="A4013" s="245" t="s">
        <v>71</v>
      </c>
      <c r="B4013" s="52" t="s">
        <v>64</v>
      </c>
      <c r="C4013" s="19">
        <v>0.0666666666666667</v>
      </c>
      <c r="D4013" s="19" t="e">
        <v>#DIV/0!</v>
      </c>
      <c r="E4013" s="19">
        <v>0</v>
      </c>
      <c r="F4013" s="19" t="e">
        <v>#DIV/0!</v>
      </c>
      <c r="G4013" s="19" t="e">
        <v>#DIV/0!</v>
      </c>
      <c r="H4013" s="19">
        <v>0</v>
      </c>
      <c r="I4013" s="19">
        <v>0</v>
      </c>
      <c r="J4013" s="19" t="e">
        <v>#DIV/0!</v>
      </c>
      <c r="K4013" s="19">
        <v>0.333333333333333</v>
      </c>
      <c r="L4013" s="19">
        <v>0</v>
      </c>
      <c r="M4013" s="19">
        <v>0</v>
      </c>
      <c r="N4013" s="19">
        <v>0</v>
      </c>
      <c r="O4013" s="19">
        <v>0</v>
      </c>
    </row>
    <row r="4014" spans="1:15">
      <c r="A4014" s="240" t="s">
        <v>72</v>
      </c>
      <c r="B4014" s="47" t="s">
        <v>55</v>
      </c>
      <c r="C4014" s="12">
        <v>0.150740452065472</v>
      </c>
      <c r="D4014" s="241">
        <v>0.172302737520129</v>
      </c>
      <c r="E4014" s="241">
        <v>0.204861111111111</v>
      </c>
      <c r="F4014" s="241">
        <v>0.210526315789474</v>
      </c>
      <c r="G4014" s="241">
        <v>0.170068027210884</v>
      </c>
      <c r="H4014" s="241">
        <v>0.138461538461538</v>
      </c>
      <c r="I4014" s="241">
        <v>0.158607350096712</v>
      </c>
      <c r="J4014" s="241">
        <v>0.125441696113074</v>
      </c>
      <c r="K4014" s="241">
        <v>0.113905325443787</v>
      </c>
      <c r="L4014" s="241">
        <v>0.150974025974026</v>
      </c>
      <c r="M4014" s="241">
        <v>0.159857904085258</v>
      </c>
      <c r="N4014" s="241">
        <v>0.13588850174216</v>
      </c>
      <c r="O4014" s="252">
        <v>0.152460984393757</v>
      </c>
    </row>
    <row r="4015" spans="1:15">
      <c r="A4015" s="242" t="s">
        <v>72</v>
      </c>
      <c r="B4015" s="43" t="s">
        <v>57</v>
      </c>
      <c r="C4015" s="15">
        <v>6415</v>
      </c>
      <c r="D4015" s="243">
        <v>621</v>
      </c>
      <c r="E4015" s="243">
        <v>288</v>
      </c>
      <c r="F4015" s="243">
        <v>190</v>
      </c>
      <c r="G4015" s="243">
        <v>294</v>
      </c>
      <c r="H4015" s="243">
        <v>390</v>
      </c>
      <c r="I4015" s="243">
        <v>517</v>
      </c>
      <c r="J4015" s="243">
        <v>566</v>
      </c>
      <c r="K4015" s="243">
        <v>676</v>
      </c>
      <c r="L4015" s="243">
        <v>616</v>
      </c>
      <c r="M4015" s="243">
        <v>563</v>
      </c>
      <c r="N4015" s="243">
        <v>861</v>
      </c>
      <c r="O4015" s="253">
        <v>833</v>
      </c>
    </row>
    <row r="4016" spans="1:15">
      <c r="A4016" s="240" t="s">
        <v>72</v>
      </c>
      <c r="B4016" s="47" t="s">
        <v>59</v>
      </c>
      <c r="C4016" s="15">
        <v>967</v>
      </c>
      <c r="D4016" s="243">
        <v>107</v>
      </c>
      <c r="E4016" s="243">
        <v>59</v>
      </c>
      <c r="F4016" s="243">
        <v>40</v>
      </c>
      <c r="G4016" s="243">
        <v>50</v>
      </c>
      <c r="H4016" s="243">
        <v>54</v>
      </c>
      <c r="I4016" s="243">
        <v>82</v>
      </c>
      <c r="J4016" s="243">
        <v>71</v>
      </c>
      <c r="K4016" s="243">
        <v>77</v>
      </c>
      <c r="L4016" s="243">
        <v>93</v>
      </c>
      <c r="M4016" s="243">
        <v>90</v>
      </c>
      <c r="N4016" s="243">
        <v>117</v>
      </c>
      <c r="O4016" s="253">
        <v>127</v>
      </c>
    </row>
    <row r="4017" spans="1:15">
      <c r="A4017" s="242" t="s">
        <v>72</v>
      </c>
      <c r="B4017" s="43" t="s">
        <v>4</v>
      </c>
      <c r="C4017" s="15">
        <v>89</v>
      </c>
      <c r="D4017" s="244">
        <v>10</v>
      </c>
      <c r="E4017" s="244">
        <v>5</v>
      </c>
      <c r="F4017" s="244">
        <v>8</v>
      </c>
      <c r="G4017" s="244">
        <v>2</v>
      </c>
      <c r="H4017" s="244">
        <v>4</v>
      </c>
      <c r="I4017" s="244">
        <v>6</v>
      </c>
      <c r="J4017" s="244">
        <v>9</v>
      </c>
      <c r="K4017" s="244">
        <v>5</v>
      </c>
      <c r="L4017" s="244">
        <v>6</v>
      </c>
      <c r="M4017" s="244">
        <v>8</v>
      </c>
      <c r="N4017" s="244">
        <v>9</v>
      </c>
      <c r="O4017" s="254">
        <v>17</v>
      </c>
    </row>
    <row r="4018" spans="1:15">
      <c r="A4018" s="240" t="s">
        <v>72</v>
      </c>
      <c r="B4018" s="47" t="s">
        <v>5</v>
      </c>
      <c r="C4018" s="12">
        <v>0.0920372285418821</v>
      </c>
      <c r="D4018" s="241">
        <v>0.0934579439252336</v>
      </c>
      <c r="E4018" s="241">
        <v>0.0847457627118644</v>
      </c>
      <c r="F4018" s="241">
        <v>0.2</v>
      </c>
      <c r="G4018" s="241">
        <v>0.04</v>
      </c>
      <c r="H4018" s="241">
        <v>0.0740740740740741</v>
      </c>
      <c r="I4018" s="241">
        <v>0.0731707317073171</v>
      </c>
      <c r="J4018" s="241">
        <v>0.126760563380282</v>
      </c>
      <c r="K4018" s="241">
        <v>0.0649350649350649</v>
      </c>
      <c r="L4018" s="241">
        <v>0.0645161290322581</v>
      </c>
      <c r="M4018" s="241">
        <v>0.0888888888888889</v>
      </c>
      <c r="N4018" s="241">
        <v>0.0769230769230769</v>
      </c>
      <c r="O4018" s="252">
        <v>0.133858267716535</v>
      </c>
    </row>
    <row r="4019" spans="1:15">
      <c r="A4019" s="242" t="s">
        <v>72</v>
      </c>
      <c r="B4019" s="43" t="s">
        <v>6</v>
      </c>
      <c r="C4019" s="15">
        <v>25</v>
      </c>
      <c r="D4019" s="244">
        <v>3</v>
      </c>
      <c r="E4019" s="244">
        <v>4</v>
      </c>
      <c r="F4019" s="244">
        <v>3</v>
      </c>
      <c r="G4019" s="244">
        <v>1</v>
      </c>
      <c r="H4019" s="244">
        <v>1</v>
      </c>
      <c r="I4019" s="244">
        <v>3</v>
      </c>
      <c r="J4019" s="244">
        <v>1</v>
      </c>
      <c r="K4019" s="244">
        <v>3</v>
      </c>
      <c r="L4019" s="244">
        <v>3</v>
      </c>
      <c r="M4019" s="244">
        <v>1</v>
      </c>
      <c r="N4019" s="244">
        <v>1</v>
      </c>
      <c r="O4019" s="254">
        <v>1</v>
      </c>
    </row>
    <row r="4020" ht="14.25" spans="1:15">
      <c r="A4020" s="245" t="s">
        <v>72</v>
      </c>
      <c r="B4020" s="52" t="s">
        <v>64</v>
      </c>
      <c r="C4020" s="19">
        <v>0.280898876404494</v>
      </c>
      <c r="D4020" s="19">
        <v>0.3</v>
      </c>
      <c r="E4020" s="19">
        <v>0.8</v>
      </c>
      <c r="F4020" s="19">
        <v>0.375</v>
      </c>
      <c r="G4020" s="19">
        <v>0.5</v>
      </c>
      <c r="H4020" s="19">
        <v>0.25</v>
      </c>
      <c r="I4020" s="19">
        <v>0.5</v>
      </c>
      <c r="J4020" s="19">
        <v>0.111111111111111</v>
      </c>
      <c r="K4020" s="19">
        <v>0.6</v>
      </c>
      <c r="L4020" s="19">
        <v>0.5</v>
      </c>
      <c r="M4020" s="19">
        <v>0.125</v>
      </c>
      <c r="N4020" s="19">
        <v>0.111111111111111</v>
      </c>
      <c r="O4020" s="19">
        <v>0.0588235294117647</v>
      </c>
    </row>
    <row r="4021" ht="14.25" spans="1:15">
      <c r="A4021" s="259">
        <v>45081</v>
      </c>
      <c r="B4021" s="259"/>
      <c r="C4021" s="259"/>
      <c r="D4021" s="259"/>
      <c r="E4021" s="259"/>
      <c r="F4021" s="259"/>
      <c r="G4021" s="259"/>
      <c r="H4021" s="259"/>
      <c r="I4021" s="259"/>
      <c r="J4021" s="259"/>
      <c r="K4021" s="259"/>
      <c r="L4021" s="259"/>
      <c r="M4021" s="259"/>
      <c r="N4021" s="259"/>
      <c r="O4021" s="259"/>
    </row>
    <row r="4022" spans="1:15">
      <c r="A4022" s="56" t="s">
        <v>1</v>
      </c>
      <c r="B4022" s="238"/>
      <c r="C4022" s="8" t="s">
        <v>42</v>
      </c>
      <c r="D4022" s="239" t="s">
        <v>43</v>
      </c>
      <c r="E4022" s="239" t="s">
        <v>44</v>
      </c>
      <c r="F4022" s="239" t="s">
        <v>45</v>
      </c>
      <c r="G4022" s="239" t="s">
        <v>46</v>
      </c>
      <c r="H4022" s="239" t="s">
        <v>47</v>
      </c>
      <c r="I4022" s="239" t="s">
        <v>48</v>
      </c>
      <c r="J4022" s="239" t="s">
        <v>49</v>
      </c>
      <c r="K4022" s="239" t="s">
        <v>50</v>
      </c>
      <c r="L4022" s="239" t="s">
        <v>51</v>
      </c>
      <c r="M4022" s="239" t="s">
        <v>52</v>
      </c>
      <c r="N4022" s="239" t="s">
        <v>53</v>
      </c>
      <c r="O4022" s="251" t="s">
        <v>54</v>
      </c>
    </row>
    <row r="4023" spans="1:15">
      <c r="A4023" s="240" t="s">
        <v>22</v>
      </c>
      <c r="B4023" s="47" t="s">
        <v>55</v>
      </c>
      <c r="C4023" s="12">
        <v>0.390458545622974</v>
      </c>
      <c r="D4023" s="241">
        <v>0.392452830188679</v>
      </c>
      <c r="E4023" s="241">
        <v>0.399267399267399</v>
      </c>
      <c r="F4023" s="241">
        <v>0.411428571428571</v>
      </c>
      <c r="G4023" s="241">
        <v>0.424731182795699</v>
      </c>
      <c r="H4023" s="241">
        <v>0.400611620795107</v>
      </c>
      <c r="I4023" s="241">
        <v>0.429394812680115</v>
      </c>
      <c r="J4023" s="241">
        <v>0.327823691460055</v>
      </c>
      <c r="K4023" s="241">
        <v>0.39689578713969</v>
      </c>
      <c r="L4023" s="241">
        <v>0.409090909090909</v>
      </c>
      <c r="M4023" s="241">
        <v>0.443148688046647</v>
      </c>
      <c r="N4023" s="241">
        <v>0.393364928909953</v>
      </c>
      <c r="O4023" s="252">
        <v>0.316831683168317</v>
      </c>
    </row>
    <row r="4024" spans="1:15">
      <c r="A4024" s="242" t="s">
        <v>22</v>
      </c>
      <c r="B4024" s="43" t="s">
        <v>57</v>
      </c>
      <c r="C4024" s="15">
        <v>4318</v>
      </c>
      <c r="D4024" s="243">
        <v>530</v>
      </c>
      <c r="E4024" s="243">
        <v>273</v>
      </c>
      <c r="F4024" s="243">
        <v>175</v>
      </c>
      <c r="G4024" s="243">
        <v>186</v>
      </c>
      <c r="H4024" s="243">
        <v>327</v>
      </c>
      <c r="I4024" s="243">
        <v>347</v>
      </c>
      <c r="J4024" s="243">
        <v>363</v>
      </c>
      <c r="K4024" s="243">
        <v>451</v>
      </c>
      <c r="L4024" s="243">
        <v>396</v>
      </c>
      <c r="M4024" s="243">
        <v>343</v>
      </c>
      <c r="N4024" s="243">
        <v>422</v>
      </c>
      <c r="O4024" s="253">
        <v>505</v>
      </c>
    </row>
    <row r="4025" spans="1:15">
      <c r="A4025" s="240" t="s">
        <v>22</v>
      </c>
      <c r="B4025" s="47" t="s">
        <v>59</v>
      </c>
      <c r="C4025" s="15">
        <v>1686</v>
      </c>
      <c r="D4025" s="243">
        <v>208</v>
      </c>
      <c r="E4025" s="243">
        <v>109</v>
      </c>
      <c r="F4025" s="243">
        <v>72</v>
      </c>
      <c r="G4025" s="243">
        <v>79</v>
      </c>
      <c r="H4025" s="243">
        <v>131</v>
      </c>
      <c r="I4025" s="243">
        <v>149</v>
      </c>
      <c r="J4025" s="243">
        <v>119</v>
      </c>
      <c r="K4025" s="243">
        <v>179</v>
      </c>
      <c r="L4025" s="243">
        <v>162</v>
      </c>
      <c r="M4025" s="243">
        <v>152</v>
      </c>
      <c r="N4025" s="243">
        <v>166</v>
      </c>
      <c r="O4025" s="253">
        <v>160</v>
      </c>
    </row>
    <row r="4026" spans="1:15">
      <c r="A4026" s="242" t="s">
        <v>22</v>
      </c>
      <c r="B4026" s="43" t="s">
        <v>4</v>
      </c>
      <c r="C4026" s="15">
        <v>141</v>
      </c>
      <c r="D4026" s="244">
        <v>19</v>
      </c>
      <c r="E4026" s="244">
        <v>13</v>
      </c>
      <c r="F4026" s="244">
        <v>6</v>
      </c>
      <c r="G4026" s="244">
        <v>6</v>
      </c>
      <c r="H4026" s="244">
        <v>6</v>
      </c>
      <c r="I4026" s="244">
        <v>11</v>
      </c>
      <c r="J4026" s="244">
        <v>15</v>
      </c>
      <c r="K4026" s="244">
        <v>12</v>
      </c>
      <c r="L4026" s="244">
        <v>14</v>
      </c>
      <c r="M4026" s="244">
        <v>16</v>
      </c>
      <c r="N4026" s="244">
        <v>7</v>
      </c>
      <c r="O4026" s="254">
        <v>16</v>
      </c>
    </row>
    <row r="4027" spans="1:15">
      <c r="A4027" s="240" t="s">
        <v>22</v>
      </c>
      <c r="B4027" s="47" t="s">
        <v>5</v>
      </c>
      <c r="C4027" s="12">
        <v>0.0836298932384342</v>
      </c>
      <c r="D4027" s="241">
        <v>0.0913461538461538</v>
      </c>
      <c r="E4027" s="241">
        <v>0.119266055045872</v>
      </c>
      <c r="F4027" s="241">
        <v>0.0833333333333333</v>
      </c>
      <c r="G4027" s="241">
        <v>0.0759493670886076</v>
      </c>
      <c r="H4027" s="241">
        <v>0.0458015267175573</v>
      </c>
      <c r="I4027" s="241">
        <v>0.0738255033557047</v>
      </c>
      <c r="J4027" s="241">
        <v>0.126050420168067</v>
      </c>
      <c r="K4027" s="241">
        <v>0.0670391061452514</v>
      </c>
      <c r="L4027" s="241">
        <v>0.0864197530864197</v>
      </c>
      <c r="M4027" s="241">
        <v>0.105263157894737</v>
      </c>
      <c r="N4027" s="241">
        <v>0.0421686746987952</v>
      </c>
      <c r="O4027" s="252">
        <v>0.1</v>
      </c>
    </row>
    <row r="4028" spans="1:15">
      <c r="A4028" s="242" t="s">
        <v>22</v>
      </c>
      <c r="B4028" s="43" t="s">
        <v>6</v>
      </c>
      <c r="C4028" s="15">
        <v>46</v>
      </c>
      <c r="D4028" s="244">
        <v>4</v>
      </c>
      <c r="E4028" s="244">
        <v>3</v>
      </c>
      <c r="F4028" s="244">
        <v>2</v>
      </c>
      <c r="G4028" s="244">
        <v>3</v>
      </c>
      <c r="H4028" s="244">
        <v>2</v>
      </c>
      <c r="I4028" s="244">
        <v>2</v>
      </c>
      <c r="J4028" s="244">
        <v>2</v>
      </c>
      <c r="K4028" s="244">
        <v>10</v>
      </c>
      <c r="L4028" s="244">
        <v>6</v>
      </c>
      <c r="M4028" s="244">
        <v>6</v>
      </c>
      <c r="N4028" s="244">
        <v>3</v>
      </c>
      <c r="O4028" s="254">
        <v>3</v>
      </c>
    </row>
    <row r="4029" ht="14.25" spans="1:15">
      <c r="A4029" s="245" t="s">
        <v>22</v>
      </c>
      <c r="B4029" s="52" t="s">
        <v>64</v>
      </c>
      <c r="C4029" s="19">
        <v>0.326241134751773</v>
      </c>
      <c r="D4029" s="246">
        <v>0.210526315789474</v>
      </c>
      <c r="E4029" s="246">
        <v>0.230769230769231</v>
      </c>
      <c r="F4029" s="246">
        <v>0.333333333333333</v>
      </c>
      <c r="G4029" s="246">
        <v>0.5</v>
      </c>
      <c r="H4029" s="246">
        <v>0.333333333333333</v>
      </c>
      <c r="I4029" s="246">
        <v>0.181818181818182</v>
      </c>
      <c r="J4029" s="246">
        <v>0.133333333333333</v>
      </c>
      <c r="K4029" s="246">
        <v>0.833333333333333</v>
      </c>
      <c r="L4029" s="246">
        <v>0.428571428571429</v>
      </c>
      <c r="M4029" s="246">
        <v>0.375</v>
      </c>
      <c r="N4029" s="246">
        <v>0.428571428571429</v>
      </c>
      <c r="O4029" s="255">
        <v>0.1875</v>
      </c>
    </row>
    <row r="4030" spans="1:15">
      <c r="A4030" s="247" t="s">
        <v>66</v>
      </c>
      <c r="B4030" s="248" t="s">
        <v>55</v>
      </c>
      <c r="C4030" s="12">
        <v>0.0783304745568897</v>
      </c>
      <c r="D4030" s="249">
        <v>0.119496855345912</v>
      </c>
      <c r="E4030" s="249">
        <v>0.0384615384615385</v>
      </c>
      <c r="F4030" s="249">
        <v>0.0497237569060773</v>
      </c>
      <c r="G4030" s="249">
        <v>0.105263157894737</v>
      </c>
      <c r="H4030" s="249">
        <v>0.0384615384615385</v>
      </c>
      <c r="I4030" s="249">
        <v>0.0434782608695652</v>
      </c>
      <c r="J4030" s="249">
        <v>0.0547945205479452</v>
      </c>
      <c r="K4030" s="249">
        <v>0.087248322147651</v>
      </c>
      <c r="L4030" s="249">
        <v>0.114093959731544</v>
      </c>
      <c r="M4030" s="249">
        <v>0.09375</v>
      </c>
      <c r="N4030" s="249">
        <v>0.149425287356322</v>
      </c>
      <c r="O4030" s="256">
        <v>0.12037037037037</v>
      </c>
    </row>
    <row r="4031" spans="1:15">
      <c r="A4031" s="242" t="s">
        <v>66</v>
      </c>
      <c r="B4031" s="43" t="s">
        <v>57</v>
      </c>
      <c r="C4031" s="15">
        <v>1749</v>
      </c>
      <c r="D4031" s="243">
        <v>159</v>
      </c>
      <c r="E4031" s="243">
        <v>208</v>
      </c>
      <c r="F4031" s="243">
        <v>181</v>
      </c>
      <c r="G4031" s="243">
        <v>114</v>
      </c>
      <c r="H4031" s="243">
        <v>182</v>
      </c>
      <c r="I4031" s="243">
        <v>138</v>
      </c>
      <c r="J4031" s="243">
        <v>146</v>
      </c>
      <c r="K4031" s="243">
        <v>149</v>
      </c>
      <c r="L4031" s="243">
        <v>149</v>
      </c>
      <c r="M4031" s="243">
        <v>128</v>
      </c>
      <c r="N4031" s="243">
        <v>87</v>
      </c>
      <c r="O4031" s="253">
        <v>108</v>
      </c>
    </row>
    <row r="4032" spans="1:15">
      <c r="A4032" s="240" t="s">
        <v>66</v>
      </c>
      <c r="B4032" s="47" t="s">
        <v>59</v>
      </c>
      <c r="C4032" s="15">
        <v>137</v>
      </c>
      <c r="D4032" s="243">
        <v>19</v>
      </c>
      <c r="E4032" s="243">
        <v>8</v>
      </c>
      <c r="F4032" s="243">
        <v>9</v>
      </c>
      <c r="G4032" s="243">
        <v>12</v>
      </c>
      <c r="H4032" s="243">
        <v>7</v>
      </c>
      <c r="I4032" s="243">
        <v>6</v>
      </c>
      <c r="J4032" s="243">
        <v>8</v>
      </c>
      <c r="K4032" s="243">
        <v>13</v>
      </c>
      <c r="L4032" s="243">
        <v>17</v>
      </c>
      <c r="M4032" s="243">
        <v>12</v>
      </c>
      <c r="N4032" s="243">
        <v>13</v>
      </c>
      <c r="O4032" s="253">
        <v>13</v>
      </c>
    </row>
    <row r="4033" spans="1:15">
      <c r="A4033" s="242" t="s">
        <v>66</v>
      </c>
      <c r="B4033" s="43" t="s">
        <v>4</v>
      </c>
      <c r="C4033" s="15">
        <v>9</v>
      </c>
      <c r="D4033" s="244">
        <v>1</v>
      </c>
      <c r="E4033" s="244">
        <v>1</v>
      </c>
      <c r="F4033" s="244">
        <v>1</v>
      </c>
      <c r="G4033" s="244">
        <v>1</v>
      </c>
      <c r="H4033" s="244">
        <v>1</v>
      </c>
      <c r="I4033" s="244">
        <v>1</v>
      </c>
      <c r="J4033" s="244">
        <v>0</v>
      </c>
      <c r="K4033" s="244">
        <v>1</v>
      </c>
      <c r="L4033" s="244">
        <v>1</v>
      </c>
      <c r="M4033" s="244">
        <v>0</v>
      </c>
      <c r="N4033" s="244">
        <v>1</v>
      </c>
      <c r="O4033" s="254">
        <v>0</v>
      </c>
    </row>
    <row r="4034" spans="1:15">
      <c r="A4034" s="240" t="s">
        <v>66</v>
      </c>
      <c r="B4034" s="47" t="s">
        <v>5</v>
      </c>
      <c r="C4034" s="12">
        <v>0.0656934306569343</v>
      </c>
      <c r="D4034" s="241">
        <v>0.0526315789473684</v>
      </c>
      <c r="E4034" s="241">
        <v>0.125</v>
      </c>
      <c r="F4034" s="241">
        <v>0.111111111111111</v>
      </c>
      <c r="G4034" s="241">
        <v>0.0833333333333333</v>
      </c>
      <c r="H4034" s="241">
        <v>0.142857142857143</v>
      </c>
      <c r="I4034" s="241">
        <v>0.166666666666667</v>
      </c>
      <c r="J4034" s="241">
        <v>0</v>
      </c>
      <c r="K4034" s="241">
        <v>0.0769230769230769</v>
      </c>
      <c r="L4034" s="241">
        <v>0.0588235294117647</v>
      </c>
      <c r="M4034" s="241">
        <v>0</v>
      </c>
      <c r="N4034" s="241">
        <v>0.0769230769230769</v>
      </c>
      <c r="O4034" s="252">
        <v>0</v>
      </c>
    </row>
    <row r="4035" spans="1:15">
      <c r="A4035" s="242" t="s">
        <v>66</v>
      </c>
      <c r="B4035" s="43" t="s">
        <v>6</v>
      </c>
      <c r="C4035" s="15">
        <v>5</v>
      </c>
      <c r="D4035" s="244">
        <v>0</v>
      </c>
      <c r="E4035" s="244">
        <v>1</v>
      </c>
      <c r="F4035" s="244">
        <v>1</v>
      </c>
      <c r="G4035" s="244">
        <v>1</v>
      </c>
      <c r="H4035" s="244">
        <v>0</v>
      </c>
      <c r="I4035" s="244">
        <v>1</v>
      </c>
      <c r="J4035" s="244">
        <v>0</v>
      </c>
      <c r="K4035" s="244">
        <v>0</v>
      </c>
      <c r="L4035" s="244">
        <v>1</v>
      </c>
      <c r="M4035" s="244">
        <v>0</v>
      </c>
      <c r="N4035" s="244">
        <v>0</v>
      </c>
      <c r="O4035" s="254">
        <v>0</v>
      </c>
    </row>
    <row r="4036" ht="14.25" spans="1:15">
      <c r="A4036" s="245" t="s">
        <v>66</v>
      </c>
      <c r="B4036" s="52" t="s">
        <v>64</v>
      </c>
      <c r="C4036" s="19">
        <v>0.555555555555556</v>
      </c>
      <c r="D4036" s="246">
        <v>0</v>
      </c>
      <c r="E4036" s="246">
        <v>1</v>
      </c>
      <c r="F4036" s="246">
        <v>1</v>
      </c>
      <c r="G4036" s="246">
        <v>1</v>
      </c>
      <c r="H4036" s="246">
        <v>0</v>
      </c>
      <c r="I4036" s="246">
        <v>1</v>
      </c>
      <c r="J4036" s="246">
        <v>0</v>
      </c>
      <c r="K4036" s="246">
        <v>0</v>
      </c>
      <c r="L4036" s="246">
        <v>1</v>
      </c>
      <c r="M4036" s="246">
        <v>0</v>
      </c>
      <c r="N4036" s="246">
        <v>0</v>
      </c>
      <c r="O4036" s="255">
        <v>0</v>
      </c>
    </row>
    <row r="4037" spans="1:15">
      <c r="A4037" s="240" t="s">
        <v>67</v>
      </c>
      <c r="B4037" s="47" t="s">
        <v>55</v>
      </c>
      <c r="C4037" s="12">
        <v>0.529310344827586</v>
      </c>
      <c r="D4037" s="241">
        <v>0.571428571428571</v>
      </c>
      <c r="E4037" s="241">
        <v>0.552631578947368</v>
      </c>
      <c r="F4037" s="241">
        <v>0.545454545454545</v>
      </c>
      <c r="G4037" s="241">
        <v>0.64</v>
      </c>
      <c r="H4037" s="241">
        <v>0.458333333333333</v>
      </c>
      <c r="I4037" s="241">
        <v>0.757575757575758</v>
      </c>
      <c r="J4037" s="241">
        <v>0.421875</v>
      </c>
      <c r="K4037" s="241">
        <v>0.390625</v>
      </c>
      <c r="L4037" s="241">
        <v>0.604651162790698</v>
      </c>
      <c r="M4037" s="241">
        <v>0.531914893617021</v>
      </c>
      <c r="N4037" s="241">
        <v>0.517857142857143</v>
      </c>
      <c r="O4037" s="252">
        <v>0.555555555555556</v>
      </c>
    </row>
    <row r="4038" spans="1:15">
      <c r="A4038" s="242" t="s">
        <v>67</v>
      </c>
      <c r="B4038" s="43" t="s">
        <v>57</v>
      </c>
      <c r="C4038" s="15">
        <v>580</v>
      </c>
      <c r="D4038" s="243">
        <v>77</v>
      </c>
      <c r="E4038" s="243">
        <v>38</v>
      </c>
      <c r="F4038" s="243">
        <v>22</v>
      </c>
      <c r="G4038" s="243">
        <v>25</v>
      </c>
      <c r="H4038" s="243">
        <v>48</v>
      </c>
      <c r="I4038" s="243">
        <v>33</v>
      </c>
      <c r="J4038" s="243">
        <v>64</v>
      </c>
      <c r="K4038" s="243">
        <v>64</v>
      </c>
      <c r="L4038" s="243">
        <v>43</v>
      </c>
      <c r="M4038" s="243">
        <v>47</v>
      </c>
      <c r="N4038" s="243">
        <v>56</v>
      </c>
      <c r="O4038" s="253">
        <v>63</v>
      </c>
    </row>
    <row r="4039" spans="1:15">
      <c r="A4039" s="240" t="s">
        <v>67</v>
      </c>
      <c r="B4039" s="47" t="s">
        <v>59</v>
      </c>
      <c r="C4039" s="15">
        <v>307</v>
      </c>
      <c r="D4039" s="243">
        <v>44</v>
      </c>
      <c r="E4039" s="243">
        <v>21</v>
      </c>
      <c r="F4039" s="243">
        <v>12</v>
      </c>
      <c r="G4039" s="243">
        <v>16</v>
      </c>
      <c r="H4039" s="243">
        <v>22</v>
      </c>
      <c r="I4039" s="243">
        <v>25</v>
      </c>
      <c r="J4039" s="243">
        <v>27</v>
      </c>
      <c r="K4039" s="243">
        <v>25</v>
      </c>
      <c r="L4039" s="243">
        <v>26</v>
      </c>
      <c r="M4039" s="243">
        <v>25</v>
      </c>
      <c r="N4039" s="243">
        <v>29</v>
      </c>
      <c r="O4039" s="253">
        <v>35</v>
      </c>
    </row>
    <row r="4040" spans="1:15">
      <c r="A4040" s="242" t="s">
        <v>67</v>
      </c>
      <c r="B4040" s="43" t="s">
        <v>4</v>
      </c>
      <c r="C4040" s="15">
        <v>14</v>
      </c>
      <c r="D4040" s="244">
        <v>2</v>
      </c>
      <c r="E4040" s="244">
        <v>0</v>
      </c>
      <c r="F4040" s="244">
        <v>1</v>
      </c>
      <c r="G4040" s="244">
        <v>0</v>
      </c>
      <c r="H4040" s="244">
        <v>1</v>
      </c>
      <c r="I4040" s="244">
        <v>3</v>
      </c>
      <c r="J4040" s="244">
        <v>0</v>
      </c>
      <c r="K4040" s="244">
        <v>1</v>
      </c>
      <c r="L4040" s="244">
        <v>2</v>
      </c>
      <c r="M4040" s="244">
        <v>2</v>
      </c>
      <c r="N4040" s="244">
        <v>1</v>
      </c>
      <c r="O4040" s="254">
        <v>1</v>
      </c>
    </row>
    <row r="4041" spans="1:15">
      <c r="A4041" s="240" t="s">
        <v>67</v>
      </c>
      <c r="B4041" s="47" t="s">
        <v>5</v>
      </c>
      <c r="C4041" s="12">
        <v>0.0456026058631922</v>
      </c>
      <c r="D4041" s="241">
        <v>0.0454545454545455</v>
      </c>
      <c r="E4041" s="241">
        <v>0</v>
      </c>
      <c r="F4041" s="241">
        <v>0.0833333333333333</v>
      </c>
      <c r="G4041" s="241">
        <v>0</v>
      </c>
      <c r="H4041" s="241">
        <v>0.0454545454545455</v>
      </c>
      <c r="I4041" s="241">
        <v>0.12</v>
      </c>
      <c r="J4041" s="241">
        <v>0</v>
      </c>
      <c r="K4041" s="241">
        <v>0.04</v>
      </c>
      <c r="L4041" s="241">
        <v>0.0769230769230769</v>
      </c>
      <c r="M4041" s="241">
        <v>0.08</v>
      </c>
      <c r="N4041" s="241">
        <v>0.0344827586206897</v>
      </c>
      <c r="O4041" s="252">
        <v>0.0285714285714286</v>
      </c>
    </row>
    <row r="4042" spans="1:15">
      <c r="A4042" s="242" t="s">
        <v>67</v>
      </c>
      <c r="B4042" s="43" t="s">
        <v>6</v>
      </c>
      <c r="C4042" s="15">
        <v>3</v>
      </c>
      <c r="D4042" s="244">
        <v>0</v>
      </c>
      <c r="E4042" s="244">
        <v>1</v>
      </c>
      <c r="F4042" s="244">
        <v>0</v>
      </c>
      <c r="G4042" s="244">
        <v>0</v>
      </c>
      <c r="H4042" s="244">
        <v>0</v>
      </c>
      <c r="I4042" s="244">
        <v>1</v>
      </c>
      <c r="J4042" s="244">
        <v>0</v>
      </c>
      <c r="K4042" s="244">
        <v>0</v>
      </c>
      <c r="L4042" s="244">
        <v>0</v>
      </c>
      <c r="M4042" s="244">
        <v>0</v>
      </c>
      <c r="N4042" s="244">
        <v>1</v>
      </c>
      <c r="O4042" s="254">
        <v>0</v>
      </c>
    </row>
    <row r="4043" ht="14.25" spans="1:15">
      <c r="A4043" s="245" t="s">
        <v>67</v>
      </c>
      <c r="B4043" s="52" t="s">
        <v>64</v>
      </c>
      <c r="C4043" s="19">
        <v>0.214285714285714</v>
      </c>
      <c r="D4043" s="246">
        <v>0</v>
      </c>
      <c r="E4043" s="246">
        <v>0</v>
      </c>
      <c r="F4043" s="246">
        <v>0</v>
      </c>
      <c r="G4043" s="246">
        <v>0</v>
      </c>
      <c r="H4043" s="246">
        <v>0</v>
      </c>
      <c r="I4043" s="246">
        <v>0.333333333333333</v>
      </c>
      <c r="J4043" s="246">
        <v>0</v>
      </c>
      <c r="K4043" s="246">
        <v>0</v>
      </c>
      <c r="L4043" s="246">
        <v>0</v>
      </c>
      <c r="M4043" s="246">
        <v>0</v>
      </c>
      <c r="N4043" s="246">
        <v>1</v>
      </c>
      <c r="O4043" s="255">
        <v>0</v>
      </c>
    </row>
    <row r="4044" spans="1:15">
      <c r="A4044" s="240" t="s">
        <v>68</v>
      </c>
      <c r="B4044" s="47" t="s">
        <v>55</v>
      </c>
      <c r="C4044" s="12">
        <v>0.153994689838281</v>
      </c>
      <c r="D4044" s="241">
        <v>0.173410404624277</v>
      </c>
      <c r="E4044" s="241">
        <v>0.111821086261981</v>
      </c>
      <c r="F4044" s="241">
        <v>0.173076923076923</v>
      </c>
      <c r="G4044" s="241">
        <v>0.160377358490566</v>
      </c>
      <c r="H4044" s="241">
        <v>0.147766323024055</v>
      </c>
      <c r="I4044" s="241">
        <v>0.173076923076923</v>
      </c>
      <c r="J4044" s="241">
        <v>0.152815013404826</v>
      </c>
      <c r="K4044" s="241">
        <v>0.13627254509018</v>
      </c>
      <c r="L4044" s="241">
        <v>0.151658767772512</v>
      </c>
      <c r="M4044" s="241">
        <v>0.138418079096045</v>
      </c>
      <c r="N4044" s="241">
        <v>0.186440677966102</v>
      </c>
      <c r="O4044" s="252">
        <v>0.1525</v>
      </c>
    </row>
    <row r="4045" spans="1:15">
      <c r="A4045" s="242" t="s">
        <v>68</v>
      </c>
      <c r="B4045" s="43" t="s">
        <v>57</v>
      </c>
      <c r="C4045" s="15">
        <v>4143</v>
      </c>
      <c r="D4045" s="243">
        <v>346</v>
      </c>
      <c r="E4045" s="243">
        <v>313</v>
      </c>
      <c r="F4045" s="243">
        <v>208</v>
      </c>
      <c r="G4045" s="243">
        <v>212</v>
      </c>
      <c r="H4045" s="243">
        <v>291</v>
      </c>
      <c r="I4045" s="243">
        <v>312</v>
      </c>
      <c r="J4045" s="243">
        <v>373</v>
      </c>
      <c r="K4045" s="243">
        <v>499</v>
      </c>
      <c r="L4045" s="243">
        <v>422</v>
      </c>
      <c r="M4045" s="243">
        <v>354</v>
      </c>
      <c r="N4045" s="243">
        <v>413</v>
      </c>
      <c r="O4045" s="253">
        <v>400</v>
      </c>
    </row>
    <row r="4046" spans="1:15">
      <c r="A4046" s="240" t="s">
        <v>68</v>
      </c>
      <c r="B4046" s="47" t="s">
        <v>59</v>
      </c>
      <c r="C4046" s="15">
        <v>638</v>
      </c>
      <c r="D4046" s="243">
        <v>60</v>
      </c>
      <c r="E4046" s="243">
        <v>35</v>
      </c>
      <c r="F4046" s="243">
        <v>36</v>
      </c>
      <c r="G4046" s="243">
        <v>34</v>
      </c>
      <c r="H4046" s="243">
        <v>43</v>
      </c>
      <c r="I4046" s="243">
        <v>54</v>
      </c>
      <c r="J4046" s="243">
        <v>57</v>
      </c>
      <c r="K4046" s="243">
        <v>68</v>
      </c>
      <c r="L4046" s="243">
        <v>64</v>
      </c>
      <c r="M4046" s="243">
        <v>49</v>
      </c>
      <c r="N4046" s="243">
        <v>77</v>
      </c>
      <c r="O4046" s="253">
        <v>61</v>
      </c>
    </row>
    <row r="4047" spans="1:15">
      <c r="A4047" s="242" t="s">
        <v>68</v>
      </c>
      <c r="B4047" s="43" t="s">
        <v>4</v>
      </c>
      <c r="C4047" s="15">
        <v>29</v>
      </c>
      <c r="D4047" s="244">
        <v>3</v>
      </c>
      <c r="E4047" s="244">
        <v>2</v>
      </c>
      <c r="F4047" s="244">
        <v>2</v>
      </c>
      <c r="G4047" s="244">
        <v>1</v>
      </c>
      <c r="H4047" s="244">
        <v>3</v>
      </c>
      <c r="I4047" s="244">
        <v>2</v>
      </c>
      <c r="J4047" s="244">
        <v>1</v>
      </c>
      <c r="K4047" s="244">
        <v>4</v>
      </c>
      <c r="L4047" s="244">
        <v>3</v>
      </c>
      <c r="M4047" s="244">
        <v>1</v>
      </c>
      <c r="N4047" s="244">
        <v>4</v>
      </c>
      <c r="O4047" s="254">
        <v>3</v>
      </c>
    </row>
    <row r="4048" spans="1:15">
      <c r="A4048" s="240" t="s">
        <v>68</v>
      </c>
      <c r="B4048" s="47" t="s">
        <v>5</v>
      </c>
      <c r="C4048" s="12">
        <v>0.0454545454545455</v>
      </c>
      <c r="D4048" s="241">
        <v>0.05</v>
      </c>
      <c r="E4048" s="241">
        <v>0.0571428571428571</v>
      </c>
      <c r="F4048" s="241">
        <v>0.0555555555555556</v>
      </c>
      <c r="G4048" s="241">
        <v>0.0294117647058824</v>
      </c>
      <c r="H4048" s="241">
        <v>0.0697674418604651</v>
      </c>
      <c r="I4048" s="241">
        <v>0.037037037037037</v>
      </c>
      <c r="J4048" s="241">
        <v>0.0175438596491228</v>
      </c>
      <c r="K4048" s="241">
        <v>0.0588235294117647</v>
      </c>
      <c r="L4048" s="241">
        <v>0.046875</v>
      </c>
      <c r="M4048" s="241">
        <v>0.0204081632653061</v>
      </c>
      <c r="N4048" s="241">
        <v>0.051948051948052</v>
      </c>
      <c r="O4048" s="252">
        <v>0.0491803278688525</v>
      </c>
    </row>
    <row r="4049" spans="1:15">
      <c r="A4049" s="242" t="s">
        <v>68</v>
      </c>
      <c r="B4049" s="43" t="s">
        <v>6</v>
      </c>
      <c r="C4049" s="15">
        <v>13</v>
      </c>
      <c r="D4049" s="244">
        <v>1</v>
      </c>
      <c r="E4049" s="244">
        <v>0</v>
      </c>
      <c r="F4049" s="244">
        <v>0</v>
      </c>
      <c r="G4049" s="244">
        <v>2</v>
      </c>
      <c r="H4049" s="244">
        <v>2</v>
      </c>
      <c r="I4049" s="244">
        <v>1</v>
      </c>
      <c r="J4049" s="244">
        <v>1</v>
      </c>
      <c r="K4049" s="244">
        <v>1</v>
      </c>
      <c r="L4049" s="244">
        <v>3</v>
      </c>
      <c r="M4049" s="244">
        <v>0</v>
      </c>
      <c r="N4049" s="244">
        <v>2</v>
      </c>
      <c r="O4049" s="254">
        <v>0</v>
      </c>
    </row>
    <row r="4050" ht="14.25" spans="1:15">
      <c r="A4050" s="245" t="s">
        <v>68</v>
      </c>
      <c r="B4050" s="52" t="s">
        <v>64</v>
      </c>
      <c r="C4050" s="19">
        <v>0.448275862068966</v>
      </c>
      <c r="D4050" s="246">
        <v>0.333333333333333</v>
      </c>
      <c r="E4050" s="246">
        <v>0</v>
      </c>
      <c r="F4050" s="246">
        <v>0</v>
      </c>
      <c r="G4050" s="246">
        <v>2</v>
      </c>
      <c r="H4050" s="246">
        <v>0.666666666666667</v>
      </c>
      <c r="I4050" s="246">
        <v>0.5</v>
      </c>
      <c r="J4050" s="246">
        <v>1</v>
      </c>
      <c r="K4050" s="246">
        <v>0.25</v>
      </c>
      <c r="L4050" s="246">
        <v>1</v>
      </c>
      <c r="M4050" s="246">
        <v>0</v>
      </c>
      <c r="N4050" s="246">
        <v>0.5</v>
      </c>
      <c r="O4050" s="255">
        <v>0</v>
      </c>
    </row>
    <row r="4051" spans="1:15">
      <c r="A4051" s="240" t="s">
        <v>69</v>
      </c>
      <c r="B4051" s="47" t="s">
        <v>55</v>
      </c>
      <c r="C4051" s="12">
        <v>1.51027397260274</v>
      </c>
      <c r="D4051" s="241">
        <v>1.42105263157895</v>
      </c>
      <c r="E4051" s="241">
        <v>1.5</v>
      </c>
      <c r="F4051" s="241">
        <v>0.916666666666667</v>
      </c>
      <c r="G4051" s="241">
        <v>1.25</v>
      </c>
      <c r="H4051" s="241">
        <v>1.14285714285714</v>
      </c>
      <c r="I4051" s="241">
        <v>1.33333333333333</v>
      </c>
      <c r="J4051" s="241">
        <v>1.95</v>
      </c>
      <c r="K4051" s="241">
        <v>1.51515151515152</v>
      </c>
      <c r="L4051" s="241">
        <v>1.70588235294118</v>
      </c>
      <c r="M4051" s="241">
        <v>1.8</v>
      </c>
      <c r="N4051" s="241">
        <v>1.9</v>
      </c>
      <c r="O4051" s="252">
        <v>1.51428571428571</v>
      </c>
    </row>
    <row r="4052" spans="1:15">
      <c r="A4052" s="242" t="s">
        <v>69</v>
      </c>
      <c r="B4052" s="43" t="s">
        <v>57</v>
      </c>
      <c r="C4052" s="15">
        <v>292</v>
      </c>
      <c r="D4052" s="243">
        <v>38</v>
      </c>
      <c r="E4052" s="243">
        <v>16</v>
      </c>
      <c r="F4052" s="243">
        <v>12</v>
      </c>
      <c r="G4052" s="243">
        <v>16</v>
      </c>
      <c r="H4052" s="243">
        <v>28</v>
      </c>
      <c r="I4052" s="243">
        <v>27</v>
      </c>
      <c r="J4052" s="243">
        <v>20</v>
      </c>
      <c r="K4052" s="243">
        <v>33</v>
      </c>
      <c r="L4052" s="243">
        <v>17</v>
      </c>
      <c r="M4052" s="243">
        <v>20</v>
      </c>
      <c r="N4052" s="243">
        <v>30</v>
      </c>
      <c r="O4052" s="253">
        <v>35</v>
      </c>
    </row>
    <row r="4053" spans="1:15">
      <c r="A4053" s="240" t="s">
        <v>69</v>
      </c>
      <c r="B4053" s="47" t="s">
        <v>59</v>
      </c>
      <c r="C4053" s="15">
        <v>441</v>
      </c>
      <c r="D4053" s="243">
        <v>54</v>
      </c>
      <c r="E4053" s="243">
        <v>24</v>
      </c>
      <c r="F4053" s="243">
        <v>11</v>
      </c>
      <c r="G4053" s="243">
        <v>20</v>
      </c>
      <c r="H4053" s="243">
        <v>32</v>
      </c>
      <c r="I4053" s="243">
        <v>36</v>
      </c>
      <c r="J4053" s="243">
        <v>39</v>
      </c>
      <c r="K4053" s="243">
        <v>50</v>
      </c>
      <c r="L4053" s="243">
        <v>29</v>
      </c>
      <c r="M4053" s="243">
        <v>36</v>
      </c>
      <c r="N4053" s="243">
        <v>57</v>
      </c>
      <c r="O4053" s="253">
        <v>53</v>
      </c>
    </row>
    <row r="4054" spans="1:15">
      <c r="A4054" s="242" t="s">
        <v>69</v>
      </c>
      <c r="B4054" s="43" t="s">
        <v>4</v>
      </c>
      <c r="C4054" s="15">
        <v>18</v>
      </c>
      <c r="D4054" s="244">
        <v>1</v>
      </c>
      <c r="E4054" s="244">
        <v>0</v>
      </c>
      <c r="F4054" s="244">
        <v>0</v>
      </c>
      <c r="G4054" s="244">
        <v>0</v>
      </c>
      <c r="H4054" s="244">
        <v>0</v>
      </c>
      <c r="I4054" s="244">
        <v>1</v>
      </c>
      <c r="J4054" s="244">
        <v>1</v>
      </c>
      <c r="K4054" s="244">
        <v>2</v>
      </c>
      <c r="L4054" s="244">
        <v>7</v>
      </c>
      <c r="M4054" s="244">
        <v>3</v>
      </c>
      <c r="N4054" s="244">
        <v>0</v>
      </c>
      <c r="O4054" s="254">
        <v>3</v>
      </c>
    </row>
    <row r="4055" spans="1:15">
      <c r="A4055" s="240" t="s">
        <v>69</v>
      </c>
      <c r="B4055" s="47" t="s">
        <v>5</v>
      </c>
      <c r="C4055" s="12">
        <v>0.0408163265306122</v>
      </c>
      <c r="D4055" s="241">
        <v>0.0185185185185185</v>
      </c>
      <c r="E4055" s="241">
        <v>0</v>
      </c>
      <c r="F4055" s="241">
        <v>0</v>
      </c>
      <c r="G4055" s="241">
        <v>0</v>
      </c>
      <c r="H4055" s="241">
        <v>0</v>
      </c>
      <c r="I4055" s="241">
        <v>0.0277777777777778</v>
      </c>
      <c r="J4055" s="241">
        <v>0.0256410256410256</v>
      </c>
      <c r="K4055" s="241">
        <v>0.04</v>
      </c>
      <c r="L4055" s="241">
        <v>0.241379310344828</v>
      </c>
      <c r="M4055" s="241">
        <v>0.0833333333333333</v>
      </c>
      <c r="N4055" s="241">
        <v>0</v>
      </c>
      <c r="O4055" s="252">
        <v>0.0566037735849057</v>
      </c>
    </row>
    <row r="4056" spans="1:15">
      <c r="A4056" s="242" t="s">
        <v>69</v>
      </c>
      <c r="B4056" s="43" t="s">
        <v>6</v>
      </c>
      <c r="C4056" s="15">
        <v>5</v>
      </c>
      <c r="D4056" s="244">
        <v>0</v>
      </c>
      <c r="E4056" s="244">
        <v>0</v>
      </c>
      <c r="F4056" s="244">
        <v>0</v>
      </c>
      <c r="G4056" s="244">
        <v>0</v>
      </c>
      <c r="H4056" s="244">
        <v>0</v>
      </c>
      <c r="I4056" s="244">
        <v>1</v>
      </c>
      <c r="J4056" s="244">
        <v>1</v>
      </c>
      <c r="K4056" s="244">
        <v>0</v>
      </c>
      <c r="L4056" s="244">
        <v>0</v>
      </c>
      <c r="M4056" s="244">
        <v>2</v>
      </c>
      <c r="N4056" s="244">
        <v>0</v>
      </c>
      <c r="O4056" s="254">
        <v>1</v>
      </c>
    </row>
    <row r="4057" ht="14.25" spans="1:15">
      <c r="A4057" s="245" t="s">
        <v>69</v>
      </c>
      <c r="B4057" s="52" t="s">
        <v>64</v>
      </c>
      <c r="C4057" s="19">
        <v>0.277777777777778</v>
      </c>
      <c r="D4057" s="246">
        <v>0</v>
      </c>
      <c r="E4057" s="246">
        <v>0</v>
      </c>
      <c r="F4057" s="246">
        <v>0</v>
      </c>
      <c r="G4057" s="246">
        <v>0</v>
      </c>
      <c r="H4057" s="246">
        <v>0</v>
      </c>
      <c r="I4057" s="246">
        <v>1</v>
      </c>
      <c r="J4057" s="246">
        <v>1</v>
      </c>
      <c r="K4057" s="246">
        <v>0</v>
      </c>
      <c r="L4057" s="246">
        <v>0</v>
      </c>
      <c r="M4057" s="246">
        <v>0.666666666666667</v>
      </c>
      <c r="N4057" s="246">
        <v>0</v>
      </c>
      <c r="O4057" s="255">
        <v>0.333333333333333</v>
      </c>
    </row>
    <row r="4058" spans="1:15">
      <c r="A4058" s="240" t="s">
        <v>70</v>
      </c>
      <c r="B4058" s="47" t="s">
        <v>55</v>
      </c>
      <c r="C4058" s="12">
        <v>0.429237041351194</v>
      </c>
      <c r="D4058" s="241">
        <v>0.685393258426966</v>
      </c>
      <c r="E4058" s="241">
        <v>0.604838709677419</v>
      </c>
      <c r="F4058" s="241">
        <v>0.634408602150538</v>
      </c>
      <c r="G4058" s="241">
        <v>0.768817204301075</v>
      </c>
      <c r="H4058" s="241">
        <v>0.711538461538462</v>
      </c>
      <c r="I4058" s="241">
        <v>0.51890756302521</v>
      </c>
      <c r="J4058" s="241">
        <v>0.394308943089431</v>
      </c>
      <c r="K4058" s="241">
        <v>0.330681818181818</v>
      </c>
      <c r="L4058" s="241">
        <v>0.343074968233799</v>
      </c>
      <c r="M4058" s="241">
        <v>0.350632911392405</v>
      </c>
      <c r="N4058" s="241">
        <v>0.327740492170022</v>
      </c>
      <c r="O4058" s="252">
        <v>0.368250539956803</v>
      </c>
    </row>
    <row r="4059" spans="1:15">
      <c r="A4059" s="242" t="s">
        <v>70</v>
      </c>
      <c r="B4059" s="43" t="s">
        <v>57</v>
      </c>
      <c r="C4059" s="15">
        <v>6868</v>
      </c>
      <c r="D4059" s="243">
        <v>445</v>
      </c>
      <c r="E4059" s="243">
        <v>248</v>
      </c>
      <c r="F4059" s="243">
        <v>186</v>
      </c>
      <c r="G4059" s="243">
        <v>186</v>
      </c>
      <c r="H4059" s="243">
        <v>312</v>
      </c>
      <c r="I4059" s="243">
        <v>476</v>
      </c>
      <c r="J4059" s="243">
        <v>738</v>
      </c>
      <c r="K4059" s="243">
        <v>880</v>
      </c>
      <c r="L4059" s="243">
        <v>787</v>
      </c>
      <c r="M4059" s="243">
        <v>790</v>
      </c>
      <c r="N4059" s="243">
        <v>894</v>
      </c>
      <c r="O4059" s="253">
        <v>926</v>
      </c>
    </row>
    <row r="4060" spans="1:15">
      <c r="A4060" s="240" t="s">
        <v>70</v>
      </c>
      <c r="B4060" s="47" t="s">
        <v>59</v>
      </c>
      <c r="C4060" s="15">
        <v>2948</v>
      </c>
      <c r="D4060" s="243">
        <v>305</v>
      </c>
      <c r="E4060" s="243">
        <v>150</v>
      </c>
      <c r="F4060" s="243">
        <v>118</v>
      </c>
      <c r="G4060" s="243">
        <v>143</v>
      </c>
      <c r="H4060" s="243">
        <v>222</v>
      </c>
      <c r="I4060" s="243">
        <v>247</v>
      </c>
      <c r="J4060" s="243">
        <v>291</v>
      </c>
      <c r="K4060" s="243">
        <v>291</v>
      </c>
      <c r="L4060" s="243">
        <v>270</v>
      </c>
      <c r="M4060" s="243">
        <v>277</v>
      </c>
      <c r="N4060" s="243">
        <v>293</v>
      </c>
      <c r="O4060" s="253">
        <v>341</v>
      </c>
    </row>
    <row r="4061" spans="1:15">
      <c r="A4061" s="242" t="s">
        <v>70</v>
      </c>
      <c r="B4061" s="43" t="s">
        <v>4</v>
      </c>
      <c r="C4061" s="15">
        <v>175</v>
      </c>
      <c r="D4061" s="244">
        <v>28</v>
      </c>
      <c r="E4061" s="244">
        <v>9</v>
      </c>
      <c r="F4061" s="244">
        <v>5</v>
      </c>
      <c r="G4061" s="244">
        <v>4</v>
      </c>
      <c r="H4061" s="244">
        <v>9</v>
      </c>
      <c r="I4061" s="244">
        <v>14</v>
      </c>
      <c r="J4061" s="244">
        <v>11</v>
      </c>
      <c r="K4061" s="244">
        <v>23</v>
      </c>
      <c r="L4061" s="244">
        <v>15</v>
      </c>
      <c r="M4061" s="244">
        <v>14</v>
      </c>
      <c r="N4061" s="244">
        <v>19</v>
      </c>
      <c r="O4061" s="254">
        <v>24</v>
      </c>
    </row>
    <row r="4062" spans="1:15">
      <c r="A4062" s="240" t="s">
        <v>70</v>
      </c>
      <c r="B4062" s="47" t="s">
        <v>5</v>
      </c>
      <c r="C4062" s="12">
        <v>0.0593622795115332</v>
      </c>
      <c r="D4062" s="241">
        <v>0.0918032786885246</v>
      </c>
      <c r="E4062" s="241">
        <v>0.06</v>
      </c>
      <c r="F4062" s="241">
        <v>0.0423728813559322</v>
      </c>
      <c r="G4062" s="241">
        <v>0.027972027972028</v>
      </c>
      <c r="H4062" s="241">
        <v>0.0405405405405405</v>
      </c>
      <c r="I4062" s="241">
        <v>0.0566801619433198</v>
      </c>
      <c r="J4062" s="241">
        <v>0.0378006872852234</v>
      </c>
      <c r="K4062" s="241">
        <v>0.0790378006872852</v>
      </c>
      <c r="L4062" s="241">
        <v>0.0555555555555556</v>
      </c>
      <c r="M4062" s="241">
        <v>0.0505415162454874</v>
      </c>
      <c r="N4062" s="241">
        <v>0.0648464163822526</v>
      </c>
      <c r="O4062" s="252">
        <v>0.0703812316715543</v>
      </c>
    </row>
    <row r="4063" spans="1:15">
      <c r="A4063" s="242" t="s">
        <v>70</v>
      </c>
      <c r="B4063" s="43" t="s">
        <v>6</v>
      </c>
      <c r="C4063" s="15">
        <v>45</v>
      </c>
      <c r="D4063" s="244">
        <v>5</v>
      </c>
      <c r="E4063" s="244">
        <v>4</v>
      </c>
      <c r="F4063" s="244">
        <v>2</v>
      </c>
      <c r="G4063" s="244">
        <v>1</v>
      </c>
      <c r="H4063" s="244">
        <v>4</v>
      </c>
      <c r="I4063" s="244">
        <v>4</v>
      </c>
      <c r="J4063" s="244">
        <v>1</v>
      </c>
      <c r="K4063" s="244">
        <v>6</v>
      </c>
      <c r="L4063" s="244">
        <v>6</v>
      </c>
      <c r="M4063" s="244">
        <v>7</v>
      </c>
      <c r="N4063" s="244">
        <v>3</v>
      </c>
      <c r="O4063" s="254">
        <v>2</v>
      </c>
    </row>
    <row r="4064" ht="14.25" spans="1:15">
      <c r="A4064" s="245" t="s">
        <v>70</v>
      </c>
      <c r="B4064" s="52" t="s">
        <v>64</v>
      </c>
      <c r="C4064" s="19">
        <v>0.257142857142857</v>
      </c>
      <c r="D4064" s="246">
        <v>0.178571428571429</v>
      </c>
      <c r="E4064" s="246">
        <v>0.444444444444444</v>
      </c>
      <c r="F4064" s="246">
        <v>0.4</v>
      </c>
      <c r="G4064" s="246">
        <v>0.25</v>
      </c>
      <c r="H4064" s="246">
        <v>0.444444444444444</v>
      </c>
      <c r="I4064" s="246">
        <v>0.285714285714286</v>
      </c>
      <c r="J4064" s="246">
        <v>0.0909090909090909</v>
      </c>
      <c r="K4064" s="246">
        <v>0.260869565217391</v>
      </c>
      <c r="L4064" s="246">
        <v>0.4</v>
      </c>
      <c r="M4064" s="246">
        <v>0.5</v>
      </c>
      <c r="N4064" s="246">
        <v>0.157894736842105</v>
      </c>
      <c r="O4064" s="255">
        <v>0.0833333333333333</v>
      </c>
    </row>
    <row r="4065" spans="1:15">
      <c r="A4065" s="240" t="s">
        <v>26</v>
      </c>
      <c r="B4065" s="47" t="s">
        <v>55</v>
      </c>
      <c r="C4065" s="12">
        <v>0.703526338702656</v>
      </c>
      <c r="D4065" s="241">
        <v>0.58307210031348</v>
      </c>
      <c r="E4065" s="241">
        <v>0.501547987616099</v>
      </c>
      <c r="F4065" s="241">
        <v>0.483552631578947</v>
      </c>
      <c r="G4065" s="241">
        <v>0.680672268907563</v>
      </c>
      <c r="H4065" s="241">
        <v>0.753926701570681</v>
      </c>
      <c r="I4065" s="241">
        <v>0.723618090452261</v>
      </c>
      <c r="J4065" s="241">
        <v>0.943089430894309</v>
      </c>
      <c r="K4065" s="241">
        <v>0.72189349112426</v>
      </c>
      <c r="L4065" s="241">
        <v>0.9921875</v>
      </c>
      <c r="M4065" s="241">
        <v>1.10309278350515</v>
      </c>
      <c r="N4065" s="241">
        <v>1.00934579439252</v>
      </c>
      <c r="O4065" s="252">
        <v>0.919191919191919</v>
      </c>
    </row>
    <row r="4066" spans="1:15">
      <c r="A4066" s="242" t="s">
        <v>26</v>
      </c>
      <c r="B4066" s="43" t="s">
        <v>57</v>
      </c>
      <c r="C4066" s="15">
        <v>2297</v>
      </c>
      <c r="D4066" s="243">
        <v>319</v>
      </c>
      <c r="E4066" s="243">
        <v>323</v>
      </c>
      <c r="F4066" s="243">
        <v>304</v>
      </c>
      <c r="G4066" s="243">
        <v>238</v>
      </c>
      <c r="H4066" s="243">
        <v>191</v>
      </c>
      <c r="I4066" s="243">
        <v>199</v>
      </c>
      <c r="J4066" s="243">
        <v>123</v>
      </c>
      <c r="K4066" s="243">
        <v>169</v>
      </c>
      <c r="L4066" s="243">
        <v>128</v>
      </c>
      <c r="M4066" s="243">
        <v>97</v>
      </c>
      <c r="N4066" s="243">
        <v>107</v>
      </c>
      <c r="O4066" s="253">
        <v>99</v>
      </c>
    </row>
    <row r="4067" spans="1:15">
      <c r="A4067" s="240" t="s">
        <v>26</v>
      </c>
      <c r="B4067" s="47" t="s">
        <v>59</v>
      </c>
      <c r="C4067" s="15">
        <v>1616</v>
      </c>
      <c r="D4067" s="243">
        <v>186</v>
      </c>
      <c r="E4067" s="243">
        <v>162</v>
      </c>
      <c r="F4067" s="243">
        <v>147</v>
      </c>
      <c r="G4067" s="243">
        <v>162</v>
      </c>
      <c r="H4067" s="243">
        <v>144</v>
      </c>
      <c r="I4067" s="243">
        <v>144</v>
      </c>
      <c r="J4067" s="243">
        <v>116</v>
      </c>
      <c r="K4067" s="243">
        <v>122</v>
      </c>
      <c r="L4067" s="243">
        <v>127</v>
      </c>
      <c r="M4067" s="243">
        <v>107</v>
      </c>
      <c r="N4067" s="243">
        <v>108</v>
      </c>
      <c r="O4067" s="253">
        <v>91</v>
      </c>
    </row>
    <row r="4068" spans="1:15">
      <c r="A4068" s="242" t="s">
        <v>26</v>
      </c>
      <c r="B4068" s="43" t="s">
        <v>4</v>
      </c>
      <c r="C4068" s="15">
        <v>7</v>
      </c>
      <c r="D4068" s="244">
        <v>0</v>
      </c>
      <c r="E4068" s="244">
        <v>0</v>
      </c>
      <c r="F4068" s="244">
        <v>0</v>
      </c>
      <c r="G4068" s="244">
        <v>0</v>
      </c>
      <c r="H4068" s="244">
        <v>0</v>
      </c>
      <c r="I4068" s="244">
        <v>0</v>
      </c>
      <c r="J4068" s="244">
        <v>2</v>
      </c>
      <c r="K4068" s="244">
        <v>1</v>
      </c>
      <c r="L4068" s="244">
        <v>1</v>
      </c>
      <c r="M4068" s="244">
        <v>0</v>
      </c>
      <c r="N4068" s="244">
        <v>1</v>
      </c>
      <c r="O4068" s="254">
        <v>2</v>
      </c>
    </row>
    <row r="4069" spans="1:15">
      <c r="A4069" s="240" t="s">
        <v>26</v>
      </c>
      <c r="B4069" s="47" t="s">
        <v>5</v>
      </c>
      <c r="C4069" s="12">
        <v>0.00433168316831683</v>
      </c>
      <c r="D4069" s="241">
        <v>0</v>
      </c>
      <c r="E4069" s="241">
        <v>0</v>
      </c>
      <c r="F4069" s="241">
        <v>0</v>
      </c>
      <c r="G4069" s="241">
        <v>0</v>
      </c>
      <c r="H4069" s="241">
        <v>0</v>
      </c>
      <c r="I4069" s="241">
        <v>0</v>
      </c>
      <c r="J4069" s="241">
        <v>0.0172413793103448</v>
      </c>
      <c r="K4069" s="241">
        <v>0.00819672131147541</v>
      </c>
      <c r="L4069" s="241">
        <v>0.0078740157480315</v>
      </c>
      <c r="M4069" s="241">
        <v>0</v>
      </c>
      <c r="N4069" s="241">
        <v>0.00925925925925926</v>
      </c>
      <c r="O4069" s="252">
        <v>0.021978021978022</v>
      </c>
    </row>
    <row r="4070" spans="1:15">
      <c r="A4070" s="242" t="s">
        <v>26</v>
      </c>
      <c r="B4070" s="43" t="s">
        <v>6</v>
      </c>
      <c r="C4070" s="15">
        <v>1</v>
      </c>
      <c r="D4070" s="244">
        <v>0</v>
      </c>
      <c r="E4070" s="244">
        <v>0</v>
      </c>
      <c r="F4070" s="244">
        <v>0</v>
      </c>
      <c r="G4070" s="244">
        <v>0</v>
      </c>
      <c r="H4070" s="244">
        <v>0</v>
      </c>
      <c r="I4070" s="244">
        <v>0</v>
      </c>
      <c r="J4070" s="244">
        <v>0</v>
      </c>
      <c r="K4070" s="244">
        <v>0</v>
      </c>
      <c r="L4070" s="244">
        <v>1</v>
      </c>
      <c r="M4070" s="244">
        <v>0</v>
      </c>
      <c r="N4070" s="244">
        <v>0</v>
      </c>
      <c r="O4070" s="254">
        <v>0</v>
      </c>
    </row>
    <row r="4071" ht="14.25" spans="1:15">
      <c r="A4071" s="245" t="s">
        <v>26</v>
      </c>
      <c r="B4071" s="52" t="s">
        <v>64</v>
      </c>
      <c r="C4071" s="19">
        <v>0.142857142857143</v>
      </c>
      <c r="D4071" s="19" t="e">
        <v>#DIV/0!</v>
      </c>
      <c r="E4071" s="19" t="e">
        <v>#DIV/0!</v>
      </c>
      <c r="F4071" s="19" t="e">
        <v>#DIV/0!</v>
      </c>
      <c r="G4071" s="19" t="e">
        <v>#DIV/0!</v>
      </c>
      <c r="H4071" s="19" t="e">
        <v>#DIV/0!</v>
      </c>
      <c r="I4071" s="19" t="e">
        <v>#DIV/0!</v>
      </c>
      <c r="J4071" s="19">
        <v>0</v>
      </c>
      <c r="K4071" s="19">
        <v>0</v>
      </c>
      <c r="L4071" s="19">
        <v>1</v>
      </c>
      <c r="M4071" s="19" t="e">
        <v>#DIV/0!</v>
      </c>
      <c r="N4071" s="19">
        <v>0</v>
      </c>
      <c r="O4071" s="19">
        <v>0</v>
      </c>
    </row>
    <row r="4072" spans="1:15">
      <c r="A4072" s="240" t="s">
        <v>71</v>
      </c>
      <c r="B4072" s="47" t="s">
        <v>55</v>
      </c>
      <c r="C4072" s="12">
        <v>120.5</v>
      </c>
      <c r="D4072" s="241" t="e">
        <v>#DIV/0!</v>
      </c>
      <c r="E4072" s="241" t="e">
        <v>#DIV/0!</v>
      </c>
      <c r="F4072" s="241">
        <v>1</v>
      </c>
      <c r="G4072" s="241" t="e">
        <v>#DIV/0!</v>
      </c>
      <c r="H4072" s="241" t="e">
        <v>#DIV/0!</v>
      </c>
      <c r="I4072" s="241" t="e">
        <v>#DIV/0!</v>
      </c>
      <c r="J4072" s="241" t="e">
        <v>#DIV/0!</v>
      </c>
      <c r="K4072" s="241" t="e">
        <v>#DIV/0!</v>
      </c>
      <c r="L4072" s="241" t="e">
        <v>#DIV/0!</v>
      </c>
      <c r="M4072" s="241" t="e">
        <v>#DIV/0!</v>
      </c>
      <c r="N4072" s="241" t="e">
        <v>#DIV/0!</v>
      </c>
      <c r="O4072" s="252" t="e">
        <v>#DIV/0!</v>
      </c>
    </row>
    <row r="4073" spans="1:15">
      <c r="A4073" s="242" t="s">
        <v>71</v>
      </c>
      <c r="B4073" s="43" t="s">
        <v>57</v>
      </c>
      <c r="C4073" s="15">
        <v>2</v>
      </c>
      <c r="D4073" s="243">
        <v>0</v>
      </c>
      <c r="E4073" s="243">
        <v>0</v>
      </c>
      <c r="F4073" s="243">
        <v>2</v>
      </c>
      <c r="G4073" s="243">
        <v>0</v>
      </c>
      <c r="H4073" s="243">
        <v>0</v>
      </c>
      <c r="I4073" s="243">
        <v>0</v>
      </c>
      <c r="J4073" s="243">
        <v>0</v>
      </c>
      <c r="K4073" s="243">
        <v>0</v>
      </c>
      <c r="L4073" s="243">
        <v>0</v>
      </c>
      <c r="M4073" s="243">
        <v>0</v>
      </c>
      <c r="N4073" s="243">
        <v>0</v>
      </c>
      <c r="O4073" s="253">
        <v>0</v>
      </c>
    </row>
    <row r="4074" spans="1:15">
      <c r="A4074" s="240" t="s">
        <v>71</v>
      </c>
      <c r="B4074" s="47" t="s">
        <v>59</v>
      </c>
      <c r="C4074" s="15">
        <v>241</v>
      </c>
      <c r="D4074" s="243">
        <v>4</v>
      </c>
      <c r="E4074" s="243">
        <v>10</v>
      </c>
      <c r="F4074" s="243">
        <v>2</v>
      </c>
      <c r="G4074" s="243">
        <v>2</v>
      </c>
      <c r="H4074" s="243">
        <v>0</v>
      </c>
      <c r="I4074" s="243">
        <v>29</v>
      </c>
      <c r="J4074" s="243">
        <v>19</v>
      </c>
      <c r="K4074" s="243">
        <v>33</v>
      </c>
      <c r="L4074" s="243">
        <v>35</v>
      </c>
      <c r="M4074" s="243">
        <v>41</v>
      </c>
      <c r="N4074" s="243">
        <v>31</v>
      </c>
      <c r="O4074" s="253">
        <v>35</v>
      </c>
    </row>
    <row r="4075" spans="1:15">
      <c r="A4075" s="242" t="s">
        <v>71</v>
      </c>
      <c r="B4075" s="43" t="s">
        <v>4</v>
      </c>
      <c r="C4075" s="15">
        <v>16</v>
      </c>
      <c r="D4075" s="244">
        <v>0</v>
      </c>
      <c r="E4075" s="244">
        <v>4</v>
      </c>
      <c r="F4075" s="244">
        <v>0</v>
      </c>
      <c r="G4075" s="244">
        <v>0</v>
      </c>
      <c r="H4075" s="244">
        <v>0</v>
      </c>
      <c r="I4075" s="244">
        <v>1</v>
      </c>
      <c r="J4075" s="244">
        <v>2</v>
      </c>
      <c r="K4075" s="244">
        <v>1</v>
      </c>
      <c r="L4075" s="244">
        <v>4</v>
      </c>
      <c r="M4075" s="244">
        <v>3</v>
      </c>
      <c r="N4075" s="244">
        <v>1</v>
      </c>
      <c r="O4075" s="254">
        <v>0</v>
      </c>
    </row>
    <row r="4076" spans="1:15">
      <c r="A4076" s="240" t="s">
        <v>71</v>
      </c>
      <c r="B4076" s="47" t="s">
        <v>5</v>
      </c>
      <c r="C4076" s="241">
        <v>0.0663900414937759</v>
      </c>
      <c r="D4076" s="241">
        <v>0</v>
      </c>
      <c r="E4076" s="241">
        <v>0.4</v>
      </c>
      <c r="F4076" s="241">
        <v>0</v>
      </c>
      <c r="G4076" s="241">
        <v>0</v>
      </c>
      <c r="H4076" s="241">
        <v>0</v>
      </c>
      <c r="I4076" s="241">
        <v>0.0344827586206897</v>
      </c>
      <c r="J4076" s="241">
        <v>0.105263157894737</v>
      </c>
      <c r="K4076" s="241">
        <v>0.0303030303030303</v>
      </c>
      <c r="L4076" s="241">
        <v>0.114285714285714</v>
      </c>
      <c r="M4076" s="241">
        <v>0.0731707317073171</v>
      </c>
      <c r="N4076" s="241">
        <v>0.032258064516129</v>
      </c>
      <c r="O4076" s="252">
        <v>0</v>
      </c>
    </row>
    <row r="4077" spans="1:15">
      <c r="A4077" s="242" t="s">
        <v>71</v>
      </c>
      <c r="B4077" s="43" t="s">
        <v>6</v>
      </c>
      <c r="C4077" s="15">
        <v>3</v>
      </c>
      <c r="D4077" s="244">
        <v>0</v>
      </c>
      <c r="E4077" s="244">
        <v>0</v>
      </c>
      <c r="F4077" s="244">
        <v>0</v>
      </c>
      <c r="G4077" s="244">
        <v>0</v>
      </c>
      <c r="H4077" s="244">
        <v>0</v>
      </c>
      <c r="I4077" s="244">
        <v>1</v>
      </c>
      <c r="J4077" s="244">
        <v>0</v>
      </c>
      <c r="K4077" s="244">
        <v>0</v>
      </c>
      <c r="L4077" s="244">
        <v>1</v>
      </c>
      <c r="M4077" s="244">
        <v>1</v>
      </c>
      <c r="N4077" s="244">
        <v>0</v>
      </c>
      <c r="O4077" s="254">
        <v>0</v>
      </c>
    </row>
    <row r="4078" ht="14.25" spans="1:15">
      <c r="A4078" s="245" t="s">
        <v>71</v>
      </c>
      <c r="B4078" s="52" t="s">
        <v>64</v>
      </c>
      <c r="C4078" s="19">
        <v>0.1875</v>
      </c>
      <c r="D4078" s="19" t="e">
        <v>#DIV/0!</v>
      </c>
      <c r="E4078" s="19">
        <v>0</v>
      </c>
      <c r="F4078" s="19" t="e">
        <v>#DIV/0!</v>
      </c>
      <c r="G4078" s="19" t="e">
        <v>#DIV/0!</v>
      </c>
      <c r="H4078" s="19" t="e">
        <v>#DIV/0!</v>
      </c>
      <c r="I4078" s="19">
        <v>1</v>
      </c>
      <c r="J4078" s="19">
        <v>0</v>
      </c>
      <c r="K4078" s="19">
        <v>0</v>
      </c>
      <c r="L4078" s="19">
        <v>0.25</v>
      </c>
      <c r="M4078" s="19">
        <v>0.333333333333333</v>
      </c>
      <c r="N4078" s="19">
        <v>0</v>
      </c>
      <c r="O4078" s="19" t="e">
        <v>#DIV/0!</v>
      </c>
    </row>
    <row r="4079" spans="1:15">
      <c r="A4079" s="240" t="s">
        <v>72</v>
      </c>
      <c r="B4079" s="47" t="s">
        <v>55</v>
      </c>
      <c r="C4079" s="12">
        <v>0.145615446500402</v>
      </c>
      <c r="D4079" s="241">
        <v>0.184899845916795</v>
      </c>
      <c r="E4079" s="241">
        <v>0.13091922005571</v>
      </c>
      <c r="F4079" s="241">
        <v>0.114624505928854</v>
      </c>
      <c r="G4079" s="241">
        <v>0.133858267716535</v>
      </c>
      <c r="H4079" s="241">
        <v>0.147368421052632</v>
      </c>
      <c r="I4079" s="241">
        <v>0.171739130434783</v>
      </c>
      <c r="J4079" s="241">
        <v>0.136633663366337</v>
      </c>
      <c r="K4079" s="241">
        <v>0.154670750382848</v>
      </c>
      <c r="L4079" s="241">
        <v>0.126229508196721</v>
      </c>
      <c r="M4079" s="241">
        <v>0.136704119850187</v>
      </c>
      <c r="N4079" s="241">
        <v>0.139705882352941</v>
      </c>
      <c r="O4079" s="252">
        <v>0.142857142857143</v>
      </c>
    </row>
    <row r="4080" spans="1:15">
      <c r="A4080" s="242" t="s">
        <v>72</v>
      </c>
      <c r="B4080" s="43" t="s">
        <v>57</v>
      </c>
      <c r="C4080" s="15">
        <v>6215</v>
      </c>
      <c r="D4080" s="243">
        <v>649</v>
      </c>
      <c r="E4080" s="243">
        <v>359</v>
      </c>
      <c r="F4080" s="243">
        <v>253</v>
      </c>
      <c r="G4080" s="243">
        <v>254</v>
      </c>
      <c r="H4080" s="243">
        <v>380</v>
      </c>
      <c r="I4080" s="243">
        <v>460</v>
      </c>
      <c r="J4080" s="243">
        <v>505</v>
      </c>
      <c r="K4080" s="243">
        <v>653</v>
      </c>
      <c r="L4080" s="243">
        <v>610</v>
      </c>
      <c r="M4080" s="243">
        <v>534</v>
      </c>
      <c r="N4080" s="243">
        <v>816</v>
      </c>
      <c r="O4080" s="253">
        <v>742</v>
      </c>
    </row>
    <row r="4081" spans="1:15">
      <c r="A4081" s="240" t="s">
        <v>72</v>
      </c>
      <c r="B4081" s="47" t="s">
        <v>59</v>
      </c>
      <c r="C4081" s="15">
        <v>905</v>
      </c>
      <c r="D4081" s="243">
        <v>120</v>
      </c>
      <c r="E4081" s="243">
        <v>47</v>
      </c>
      <c r="F4081" s="243">
        <v>29</v>
      </c>
      <c r="G4081" s="243">
        <v>34</v>
      </c>
      <c r="H4081" s="243">
        <v>56</v>
      </c>
      <c r="I4081" s="243">
        <v>79</v>
      </c>
      <c r="J4081" s="243">
        <v>69</v>
      </c>
      <c r="K4081" s="243">
        <v>101</v>
      </c>
      <c r="L4081" s="243">
        <v>77</v>
      </c>
      <c r="M4081" s="243">
        <v>73</v>
      </c>
      <c r="N4081" s="243">
        <v>114</v>
      </c>
      <c r="O4081" s="253">
        <v>106</v>
      </c>
    </row>
    <row r="4082" spans="1:15">
      <c r="A4082" s="242" t="s">
        <v>72</v>
      </c>
      <c r="B4082" s="43" t="s">
        <v>4</v>
      </c>
      <c r="C4082" s="15">
        <v>90</v>
      </c>
      <c r="D4082" s="244">
        <v>10</v>
      </c>
      <c r="E4082" s="244">
        <v>12</v>
      </c>
      <c r="F4082" s="244">
        <v>4</v>
      </c>
      <c r="G4082" s="244">
        <v>2</v>
      </c>
      <c r="H4082" s="244">
        <v>6</v>
      </c>
      <c r="I4082" s="244">
        <v>5</v>
      </c>
      <c r="J4082" s="244">
        <v>4</v>
      </c>
      <c r="K4082" s="244">
        <v>13</v>
      </c>
      <c r="L4082" s="244">
        <v>8</v>
      </c>
      <c r="M4082" s="244">
        <v>9</v>
      </c>
      <c r="N4082" s="244">
        <v>10</v>
      </c>
      <c r="O4082" s="254">
        <v>7</v>
      </c>
    </row>
    <row r="4083" spans="1:15">
      <c r="A4083" s="240" t="s">
        <v>72</v>
      </c>
      <c r="B4083" s="47" t="s">
        <v>5</v>
      </c>
      <c r="C4083" s="12">
        <v>0.0994475138121547</v>
      </c>
      <c r="D4083" s="241">
        <v>0.0833333333333333</v>
      </c>
      <c r="E4083" s="241">
        <v>0.25531914893617</v>
      </c>
      <c r="F4083" s="241">
        <v>0.137931034482759</v>
      </c>
      <c r="G4083" s="241">
        <v>0.0588235294117647</v>
      </c>
      <c r="H4083" s="241">
        <v>0.107142857142857</v>
      </c>
      <c r="I4083" s="241">
        <v>0.0632911392405063</v>
      </c>
      <c r="J4083" s="241">
        <v>0.0579710144927536</v>
      </c>
      <c r="K4083" s="241">
        <v>0.128712871287129</v>
      </c>
      <c r="L4083" s="241">
        <v>0.103896103896104</v>
      </c>
      <c r="M4083" s="241">
        <v>0.123287671232877</v>
      </c>
      <c r="N4083" s="241">
        <v>0.087719298245614</v>
      </c>
      <c r="O4083" s="252">
        <v>0.0660377358490566</v>
      </c>
    </row>
    <row r="4084" spans="1:15">
      <c r="A4084" s="242" t="s">
        <v>72</v>
      </c>
      <c r="B4084" s="43" t="s">
        <v>6</v>
      </c>
      <c r="C4084" s="15">
        <v>26</v>
      </c>
      <c r="D4084" s="244">
        <v>2</v>
      </c>
      <c r="E4084" s="244">
        <v>3</v>
      </c>
      <c r="F4084" s="244">
        <v>2</v>
      </c>
      <c r="G4084" s="244">
        <v>0</v>
      </c>
      <c r="H4084" s="244">
        <v>2</v>
      </c>
      <c r="I4084" s="244">
        <v>2</v>
      </c>
      <c r="J4084" s="244">
        <v>2</v>
      </c>
      <c r="K4084" s="244">
        <v>5</v>
      </c>
      <c r="L4084" s="244">
        <v>2</v>
      </c>
      <c r="M4084" s="244">
        <v>3</v>
      </c>
      <c r="N4084" s="244">
        <v>2</v>
      </c>
      <c r="O4084" s="254">
        <v>1</v>
      </c>
    </row>
    <row r="4085" ht="14.25" spans="1:15">
      <c r="A4085" s="245" t="s">
        <v>72</v>
      </c>
      <c r="B4085" s="52" t="s">
        <v>64</v>
      </c>
      <c r="C4085" s="19">
        <v>0.288888888888889</v>
      </c>
      <c r="D4085" s="19">
        <v>0.2</v>
      </c>
      <c r="E4085" s="19">
        <v>0.25</v>
      </c>
      <c r="F4085" s="19">
        <v>0.5</v>
      </c>
      <c r="G4085" s="19">
        <v>0</v>
      </c>
      <c r="H4085" s="19">
        <v>0.333333333333333</v>
      </c>
      <c r="I4085" s="19">
        <v>0.4</v>
      </c>
      <c r="J4085" s="19">
        <v>0.5</v>
      </c>
      <c r="K4085" s="19">
        <v>0.384615384615385</v>
      </c>
      <c r="L4085" s="19">
        <v>0.25</v>
      </c>
      <c r="M4085" s="19">
        <v>0.333333333333333</v>
      </c>
      <c r="N4085" s="19">
        <v>0.2</v>
      </c>
      <c r="O4085" s="19">
        <v>0.142857142857143</v>
      </c>
    </row>
    <row r="4086" ht="14.25" spans="1:15">
      <c r="A4086" s="237">
        <v>45082</v>
      </c>
      <c r="B4086" s="237"/>
      <c r="C4086" s="237"/>
      <c r="D4086" s="237"/>
      <c r="E4086" s="237"/>
      <c r="F4086" s="237"/>
      <c r="G4086" s="237"/>
      <c r="H4086" s="237"/>
      <c r="I4086" s="237"/>
      <c r="J4086" s="237"/>
      <c r="K4086" s="237"/>
      <c r="L4086" s="237"/>
      <c r="M4086" s="237"/>
      <c r="N4086" s="237"/>
      <c r="O4086" s="237"/>
    </row>
    <row r="4087" spans="1:15">
      <c r="A4087" s="56" t="s">
        <v>1</v>
      </c>
      <c r="B4087" s="238"/>
      <c r="C4087" s="8" t="s">
        <v>42</v>
      </c>
      <c r="D4087" s="239" t="s">
        <v>43</v>
      </c>
      <c r="E4087" s="239" t="s">
        <v>44</v>
      </c>
      <c r="F4087" s="239" t="s">
        <v>45</v>
      </c>
      <c r="G4087" s="239" t="s">
        <v>46</v>
      </c>
      <c r="H4087" s="239" t="s">
        <v>47</v>
      </c>
      <c r="I4087" s="239" t="s">
        <v>48</v>
      </c>
      <c r="J4087" s="239" t="s">
        <v>49</v>
      </c>
      <c r="K4087" s="239" t="s">
        <v>50</v>
      </c>
      <c r="L4087" s="239" t="s">
        <v>51</v>
      </c>
      <c r="M4087" s="239" t="s">
        <v>52</v>
      </c>
      <c r="N4087" s="239" t="s">
        <v>53</v>
      </c>
      <c r="O4087" s="251" t="s">
        <v>54</v>
      </c>
    </row>
    <row r="4088" spans="1:15">
      <c r="A4088" s="240" t="s">
        <v>22</v>
      </c>
      <c r="B4088" s="47" t="s">
        <v>55</v>
      </c>
      <c r="C4088" s="12">
        <v>0.386197116520917</v>
      </c>
      <c r="D4088" s="241">
        <v>0.460043196544276</v>
      </c>
      <c r="E4088" s="241">
        <v>0.389513108614232</v>
      </c>
      <c r="F4088" s="241">
        <v>0.333333333333333</v>
      </c>
      <c r="G4088" s="241">
        <v>0.380392156862745</v>
      </c>
      <c r="H4088" s="241">
        <v>0.408045977011494</v>
      </c>
      <c r="I4088" s="241">
        <v>0.421364985163205</v>
      </c>
      <c r="J4088" s="241">
        <v>0.339195979899498</v>
      </c>
      <c r="K4088" s="241">
        <v>0.383458646616541</v>
      </c>
      <c r="L4088" s="241">
        <v>0.380722891566265</v>
      </c>
      <c r="M4088" s="241">
        <v>0.368279569892473</v>
      </c>
      <c r="N4088" s="241">
        <v>0.391414141414141</v>
      </c>
      <c r="O4088" s="252">
        <v>0.34375</v>
      </c>
    </row>
    <row r="4089" spans="1:15">
      <c r="A4089" s="242" t="s">
        <v>22</v>
      </c>
      <c r="B4089" s="43" t="s">
        <v>57</v>
      </c>
      <c r="C4089" s="15">
        <v>4231</v>
      </c>
      <c r="D4089" s="243">
        <v>463</v>
      </c>
      <c r="E4089" s="243">
        <v>267</v>
      </c>
      <c r="F4089" s="243">
        <v>165</v>
      </c>
      <c r="G4089" s="243">
        <v>255</v>
      </c>
      <c r="H4089" s="243">
        <v>348</v>
      </c>
      <c r="I4089" s="243">
        <v>337</v>
      </c>
      <c r="J4089" s="243">
        <v>398</v>
      </c>
      <c r="K4089" s="243">
        <v>399</v>
      </c>
      <c r="L4089" s="243">
        <v>415</v>
      </c>
      <c r="M4089" s="243">
        <v>372</v>
      </c>
      <c r="N4089" s="243">
        <v>396</v>
      </c>
      <c r="O4089" s="253">
        <v>416</v>
      </c>
    </row>
    <row r="4090" spans="1:15">
      <c r="A4090" s="240" t="s">
        <v>22</v>
      </c>
      <c r="B4090" s="47" t="s">
        <v>59</v>
      </c>
      <c r="C4090" s="15">
        <v>1634</v>
      </c>
      <c r="D4090" s="243">
        <v>213</v>
      </c>
      <c r="E4090" s="243">
        <v>104</v>
      </c>
      <c r="F4090" s="243">
        <v>55</v>
      </c>
      <c r="G4090" s="243">
        <v>97</v>
      </c>
      <c r="H4090" s="243">
        <v>142</v>
      </c>
      <c r="I4090" s="243">
        <v>142</v>
      </c>
      <c r="J4090" s="243">
        <v>135</v>
      </c>
      <c r="K4090" s="243">
        <v>153</v>
      </c>
      <c r="L4090" s="243">
        <v>158</v>
      </c>
      <c r="M4090" s="243">
        <v>137</v>
      </c>
      <c r="N4090" s="243">
        <v>155</v>
      </c>
      <c r="O4090" s="253">
        <v>143</v>
      </c>
    </row>
    <row r="4091" spans="1:15">
      <c r="A4091" s="242" t="s">
        <v>22</v>
      </c>
      <c r="B4091" s="43" t="s">
        <v>4</v>
      </c>
      <c r="C4091" s="15">
        <v>79</v>
      </c>
      <c r="D4091" s="244">
        <v>12</v>
      </c>
      <c r="E4091" s="244">
        <v>10</v>
      </c>
      <c r="F4091" s="244">
        <v>0</v>
      </c>
      <c r="G4091" s="244">
        <v>6</v>
      </c>
      <c r="H4091" s="244">
        <v>3</v>
      </c>
      <c r="I4091" s="244">
        <v>4</v>
      </c>
      <c r="J4091" s="244">
        <v>11</v>
      </c>
      <c r="K4091" s="244">
        <v>6</v>
      </c>
      <c r="L4091" s="244">
        <v>7</v>
      </c>
      <c r="M4091" s="244">
        <v>6</v>
      </c>
      <c r="N4091" s="244">
        <v>6</v>
      </c>
      <c r="O4091" s="254">
        <v>8</v>
      </c>
    </row>
    <row r="4092" spans="1:15">
      <c r="A4092" s="240" t="s">
        <v>22</v>
      </c>
      <c r="B4092" s="47" t="s">
        <v>5</v>
      </c>
      <c r="C4092" s="12">
        <v>0.0483476132190942</v>
      </c>
      <c r="D4092" s="241">
        <v>0.0563380281690141</v>
      </c>
      <c r="E4092" s="241">
        <v>0.0961538461538462</v>
      </c>
      <c r="F4092" s="241">
        <v>0</v>
      </c>
      <c r="G4092" s="241">
        <v>0.0618556701030928</v>
      </c>
      <c r="H4092" s="241">
        <v>0.0211267605633803</v>
      </c>
      <c r="I4092" s="241">
        <v>0.028169014084507</v>
      </c>
      <c r="J4092" s="241">
        <v>0.0814814814814815</v>
      </c>
      <c r="K4092" s="241">
        <v>0.0392156862745098</v>
      </c>
      <c r="L4092" s="241">
        <v>0.0443037974683544</v>
      </c>
      <c r="M4092" s="241">
        <v>0.0437956204379562</v>
      </c>
      <c r="N4092" s="241">
        <v>0.0387096774193548</v>
      </c>
      <c r="O4092" s="252">
        <v>0.0559440559440559</v>
      </c>
    </row>
    <row r="4093" spans="1:15">
      <c r="A4093" s="242" t="s">
        <v>22</v>
      </c>
      <c r="B4093" s="43" t="s">
        <v>6</v>
      </c>
      <c r="C4093" s="15">
        <v>31</v>
      </c>
      <c r="D4093" s="244">
        <v>3</v>
      </c>
      <c r="E4093" s="244">
        <v>2</v>
      </c>
      <c r="F4093" s="244">
        <v>1</v>
      </c>
      <c r="G4093" s="244">
        <v>3</v>
      </c>
      <c r="H4093" s="244">
        <v>2</v>
      </c>
      <c r="I4093" s="244">
        <v>0</v>
      </c>
      <c r="J4093" s="244">
        <v>5</v>
      </c>
      <c r="K4093" s="244">
        <v>3</v>
      </c>
      <c r="L4093" s="244">
        <v>5</v>
      </c>
      <c r="M4093" s="244">
        <v>0</v>
      </c>
      <c r="N4093" s="244">
        <v>4</v>
      </c>
      <c r="O4093" s="254">
        <v>3</v>
      </c>
    </row>
    <row r="4094" ht="14.25" spans="1:15">
      <c r="A4094" s="245" t="s">
        <v>22</v>
      </c>
      <c r="B4094" s="52" t="s">
        <v>64</v>
      </c>
      <c r="C4094" s="19">
        <v>0.392405063291139</v>
      </c>
      <c r="D4094" s="246">
        <v>0.25</v>
      </c>
      <c r="E4094" s="246">
        <v>0.2</v>
      </c>
      <c r="F4094" s="246">
        <v>0</v>
      </c>
      <c r="G4094" s="246">
        <v>0.5</v>
      </c>
      <c r="H4094" s="246">
        <v>0.666666666666667</v>
      </c>
      <c r="I4094" s="246">
        <v>0</v>
      </c>
      <c r="J4094" s="246">
        <v>0.454545454545455</v>
      </c>
      <c r="K4094" s="246">
        <v>0.5</v>
      </c>
      <c r="L4094" s="246">
        <v>0.714285714285714</v>
      </c>
      <c r="M4094" s="246">
        <v>0</v>
      </c>
      <c r="N4094" s="246">
        <v>0.666666666666667</v>
      </c>
      <c r="O4094" s="255">
        <v>0.375</v>
      </c>
    </row>
    <row r="4095" spans="1:15">
      <c r="A4095" s="247" t="s">
        <v>66</v>
      </c>
      <c r="B4095" s="248" t="s">
        <v>55</v>
      </c>
      <c r="C4095" s="12">
        <v>0.0771889400921659</v>
      </c>
      <c r="D4095" s="249">
        <v>0.0922330097087379</v>
      </c>
      <c r="E4095" s="249">
        <v>0.0234741784037559</v>
      </c>
      <c r="F4095" s="249">
        <v>0.0118343195266272</v>
      </c>
      <c r="G4095" s="249">
        <v>0.054421768707483</v>
      </c>
      <c r="H4095" s="249">
        <v>0.117283950617284</v>
      </c>
      <c r="I4095" s="249">
        <v>0.048951048951049</v>
      </c>
      <c r="J4095" s="249">
        <v>0.0606060606060606</v>
      </c>
      <c r="K4095" s="249">
        <v>0.168141592920354</v>
      </c>
      <c r="L4095" s="249">
        <v>0.0761904761904762</v>
      </c>
      <c r="M4095" s="249">
        <v>0.0952380952380952</v>
      </c>
      <c r="N4095" s="249">
        <v>0.129310344827586</v>
      </c>
      <c r="O4095" s="256">
        <v>0.112</v>
      </c>
    </row>
    <row r="4096" spans="1:15">
      <c r="A4096" s="242" t="s">
        <v>66</v>
      </c>
      <c r="B4096" s="43" t="s">
        <v>57</v>
      </c>
      <c r="C4096" s="15">
        <v>1736</v>
      </c>
      <c r="D4096" s="243">
        <v>206</v>
      </c>
      <c r="E4096" s="243">
        <v>213</v>
      </c>
      <c r="F4096" s="243">
        <v>169</v>
      </c>
      <c r="G4096" s="243">
        <v>147</v>
      </c>
      <c r="H4096" s="243">
        <v>162</v>
      </c>
      <c r="I4096" s="243">
        <v>143</v>
      </c>
      <c r="J4096" s="243">
        <v>132</v>
      </c>
      <c r="K4096" s="243">
        <v>113</v>
      </c>
      <c r="L4096" s="243">
        <v>105</v>
      </c>
      <c r="M4096" s="243">
        <v>105</v>
      </c>
      <c r="N4096" s="243">
        <v>116</v>
      </c>
      <c r="O4096" s="253">
        <v>125</v>
      </c>
    </row>
    <row r="4097" spans="1:15">
      <c r="A4097" s="240" t="s">
        <v>66</v>
      </c>
      <c r="B4097" s="47" t="s">
        <v>59</v>
      </c>
      <c r="C4097" s="15">
        <v>134</v>
      </c>
      <c r="D4097" s="243">
        <v>19</v>
      </c>
      <c r="E4097" s="243">
        <v>5</v>
      </c>
      <c r="F4097" s="243">
        <v>2</v>
      </c>
      <c r="G4097" s="243">
        <v>8</v>
      </c>
      <c r="H4097" s="243">
        <v>19</v>
      </c>
      <c r="I4097" s="243">
        <v>7</v>
      </c>
      <c r="J4097" s="243">
        <v>8</v>
      </c>
      <c r="K4097" s="243">
        <v>19</v>
      </c>
      <c r="L4097" s="243">
        <v>8</v>
      </c>
      <c r="M4097" s="243">
        <v>10</v>
      </c>
      <c r="N4097" s="243">
        <v>15</v>
      </c>
      <c r="O4097" s="253">
        <v>14</v>
      </c>
    </row>
    <row r="4098" spans="1:15">
      <c r="A4098" s="242" t="s">
        <v>66</v>
      </c>
      <c r="B4098" s="43" t="s">
        <v>4</v>
      </c>
      <c r="C4098" s="15">
        <v>8</v>
      </c>
      <c r="D4098" s="244">
        <v>1</v>
      </c>
      <c r="E4098" s="244">
        <v>0</v>
      </c>
      <c r="F4098" s="244">
        <v>0</v>
      </c>
      <c r="G4098" s="244">
        <v>0</v>
      </c>
      <c r="H4098" s="244">
        <v>5</v>
      </c>
      <c r="I4098" s="244">
        <v>0</v>
      </c>
      <c r="J4098" s="244">
        <v>0</v>
      </c>
      <c r="K4098" s="244">
        <v>1</v>
      </c>
      <c r="L4098" s="244">
        <v>0</v>
      </c>
      <c r="M4098" s="244">
        <v>0</v>
      </c>
      <c r="N4098" s="244">
        <v>1</v>
      </c>
      <c r="O4098" s="254">
        <v>0</v>
      </c>
    </row>
    <row r="4099" spans="1:15">
      <c r="A4099" s="240" t="s">
        <v>66</v>
      </c>
      <c r="B4099" s="47" t="s">
        <v>5</v>
      </c>
      <c r="C4099" s="12">
        <v>0.0597014925373134</v>
      </c>
      <c r="D4099" s="241">
        <v>0.0526315789473684</v>
      </c>
      <c r="E4099" s="241">
        <v>0</v>
      </c>
      <c r="F4099" s="241">
        <v>0</v>
      </c>
      <c r="G4099" s="241">
        <v>0</v>
      </c>
      <c r="H4099" s="241">
        <v>0.263157894736842</v>
      </c>
      <c r="I4099" s="241">
        <v>0</v>
      </c>
      <c r="J4099" s="241">
        <v>0</v>
      </c>
      <c r="K4099" s="241">
        <v>0.0526315789473684</v>
      </c>
      <c r="L4099" s="241">
        <v>0</v>
      </c>
      <c r="M4099" s="241">
        <v>0</v>
      </c>
      <c r="N4099" s="241">
        <v>0.0666666666666667</v>
      </c>
      <c r="O4099" s="252">
        <v>0</v>
      </c>
    </row>
    <row r="4100" spans="1:15">
      <c r="A4100" s="242" t="s">
        <v>66</v>
      </c>
      <c r="B4100" s="43" t="s">
        <v>6</v>
      </c>
      <c r="C4100" s="15">
        <v>2</v>
      </c>
      <c r="D4100" s="244">
        <v>0</v>
      </c>
      <c r="E4100" s="244">
        <v>0</v>
      </c>
      <c r="F4100" s="244">
        <v>0</v>
      </c>
      <c r="G4100" s="244">
        <v>0</v>
      </c>
      <c r="H4100" s="244">
        <v>1</v>
      </c>
      <c r="I4100" s="244">
        <v>0</v>
      </c>
      <c r="J4100" s="244">
        <v>0</v>
      </c>
      <c r="K4100" s="244">
        <v>0</v>
      </c>
      <c r="L4100" s="244">
        <v>0</v>
      </c>
      <c r="M4100" s="244">
        <v>0</v>
      </c>
      <c r="N4100" s="244">
        <v>1</v>
      </c>
      <c r="O4100" s="254">
        <v>0</v>
      </c>
    </row>
    <row r="4101" ht="14.25" spans="1:15">
      <c r="A4101" s="245" t="s">
        <v>66</v>
      </c>
      <c r="B4101" s="52" t="s">
        <v>64</v>
      </c>
      <c r="C4101" s="19">
        <v>0.25</v>
      </c>
      <c r="D4101" s="246">
        <v>0</v>
      </c>
      <c r="E4101" s="246">
        <v>0</v>
      </c>
      <c r="F4101" s="246">
        <v>0</v>
      </c>
      <c r="G4101" s="246">
        <v>0</v>
      </c>
      <c r="H4101" s="246">
        <v>0.2</v>
      </c>
      <c r="I4101" s="246">
        <v>0</v>
      </c>
      <c r="J4101" s="246">
        <v>0</v>
      </c>
      <c r="K4101" s="246">
        <v>0</v>
      </c>
      <c r="L4101" s="246">
        <v>0</v>
      </c>
      <c r="M4101" s="246">
        <v>0</v>
      </c>
      <c r="N4101" s="246">
        <v>1</v>
      </c>
      <c r="O4101" s="255">
        <v>0</v>
      </c>
    </row>
    <row r="4102" spans="1:15">
      <c r="A4102" s="240" t="s">
        <v>67</v>
      </c>
      <c r="B4102" s="47" t="s">
        <v>55</v>
      </c>
      <c r="C4102" s="12">
        <v>0.532258064516129</v>
      </c>
      <c r="D4102" s="241">
        <v>0.612903225806452</v>
      </c>
      <c r="E4102" s="241">
        <v>0.580645161290323</v>
      </c>
      <c r="F4102" s="241">
        <v>0.571428571428571</v>
      </c>
      <c r="G4102" s="241">
        <v>0.684210526315789</v>
      </c>
      <c r="H4102" s="241">
        <v>0.825</v>
      </c>
      <c r="I4102" s="241">
        <v>0.826086956521739</v>
      </c>
      <c r="J4102" s="241">
        <v>0.313432835820896</v>
      </c>
      <c r="K4102" s="241">
        <v>0.323943661971831</v>
      </c>
      <c r="L4102" s="241">
        <v>0.355555555555556</v>
      </c>
      <c r="M4102" s="241">
        <v>0.482142857142857</v>
      </c>
      <c r="N4102" s="241">
        <v>0.365384615384615</v>
      </c>
      <c r="O4102" s="252">
        <v>0.853658536585366</v>
      </c>
    </row>
    <row r="4103" spans="1:15">
      <c r="A4103" s="242" t="s">
        <v>67</v>
      </c>
      <c r="B4103" s="43" t="s">
        <v>57</v>
      </c>
      <c r="C4103" s="15">
        <v>558</v>
      </c>
      <c r="D4103" s="243">
        <v>62</v>
      </c>
      <c r="E4103" s="243">
        <v>31</v>
      </c>
      <c r="F4103" s="243">
        <v>28</v>
      </c>
      <c r="G4103" s="243">
        <v>19</v>
      </c>
      <c r="H4103" s="243">
        <v>40</v>
      </c>
      <c r="I4103" s="243">
        <v>46</v>
      </c>
      <c r="J4103" s="243">
        <v>67</v>
      </c>
      <c r="K4103" s="243">
        <v>71</v>
      </c>
      <c r="L4103" s="243">
        <v>45</v>
      </c>
      <c r="M4103" s="243">
        <v>56</v>
      </c>
      <c r="N4103" s="243">
        <v>52</v>
      </c>
      <c r="O4103" s="253">
        <v>41</v>
      </c>
    </row>
    <row r="4104" spans="1:15">
      <c r="A4104" s="240" t="s">
        <v>67</v>
      </c>
      <c r="B4104" s="47" t="s">
        <v>59</v>
      </c>
      <c r="C4104" s="15">
        <v>297</v>
      </c>
      <c r="D4104" s="243">
        <v>38</v>
      </c>
      <c r="E4104" s="243">
        <v>18</v>
      </c>
      <c r="F4104" s="243">
        <v>16</v>
      </c>
      <c r="G4104" s="243">
        <v>13</v>
      </c>
      <c r="H4104" s="243">
        <v>33</v>
      </c>
      <c r="I4104" s="243">
        <v>38</v>
      </c>
      <c r="J4104" s="243">
        <v>21</v>
      </c>
      <c r="K4104" s="243">
        <v>23</v>
      </c>
      <c r="L4104" s="243">
        <v>16</v>
      </c>
      <c r="M4104" s="243">
        <v>27</v>
      </c>
      <c r="N4104" s="243">
        <v>19</v>
      </c>
      <c r="O4104" s="253">
        <v>35</v>
      </c>
    </row>
    <row r="4105" spans="1:15">
      <c r="A4105" s="242" t="s">
        <v>67</v>
      </c>
      <c r="B4105" s="43" t="s">
        <v>4</v>
      </c>
      <c r="C4105" s="15">
        <v>10</v>
      </c>
      <c r="D4105" s="244">
        <v>1</v>
      </c>
      <c r="E4105" s="244">
        <v>2</v>
      </c>
      <c r="F4105" s="244">
        <v>1</v>
      </c>
      <c r="G4105" s="244">
        <v>0</v>
      </c>
      <c r="H4105" s="244">
        <v>1</v>
      </c>
      <c r="I4105" s="244">
        <v>0</v>
      </c>
      <c r="J4105" s="244">
        <v>0</v>
      </c>
      <c r="K4105" s="244">
        <v>2</v>
      </c>
      <c r="L4105" s="244">
        <v>1</v>
      </c>
      <c r="M4105" s="244">
        <v>1</v>
      </c>
      <c r="N4105" s="244">
        <v>0</v>
      </c>
      <c r="O4105" s="254">
        <v>1</v>
      </c>
    </row>
    <row r="4106" spans="1:15">
      <c r="A4106" s="240" t="s">
        <v>67</v>
      </c>
      <c r="B4106" s="47" t="s">
        <v>5</v>
      </c>
      <c r="C4106" s="12">
        <v>0.0336700336700337</v>
      </c>
      <c r="D4106" s="241">
        <v>0.0263157894736842</v>
      </c>
      <c r="E4106" s="241">
        <v>0.111111111111111</v>
      </c>
      <c r="F4106" s="241">
        <v>0.0625</v>
      </c>
      <c r="G4106" s="241">
        <v>0</v>
      </c>
      <c r="H4106" s="241">
        <v>0.0303030303030303</v>
      </c>
      <c r="I4106" s="241">
        <v>0</v>
      </c>
      <c r="J4106" s="241">
        <v>0</v>
      </c>
      <c r="K4106" s="241">
        <v>0.0869565217391304</v>
      </c>
      <c r="L4106" s="241">
        <v>0.0625</v>
      </c>
      <c r="M4106" s="241">
        <v>0.037037037037037</v>
      </c>
      <c r="N4106" s="241">
        <v>0</v>
      </c>
      <c r="O4106" s="252">
        <v>0.0285714285714286</v>
      </c>
    </row>
    <row r="4107" spans="1:15">
      <c r="A4107" s="242" t="s">
        <v>67</v>
      </c>
      <c r="B4107" s="43" t="s">
        <v>6</v>
      </c>
      <c r="C4107" s="15">
        <v>3</v>
      </c>
      <c r="D4107" s="244">
        <v>1</v>
      </c>
      <c r="E4107" s="244">
        <v>0</v>
      </c>
      <c r="F4107" s="244">
        <v>0</v>
      </c>
      <c r="G4107" s="244">
        <v>0</v>
      </c>
      <c r="H4107" s="244">
        <v>1</v>
      </c>
      <c r="I4107" s="244">
        <v>0</v>
      </c>
      <c r="J4107" s="244">
        <v>0</v>
      </c>
      <c r="K4107" s="244">
        <v>0</v>
      </c>
      <c r="L4107" s="244">
        <v>1</v>
      </c>
      <c r="M4107" s="244">
        <v>0</v>
      </c>
      <c r="N4107" s="244">
        <v>0</v>
      </c>
      <c r="O4107" s="254">
        <v>0</v>
      </c>
    </row>
    <row r="4108" ht="14.25" spans="1:15">
      <c r="A4108" s="245" t="s">
        <v>67</v>
      </c>
      <c r="B4108" s="52" t="s">
        <v>64</v>
      </c>
      <c r="C4108" s="19">
        <v>0.3</v>
      </c>
      <c r="D4108" s="246">
        <v>1</v>
      </c>
      <c r="E4108" s="246">
        <v>0</v>
      </c>
      <c r="F4108" s="246">
        <v>0</v>
      </c>
      <c r="G4108" s="246">
        <v>0</v>
      </c>
      <c r="H4108" s="246">
        <v>1</v>
      </c>
      <c r="I4108" s="246">
        <v>0</v>
      </c>
      <c r="J4108" s="246">
        <v>0</v>
      </c>
      <c r="K4108" s="246">
        <v>0</v>
      </c>
      <c r="L4108" s="246">
        <v>1</v>
      </c>
      <c r="M4108" s="246">
        <v>0</v>
      </c>
      <c r="N4108" s="246">
        <v>0</v>
      </c>
      <c r="O4108" s="255">
        <v>0</v>
      </c>
    </row>
    <row r="4109" spans="1:15">
      <c r="A4109" s="240" t="s">
        <v>68</v>
      </c>
      <c r="B4109" s="47" t="s">
        <v>55</v>
      </c>
      <c r="C4109" s="12">
        <v>0.185265438786566</v>
      </c>
      <c r="D4109" s="241">
        <v>0.222527472527473</v>
      </c>
      <c r="E4109" s="241">
        <v>0.115384615384615</v>
      </c>
      <c r="F4109" s="241">
        <v>0.222222222222222</v>
      </c>
      <c r="G4109" s="241">
        <v>0.205</v>
      </c>
      <c r="H4109" s="241">
        <v>0.184931506849315</v>
      </c>
      <c r="I4109" s="241">
        <v>0.152046783625731</v>
      </c>
      <c r="J4109" s="241">
        <v>0.184</v>
      </c>
      <c r="K4109" s="241">
        <v>0.191176470588235</v>
      </c>
      <c r="L4109" s="241">
        <v>0.168384879725086</v>
      </c>
      <c r="M4109" s="241">
        <v>0.219230769230769</v>
      </c>
      <c r="N4109" s="241">
        <v>0.221902017291066</v>
      </c>
      <c r="O4109" s="252">
        <v>0.163316582914573</v>
      </c>
    </row>
    <row r="4110" spans="1:15">
      <c r="A4110" s="242" t="s">
        <v>68</v>
      </c>
      <c r="B4110" s="43" t="s">
        <v>57</v>
      </c>
      <c r="C4110" s="15">
        <v>3692</v>
      </c>
      <c r="D4110" s="243">
        <v>364</v>
      </c>
      <c r="E4110" s="243">
        <v>312</v>
      </c>
      <c r="F4110" s="243">
        <v>171</v>
      </c>
      <c r="G4110" s="243">
        <v>200</v>
      </c>
      <c r="H4110" s="243">
        <v>292</v>
      </c>
      <c r="I4110" s="243">
        <v>342</v>
      </c>
      <c r="J4110" s="243">
        <v>375</v>
      </c>
      <c r="K4110" s="243">
        <v>340</v>
      </c>
      <c r="L4110" s="243">
        <v>291</v>
      </c>
      <c r="M4110" s="243">
        <v>260</v>
      </c>
      <c r="N4110" s="243">
        <v>347</v>
      </c>
      <c r="O4110" s="253">
        <v>398</v>
      </c>
    </row>
    <row r="4111" spans="1:15">
      <c r="A4111" s="240" t="s">
        <v>68</v>
      </c>
      <c r="B4111" s="47" t="s">
        <v>59</v>
      </c>
      <c r="C4111" s="15">
        <v>684</v>
      </c>
      <c r="D4111" s="243">
        <v>81</v>
      </c>
      <c r="E4111" s="243">
        <v>36</v>
      </c>
      <c r="F4111" s="243">
        <v>38</v>
      </c>
      <c r="G4111" s="243">
        <v>41</v>
      </c>
      <c r="H4111" s="243">
        <v>54</v>
      </c>
      <c r="I4111" s="243">
        <v>52</v>
      </c>
      <c r="J4111" s="243">
        <v>69</v>
      </c>
      <c r="K4111" s="243">
        <v>65</v>
      </c>
      <c r="L4111" s="243">
        <v>49</v>
      </c>
      <c r="M4111" s="243">
        <v>57</v>
      </c>
      <c r="N4111" s="243">
        <v>77</v>
      </c>
      <c r="O4111" s="253">
        <v>65</v>
      </c>
    </row>
    <row r="4112" spans="1:15">
      <c r="A4112" s="242" t="s">
        <v>68</v>
      </c>
      <c r="B4112" s="43" t="s">
        <v>4</v>
      </c>
      <c r="C4112" s="15">
        <v>26</v>
      </c>
      <c r="D4112" s="244">
        <v>5</v>
      </c>
      <c r="E4112" s="244">
        <v>3</v>
      </c>
      <c r="F4112" s="244">
        <v>0</v>
      </c>
      <c r="G4112" s="244">
        <v>0</v>
      </c>
      <c r="H4112" s="244">
        <v>4</v>
      </c>
      <c r="I4112" s="244">
        <v>4</v>
      </c>
      <c r="J4112" s="244">
        <v>2</v>
      </c>
      <c r="K4112" s="244">
        <v>1</v>
      </c>
      <c r="L4112" s="244">
        <v>1</v>
      </c>
      <c r="M4112" s="244">
        <v>0</v>
      </c>
      <c r="N4112" s="244">
        <v>1</v>
      </c>
      <c r="O4112" s="254">
        <v>5</v>
      </c>
    </row>
    <row r="4113" spans="1:15">
      <c r="A4113" s="240" t="s">
        <v>68</v>
      </c>
      <c r="B4113" s="47" t="s">
        <v>5</v>
      </c>
      <c r="C4113" s="12">
        <v>0.0380116959064327</v>
      </c>
      <c r="D4113" s="241">
        <v>0.0617283950617284</v>
      </c>
      <c r="E4113" s="241">
        <v>0.0833333333333333</v>
      </c>
      <c r="F4113" s="241">
        <v>0</v>
      </c>
      <c r="G4113" s="241">
        <v>0</v>
      </c>
      <c r="H4113" s="241">
        <v>0.0740740740740741</v>
      </c>
      <c r="I4113" s="241">
        <v>0.0769230769230769</v>
      </c>
      <c r="J4113" s="241">
        <v>0.0289855072463768</v>
      </c>
      <c r="K4113" s="241">
        <v>0.0153846153846154</v>
      </c>
      <c r="L4113" s="241">
        <v>0.0204081632653061</v>
      </c>
      <c r="M4113" s="241">
        <v>0</v>
      </c>
      <c r="N4113" s="241">
        <v>0.012987012987013</v>
      </c>
      <c r="O4113" s="252">
        <v>0.0769230769230769</v>
      </c>
    </row>
    <row r="4114" spans="1:15">
      <c r="A4114" s="242" t="s">
        <v>68</v>
      </c>
      <c r="B4114" s="43" t="s">
        <v>6</v>
      </c>
      <c r="C4114" s="15">
        <v>13</v>
      </c>
      <c r="D4114" s="244">
        <v>2</v>
      </c>
      <c r="E4114" s="244">
        <v>2</v>
      </c>
      <c r="F4114" s="244">
        <v>1</v>
      </c>
      <c r="G4114" s="244">
        <v>0</v>
      </c>
      <c r="H4114" s="244">
        <v>4</v>
      </c>
      <c r="I4114" s="244">
        <v>0</v>
      </c>
      <c r="J4114" s="244">
        <v>0</v>
      </c>
      <c r="K4114" s="244">
        <v>2</v>
      </c>
      <c r="L4114" s="244">
        <v>1</v>
      </c>
      <c r="M4114" s="244">
        <v>0</v>
      </c>
      <c r="N4114" s="244">
        <v>0</v>
      </c>
      <c r="O4114" s="254">
        <v>1</v>
      </c>
    </row>
    <row r="4115" ht="14.25" spans="1:15">
      <c r="A4115" s="245" t="s">
        <v>68</v>
      </c>
      <c r="B4115" s="52" t="s">
        <v>64</v>
      </c>
      <c r="C4115" s="19">
        <v>0.5</v>
      </c>
      <c r="D4115" s="246">
        <v>0.4</v>
      </c>
      <c r="E4115" s="246">
        <v>0.666666666666667</v>
      </c>
      <c r="F4115" s="246">
        <v>0</v>
      </c>
      <c r="G4115" s="246">
        <v>0</v>
      </c>
      <c r="H4115" s="246">
        <v>1</v>
      </c>
      <c r="I4115" s="246">
        <v>0</v>
      </c>
      <c r="J4115" s="246">
        <v>0</v>
      </c>
      <c r="K4115" s="246">
        <v>2</v>
      </c>
      <c r="L4115" s="246">
        <v>1</v>
      </c>
      <c r="M4115" s="246">
        <v>0</v>
      </c>
      <c r="N4115" s="246">
        <v>0</v>
      </c>
      <c r="O4115" s="255">
        <v>0.2</v>
      </c>
    </row>
    <row r="4116" spans="1:15">
      <c r="A4116" s="240" t="s">
        <v>69</v>
      </c>
      <c r="B4116" s="47" t="s">
        <v>55</v>
      </c>
      <c r="C4116" s="12">
        <v>1.80082987551867</v>
      </c>
      <c r="D4116" s="241">
        <v>2.07692307692308</v>
      </c>
      <c r="E4116" s="241">
        <v>1.2</v>
      </c>
      <c r="F4116" s="241">
        <v>3.33333333333333</v>
      </c>
      <c r="G4116" s="241">
        <v>3.16666666666667</v>
      </c>
      <c r="H4116" s="241">
        <v>2.41176470588235</v>
      </c>
      <c r="I4116" s="241">
        <v>1.9</v>
      </c>
      <c r="J4116" s="241">
        <v>1.66666666666667</v>
      </c>
      <c r="K4116" s="241">
        <v>1.8</v>
      </c>
      <c r="L4116" s="241">
        <v>1.72727272727273</v>
      </c>
      <c r="M4116" s="241">
        <v>1.92857142857143</v>
      </c>
      <c r="N4116" s="241">
        <v>1.51219512195122</v>
      </c>
      <c r="O4116" s="252">
        <v>1.54545454545455</v>
      </c>
    </row>
    <row r="4117" spans="1:15">
      <c r="A4117" s="242" t="s">
        <v>69</v>
      </c>
      <c r="B4117" s="43" t="s">
        <v>57</v>
      </c>
      <c r="C4117" s="15">
        <v>241</v>
      </c>
      <c r="D4117" s="243">
        <v>26</v>
      </c>
      <c r="E4117" s="243">
        <v>15</v>
      </c>
      <c r="F4117" s="243">
        <v>3</v>
      </c>
      <c r="G4117" s="243">
        <v>6</v>
      </c>
      <c r="H4117" s="243">
        <v>17</v>
      </c>
      <c r="I4117" s="243">
        <v>20</v>
      </c>
      <c r="J4117" s="243">
        <v>24</v>
      </c>
      <c r="K4117" s="243">
        <v>20</v>
      </c>
      <c r="L4117" s="243">
        <v>22</v>
      </c>
      <c r="M4117" s="243">
        <v>14</v>
      </c>
      <c r="N4117" s="243">
        <v>41</v>
      </c>
      <c r="O4117" s="253">
        <v>33</v>
      </c>
    </row>
    <row r="4118" spans="1:15">
      <c r="A4118" s="240" t="s">
        <v>69</v>
      </c>
      <c r="B4118" s="47" t="s">
        <v>59</v>
      </c>
      <c r="C4118" s="15">
        <v>434</v>
      </c>
      <c r="D4118" s="243">
        <v>54</v>
      </c>
      <c r="E4118" s="243">
        <v>18</v>
      </c>
      <c r="F4118" s="243">
        <v>10</v>
      </c>
      <c r="G4118" s="243">
        <v>19</v>
      </c>
      <c r="H4118" s="243">
        <v>41</v>
      </c>
      <c r="I4118" s="243">
        <v>38</v>
      </c>
      <c r="J4118" s="243">
        <v>40</v>
      </c>
      <c r="K4118" s="243">
        <v>36</v>
      </c>
      <c r="L4118" s="243">
        <v>38</v>
      </c>
      <c r="M4118" s="243">
        <v>27</v>
      </c>
      <c r="N4118" s="243">
        <v>62</v>
      </c>
      <c r="O4118" s="253">
        <v>51</v>
      </c>
    </row>
    <row r="4119" spans="1:15">
      <c r="A4119" s="242" t="s">
        <v>69</v>
      </c>
      <c r="B4119" s="43" t="s">
        <v>4</v>
      </c>
      <c r="C4119" s="15">
        <v>16</v>
      </c>
      <c r="D4119" s="244">
        <v>0</v>
      </c>
      <c r="E4119" s="244">
        <v>0</v>
      </c>
      <c r="F4119" s="244">
        <v>0</v>
      </c>
      <c r="G4119" s="244">
        <v>0</v>
      </c>
      <c r="H4119" s="244">
        <v>0</v>
      </c>
      <c r="I4119" s="244">
        <v>1</v>
      </c>
      <c r="J4119" s="244">
        <v>2</v>
      </c>
      <c r="K4119" s="244">
        <v>2</v>
      </c>
      <c r="L4119" s="244">
        <v>3</v>
      </c>
      <c r="M4119" s="244">
        <v>2</v>
      </c>
      <c r="N4119" s="244">
        <v>1</v>
      </c>
      <c r="O4119" s="254">
        <v>5</v>
      </c>
    </row>
    <row r="4120" spans="1:15">
      <c r="A4120" s="240" t="s">
        <v>69</v>
      </c>
      <c r="B4120" s="47" t="s">
        <v>5</v>
      </c>
      <c r="C4120" s="12">
        <v>0.0368663594470046</v>
      </c>
      <c r="D4120" s="241">
        <v>0</v>
      </c>
      <c r="E4120" s="241">
        <v>0</v>
      </c>
      <c r="F4120" s="241">
        <v>0</v>
      </c>
      <c r="G4120" s="241">
        <v>0</v>
      </c>
      <c r="H4120" s="241">
        <v>0</v>
      </c>
      <c r="I4120" s="241">
        <v>0.0263157894736842</v>
      </c>
      <c r="J4120" s="241">
        <v>0.05</v>
      </c>
      <c r="K4120" s="241">
        <v>0.0555555555555556</v>
      </c>
      <c r="L4120" s="241">
        <v>0.0789473684210526</v>
      </c>
      <c r="M4120" s="241">
        <v>0.0740740740740741</v>
      </c>
      <c r="N4120" s="241">
        <v>0.0161290322580645</v>
      </c>
      <c r="O4120" s="252">
        <v>0.0980392156862745</v>
      </c>
    </row>
    <row r="4121" spans="1:15">
      <c r="A4121" s="242" t="s">
        <v>69</v>
      </c>
      <c r="B4121" s="43" t="s">
        <v>6</v>
      </c>
      <c r="C4121" s="15">
        <v>8</v>
      </c>
      <c r="D4121" s="244">
        <v>2</v>
      </c>
      <c r="E4121" s="244">
        <v>0</v>
      </c>
      <c r="F4121" s="244">
        <v>0</v>
      </c>
      <c r="G4121" s="244">
        <v>0</v>
      </c>
      <c r="H4121" s="244">
        <v>0</v>
      </c>
      <c r="I4121" s="244">
        <v>1</v>
      </c>
      <c r="J4121" s="244">
        <v>1</v>
      </c>
      <c r="K4121" s="244">
        <v>1</v>
      </c>
      <c r="L4121" s="244">
        <v>0</v>
      </c>
      <c r="M4121" s="244">
        <v>0</v>
      </c>
      <c r="N4121" s="244">
        <v>1</v>
      </c>
      <c r="O4121" s="254">
        <v>2</v>
      </c>
    </row>
    <row r="4122" ht="14.25" spans="1:15">
      <c r="A4122" s="245" t="s">
        <v>69</v>
      </c>
      <c r="B4122" s="52" t="s">
        <v>64</v>
      </c>
      <c r="C4122" s="19">
        <v>0.5</v>
      </c>
      <c r="D4122" s="246">
        <v>0</v>
      </c>
      <c r="E4122" s="246">
        <v>0</v>
      </c>
      <c r="F4122" s="246">
        <v>0</v>
      </c>
      <c r="G4122" s="246">
        <v>0</v>
      </c>
      <c r="H4122" s="246">
        <v>0</v>
      </c>
      <c r="I4122" s="246">
        <v>1</v>
      </c>
      <c r="J4122" s="246">
        <v>0.5</v>
      </c>
      <c r="K4122" s="246">
        <v>0.5</v>
      </c>
      <c r="L4122" s="246">
        <v>0</v>
      </c>
      <c r="M4122" s="246">
        <v>0</v>
      </c>
      <c r="N4122" s="246">
        <v>1</v>
      </c>
      <c r="O4122" s="255">
        <v>0.4</v>
      </c>
    </row>
    <row r="4123" spans="1:15">
      <c r="A4123" s="240" t="s">
        <v>70</v>
      </c>
      <c r="B4123" s="47" t="s">
        <v>55</v>
      </c>
      <c r="C4123" s="12">
        <v>0.391735537190083</v>
      </c>
      <c r="D4123" s="241">
        <v>0.426179604261796</v>
      </c>
      <c r="E4123" s="241">
        <v>0.428104575163399</v>
      </c>
      <c r="F4123" s="241">
        <v>0.426160337552743</v>
      </c>
      <c r="G4123" s="241">
        <v>0.403361344537815</v>
      </c>
      <c r="H4123" s="241">
        <v>0.433441558441558</v>
      </c>
      <c r="I4123" s="241">
        <v>0.410804020100502</v>
      </c>
      <c r="J4123" s="241">
        <v>0.396408839779006</v>
      </c>
      <c r="K4123" s="241">
        <v>0.374616171954964</v>
      </c>
      <c r="L4123" s="241">
        <v>0.408057851239669</v>
      </c>
      <c r="M4123" s="241">
        <v>0.395539906103286</v>
      </c>
      <c r="N4123" s="241">
        <v>0.346504559270517</v>
      </c>
      <c r="O4123" s="252">
        <v>0.343403826787513</v>
      </c>
    </row>
    <row r="4124" spans="1:15">
      <c r="A4124" s="242" t="s">
        <v>70</v>
      </c>
      <c r="B4124" s="43" t="s">
        <v>57</v>
      </c>
      <c r="C4124" s="15">
        <v>8470</v>
      </c>
      <c r="D4124" s="243">
        <v>657</v>
      </c>
      <c r="E4124" s="243">
        <v>306</v>
      </c>
      <c r="F4124" s="243">
        <v>237</v>
      </c>
      <c r="G4124" s="243">
        <v>357</v>
      </c>
      <c r="H4124" s="243">
        <v>616</v>
      </c>
      <c r="I4124" s="243">
        <v>796</v>
      </c>
      <c r="J4124" s="243">
        <v>724</v>
      </c>
      <c r="K4124" s="243">
        <v>977</v>
      </c>
      <c r="L4124" s="243">
        <v>968</v>
      </c>
      <c r="M4124" s="243">
        <v>852</v>
      </c>
      <c r="N4124" s="243">
        <v>987</v>
      </c>
      <c r="O4124" s="253">
        <v>993</v>
      </c>
    </row>
    <row r="4125" spans="1:15">
      <c r="A4125" s="240" t="s">
        <v>70</v>
      </c>
      <c r="B4125" s="47" t="s">
        <v>59</v>
      </c>
      <c r="C4125" s="15">
        <v>3318</v>
      </c>
      <c r="D4125" s="243">
        <v>280</v>
      </c>
      <c r="E4125" s="243">
        <v>131</v>
      </c>
      <c r="F4125" s="243">
        <v>101</v>
      </c>
      <c r="G4125" s="243">
        <v>144</v>
      </c>
      <c r="H4125" s="243">
        <v>267</v>
      </c>
      <c r="I4125" s="243">
        <v>327</v>
      </c>
      <c r="J4125" s="243">
        <v>287</v>
      </c>
      <c r="K4125" s="243">
        <v>366</v>
      </c>
      <c r="L4125" s="243">
        <v>395</v>
      </c>
      <c r="M4125" s="243">
        <v>337</v>
      </c>
      <c r="N4125" s="243">
        <v>342</v>
      </c>
      <c r="O4125" s="253">
        <v>341</v>
      </c>
    </row>
    <row r="4126" spans="1:15">
      <c r="A4126" s="242" t="s">
        <v>70</v>
      </c>
      <c r="B4126" s="43" t="s">
        <v>4</v>
      </c>
      <c r="C4126" s="15">
        <v>155</v>
      </c>
      <c r="D4126" s="244">
        <v>17</v>
      </c>
      <c r="E4126" s="244">
        <v>13</v>
      </c>
      <c r="F4126" s="244">
        <v>5</v>
      </c>
      <c r="G4126" s="244">
        <v>10</v>
      </c>
      <c r="H4126" s="244">
        <v>8</v>
      </c>
      <c r="I4126" s="244">
        <v>7</v>
      </c>
      <c r="J4126" s="244">
        <v>16</v>
      </c>
      <c r="K4126" s="244">
        <v>12</v>
      </c>
      <c r="L4126" s="244">
        <v>8</v>
      </c>
      <c r="M4126" s="244">
        <v>11</v>
      </c>
      <c r="N4126" s="244">
        <v>14</v>
      </c>
      <c r="O4126" s="254">
        <v>34</v>
      </c>
    </row>
    <row r="4127" spans="1:15">
      <c r="A4127" s="240" t="s">
        <v>70</v>
      </c>
      <c r="B4127" s="47" t="s">
        <v>5</v>
      </c>
      <c r="C4127" s="12">
        <v>0.0467148884870404</v>
      </c>
      <c r="D4127" s="241">
        <v>0.0607142857142857</v>
      </c>
      <c r="E4127" s="241">
        <v>0.099236641221374</v>
      </c>
      <c r="F4127" s="241">
        <v>0.0495049504950495</v>
      </c>
      <c r="G4127" s="241">
        <v>0.0694444444444444</v>
      </c>
      <c r="H4127" s="241">
        <v>0.0299625468164794</v>
      </c>
      <c r="I4127" s="241">
        <v>0.0214067278287462</v>
      </c>
      <c r="J4127" s="241">
        <v>0.0557491289198606</v>
      </c>
      <c r="K4127" s="241">
        <v>0.0327868852459016</v>
      </c>
      <c r="L4127" s="241">
        <v>0.020253164556962</v>
      </c>
      <c r="M4127" s="241">
        <v>0.0326409495548961</v>
      </c>
      <c r="N4127" s="241">
        <v>0.0409356725146199</v>
      </c>
      <c r="O4127" s="252">
        <v>0.0997067448680352</v>
      </c>
    </row>
    <row r="4128" spans="1:15">
      <c r="A4128" s="242" t="s">
        <v>70</v>
      </c>
      <c r="B4128" s="43" t="s">
        <v>6</v>
      </c>
      <c r="C4128" s="15">
        <v>44</v>
      </c>
      <c r="D4128" s="244">
        <v>7</v>
      </c>
      <c r="E4128" s="244">
        <v>4</v>
      </c>
      <c r="F4128" s="244">
        <v>2</v>
      </c>
      <c r="G4128" s="244">
        <v>1</v>
      </c>
      <c r="H4128" s="244">
        <v>4</v>
      </c>
      <c r="I4128" s="244">
        <v>4</v>
      </c>
      <c r="J4128" s="244">
        <v>3</v>
      </c>
      <c r="K4128" s="244">
        <v>8</v>
      </c>
      <c r="L4128" s="244">
        <v>3</v>
      </c>
      <c r="M4128" s="244">
        <v>4</v>
      </c>
      <c r="N4128" s="244">
        <v>3</v>
      </c>
      <c r="O4128" s="254">
        <v>1</v>
      </c>
    </row>
    <row r="4129" ht="14.25" spans="1:15">
      <c r="A4129" s="245" t="s">
        <v>70</v>
      </c>
      <c r="B4129" s="52" t="s">
        <v>64</v>
      </c>
      <c r="C4129" s="19">
        <v>0.283870967741935</v>
      </c>
      <c r="D4129" s="246">
        <v>0.411764705882353</v>
      </c>
      <c r="E4129" s="246">
        <v>0.307692307692308</v>
      </c>
      <c r="F4129" s="246">
        <v>0.4</v>
      </c>
      <c r="G4129" s="246">
        <v>0.1</v>
      </c>
      <c r="H4129" s="246">
        <v>0.5</v>
      </c>
      <c r="I4129" s="246">
        <v>0.571428571428571</v>
      </c>
      <c r="J4129" s="246">
        <v>0.1875</v>
      </c>
      <c r="K4129" s="246">
        <v>0.666666666666667</v>
      </c>
      <c r="L4129" s="246">
        <v>0.375</v>
      </c>
      <c r="M4129" s="246">
        <v>0.363636363636364</v>
      </c>
      <c r="N4129" s="246">
        <v>0.214285714285714</v>
      </c>
      <c r="O4129" s="255">
        <v>0.0294117647058824</v>
      </c>
    </row>
    <row r="4130" spans="1:15">
      <c r="A4130" s="240" t="s">
        <v>26</v>
      </c>
      <c r="B4130" s="47" t="s">
        <v>55</v>
      </c>
      <c r="C4130" s="12">
        <v>0.697032151690025</v>
      </c>
      <c r="D4130" s="241">
        <v>0.534939759036145</v>
      </c>
      <c r="E4130" s="241">
        <v>0.568306010928962</v>
      </c>
      <c r="F4130" s="241">
        <v>0.532808398950131</v>
      </c>
      <c r="G4130" s="241">
        <v>0.616393442622951</v>
      </c>
      <c r="H4130" s="241">
        <v>0.795180722891566</v>
      </c>
      <c r="I4130" s="241">
        <v>0.84375</v>
      </c>
      <c r="J4130" s="241">
        <v>1.06603773584906</v>
      </c>
      <c r="K4130" s="241">
        <v>0.742138364779874</v>
      </c>
      <c r="L4130" s="241">
        <v>0.802919708029197</v>
      </c>
      <c r="M4130" s="241">
        <v>1</v>
      </c>
      <c r="N4130" s="241">
        <v>1.078125</v>
      </c>
      <c r="O4130" s="252">
        <v>3.26315789473684</v>
      </c>
    </row>
    <row r="4131" spans="1:15">
      <c r="A4131" s="242" t="s">
        <v>26</v>
      </c>
      <c r="B4131" s="43" t="s">
        <v>57</v>
      </c>
      <c r="C4131" s="15">
        <v>2426</v>
      </c>
      <c r="D4131" s="243">
        <v>415</v>
      </c>
      <c r="E4131" s="243">
        <v>366</v>
      </c>
      <c r="F4131" s="243">
        <v>381</v>
      </c>
      <c r="G4131" s="243">
        <v>305</v>
      </c>
      <c r="H4131" s="243">
        <v>249</v>
      </c>
      <c r="I4131" s="243">
        <v>160</v>
      </c>
      <c r="J4131" s="243">
        <v>106</v>
      </c>
      <c r="K4131" s="243">
        <v>159</v>
      </c>
      <c r="L4131" s="243">
        <v>137</v>
      </c>
      <c r="M4131" s="243">
        <v>65</v>
      </c>
      <c r="N4131" s="243">
        <v>64</v>
      </c>
      <c r="O4131" s="253">
        <v>19</v>
      </c>
    </row>
    <row r="4132" spans="1:15">
      <c r="A4132" s="240" t="s">
        <v>26</v>
      </c>
      <c r="B4132" s="47" t="s">
        <v>59</v>
      </c>
      <c r="C4132" s="15">
        <v>1691</v>
      </c>
      <c r="D4132" s="243">
        <v>222</v>
      </c>
      <c r="E4132" s="243">
        <v>208</v>
      </c>
      <c r="F4132" s="243">
        <v>203</v>
      </c>
      <c r="G4132" s="243">
        <v>188</v>
      </c>
      <c r="H4132" s="243">
        <v>198</v>
      </c>
      <c r="I4132" s="243">
        <v>135</v>
      </c>
      <c r="J4132" s="243">
        <v>113</v>
      </c>
      <c r="K4132" s="243">
        <v>118</v>
      </c>
      <c r="L4132" s="243">
        <v>110</v>
      </c>
      <c r="M4132" s="243">
        <v>65</v>
      </c>
      <c r="N4132" s="243">
        <v>69</v>
      </c>
      <c r="O4132" s="253">
        <v>62</v>
      </c>
    </row>
    <row r="4133" spans="1:15">
      <c r="A4133" s="242" t="s">
        <v>26</v>
      </c>
      <c r="B4133" s="43" t="s">
        <v>4</v>
      </c>
      <c r="C4133" s="15">
        <v>6</v>
      </c>
      <c r="D4133" s="244">
        <v>0</v>
      </c>
      <c r="E4133" s="244">
        <v>0</v>
      </c>
      <c r="F4133" s="244">
        <v>0</v>
      </c>
      <c r="G4133" s="244">
        <v>0</v>
      </c>
      <c r="H4133" s="244">
        <v>1</v>
      </c>
      <c r="I4133" s="244">
        <v>0</v>
      </c>
      <c r="J4133" s="244">
        <v>2</v>
      </c>
      <c r="K4133" s="244">
        <v>2</v>
      </c>
      <c r="L4133" s="244">
        <v>1</v>
      </c>
      <c r="M4133" s="244">
        <v>0</v>
      </c>
      <c r="N4133" s="244">
        <v>0</v>
      </c>
      <c r="O4133" s="254">
        <v>0</v>
      </c>
    </row>
    <row r="4134" spans="1:15">
      <c r="A4134" s="240" t="s">
        <v>26</v>
      </c>
      <c r="B4134" s="47" t="s">
        <v>5</v>
      </c>
      <c r="C4134" s="12">
        <v>0.00354819633353046</v>
      </c>
      <c r="D4134" s="241">
        <v>0</v>
      </c>
      <c r="E4134" s="241">
        <v>0</v>
      </c>
      <c r="F4134" s="241">
        <v>0</v>
      </c>
      <c r="G4134" s="241">
        <v>0</v>
      </c>
      <c r="H4134" s="241">
        <v>0.00505050505050505</v>
      </c>
      <c r="I4134" s="241">
        <v>0</v>
      </c>
      <c r="J4134" s="241">
        <v>0.0176991150442478</v>
      </c>
      <c r="K4134" s="241">
        <v>0.0169491525423729</v>
      </c>
      <c r="L4134" s="241">
        <v>0.00909090909090909</v>
      </c>
      <c r="M4134" s="241">
        <v>0</v>
      </c>
      <c r="N4134" s="241">
        <v>0</v>
      </c>
      <c r="O4134" s="252">
        <v>0</v>
      </c>
    </row>
    <row r="4135" spans="1:15">
      <c r="A4135" s="242" t="s">
        <v>26</v>
      </c>
      <c r="B4135" s="43" t="s">
        <v>6</v>
      </c>
      <c r="C4135" s="15">
        <v>1</v>
      </c>
      <c r="D4135" s="244">
        <v>0</v>
      </c>
      <c r="E4135" s="244">
        <v>0</v>
      </c>
      <c r="F4135" s="244">
        <v>0</v>
      </c>
      <c r="G4135" s="244">
        <v>0</v>
      </c>
      <c r="H4135" s="244">
        <v>0</v>
      </c>
      <c r="I4135" s="244">
        <v>0</v>
      </c>
      <c r="J4135" s="244">
        <v>0</v>
      </c>
      <c r="K4135" s="244">
        <v>0</v>
      </c>
      <c r="L4135" s="244">
        <v>0</v>
      </c>
      <c r="M4135" s="244">
        <v>0</v>
      </c>
      <c r="N4135" s="244">
        <v>1</v>
      </c>
      <c r="O4135" s="254">
        <v>0</v>
      </c>
    </row>
    <row r="4136" ht="14.25" spans="1:15">
      <c r="A4136" s="245" t="s">
        <v>26</v>
      </c>
      <c r="B4136" s="52" t="s">
        <v>64</v>
      </c>
      <c r="C4136" s="19">
        <v>0.166666666666667</v>
      </c>
      <c r="D4136" s="19" t="e">
        <v>#DIV/0!</v>
      </c>
      <c r="E4136" s="19" t="e">
        <v>#DIV/0!</v>
      </c>
      <c r="F4136" s="19" t="e">
        <v>#DIV/0!</v>
      </c>
      <c r="G4136" s="19" t="e">
        <v>#DIV/0!</v>
      </c>
      <c r="H4136" s="19">
        <v>0</v>
      </c>
      <c r="I4136" s="19" t="e">
        <v>#DIV/0!</v>
      </c>
      <c r="J4136" s="19">
        <v>0</v>
      </c>
      <c r="K4136" s="19">
        <v>0</v>
      </c>
      <c r="L4136" s="19">
        <v>0</v>
      </c>
      <c r="M4136" s="19" t="e">
        <v>#DIV/0!</v>
      </c>
      <c r="N4136" s="19" t="e">
        <v>#DIV/0!</v>
      </c>
      <c r="O4136" s="19" t="e">
        <v>#DIV/0!</v>
      </c>
    </row>
    <row r="4137" spans="1:15">
      <c r="A4137" s="240" t="s">
        <v>71</v>
      </c>
      <c r="B4137" s="47" t="s">
        <v>55</v>
      </c>
      <c r="C4137" s="12">
        <v>167</v>
      </c>
      <c r="D4137" s="241" t="e">
        <v>#DIV/0!</v>
      </c>
      <c r="E4137" s="241" t="e">
        <v>#DIV/0!</v>
      </c>
      <c r="F4137" s="241">
        <v>4</v>
      </c>
      <c r="G4137" s="241" t="e">
        <v>#DIV/0!</v>
      </c>
      <c r="H4137" s="241" t="e">
        <v>#DIV/0!</v>
      </c>
      <c r="I4137" s="241" t="e">
        <v>#DIV/0!</v>
      </c>
      <c r="J4137" s="241" t="e">
        <v>#DIV/0!</v>
      </c>
      <c r="K4137" s="241" t="e">
        <v>#DIV/0!</v>
      </c>
      <c r="L4137" s="241" t="e">
        <v>#DIV/0!</v>
      </c>
      <c r="M4137" s="241" t="e">
        <v>#DIV/0!</v>
      </c>
      <c r="N4137" s="241" t="e">
        <v>#DIV/0!</v>
      </c>
      <c r="O4137" s="252" t="e">
        <v>#DIV/0!</v>
      </c>
    </row>
    <row r="4138" spans="1:15">
      <c r="A4138" s="242" t="s">
        <v>71</v>
      </c>
      <c r="B4138" s="43" t="s">
        <v>57</v>
      </c>
      <c r="C4138" s="15">
        <v>2</v>
      </c>
      <c r="D4138" s="243">
        <v>0</v>
      </c>
      <c r="E4138" s="243">
        <v>0</v>
      </c>
      <c r="F4138" s="243">
        <v>2</v>
      </c>
      <c r="G4138" s="243">
        <v>0</v>
      </c>
      <c r="H4138" s="243">
        <v>0</v>
      </c>
      <c r="I4138" s="243">
        <v>0</v>
      </c>
      <c r="J4138" s="243">
        <v>0</v>
      </c>
      <c r="K4138" s="243">
        <v>0</v>
      </c>
      <c r="L4138" s="243">
        <v>0</v>
      </c>
      <c r="M4138" s="243">
        <v>0</v>
      </c>
      <c r="N4138" s="243">
        <v>0</v>
      </c>
      <c r="O4138" s="253">
        <v>0</v>
      </c>
    </row>
    <row r="4139" spans="1:15">
      <c r="A4139" s="240" t="s">
        <v>71</v>
      </c>
      <c r="B4139" s="47" t="s">
        <v>59</v>
      </c>
      <c r="C4139" s="15">
        <v>334</v>
      </c>
      <c r="D4139" s="243">
        <v>25</v>
      </c>
      <c r="E4139" s="243">
        <v>20</v>
      </c>
      <c r="F4139" s="243">
        <v>8</v>
      </c>
      <c r="G4139" s="243">
        <v>15</v>
      </c>
      <c r="H4139" s="243">
        <v>33</v>
      </c>
      <c r="I4139" s="243">
        <v>15</v>
      </c>
      <c r="J4139" s="243">
        <v>26</v>
      </c>
      <c r="K4139" s="243">
        <v>39</v>
      </c>
      <c r="L4139" s="243">
        <v>45</v>
      </c>
      <c r="M4139" s="243">
        <v>27</v>
      </c>
      <c r="N4139" s="243">
        <v>38</v>
      </c>
      <c r="O4139" s="253">
        <v>43</v>
      </c>
    </row>
    <row r="4140" spans="1:15">
      <c r="A4140" s="242" t="s">
        <v>71</v>
      </c>
      <c r="B4140" s="43" t="s">
        <v>4</v>
      </c>
      <c r="C4140" s="15">
        <v>22</v>
      </c>
      <c r="D4140" s="244">
        <v>6</v>
      </c>
      <c r="E4140" s="244">
        <v>3</v>
      </c>
      <c r="F4140" s="244">
        <v>1</v>
      </c>
      <c r="G4140" s="244">
        <v>0</v>
      </c>
      <c r="H4140" s="244">
        <v>1</v>
      </c>
      <c r="I4140" s="244">
        <v>1</v>
      </c>
      <c r="J4140" s="244">
        <v>1</v>
      </c>
      <c r="K4140" s="244">
        <v>1</v>
      </c>
      <c r="L4140" s="244">
        <v>3</v>
      </c>
      <c r="M4140" s="244">
        <v>1</v>
      </c>
      <c r="N4140" s="244">
        <v>0</v>
      </c>
      <c r="O4140" s="254">
        <v>4</v>
      </c>
    </row>
    <row r="4141" spans="1:15">
      <c r="A4141" s="240" t="s">
        <v>71</v>
      </c>
      <c r="B4141" s="47" t="s">
        <v>5</v>
      </c>
      <c r="C4141" s="241">
        <v>0.0658682634730539</v>
      </c>
      <c r="D4141" s="241">
        <v>0.24</v>
      </c>
      <c r="E4141" s="241">
        <v>0.15</v>
      </c>
      <c r="F4141" s="241">
        <v>0.125</v>
      </c>
      <c r="G4141" s="241">
        <v>0</v>
      </c>
      <c r="H4141" s="241">
        <v>0.0303030303030303</v>
      </c>
      <c r="I4141" s="241">
        <v>0.0666666666666667</v>
      </c>
      <c r="J4141" s="241">
        <v>0.0384615384615385</v>
      </c>
      <c r="K4141" s="241">
        <v>0.0256410256410256</v>
      </c>
      <c r="L4141" s="241">
        <v>0.0666666666666667</v>
      </c>
      <c r="M4141" s="241">
        <v>0.037037037037037</v>
      </c>
      <c r="N4141" s="241">
        <v>0</v>
      </c>
      <c r="O4141" s="252">
        <v>0.0930232558139535</v>
      </c>
    </row>
    <row r="4142" spans="1:15">
      <c r="A4142" s="242" t="s">
        <v>71</v>
      </c>
      <c r="B4142" s="43" t="s">
        <v>6</v>
      </c>
      <c r="C4142" s="15">
        <v>3</v>
      </c>
      <c r="D4142" s="244">
        <v>1</v>
      </c>
      <c r="E4142" s="244">
        <v>0</v>
      </c>
      <c r="F4142" s="244">
        <v>0</v>
      </c>
      <c r="G4142" s="244">
        <v>0</v>
      </c>
      <c r="H4142" s="244">
        <v>0</v>
      </c>
      <c r="I4142" s="244">
        <v>0</v>
      </c>
      <c r="J4142" s="244">
        <v>0</v>
      </c>
      <c r="K4142" s="244">
        <v>1</v>
      </c>
      <c r="L4142" s="244">
        <v>0</v>
      </c>
      <c r="M4142" s="244">
        <v>1</v>
      </c>
      <c r="N4142" s="244">
        <v>0</v>
      </c>
      <c r="O4142" s="254">
        <v>0</v>
      </c>
    </row>
    <row r="4143" ht="14.25" spans="1:15">
      <c r="A4143" s="245" t="s">
        <v>71</v>
      </c>
      <c r="B4143" s="52" t="s">
        <v>64</v>
      </c>
      <c r="C4143" s="19">
        <v>0.136363636363636</v>
      </c>
      <c r="D4143" s="19">
        <v>0.166666666666667</v>
      </c>
      <c r="E4143" s="19">
        <v>0</v>
      </c>
      <c r="F4143" s="19">
        <v>0</v>
      </c>
      <c r="G4143" s="19" t="e">
        <v>#DIV/0!</v>
      </c>
      <c r="H4143" s="19">
        <v>0</v>
      </c>
      <c r="I4143" s="19">
        <v>0</v>
      </c>
      <c r="J4143" s="19">
        <v>0</v>
      </c>
      <c r="K4143" s="19">
        <v>1</v>
      </c>
      <c r="L4143" s="19">
        <v>0</v>
      </c>
      <c r="M4143" s="19">
        <v>1</v>
      </c>
      <c r="N4143" s="19" t="e">
        <v>#DIV/0!</v>
      </c>
      <c r="O4143" s="19">
        <v>0</v>
      </c>
    </row>
    <row r="4144" spans="1:15">
      <c r="A4144" s="240" t="s">
        <v>72</v>
      </c>
      <c r="B4144" s="47" t="s">
        <v>55</v>
      </c>
      <c r="C4144" s="12">
        <v>0.158988764044944</v>
      </c>
      <c r="D4144" s="241">
        <v>0.160130718954248</v>
      </c>
      <c r="E4144" s="241">
        <v>0.211805555555556</v>
      </c>
      <c r="F4144" s="241">
        <v>0.141242937853107</v>
      </c>
      <c r="G4144" s="241">
        <v>0.188</v>
      </c>
      <c r="H4144" s="241">
        <v>0.140575079872204</v>
      </c>
      <c r="I4144" s="241">
        <v>0.171837708830549</v>
      </c>
      <c r="J4144" s="241">
        <v>0.198044009779951</v>
      </c>
      <c r="K4144" s="241">
        <v>0.157794676806084</v>
      </c>
      <c r="L4144" s="241">
        <v>0.10337552742616</v>
      </c>
      <c r="M4144" s="241">
        <v>0.168016194331984</v>
      </c>
      <c r="N4144" s="241">
        <v>0.155015197568389</v>
      </c>
      <c r="O4144" s="252">
        <v>0.144444444444444</v>
      </c>
    </row>
    <row r="4145" spans="1:15">
      <c r="A4145" s="242" t="s">
        <v>72</v>
      </c>
      <c r="B4145" s="43" t="s">
        <v>57</v>
      </c>
      <c r="C4145" s="15">
        <v>5340</v>
      </c>
      <c r="D4145" s="243">
        <v>612</v>
      </c>
      <c r="E4145" s="243">
        <v>288</v>
      </c>
      <c r="F4145" s="243">
        <v>177</v>
      </c>
      <c r="G4145" s="243">
        <v>250</v>
      </c>
      <c r="H4145" s="243">
        <v>313</v>
      </c>
      <c r="I4145" s="243">
        <v>419</v>
      </c>
      <c r="J4145" s="243">
        <v>409</v>
      </c>
      <c r="K4145" s="243">
        <v>526</v>
      </c>
      <c r="L4145" s="243">
        <v>474</v>
      </c>
      <c r="M4145" s="243">
        <v>494</v>
      </c>
      <c r="N4145" s="243">
        <v>658</v>
      </c>
      <c r="O4145" s="253">
        <v>720</v>
      </c>
    </row>
    <row r="4146" spans="1:15">
      <c r="A4146" s="240" t="s">
        <v>72</v>
      </c>
      <c r="B4146" s="47" t="s">
        <v>59</v>
      </c>
      <c r="C4146" s="15">
        <v>849</v>
      </c>
      <c r="D4146" s="243">
        <v>98</v>
      </c>
      <c r="E4146" s="243">
        <v>61</v>
      </c>
      <c r="F4146" s="243">
        <v>25</v>
      </c>
      <c r="G4146" s="243">
        <v>47</v>
      </c>
      <c r="H4146" s="243">
        <v>44</v>
      </c>
      <c r="I4146" s="243">
        <v>72</v>
      </c>
      <c r="J4146" s="243">
        <v>81</v>
      </c>
      <c r="K4146" s="243">
        <v>83</v>
      </c>
      <c r="L4146" s="243">
        <v>49</v>
      </c>
      <c r="M4146" s="243">
        <v>83</v>
      </c>
      <c r="N4146" s="243">
        <v>102</v>
      </c>
      <c r="O4146" s="253">
        <v>104</v>
      </c>
    </row>
    <row r="4147" spans="1:15">
      <c r="A4147" s="242" t="s">
        <v>72</v>
      </c>
      <c r="B4147" s="43" t="s">
        <v>4</v>
      </c>
      <c r="C4147" s="15">
        <v>65</v>
      </c>
      <c r="D4147" s="244">
        <v>6</v>
      </c>
      <c r="E4147" s="244">
        <v>6</v>
      </c>
      <c r="F4147" s="244">
        <v>2</v>
      </c>
      <c r="G4147" s="244">
        <v>3</v>
      </c>
      <c r="H4147" s="244">
        <v>3</v>
      </c>
      <c r="I4147" s="244">
        <v>2</v>
      </c>
      <c r="J4147" s="244">
        <v>5</v>
      </c>
      <c r="K4147" s="244">
        <v>5</v>
      </c>
      <c r="L4147" s="244">
        <v>4</v>
      </c>
      <c r="M4147" s="244">
        <v>9</v>
      </c>
      <c r="N4147" s="244">
        <v>6</v>
      </c>
      <c r="O4147" s="254">
        <v>14</v>
      </c>
    </row>
    <row r="4148" spans="1:15">
      <c r="A4148" s="240" t="s">
        <v>72</v>
      </c>
      <c r="B4148" s="47" t="s">
        <v>5</v>
      </c>
      <c r="C4148" s="12">
        <v>0.0765606595995289</v>
      </c>
      <c r="D4148" s="241">
        <v>0.0612244897959184</v>
      </c>
      <c r="E4148" s="241">
        <v>0.0983606557377049</v>
      </c>
      <c r="F4148" s="241">
        <v>0.08</v>
      </c>
      <c r="G4148" s="241">
        <v>0.0638297872340425</v>
      </c>
      <c r="H4148" s="241">
        <v>0.0681818181818182</v>
      </c>
      <c r="I4148" s="241">
        <v>0.0277777777777778</v>
      </c>
      <c r="J4148" s="241">
        <v>0.0617283950617284</v>
      </c>
      <c r="K4148" s="241">
        <v>0.0602409638554217</v>
      </c>
      <c r="L4148" s="241">
        <v>0.0816326530612245</v>
      </c>
      <c r="M4148" s="241">
        <v>0.108433734939759</v>
      </c>
      <c r="N4148" s="241">
        <v>0.0588235294117647</v>
      </c>
      <c r="O4148" s="252">
        <v>0.134615384615385</v>
      </c>
    </row>
    <row r="4149" spans="1:15">
      <c r="A4149" s="242" t="s">
        <v>72</v>
      </c>
      <c r="B4149" s="43" t="s">
        <v>6</v>
      </c>
      <c r="C4149" s="15">
        <v>11</v>
      </c>
      <c r="D4149" s="244">
        <v>2</v>
      </c>
      <c r="E4149" s="244">
        <v>1</v>
      </c>
      <c r="F4149" s="244">
        <v>0</v>
      </c>
      <c r="G4149" s="244">
        <v>0</v>
      </c>
      <c r="H4149" s="244">
        <v>0</v>
      </c>
      <c r="I4149" s="244">
        <v>2</v>
      </c>
      <c r="J4149" s="244">
        <v>0</v>
      </c>
      <c r="K4149" s="244">
        <v>0</v>
      </c>
      <c r="L4149" s="244">
        <v>1</v>
      </c>
      <c r="M4149" s="244">
        <v>2</v>
      </c>
      <c r="N4149" s="244">
        <v>2</v>
      </c>
      <c r="O4149" s="254">
        <v>1</v>
      </c>
    </row>
    <row r="4150" ht="14.25" spans="1:15">
      <c r="A4150" s="245" t="s">
        <v>72</v>
      </c>
      <c r="B4150" s="52" t="s">
        <v>64</v>
      </c>
      <c r="C4150" s="19">
        <v>0.169230769230769</v>
      </c>
      <c r="D4150" s="19">
        <v>0.333333333333333</v>
      </c>
      <c r="E4150" s="19">
        <v>0.166666666666667</v>
      </c>
      <c r="F4150" s="19">
        <v>0</v>
      </c>
      <c r="G4150" s="19">
        <v>0</v>
      </c>
      <c r="H4150" s="19">
        <v>0</v>
      </c>
      <c r="I4150" s="19">
        <v>1</v>
      </c>
      <c r="J4150" s="19">
        <v>0</v>
      </c>
      <c r="K4150" s="19">
        <v>0</v>
      </c>
      <c r="L4150" s="19">
        <v>0.25</v>
      </c>
      <c r="M4150" s="19">
        <v>0.222222222222222</v>
      </c>
      <c r="N4150" s="19">
        <v>0.333333333333333</v>
      </c>
      <c r="O4150" s="19">
        <v>0.0714285714285714</v>
      </c>
    </row>
    <row r="4151" ht="14.25" spans="1:15">
      <c r="A4151" s="237">
        <v>45083</v>
      </c>
      <c r="B4151" s="237"/>
      <c r="C4151" s="237"/>
      <c r="D4151" s="237"/>
      <c r="E4151" s="237"/>
      <c r="F4151" s="237"/>
      <c r="G4151" s="237"/>
      <c r="H4151" s="237"/>
      <c r="I4151" s="237"/>
      <c r="J4151" s="237"/>
      <c r="K4151" s="237"/>
      <c r="L4151" s="237"/>
      <c r="M4151" s="237"/>
      <c r="N4151" s="237"/>
      <c r="O4151" s="237"/>
    </row>
    <row r="4152" spans="1:15">
      <c r="A4152" s="56" t="s">
        <v>1</v>
      </c>
      <c r="B4152" s="238"/>
      <c r="C4152" s="8" t="s">
        <v>42</v>
      </c>
      <c r="D4152" s="239" t="s">
        <v>43</v>
      </c>
      <c r="E4152" s="239" t="s">
        <v>44</v>
      </c>
      <c r="F4152" s="239" t="s">
        <v>45</v>
      </c>
      <c r="G4152" s="239" t="s">
        <v>46</v>
      </c>
      <c r="H4152" s="239" t="s">
        <v>47</v>
      </c>
      <c r="I4152" s="239" t="s">
        <v>48</v>
      </c>
      <c r="J4152" s="239" t="s">
        <v>49</v>
      </c>
      <c r="K4152" s="239" t="s">
        <v>50</v>
      </c>
      <c r="L4152" s="239" t="s">
        <v>51</v>
      </c>
      <c r="M4152" s="239" t="s">
        <v>52</v>
      </c>
      <c r="N4152" s="239" t="s">
        <v>53</v>
      </c>
      <c r="O4152" s="251" t="s">
        <v>54</v>
      </c>
    </row>
    <row r="4153" spans="1:15">
      <c r="A4153" s="240" t="s">
        <v>22</v>
      </c>
      <c r="B4153" s="47" t="s">
        <v>55</v>
      </c>
      <c r="C4153" s="12">
        <v>0.36727842435094</v>
      </c>
      <c r="D4153" s="241">
        <v>0.402439024390244</v>
      </c>
      <c r="E4153" s="241">
        <v>0.40234375</v>
      </c>
      <c r="F4153" s="241">
        <v>0.37</v>
      </c>
      <c r="G4153" s="241">
        <v>0.365546218487395</v>
      </c>
      <c r="H4153" s="241">
        <v>0.361194029850746</v>
      </c>
      <c r="I4153" s="241">
        <v>0.342776203966006</v>
      </c>
      <c r="J4153" s="241">
        <v>0.379310344827586</v>
      </c>
      <c r="K4153" s="241">
        <v>0.346153846153846</v>
      </c>
      <c r="L4153" s="241">
        <v>0.389130434782609</v>
      </c>
      <c r="M4153" s="241">
        <v>0.387096774193548</v>
      </c>
      <c r="N4153" s="241">
        <v>0.337423312883436</v>
      </c>
      <c r="O4153" s="252">
        <v>0.347014925373134</v>
      </c>
    </row>
    <row r="4154" spans="1:15">
      <c r="A4154" s="242" t="s">
        <v>22</v>
      </c>
      <c r="B4154" s="43" t="s">
        <v>57</v>
      </c>
      <c r="C4154" s="15">
        <v>4468</v>
      </c>
      <c r="D4154" s="243">
        <v>410</v>
      </c>
      <c r="E4154" s="243">
        <v>256</v>
      </c>
      <c r="F4154" s="243">
        <v>200</v>
      </c>
      <c r="G4154" s="243">
        <v>238</v>
      </c>
      <c r="H4154" s="243">
        <v>335</v>
      </c>
      <c r="I4154" s="243">
        <v>353</v>
      </c>
      <c r="J4154" s="243">
        <v>377</v>
      </c>
      <c r="K4154" s="243">
        <v>442</v>
      </c>
      <c r="L4154" s="243">
        <v>460</v>
      </c>
      <c r="M4154" s="243">
        <v>372</v>
      </c>
      <c r="N4154" s="243">
        <v>489</v>
      </c>
      <c r="O4154" s="253">
        <v>536</v>
      </c>
    </row>
    <row r="4155" spans="1:15">
      <c r="A4155" s="240" t="s">
        <v>22</v>
      </c>
      <c r="B4155" s="47" t="s">
        <v>59</v>
      </c>
      <c r="C4155" s="15">
        <v>1641</v>
      </c>
      <c r="D4155" s="243">
        <v>165</v>
      </c>
      <c r="E4155" s="243">
        <v>103</v>
      </c>
      <c r="F4155" s="243">
        <v>74</v>
      </c>
      <c r="G4155" s="243">
        <v>87</v>
      </c>
      <c r="H4155" s="243">
        <v>121</v>
      </c>
      <c r="I4155" s="243">
        <v>121</v>
      </c>
      <c r="J4155" s="243">
        <v>143</v>
      </c>
      <c r="K4155" s="243">
        <v>153</v>
      </c>
      <c r="L4155" s="243">
        <v>179</v>
      </c>
      <c r="M4155" s="243">
        <v>144</v>
      </c>
      <c r="N4155" s="243">
        <v>165</v>
      </c>
      <c r="O4155" s="253">
        <v>186</v>
      </c>
    </row>
    <row r="4156" spans="1:15">
      <c r="A4156" s="242" t="s">
        <v>22</v>
      </c>
      <c r="B4156" s="43" t="s">
        <v>4</v>
      </c>
      <c r="C4156" s="15">
        <v>115</v>
      </c>
      <c r="D4156" s="244">
        <v>20</v>
      </c>
      <c r="E4156" s="244">
        <v>7</v>
      </c>
      <c r="F4156" s="244">
        <v>7</v>
      </c>
      <c r="G4156" s="244">
        <v>4</v>
      </c>
      <c r="H4156" s="244">
        <v>1</v>
      </c>
      <c r="I4156" s="244">
        <v>6</v>
      </c>
      <c r="J4156" s="244">
        <v>9</v>
      </c>
      <c r="K4156" s="244">
        <v>10</v>
      </c>
      <c r="L4156" s="244">
        <v>12</v>
      </c>
      <c r="M4156" s="244">
        <v>7</v>
      </c>
      <c r="N4156" s="244">
        <v>12</v>
      </c>
      <c r="O4156" s="254">
        <v>20</v>
      </c>
    </row>
    <row r="4157" spans="1:15">
      <c r="A4157" s="240" t="s">
        <v>22</v>
      </c>
      <c r="B4157" s="47" t="s">
        <v>5</v>
      </c>
      <c r="C4157" s="12">
        <v>0.0700792199878123</v>
      </c>
      <c r="D4157" s="241">
        <v>0.121212121212121</v>
      </c>
      <c r="E4157" s="241">
        <v>0.0679611650485437</v>
      </c>
      <c r="F4157" s="241">
        <v>0.0945945945945946</v>
      </c>
      <c r="G4157" s="241">
        <v>0.0459770114942529</v>
      </c>
      <c r="H4157" s="241">
        <v>0.00826446280991736</v>
      </c>
      <c r="I4157" s="241">
        <v>0.0495867768595041</v>
      </c>
      <c r="J4157" s="241">
        <v>0.0629370629370629</v>
      </c>
      <c r="K4157" s="241">
        <v>0.065359477124183</v>
      </c>
      <c r="L4157" s="241">
        <v>0.0670391061452514</v>
      </c>
      <c r="M4157" s="241">
        <v>0.0486111111111111</v>
      </c>
      <c r="N4157" s="241">
        <v>0.0727272727272727</v>
      </c>
      <c r="O4157" s="252">
        <v>0.10752688172043</v>
      </c>
    </row>
    <row r="4158" spans="1:15">
      <c r="A4158" s="242" t="s">
        <v>22</v>
      </c>
      <c r="B4158" s="43" t="s">
        <v>6</v>
      </c>
      <c r="C4158" s="15">
        <v>41</v>
      </c>
      <c r="D4158" s="244">
        <v>8</v>
      </c>
      <c r="E4158" s="244">
        <v>0</v>
      </c>
      <c r="F4158" s="244">
        <v>3</v>
      </c>
      <c r="G4158" s="244">
        <v>0</v>
      </c>
      <c r="H4158" s="244">
        <v>3</v>
      </c>
      <c r="I4158" s="244">
        <v>2</v>
      </c>
      <c r="J4158" s="244">
        <v>2</v>
      </c>
      <c r="K4158" s="244">
        <v>5</v>
      </c>
      <c r="L4158" s="244">
        <v>7</v>
      </c>
      <c r="M4158" s="244">
        <v>3</v>
      </c>
      <c r="N4158" s="244">
        <v>2</v>
      </c>
      <c r="O4158" s="254">
        <v>6</v>
      </c>
    </row>
    <row r="4159" ht="14.25" spans="1:15">
      <c r="A4159" s="245" t="s">
        <v>22</v>
      </c>
      <c r="B4159" s="52" t="s">
        <v>64</v>
      </c>
      <c r="C4159" s="19">
        <v>0.356521739130435</v>
      </c>
      <c r="D4159" s="246">
        <v>0.4</v>
      </c>
      <c r="E4159" s="246">
        <v>0</v>
      </c>
      <c r="F4159" s="246">
        <v>0.428571428571429</v>
      </c>
      <c r="G4159" s="246">
        <v>0</v>
      </c>
      <c r="H4159" s="246">
        <v>3</v>
      </c>
      <c r="I4159" s="246">
        <v>0.333333333333333</v>
      </c>
      <c r="J4159" s="246">
        <v>0.222222222222222</v>
      </c>
      <c r="K4159" s="246">
        <v>0.5</v>
      </c>
      <c r="L4159" s="246">
        <v>0.583333333333333</v>
      </c>
      <c r="M4159" s="246">
        <v>0.428571428571429</v>
      </c>
      <c r="N4159" s="246">
        <v>0.166666666666667</v>
      </c>
      <c r="O4159" s="255">
        <v>0.3</v>
      </c>
    </row>
    <row r="4160" spans="1:15">
      <c r="A4160" s="247" t="s">
        <v>66</v>
      </c>
      <c r="B4160" s="248" t="s">
        <v>55</v>
      </c>
      <c r="C4160" s="12">
        <v>0.0763221153846154</v>
      </c>
      <c r="D4160" s="249">
        <v>0.0890052356020942</v>
      </c>
      <c r="E4160" s="249">
        <v>0.0362694300518135</v>
      </c>
      <c r="F4160" s="249">
        <v>0.037037037037037</v>
      </c>
      <c r="G4160" s="249">
        <v>0.049079754601227</v>
      </c>
      <c r="H4160" s="249">
        <v>0.0718954248366013</v>
      </c>
      <c r="I4160" s="249">
        <v>0.0308641975308642</v>
      </c>
      <c r="J4160" s="249">
        <v>0.092436974789916</v>
      </c>
      <c r="K4160" s="249">
        <v>0.0862068965517241</v>
      </c>
      <c r="L4160" s="249">
        <v>0.11214953271028</v>
      </c>
      <c r="M4160" s="249">
        <v>0.0963855421686747</v>
      </c>
      <c r="N4160" s="249">
        <v>0.0917431192660551</v>
      </c>
      <c r="O4160" s="256">
        <v>0.207547169811321</v>
      </c>
    </row>
    <row r="4161" spans="1:15">
      <c r="A4161" s="242" t="s">
        <v>66</v>
      </c>
      <c r="B4161" s="43" t="s">
        <v>57</v>
      </c>
      <c r="C4161" s="15">
        <v>1664</v>
      </c>
      <c r="D4161" s="243">
        <v>191</v>
      </c>
      <c r="E4161" s="243">
        <v>193</v>
      </c>
      <c r="F4161" s="243">
        <v>162</v>
      </c>
      <c r="G4161" s="243">
        <v>163</v>
      </c>
      <c r="H4161" s="243">
        <v>153</v>
      </c>
      <c r="I4161" s="243">
        <v>162</v>
      </c>
      <c r="J4161" s="243">
        <v>119</v>
      </c>
      <c r="K4161" s="243">
        <v>116</v>
      </c>
      <c r="L4161" s="243">
        <v>107</v>
      </c>
      <c r="M4161" s="243">
        <v>83</v>
      </c>
      <c r="N4161" s="243">
        <v>109</v>
      </c>
      <c r="O4161" s="253">
        <v>106</v>
      </c>
    </row>
    <row r="4162" spans="1:15">
      <c r="A4162" s="240" t="s">
        <v>66</v>
      </c>
      <c r="B4162" s="47" t="s">
        <v>59</v>
      </c>
      <c r="C4162" s="15">
        <v>127</v>
      </c>
      <c r="D4162" s="243">
        <v>17</v>
      </c>
      <c r="E4162" s="243">
        <v>7</v>
      </c>
      <c r="F4162" s="243">
        <v>6</v>
      </c>
      <c r="G4162" s="243">
        <v>8</v>
      </c>
      <c r="H4162" s="243">
        <v>11</v>
      </c>
      <c r="I4162" s="243">
        <v>5</v>
      </c>
      <c r="J4162" s="243">
        <v>11</v>
      </c>
      <c r="K4162" s="243">
        <v>10</v>
      </c>
      <c r="L4162" s="243">
        <v>12</v>
      </c>
      <c r="M4162" s="243">
        <v>8</v>
      </c>
      <c r="N4162" s="243">
        <v>10</v>
      </c>
      <c r="O4162" s="253">
        <v>22</v>
      </c>
    </row>
    <row r="4163" spans="1:15">
      <c r="A4163" s="242" t="s">
        <v>66</v>
      </c>
      <c r="B4163" s="43" t="s">
        <v>4</v>
      </c>
      <c r="C4163" s="15">
        <v>8</v>
      </c>
      <c r="D4163" s="244">
        <v>2</v>
      </c>
      <c r="E4163" s="244">
        <v>0</v>
      </c>
      <c r="F4163" s="244">
        <v>0</v>
      </c>
      <c r="G4163" s="244">
        <v>1</v>
      </c>
      <c r="H4163" s="244">
        <v>0</v>
      </c>
      <c r="I4163" s="244">
        <v>0</v>
      </c>
      <c r="J4163" s="244">
        <v>0</v>
      </c>
      <c r="K4163" s="244">
        <v>1</v>
      </c>
      <c r="L4163" s="244">
        <v>0</v>
      </c>
      <c r="M4163" s="244">
        <v>1</v>
      </c>
      <c r="N4163" s="244">
        <v>1</v>
      </c>
      <c r="O4163" s="254">
        <v>2</v>
      </c>
    </row>
    <row r="4164" spans="1:15">
      <c r="A4164" s="240" t="s">
        <v>66</v>
      </c>
      <c r="B4164" s="47" t="s">
        <v>5</v>
      </c>
      <c r="C4164" s="12">
        <v>0.062992125984252</v>
      </c>
      <c r="D4164" s="241">
        <v>0.117647058823529</v>
      </c>
      <c r="E4164" s="241">
        <v>0</v>
      </c>
      <c r="F4164" s="241">
        <v>0</v>
      </c>
      <c r="G4164" s="241">
        <v>0.125</v>
      </c>
      <c r="H4164" s="241">
        <v>0</v>
      </c>
      <c r="I4164" s="241">
        <v>0</v>
      </c>
      <c r="J4164" s="241">
        <v>0</v>
      </c>
      <c r="K4164" s="241">
        <v>0.1</v>
      </c>
      <c r="L4164" s="241">
        <v>0</v>
      </c>
      <c r="M4164" s="241">
        <v>0.125</v>
      </c>
      <c r="N4164" s="241">
        <v>0.1</v>
      </c>
      <c r="O4164" s="252">
        <v>0.0909090909090909</v>
      </c>
    </row>
    <row r="4165" spans="1:15">
      <c r="A4165" s="242" t="s">
        <v>66</v>
      </c>
      <c r="B4165" s="43" t="s">
        <v>6</v>
      </c>
      <c r="C4165" s="15">
        <v>2</v>
      </c>
      <c r="D4165" s="244">
        <v>1</v>
      </c>
      <c r="E4165" s="244">
        <v>0</v>
      </c>
      <c r="F4165" s="244">
        <v>0</v>
      </c>
      <c r="G4165" s="244">
        <v>1</v>
      </c>
      <c r="H4165" s="244">
        <v>0</v>
      </c>
      <c r="I4165" s="244">
        <v>0</v>
      </c>
      <c r="J4165" s="244">
        <v>0</v>
      </c>
      <c r="K4165" s="244">
        <v>0</v>
      </c>
      <c r="L4165" s="244">
        <v>0</v>
      </c>
      <c r="M4165" s="244">
        <v>0</v>
      </c>
      <c r="N4165" s="244">
        <v>0</v>
      </c>
      <c r="O4165" s="254">
        <v>0</v>
      </c>
    </row>
    <row r="4166" ht="14.25" spans="1:15">
      <c r="A4166" s="245" t="s">
        <v>66</v>
      </c>
      <c r="B4166" s="52" t="s">
        <v>64</v>
      </c>
      <c r="C4166" s="19">
        <v>0.25</v>
      </c>
      <c r="D4166" s="246">
        <v>0.5</v>
      </c>
      <c r="E4166" s="246">
        <v>0</v>
      </c>
      <c r="F4166" s="246">
        <v>0</v>
      </c>
      <c r="G4166" s="246">
        <v>1</v>
      </c>
      <c r="H4166" s="246">
        <v>0</v>
      </c>
      <c r="I4166" s="246">
        <v>0</v>
      </c>
      <c r="J4166" s="246">
        <v>0</v>
      </c>
      <c r="K4166" s="246">
        <v>0</v>
      </c>
      <c r="L4166" s="246">
        <v>0</v>
      </c>
      <c r="M4166" s="246">
        <v>0</v>
      </c>
      <c r="N4166" s="246">
        <v>0</v>
      </c>
      <c r="O4166" s="255">
        <v>0</v>
      </c>
    </row>
    <row r="4167" spans="1:15">
      <c r="A4167" s="240" t="s">
        <v>67</v>
      </c>
      <c r="B4167" s="47" t="s">
        <v>55</v>
      </c>
      <c r="C4167" s="12">
        <v>0.446654611211573</v>
      </c>
      <c r="D4167" s="241">
        <v>0.482758620689655</v>
      </c>
      <c r="E4167" s="241">
        <v>0.276595744680851</v>
      </c>
      <c r="F4167" s="241">
        <v>0.27027027027027</v>
      </c>
      <c r="G4167" s="241">
        <v>0.517241379310345</v>
      </c>
      <c r="H4167" s="241">
        <v>0.478260869565217</v>
      </c>
      <c r="I4167" s="241">
        <v>0.630434782608696</v>
      </c>
      <c r="J4167" s="241">
        <v>0.772727272727273</v>
      </c>
      <c r="K4167" s="241">
        <v>0.627906976744186</v>
      </c>
      <c r="L4167" s="241">
        <v>0.450980392156863</v>
      </c>
      <c r="M4167" s="241">
        <v>0.387755102040816</v>
      </c>
      <c r="N4167" s="241">
        <v>0.338028169014085</v>
      </c>
      <c r="O4167" s="252">
        <v>0.37037037037037</v>
      </c>
    </row>
    <row r="4168" spans="1:15">
      <c r="A4168" s="242" t="s">
        <v>67</v>
      </c>
      <c r="B4168" s="43" t="s">
        <v>57</v>
      </c>
      <c r="C4168" s="15">
        <v>553</v>
      </c>
      <c r="D4168" s="243">
        <v>58</v>
      </c>
      <c r="E4168" s="243">
        <v>47</v>
      </c>
      <c r="F4168" s="243">
        <v>37</v>
      </c>
      <c r="G4168" s="243">
        <v>29</v>
      </c>
      <c r="H4168" s="243">
        <v>46</v>
      </c>
      <c r="I4168" s="243">
        <v>46</v>
      </c>
      <c r="J4168" s="243">
        <v>22</v>
      </c>
      <c r="K4168" s="243">
        <v>43</v>
      </c>
      <c r="L4168" s="243">
        <v>51</v>
      </c>
      <c r="M4168" s="243">
        <v>49</v>
      </c>
      <c r="N4168" s="243">
        <v>71</v>
      </c>
      <c r="O4168" s="253">
        <v>54</v>
      </c>
    </row>
    <row r="4169" spans="1:15">
      <c r="A4169" s="240" t="s">
        <v>67</v>
      </c>
      <c r="B4169" s="47" t="s">
        <v>59</v>
      </c>
      <c r="C4169" s="15">
        <v>247</v>
      </c>
      <c r="D4169" s="243">
        <v>28</v>
      </c>
      <c r="E4169" s="243">
        <v>13</v>
      </c>
      <c r="F4169" s="243">
        <v>10</v>
      </c>
      <c r="G4169" s="243">
        <v>15</v>
      </c>
      <c r="H4169" s="243">
        <v>22</v>
      </c>
      <c r="I4169" s="243">
        <v>29</v>
      </c>
      <c r="J4169" s="243">
        <v>17</v>
      </c>
      <c r="K4169" s="243">
        <v>27</v>
      </c>
      <c r="L4169" s="243">
        <v>23</v>
      </c>
      <c r="M4169" s="243">
        <v>19</v>
      </c>
      <c r="N4169" s="243">
        <v>24</v>
      </c>
      <c r="O4169" s="253">
        <v>20</v>
      </c>
    </row>
    <row r="4170" spans="1:15">
      <c r="A4170" s="242" t="s">
        <v>67</v>
      </c>
      <c r="B4170" s="43" t="s">
        <v>4</v>
      </c>
      <c r="C4170" s="15">
        <v>14</v>
      </c>
      <c r="D4170" s="244">
        <v>1</v>
      </c>
      <c r="E4170" s="244">
        <v>0</v>
      </c>
      <c r="F4170" s="244">
        <v>1</v>
      </c>
      <c r="G4170" s="244">
        <v>0</v>
      </c>
      <c r="H4170" s="244">
        <v>1</v>
      </c>
      <c r="I4170" s="244">
        <v>1</v>
      </c>
      <c r="J4170" s="244">
        <v>0</v>
      </c>
      <c r="K4170" s="244">
        <v>1</v>
      </c>
      <c r="L4170" s="244">
        <v>2</v>
      </c>
      <c r="M4170" s="244">
        <v>2</v>
      </c>
      <c r="N4170" s="244">
        <v>3</v>
      </c>
      <c r="O4170" s="254">
        <v>2</v>
      </c>
    </row>
    <row r="4171" spans="1:15">
      <c r="A4171" s="240" t="s">
        <v>67</v>
      </c>
      <c r="B4171" s="47" t="s">
        <v>5</v>
      </c>
      <c r="C4171" s="12">
        <v>0.0566801619433198</v>
      </c>
      <c r="D4171" s="241">
        <v>0.0357142857142857</v>
      </c>
      <c r="E4171" s="241">
        <v>0</v>
      </c>
      <c r="F4171" s="241">
        <v>0.1</v>
      </c>
      <c r="G4171" s="241">
        <v>0</v>
      </c>
      <c r="H4171" s="241">
        <v>0.0454545454545455</v>
      </c>
      <c r="I4171" s="241">
        <v>0.0344827586206897</v>
      </c>
      <c r="J4171" s="241">
        <v>0</v>
      </c>
      <c r="K4171" s="241">
        <v>0.037037037037037</v>
      </c>
      <c r="L4171" s="241">
        <v>0.0869565217391304</v>
      </c>
      <c r="M4171" s="241">
        <v>0.105263157894737</v>
      </c>
      <c r="N4171" s="241">
        <v>0.125</v>
      </c>
      <c r="O4171" s="252">
        <v>0.1</v>
      </c>
    </row>
    <row r="4172" spans="1:15">
      <c r="A4172" s="242" t="s">
        <v>67</v>
      </c>
      <c r="B4172" s="43" t="s">
        <v>6</v>
      </c>
      <c r="C4172" s="15">
        <v>9</v>
      </c>
      <c r="D4172" s="244">
        <v>1</v>
      </c>
      <c r="E4172" s="244">
        <v>2</v>
      </c>
      <c r="F4172" s="244">
        <v>0</v>
      </c>
      <c r="G4172" s="244">
        <v>0</v>
      </c>
      <c r="H4172" s="244">
        <v>0</v>
      </c>
      <c r="I4172" s="244">
        <v>1</v>
      </c>
      <c r="J4172" s="244">
        <v>0</v>
      </c>
      <c r="K4172" s="244">
        <v>0</v>
      </c>
      <c r="L4172" s="244">
        <v>1</v>
      </c>
      <c r="M4172" s="244">
        <v>1</v>
      </c>
      <c r="N4172" s="244">
        <v>2</v>
      </c>
      <c r="O4172" s="254">
        <v>1</v>
      </c>
    </row>
    <row r="4173" ht="14.25" spans="1:15">
      <c r="A4173" s="245" t="s">
        <v>67</v>
      </c>
      <c r="B4173" s="52" t="s">
        <v>64</v>
      </c>
      <c r="C4173" s="19">
        <v>0.642857142857143</v>
      </c>
      <c r="D4173" s="246">
        <v>1</v>
      </c>
      <c r="E4173" s="246">
        <v>0</v>
      </c>
      <c r="F4173" s="246">
        <v>0</v>
      </c>
      <c r="G4173" s="246">
        <v>0</v>
      </c>
      <c r="H4173" s="246">
        <v>0</v>
      </c>
      <c r="I4173" s="246">
        <v>1</v>
      </c>
      <c r="J4173" s="246">
        <v>0</v>
      </c>
      <c r="K4173" s="246">
        <v>0</v>
      </c>
      <c r="L4173" s="246">
        <v>0.5</v>
      </c>
      <c r="M4173" s="246">
        <v>0.5</v>
      </c>
      <c r="N4173" s="246">
        <v>0.666666666666667</v>
      </c>
      <c r="O4173" s="255">
        <v>0.5</v>
      </c>
    </row>
    <row r="4174" spans="1:15">
      <c r="A4174" s="240" t="s">
        <v>68</v>
      </c>
      <c r="B4174" s="47" t="s">
        <v>55</v>
      </c>
      <c r="C4174" s="12">
        <v>0.195833333333333</v>
      </c>
      <c r="D4174" s="241">
        <v>0.239700374531835</v>
      </c>
      <c r="E4174" s="241">
        <v>0.224137931034483</v>
      </c>
      <c r="F4174" s="241">
        <v>0.264285714285714</v>
      </c>
      <c r="G4174" s="241">
        <v>0.277777777777778</v>
      </c>
      <c r="H4174" s="241">
        <v>0.181481481481481</v>
      </c>
      <c r="I4174" s="241">
        <v>0.208823529411765</v>
      </c>
      <c r="J4174" s="241">
        <v>0.168571428571429</v>
      </c>
      <c r="K4174" s="241">
        <v>0.208020050125313</v>
      </c>
      <c r="L4174" s="241">
        <v>0.214659685863874</v>
      </c>
      <c r="M4174" s="241">
        <v>0.166666666666667</v>
      </c>
      <c r="N4174" s="241">
        <v>0.154963680387409</v>
      </c>
      <c r="O4174" s="252">
        <v>0.168618266978923</v>
      </c>
    </row>
    <row r="4175" spans="1:15">
      <c r="A4175" s="242" t="s">
        <v>68</v>
      </c>
      <c r="B4175" s="43" t="s">
        <v>57</v>
      </c>
      <c r="C4175" s="15">
        <v>3600</v>
      </c>
      <c r="D4175" s="243">
        <v>267</v>
      </c>
      <c r="E4175" s="243">
        <v>174</v>
      </c>
      <c r="F4175" s="243">
        <v>140</v>
      </c>
      <c r="G4175" s="243">
        <v>108</v>
      </c>
      <c r="H4175" s="243">
        <v>270</v>
      </c>
      <c r="I4175" s="243">
        <v>340</v>
      </c>
      <c r="J4175" s="243">
        <v>350</v>
      </c>
      <c r="K4175" s="243">
        <v>399</v>
      </c>
      <c r="L4175" s="243">
        <v>382</v>
      </c>
      <c r="M4175" s="243">
        <v>330</v>
      </c>
      <c r="N4175" s="243">
        <v>413</v>
      </c>
      <c r="O4175" s="253">
        <v>427</v>
      </c>
    </row>
    <row r="4176" spans="1:15">
      <c r="A4176" s="240" t="s">
        <v>68</v>
      </c>
      <c r="B4176" s="47" t="s">
        <v>59</v>
      </c>
      <c r="C4176" s="15">
        <v>705</v>
      </c>
      <c r="D4176" s="243">
        <v>64</v>
      </c>
      <c r="E4176" s="243">
        <v>39</v>
      </c>
      <c r="F4176" s="243">
        <v>37</v>
      </c>
      <c r="G4176" s="243">
        <v>30</v>
      </c>
      <c r="H4176" s="243">
        <v>49</v>
      </c>
      <c r="I4176" s="243">
        <v>71</v>
      </c>
      <c r="J4176" s="243">
        <v>59</v>
      </c>
      <c r="K4176" s="243">
        <v>83</v>
      </c>
      <c r="L4176" s="243">
        <v>82</v>
      </c>
      <c r="M4176" s="243">
        <v>55</v>
      </c>
      <c r="N4176" s="243">
        <v>64</v>
      </c>
      <c r="O4176" s="253">
        <v>72</v>
      </c>
    </row>
    <row r="4177" spans="1:15">
      <c r="A4177" s="242" t="s">
        <v>68</v>
      </c>
      <c r="B4177" s="43" t="s">
        <v>4</v>
      </c>
      <c r="C4177" s="15">
        <v>28</v>
      </c>
      <c r="D4177" s="244">
        <v>3</v>
      </c>
      <c r="E4177" s="244">
        <v>2</v>
      </c>
      <c r="F4177" s="244">
        <v>1</v>
      </c>
      <c r="G4177" s="244">
        <v>1</v>
      </c>
      <c r="H4177" s="244">
        <v>2</v>
      </c>
      <c r="I4177" s="244">
        <v>1</v>
      </c>
      <c r="J4177" s="244">
        <v>0</v>
      </c>
      <c r="K4177" s="244">
        <v>3</v>
      </c>
      <c r="L4177" s="244">
        <v>4</v>
      </c>
      <c r="M4177" s="244">
        <v>3</v>
      </c>
      <c r="N4177" s="244">
        <v>5</v>
      </c>
      <c r="O4177" s="254">
        <v>3</v>
      </c>
    </row>
    <row r="4178" spans="1:15">
      <c r="A4178" s="240" t="s">
        <v>68</v>
      </c>
      <c r="B4178" s="47" t="s">
        <v>5</v>
      </c>
      <c r="C4178" s="12">
        <v>0.0397163120567376</v>
      </c>
      <c r="D4178" s="241">
        <v>0.046875</v>
      </c>
      <c r="E4178" s="241">
        <v>0.0512820512820513</v>
      </c>
      <c r="F4178" s="241">
        <v>0.027027027027027</v>
      </c>
      <c r="G4178" s="241">
        <v>0.0333333333333333</v>
      </c>
      <c r="H4178" s="241">
        <v>0.0408163265306122</v>
      </c>
      <c r="I4178" s="241">
        <v>0.0140845070422535</v>
      </c>
      <c r="J4178" s="241">
        <v>0</v>
      </c>
      <c r="K4178" s="241">
        <v>0.036144578313253</v>
      </c>
      <c r="L4178" s="241">
        <v>0.0487804878048781</v>
      </c>
      <c r="M4178" s="241">
        <v>0.0545454545454545</v>
      </c>
      <c r="N4178" s="241">
        <v>0.078125</v>
      </c>
      <c r="O4178" s="252">
        <v>0.0416666666666667</v>
      </c>
    </row>
    <row r="4179" spans="1:15">
      <c r="A4179" s="242" t="s">
        <v>68</v>
      </c>
      <c r="B4179" s="43" t="s">
        <v>6</v>
      </c>
      <c r="C4179" s="15">
        <v>10</v>
      </c>
      <c r="D4179" s="244">
        <v>2</v>
      </c>
      <c r="E4179" s="244">
        <v>0</v>
      </c>
      <c r="F4179" s="244">
        <v>1</v>
      </c>
      <c r="G4179" s="244">
        <v>1</v>
      </c>
      <c r="H4179" s="244">
        <v>0</v>
      </c>
      <c r="I4179" s="244">
        <v>0</v>
      </c>
      <c r="J4179" s="244">
        <v>0</v>
      </c>
      <c r="K4179" s="244">
        <v>0</v>
      </c>
      <c r="L4179" s="244">
        <v>2</v>
      </c>
      <c r="M4179" s="244">
        <v>1</v>
      </c>
      <c r="N4179" s="244">
        <v>2</v>
      </c>
      <c r="O4179" s="254">
        <v>1</v>
      </c>
    </row>
    <row r="4180" ht="14.25" spans="1:15">
      <c r="A4180" s="245" t="s">
        <v>68</v>
      </c>
      <c r="B4180" s="52" t="s">
        <v>64</v>
      </c>
      <c r="C4180" s="19">
        <v>0.357142857142857</v>
      </c>
      <c r="D4180" s="246">
        <v>0.666666666666667</v>
      </c>
      <c r="E4180" s="246">
        <v>0</v>
      </c>
      <c r="F4180" s="246">
        <v>1</v>
      </c>
      <c r="G4180" s="246">
        <v>1</v>
      </c>
      <c r="H4180" s="246">
        <v>0</v>
      </c>
      <c r="I4180" s="246">
        <v>0</v>
      </c>
      <c r="J4180" s="246">
        <v>0</v>
      </c>
      <c r="K4180" s="246">
        <v>0</v>
      </c>
      <c r="L4180" s="246">
        <v>0.5</v>
      </c>
      <c r="M4180" s="246">
        <v>0.333333333333333</v>
      </c>
      <c r="N4180" s="246">
        <v>0.4</v>
      </c>
      <c r="O4180" s="255">
        <v>0.333333333333333</v>
      </c>
    </row>
    <row r="4181" spans="1:15">
      <c r="A4181" s="240" t="s">
        <v>69</v>
      </c>
      <c r="B4181" s="47" t="s">
        <v>55</v>
      </c>
      <c r="C4181" s="12">
        <v>1.33333333333333</v>
      </c>
      <c r="D4181" s="241">
        <v>1.575</v>
      </c>
      <c r="E4181" s="241">
        <v>1</v>
      </c>
      <c r="F4181" s="241">
        <v>1.26666666666667</v>
      </c>
      <c r="G4181" s="241">
        <v>1.66666666666667</v>
      </c>
      <c r="H4181" s="241">
        <v>1.58333333333333</v>
      </c>
      <c r="I4181" s="241">
        <v>1.33333333333333</v>
      </c>
      <c r="J4181" s="241">
        <v>1.24137931034483</v>
      </c>
      <c r="K4181" s="241">
        <v>1.31034482758621</v>
      </c>
      <c r="L4181" s="241">
        <v>1.66666666666667</v>
      </c>
      <c r="M4181" s="241">
        <v>1.4375</v>
      </c>
      <c r="N4181" s="241">
        <v>1.16216216216216</v>
      </c>
      <c r="O4181" s="252">
        <v>1</v>
      </c>
    </row>
    <row r="4182" spans="1:15">
      <c r="A4182" s="242" t="s">
        <v>69</v>
      </c>
      <c r="B4182" s="43" t="s">
        <v>57</v>
      </c>
      <c r="C4182" s="15">
        <v>315</v>
      </c>
      <c r="D4182" s="243">
        <v>40</v>
      </c>
      <c r="E4182" s="243">
        <v>19</v>
      </c>
      <c r="F4182" s="243">
        <v>15</v>
      </c>
      <c r="G4182" s="243">
        <v>15</v>
      </c>
      <c r="H4182" s="243">
        <v>12</v>
      </c>
      <c r="I4182" s="243">
        <v>21</v>
      </c>
      <c r="J4182" s="243">
        <v>29</v>
      </c>
      <c r="K4182" s="243">
        <v>29</v>
      </c>
      <c r="L4182" s="243">
        <v>27</v>
      </c>
      <c r="M4182" s="243">
        <v>32</v>
      </c>
      <c r="N4182" s="243">
        <v>37</v>
      </c>
      <c r="O4182" s="253">
        <v>39</v>
      </c>
    </row>
    <row r="4183" spans="1:15">
      <c r="A4183" s="240" t="s">
        <v>69</v>
      </c>
      <c r="B4183" s="47" t="s">
        <v>59</v>
      </c>
      <c r="C4183" s="15">
        <v>420</v>
      </c>
      <c r="D4183" s="243">
        <v>63</v>
      </c>
      <c r="E4183" s="243">
        <v>19</v>
      </c>
      <c r="F4183" s="243">
        <v>19</v>
      </c>
      <c r="G4183" s="243">
        <v>25</v>
      </c>
      <c r="H4183" s="243">
        <v>19</v>
      </c>
      <c r="I4183" s="243">
        <v>28</v>
      </c>
      <c r="J4183" s="243">
        <v>36</v>
      </c>
      <c r="K4183" s="243">
        <v>38</v>
      </c>
      <c r="L4183" s="243">
        <v>45</v>
      </c>
      <c r="M4183" s="243">
        <v>46</v>
      </c>
      <c r="N4183" s="243">
        <v>43</v>
      </c>
      <c r="O4183" s="253">
        <v>39</v>
      </c>
    </row>
    <row r="4184" spans="1:15">
      <c r="A4184" s="242" t="s">
        <v>69</v>
      </c>
      <c r="B4184" s="43" t="s">
        <v>4</v>
      </c>
      <c r="C4184" s="15">
        <v>16</v>
      </c>
      <c r="D4184" s="244">
        <v>1</v>
      </c>
      <c r="E4184" s="244">
        <v>0</v>
      </c>
      <c r="F4184" s="244">
        <v>0</v>
      </c>
      <c r="G4184" s="244">
        <v>0</v>
      </c>
      <c r="H4184" s="244">
        <v>0</v>
      </c>
      <c r="I4184" s="244">
        <v>1</v>
      </c>
      <c r="J4184" s="244">
        <v>1</v>
      </c>
      <c r="K4184" s="244">
        <v>1</v>
      </c>
      <c r="L4184" s="244">
        <v>4</v>
      </c>
      <c r="M4184" s="244">
        <v>5</v>
      </c>
      <c r="N4184" s="244">
        <v>0</v>
      </c>
      <c r="O4184" s="254">
        <v>3</v>
      </c>
    </row>
    <row r="4185" spans="1:15">
      <c r="A4185" s="240" t="s">
        <v>69</v>
      </c>
      <c r="B4185" s="47" t="s">
        <v>5</v>
      </c>
      <c r="C4185" s="12">
        <v>0.0380952380952381</v>
      </c>
      <c r="D4185" s="241">
        <v>0.0158730158730159</v>
      </c>
      <c r="E4185" s="241">
        <v>0</v>
      </c>
      <c r="F4185" s="241">
        <v>0</v>
      </c>
      <c r="G4185" s="241">
        <v>0</v>
      </c>
      <c r="H4185" s="241">
        <v>0</v>
      </c>
      <c r="I4185" s="241">
        <v>0.0357142857142857</v>
      </c>
      <c r="J4185" s="241">
        <v>0.0277777777777778</v>
      </c>
      <c r="K4185" s="241">
        <v>0.0263157894736842</v>
      </c>
      <c r="L4185" s="241">
        <v>0.0888888888888889</v>
      </c>
      <c r="M4185" s="241">
        <v>0.108695652173913</v>
      </c>
      <c r="N4185" s="241">
        <v>0</v>
      </c>
      <c r="O4185" s="252">
        <v>0.0769230769230769</v>
      </c>
    </row>
    <row r="4186" spans="1:15">
      <c r="A4186" s="242" t="s">
        <v>69</v>
      </c>
      <c r="B4186" s="43" t="s">
        <v>6</v>
      </c>
      <c r="C4186" s="15">
        <v>4</v>
      </c>
      <c r="D4186" s="244">
        <v>0</v>
      </c>
      <c r="E4186" s="244">
        <v>0</v>
      </c>
      <c r="F4186" s="244">
        <v>0</v>
      </c>
      <c r="G4186" s="244">
        <v>0</v>
      </c>
      <c r="H4186" s="244">
        <v>1</v>
      </c>
      <c r="I4186" s="244">
        <v>1</v>
      </c>
      <c r="J4186" s="244">
        <v>0</v>
      </c>
      <c r="K4186" s="244">
        <v>0</v>
      </c>
      <c r="L4186" s="244">
        <v>0</v>
      </c>
      <c r="M4186" s="244">
        <v>1</v>
      </c>
      <c r="N4186" s="244">
        <v>0</v>
      </c>
      <c r="O4186" s="254">
        <v>1</v>
      </c>
    </row>
    <row r="4187" ht="14.25" spans="1:15">
      <c r="A4187" s="245" t="s">
        <v>69</v>
      </c>
      <c r="B4187" s="52" t="s">
        <v>64</v>
      </c>
      <c r="C4187" s="19">
        <v>0.25</v>
      </c>
      <c r="D4187" s="246">
        <v>0</v>
      </c>
      <c r="E4187" s="246">
        <v>0</v>
      </c>
      <c r="F4187" s="246">
        <v>0</v>
      </c>
      <c r="G4187" s="246">
        <v>0</v>
      </c>
      <c r="H4187" s="246">
        <v>0</v>
      </c>
      <c r="I4187" s="246">
        <v>1</v>
      </c>
      <c r="J4187" s="246">
        <v>0</v>
      </c>
      <c r="K4187" s="246">
        <v>0</v>
      </c>
      <c r="L4187" s="246">
        <v>0</v>
      </c>
      <c r="M4187" s="246">
        <v>0.2</v>
      </c>
      <c r="N4187" s="246">
        <v>0</v>
      </c>
      <c r="O4187" s="255">
        <v>0.333333333333333</v>
      </c>
    </row>
    <row r="4188" spans="1:15">
      <c r="A4188" s="240" t="s">
        <v>70</v>
      </c>
      <c r="B4188" s="47" t="s">
        <v>55</v>
      </c>
      <c r="C4188" s="12">
        <v>0.383333333333333</v>
      </c>
      <c r="D4188" s="241">
        <v>0.394126738794436</v>
      </c>
      <c r="E4188" s="241">
        <v>0.434540389972145</v>
      </c>
      <c r="F4188" s="241">
        <v>0.432</v>
      </c>
      <c r="G4188" s="241">
        <v>0.398826979472141</v>
      </c>
      <c r="H4188" s="241">
        <v>0.412935323383085</v>
      </c>
      <c r="I4188" s="241">
        <v>0.427536231884058</v>
      </c>
      <c r="J4188" s="241">
        <v>0.359900373599004</v>
      </c>
      <c r="K4188" s="241">
        <v>0.382765531062124</v>
      </c>
      <c r="L4188" s="241">
        <v>0.386613386613387</v>
      </c>
      <c r="M4188" s="241">
        <v>0.373612823674476</v>
      </c>
      <c r="N4188" s="241">
        <v>0.339449541284404</v>
      </c>
      <c r="O4188" s="252">
        <v>0.353634577603143</v>
      </c>
    </row>
    <row r="4189" spans="1:15">
      <c r="A4189" s="242" t="s">
        <v>70</v>
      </c>
      <c r="B4189" s="43" t="s">
        <v>57</v>
      </c>
      <c r="C4189" s="15">
        <v>8640</v>
      </c>
      <c r="D4189" s="243">
        <v>647</v>
      </c>
      <c r="E4189" s="243">
        <v>359</v>
      </c>
      <c r="F4189" s="243">
        <v>250</v>
      </c>
      <c r="G4189" s="243">
        <v>341</v>
      </c>
      <c r="H4189" s="243">
        <v>603</v>
      </c>
      <c r="I4189" s="243">
        <v>828</v>
      </c>
      <c r="J4189" s="243">
        <v>803</v>
      </c>
      <c r="K4189" s="243">
        <v>998</v>
      </c>
      <c r="L4189" s="243">
        <v>1001</v>
      </c>
      <c r="M4189" s="243">
        <v>811</v>
      </c>
      <c r="N4189" s="243">
        <v>981</v>
      </c>
      <c r="O4189" s="253">
        <v>1018</v>
      </c>
    </row>
    <row r="4190" spans="1:15">
      <c r="A4190" s="240" t="s">
        <v>70</v>
      </c>
      <c r="B4190" s="47" t="s">
        <v>59</v>
      </c>
      <c r="C4190" s="15">
        <v>3312</v>
      </c>
      <c r="D4190" s="243">
        <v>255</v>
      </c>
      <c r="E4190" s="243">
        <v>156</v>
      </c>
      <c r="F4190" s="243">
        <v>108</v>
      </c>
      <c r="G4190" s="243">
        <v>136</v>
      </c>
      <c r="H4190" s="243">
        <v>249</v>
      </c>
      <c r="I4190" s="243">
        <v>354</v>
      </c>
      <c r="J4190" s="243">
        <v>289</v>
      </c>
      <c r="K4190" s="243">
        <v>382</v>
      </c>
      <c r="L4190" s="243">
        <v>387</v>
      </c>
      <c r="M4190" s="243">
        <v>303</v>
      </c>
      <c r="N4190" s="243">
        <v>333</v>
      </c>
      <c r="O4190" s="253">
        <v>360</v>
      </c>
    </row>
    <row r="4191" spans="1:15">
      <c r="A4191" s="242" t="s">
        <v>70</v>
      </c>
      <c r="B4191" s="43" t="s">
        <v>4</v>
      </c>
      <c r="C4191" s="15">
        <v>219</v>
      </c>
      <c r="D4191" s="244">
        <v>25</v>
      </c>
      <c r="E4191" s="244">
        <v>12</v>
      </c>
      <c r="F4191" s="244">
        <v>7</v>
      </c>
      <c r="G4191" s="244">
        <v>5</v>
      </c>
      <c r="H4191" s="244">
        <v>9</v>
      </c>
      <c r="I4191" s="244">
        <v>18</v>
      </c>
      <c r="J4191" s="244">
        <v>12</v>
      </c>
      <c r="K4191" s="244">
        <v>29</v>
      </c>
      <c r="L4191" s="244">
        <v>25</v>
      </c>
      <c r="M4191" s="244">
        <v>20</v>
      </c>
      <c r="N4191" s="244">
        <v>21</v>
      </c>
      <c r="O4191" s="254">
        <v>36</v>
      </c>
    </row>
    <row r="4192" spans="1:15">
      <c r="A4192" s="240" t="s">
        <v>70</v>
      </c>
      <c r="B4192" s="47" t="s">
        <v>5</v>
      </c>
      <c r="C4192" s="12">
        <v>0.0661231884057971</v>
      </c>
      <c r="D4192" s="241">
        <v>0.0980392156862745</v>
      </c>
      <c r="E4192" s="241">
        <v>0.0769230769230769</v>
      </c>
      <c r="F4192" s="241">
        <v>0.0648148148148148</v>
      </c>
      <c r="G4192" s="241">
        <v>0.0367647058823529</v>
      </c>
      <c r="H4192" s="241">
        <v>0.036144578313253</v>
      </c>
      <c r="I4192" s="241">
        <v>0.0508474576271186</v>
      </c>
      <c r="J4192" s="241">
        <v>0.041522491349481</v>
      </c>
      <c r="K4192" s="241">
        <v>0.0759162303664921</v>
      </c>
      <c r="L4192" s="241">
        <v>0.0645994832041344</v>
      </c>
      <c r="M4192" s="241">
        <v>0.066006600660066</v>
      </c>
      <c r="N4192" s="241">
        <v>0.0630630630630631</v>
      </c>
      <c r="O4192" s="252">
        <v>0.1</v>
      </c>
    </row>
    <row r="4193" spans="1:15">
      <c r="A4193" s="242" t="s">
        <v>70</v>
      </c>
      <c r="B4193" s="43" t="s">
        <v>6</v>
      </c>
      <c r="C4193" s="15">
        <v>53</v>
      </c>
      <c r="D4193" s="244">
        <v>7</v>
      </c>
      <c r="E4193" s="244">
        <v>4</v>
      </c>
      <c r="F4193" s="244">
        <v>3</v>
      </c>
      <c r="G4193" s="244">
        <v>0</v>
      </c>
      <c r="H4193" s="244">
        <v>4</v>
      </c>
      <c r="I4193" s="244">
        <v>8</v>
      </c>
      <c r="J4193" s="244">
        <v>2</v>
      </c>
      <c r="K4193" s="244">
        <v>4</v>
      </c>
      <c r="L4193" s="244">
        <v>6</v>
      </c>
      <c r="M4193" s="244">
        <v>5</v>
      </c>
      <c r="N4193" s="244">
        <v>4</v>
      </c>
      <c r="O4193" s="254">
        <v>6</v>
      </c>
    </row>
    <row r="4194" ht="14.25" spans="1:15">
      <c r="A4194" s="245" t="s">
        <v>70</v>
      </c>
      <c r="B4194" s="52" t="s">
        <v>64</v>
      </c>
      <c r="C4194" s="19">
        <v>0.242009132420091</v>
      </c>
      <c r="D4194" s="246">
        <v>0.28</v>
      </c>
      <c r="E4194" s="246">
        <v>0.333333333333333</v>
      </c>
      <c r="F4194" s="246">
        <v>0.428571428571429</v>
      </c>
      <c r="G4194" s="246">
        <v>0</v>
      </c>
      <c r="H4194" s="246">
        <v>0.444444444444444</v>
      </c>
      <c r="I4194" s="246">
        <v>0.444444444444444</v>
      </c>
      <c r="J4194" s="246">
        <v>0.166666666666667</v>
      </c>
      <c r="K4194" s="246">
        <v>0.137931034482759</v>
      </c>
      <c r="L4194" s="246">
        <v>0.24</v>
      </c>
      <c r="M4194" s="246">
        <v>0.25</v>
      </c>
      <c r="N4194" s="246">
        <v>0.19047619047619</v>
      </c>
      <c r="O4194" s="255">
        <v>0.166666666666667</v>
      </c>
    </row>
    <row r="4195" spans="1:15">
      <c r="A4195" s="240" t="s">
        <v>26</v>
      </c>
      <c r="B4195" s="47" t="s">
        <v>55</v>
      </c>
      <c r="C4195" s="12">
        <v>0.716270730614074</v>
      </c>
      <c r="D4195" s="241">
        <v>0.539130434782609</v>
      </c>
      <c r="E4195" s="241">
        <v>0.62680412371134</v>
      </c>
      <c r="F4195" s="241">
        <v>0.514195583596215</v>
      </c>
      <c r="G4195" s="241">
        <v>0.854748603351955</v>
      </c>
      <c r="H4195" s="241">
        <v>0.848484848484849</v>
      </c>
      <c r="I4195" s="241">
        <v>0.846153846153846</v>
      </c>
      <c r="J4195" s="241">
        <v>0.816</v>
      </c>
      <c r="K4195" s="241">
        <v>1.10344827586207</v>
      </c>
      <c r="L4195" s="241">
        <v>1.11111111111111</v>
      </c>
      <c r="M4195" s="241">
        <v>1.01724137931034</v>
      </c>
      <c r="N4195" s="241">
        <v>1.4390243902439</v>
      </c>
      <c r="O4195" s="252">
        <v>1.66666666666667</v>
      </c>
    </row>
    <row r="4196" spans="1:15">
      <c r="A4196" s="242" t="s">
        <v>26</v>
      </c>
      <c r="B4196" s="43" t="s">
        <v>57</v>
      </c>
      <c r="C4196" s="15">
        <v>2231</v>
      </c>
      <c r="D4196" s="243">
        <v>575</v>
      </c>
      <c r="E4196" s="243">
        <v>485</v>
      </c>
      <c r="F4196" s="243">
        <v>317</v>
      </c>
      <c r="G4196" s="243">
        <v>179</v>
      </c>
      <c r="H4196" s="243">
        <v>132</v>
      </c>
      <c r="I4196" s="243">
        <v>130</v>
      </c>
      <c r="J4196" s="243">
        <v>125</v>
      </c>
      <c r="K4196" s="243">
        <v>87</v>
      </c>
      <c r="L4196" s="243">
        <v>72</v>
      </c>
      <c r="M4196" s="243">
        <v>58</v>
      </c>
      <c r="N4196" s="243">
        <v>41</v>
      </c>
      <c r="O4196" s="253">
        <v>30</v>
      </c>
    </row>
    <row r="4197" spans="1:15">
      <c r="A4197" s="240" t="s">
        <v>26</v>
      </c>
      <c r="B4197" s="47" t="s">
        <v>59</v>
      </c>
      <c r="C4197" s="15">
        <v>1598</v>
      </c>
      <c r="D4197" s="243">
        <v>310</v>
      </c>
      <c r="E4197" s="243">
        <v>304</v>
      </c>
      <c r="F4197" s="243">
        <v>163</v>
      </c>
      <c r="G4197" s="243">
        <v>153</v>
      </c>
      <c r="H4197" s="243">
        <v>112</v>
      </c>
      <c r="I4197" s="243">
        <v>110</v>
      </c>
      <c r="J4197" s="243">
        <v>102</v>
      </c>
      <c r="K4197" s="243">
        <v>96</v>
      </c>
      <c r="L4197" s="243">
        <v>80</v>
      </c>
      <c r="M4197" s="243">
        <v>59</v>
      </c>
      <c r="N4197" s="243">
        <v>59</v>
      </c>
      <c r="O4197" s="253">
        <v>50</v>
      </c>
    </row>
    <row r="4198" spans="1:15">
      <c r="A4198" s="242" t="s">
        <v>26</v>
      </c>
      <c r="B4198" s="43" t="s">
        <v>4</v>
      </c>
      <c r="C4198" s="15">
        <v>4</v>
      </c>
      <c r="D4198" s="244">
        <v>0</v>
      </c>
      <c r="E4198" s="244">
        <v>1</v>
      </c>
      <c r="F4198" s="244">
        <v>0</v>
      </c>
      <c r="G4198" s="244">
        <v>0</v>
      </c>
      <c r="H4198" s="244">
        <v>0</v>
      </c>
      <c r="I4198" s="244">
        <v>0</v>
      </c>
      <c r="J4198" s="244">
        <v>0</v>
      </c>
      <c r="K4198" s="244">
        <v>0</v>
      </c>
      <c r="L4198" s="244">
        <v>1</v>
      </c>
      <c r="M4198" s="244">
        <v>0</v>
      </c>
      <c r="N4198" s="244">
        <v>0</v>
      </c>
      <c r="O4198" s="254">
        <v>2</v>
      </c>
    </row>
    <row r="4199" spans="1:15">
      <c r="A4199" s="240" t="s">
        <v>26</v>
      </c>
      <c r="B4199" s="47" t="s">
        <v>5</v>
      </c>
      <c r="C4199" s="12">
        <v>0.00250312891113892</v>
      </c>
      <c r="D4199" s="241">
        <v>0</v>
      </c>
      <c r="E4199" s="241">
        <v>0.00328947368421053</v>
      </c>
      <c r="F4199" s="241">
        <v>0</v>
      </c>
      <c r="G4199" s="241">
        <v>0</v>
      </c>
      <c r="H4199" s="241">
        <v>0</v>
      </c>
      <c r="I4199" s="241">
        <v>0</v>
      </c>
      <c r="J4199" s="241">
        <v>0</v>
      </c>
      <c r="K4199" s="241">
        <v>0</v>
      </c>
      <c r="L4199" s="241">
        <v>0.0125</v>
      </c>
      <c r="M4199" s="241">
        <v>0</v>
      </c>
      <c r="N4199" s="241">
        <v>0</v>
      </c>
      <c r="O4199" s="252">
        <v>0.04</v>
      </c>
    </row>
    <row r="4200" spans="1:15">
      <c r="A4200" s="242" t="s">
        <v>26</v>
      </c>
      <c r="B4200" s="43" t="s">
        <v>6</v>
      </c>
      <c r="C4200" s="15">
        <v>4</v>
      </c>
      <c r="D4200" s="244">
        <v>0</v>
      </c>
      <c r="E4200" s="244">
        <v>0</v>
      </c>
      <c r="F4200" s="244">
        <v>0</v>
      </c>
      <c r="G4200" s="244">
        <v>0</v>
      </c>
      <c r="H4200" s="244">
        <v>0</v>
      </c>
      <c r="I4200" s="244">
        <v>0</v>
      </c>
      <c r="J4200" s="244">
        <v>0</v>
      </c>
      <c r="K4200" s="244">
        <v>0</v>
      </c>
      <c r="L4200" s="244">
        <v>1</v>
      </c>
      <c r="M4200" s="244">
        <v>0</v>
      </c>
      <c r="N4200" s="244">
        <v>1</v>
      </c>
      <c r="O4200" s="254">
        <v>2</v>
      </c>
    </row>
    <row r="4201" ht="14.25" spans="1:15">
      <c r="A4201" s="245" t="s">
        <v>26</v>
      </c>
      <c r="B4201" s="52" t="s">
        <v>64</v>
      </c>
      <c r="C4201" s="19">
        <v>1</v>
      </c>
      <c r="D4201" s="19" t="e">
        <v>#DIV/0!</v>
      </c>
      <c r="E4201" s="19">
        <v>0</v>
      </c>
      <c r="F4201" s="19" t="e">
        <v>#DIV/0!</v>
      </c>
      <c r="G4201" s="19" t="e">
        <v>#DIV/0!</v>
      </c>
      <c r="H4201" s="19" t="e">
        <v>#DIV/0!</v>
      </c>
      <c r="I4201" s="19" t="e">
        <v>#DIV/0!</v>
      </c>
      <c r="J4201" s="19" t="e">
        <v>#DIV/0!</v>
      </c>
      <c r="K4201" s="19" t="e">
        <v>#DIV/0!</v>
      </c>
      <c r="L4201" s="19">
        <v>1</v>
      </c>
      <c r="M4201" s="19" t="e">
        <v>#DIV/0!</v>
      </c>
      <c r="N4201" s="19" t="e">
        <v>#DIV/0!</v>
      </c>
      <c r="O4201" s="19">
        <v>1</v>
      </c>
    </row>
    <row r="4202" spans="1:15">
      <c r="A4202" s="240" t="s">
        <v>71</v>
      </c>
      <c r="B4202" s="47" t="s">
        <v>55</v>
      </c>
      <c r="C4202" s="12">
        <v>206.5</v>
      </c>
      <c r="D4202" s="241" t="e">
        <v>#DIV/0!</v>
      </c>
      <c r="E4202" s="241" t="e">
        <v>#DIV/0!</v>
      </c>
      <c r="F4202" s="241">
        <v>7</v>
      </c>
      <c r="G4202" s="241" t="e">
        <v>#DIV/0!</v>
      </c>
      <c r="H4202" s="241" t="e">
        <v>#DIV/0!</v>
      </c>
      <c r="I4202" s="241" t="e">
        <v>#DIV/0!</v>
      </c>
      <c r="J4202" s="241" t="e">
        <v>#DIV/0!</v>
      </c>
      <c r="K4202" s="241" t="e">
        <v>#DIV/0!</v>
      </c>
      <c r="L4202" s="241" t="e">
        <v>#DIV/0!</v>
      </c>
      <c r="M4202" s="241" t="e">
        <v>#DIV/0!</v>
      </c>
      <c r="N4202" s="241" t="e">
        <v>#DIV/0!</v>
      </c>
      <c r="O4202" s="252" t="e">
        <v>#DIV/0!</v>
      </c>
    </row>
    <row r="4203" spans="1:15">
      <c r="A4203" s="242" t="s">
        <v>71</v>
      </c>
      <c r="B4203" s="43" t="s">
        <v>57</v>
      </c>
      <c r="C4203" s="15">
        <v>2</v>
      </c>
      <c r="D4203" s="243">
        <v>0</v>
      </c>
      <c r="E4203" s="243">
        <v>0</v>
      </c>
      <c r="F4203" s="243">
        <v>2</v>
      </c>
      <c r="G4203" s="243">
        <v>0</v>
      </c>
      <c r="H4203" s="243">
        <v>0</v>
      </c>
      <c r="I4203" s="243">
        <v>0</v>
      </c>
      <c r="J4203" s="243">
        <v>0</v>
      </c>
      <c r="K4203" s="243">
        <v>0</v>
      </c>
      <c r="L4203" s="243">
        <v>0</v>
      </c>
      <c r="M4203" s="243">
        <v>0</v>
      </c>
      <c r="N4203" s="243">
        <v>0</v>
      </c>
      <c r="O4203" s="253">
        <v>0</v>
      </c>
    </row>
    <row r="4204" spans="1:15">
      <c r="A4204" s="240" t="s">
        <v>71</v>
      </c>
      <c r="B4204" s="47" t="s">
        <v>59</v>
      </c>
      <c r="C4204" s="15">
        <v>413</v>
      </c>
      <c r="D4204" s="243">
        <v>47</v>
      </c>
      <c r="E4204" s="243">
        <v>24</v>
      </c>
      <c r="F4204" s="243">
        <v>14</v>
      </c>
      <c r="G4204" s="243">
        <v>19</v>
      </c>
      <c r="H4204" s="243">
        <v>22</v>
      </c>
      <c r="I4204" s="243">
        <v>36</v>
      </c>
      <c r="J4204" s="243">
        <v>37</v>
      </c>
      <c r="K4204" s="243">
        <v>44</v>
      </c>
      <c r="L4204" s="243">
        <v>40</v>
      </c>
      <c r="M4204" s="243">
        <v>32</v>
      </c>
      <c r="N4204" s="243">
        <v>47</v>
      </c>
      <c r="O4204" s="253">
        <v>51</v>
      </c>
    </row>
    <row r="4205" spans="1:15">
      <c r="A4205" s="242" t="s">
        <v>71</v>
      </c>
      <c r="B4205" s="43" t="s">
        <v>4</v>
      </c>
      <c r="C4205" s="15">
        <v>31</v>
      </c>
      <c r="D4205" s="244">
        <v>5</v>
      </c>
      <c r="E4205" s="244">
        <v>2</v>
      </c>
      <c r="F4205" s="244">
        <v>2</v>
      </c>
      <c r="G4205" s="244">
        <v>1</v>
      </c>
      <c r="H4205" s="244">
        <v>0</v>
      </c>
      <c r="I4205" s="244">
        <v>4</v>
      </c>
      <c r="J4205" s="244">
        <v>3</v>
      </c>
      <c r="K4205" s="244">
        <v>5</v>
      </c>
      <c r="L4205" s="244">
        <v>0</v>
      </c>
      <c r="M4205" s="244">
        <v>1</v>
      </c>
      <c r="N4205" s="244">
        <v>3</v>
      </c>
      <c r="O4205" s="254">
        <v>5</v>
      </c>
    </row>
    <row r="4206" spans="1:15">
      <c r="A4206" s="240" t="s">
        <v>71</v>
      </c>
      <c r="B4206" s="47" t="s">
        <v>5</v>
      </c>
      <c r="C4206" s="241">
        <v>0.0750605326876513</v>
      </c>
      <c r="D4206" s="241">
        <v>0.106382978723404</v>
      </c>
      <c r="E4206" s="241">
        <v>0.0833333333333333</v>
      </c>
      <c r="F4206" s="241">
        <v>0.142857142857143</v>
      </c>
      <c r="G4206" s="241">
        <v>0.0526315789473684</v>
      </c>
      <c r="H4206" s="241">
        <v>0</v>
      </c>
      <c r="I4206" s="241">
        <v>0.111111111111111</v>
      </c>
      <c r="J4206" s="241">
        <v>0.0810810810810811</v>
      </c>
      <c r="K4206" s="241">
        <v>0.113636363636364</v>
      </c>
      <c r="L4206" s="241">
        <v>0</v>
      </c>
      <c r="M4206" s="241">
        <v>0.03125</v>
      </c>
      <c r="N4206" s="241">
        <v>0.0638297872340425</v>
      </c>
      <c r="O4206" s="252">
        <v>0.0980392156862745</v>
      </c>
    </row>
    <row r="4207" spans="1:15">
      <c r="A4207" s="242" t="s">
        <v>71</v>
      </c>
      <c r="B4207" s="43" t="s">
        <v>6</v>
      </c>
      <c r="C4207" s="15">
        <v>9</v>
      </c>
      <c r="D4207" s="244">
        <v>0</v>
      </c>
      <c r="E4207" s="244">
        <v>0</v>
      </c>
      <c r="F4207" s="244">
        <v>1</v>
      </c>
      <c r="G4207" s="244">
        <v>0</v>
      </c>
      <c r="H4207" s="244">
        <v>0</v>
      </c>
      <c r="I4207" s="244">
        <v>0</v>
      </c>
      <c r="J4207" s="244">
        <v>3</v>
      </c>
      <c r="K4207" s="244">
        <v>3</v>
      </c>
      <c r="L4207" s="244">
        <v>0</v>
      </c>
      <c r="M4207" s="244">
        <v>0</v>
      </c>
      <c r="N4207" s="244">
        <v>1</v>
      </c>
      <c r="O4207" s="254">
        <v>1</v>
      </c>
    </row>
    <row r="4208" ht="14.25" spans="1:15">
      <c r="A4208" s="245" t="s">
        <v>71</v>
      </c>
      <c r="B4208" s="52" t="s">
        <v>64</v>
      </c>
      <c r="C4208" s="19">
        <v>0.290322580645161</v>
      </c>
      <c r="D4208" s="19">
        <v>0</v>
      </c>
      <c r="E4208" s="19">
        <v>0</v>
      </c>
      <c r="F4208" s="19">
        <v>0.5</v>
      </c>
      <c r="G4208" s="19">
        <v>0</v>
      </c>
      <c r="H4208" s="19" t="e">
        <v>#DIV/0!</v>
      </c>
      <c r="I4208" s="19">
        <v>0</v>
      </c>
      <c r="J4208" s="19">
        <v>1</v>
      </c>
      <c r="K4208" s="19">
        <v>0.6</v>
      </c>
      <c r="L4208" s="19" t="e">
        <v>#DIV/0!</v>
      </c>
      <c r="M4208" s="19">
        <v>0</v>
      </c>
      <c r="N4208" s="19">
        <v>0.333333333333333</v>
      </c>
      <c r="O4208" s="19">
        <v>0.2</v>
      </c>
    </row>
    <row r="4209" spans="1:15">
      <c r="A4209" s="240" t="s">
        <v>72</v>
      </c>
      <c r="B4209" s="47" t="s">
        <v>55</v>
      </c>
      <c r="C4209" s="12">
        <v>0.15273178807947</v>
      </c>
      <c r="D4209" s="241">
        <v>0.168627450980392</v>
      </c>
      <c r="E4209" s="241">
        <v>0.143410852713178</v>
      </c>
      <c r="F4209" s="241">
        <v>0.148148148148148</v>
      </c>
      <c r="G4209" s="241">
        <v>0.171270718232044</v>
      </c>
      <c r="H4209" s="241">
        <v>0.12621359223301</v>
      </c>
      <c r="I4209" s="241">
        <v>0.115979381443299</v>
      </c>
      <c r="J4209" s="241">
        <v>0.149038461538462</v>
      </c>
      <c r="K4209" s="241">
        <v>0.17704280155642</v>
      </c>
      <c r="L4209" s="241">
        <v>0.16256157635468</v>
      </c>
      <c r="M4209" s="241">
        <v>0.170984455958549</v>
      </c>
      <c r="N4209" s="241">
        <v>0.166129032258065</v>
      </c>
      <c r="O4209" s="252">
        <v>0.12824427480916</v>
      </c>
    </row>
    <row r="4210" spans="1:15">
      <c r="A4210" s="242" t="s">
        <v>72</v>
      </c>
      <c r="B4210" s="43" t="s">
        <v>57</v>
      </c>
      <c r="C4210" s="15">
        <v>4832</v>
      </c>
      <c r="D4210" s="243">
        <v>510</v>
      </c>
      <c r="E4210" s="243">
        <v>258</v>
      </c>
      <c r="F4210" s="243">
        <v>189</v>
      </c>
      <c r="G4210" s="243">
        <v>181</v>
      </c>
      <c r="H4210" s="243">
        <v>309</v>
      </c>
      <c r="I4210" s="243">
        <v>388</v>
      </c>
      <c r="J4210" s="243">
        <v>416</v>
      </c>
      <c r="K4210" s="243">
        <v>514</v>
      </c>
      <c r="L4210" s="243">
        <v>406</v>
      </c>
      <c r="M4210" s="243">
        <v>386</v>
      </c>
      <c r="N4210" s="243">
        <v>620</v>
      </c>
      <c r="O4210" s="253">
        <v>655</v>
      </c>
    </row>
    <row r="4211" spans="1:15">
      <c r="A4211" s="240" t="s">
        <v>72</v>
      </c>
      <c r="B4211" s="47" t="s">
        <v>59</v>
      </c>
      <c r="C4211" s="15">
        <v>738</v>
      </c>
      <c r="D4211" s="243">
        <v>86</v>
      </c>
      <c r="E4211" s="243">
        <v>37</v>
      </c>
      <c r="F4211" s="243">
        <v>28</v>
      </c>
      <c r="G4211" s="243">
        <v>31</v>
      </c>
      <c r="H4211" s="243">
        <v>39</v>
      </c>
      <c r="I4211" s="243">
        <v>45</v>
      </c>
      <c r="J4211" s="243">
        <v>62</v>
      </c>
      <c r="K4211" s="243">
        <v>91</v>
      </c>
      <c r="L4211" s="243">
        <v>66</v>
      </c>
      <c r="M4211" s="243">
        <v>66</v>
      </c>
      <c r="N4211" s="243">
        <v>103</v>
      </c>
      <c r="O4211" s="253">
        <v>84</v>
      </c>
    </row>
    <row r="4212" spans="1:15">
      <c r="A4212" s="242" t="s">
        <v>72</v>
      </c>
      <c r="B4212" s="43" t="s">
        <v>4</v>
      </c>
      <c r="C4212" s="15">
        <v>59</v>
      </c>
      <c r="D4212" s="244">
        <v>9</v>
      </c>
      <c r="E4212" s="244">
        <v>3</v>
      </c>
      <c r="F4212" s="244">
        <v>3</v>
      </c>
      <c r="G4212" s="244">
        <v>2</v>
      </c>
      <c r="H4212" s="244">
        <v>2</v>
      </c>
      <c r="I4212" s="244">
        <v>1</v>
      </c>
      <c r="J4212" s="244">
        <v>5</v>
      </c>
      <c r="K4212" s="244">
        <v>8</v>
      </c>
      <c r="L4212" s="244">
        <v>6</v>
      </c>
      <c r="M4212" s="244">
        <v>6</v>
      </c>
      <c r="N4212" s="244">
        <v>7</v>
      </c>
      <c r="O4212" s="254">
        <v>7</v>
      </c>
    </row>
    <row r="4213" spans="1:15">
      <c r="A4213" s="240" t="s">
        <v>72</v>
      </c>
      <c r="B4213" s="47" t="s">
        <v>5</v>
      </c>
      <c r="C4213" s="12">
        <v>0.0799457994579946</v>
      </c>
      <c r="D4213" s="241">
        <v>0.104651162790698</v>
      </c>
      <c r="E4213" s="241">
        <v>0.0810810810810811</v>
      </c>
      <c r="F4213" s="241">
        <v>0.107142857142857</v>
      </c>
      <c r="G4213" s="241">
        <v>0.0645161290322581</v>
      </c>
      <c r="H4213" s="241">
        <v>0.0512820512820513</v>
      </c>
      <c r="I4213" s="241">
        <v>0.0222222222222222</v>
      </c>
      <c r="J4213" s="241">
        <v>0.0806451612903226</v>
      </c>
      <c r="K4213" s="241">
        <v>0.0879120879120879</v>
      </c>
      <c r="L4213" s="241">
        <v>0.0909090909090909</v>
      </c>
      <c r="M4213" s="241">
        <v>0.0909090909090909</v>
      </c>
      <c r="N4213" s="241">
        <v>0.0679611650485437</v>
      </c>
      <c r="O4213" s="252">
        <v>0.0833333333333333</v>
      </c>
    </row>
    <row r="4214" spans="1:15">
      <c r="A4214" s="242" t="s">
        <v>72</v>
      </c>
      <c r="B4214" s="43" t="s">
        <v>6</v>
      </c>
      <c r="C4214" s="15">
        <v>15</v>
      </c>
      <c r="D4214" s="244">
        <v>2</v>
      </c>
      <c r="E4214" s="244">
        <v>2</v>
      </c>
      <c r="F4214" s="244">
        <v>1</v>
      </c>
      <c r="G4214" s="244">
        <v>0</v>
      </c>
      <c r="H4214" s="244">
        <v>0</v>
      </c>
      <c r="I4214" s="244">
        <v>2</v>
      </c>
      <c r="J4214" s="244">
        <v>2</v>
      </c>
      <c r="K4214" s="244">
        <v>1</v>
      </c>
      <c r="L4214" s="244">
        <v>1</v>
      </c>
      <c r="M4214" s="244">
        <v>2</v>
      </c>
      <c r="N4214" s="244">
        <v>1</v>
      </c>
      <c r="O4214" s="254">
        <v>1</v>
      </c>
    </row>
    <row r="4215" ht="14.25" spans="1:15">
      <c r="A4215" s="245" t="s">
        <v>72</v>
      </c>
      <c r="B4215" s="52" t="s">
        <v>64</v>
      </c>
      <c r="C4215" s="19">
        <v>0.254237288135593</v>
      </c>
      <c r="D4215" s="19">
        <v>0.222222222222222</v>
      </c>
      <c r="E4215" s="19">
        <v>0.666666666666667</v>
      </c>
      <c r="F4215" s="19">
        <v>0.333333333333333</v>
      </c>
      <c r="G4215" s="19">
        <v>0</v>
      </c>
      <c r="H4215" s="19">
        <v>0</v>
      </c>
      <c r="I4215" s="19">
        <v>2</v>
      </c>
      <c r="J4215" s="19">
        <v>0.4</v>
      </c>
      <c r="K4215" s="19">
        <v>0.125</v>
      </c>
      <c r="L4215" s="19">
        <v>0.166666666666667</v>
      </c>
      <c r="M4215" s="19">
        <v>0.333333333333333</v>
      </c>
      <c r="N4215" s="19">
        <v>0.142857142857143</v>
      </c>
      <c r="O4215" s="19">
        <v>0.142857142857143</v>
      </c>
    </row>
    <row r="4216" ht="14.25" spans="1:15">
      <c r="A4216" s="237">
        <v>45084</v>
      </c>
      <c r="B4216" s="237"/>
      <c r="C4216" s="237"/>
      <c r="D4216" s="237"/>
      <c r="E4216" s="237"/>
      <c r="F4216" s="237"/>
      <c r="G4216" s="237"/>
      <c r="H4216" s="237"/>
      <c r="I4216" s="237"/>
      <c r="J4216" s="237"/>
      <c r="K4216" s="237"/>
      <c r="L4216" s="237"/>
      <c r="M4216" s="237"/>
      <c r="N4216" s="237"/>
      <c r="O4216" s="237"/>
    </row>
    <row r="4217" spans="1:15">
      <c r="A4217" s="56" t="s">
        <v>1</v>
      </c>
      <c r="B4217" s="238"/>
      <c r="C4217" s="8" t="s">
        <v>42</v>
      </c>
      <c r="D4217" s="239" t="s">
        <v>43</v>
      </c>
      <c r="E4217" s="239" t="s">
        <v>44</v>
      </c>
      <c r="F4217" s="239" t="s">
        <v>45</v>
      </c>
      <c r="G4217" s="239" t="s">
        <v>46</v>
      </c>
      <c r="H4217" s="239" t="s">
        <v>47</v>
      </c>
      <c r="I4217" s="239" t="s">
        <v>48</v>
      </c>
      <c r="J4217" s="239" t="s">
        <v>49</v>
      </c>
      <c r="K4217" s="239" t="s">
        <v>50</v>
      </c>
      <c r="L4217" s="239" t="s">
        <v>51</v>
      </c>
      <c r="M4217" s="239" t="s">
        <v>52</v>
      </c>
      <c r="N4217" s="239" t="s">
        <v>53</v>
      </c>
      <c r="O4217" s="251" t="s">
        <v>54</v>
      </c>
    </row>
    <row r="4218" spans="1:15">
      <c r="A4218" s="240" t="s">
        <v>22</v>
      </c>
      <c r="B4218" s="47" t="s">
        <v>55</v>
      </c>
      <c r="C4218" s="12">
        <v>0.341313419723259</v>
      </c>
      <c r="D4218" s="241">
        <v>0.354838709677419</v>
      </c>
      <c r="E4218" s="241">
        <v>0.325670498084291</v>
      </c>
      <c r="F4218" s="241">
        <v>0.368098159509202</v>
      </c>
      <c r="G4218" s="241">
        <v>0.428571428571429</v>
      </c>
      <c r="H4218" s="241">
        <v>0.428571428571429</v>
      </c>
      <c r="I4218" s="241">
        <v>0.30749354005168</v>
      </c>
      <c r="J4218" s="241">
        <v>0.349875930521092</v>
      </c>
      <c r="K4218" s="241">
        <v>0.346613545816733</v>
      </c>
      <c r="L4218" s="241">
        <v>0.324742268041237</v>
      </c>
      <c r="M4218" s="241">
        <v>0.308390022675737</v>
      </c>
      <c r="N4218" s="241">
        <v>0.322295805739514</v>
      </c>
      <c r="O4218" s="252">
        <v>0.307262569832402</v>
      </c>
    </row>
    <row r="4219" spans="1:15">
      <c r="A4219" s="242" t="s">
        <v>22</v>
      </c>
      <c r="B4219" s="43" t="s">
        <v>57</v>
      </c>
      <c r="C4219" s="15">
        <v>4553</v>
      </c>
      <c r="D4219" s="243">
        <v>465</v>
      </c>
      <c r="E4219" s="243">
        <v>261</v>
      </c>
      <c r="F4219" s="243">
        <v>163</v>
      </c>
      <c r="G4219" s="243">
        <v>231</v>
      </c>
      <c r="H4219" s="243">
        <v>322</v>
      </c>
      <c r="I4219" s="243">
        <v>387</v>
      </c>
      <c r="J4219" s="243">
        <v>403</v>
      </c>
      <c r="K4219" s="243">
        <v>502</v>
      </c>
      <c r="L4219" s="243">
        <v>388</v>
      </c>
      <c r="M4219" s="243">
        <v>441</v>
      </c>
      <c r="N4219" s="243">
        <v>453</v>
      </c>
      <c r="O4219" s="253">
        <v>537</v>
      </c>
    </row>
    <row r="4220" spans="1:15">
      <c r="A4220" s="240" t="s">
        <v>22</v>
      </c>
      <c r="B4220" s="47" t="s">
        <v>59</v>
      </c>
      <c r="C4220" s="15">
        <v>1554</v>
      </c>
      <c r="D4220" s="243">
        <v>165</v>
      </c>
      <c r="E4220" s="243">
        <v>85</v>
      </c>
      <c r="F4220" s="243">
        <v>60</v>
      </c>
      <c r="G4220" s="243">
        <v>99</v>
      </c>
      <c r="H4220" s="243">
        <v>138</v>
      </c>
      <c r="I4220" s="243">
        <v>119</v>
      </c>
      <c r="J4220" s="243">
        <v>141</v>
      </c>
      <c r="K4220" s="243">
        <v>174</v>
      </c>
      <c r="L4220" s="243">
        <v>126</v>
      </c>
      <c r="M4220" s="243">
        <v>136</v>
      </c>
      <c r="N4220" s="243">
        <v>146</v>
      </c>
      <c r="O4220" s="253">
        <v>165</v>
      </c>
    </row>
    <row r="4221" spans="1:15">
      <c r="A4221" s="242" t="s">
        <v>22</v>
      </c>
      <c r="B4221" s="43" t="s">
        <v>4</v>
      </c>
      <c r="C4221" s="15">
        <v>120</v>
      </c>
      <c r="D4221" s="244">
        <v>19</v>
      </c>
      <c r="E4221" s="244">
        <v>8</v>
      </c>
      <c r="F4221" s="244">
        <v>6</v>
      </c>
      <c r="G4221" s="244">
        <v>3</v>
      </c>
      <c r="H4221" s="244">
        <v>13</v>
      </c>
      <c r="I4221" s="244">
        <v>10</v>
      </c>
      <c r="J4221" s="244">
        <v>8</v>
      </c>
      <c r="K4221" s="244">
        <v>6</v>
      </c>
      <c r="L4221" s="244">
        <v>7</v>
      </c>
      <c r="M4221" s="244">
        <v>10</v>
      </c>
      <c r="N4221" s="244">
        <v>18</v>
      </c>
      <c r="O4221" s="254">
        <v>12</v>
      </c>
    </row>
    <row r="4222" spans="1:15">
      <c r="A4222" s="240" t="s">
        <v>22</v>
      </c>
      <c r="B4222" s="47" t="s">
        <v>5</v>
      </c>
      <c r="C4222" s="12">
        <v>0.0772200772200772</v>
      </c>
      <c r="D4222" s="241">
        <v>0.115151515151515</v>
      </c>
      <c r="E4222" s="241">
        <v>0.0941176470588235</v>
      </c>
      <c r="F4222" s="241">
        <v>0.1</v>
      </c>
      <c r="G4222" s="241">
        <v>0.0303030303030303</v>
      </c>
      <c r="H4222" s="241">
        <v>0.0942028985507246</v>
      </c>
      <c r="I4222" s="241">
        <v>0.0840336134453782</v>
      </c>
      <c r="J4222" s="241">
        <v>0.0567375886524823</v>
      </c>
      <c r="K4222" s="241">
        <v>0.0344827586206897</v>
      </c>
      <c r="L4222" s="241">
        <v>0.0555555555555556</v>
      </c>
      <c r="M4222" s="241">
        <v>0.0735294117647059</v>
      </c>
      <c r="N4222" s="241">
        <v>0.123287671232877</v>
      </c>
      <c r="O4222" s="252">
        <v>0.0727272727272727</v>
      </c>
    </row>
    <row r="4223" spans="1:15">
      <c r="A4223" s="242" t="s">
        <v>22</v>
      </c>
      <c r="B4223" s="43" t="s">
        <v>6</v>
      </c>
      <c r="C4223" s="15">
        <v>47</v>
      </c>
      <c r="D4223" s="244">
        <v>8</v>
      </c>
      <c r="E4223" s="244">
        <v>3</v>
      </c>
      <c r="F4223" s="244">
        <v>5</v>
      </c>
      <c r="G4223" s="244">
        <v>1</v>
      </c>
      <c r="H4223" s="244">
        <v>1</v>
      </c>
      <c r="I4223" s="244">
        <v>5</v>
      </c>
      <c r="J4223" s="244">
        <v>2</v>
      </c>
      <c r="K4223" s="244">
        <v>5</v>
      </c>
      <c r="L4223" s="244">
        <v>2</v>
      </c>
      <c r="M4223" s="244">
        <v>5</v>
      </c>
      <c r="N4223" s="244">
        <v>7</v>
      </c>
      <c r="O4223" s="254">
        <v>3</v>
      </c>
    </row>
    <row r="4224" ht="14.25" spans="1:15">
      <c r="A4224" s="245" t="s">
        <v>22</v>
      </c>
      <c r="B4224" s="52" t="s">
        <v>64</v>
      </c>
      <c r="C4224" s="19">
        <v>0.391666666666667</v>
      </c>
      <c r="D4224" s="246">
        <v>0.421052631578947</v>
      </c>
      <c r="E4224" s="246">
        <v>0.375</v>
      </c>
      <c r="F4224" s="246">
        <v>0.833333333333333</v>
      </c>
      <c r="G4224" s="246">
        <v>0.333333333333333</v>
      </c>
      <c r="H4224" s="246">
        <v>0.0769230769230769</v>
      </c>
      <c r="I4224" s="246">
        <v>0.5</v>
      </c>
      <c r="J4224" s="246">
        <v>0.25</v>
      </c>
      <c r="K4224" s="246">
        <v>0.833333333333333</v>
      </c>
      <c r="L4224" s="246">
        <v>0.285714285714286</v>
      </c>
      <c r="M4224" s="246">
        <v>0.5</v>
      </c>
      <c r="N4224" s="246">
        <v>0.388888888888889</v>
      </c>
      <c r="O4224" s="255">
        <v>0.25</v>
      </c>
    </row>
    <row r="4225" spans="1:15">
      <c r="A4225" s="247" t="s">
        <v>66</v>
      </c>
      <c r="B4225" s="248" t="s">
        <v>55</v>
      </c>
      <c r="C4225" s="12">
        <v>0.0774270399047052</v>
      </c>
      <c r="D4225" s="249">
        <v>0.0570342205323194</v>
      </c>
      <c r="E4225" s="249">
        <v>0.0216216216216216</v>
      </c>
      <c r="F4225" s="249">
        <v>0.0426829268292683</v>
      </c>
      <c r="G4225" s="249">
        <v>0.0394736842105263</v>
      </c>
      <c r="H4225" s="249">
        <v>0.102189781021898</v>
      </c>
      <c r="I4225" s="249">
        <v>0.0559440559440559</v>
      </c>
      <c r="J4225" s="249">
        <v>0.0934579439252336</v>
      </c>
      <c r="K4225" s="249">
        <v>0.152671755725191</v>
      </c>
      <c r="L4225" s="249">
        <v>0.105769230769231</v>
      </c>
      <c r="M4225" s="249">
        <v>0.107142857142857</v>
      </c>
      <c r="N4225" s="249">
        <v>0.105263157894737</v>
      </c>
      <c r="O4225" s="256">
        <v>0.147368421052632</v>
      </c>
    </row>
    <row r="4226" spans="1:15">
      <c r="A4226" s="242" t="s">
        <v>66</v>
      </c>
      <c r="B4226" s="43" t="s">
        <v>57</v>
      </c>
      <c r="C4226" s="15">
        <v>1679</v>
      </c>
      <c r="D4226" s="243">
        <v>263</v>
      </c>
      <c r="E4226" s="243">
        <v>185</v>
      </c>
      <c r="F4226" s="243">
        <v>164</v>
      </c>
      <c r="G4226" s="243">
        <v>152</v>
      </c>
      <c r="H4226" s="243">
        <v>137</v>
      </c>
      <c r="I4226" s="243">
        <v>143</v>
      </c>
      <c r="J4226" s="243">
        <v>107</v>
      </c>
      <c r="K4226" s="243">
        <v>131</v>
      </c>
      <c r="L4226" s="243">
        <v>104</v>
      </c>
      <c r="M4226" s="243">
        <v>84</v>
      </c>
      <c r="N4226" s="243">
        <v>114</v>
      </c>
      <c r="O4226" s="253">
        <v>95</v>
      </c>
    </row>
    <row r="4227" spans="1:15">
      <c r="A4227" s="240" t="s">
        <v>66</v>
      </c>
      <c r="B4227" s="47" t="s">
        <v>59</v>
      </c>
      <c r="C4227" s="15">
        <v>130</v>
      </c>
      <c r="D4227" s="243">
        <v>15</v>
      </c>
      <c r="E4227" s="243">
        <v>4</v>
      </c>
      <c r="F4227" s="243">
        <v>7</v>
      </c>
      <c r="G4227" s="243">
        <v>6</v>
      </c>
      <c r="H4227" s="243">
        <v>14</v>
      </c>
      <c r="I4227" s="243">
        <v>8</v>
      </c>
      <c r="J4227" s="243">
        <v>10</v>
      </c>
      <c r="K4227" s="243">
        <v>20</v>
      </c>
      <c r="L4227" s="243">
        <v>11</v>
      </c>
      <c r="M4227" s="243">
        <v>9</v>
      </c>
      <c r="N4227" s="243">
        <v>12</v>
      </c>
      <c r="O4227" s="253">
        <v>14</v>
      </c>
    </row>
    <row r="4228" spans="1:15">
      <c r="A4228" s="242" t="s">
        <v>66</v>
      </c>
      <c r="B4228" s="43" t="s">
        <v>4</v>
      </c>
      <c r="C4228" s="15">
        <v>10</v>
      </c>
      <c r="D4228" s="244">
        <v>1</v>
      </c>
      <c r="E4228" s="244">
        <v>0</v>
      </c>
      <c r="F4228" s="244">
        <v>1</v>
      </c>
      <c r="G4228" s="244">
        <v>0</v>
      </c>
      <c r="H4228" s="244">
        <v>2</v>
      </c>
      <c r="I4228" s="244">
        <v>0</v>
      </c>
      <c r="J4228" s="244">
        <v>3</v>
      </c>
      <c r="K4228" s="244">
        <v>0</v>
      </c>
      <c r="L4228" s="244">
        <v>1</v>
      </c>
      <c r="M4228" s="244">
        <v>0</v>
      </c>
      <c r="N4228" s="244">
        <v>0</v>
      </c>
      <c r="O4228" s="254">
        <v>2</v>
      </c>
    </row>
    <row r="4229" spans="1:15">
      <c r="A4229" s="240" t="s">
        <v>66</v>
      </c>
      <c r="B4229" s="47" t="s">
        <v>5</v>
      </c>
      <c r="C4229" s="12">
        <v>0.0769230769230769</v>
      </c>
      <c r="D4229" s="241">
        <v>0.0666666666666667</v>
      </c>
      <c r="E4229" s="241">
        <v>0</v>
      </c>
      <c r="F4229" s="241">
        <v>0.142857142857143</v>
      </c>
      <c r="G4229" s="241">
        <v>0</v>
      </c>
      <c r="H4229" s="241">
        <v>0.142857142857143</v>
      </c>
      <c r="I4229" s="241">
        <v>0</v>
      </c>
      <c r="J4229" s="241">
        <v>0.3</v>
      </c>
      <c r="K4229" s="241">
        <v>0</v>
      </c>
      <c r="L4229" s="241">
        <v>0.0909090909090909</v>
      </c>
      <c r="M4229" s="241">
        <v>0</v>
      </c>
      <c r="N4229" s="241">
        <v>0</v>
      </c>
      <c r="O4229" s="252">
        <v>0.142857142857143</v>
      </c>
    </row>
    <row r="4230" spans="1:15">
      <c r="A4230" s="242" t="s">
        <v>66</v>
      </c>
      <c r="B4230" s="43" t="s">
        <v>6</v>
      </c>
      <c r="C4230" s="15">
        <v>4</v>
      </c>
      <c r="D4230" s="244">
        <v>1</v>
      </c>
      <c r="E4230" s="244">
        <v>0</v>
      </c>
      <c r="F4230" s="244">
        <v>0</v>
      </c>
      <c r="G4230" s="244">
        <v>0</v>
      </c>
      <c r="H4230" s="244">
        <v>1</v>
      </c>
      <c r="I4230" s="244">
        <v>0</v>
      </c>
      <c r="J4230" s="244">
        <v>1</v>
      </c>
      <c r="K4230" s="244">
        <v>0</v>
      </c>
      <c r="L4230" s="244">
        <v>0</v>
      </c>
      <c r="M4230" s="244">
        <v>0</v>
      </c>
      <c r="N4230" s="244">
        <v>0</v>
      </c>
      <c r="O4230" s="254">
        <v>1</v>
      </c>
    </row>
    <row r="4231" ht="14.25" spans="1:15">
      <c r="A4231" s="245" t="s">
        <v>66</v>
      </c>
      <c r="B4231" s="52" t="s">
        <v>64</v>
      </c>
      <c r="C4231" s="19">
        <v>0.4</v>
      </c>
      <c r="D4231" s="246">
        <v>1</v>
      </c>
      <c r="E4231" s="246">
        <v>0</v>
      </c>
      <c r="F4231" s="246">
        <v>0</v>
      </c>
      <c r="G4231" s="246">
        <v>0</v>
      </c>
      <c r="H4231" s="246">
        <v>0.5</v>
      </c>
      <c r="I4231" s="246">
        <v>0</v>
      </c>
      <c r="J4231" s="246">
        <v>0.333333333333333</v>
      </c>
      <c r="K4231" s="246">
        <v>0</v>
      </c>
      <c r="L4231" s="246">
        <v>0</v>
      </c>
      <c r="M4231" s="246">
        <v>0</v>
      </c>
      <c r="N4231" s="246">
        <v>0</v>
      </c>
      <c r="O4231" s="255">
        <v>0.5</v>
      </c>
    </row>
    <row r="4232" spans="1:15">
      <c r="A4232" s="240" t="s">
        <v>67</v>
      </c>
      <c r="B4232" s="47" t="s">
        <v>55</v>
      </c>
      <c r="C4232" s="12">
        <v>0.337874659400545</v>
      </c>
      <c r="D4232" s="241">
        <v>0.309090909090909</v>
      </c>
      <c r="E4232" s="241">
        <v>0.357142857142857</v>
      </c>
      <c r="F4232" s="241">
        <v>0.4</v>
      </c>
      <c r="G4232" s="241">
        <v>0.606060606060606</v>
      </c>
      <c r="H4232" s="241">
        <v>0.384615384615385</v>
      </c>
      <c r="I4232" s="241">
        <v>0.265625</v>
      </c>
      <c r="J4232" s="241">
        <v>0.318840579710145</v>
      </c>
      <c r="K4232" s="241">
        <v>0.48936170212766</v>
      </c>
      <c r="L4232" s="241">
        <v>0.302631578947368</v>
      </c>
      <c r="M4232" s="241">
        <v>0.354430379746835</v>
      </c>
      <c r="N4232" s="241">
        <v>0.271929824561404</v>
      </c>
      <c r="O4232" s="252">
        <v>0.298969072164948</v>
      </c>
    </row>
    <row r="4233" spans="1:15">
      <c r="A4233" s="242" t="s">
        <v>67</v>
      </c>
      <c r="B4233" s="43" t="s">
        <v>57</v>
      </c>
      <c r="C4233" s="15">
        <v>734</v>
      </c>
      <c r="D4233" s="243">
        <v>55</v>
      </c>
      <c r="E4233" s="243">
        <v>28</v>
      </c>
      <c r="F4233" s="243">
        <v>20</v>
      </c>
      <c r="G4233" s="243">
        <v>33</v>
      </c>
      <c r="H4233" s="243">
        <v>52</v>
      </c>
      <c r="I4233" s="243">
        <v>64</v>
      </c>
      <c r="J4233" s="243">
        <v>69</v>
      </c>
      <c r="K4233" s="243">
        <v>47</v>
      </c>
      <c r="L4233" s="243">
        <v>76</v>
      </c>
      <c r="M4233" s="243">
        <v>79</v>
      </c>
      <c r="N4233" s="243">
        <v>114</v>
      </c>
      <c r="O4233" s="253">
        <v>97</v>
      </c>
    </row>
    <row r="4234" spans="1:15">
      <c r="A4234" s="240" t="s">
        <v>67</v>
      </c>
      <c r="B4234" s="47" t="s">
        <v>59</v>
      </c>
      <c r="C4234" s="15">
        <v>248</v>
      </c>
      <c r="D4234" s="243">
        <v>17</v>
      </c>
      <c r="E4234" s="243">
        <v>10</v>
      </c>
      <c r="F4234" s="243">
        <v>8</v>
      </c>
      <c r="G4234" s="243">
        <v>20</v>
      </c>
      <c r="H4234" s="243">
        <v>20</v>
      </c>
      <c r="I4234" s="243">
        <v>17</v>
      </c>
      <c r="J4234" s="243">
        <v>22</v>
      </c>
      <c r="K4234" s="243">
        <v>23</v>
      </c>
      <c r="L4234" s="243">
        <v>23</v>
      </c>
      <c r="M4234" s="243">
        <v>28</v>
      </c>
      <c r="N4234" s="243">
        <v>31</v>
      </c>
      <c r="O4234" s="253">
        <v>29</v>
      </c>
    </row>
    <row r="4235" spans="1:15">
      <c r="A4235" s="242" t="s">
        <v>67</v>
      </c>
      <c r="B4235" s="43" t="s">
        <v>4</v>
      </c>
      <c r="C4235" s="15">
        <v>15</v>
      </c>
      <c r="D4235" s="244">
        <v>1</v>
      </c>
      <c r="E4235" s="244">
        <v>0</v>
      </c>
      <c r="F4235" s="244">
        <v>0</v>
      </c>
      <c r="G4235" s="244">
        <v>1</v>
      </c>
      <c r="H4235" s="244">
        <v>0</v>
      </c>
      <c r="I4235" s="244">
        <v>0</v>
      </c>
      <c r="J4235" s="244">
        <v>1</v>
      </c>
      <c r="K4235" s="244">
        <v>1</v>
      </c>
      <c r="L4235" s="244">
        <v>0</v>
      </c>
      <c r="M4235" s="244">
        <v>4</v>
      </c>
      <c r="N4235" s="244">
        <v>4</v>
      </c>
      <c r="O4235" s="254">
        <v>3</v>
      </c>
    </row>
    <row r="4236" spans="1:15">
      <c r="A4236" s="240" t="s">
        <v>67</v>
      </c>
      <c r="B4236" s="47" t="s">
        <v>5</v>
      </c>
      <c r="C4236" s="12">
        <v>0.0604838709677419</v>
      </c>
      <c r="D4236" s="241">
        <v>0.0588235294117647</v>
      </c>
      <c r="E4236" s="241">
        <v>0</v>
      </c>
      <c r="F4236" s="241">
        <v>0</v>
      </c>
      <c r="G4236" s="241">
        <v>0.05</v>
      </c>
      <c r="H4236" s="241">
        <v>0</v>
      </c>
      <c r="I4236" s="241">
        <v>0</v>
      </c>
      <c r="J4236" s="241">
        <v>0.0454545454545455</v>
      </c>
      <c r="K4236" s="241">
        <v>0.0434782608695652</v>
      </c>
      <c r="L4236" s="241">
        <v>0</v>
      </c>
      <c r="M4236" s="241">
        <v>0.142857142857143</v>
      </c>
      <c r="N4236" s="241">
        <v>0.129032258064516</v>
      </c>
      <c r="O4236" s="252">
        <v>0.103448275862069</v>
      </c>
    </row>
    <row r="4237" spans="1:15">
      <c r="A4237" s="242" t="s">
        <v>67</v>
      </c>
      <c r="B4237" s="43" t="s">
        <v>6</v>
      </c>
      <c r="C4237" s="15">
        <v>8</v>
      </c>
      <c r="D4237" s="244">
        <v>1</v>
      </c>
      <c r="E4237" s="244">
        <v>0</v>
      </c>
      <c r="F4237" s="244">
        <v>1</v>
      </c>
      <c r="G4237" s="244">
        <v>0</v>
      </c>
      <c r="H4237" s="244">
        <v>0</v>
      </c>
      <c r="I4237" s="244">
        <v>0</v>
      </c>
      <c r="J4237" s="244">
        <v>1</v>
      </c>
      <c r="K4237" s="244">
        <v>0</v>
      </c>
      <c r="L4237" s="244">
        <v>1</v>
      </c>
      <c r="M4237" s="244">
        <v>3</v>
      </c>
      <c r="N4237" s="244">
        <v>1</v>
      </c>
      <c r="O4237" s="254">
        <v>0</v>
      </c>
    </row>
    <row r="4238" ht="14.25" spans="1:15">
      <c r="A4238" s="245" t="s">
        <v>67</v>
      </c>
      <c r="B4238" s="52" t="s">
        <v>64</v>
      </c>
      <c r="C4238" s="19">
        <v>0.533333333333333</v>
      </c>
      <c r="D4238" s="246">
        <v>1</v>
      </c>
      <c r="E4238" s="246">
        <v>0</v>
      </c>
      <c r="F4238" s="246">
        <v>0</v>
      </c>
      <c r="G4238" s="246">
        <v>0</v>
      </c>
      <c r="H4238" s="246">
        <v>0</v>
      </c>
      <c r="I4238" s="246">
        <v>0</v>
      </c>
      <c r="J4238" s="246">
        <v>1</v>
      </c>
      <c r="K4238" s="246">
        <v>0</v>
      </c>
      <c r="L4238" s="246">
        <v>0</v>
      </c>
      <c r="M4238" s="246">
        <v>0.75</v>
      </c>
      <c r="N4238" s="246">
        <v>0.25</v>
      </c>
      <c r="O4238" s="255">
        <v>0</v>
      </c>
    </row>
    <row r="4239" spans="1:15">
      <c r="A4239" s="240" t="s">
        <v>68</v>
      </c>
      <c r="B4239" s="47" t="s">
        <v>55</v>
      </c>
      <c r="C4239" s="12">
        <v>0.242828741834706</v>
      </c>
      <c r="D4239" s="241">
        <v>0.256493506493506</v>
      </c>
      <c r="E4239" s="241">
        <v>0.23448275862069</v>
      </c>
      <c r="F4239" s="241">
        <v>0.470588235294118</v>
      </c>
      <c r="G4239" s="241">
        <v>0.326666666666667</v>
      </c>
      <c r="H4239" s="241">
        <v>0.301075268817204</v>
      </c>
      <c r="I4239" s="241">
        <v>0.196875</v>
      </c>
      <c r="J4239" s="241">
        <v>0.219135802469136</v>
      </c>
      <c r="K4239" s="241">
        <v>0.227748691099476</v>
      </c>
      <c r="L4239" s="241">
        <v>0.236220472440945</v>
      </c>
      <c r="M4239" s="241">
        <v>0.215189873417722</v>
      </c>
      <c r="N4239" s="241">
        <v>0.223756906077348</v>
      </c>
      <c r="O4239" s="252">
        <v>0.203349282296651</v>
      </c>
    </row>
    <row r="4240" spans="1:15">
      <c r="A4240" s="242" t="s">
        <v>68</v>
      </c>
      <c r="B4240" s="43" t="s">
        <v>57</v>
      </c>
      <c r="C4240" s="15">
        <v>3521</v>
      </c>
      <c r="D4240" s="243">
        <v>308</v>
      </c>
      <c r="E4240" s="243">
        <v>145</v>
      </c>
      <c r="F4240" s="243">
        <v>136</v>
      </c>
      <c r="G4240" s="243">
        <v>150</v>
      </c>
      <c r="H4240" s="243">
        <v>279</v>
      </c>
      <c r="I4240" s="243">
        <v>320</v>
      </c>
      <c r="J4240" s="243">
        <v>324</v>
      </c>
      <c r="K4240" s="243">
        <v>382</v>
      </c>
      <c r="L4240" s="243">
        <v>381</v>
      </c>
      <c r="M4240" s="243">
        <v>316</v>
      </c>
      <c r="N4240" s="243">
        <v>362</v>
      </c>
      <c r="O4240" s="253">
        <v>418</v>
      </c>
    </row>
    <row r="4241" spans="1:15">
      <c r="A4241" s="240" t="s">
        <v>68</v>
      </c>
      <c r="B4241" s="47" t="s">
        <v>59</v>
      </c>
      <c r="C4241" s="15">
        <v>855</v>
      </c>
      <c r="D4241" s="243">
        <v>79</v>
      </c>
      <c r="E4241" s="243">
        <v>34</v>
      </c>
      <c r="F4241" s="243">
        <v>64</v>
      </c>
      <c r="G4241" s="243">
        <v>49</v>
      </c>
      <c r="H4241" s="243">
        <v>84</v>
      </c>
      <c r="I4241" s="243">
        <v>63</v>
      </c>
      <c r="J4241" s="243">
        <v>71</v>
      </c>
      <c r="K4241" s="243">
        <v>87</v>
      </c>
      <c r="L4241" s="243">
        <v>90</v>
      </c>
      <c r="M4241" s="243">
        <v>68</v>
      </c>
      <c r="N4241" s="243">
        <v>81</v>
      </c>
      <c r="O4241" s="253">
        <v>85</v>
      </c>
    </row>
    <row r="4242" spans="1:15">
      <c r="A4242" s="242" t="s">
        <v>68</v>
      </c>
      <c r="B4242" s="43" t="s">
        <v>4</v>
      </c>
      <c r="C4242" s="15">
        <v>35</v>
      </c>
      <c r="D4242" s="244">
        <v>5</v>
      </c>
      <c r="E4242" s="244">
        <v>2</v>
      </c>
      <c r="F4242" s="244">
        <v>0</v>
      </c>
      <c r="G4242" s="244">
        <v>3</v>
      </c>
      <c r="H4242" s="244">
        <v>5</v>
      </c>
      <c r="I4242" s="244">
        <v>2</v>
      </c>
      <c r="J4242" s="244">
        <v>3</v>
      </c>
      <c r="K4242" s="244">
        <v>3</v>
      </c>
      <c r="L4242" s="244">
        <v>3</v>
      </c>
      <c r="M4242" s="244">
        <v>1</v>
      </c>
      <c r="N4242" s="244">
        <v>5</v>
      </c>
      <c r="O4242" s="254">
        <v>3</v>
      </c>
    </row>
    <row r="4243" spans="1:15">
      <c r="A4243" s="240" t="s">
        <v>68</v>
      </c>
      <c r="B4243" s="47" t="s">
        <v>5</v>
      </c>
      <c r="C4243" s="12">
        <v>0.0409356725146199</v>
      </c>
      <c r="D4243" s="241">
        <v>0.0632911392405063</v>
      </c>
      <c r="E4243" s="241">
        <v>0.0588235294117647</v>
      </c>
      <c r="F4243" s="241">
        <v>0</v>
      </c>
      <c r="G4243" s="241">
        <v>0.0612244897959184</v>
      </c>
      <c r="H4243" s="241">
        <v>0.0595238095238095</v>
      </c>
      <c r="I4243" s="241">
        <v>0.0317460317460317</v>
      </c>
      <c r="J4243" s="241">
        <v>0.0422535211267606</v>
      </c>
      <c r="K4243" s="241">
        <v>0.0344827586206897</v>
      </c>
      <c r="L4243" s="241">
        <v>0.0333333333333333</v>
      </c>
      <c r="M4243" s="241">
        <v>0.0147058823529412</v>
      </c>
      <c r="N4243" s="241">
        <v>0.0617283950617284</v>
      </c>
      <c r="O4243" s="252">
        <v>0.0352941176470588</v>
      </c>
    </row>
    <row r="4244" spans="1:15">
      <c r="A4244" s="242" t="s">
        <v>68</v>
      </c>
      <c r="B4244" s="43" t="s">
        <v>6</v>
      </c>
      <c r="C4244" s="15">
        <v>18</v>
      </c>
      <c r="D4244" s="244">
        <v>2</v>
      </c>
      <c r="E4244" s="244">
        <v>2</v>
      </c>
      <c r="F4244" s="244">
        <v>0</v>
      </c>
      <c r="G4244" s="244">
        <v>1</v>
      </c>
      <c r="H4244" s="244">
        <v>0</v>
      </c>
      <c r="I4244" s="244">
        <v>2</v>
      </c>
      <c r="J4244" s="244">
        <v>2</v>
      </c>
      <c r="K4244" s="244">
        <v>1</v>
      </c>
      <c r="L4244" s="244">
        <v>4</v>
      </c>
      <c r="M4244" s="244">
        <v>1</v>
      </c>
      <c r="N4244" s="244">
        <v>1</v>
      </c>
      <c r="O4244" s="254">
        <v>2</v>
      </c>
    </row>
    <row r="4245" ht="14.25" spans="1:15">
      <c r="A4245" s="245" t="s">
        <v>68</v>
      </c>
      <c r="B4245" s="52" t="s">
        <v>64</v>
      </c>
      <c r="C4245" s="19">
        <v>0.514285714285714</v>
      </c>
      <c r="D4245" s="246">
        <v>0.4</v>
      </c>
      <c r="E4245" s="246">
        <v>1</v>
      </c>
      <c r="F4245" s="246">
        <v>0</v>
      </c>
      <c r="G4245" s="246">
        <v>0.333333333333333</v>
      </c>
      <c r="H4245" s="246">
        <v>0</v>
      </c>
      <c r="I4245" s="246">
        <v>1</v>
      </c>
      <c r="J4245" s="246">
        <v>0.666666666666667</v>
      </c>
      <c r="K4245" s="246">
        <v>0.333333333333333</v>
      </c>
      <c r="L4245" s="246">
        <v>1.33333333333333</v>
      </c>
      <c r="M4245" s="246">
        <v>1</v>
      </c>
      <c r="N4245" s="246">
        <v>0.2</v>
      </c>
      <c r="O4245" s="255">
        <v>0.666666666666667</v>
      </c>
    </row>
    <row r="4246" spans="1:15">
      <c r="A4246" s="240" t="s">
        <v>69</v>
      </c>
      <c r="B4246" s="47" t="s">
        <v>55</v>
      </c>
      <c r="C4246" s="12">
        <v>1.40875912408759</v>
      </c>
      <c r="D4246" s="241">
        <v>1.78260869565217</v>
      </c>
      <c r="E4246" s="241">
        <v>1.2</v>
      </c>
      <c r="F4246" s="241">
        <v>1.83333333333333</v>
      </c>
      <c r="G4246" s="241">
        <v>1.57142857142857</v>
      </c>
      <c r="H4246" s="241">
        <v>1.48</v>
      </c>
      <c r="I4246" s="241">
        <v>1.38461538461538</v>
      </c>
      <c r="J4246" s="241">
        <v>1.40909090909091</v>
      </c>
      <c r="K4246" s="241">
        <v>1.32</v>
      </c>
      <c r="L4246" s="241">
        <v>1.36</v>
      </c>
      <c r="M4246" s="241">
        <v>1.38461538461538</v>
      </c>
      <c r="N4246" s="241">
        <v>1.26829268292683</v>
      </c>
      <c r="O4246" s="252">
        <v>1.34615384615385</v>
      </c>
    </row>
    <row r="4247" spans="1:15">
      <c r="A4247" s="242" t="s">
        <v>69</v>
      </c>
      <c r="B4247" s="43" t="s">
        <v>57</v>
      </c>
      <c r="C4247" s="15">
        <v>274</v>
      </c>
      <c r="D4247" s="243">
        <v>23</v>
      </c>
      <c r="E4247" s="243">
        <v>15</v>
      </c>
      <c r="F4247" s="243">
        <v>6</v>
      </c>
      <c r="G4247" s="243">
        <v>14</v>
      </c>
      <c r="H4247" s="243">
        <v>25</v>
      </c>
      <c r="I4247" s="243">
        <v>26</v>
      </c>
      <c r="J4247" s="243">
        <v>22</v>
      </c>
      <c r="K4247" s="243">
        <v>25</v>
      </c>
      <c r="L4247" s="243">
        <v>25</v>
      </c>
      <c r="M4247" s="243">
        <v>26</v>
      </c>
      <c r="N4247" s="243">
        <v>41</v>
      </c>
      <c r="O4247" s="253">
        <v>26</v>
      </c>
    </row>
    <row r="4248" spans="1:15">
      <c r="A4248" s="240" t="s">
        <v>69</v>
      </c>
      <c r="B4248" s="47" t="s">
        <v>59</v>
      </c>
      <c r="C4248" s="15">
        <v>386</v>
      </c>
      <c r="D4248" s="243">
        <v>41</v>
      </c>
      <c r="E4248" s="243">
        <v>18</v>
      </c>
      <c r="F4248" s="243">
        <v>11</v>
      </c>
      <c r="G4248" s="243">
        <v>22</v>
      </c>
      <c r="H4248" s="243">
        <v>37</v>
      </c>
      <c r="I4248" s="243">
        <v>36</v>
      </c>
      <c r="J4248" s="243">
        <v>31</v>
      </c>
      <c r="K4248" s="243">
        <v>33</v>
      </c>
      <c r="L4248" s="243">
        <v>34</v>
      </c>
      <c r="M4248" s="243">
        <v>36</v>
      </c>
      <c r="N4248" s="243">
        <v>52</v>
      </c>
      <c r="O4248" s="253">
        <v>35</v>
      </c>
    </row>
    <row r="4249" spans="1:15">
      <c r="A4249" s="242" t="s">
        <v>69</v>
      </c>
      <c r="B4249" s="43" t="s">
        <v>4</v>
      </c>
      <c r="C4249" s="15">
        <v>16</v>
      </c>
      <c r="D4249" s="244">
        <v>1</v>
      </c>
      <c r="E4249" s="244">
        <v>0</v>
      </c>
      <c r="F4249" s="244">
        <v>0</v>
      </c>
      <c r="G4249" s="244">
        <v>0</v>
      </c>
      <c r="H4249" s="244">
        <v>3</v>
      </c>
      <c r="I4249" s="244">
        <v>3</v>
      </c>
      <c r="J4249" s="244">
        <v>2</v>
      </c>
      <c r="K4249" s="244">
        <v>3</v>
      </c>
      <c r="L4249" s="244">
        <v>1</v>
      </c>
      <c r="M4249" s="244">
        <v>0</v>
      </c>
      <c r="N4249" s="244">
        <v>1</v>
      </c>
      <c r="O4249" s="254">
        <v>2</v>
      </c>
    </row>
    <row r="4250" spans="1:15">
      <c r="A4250" s="240" t="s">
        <v>69</v>
      </c>
      <c r="B4250" s="47" t="s">
        <v>5</v>
      </c>
      <c r="C4250" s="12">
        <v>0.0414507772020725</v>
      </c>
      <c r="D4250" s="241">
        <v>0.024390243902439</v>
      </c>
      <c r="E4250" s="241">
        <v>0</v>
      </c>
      <c r="F4250" s="241">
        <v>0</v>
      </c>
      <c r="G4250" s="241">
        <v>0</v>
      </c>
      <c r="H4250" s="241">
        <v>0.0810810810810811</v>
      </c>
      <c r="I4250" s="241">
        <v>0.0833333333333333</v>
      </c>
      <c r="J4250" s="241">
        <v>0.0645161290322581</v>
      </c>
      <c r="K4250" s="241">
        <v>0.0909090909090909</v>
      </c>
      <c r="L4250" s="241">
        <v>0.0294117647058824</v>
      </c>
      <c r="M4250" s="241">
        <v>0</v>
      </c>
      <c r="N4250" s="241">
        <v>0.0192307692307692</v>
      </c>
      <c r="O4250" s="252">
        <v>0.0571428571428571</v>
      </c>
    </row>
    <row r="4251" spans="1:15">
      <c r="A4251" s="242" t="s">
        <v>69</v>
      </c>
      <c r="B4251" s="43" t="s">
        <v>6</v>
      </c>
      <c r="C4251" s="15">
        <v>7</v>
      </c>
      <c r="D4251" s="244">
        <v>1</v>
      </c>
      <c r="E4251" s="244">
        <v>0</v>
      </c>
      <c r="F4251" s="244">
        <v>0</v>
      </c>
      <c r="G4251" s="244">
        <v>0</v>
      </c>
      <c r="H4251" s="244">
        <v>0</v>
      </c>
      <c r="I4251" s="244">
        <v>2</v>
      </c>
      <c r="J4251" s="244">
        <v>0</v>
      </c>
      <c r="K4251" s="244">
        <v>1</v>
      </c>
      <c r="L4251" s="244">
        <v>1</v>
      </c>
      <c r="M4251" s="244">
        <v>0</v>
      </c>
      <c r="N4251" s="244">
        <v>1</v>
      </c>
      <c r="O4251" s="254">
        <v>1</v>
      </c>
    </row>
    <row r="4252" ht="14.25" spans="1:15">
      <c r="A4252" s="245" t="s">
        <v>69</v>
      </c>
      <c r="B4252" s="52" t="s">
        <v>64</v>
      </c>
      <c r="C4252" s="19">
        <v>0.4375</v>
      </c>
      <c r="D4252" s="246">
        <v>1</v>
      </c>
      <c r="E4252" s="246">
        <v>0</v>
      </c>
      <c r="F4252" s="246">
        <v>0</v>
      </c>
      <c r="G4252" s="246">
        <v>0</v>
      </c>
      <c r="H4252" s="246">
        <v>0</v>
      </c>
      <c r="I4252" s="246">
        <v>0.666666666666667</v>
      </c>
      <c r="J4252" s="246">
        <v>0</v>
      </c>
      <c r="K4252" s="246">
        <v>0.333333333333333</v>
      </c>
      <c r="L4252" s="246">
        <v>1</v>
      </c>
      <c r="M4252" s="246">
        <v>0</v>
      </c>
      <c r="N4252" s="246">
        <v>1</v>
      </c>
      <c r="O4252" s="255">
        <v>0.5</v>
      </c>
    </row>
    <row r="4253" spans="1:15">
      <c r="A4253" s="240" t="s">
        <v>70</v>
      </c>
      <c r="B4253" s="47" t="s">
        <v>55</v>
      </c>
      <c r="C4253" s="12">
        <v>0.350513086590568</v>
      </c>
      <c r="D4253" s="241">
        <v>0.400958466453674</v>
      </c>
      <c r="E4253" s="241">
        <v>0.406451612903226</v>
      </c>
      <c r="F4253" s="241">
        <v>0.432330827067669</v>
      </c>
      <c r="G4253" s="241">
        <v>0.403076923076923</v>
      </c>
      <c r="H4253" s="241">
        <v>0.405537459283388</v>
      </c>
      <c r="I4253" s="241">
        <v>0.359223300970874</v>
      </c>
      <c r="J4253" s="241">
        <v>0.366336633663366</v>
      </c>
      <c r="K4253" s="241">
        <v>0.365251727541955</v>
      </c>
      <c r="L4253" s="241">
        <v>0.342612419700214</v>
      </c>
      <c r="M4253" s="241">
        <v>0.327669902912621</v>
      </c>
      <c r="N4253" s="241">
        <v>0.283114256825076</v>
      </c>
      <c r="O4253" s="252">
        <v>0.288331726133076</v>
      </c>
    </row>
    <row r="4254" spans="1:15">
      <c r="A4254" s="242" t="s">
        <v>70</v>
      </c>
      <c r="B4254" s="43" t="s">
        <v>57</v>
      </c>
      <c r="C4254" s="15">
        <v>8673</v>
      </c>
      <c r="D4254" s="243">
        <v>626</v>
      </c>
      <c r="E4254" s="243">
        <v>310</v>
      </c>
      <c r="F4254" s="243">
        <v>266</v>
      </c>
      <c r="G4254" s="243">
        <v>325</v>
      </c>
      <c r="H4254" s="243">
        <v>614</v>
      </c>
      <c r="I4254" s="243">
        <v>927</v>
      </c>
      <c r="J4254" s="243">
        <v>808</v>
      </c>
      <c r="K4254" s="243">
        <v>1013</v>
      </c>
      <c r="L4254" s="243">
        <v>934</v>
      </c>
      <c r="M4254" s="243">
        <v>824</v>
      </c>
      <c r="N4254" s="243">
        <v>989</v>
      </c>
      <c r="O4254" s="253">
        <v>1037</v>
      </c>
    </row>
    <row r="4255" spans="1:15">
      <c r="A4255" s="240" t="s">
        <v>70</v>
      </c>
      <c r="B4255" s="47" t="s">
        <v>59</v>
      </c>
      <c r="C4255" s="15">
        <v>3040</v>
      </c>
      <c r="D4255" s="243">
        <v>251</v>
      </c>
      <c r="E4255" s="243">
        <v>126</v>
      </c>
      <c r="F4255" s="243">
        <v>115</v>
      </c>
      <c r="G4255" s="243">
        <v>131</v>
      </c>
      <c r="H4255" s="243">
        <v>249</v>
      </c>
      <c r="I4255" s="243">
        <v>333</v>
      </c>
      <c r="J4255" s="243">
        <v>296</v>
      </c>
      <c r="K4255" s="243">
        <v>370</v>
      </c>
      <c r="L4255" s="243">
        <v>320</v>
      </c>
      <c r="M4255" s="243">
        <v>270</v>
      </c>
      <c r="N4255" s="243">
        <v>280</v>
      </c>
      <c r="O4255" s="253">
        <v>299</v>
      </c>
    </row>
    <row r="4256" spans="1:15">
      <c r="A4256" s="242" t="s">
        <v>70</v>
      </c>
      <c r="B4256" s="43" t="s">
        <v>4</v>
      </c>
      <c r="C4256" s="15">
        <v>186</v>
      </c>
      <c r="D4256" s="244">
        <v>19</v>
      </c>
      <c r="E4256" s="244">
        <v>9</v>
      </c>
      <c r="F4256" s="244">
        <v>6</v>
      </c>
      <c r="G4256" s="244">
        <v>10</v>
      </c>
      <c r="H4256" s="244">
        <v>8</v>
      </c>
      <c r="I4256" s="244">
        <v>22</v>
      </c>
      <c r="J4256" s="244">
        <v>13</v>
      </c>
      <c r="K4256" s="244">
        <v>23</v>
      </c>
      <c r="L4256" s="244">
        <v>18</v>
      </c>
      <c r="M4256" s="244">
        <v>14</v>
      </c>
      <c r="N4256" s="244">
        <v>21</v>
      </c>
      <c r="O4256" s="254">
        <v>23</v>
      </c>
    </row>
    <row r="4257" spans="1:15">
      <c r="A4257" s="240" t="s">
        <v>70</v>
      </c>
      <c r="B4257" s="47" t="s">
        <v>5</v>
      </c>
      <c r="C4257" s="12">
        <v>0.0611842105263158</v>
      </c>
      <c r="D4257" s="241">
        <v>0.0756972111553785</v>
      </c>
      <c r="E4257" s="241">
        <v>0.0714285714285714</v>
      </c>
      <c r="F4257" s="241">
        <v>0.0521739130434783</v>
      </c>
      <c r="G4257" s="241">
        <v>0.0763358778625954</v>
      </c>
      <c r="H4257" s="241">
        <v>0.0321285140562249</v>
      </c>
      <c r="I4257" s="241">
        <v>0.0660660660660661</v>
      </c>
      <c r="J4257" s="241">
        <v>0.0439189189189189</v>
      </c>
      <c r="K4257" s="241">
        <v>0.0621621621621622</v>
      </c>
      <c r="L4257" s="241">
        <v>0.05625</v>
      </c>
      <c r="M4257" s="241">
        <v>0.0518518518518519</v>
      </c>
      <c r="N4257" s="241">
        <v>0.075</v>
      </c>
      <c r="O4257" s="252">
        <v>0.0769230769230769</v>
      </c>
    </row>
    <row r="4258" spans="1:15">
      <c r="A4258" s="242" t="s">
        <v>70</v>
      </c>
      <c r="B4258" s="43" t="s">
        <v>6</v>
      </c>
      <c r="C4258" s="15">
        <v>56</v>
      </c>
      <c r="D4258" s="244">
        <v>5</v>
      </c>
      <c r="E4258" s="244">
        <v>3</v>
      </c>
      <c r="F4258" s="244">
        <v>2</v>
      </c>
      <c r="G4258" s="244">
        <v>4</v>
      </c>
      <c r="H4258" s="244">
        <v>3</v>
      </c>
      <c r="I4258" s="244">
        <v>5</v>
      </c>
      <c r="J4258" s="244">
        <v>4</v>
      </c>
      <c r="K4258" s="244">
        <v>9</v>
      </c>
      <c r="L4258" s="244">
        <v>4</v>
      </c>
      <c r="M4258" s="244">
        <v>6</v>
      </c>
      <c r="N4258" s="244">
        <v>8</v>
      </c>
      <c r="O4258" s="254">
        <v>3</v>
      </c>
    </row>
    <row r="4259" ht="14.25" spans="1:15">
      <c r="A4259" s="245" t="s">
        <v>70</v>
      </c>
      <c r="B4259" s="52" t="s">
        <v>64</v>
      </c>
      <c r="C4259" s="19">
        <v>0.301075268817204</v>
      </c>
      <c r="D4259" s="246">
        <v>0.263157894736842</v>
      </c>
      <c r="E4259" s="246">
        <v>0.333333333333333</v>
      </c>
      <c r="F4259" s="246">
        <v>0.333333333333333</v>
      </c>
      <c r="G4259" s="246">
        <v>0.4</v>
      </c>
      <c r="H4259" s="246">
        <v>0.375</v>
      </c>
      <c r="I4259" s="246">
        <v>0.227272727272727</v>
      </c>
      <c r="J4259" s="246">
        <v>0.307692307692308</v>
      </c>
      <c r="K4259" s="246">
        <v>0.391304347826087</v>
      </c>
      <c r="L4259" s="246">
        <v>0.222222222222222</v>
      </c>
      <c r="M4259" s="246">
        <v>0.428571428571429</v>
      </c>
      <c r="N4259" s="246">
        <v>0.380952380952381</v>
      </c>
      <c r="O4259" s="255">
        <v>0.130434782608696</v>
      </c>
    </row>
    <row r="4260" spans="1:15">
      <c r="A4260" s="240" t="s">
        <v>26</v>
      </c>
      <c r="B4260" s="47" t="s">
        <v>55</v>
      </c>
      <c r="C4260" s="12">
        <v>0.741906064751482</v>
      </c>
      <c r="D4260" s="241">
        <v>0.626543209876543</v>
      </c>
      <c r="E4260" s="241">
        <v>0.551652892561983</v>
      </c>
      <c r="F4260" s="241">
        <v>0.548469387755102</v>
      </c>
      <c r="G4260" s="241">
        <v>0.593103448275862</v>
      </c>
      <c r="H4260" s="241">
        <v>0.741176470588235</v>
      </c>
      <c r="I4260" s="241">
        <v>1.07826086956522</v>
      </c>
      <c r="J4260" s="241">
        <v>1.2</v>
      </c>
      <c r="K4260" s="241">
        <v>0.875</v>
      </c>
      <c r="L4260" s="241">
        <v>1.64150943396226</v>
      </c>
      <c r="M4260" s="241">
        <v>1.05633802816901</v>
      </c>
      <c r="N4260" s="241">
        <v>1.55813953488372</v>
      </c>
      <c r="O4260" s="252">
        <v>2.29166666666667</v>
      </c>
    </row>
    <row r="4261" spans="1:15">
      <c r="A4261" s="242" t="s">
        <v>26</v>
      </c>
      <c r="B4261" s="43" t="s">
        <v>57</v>
      </c>
      <c r="C4261" s="15">
        <v>2193</v>
      </c>
      <c r="D4261" s="243">
        <v>324</v>
      </c>
      <c r="E4261" s="243">
        <v>484</v>
      </c>
      <c r="F4261" s="243">
        <v>392</v>
      </c>
      <c r="G4261" s="243">
        <v>290</v>
      </c>
      <c r="H4261" s="243">
        <v>170</v>
      </c>
      <c r="I4261" s="243">
        <v>115</v>
      </c>
      <c r="J4261" s="243">
        <v>115</v>
      </c>
      <c r="K4261" s="243">
        <v>112</v>
      </c>
      <c r="L4261" s="243">
        <v>53</v>
      </c>
      <c r="M4261" s="243">
        <v>71</v>
      </c>
      <c r="N4261" s="243">
        <v>43</v>
      </c>
      <c r="O4261" s="253">
        <v>24</v>
      </c>
    </row>
    <row r="4262" spans="1:15">
      <c r="A4262" s="240" t="s">
        <v>26</v>
      </c>
      <c r="B4262" s="47" t="s">
        <v>59</v>
      </c>
      <c r="C4262" s="15">
        <v>1627</v>
      </c>
      <c r="D4262" s="243">
        <v>203</v>
      </c>
      <c r="E4262" s="243">
        <v>267</v>
      </c>
      <c r="F4262" s="243">
        <v>215</v>
      </c>
      <c r="G4262" s="243">
        <v>172</v>
      </c>
      <c r="H4262" s="243">
        <v>126</v>
      </c>
      <c r="I4262" s="243">
        <v>124</v>
      </c>
      <c r="J4262" s="243">
        <v>138</v>
      </c>
      <c r="K4262" s="243">
        <v>98</v>
      </c>
      <c r="L4262" s="243">
        <v>87</v>
      </c>
      <c r="M4262" s="243">
        <v>75</v>
      </c>
      <c r="N4262" s="243">
        <v>67</v>
      </c>
      <c r="O4262" s="253">
        <v>55</v>
      </c>
    </row>
    <row r="4263" spans="1:15">
      <c r="A4263" s="242" t="s">
        <v>26</v>
      </c>
      <c r="B4263" s="43" t="s">
        <v>4</v>
      </c>
      <c r="C4263" s="15">
        <v>4</v>
      </c>
      <c r="D4263" s="244">
        <v>0</v>
      </c>
      <c r="E4263" s="244">
        <v>1</v>
      </c>
      <c r="F4263" s="244">
        <v>0</v>
      </c>
      <c r="G4263" s="244">
        <v>0</v>
      </c>
      <c r="H4263" s="244">
        <v>0</v>
      </c>
      <c r="I4263" s="244">
        <v>1</v>
      </c>
      <c r="J4263" s="244">
        <v>1</v>
      </c>
      <c r="K4263" s="244">
        <v>0</v>
      </c>
      <c r="L4263" s="244">
        <v>0</v>
      </c>
      <c r="M4263" s="244">
        <v>0</v>
      </c>
      <c r="N4263" s="244">
        <v>1</v>
      </c>
      <c r="O4263" s="254">
        <v>0</v>
      </c>
    </row>
    <row r="4264" spans="1:15">
      <c r="A4264" s="240" t="s">
        <v>26</v>
      </c>
      <c r="B4264" s="47" t="s">
        <v>5</v>
      </c>
      <c r="C4264" s="12">
        <v>0.00245851259987707</v>
      </c>
      <c r="D4264" s="241">
        <v>0</v>
      </c>
      <c r="E4264" s="241">
        <v>0.00374531835205993</v>
      </c>
      <c r="F4264" s="241">
        <v>0</v>
      </c>
      <c r="G4264" s="241">
        <v>0</v>
      </c>
      <c r="H4264" s="241">
        <v>0</v>
      </c>
      <c r="I4264" s="241">
        <v>0.00806451612903226</v>
      </c>
      <c r="J4264" s="241">
        <v>0.0072463768115942</v>
      </c>
      <c r="K4264" s="241">
        <v>0</v>
      </c>
      <c r="L4264" s="241">
        <v>0</v>
      </c>
      <c r="M4264" s="241">
        <v>0</v>
      </c>
      <c r="N4264" s="241">
        <v>0.0149253731343284</v>
      </c>
      <c r="O4264" s="252">
        <v>0</v>
      </c>
    </row>
    <row r="4265" spans="1:15">
      <c r="A4265" s="242" t="s">
        <v>26</v>
      </c>
      <c r="B4265" s="43" t="s">
        <v>6</v>
      </c>
      <c r="C4265" s="15">
        <v>3</v>
      </c>
      <c r="D4265" s="244">
        <v>1</v>
      </c>
      <c r="E4265" s="244">
        <v>0</v>
      </c>
      <c r="F4265" s="244">
        <v>0</v>
      </c>
      <c r="G4265" s="244">
        <v>0</v>
      </c>
      <c r="H4265" s="244">
        <v>0</v>
      </c>
      <c r="I4265" s="244">
        <v>0</v>
      </c>
      <c r="J4265" s="244">
        <v>2</v>
      </c>
      <c r="K4265" s="244">
        <v>0</v>
      </c>
      <c r="L4265" s="244">
        <v>0</v>
      </c>
      <c r="M4265" s="244">
        <v>0</v>
      </c>
      <c r="N4265" s="244">
        <v>0</v>
      </c>
      <c r="O4265" s="254">
        <v>0</v>
      </c>
    </row>
    <row r="4266" ht="14.25" spans="1:15">
      <c r="A4266" s="245" t="s">
        <v>26</v>
      </c>
      <c r="B4266" s="52" t="s">
        <v>64</v>
      </c>
      <c r="C4266" s="19">
        <v>0.75</v>
      </c>
      <c r="D4266" s="19" t="e">
        <v>#DIV/0!</v>
      </c>
      <c r="E4266" s="19">
        <v>0</v>
      </c>
      <c r="F4266" s="19" t="e">
        <v>#DIV/0!</v>
      </c>
      <c r="G4266" s="19" t="e">
        <v>#DIV/0!</v>
      </c>
      <c r="H4266" s="19" t="e">
        <v>#DIV/0!</v>
      </c>
      <c r="I4266" s="19">
        <v>0</v>
      </c>
      <c r="J4266" s="19">
        <v>2</v>
      </c>
      <c r="K4266" s="19" t="e">
        <v>#DIV/0!</v>
      </c>
      <c r="L4266" s="19" t="e">
        <v>#DIV/0!</v>
      </c>
      <c r="M4266" s="19" t="e">
        <v>#DIV/0!</v>
      </c>
      <c r="N4266" s="19">
        <v>0</v>
      </c>
      <c r="O4266" s="19" t="e">
        <v>#DIV/0!</v>
      </c>
    </row>
    <row r="4267" spans="1:15">
      <c r="A4267" s="240" t="s">
        <v>71</v>
      </c>
      <c r="B4267" s="47" t="s">
        <v>55</v>
      </c>
      <c r="C4267" s="12">
        <v>121.666666666667</v>
      </c>
      <c r="D4267" s="241" t="e">
        <v>#DIV/0!</v>
      </c>
      <c r="E4267" s="241" t="e">
        <v>#DIV/0!</v>
      </c>
      <c r="F4267" s="241">
        <v>8.5</v>
      </c>
      <c r="G4267" s="241" t="e">
        <v>#DIV/0!</v>
      </c>
      <c r="H4267" s="241" t="e">
        <v>#DIV/0!</v>
      </c>
      <c r="I4267" s="241" t="e">
        <v>#DIV/0!</v>
      </c>
      <c r="J4267" s="241" t="e">
        <v>#DIV/0!</v>
      </c>
      <c r="K4267" s="241">
        <v>27</v>
      </c>
      <c r="L4267" s="241" t="e">
        <v>#DIV/0!</v>
      </c>
      <c r="M4267" s="241" t="e">
        <v>#DIV/0!</v>
      </c>
      <c r="N4267" s="241" t="e">
        <v>#DIV/0!</v>
      </c>
      <c r="O4267" s="252" t="e">
        <v>#DIV/0!</v>
      </c>
    </row>
    <row r="4268" spans="1:15">
      <c r="A4268" s="242" t="s">
        <v>71</v>
      </c>
      <c r="B4268" s="43" t="s">
        <v>57</v>
      </c>
      <c r="C4268" s="15">
        <v>3</v>
      </c>
      <c r="D4268" s="243">
        <v>0</v>
      </c>
      <c r="E4268" s="243">
        <v>0</v>
      </c>
      <c r="F4268" s="243">
        <v>2</v>
      </c>
      <c r="G4268" s="243">
        <v>0</v>
      </c>
      <c r="H4268" s="243">
        <v>0</v>
      </c>
      <c r="I4268" s="243">
        <v>0</v>
      </c>
      <c r="J4268" s="243">
        <v>0</v>
      </c>
      <c r="K4268" s="243">
        <v>1</v>
      </c>
      <c r="L4268" s="243">
        <v>0</v>
      </c>
      <c r="M4268" s="243">
        <v>0</v>
      </c>
      <c r="N4268" s="243">
        <v>0</v>
      </c>
      <c r="O4268" s="253">
        <v>0</v>
      </c>
    </row>
    <row r="4269" spans="1:15">
      <c r="A4269" s="240" t="s">
        <v>71</v>
      </c>
      <c r="B4269" s="47" t="s">
        <v>59</v>
      </c>
      <c r="C4269" s="15">
        <v>365</v>
      </c>
      <c r="D4269" s="243">
        <v>27</v>
      </c>
      <c r="E4269" s="243">
        <v>27</v>
      </c>
      <c r="F4269" s="243">
        <v>17</v>
      </c>
      <c r="G4269" s="243">
        <v>19</v>
      </c>
      <c r="H4269" s="243">
        <v>20</v>
      </c>
      <c r="I4269" s="243">
        <v>34</v>
      </c>
      <c r="J4269" s="243">
        <v>26</v>
      </c>
      <c r="K4269" s="243">
        <v>27</v>
      </c>
      <c r="L4269" s="243">
        <v>35</v>
      </c>
      <c r="M4269" s="243">
        <v>42</v>
      </c>
      <c r="N4269" s="243">
        <v>53</v>
      </c>
      <c r="O4269" s="253">
        <v>38</v>
      </c>
    </row>
    <row r="4270" spans="1:15">
      <c r="A4270" s="242" t="s">
        <v>71</v>
      </c>
      <c r="B4270" s="43" t="s">
        <v>4</v>
      </c>
      <c r="C4270" s="15">
        <v>25</v>
      </c>
      <c r="D4270" s="244">
        <v>2</v>
      </c>
      <c r="E4270" s="244">
        <v>1</v>
      </c>
      <c r="F4270" s="244">
        <v>1</v>
      </c>
      <c r="G4270" s="244">
        <v>1</v>
      </c>
      <c r="H4270" s="244">
        <v>1</v>
      </c>
      <c r="I4270" s="244">
        <v>3</v>
      </c>
      <c r="J4270" s="244">
        <v>1</v>
      </c>
      <c r="K4270" s="244">
        <v>2</v>
      </c>
      <c r="L4270" s="244">
        <v>2</v>
      </c>
      <c r="M4270" s="244">
        <v>4</v>
      </c>
      <c r="N4270" s="244">
        <v>3</v>
      </c>
      <c r="O4270" s="254">
        <v>4</v>
      </c>
    </row>
    <row r="4271" spans="1:15">
      <c r="A4271" s="240" t="s">
        <v>71</v>
      </c>
      <c r="B4271" s="47" t="s">
        <v>5</v>
      </c>
      <c r="C4271" s="241">
        <v>0.0684931506849315</v>
      </c>
      <c r="D4271" s="241">
        <v>0.0740740740740741</v>
      </c>
      <c r="E4271" s="241">
        <v>0.037037037037037</v>
      </c>
      <c r="F4271" s="241">
        <v>0.0588235294117647</v>
      </c>
      <c r="G4271" s="241">
        <v>0.0526315789473684</v>
      </c>
      <c r="H4271" s="241">
        <v>0.05</v>
      </c>
      <c r="I4271" s="241">
        <v>0.0882352941176471</v>
      </c>
      <c r="J4271" s="241">
        <v>0.0384615384615385</v>
      </c>
      <c r="K4271" s="241">
        <v>0.0740740740740741</v>
      </c>
      <c r="L4271" s="241">
        <v>0.0571428571428571</v>
      </c>
      <c r="M4271" s="241">
        <v>0.0952380952380952</v>
      </c>
      <c r="N4271" s="241">
        <v>0.0566037735849057</v>
      </c>
      <c r="O4271" s="252">
        <v>0.105263157894737</v>
      </c>
    </row>
    <row r="4272" spans="1:15">
      <c r="A4272" s="242" t="s">
        <v>71</v>
      </c>
      <c r="B4272" s="43" t="s">
        <v>6</v>
      </c>
      <c r="C4272" s="15">
        <v>4</v>
      </c>
      <c r="D4272" s="244">
        <v>1</v>
      </c>
      <c r="E4272" s="244">
        <v>0</v>
      </c>
      <c r="F4272" s="244">
        <v>0</v>
      </c>
      <c r="G4272" s="244">
        <v>0</v>
      </c>
      <c r="H4272" s="244">
        <v>1</v>
      </c>
      <c r="I4272" s="244">
        <v>0</v>
      </c>
      <c r="J4272" s="244">
        <v>1</v>
      </c>
      <c r="K4272" s="244">
        <v>0</v>
      </c>
      <c r="L4272" s="244">
        <v>0</v>
      </c>
      <c r="M4272" s="244">
        <v>1</v>
      </c>
      <c r="N4272" s="244">
        <v>0</v>
      </c>
      <c r="O4272" s="254">
        <v>0</v>
      </c>
    </row>
    <row r="4273" ht="14.25" spans="1:15">
      <c r="A4273" s="245" t="s">
        <v>71</v>
      </c>
      <c r="B4273" s="52" t="s">
        <v>64</v>
      </c>
      <c r="C4273" s="19">
        <v>0.16</v>
      </c>
      <c r="D4273" s="19">
        <v>0.5</v>
      </c>
      <c r="E4273" s="19">
        <v>0</v>
      </c>
      <c r="F4273" s="19">
        <v>0</v>
      </c>
      <c r="G4273" s="19">
        <v>0</v>
      </c>
      <c r="H4273" s="19">
        <v>1</v>
      </c>
      <c r="I4273" s="19">
        <v>0</v>
      </c>
      <c r="J4273" s="19">
        <v>1</v>
      </c>
      <c r="K4273" s="19">
        <v>0</v>
      </c>
      <c r="L4273" s="19">
        <v>0</v>
      </c>
      <c r="M4273" s="19">
        <v>0.25</v>
      </c>
      <c r="N4273" s="19">
        <v>0</v>
      </c>
      <c r="O4273" s="19">
        <v>0</v>
      </c>
    </row>
    <row r="4274" spans="1:15">
      <c r="A4274" s="240" t="s">
        <v>72</v>
      </c>
      <c r="B4274" s="47" t="s">
        <v>55</v>
      </c>
      <c r="C4274" s="12">
        <v>0.151489541517008</v>
      </c>
      <c r="D4274" s="241">
        <v>0.161504424778761</v>
      </c>
      <c r="E4274" s="241">
        <v>0.182572614107884</v>
      </c>
      <c r="F4274" s="241">
        <v>0.179012345679012</v>
      </c>
      <c r="G4274" s="241">
        <v>0.154545454545455</v>
      </c>
      <c r="H4274" s="241">
        <v>0.190140845070423</v>
      </c>
      <c r="I4274" s="241">
        <v>0.151685393258427</v>
      </c>
      <c r="J4274" s="241">
        <v>0.166666666666667</v>
      </c>
      <c r="K4274" s="241">
        <v>0.184486373165618</v>
      </c>
      <c r="L4274" s="241">
        <v>0.119909502262443</v>
      </c>
      <c r="M4274" s="241">
        <v>0.127058823529412</v>
      </c>
      <c r="N4274" s="241">
        <v>0.117293233082707</v>
      </c>
      <c r="O4274" s="252">
        <v>0.148425787106447</v>
      </c>
    </row>
    <row r="4275" spans="1:15">
      <c r="A4275" s="242" t="s">
        <v>72</v>
      </c>
      <c r="B4275" s="43" t="s">
        <v>57</v>
      </c>
      <c r="C4275" s="15">
        <v>4733</v>
      </c>
      <c r="D4275" s="243">
        <v>452</v>
      </c>
      <c r="E4275" s="243">
        <v>241</v>
      </c>
      <c r="F4275" s="243">
        <v>162</v>
      </c>
      <c r="G4275" s="243">
        <v>220</v>
      </c>
      <c r="H4275" s="243">
        <v>284</v>
      </c>
      <c r="I4275" s="243">
        <v>356</v>
      </c>
      <c r="J4275" s="243">
        <v>342</v>
      </c>
      <c r="K4275" s="243">
        <v>477</v>
      </c>
      <c r="L4275" s="243">
        <v>442</v>
      </c>
      <c r="M4275" s="243">
        <v>425</v>
      </c>
      <c r="N4275" s="243">
        <v>665</v>
      </c>
      <c r="O4275" s="253">
        <v>667</v>
      </c>
    </row>
    <row r="4276" spans="1:15">
      <c r="A4276" s="240" t="s">
        <v>72</v>
      </c>
      <c r="B4276" s="47" t="s">
        <v>59</v>
      </c>
      <c r="C4276" s="15">
        <v>717</v>
      </c>
      <c r="D4276" s="243">
        <v>73</v>
      </c>
      <c r="E4276" s="243">
        <v>44</v>
      </c>
      <c r="F4276" s="243">
        <v>29</v>
      </c>
      <c r="G4276" s="243">
        <v>34</v>
      </c>
      <c r="H4276" s="243">
        <v>54</v>
      </c>
      <c r="I4276" s="243">
        <v>54</v>
      </c>
      <c r="J4276" s="243">
        <v>57</v>
      </c>
      <c r="K4276" s="243">
        <v>88</v>
      </c>
      <c r="L4276" s="243">
        <v>53</v>
      </c>
      <c r="M4276" s="243">
        <v>54</v>
      </c>
      <c r="N4276" s="243">
        <v>78</v>
      </c>
      <c r="O4276" s="253">
        <v>99</v>
      </c>
    </row>
    <row r="4277" spans="1:15">
      <c r="A4277" s="242" t="s">
        <v>72</v>
      </c>
      <c r="B4277" s="43" t="s">
        <v>4</v>
      </c>
      <c r="C4277" s="15">
        <v>60</v>
      </c>
      <c r="D4277" s="244">
        <v>10</v>
      </c>
      <c r="E4277" s="244">
        <v>4</v>
      </c>
      <c r="F4277" s="244">
        <v>2</v>
      </c>
      <c r="G4277" s="244">
        <v>0</v>
      </c>
      <c r="H4277" s="244">
        <v>5</v>
      </c>
      <c r="I4277" s="244">
        <v>2</v>
      </c>
      <c r="J4277" s="244">
        <v>6</v>
      </c>
      <c r="K4277" s="244">
        <v>7</v>
      </c>
      <c r="L4277" s="244">
        <v>5</v>
      </c>
      <c r="M4277" s="244">
        <v>5</v>
      </c>
      <c r="N4277" s="244">
        <v>5</v>
      </c>
      <c r="O4277" s="254">
        <v>9</v>
      </c>
    </row>
    <row r="4278" spans="1:15">
      <c r="A4278" s="240" t="s">
        <v>72</v>
      </c>
      <c r="B4278" s="47" t="s">
        <v>5</v>
      </c>
      <c r="C4278" s="12">
        <v>0.0836820083682008</v>
      </c>
      <c r="D4278" s="241">
        <v>0.136986301369863</v>
      </c>
      <c r="E4278" s="241">
        <v>0.0909090909090909</v>
      </c>
      <c r="F4278" s="241">
        <v>0.0689655172413793</v>
      </c>
      <c r="G4278" s="241">
        <v>0</v>
      </c>
      <c r="H4278" s="241">
        <v>0.0925925925925926</v>
      </c>
      <c r="I4278" s="241">
        <v>0.037037037037037</v>
      </c>
      <c r="J4278" s="241">
        <v>0.105263157894737</v>
      </c>
      <c r="K4278" s="241">
        <v>0.0795454545454545</v>
      </c>
      <c r="L4278" s="241">
        <v>0.0943396226415094</v>
      </c>
      <c r="M4278" s="241">
        <v>0.0925925925925926</v>
      </c>
      <c r="N4278" s="241">
        <v>0.0641025641025641</v>
      </c>
      <c r="O4278" s="252">
        <v>0.0909090909090909</v>
      </c>
    </row>
    <row r="4279" spans="1:15">
      <c r="A4279" s="242" t="s">
        <v>72</v>
      </c>
      <c r="B4279" s="43" t="s">
        <v>6</v>
      </c>
      <c r="C4279" s="15">
        <v>24</v>
      </c>
      <c r="D4279" s="244">
        <v>4</v>
      </c>
      <c r="E4279" s="244">
        <v>2</v>
      </c>
      <c r="F4279" s="244">
        <v>3</v>
      </c>
      <c r="G4279" s="244">
        <v>1</v>
      </c>
      <c r="H4279" s="244">
        <v>2</v>
      </c>
      <c r="I4279" s="244">
        <v>1</v>
      </c>
      <c r="J4279" s="244">
        <v>1</v>
      </c>
      <c r="K4279" s="244">
        <v>3</v>
      </c>
      <c r="L4279" s="244">
        <v>2</v>
      </c>
      <c r="M4279" s="244">
        <v>1</v>
      </c>
      <c r="N4279" s="244">
        <v>3</v>
      </c>
      <c r="O4279" s="254">
        <v>1</v>
      </c>
    </row>
    <row r="4280" ht="14.25" spans="1:15">
      <c r="A4280" s="245" t="s">
        <v>72</v>
      </c>
      <c r="B4280" s="52" t="s">
        <v>64</v>
      </c>
      <c r="C4280" s="19">
        <v>0.4</v>
      </c>
      <c r="D4280" s="19">
        <v>0.4</v>
      </c>
      <c r="E4280" s="19">
        <v>0.5</v>
      </c>
      <c r="F4280" s="19">
        <v>1.5</v>
      </c>
      <c r="G4280" s="19" t="e">
        <v>#DIV/0!</v>
      </c>
      <c r="H4280" s="19">
        <v>0.4</v>
      </c>
      <c r="I4280" s="19">
        <v>0.5</v>
      </c>
      <c r="J4280" s="19">
        <v>0.166666666666667</v>
      </c>
      <c r="K4280" s="19">
        <v>0.428571428571429</v>
      </c>
      <c r="L4280" s="19">
        <v>0.4</v>
      </c>
      <c r="M4280" s="19">
        <v>0.2</v>
      </c>
      <c r="N4280" s="19">
        <v>0.6</v>
      </c>
      <c r="O4280" s="19">
        <v>0.111111111111111</v>
      </c>
    </row>
    <row r="4281" ht="14.25" spans="1:15">
      <c r="A4281" s="237">
        <v>45085</v>
      </c>
      <c r="B4281" s="237"/>
      <c r="C4281" s="237"/>
      <c r="D4281" s="237"/>
      <c r="E4281" s="237"/>
      <c r="F4281" s="237"/>
      <c r="G4281" s="237"/>
      <c r="H4281" s="237"/>
      <c r="I4281" s="237"/>
      <c r="J4281" s="237"/>
      <c r="K4281" s="237"/>
      <c r="L4281" s="237"/>
      <c r="M4281" s="237"/>
      <c r="N4281" s="237"/>
      <c r="O4281" s="237"/>
    </row>
    <row r="4282" spans="1:15">
      <c r="A4282" s="56" t="s">
        <v>1</v>
      </c>
      <c r="B4282" s="238"/>
      <c r="C4282" s="8" t="s">
        <v>42</v>
      </c>
      <c r="D4282" s="239" t="s">
        <v>43</v>
      </c>
      <c r="E4282" s="239" t="s">
        <v>44</v>
      </c>
      <c r="F4282" s="239" t="s">
        <v>45</v>
      </c>
      <c r="G4282" s="239" t="s">
        <v>46</v>
      </c>
      <c r="H4282" s="239" t="s">
        <v>47</v>
      </c>
      <c r="I4282" s="239" t="s">
        <v>48</v>
      </c>
      <c r="J4282" s="239" t="s">
        <v>49</v>
      </c>
      <c r="K4282" s="239" t="s">
        <v>50</v>
      </c>
      <c r="L4282" s="239" t="s">
        <v>51</v>
      </c>
      <c r="M4282" s="239" t="s">
        <v>52</v>
      </c>
      <c r="N4282" s="239" t="s">
        <v>53</v>
      </c>
      <c r="O4282" s="251" t="s">
        <v>54</v>
      </c>
    </row>
    <row r="4283" spans="1:15">
      <c r="A4283" s="240" t="s">
        <v>22</v>
      </c>
      <c r="B4283" s="47" t="s">
        <v>55</v>
      </c>
      <c r="C4283" s="12">
        <v>0.338385826771654</v>
      </c>
      <c r="D4283" s="241">
        <v>0.316239316239316</v>
      </c>
      <c r="E4283" s="241">
        <v>0.297872340425532</v>
      </c>
      <c r="F4283" s="241">
        <v>0.355555555555556</v>
      </c>
      <c r="G4283" s="241">
        <v>0.36328125</v>
      </c>
      <c r="H4283" s="241">
        <v>0.37772397094431</v>
      </c>
      <c r="I4283" s="241">
        <v>0.361233480176211</v>
      </c>
      <c r="J4283" s="241">
        <v>0.349206349206349</v>
      </c>
      <c r="K4283" s="241">
        <v>0.326454033771107</v>
      </c>
      <c r="L4283" s="241">
        <v>0.304526748971193</v>
      </c>
      <c r="M4283" s="241">
        <v>0.360416666666667</v>
      </c>
      <c r="N4283" s="241">
        <v>0.377323420074349</v>
      </c>
      <c r="O4283" s="252">
        <v>0.288590604026846</v>
      </c>
    </row>
    <row r="4284" spans="1:15">
      <c r="A4284" s="242" t="s">
        <v>22</v>
      </c>
      <c r="B4284" s="43" t="s">
        <v>57</v>
      </c>
      <c r="C4284" s="15">
        <v>5080</v>
      </c>
      <c r="D4284" s="243">
        <v>468</v>
      </c>
      <c r="E4284" s="243">
        <v>235</v>
      </c>
      <c r="F4284" s="243">
        <v>180</v>
      </c>
      <c r="G4284" s="243">
        <v>256</v>
      </c>
      <c r="H4284" s="243">
        <v>413</v>
      </c>
      <c r="I4284" s="243">
        <v>454</v>
      </c>
      <c r="J4284" s="243">
        <v>441</v>
      </c>
      <c r="K4284" s="243">
        <v>533</v>
      </c>
      <c r="L4284" s="243">
        <v>486</v>
      </c>
      <c r="M4284" s="243">
        <v>480</v>
      </c>
      <c r="N4284" s="243">
        <v>538</v>
      </c>
      <c r="O4284" s="253">
        <v>596</v>
      </c>
    </row>
    <row r="4285" spans="1:15">
      <c r="A4285" s="240" t="s">
        <v>22</v>
      </c>
      <c r="B4285" s="47" t="s">
        <v>59</v>
      </c>
      <c r="C4285" s="15">
        <v>1719</v>
      </c>
      <c r="D4285" s="243">
        <v>148</v>
      </c>
      <c r="E4285" s="243">
        <v>70</v>
      </c>
      <c r="F4285" s="243">
        <v>64</v>
      </c>
      <c r="G4285" s="243">
        <v>93</v>
      </c>
      <c r="H4285" s="243">
        <v>156</v>
      </c>
      <c r="I4285" s="243">
        <v>164</v>
      </c>
      <c r="J4285" s="243">
        <v>154</v>
      </c>
      <c r="K4285" s="243">
        <v>174</v>
      </c>
      <c r="L4285" s="243">
        <v>148</v>
      </c>
      <c r="M4285" s="243">
        <v>173</v>
      </c>
      <c r="N4285" s="243">
        <v>203</v>
      </c>
      <c r="O4285" s="253">
        <v>172</v>
      </c>
    </row>
    <row r="4286" spans="1:15">
      <c r="A4286" s="242" t="s">
        <v>22</v>
      </c>
      <c r="B4286" s="43" t="s">
        <v>4</v>
      </c>
      <c r="C4286" s="15">
        <v>124</v>
      </c>
      <c r="D4286" s="244">
        <v>7</v>
      </c>
      <c r="E4286" s="244">
        <v>3</v>
      </c>
      <c r="F4286" s="244">
        <v>12</v>
      </c>
      <c r="G4286" s="244">
        <v>1</v>
      </c>
      <c r="H4286" s="244">
        <v>7</v>
      </c>
      <c r="I4286" s="244">
        <v>10</v>
      </c>
      <c r="J4286" s="244">
        <v>16</v>
      </c>
      <c r="K4286" s="244">
        <v>14</v>
      </c>
      <c r="L4286" s="244">
        <v>6</v>
      </c>
      <c r="M4286" s="244">
        <v>15</v>
      </c>
      <c r="N4286" s="244">
        <v>17</v>
      </c>
      <c r="O4286" s="254">
        <v>16</v>
      </c>
    </row>
    <row r="4287" spans="1:15">
      <c r="A4287" s="240" t="s">
        <v>22</v>
      </c>
      <c r="B4287" s="47" t="s">
        <v>5</v>
      </c>
      <c r="C4287" s="12">
        <v>0.0721349621873182</v>
      </c>
      <c r="D4287" s="241">
        <v>0.0472972972972973</v>
      </c>
      <c r="E4287" s="241">
        <v>0.0428571428571429</v>
      </c>
      <c r="F4287" s="241">
        <v>0.1875</v>
      </c>
      <c r="G4287" s="241">
        <v>0.010752688172043</v>
      </c>
      <c r="H4287" s="241">
        <v>0.0448717948717949</v>
      </c>
      <c r="I4287" s="241">
        <v>0.0609756097560976</v>
      </c>
      <c r="J4287" s="241">
        <v>0.103896103896104</v>
      </c>
      <c r="K4287" s="241">
        <v>0.0804597701149425</v>
      </c>
      <c r="L4287" s="241">
        <v>0.0405405405405405</v>
      </c>
      <c r="M4287" s="241">
        <v>0.0867052023121387</v>
      </c>
      <c r="N4287" s="241">
        <v>0.083743842364532</v>
      </c>
      <c r="O4287" s="252">
        <v>0.0930232558139535</v>
      </c>
    </row>
    <row r="4288" spans="1:15">
      <c r="A4288" s="242" t="s">
        <v>22</v>
      </c>
      <c r="B4288" s="43" t="s">
        <v>6</v>
      </c>
      <c r="C4288" s="15">
        <v>50</v>
      </c>
      <c r="D4288" s="244">
        <v>3</v>
      </c>
      <c r="E4288" s="244">
        <v>3</v>
      </c>
      <c r="F4288" s="244">
        <v>4</v>
      </c>
      <c r="G4288" s="244">
        <v>0</v>
      </c>
      <c r="H4288" s="244">
        <v>3</v>
      </c>
      <c r="I4288" s="244">
        <v>4</v>
      </c>
      <c r="J4288" s="244">
        <v>5</v>
      </c>
      <c r="K4288" s="244">
        <v>5</v>
      </c>
      <c r="L4288" s="244">
        <v>2</v>
      </c>
      <c r="M4288" s="244">
        <v>10</v>
      </c>
      <c r="N4288" s="244">
        <v>8</v>
      </c>
      <c r="O4288" s="254">
        <v>3</v>
      </c>
    </row>
    <row r="4289" ht="14.25" spans="1:15">
      <c r="A4289" s="245" t="s">
        <v>22</v>
      </c>
      <c r="B4289" s="52" t="s">
        <v>64</v>
      </c>
      <c r="C4289" s="19">
        <v>0.403225806451613</v>
      </c>
      <c r="D4289" s="246">
        <v>0.428571428571429</v>
      </c>
      <c r="E4289" s="246">
        <v>1</v>
      </c>
      <c r="F4289" s="246">
        <v>0.333333333333333</v>
      </c>
      <c r="G4289" s="246">
        <v>0</v>
      </c>
      <c r="H4289" s="246">
        <v>0.428571428571429</v>
      </c>
      <c r="I4289" s="246">
        <v>0.4</v>
      </c>
      <c r="J4289" s="246">
        <v>0.3125</v>
      </c>
      <c r="K4289" s="246">
        <v>0.357142857142857</v>
      </c>
      <c r="L4289" s="246">
        <v>0.333333333333333</v>
      </c>
      <c r="M4289" s="246">
        <v>0.666666666666667</v>
      </c>
      <c r="N4289" s="246">
        <v>0.470588235294118</v>
      </c>
      <c r="O4289" s="255">
        <v>0.1875</v>
      </c>
    </row>
    <row r="4290" spans="1:15">
      <c r="A4290" s="247" t="s">
        <v>66</v>
      </c>
      <c r="B4290" s="248" t="s">
        <v>55</v>
      </c>
      <c r="C4290" s="12">
        <v>0.0824985268120212</v>
      </c>
      <c r="D4290" s="249">
        <v>0.125</v>
      </c>
      <c r="E4290" s="249">
        <v>0.0564971751412429</v>
      </c>
      <c r="F4290" s="249">
        <v>0.025</v>
      </c>
      <c r="G4290" s="249">
        <v>0.0629370629370629</v>
      </c>
      <c r="H4290" s="249">
        <v>0.0357142857142857</v>
      </c>
      <c r="I4290" s="249">
        <v>0.0704225352112676</v>
      </c>
      <c r="J4290" s="249">
        <v>0.121621621621622</v>
      </c>
      <c r="K4290" s="249">
        <v>0.0703125</v>
      </c>
      <c r="L4290" s="249">
        <v>0.1171875</v>
      </c>
      <c r="M4290" s="249">
        <v>0.111111111111111</v>
      </c>
      <c r="N4290" s="249">
        <v>0.138211382113821</v>
      </c>
      <c r="O4290" s="256">
        <v>0.0797101449275362</v>
      </c>
    </row>
    <row r="4291" spans="1:15">
      <c r="A4291" s="242" t="s">
        <v>66</v>
      </c>
      <c r="B4291" s="43" t="s">
        <v>57</v>
      </c>
      <c r="C4291" s="15">
        <v>1697</v>
      </c>
      <c r="D4291" s="243">
        <v>144</v>
      </c>
      <c r="E4291" s="243">
        <v>177</v>
      </c>
      <c r="F4291" s="243">
        <v>160</v>
      </c>
      <c r="G4291" s="243">
        <v>143</v>
      </c>
      <c r="H4291" s="243">
        <v>140</v>
      </c>
      <c r="I4291" s="243">
        <v>142</v>
      </c>
      <c r="J4291" s="243">
        <v>148</v>
      </c>
      <c r="K4291" s="243">
        <v>128</v>
      </c>
      <c r="L4291" s="243">
        <v>128</v>
      </c>
      <c r="M4291" s="243">
        <v>126</v>
      </c>
      <c r="N4291" s="243">
        <v>123</v>
      </c>
      <c r="O4291" s="253">
        <v>138</v>
      </c>
    </row>
    <row r="4292" spans="1:15">
      <c r="A4292" s="240" t="s">
        <v>66</v>
      </c>
      <c r="B4292" s="47" t="s">
        <v>59</v>
      </c>
      <c r="C4292" s="15">
        <v>140</v>
      </c>
      <c r="D4292" s="243">
        <v>18</v>
      </c>
      <c r="E4292" s="243">
        <v>10</v>
      </c>
      <c r="F4292" s="243">
        <v>4</v>
      </c>
      <c r="G4292" s="243">
        <v>9</v>
      </c>
      <c r="H4292" s="243">
        <v>5</v>
      </c>
      <c r="I4292" s="243">
        <v>10</v>
      </c>
      <c r="J4292" s="243">
        <v>18</v>
      </c>
      <c r="K4292" s="243">
        <v>9</v>
      </c>
      <c r="L4292" s="243">
        <v>15</v>
      </c>
      <c r="M4292" s="243">
        <v>14</v>
      </c>
      <c r="N4292" s="243">
        <v>17</v>
      </c>
      <c r="O4292" s="253">
        <v>11</v>
      </c>
    </row>
    <row r="4293" spans="1:15">
      <c r="A4293" s="242" t="s">
        <v>66</v>
      </c>
      <c r="B4293" s="43" t="s">
        <v>4</v>
      </c>
      <c r="C4293" s="15">
        <v>9</v>
      </c>
      <c r="D4293" s="244">
        <v>0</v>
      </c>
      <c r="E4293" s="244">
        <v>0</v>
      </c>
      <c r="F4293" s="244">
        <v>0</v>
      </c>
      <c r="G4293" s="244">
        <v>0</v>
      </c>
      <c r="H4293" s="244">
        <v>1</v>
      </c>
      <c r="I4293" s="244">
        <v>0</v>
      </c>
      <c r="J4293" s="244">
        <v>1</v>
      </c>
      <c r="K4293" s="244">
        <v>0</v>
      </c>
      <c r="L4293" s="244">
        <v>1</v>
      </c>
      <c r="M4293" s="244">
        <v>2</v>
      </c>
      <c r="N4293" s="244">
        <v>2</v>
      </c>
      <c r="O4293" s="254">
        <v>2</v>
      </c>
    </row>
    <row r="4294" spans="1:15">
      <c r="A4294" s="240" t="s">
        <v>66</v>
      </c>
      <c r="B4294" s="47" t="s">
        <v>5</v>
      </c>
      <c r="C4294" s="12">
        <v>0.0642857142857143</v>
      </c>
      <c r="D4294" s="241">
        <v>0</v>
      </c>
      <c r="E4294" s="241">
        <v>0</v>
      </c>
      <c r="F4294" s="241">
        <v>0</v>
      </c>
      <c r="G4294" s="241">
        <v>0</v>
      </c>
      <c r="H4294" s="241">
        <v>0.2</v>
      </c>
      <c r="I4294" s="241">
        <v>0</v>
      </c>
      <c r="J4294" s="241">
        <v>0.0555555555555556</v>
      </c>
      <c r="K4294" s="241">
        <v>0</v>
      </c>
      <c r="L4294" s="241">
        <v>0.0666666666666667</v>
      </c>
      <c r="M4294" s="241">
        <v>0.142857142857143</v>
      </c>
      <c r="N4294" s="241">
        <v>0.117647058823529</v>
      </c>
      <c r="O4294" s="252">
        <v>0.181818181818182</v>
      </c>
    </row>
    <row r="4295" spans="1:15">
      <c r="A4295" s="242" t="s">
        <v>66</v>
      </c>
      <c r="B4295" s="43" t="s">
        <v>6</v>
      </c>
      <c r="C4295" s="15">
        <v>3</v>
      </c>
      <c r="D4295" s="244">
        <v>0</v>
      </c>
      <c r="E4295" s="244">
        <v>0</v>
      </c>
      <c r="F4295" s="244">
        <v>0</v>
      </c>
      <c r="G4295" s="244">
        <v>0</v>
      </c>
      <c r="H4295" s="244">
        <v>0</v>
      </c>
      <c r="I4295" s="244">
        <v>1</v>
      </c>
      <c r="J4295" s="244">
        <v>1</v>
      </c>
      <c r="K4295" s="244">
        <v>1</v>
      </c>
      <c r="L4295" s="244">
        <v>0</v>
      </c>
      <c r="M4295" s="244">
        <v>0</v>
      </c>
      <c r="N4295" s="244">
        <v>0</v>
      </c>
      <c r="O4295" s="254">
        <v>0</v>
      </c>
    </row>
    <row r="4296" ht="14.25" spans="1:15">
      <c r="A4296" s="245" t="s">
        <v>66</v>
      </c>
      <c r="B4296" s="52" t="s">
        <v>64</v>
      </c>
      <c r="C4296" s="19">
        <v>0.333333333333333</v>
      </c>
      <c r="D4296" s="246">
        <v>0</v>
      </c>
      <c r="E4296" s="246">
        <v>0</v>
      </c>
      <c r="F4296" s="246">
        <v>0</v>
      </c>
      <c r="G4296" s="246">
        <v>0</v>
      </c>
      <c r="H4296" s="246">
        <v>0</v>
      </c>
      <c r="I4296" s="246">
        <v>0</v>
      </c>
      <c r="J4296" s="246">
        <v>1</v>
      </c>
      <c r="K4296" s="246">
        <v>0</v>
      </c>
      <c r="L4296" s="246">
        <v>0</v>
      </c>
      <c r="M4296" s="246">
        <v>0</v>
      </c>
      <c r="N4296" s="246">
        <v>0</v>
      </c>
      <c r="O4296" s="255">
        <v>0</v>
      </c>
    </row>
    <row r="4297" spans="1:15">
      <c r="A4297" s="240" t="s">
        <v>67</v>
      </c>
      <c r="B4297" s="47" t="s">
        <v>55</v>
      </c>
      <c r="C4297" s="12">
        <v>0.319199057714959</v>
      </c>
      <c r="D4297" s="241">
        <v>0.227272727272727</v>
      </c>
      <c r="E4297" s="241">
        <v>0.448275862068966</v>
      </c>
      <c r="F4297" s="241">
        <v>0.428571428571429</v>
      </c>
      <c r="G4297" s="241">
        <v>0.56</v>
      </c>
      <c r="H4297" s="241">
        <v>0.309090909090909</v>
      </c>
      <c r="I4297" s="241">
        <v>0.353658536585366</v>
      </c>
      <c r="J4297" s="241">
        <v>0.36231884057971</v>
      </c>
      <c r="K4297" s="241">
        <v>0.233644859813084</v>
      </c>
      <c r="L4297" s="241">
        <v>0.333333333333333</v>
      </c>
      <c r="M4297" s="241">
        <v>0.256756756756757</v>
      </c>
      <c r="N4297" s="241">
        <v>0.411764705882353</v>
      </c>
      <c r="O4297" s="252">
        <v>0.202247191011236</v>
      </c>
    </row>
    <row r="4298" spans="1:15">
      <c r="A4298" s="242" t="s">
        <v>67</v>
      </c>
      <c r="B4298" s="43" t="s">
        <v>57</v>
      </c>
      <c r="C4298" s="15">
        <v>849</v>
      </c>
      <c r="D4298" s="243">
        <v>88</v>
      </c>
      <c r="E4298" s="243">
        <v>58</v>
      </c>
      <c r="F4298" s="243">
        <v>42</v>
      </c>
      <c r="G4298" s="243">
        <v>25</v>
      </c>
      <c r="H4298" s="243">
        <v>55</v>
      </c>
      <c r="I4298" s="243">
        <v>82</v>
      </c>
      <c r="J4298" s="243">
        <v>69</v>
      </c>
      <c r="K4298" s="243">
        <v>107</v>
      </c>
      <c r="L4298" s="243">
        <v>75</v>
      </c>
      <c r="M4298" s="243">
        <v>74</v>
      </c>
      <c r="N4298" s="243">
        <v>85</v>
      </c>
      <c r="O4298" s="253">
        <v>89</v>
      </c>
    </row>
    <row r="4299" spans="1:15">
      <c r="A4299" s="240" t="s">
        <v>67</v>
      </c>
      <c r="B4299" s="47" t="s">
        <v>59</v>
      </c>
      <c r="C4299" s="15">
        <v>271</v>
      </c>
      <c r="D4299" s="243">
        <v>20</v>
      </c>
      <c r="E4299" s="243">
        <v>26</v>
      </c>
      <c r="F4299" s="243">
        <v>18</v>
      </c>
      <c r="G4299" s="243">
        <v>14</v>
      </c>
      <c r="H4299" s="243">
        <v>17</v>
      </c>
      <c r="I4299" s="243">
        <v>29</v>
      </c>
      <c r="J4299" s="243">
        <v>25</v>
      </c>
      <c r="K4299" s="243">
        <v>25</v>
      </c>
      <c r="L4299" s="243">
        <v>25</v>
      </c>
      <c r="M4299" s="243">
        <v>19</v>
      </c>
      <c r="N4299" s="243">
        <v>35</v>
      </c>
      <c r="O4299" s="253">
        <v>18</v>
      </c>
    </row>
    <row r="4300" spans="1:15">
      <c r="A4300" s="242" t="s">
        <v>67</v>
      </c>
      <c r="B4300" s="43" t="s">
        <v>4</v>
      </c>
      <c r="C4300" s="15">
        <v>18</v>
      </c>
      <c r="D4300" s="244">
        <v>2</v>
      </c>
      <c r="E4300" s="244">
        <v>3</v>
      </c>
      <c r="F4300" s="244">
        <v>1</v>
      </c>
      <c r="G4300" s="244">
        <v>1</v>
      </c>
      <c r="H4300" s="244">
        <v>1</v>
      </c>
      <c r="I4300" s="244">
        <v>1</v>
      </c>
      <c r="J4300" s="244">
        <v>2</v>
      </c>
      <c r="K4300" s="244">
        <v>0</v>
      </c>
      <c r="L4300" s="244">
        <v>2</v>
      </c>
      <c r="M4300" s="244">
        <v>0</v>
      </c>
      <c r="N4300" s="244">
        <v>2</v>
      </c>
      <c r="O4300" s="254">
        <v>3</v>
      </c>
    </row>
    <row r="4301" spans="1:15">
      <c r="A4301" s="240" t="s">
        <v>67</v>
      </c>
      <c r="B4301" s="47" t="s">
        <v>5</v>
      </c>
      <c r="C4301" s="12">
        <v>0.0664206642066421</v>
      </c>
      <c r="D4301" s="241">
        <v>0.1</v>
      </c>
      <c r="E4301" s="241">
        <v>0.115384615384615</v>
      </c>
      <c r="F4301" s="241">
        <v>0.0555555555555556</v>
      </c>
      <c r="G4301" s="241">
        <v>0.0714285714285714</v>
      </c>
      <c r="H4301" s="241">
        <v>0.0588235294117647</v>
      </c>
      <c r="I4301" s="241">
        <v>0.0344827586206897</v>
      </c>
      <c r="J4301" s="241">
        <v>0.08</v>
      </c>
      <c r="K4301" s="241">
        <v>0</v>
      </c>
      <c r="L4301" s="241">
        <v>0.08</v>
      </c>
      <c r="M4301" s="241">
        <v>0</v>
      </c>
      <c r="N4301" s="241">
        <v>0.0571428571428571</v>
      </c>
      <c r="O4301" s="252">
        <v>0.166666666666667</v>
      </c>
    </row>
    <row r="4302" spans="1:15">
      <c r="A4302" s="242" t="s">
        <v>67</v>
      </c>
      <c r="B4302" s="43" t="s">
        <v>6</v>
      </c>
      <c r="C4302" s="15">
        <v>6</v>
      </c>
      <c r="D4302" s="244">
        <v>1</v>
      </c>
      <c r="E4302" s="244">
        <v>0</v>
      </c>
      <c r="F4302" s="244">
        <v>0</v>
      </c>
      <c r="G4302" s="244">
        <v>1</v>
      </c>
      <c r="H4302" s="244">
        <v>0</v>
      </c>
      <c r="I4302" s="244">
        <v>0</v>
      </c>
      <c r="J4302" s="244">
        <v>0</v>
      </c>
      <c r="K4302" s="244">
        <v>1</v>
      </c>
      <c r="L4302" s="244">
        <v>1</v>
      </c>
      <c r="M4302" s="244">
        <v>1</v>
      </c>
      <c r="N4302" s="244">
        <v>0</v>
      </c>
      <c r="O4302" s="254">
        <v>1</v>
      </c>
    </row>
    <row r="4303" ht="14.25" spans="1:15">
      <c r="A4303" s="245" t="s">
        <v>67</v>
      </c>
      <c r="B4303" s="52" t="s">
        <v>64</v>
      </c>
      <c r="C4303" s="19">
        <v>0.333333333333333</v>
      </c>
      <c r="D4303" s="246">
        <v>0.5</v>
      </c>
      <c r="E4303" s="246">
        <v>0</v>
      </c>
      <c r="F4303" s="246">
        <v>0</v>
      </c>
      <c r="G4303" s="246">
        <v>1</v>
      </c>
      <c r="H4303" s="246">
        <v>0</v>
      </c>
      <c r="I4303" s="246">
        <v>0</v>
      </c>
      <c r="J4303" s="246">
        <v>0</v>
      </c>
      <c r="K4303" s="246">
        <v>0</v>
      </c>
      <c r="L4303" s="246">
        <v>0.5</v>
      </c>
      <c r="M4303" s="246">
        <v>0</v>
      </c>
      <c r="N4303" s="246">
        <v>0</v>
      </c>
      <c r="O4303" s="255">
        <v>0.333333333333333</v>
      </c>
    </row>
    <row r="4304" spans="1:15">
      <c r="A4304" s="240" t="s">
        <v>68</v>
      </c>
      <c r="B4304" s="47" t="s">
        <v>55</v>
      </c>
      <c r="C4304" s="12">
        <v>0.213592233009709</v>
      </c>
      <c r="D4304" s="241">
        <v>0.247011952191235</v>
      </c>
      <c r="E4304" s="241">
        <v>0.311111111111111</v>
      </c>
      <c r="F4304" s="241">
        <v>0.268965517241379</v>
      </c>
      <c r="G4304" s="241">
        <v>0.309210526315789</v>
      </c>
      <c r="H4304" s="241">
        <v>0.241486068111455</v>
      </c>
      <c r="I4304" s="241">
        <v>0.226256983240223</v>
      </c>
      <c r="J4304" s="241">
        <v>0.215946843853821</v>
      </c>
      <c r="K4304" s="241">
        <v>0.183132530120482</v>
      </c>
      <c r="L4304" s="241">
        <v>0.179292929292929</v>
      </c>
      <c r="M4304" s="241">
        <v>0.223529411764706</v>
      </c>
      <c r="N4304" s="241">
        <v>0.175342465753425</v>
      </c>
      <c r="O4304" s="252">
        <v>0.162735849056604</v>
      </c>
    </row>
    <row r="4305" spans="1:15">
      <c r="A4305" s="242" t="s">
        <v>68</v>
      </c>
      <c r="B4305" s="43" t="s">
        <v>57</v>
      </c>
      <c r="C4305" s="15">
        <v>3605</v>
      </c>
      <c r="D4305" s="243">
        <v>251</v>
      </c>
      <c r="E4305" s="243">
        <v>135</v>
      </c>
      <c r="F4305" s="243">
        <v>145</v>
      </c>
      <c r="G4305" s="243">
        <v>152</v>
      </c>
      <c r="H4305" s="243">
        <v>323</v>
      </c>
      <c r="I4305" s="243">
        <v>358</v>
      </c>
      <c r="J4305" s="243">
        <v>301</v>
      </c>
      <c r="K4305" s="243">
        <v>415</v>
      </c>
      <c r="L4305" s="243">
        <v>396</v>
      </c>
      <c r="M4305" s="243">
        <v>340</v>
      </c>
      <c r="N4305" s="243">
        <v>365</v>
      </c>
      <c r="O4305" s="253">
        <v>424</v>
      </c>
    </row>
    <row r="4306" spans="1:15">
      <c r="A4306" s="240" t="s">
        <v>68</v>
      </c>
      <c r="B4306" s="47" t="s">
        <v>59</v>
      </c>
      <c r="C4306" s="15">
        <v>770</v>
      </c>
      <c r="D4306" s="243">
        <v>62</v>
      </c>
      <c r="E4306" s="243">
        <v>42</v>
      </c>
      <c r="F4306" s="243">
        <v>39</v>
      </c>
      <c r="G4306" s="243">
        <v>47</v>
      </c>
      <c r="H4306" s="243">
        <v>78</v>
      </c>
      <c r="I4306" s="243">
        <v>81</v>
      </c>
      <c r="J4306" s="243">
        <v>65</v>
      </c>
      <c r="K4306" s="243">
        <v>76</v>
      </c>
      <c r="L4306" s="243">
        <v>71</v>
      </c>
      <c r="M4306" s="243">
        <v>76</v>
      </c>
      <c r="N4306" s="243">
        <v>64</v>
      </c>
      <c r="O4306" s="253">
        <v>69</v>
      </c>
    </row>
    <row r="4307" spans="1:15">
      <c r="A4307" s="242" t="s">
        <v>68</v>
      </c>
      <c r="B4307" s="43" t="s">
        <v>4</v>
      </c>
      <c r="C4307" s="15">
        <v>34</v>
      </c>
      <c r="D4307" s="244">
        <v>1</v>
      </c>
      <c r="E4307" s="244">
        <v>1</v>
      </c>
      <c r="F4307" s="244">
        <v>0</v>
      </c>
      <c r="G4307" s="244">
        <v>1</v>
      </c>
      <c r="H4307" s="244">
        <v>4</v>
      </c>
      <c r="I4307" s="244">
        <v>5</v>
      </c>
      <c r="J4307" s="244">
        <v>5</v>
      </c>
      <c r="K4307" s="244">
        <v>2</v>
      </c>
      <c r="L4307" s="244">
        <v>4</v>
      </c>
      <c r="M4307" s="244">
        <v>3</v>
      </c>
      <c r="N4307" s="244">
        <v>4</v>
      </c>
      <c r="O4307" s="254">
        <v>4</v>
      </c>
    </row>
    <row r="4308" spans="1:15">
      <c r="A4308" s="240" t="s">
        <v>68</v>
      </c>
      <c r="B4308" s="47" t="s">
        <v>5</v>
      </c>
      <c r="C4308" s="12">
        <v>0.0441558441558442</v>
      </c>
      <c r="D4308" s="241">
        <v>0.0161290322580645</v>
      </c>
      <c r="E4308" s="241">
        <v>0.0238095238095238</v>
      </c>
      <c r="F4308" s="241">
        <v>0</v>
      </c>
      <c r="G4308" s="241">
        <v>0.0212765957446809</v>
      </c>
      <c r="H4308" s="241">
        <v>0.0512820512820513</v>
      </c>
      <c r="I4308" s="241">
        <v>0.0617283950617284</v>
      </c>
      <c r="J4308" s="241">
        <v>0.0769230769230769</v>
      </c>
      <c r="K4308" s="241">
        <v>0.0263157894736842</v>
      </c>
      <c r="L4308" s="241">
        <v>0.0563380281690141</v>
      </c>
      <c r="M4308" s="241">
        <v>0.0394736842105263</v>
      </c>
      <c r="N4308" s="241">
        <v>0.0625</v>
      </c>
      <c r="O4308" s="252">
        <v>0.0579710144927536</v>
      </c>
    </row>
    <row r="4309" spans="1:15">
      <c r="A4309" s="242" t="s">
        <v>68</v>
      </c>
      <c r="B4309" s="43" t="s">
        <v>6</v>
      </c>
      <c r="C4309" s="15">
        <v>12</v>
      </c>
      <c r="D4309" s="244">
        <v>1</v>
      </c>
      <c r="E4309" s="244">
        <v>1</v>
      </c>
      <c r="F4309" s="244">
        <v>0</v>
      </c>
      <c r="G4309" s="244">
        <v>1</v>
      </c>
      <c r="H4309" s="244">
        <v>3</v>
      </c>
      <c r="I4309" s="244">
        <v>1</v>
      </c>
      <c r="J4309" s="244">
        <v>0</v>
      </c>
      <c r="K4309" s="244">
        <v>0</v>
      </c>
      <c r="L4309" s="244">
        <v>0</v>
      </c>
      <c r="M4309" s="244">
        <v>0</v>
      </c>
      <c r="N4309" s="244">
        <v>3</v>
      </c>
      <c r="O4309" s="254">
        <v>2</v>
      </c>
    </row>
    <row r="4310" ht="14.25" spans="1:15">
      <c r="A4310" s="245" t="s">
        <v>68</v>
      </c>
      <c r="B4310" s="52" t="s">
        <v>64</v>
      </c>
      <c r="C4310" s="19">
        <v>0.352941176470588</v>
      </c>
      <c r="D4310" s="246">
        <v>1</v>
      </c>
      <c r="E4310" s="246">
        <v>1</v>
      </c>
      <c r="F4310" s="246">
        <v>0</v>
      </c>
      <c r="G4310" s="246">
        <v>1</v>
      </c>
      <c r="H4310" s="246">
        <v>0.75</v>
      </c>
      <c r="I4310" s="246">
        <v>0.2</v>
      </c>
      <c r="J4310" s="246">
        <v>0</v>
      </c>
      <c r="K4310" s="246">
        <v>0</v>
      </c>
      <c r="L4310" s="246">
        <v>0</v>
      </c>
      <c r="M4310" s="246">
        <v>0</v>
      </c>
      <c r="N4310" s="246">
        <v>0.75</v>
      </c>
      <c r="O4310" s="255">
        <v>0.5</v>
      </c>
    </row>
    <row r="4311" spans="1:15">
      <c r="A4311" s="240" t="s">
        <v>69</v>
      </c>
      <c r="B4311" s="47" t="s">
        <v>55</v>
      </c>
      <c r="C4311" s="12">
        <v>1.40569395017794</v>
      </c>
      <c r="D4311" s="241">
        <v>1.53846153846154</v>
      </c>
      <c r="E4311" s="241">
        <v>1.5</v>
      </c>
      <c r="F4311" s="241">
        <v>1</v>
      </c>
      <c r="G4311" s="241">
        <v>1.84615384615385</v>
      </c>
      <c r="H4311" s="241">
        <v>2.13333333333333</v>
      </c>
      <c r="I4311" s="241">
        <v>1.15</v>
      </c>
      <c r="J4311" s="241">
        <v>1.33333333333333</v>
      </c>
      <c r="K4311" s="241">
        <v>1.10344827586207</v>
      </c>
      <c r="L4311" s="241">
        <v>1.12</v>
      </c>
      <c r="M4311" s="241">
        <v>1.59375</v>
      </c>
      <c r="N4311" s="241">
        <v>1.41860465116279</v>
      </c>
      <c r="O4311" s="252">
        <v>1.38461538461538</v>
      </c>
    </row>
    <row r="4312" spans="1:15">
      <c r="A4312" s="242" t="s">
        <v>69</v>
      </c>
      <c r="B4312" s="43" t="s">
        <v>57</v>
      </c>
      <c r="C4312" s="15">
        <v>281</v>
      </c>
      <c r="D4312" s="243">
        <v>26</v>
      </c>
      <c r="E4312" s="243">
        <v>14</v>
      </c>
      <c r="F4312" s="243">
        <v>11</v>
      </c>
      <c r="G4312" s="243">
        <v>13</v>
      </c>
      <c r="H4312" s="243">
        <v>15</v>
      </c>
      <c r="I4312" s="243">
        <v>20</v>
      </c>
      <c r="J4312" s="243">
        <v>27</v>
      </c>
      <c r="K4312" s="243">
        <v>29</v>
      </c>
      <c r="L4312" s="243">
        <v>25</v>
      </c>
      <c r="M4312" s="243">
        <v>32</v>
      </c>
      <c r="N4312" s="243">
        <v>43</v>
      </c>
      <c r="O4312" s="253">
        <v>26</v>
      </c>
    </row>
    <row r="4313" spans="1:15">
      <c r="A4313" s="240" t="s">
        <v>69</v>
      </c>
      <c r="B4313" s="47" t="s">
        <v>59</v>
      </c>
      <c r="C4313" s="15">
        <v>395</v>
      </c>
      <c r="D4313" s="243">
        <v>40</v>
      </c>
      <c r="E4313" s="243">
        <v>21</v>
      </c>
      <c r="F4313" s="243">
        <v>11</v>
      </c>
      <c r="G4313" s="243">
        <v>24</v>
      </c>
      <c r="H4313" s="243">
        <v>32</v>
      </c>
      <c r="I4313" s="243">
        <v>23</v>
      </c>
      <c r="J4313" s="243">
        <v>36</v>
      </c>
      <c r="K4313" s="243">
        <v>32</v>
      </c>
      <c r="L4313" s="243">
        <v>28</v>
      </c>
      <c r="M4313" s="243">
        <v>51</v>
      </c>
      <c r="N4313" s="243">
        <v>61</v>
      </c>
      <c r="O4313" s="253">
        <v>36</v>
      </c>
    </row>
    <row r="4314" spans="1:15">
      <c r="A4314" s="242" t="s">
        <v>69</v>
      </c>
      <c r="B4314" s="43" t="s">
        <v>4</v>
      </c>
      <c r="C4314" s="15">
        <v>17</v>
      </c>
      <c r="D4314" s="244">
        <v>0</v>
      </c>
      <c r="E4314" s="244">
        <v>0</v>
      </c>
      <c r="F4314" s="244">
        <v>0</v>
      </c>
      <c r="G4314" s="244">
        <v>0</v>
      </c>
      <c r="H4314" s="244">
        <v>0</v>
      </c>
      <c r="I4314" s="244">
        <v>3</v>
      </c>
      <c r="J4314" s="244">
        <v>4</v>
      </c>
      <c r="K4314" s="244">
        <v>1</v>
      </c>
      <c r="L4314" s="244">
        <v>1</v>
      </c>
      <c r="M4314" s="244">
        <v>2</v>
      </c>
      <c r="N4314" s="244">
        <v>4</v>
      </c>
      <c r="O4314" s="254">
        <v>2</v>
      </c>
    </row>
    <row r="4315" spans="1:15">
      <c r="A4315" s="240" t="s">
        <v>69</v>
      </c>
      <c r="B4315" s="47" t="s">
        <v>5</v>
      </c>
      <c r="C4315" s="12">
        <v>0.0430379746835443</v>
      </c>
      <c r="D4315" s="241">
        <v>0</v>
      </c>
      <c r="E4315" s="241">
        <v>0</v>
      </c>
      <c r="F4315" s="241">
        <v>0</v>
      </c>
      <c r="G4315" s="241">
        <v>0</v>
      </c>
      <c r="H4315" s="241">
        <v>0</v>
      </c>
      <c r="I4315" s="241">
        <v>0.130434782608696</v>
      </c>
      <c r="J4315" s="241">
        <v>0.111111111111111</v>
      </c>
      <c r="K4315" s="241">
        <v>0.03125</v>
      </c>
      <c r="L4315" s="241">
        <v>0.0357142857142857</v>
      </c>
      <c r="M4315" s="241">
        <v>0.0392156862745098</v>
      </c>
      <c r="N4315" s="241">
        <v>0.0655737704918033</v>
      </c>
      <c r="O4315" s="252">
        <v>0.0555555555555556</v>
      </c>
    </row>
    <row r="4316" spans="1:15">
      <c r="A4316" s="242" t="s">
        <v>69</v>
      </c>
      <c r="B4316" s="43" t="s">
        <v>6</v>
      </c>
      <c r="C4316" s="15">
        <v>5</v>
      </c>
      <c r="D4316" s="244">
        <v>0</v>
      </c>
      <c r="E4316" s="244">
        <v>1</v>
      </c>
      <c r="F4316" s="244">
        <v>0</v>
      </c>
      <c r="G4316" s="244">
        <v>0</v>
      </c>
      <c r="H4316" s="244">
        <v>0</v>
      </c>
      <c r="I4316" s="244">
        <v>0</v>
      </c>
      <c r="J4316" s="244">
        <v>1</v>
      </c>
      <c r="K4316" s="244">
        <v>0</v>
      </c>
      <c r="L4316" s="244">
        <v>1</v>
      </c>
      <c r="M4316" s="244">
        <v>0</v>
      </c>
      <c r="N4316" s="244">
        <v>1</v>
      </c>
      <c r="O4316" s="254">
        <v>1</v>
      </c>
    </row>
    <row r="4317" ht="14.25" spans="1:15">
      <c r="A4317" s="245" t="s">
        <v>69</v>
      </c>
      <c r="B4317" s="52" t="s">
        <v>64</v>
      </c>
      <c r="C4317" s="19">
        <v>0.294117647058824</v>
      </c>
      <c r="D4317" s="246">
        <v>0</v>
      </c>
      <c r="E4317" s="246">
        <v>0</v>
      </c>
      <c r="F4317" s="246">
        <v>0</v>
      </c>
      <c r="G4317" s="246">
        <v>0</v>
      </c>
      <c r="H4317" s="246">
        <v>0</v>
      </c>
      <c r="I4317" s="246">
        <v>0</v>
      </c>
      <c r="J4317" s="246">
        <v>0.25</v>
      </c>
      <c r="K4317" s="246">
        <v>0</v>
      </c>
      <c r="L4317" s="246">
        <v>1</v>
      </c>
      <c r="M4317" s="246">
        <v>0</v>
      </c>
      <c r="N4317" s="246">
        <v>0.25</v>
      </c>
      <c r="O4317" s="255">
        <v>0.5</v>
      </c>
    </row>
    <row r="4318" spans="1:15">
      <c r="A4318" s="240" t="s">
        <v>70</v>
      </c>
      <c r="B4318" s="47" t="s">
        <v>55</v>
      </c>
      <c r="C4318" s="12">
        <v>0.326241950321987</v>
      </c>
      <c r="D4318" s="241">
        <v>0.343884892086331</v>
      </c>
      <c r="E4318" s="241">
        <v>0.4</v>
      </c>
      <c r="F4318" s="241">
        <v>0.397849462365591</v>
      </c>
      <c r="G4318" s="241">
        <v>0.357142857142857</v>
      </c>
      <c r="H4318" s="241">
        <v>0.397865853658537</v>
      </c>
      <c r="I4318" s="241">
        <v>0.315144766146993</v>
      </c>
      <c r="J4318" s="241">
        <v>0.32046332046332</v>
      </c>
      <c r="K4318" s="241">
        <v>0.315450643776824</v>
      </c>
      <c r="L4318" s="241">
        <v>0.331050228310502</v>
      </c>
      <c r="M4318" s="241">
        <v>0.319123020706456</v>
      </c>
      <c r="N4318" s="241">
        <v>0.271815446339017</v>
      </c>
      <c r="O4318" s="252">
        <v>0.290009699321048</v>
      </c>
    </row>
    <row r="4319" spans="1:15">
      <c r="A4319" s="242" t="s">
        <v>70</v>
      </c>
      <c r="B4319" s="43" t="s">
        <v>57</v>
      </c>
      <c r="C4319" s="15">
        <v>8696</v>
      </c>
      <c r="D4319" s="243">
        <v>695</v>
      </c>
      <c r="E4319" s="243">
        <v>370</v>
      </c>
      <c r="F4319" s="243">
        <v>279</v>
      </c>
      <c r="G4319" s="243">
        <v>364</v>
      </c>
      <c r="H4319" s="243">
        <v>656</v>
      </c>
      <c r="I4319" s="243">
        <v>898</v>
      </c>
      <c r="J4319" s="243">
        <v>777</v>
      </c>
      <c r="K4319" s="243">
        <v>932</v>
      </c>
      <c r="L4319" s="243">
        <v>876</v>
      </c>
      <c r="M4319" s="243">
        <v>821</v>
      </c>
      <c r="N4319" s="243">
        <v>997</v>
      </c>
      <c r="O4319" s="253">
        <v>1031</v>
      </c>
    </row>
    <row r="4320" spans="1:15">
      <c r="A4320" s="240" t="s">
        <v>70</v>
      </c>
      <c r="B4320" s="47" t="s">
        <v>59</v>
      </c>
      <c r="C4320" s="15">
        <v>2837</v>
      </c>
      <c r="D4320" s="243">
        <v>239</v>
      </c>
      <c r="E4320" s="243">
        <v>148</v>
      </c>
      <c r="F4320" s="243">
        <v>111</v>
      </c>
      <c r="G4320" s="243">
        <v>130</v>
      </c>
      <c r="H4320" s="243">
        <v>261</v>
      </c>
      <c r="I4320" s="243">
        <v>283</v>
      </c>
      <c r="J4320" s="243">
        <v>249</v>
      </c>
      <c r="K4320" s="243">
        <v>294</v>
      </c>
      <c r="L4320" s="243">
        <v>290</v>
      </c>
      <c r="M4320" s="243">
        <v>262</v>
      </c>
      <c r="N4320" s="243">
        <v>271</v>
      </c>
      <c r="O4320" s="253">
        <v>299</v>
      </c>
    </row>
    <row r="4321" spans="1:15">
      <c r="A4321" s="242" t="s">
        <v>70</v>
      </c>
      <c r="B4321" s="43" t="s">
        <v>4</v>
      </c>
      <c r="C4321" s="15">
        <v>212</v>
      </c>
      <c r="D4321" s="244">
        <v>20</v>
      </c>
      <c r="E4321" s="244">
        <v>16</v>
      </c>
      <c r="F4321" s="244">
        <v>6</v>
      </c>
      <c r="G4321" s="244">
        <v>6</v>
      </c>
      <c r="H4321" s="244">
        <v>14</v>
      </c>
      <c r="I4321" s="244">
        <v>12</v>
      </c>
      <c r="J4321" s="244">
        <v>16</v>
      </c>
      <c r="K4321" s="244">
        <v>24</v>
      </c>
      <c r="L4321" s="244">
        <v>18</v>
      </c>
      <c r="M4321" s="244">
        <v>22</v>
      </c>
      <c r="N4321" s="244">
        <v>25</v>
      </c>
      <c r="O4321" s="254">
        <v>33</v>
      </c>
    </row>
    <row r="4322" spans="1:15">
      <c r="A4322" s="240" t="s">
        <v>70</v>
      </c>
      <c r="B4322" s="47" t="s">
        <v>5</v>
      </c>
      <c r="C4322" s="12">
        <v>0.0747268241099753</v>
      </c>
      <c r="D4322" s="241">
        <v>0.0836820083682008</v>
      </c>
      <c r="E4322" s="241">
        <v>0.108108108108108</v>
      </c>
      <c r="F4322" s="241">
        <v>0.0540540540540541</v>
      </c>
      <c r="G4322" s="241">
        <v>0.0461538461538462</v>
      </c>
      <c r="H4322" s="241">
        <v>0.053639846743295</v>
      </c>
      <c r="I4322" s="241">
        <v>0.0424028268551237</v>
      </c>
      <c r="J4322" s="241">
        <v>0.0642570281124498</v>
      </c>
      <c r="K4322" s="241">
        <v>0.0816326530612245</v>
      </c>
      <c r="L4322" s="241">
        <v>0.0620689655172414</v>
      </c>
      <c r="M4322" s="241">
        <v>0.083969465648855</v>
      </c>
      <c r="N4322" s="241">
        <v>0.0922509225092251</v>
      </c>
      <c r="O4322" s="252">
        <v>0.110367892976589</v>
      </c>
    </row>
    <row r="4323" spans="1:15">
      <c r="A4323" s="242" t="s">
        <v>70</v>
      </c>
      <c r="B4323" s="43" t="s">
        <v>6</v>
      </c>
      <c r="C4323" s="15">
        <v>58</v>
      </c>
      <c r="D4323" s="244">
        <v>3</v>
      </c>
      <c r="E4323" s="244">
        <v>6</v>
      </c>
      <c r="F4323" s="244">
        <v>1</v>
      </c>
      <c r="G4323" s="244">
        <v>1</v>
      </c>
      <c r="H4323" s="244">
        <v>3</v>
      </c>
      <c r="I4323" s="244">
        <v>2</v>
      </c>
      <c r="J4323" s="244">
        <v>2</v>
      </c>
      <c r="K4323" s="244">
        <v>15</v>
      </c>
      <c r="L4323" s="244">
        <v>3</v>
      </c>
      <c r="M4323" s="244">
        <v>10</v>
      </c>
      <c r="N4323" s="244">
        <v>5</v>
      </c>
      <c r="O4323" s="254">
        <v>7</v>
      </c>
    </row>
    <row r="4324" ht="14.25" spans="1:15">
      <c r="A4324" s="245" t="s">
        <v>70</v>
      </c>
      <c r="B4324" s="52" t="s">
        <v>64</v>
      </c>
      <c r="C4324" s="19">
        <v>0.273584905660377</v>
      </c>
      <c r="D4324" s="246">
        <v>0.15</v>
      </c>
      <c r="E4324" s="246">
        <v>0.375</v>
      </c>
      <c r="F4324" s="246">
        <v>0.166666666666667</v>
      </c>
      <c r="G4324" s="246">
        <v>0.166666666666667</v>
      </c>
      <c r="H4324" s="246">
        <v>0.214285714285714</v>
      </c>
      <c r="I4324" s="246">
        <v>0.166666666666667</v>
      </c>
      <c r="J4324" s="246">
        <v>0.125</v>
      </c>
      <c r="K4324" s="246">
        <v>0.625</v>
      </c>
      <c r="L4324" s="246">
        <v>0.166666666666667</v>
      </c>
      <c r="M4324" s="246">
        <v>0.454545454545455</v>
      </c>
      <c r="N4324" s="246">
        <v>0.2</v>
      </c>
      <c r="O4324" s="255">
        <v>0.212121212121212</v>
      </c>
    </row>
    <row r="4325" spans="1:15">
      <c r="A4325" s="240" t="s">
        <v>26</v>
      </c>
      <c r="B4325" s="47" t="s">
        <v>55</v>
      </c>
      <c r="C4325" s="12">
        <v>0.69489247311828</v>
      </c>
      <c r="D4325" s="241">
        <v>0.559118236472946</v>
      </c>
      <c r="E4325" s="241">
        <v>0.519938650306748</v>
      </c>
      <c r="F4325" s="241">
        <v>0.704615384615385</v>
      </c>
      <c r="G4325" s="241">
        <v>0.763157894736842</v>
      </c>
      <c r="H4325" s="241">
        <v>0.755244755244755</v>
      </c>
      <c r="I4325" s="241">
        <v>0.724489795918367</v>
      </c>
      <c r="J4325" s="241">
        <v>0.884615384615385</v>
      </c>
      <c r="K4325" s="241">
        <v>1.23880597014925</v>
      </c>
      <c r="L4325" s="241">
        <v>0.714285714285714</v>
      </c>
      <c r="M4325" s="241">
        <v>1.84090909090909</v>
      </c>
      <c r="N4325" s="241">
        <v>1.21311475409836</v>
      </c>
      <c r="O4325" s="252">
        <v>1.30555555555556</v>
      </c>
    </row>
    <row r="4326" spans="1:15">
      <c r="A4326" s="242" t="s">
        <v>26</v>
      </c>
      <c r="B4326" s="43" t="s">
        <v>57</v>
      </c>
      <c r="C4326" s="15">
        <v>2232</v>
      </c>
      <c r="D4326" s="243">
        <v>499</v>
      </c>
      <c r="E4326" s="243">
        <v>652</v>
      </c>
      <c r="F4326" s="243">
        <v>325</v>
      </c>
      <c r="G4326" s="243">
        <v>152</v>
      </c>
      <c r="H4326" s="243">
        <v>143</v>
      </c>
      <c r="I4326" s="243">
        <v>98</v>
      </c>
      <c r="J4326" s="243">
        <v>78</v>
      </c>
      <c r="K4326" s="243">
        <v>67</v>
      </c>
      <c r="L4326" s="243">
        <v>77</v>
      </c>
      <c r="M4326" s="243">
        <v>44</v>
      </c>
      <c r="N4326" s="243">
        <v>61</v>
      </c>
      <c r="O4326" s="253">
        <v>36</v>
      </c>
    </row>
    <row r="4327" spans="1:15">
      <c r="A4327" s="240" t="s">
        <v>26</v>
      </c>
      <c r="B4327" s="47" t="s">
        <v>59</v>
      </c>
      <c r="C4327" s="15">
        <v>1551</v>
      </c>
      <c r="D4327" s="243">
        <v>279</v>
      </c>
      <c r="E4327" s="243">
        <v>339</v>
      </c>
      <c r="F4327" s="243">
        <v>229</v>
      </c>
      <c r="G4327" s="243">
        <v>116</v>
      </c>
      <c r="H4327" s="243">
        <v>108</v>
      </c>
      <c r="I4327" s="243">
        <v>71</v>
      </c>
      <c r="J4327" s="243">
        <v>69</v>
      </c>
      <c r="K4327" s="243">
        <v>83</v>
      </c>
      <c r="L4327" s="243">
        <v>55</v>
      </c>
      <c r="M4327" s="243">
        <v>81</v>
      </c>
      <c r="N4327" s="243">
        <v>74</v>
      </c>
      <c r="O4327" s="253">
        <v>47</v>
      </c>
    </row>
    <row r="4328" spans="1:15">
      <c r="A4328" s="242" t="s">
        <v>26</v>
      </c>
      <c r="B4328" s="43" t="s">
        <v>4</v>
      </c>
      <c r="C4328" s="15">
        <v>9</v>
      </c>
      <c r="D4328" s="244">
        <v>3</v>
      </c>
      <c r="E4328" s="244">
        <v>0</v>
      </c>
      <c r="F4328" s="244">
        <v>0</v>
      </c>
      <c r="G4328" s="244">
        <v>0</v>
      </c>
      <c r="H4328" s="244">
        <v>0</v>
      </c>
      <c r="I4328" s="244">
        <v>1</v>
      </c>
      <c r="J4328" s="244">
        <v>1</v>
      </c>
      <c r="K4328" s="244">
        <v>0</v>
      </c>
      <c r="L4328" s="244">
        <v>0</v>
      </c>
      <c r="M4328" s="244">
        <v>0</v>
      </c>
      <c r="N4328" s="244">
        <v>4</v>
      </c>
      <c r="O4328" s="254">
        <v>0</v>
      </c>
    </row>
    <row r="4329" spans="1:15">
      <c r="A4329" s="240" t="s">
        <v>26</v>
      </c>
      <c r="B4329" s="47" t="s">
        <v>5</v>
      </c>
      <c r="C4329" s="12">
        <v>0.00580270793036751</v>
      </c>
      <c r="D4329" s="241">
        <v>0.010752688172043</v>
      </c>
      <c r="E4329" s="241">
        <v>0</v>
      </c>
      <c r="F4329" s="241">
        <v>0</v>
      </c>
      <c r="G4329" s="241">
        <v>0</v>
      </c>
      <c r="H4329" s="241">
        <v>0</v>
      </c>
      <c r="I4329" s="241">
        <v>0.0140845070422535</v>
      </c>
      <c r="J4329" s="241">
        <v>0.0144927536231884</v>
      </c>
      <c r="K4329" s="241">
        <v>0</v>
      </c>
      <c r="L4329" s="241">
        <v>0</v>
      </c>
      <c r="M4329" s="241">
        <v>0</v>
      </c>
      <c r="N4329" s="241">
        <v>0.0540540540540541</v>
      </c>
      <c r="O4329" s="252">
        <v>0</v>
      </c>
    </row>
    <row r="4330" spans="1:15">
      <c r="A4330" s="242" t="s">
        <v>26</v>
      </c>
      <c r="B4330" s="43" t="s">
        <v>6</v>
      </c>
      <c r="C4330" s="15">
        <v>2</v>
      </c>
      <c r="D4330" s="244">
        <v>0</v>
      </c>
      <c r="E4330" s="244">
        <v>0</v>
      </c>
      <c r="F4330" s="244">
        <v>0</v>
      </c>
      <c r="G4330" s="244">
        <v>0</v>
      </c>
      <c r="H4330" s="244">
        <v>0</v>
      </c>
      <c r="I4330" s="244">
        <v>0</v>
      </c>
      <c r="J4330" s="244">
        <v>0</v>
      </c>
      <c r="K4330" s="244">
        <v>0</v>
      </c>
      <c r="L4330" s="244">
        <v>0</v>
      </c>
      <c r="M4330" s="244">
        <v>0</v>
      </c>
      <c r="N4330" s="244">
        <v>1</v>
      </c>
      <c r="O4330" s="254">
        <v>1</v>
      </c>
    </row>
    <row r="4331" ht="14.25" spans="1:15">
      <c r="A4331" s="245" t="s">
        <v>26</v>
      </c>
      <c r="B4331" s="52" t="s">
        <v>64</v>
      </c>
      <c r="C4331" s="19">
        <v>0.222222222222222</v>
      </c>
      <c r="D4331" s="19">
        <v>0</v>
      </c>
      <c r="E4331" s="19" t="e">
        <v>#DIV/0!</v>
      </c>
      <c r="F4331" s="19" t="e">
        <v>#DIV/0!</v>
      </c>
      <c r="G4331" s="19" t="e">
        <v>#DIV/0!</v>
      </c>
      <c r="H4331" s="19" t="e">
        <v>#DIV/0!</v>
      </c>
      <c r="I4331" s="19">
        <v>0</v>
      </c>
      <c r="J4331" s="19">
        <v>0</v>
      </c>
      <c r="K4331" s="19" t="e">
        <v>#DIV/0!</v>
      </c>
      <c r="L4331" s="19" t="e">
        <v>#DIV/0!</v>
      </c>
      <c r="M4331" s="19" t="e">
        <v>#DIV/0!</v>
      </c>
      <c r="N4331" s="19">
        <v>0.25</v>
      </c>
      <c r="O4331" s="19" t="e">
        <v>#DIV/0!</v>
      </c>
    </row>
    <row r="4332" spans="1:15">
      <c r="A4332" s="240" t="s">
        <v>71</v>
      </c>
      <c r="B4332" s="47" t="s">
        <v>55</v>
      </c>
      <c r="C4332" s="12">
        <v>199.5</v>
      </c>
      <c r="D4332" s="241" t="e">
        <v>#DIV/0!</v>
      </c>
      <c r="E4332" s="241" t="e">
        <v>#DIV/0!</v>
      </c>
      <c r="F4332" s="241">
        <v>9</v>
      </c>
      <c r="G4332" s="241" t="e">
        <v>#DIV/0!</v>
      </c>
      <c r="H4332" s="241" t="e">
        <v>#DIV/0!</v>
      </c>
      <c r="I4332" s="241" t="e">
        <v>#DIV/0!</v>
      </c>
      <c r="J4332" s="241" t="e">
        <v>#DIV/0!</v>
      </c>
      <c r="K4332" s="241" t="e">
        <v>#DIV/0!</v>
      </c>
      <c r="L4332" s="241" t="e">
        <v>#DIV/0!</v>
      </c>
      <c r="M4332" s="241" t="e">
        <v>#DIV/0!</v>
      </c>
      <c r="N4332" s="241" t="e">
        <v>#DIV/0!</v>
      </c>
      <c r="O4332" s="252" t="e">
        <v>#DIV/0!</v>
      </c>
    </row>
    <row r="4333" spans="1:15">
      <c r="A4333" s="242" t="s">
        <v>71</v>
      </c>
      <c r="B4333" s="43" t="s">
        <v>57</v>
      </c>
      <c r="C4333" s="15">
        <v>2</v>
      </c>
      <c r="D4333" s="243">
        <v>0</v>
      </c>
      <c r="E4333" s="243">
        <v>0</v>
      </c>
      <c r="F4333" s="243">
        <v>2</v>
      </c>
      <c r="G4333" s="243">
        <v>0</v>
      </c>
      <c r="H4333" s="243">
        <v>0</v>
      </c>
      <c r="I4333" s="243">
        <v>0</v>
      </c>
      <c r="J4333" s="243">
        <v>0</v>
      </c>
      <c r="K4333" s="243">
        <v>0</v>
      </c>
      <c r="L4333" s="243">
        <v>0</v>
      </c>
      <c r="M4333" s="243">
        <v>0</v>
      </c>
      <c r="N4333" s="243">
        <v>0</v>
      </c>
      <c r="O4333" s="253">
        <v>0</v>
      </c>
    </row>
    <row r="4334" spans="1:15">
      <c r="A4334" s="240" t="s">
        <v>71</v>
      </c>
      <c r="B4334" s="47" t="s">
        <v>59</v>
      </c>
      <c r="C4334" s="15">
        <v>399</v>
      </c>
      <c r="D4334" s="243">
        <v>37</v>
      </c>
      <c r="E4334" s="243">
        <v>22</v>
      </c>
      <c r="F4334" s="243">
        <v>18</v>
      </c>
      <c r="G4334" s="243">
        <v>10</v>
      </c>
      <c r="H4334" s="243">
        <v>52</v>
      </c>
      <c r="I4334" s="243">
        <v>32</v>
      </c>
      <c r="J4334" s="243">
        <v>30</v>
      </c>
      <c r="K4334" s="243">
        <v>22</v>
      </c>
      <c r="L4334" s="243">
        <v>44</v>
      </c>
      <c r="M4334" s="243">
        <v>30</v>
      </c>
      <c r="N4334" s="243">
        <v>47</v>
      </c>
      <c r="O4334" s="253">
        <v>55</v>
      </c>
    </row>
    <row r="4335" spans="1:15">
      <c r="A4335" s="242" t="s">
        <v>71</v>
      </c>
      <c r="B4335" s="43" t="s">
        <v>4</v>
      </c>
      <c r="C4335" s="15">
        <v>24</v>
      </c>
      <c r="D4335" s="244">
        <v>1</v>
      </c>
      <c r="E4335" s="244">
        <v>2</v>
      </c>
      <c r="F4335" s="244">
        <v>2</v>
      </c>
      <c r="G4335" s="244">
        <v>1</v>
      </c>
      <c r="H4335" s="244">
        <v>3</v>
      </c>
      <c r="I4335" s="244">
        <v>1</v>
      </c>
      <c r="J4335" s="244">
        <v>1</v>
      </c>
      <c r="K4335" s="244">
        <v>2</v>
      </c>
      <c r="L4335" s="244">
        <v>2</v>
      </c>
      <c r="M4335" s="244">
        <v>1</v>
      </c>
      <c r="N4335" s="244">
        <v>3</v>
      </c>
      <c r="O4335" s="254">
        <v>5</v>
      </c>
    </row>
    <row r="4336" spans="1:15">
      <c r="A4336" s="240" t="s">
        <v>71</v>
      </c>
      <c r="B4336" s="47" t="s">
        <v>5</v>
      </c>
      <c r="C4336" s="241">
        <v>0.0601503759398496</v>
      </c>
      <c r="D4336" s="241">
        <v>0.027027027027027</v>
      </c>
      <c r="E4336" s="241">
        <v>0.0909090909090909</v>
      </c>
      <c r="F4336" s="241">
        <v>0.111111111111111</v>
      </c>
      <c r="G4336" s="241">
        <v>0.1</v>
      </c>
      <c r="H4336" s="241">
        <v>0.0576923076923077</v>
      </c>
      <c r="I4336" s="241">
        <v>0.03125</v>
      </c>
      <c r="J4336" s="241">
        <v>0.0333333333333333</v>
      </c>
      <c r="K4336" s="241">
        <v>0.0909090909090909</v>
      </c>
      <c r="L4336" s="241">
        <v>0.0454545454545455</v>
      </c>
      <c r="M4336" s="241">
        <v>0.0333333333333333</v>
      </c>
      <c r="N4336" s="241">
        <v>0.0638297872340425</v>
      </c>
      <c r="O4336" s="252">
        <v>0.0909090909090909</v>
      </c>
    </row>
    <row r="4337" spans="1:15">
      <c r="A4337" s="242" t="s">
        <v>71</v>
      </c>
      <c r="B4337" s="43" t="s">
        <v>6</v>
      </c>
      <c r="C4337" s="15">
        <v>3</v>
      </c>
      <c r="D4337" s="244">
        <v>0</v>
      </c>
      <c r="E4337" s="244">
        <v>0</v>
      </c>
      <c r="F4337" s="244">
        <v>0</v>
      </c>
      <c r="G4337" s="244">
        <v>0</v>
      </c>
      <c r="H4337" s="244">
        <v>1</v>
      </c>
      <c r="I4337" s="244">
        <v>0</v>
      </c>
      <c r="J4337" s="244">
        <v>0</v>
      </c>
      <c r="K4337" s="244">
        <v>0</v>
      </c>
      <c r="L4337" s="244">
        <v>0</v>
      </c>
      <c r="M4337" s="244">
        <v>0</v>
      </c>
      <c r="N4337" s="244">
        <v>2</v>
      </c>
      <c r="O4337" s="254">
        <v>0</v>
      </c>
    </row>
    <row r="4338" ht="14.25" spans="1:15">
      <c r="A4338" s="245" t="s">
        <v>71</v>
      </c>
      <c r="B4338" s="52" t="s">
        <v>64</v>
      </c>
      <c r="C4338" s="19">
        <v>0.125</v>
      </c>
      <c r="D4338" s="19">
        <v>0</v>
      </c>
      <c r="E4338" s="19">
        <v>0</v>
      </c>
      <c r="F4338" s="19">
        <v>0</v>
      </c>
      <c r="G4338" s="19">
        <v>0</v>
      </c>
      <c r="H4338" s="19">
        <v>0.333333333333333</v>
      </c>
      <c r="I4338" s="19">
        <v>0</v>
      </c>
      <c r="J4338" s="19">
        <v>0</v>
      </c>
      <c r="K4338" s="19">
        <v>0</v>
      </c>
      <c r="L4338" s="19">
        <v>0</v>
      </c>
      <c r="M4338" s="19">
        <v>0</v>
      </c>
      <c r="N4338" s="19">
        <v>0.666666666666667</v>
      </c>
      <c r="O4338" s="19">
        <v>0</v>
      </c>
    </row>
    <row r="4339" spans="1:15">
      <c r="A4339" s="240" t="s">
        <v>72</v>
      </c>
      <c r="B4339" s="47" t="s">
        <v>55</v>
      </c>
      <c r="C4339" s="12">
        <v>0.147326381184824</v>
      </c>
      <c r="D4339" s="241">
        <v>0.145933014354067</v>
      </c>
      <c r="E4339" s="241">
        <v>0.164319248826291</v>
      </c>
      <c r="F4339" s="241">
        <v>0.23030303030303</v>
      </c>
      <c r="G4339" s="241">
        <v>0.151260504201681</v>
      </c>
      <c r="H4339" s="241">
        <v>0.199275362318841</v>
      </c>
      <c r="I4339" s="241">
        <v>0.136507936507936</v>
      </c>
      <c r="J4339" s="241">
        <v>0.155963302752294</v>
      </c>
      <c r="K4339" s="241">
        <v>0.126168224299065</v>
      </c>
      <c r="L4339" s="241">
        <v>0.114130434782609</v>
      </c>
      <c r="M4339" s="241">
        <v>0.181592039800995</v>
      </c>
      <c r="N4339" s="241">
        <v>0.12216404886562</v>
      </c>
      <c r="O4339" s="252">
        <v>0.131851851851852</v>
      </c>
    </row>
    <row r="4340" spans="1:15">
      <c r="A4340" s="242" t="s">
        <v>72</v>
      </c>
      <c r="B4340" s="43" t="s">
        <v>57</v>
      </c>
      <c r="C4340" s="15">
        <v>4507</v>
      </c>
      <c r="D4340" s="243">
        <v>418</v>
      </c>
      <c r="E4340" s="243">
        <v>213</v>
      </c>
      <c r="F4340" s="243">
        <v>165</v>
      </c>
      <c r="G4340" s="243">
        <v>238</v>
      </c>
      <c r="H4340" s="243">
        <v>276</v>
      </c>
      <c r="I4340" s="243">
        <v>315</v>
      </c>
      <c r="J4340" s="243">
        <v>436</v>
      </c>
      <c r="K4340" s="243">
        <v>428</v>
      </c>
      <c r="L4340" s="243">
        <v>368</v>
      </c>
      <c r="M4340" s="243">
        <v>402</v>
      </c>
      <c r="N4340" s="243">
        <v>573</v>
      </c>
      <c r="O4340" s="253">
        <v>675</v>
      </c>
    </row>
    <row r="4341" spans="1:15">
      <c r="A4341" s="240" t="s">
        <v>72</v>
      </c>
      <c r="B4341" s="47" t="s">
        <v>59</v>
      </c>
      <c r="C4341" s="15">
        <v>664</v>
      </c>
      <c r="D4341" s="243">
        <v>61</v>
      </c>
      <c r="E4341" s="243">
        <v>35</v>
      </c>
      <c r="F4341" s="243">
        <v>38</v>
      </c>
      <c r="G4341" s="243">
        <v>36</v>
      </c>
      <c r="H4341" s="243">
        <v>55</v>
      </c>
      <c r="I4341" s="243">
        <v>43</v>
      </c>
      <c r="J4341" s="243">
        <v>68</v>
      </c>
      <c r="K4341" s="243">
        <v>54</v>
      </c>
      <c r="L4341" s="243">
        <v>42</v>
      </c>
      <c r="M4341" s="243">
        <v>73</v>
      </c>
      <c r="N4341" s="243">
        <v>70</v>
      </c>
      <c r="O4341" s="253">
        <v>89</v>
      </c>
    </row>
    <row r="4342" spans="1:15">
      <c r="A4342" s="242" t="s">
        <v>72</v>
      </c>
      <c r="B4342" s="43" t="s">
        <v>4</v>
      </c>
      <c r="C4342" s="15">
        <v>53</v>
      </c>
      <c r="D4342" s="244">
        <v>2</v>
      </c>
      <c r="E4342" s="244">
        <v>1</v>
      </c>
      <c r="F4342" s="244">
        <v>5</v>
      </c>
      <c r="G4342" s="244">
        <v>2</v>
      </c>
      <c r="H4342" s="244">
        <v>5</v>
      </c>
      <c r="I4342" s="244">
        <v>2</v>
      </c>
      <c r="J4342" s="244">
        <v>10</v>
      </c>
      <c r="K4342" s="244">
        <v>4</v>
      </c>
      <c r="L4342" s="244">
        <v>5</v>
      </c>
      <c r="M4342" s="244">
        <v>4</v>
      </c>
      <c r="N4342" s="244">
        <v>6</v>
      </c>
      <c r="O4342" s="254">
        <v>7</v>
      </c>
    </row>
    <row r="4343" spans="1:15">
      <c r="A4343" s="240" t="s">
        <v>72</v>
      </c>
      <c r="B4343" s="47" t="s">
        <v>5</v>
      </c>
      <c r="C4343" s="12">
        <v>0.0798192771084337</v>
      </c>
      <c r="D4343" s="241">
        <v>0.0327868852459016</v>
      </c>
      <c r="E4343" s="241">
        <v>0.0285714285714286</v>
      </c>
      <c r="F4343" s="241">
        <v>0.131578947368421</v>
      </c>
      <c r="G4343" s="241">
        <v>0.0555555555555556</v>
      </c>
      <c r="H4343" s="241">
        <v>0.0909090909090909</v>
      </c>
      <c r="I4343" s="241">
        <v>0.0465116279069767</v>
      </c>
      <c r="J4343" s="241">
        <v>0.147058823529412</v>
      </c>
      <c r="K4343" s="241">
        <v>0.0740740740740741</v>
      </c>
      <c r="L4343" s="241">
        <v>0.119047619047619</v>
      </c>
      <c r="M4343" s="241">
        <v>0.0547945205479452</v>
      </c>
      <c r="N4343" s="241">
        <v>0.0857142857142857</v>
      </c>
      <c r="O4343" s="252">
        <v>0.0786516853932584</v>
      </c>
    </row>
    <row r="4344" spans="1:15">
      <c r="A4344" s="242" t="s">
        <v>72</v>
      </c>
      <c r="B4344" s="43" t="s">
        <v>6</v>
      </c>
      <c r="C4344" s="15">
        <v>10</v>
      </c>
      <c r="D4344" s="244">
        <v>1</v>
      </c>
      <c r="E4344" s="244">
        <v>0</v>
      </c>
      <c r="F4344" s="244">
        <v>0</v>
      </c>
      <c r="G4344" s="244">
        <v>0</v>
      </c>
      <c r="H4344" s="244">
        <v>1</v>
      </c>
      <c r="I4344" s="244">
        <v>3</v>
      </c>
      <c r="J4344" s="244">
        <v>2</v>
      </c>
      <c r="K4344" s="244">
        <v>1</v>
      </c>
      <c r="L4344" s="244">
        <v>1</v>
      </c>
      <c r="M4344" s="244">
        <v>0</v>
      </c>
      <c r="N4344" s="244">
        <v>1</v>
      </c>
      <c r="O4344" s="254">
        <v>0</v>
      </c>
    </row>
    <row r="4345" ht="14.25" spans="1:15">
      <c r="A4345" s="245" t="s">
        <v>72</v>
      </c>
      <c r="B4345" s="52" t="s">
        <v>64</v>
      </c>
      <c r="C4345" s="19">
        <v>0.188679245283019</v>
      </c>
      <c r="D4345" s="19">
        <v>0.5</v>
      </c>
      <c r="E4345" s="19">
        <v>0</v>
      </c>
      <c r="F4345" s="19">
        <v>0</v>
      </c>
      <c r="G4345" s="19">
        <v>0</v>
      </c>
      <c r="H4345" s="19">
        <v>0.2</v>
      </c>
      <c r="I4345" s="19">
        <v>1.5</v>
      </c>
      <c r="J4345" s="19">
        <v>0.2</v>
      </c>
      <c r="K4345" s="19">
        <v>0.25</v>
      </c>
      <c r="L4345" s="19">
        <v>0.2</v>
      </c>
      <c r="M4345" s="19">
        <v>0</v>
      </c>
      <c r="N4345" s="19">
        <v>0.166666666666667</v>
      </c>
      <c r="O4345" s="19">
        <v>0</v>
      </c>
    </row>
    <row r="4346" ht="14.25" spans="1:15">
      <c r="A4346" s="259">
        <v>45086</v>
      </c>
      <c r="B4346" s="259"/>
      <c r="C4346" s="259"/>
      <c r="D4346" s="259"/>
      <c r="E4346" s="259"/>
      <c r="F4346" s="259"/>
      <c r="G4346" s="259"/>
      <c r="H4346" s="259"/>
      <c r="I4346" s="259"/>
      <c r="J4346" s="259"/>
      <c r="K4346" s="259"/>
      <c r="L4346" s="259"/>
      <c r="M4346" s="259"/>
      <c r="N4346" s="259"/>
      <c r="O4346" s="259"/>
    </row>
    <row r="4347" spans="1:15">
      <c r="A4347" s="56" t="s">
        <v>1</v>
      </c>
      <c r="B4347" s="238"/>
      <c r="C4347" s="8" t="s">
        <v>42</v>
      </c>
      <c r="D4347" s="239" t="s">
        <v>43</v>
      </c>
      <c r="E4347" s="239" t="s">
        <v>44</v>
      </c>
      <c r="F4347" s="239" t="s">
        <v>45</v>
      </c>
      <c r="G4347" s="239" t="s">
        <v>46</v>
      </c>
      <c r="H4347" s="239" t="s">
        <v>47</v>
      </c>
      <c r="I4347" s="239" t="s">
        <v>48</v>
      </c>
      <c r="J4347" s="239" t="s">
        <v>49</v>
      </c>
      <c r="K4347" s="239" t="s">
        <v>50</v>
      </c>
      <c r="L4347" s="239" t="s">
        <v>51</v>
      </c>
      <c r="M4347" s="239" t="s">
        <v>52</v>
      </c>
      <c r="N4347" s="239" t="s">
        <v>53</v>
      </c>
      <c r="O4347" s="251" t="s">
        <v>54</v>
      </c>
    </row>
    <row r="4348" spans="1:15">
      <c r="A4348" s="240" t="s">
        <v>22</v>
      </c>
      <c r="B4348" s="47" t="s">
        <v>55</v>
      </c>
      <c r="C4348" s="12">
        <v>0.404505386875612</v>
      </c>
      <c r="D4348" s="241">
        <v>0.509765625</v>
      </c>
      <c r="E4348" s="241">
        <v>0.45136186770428</v>
      </c>
      <c r="F4348" s="241">
        <v>0.443877551020408</v>
      </c>
      <c r="G4348" s="241">
        <v>0.574162679425837</v>
      </c>
      <c r="H4348" s="241">
        <v>0.43646408839779</v>
      </c>
      <c r="I4348" s="241">
        <v>0.400485436893204</v>
      </c>
      <c r="J4348" s="241">
        <v>0.404921700223714</v>
      </c>
      <c r="K4348" s="241">
        <v>0.37109375</v>
      </c>
      <c r="L4348" s="241">
        <v>0.375757575757576</v>
      </c>
      <c r="M4348" s="241">
        <v>0.407327586206897</v>
      </c>
      <c r="N4348" s="241">
        <v>0.324275362318841</v>
      </c>
      <c r="O4348" s="252">
        <v>0.339155749636099</v>
      </c>
    </row>
    <row r="4349" spans="1:15">
      <c r="A4349" s="242" t="s">
        <v>22</v>
      </c>
      <c r="B4349" s="43" t="s">
        <v>57</v>
      </c>
      <c r="C4349" s="15">
        <v>5105</v>
      </c>
      <c r="D4349" s="243">
        <v>512</v>
      </c>
      <c r="E4349" s="243">
        <v>257</v>
      </c>
      <c r="F4349" s="243">
        <v>196</v>
      </c>
      <c r="G4349" s="243">
        <v>209</v>
      </c>
      <c r="H4349" s="243">
        <v>362</v>
      </c>
      <c r="I4349" s="243">
        <v>412</v>
      </c>
      <c r="J4349" s="243">
        <v>447</v>
      </c>
      <c r="K4349" s="243">
        <v>512</v>
      </c>
      <c r="L4349" s="243">
        <v>495</v>
      </c>
      <c r="M4349" s="243">
        <v>464</v>
      </c>
      <c r="N4349" s="243">
        <v>552</v>
      </c>
      <c r="O4349" s="253">
        <v>687</v>
      </c>
    </row>
    <row r="4350" spans="1:15">
      <c r="A4350" s="240" t="s">
        <v>22</v>
      </c>
      <c r="B4350" s="47" t="s">
        <v>59</v>
      </c>
      <c r="C4350" s="15">
        <v>2065</v>
      </c>
      <c r="D4350" s="243">
        <v>261</v>
      </c>
      <c r="E4350" s="243">
        <v>116</v>
      </c>
      <c r="F4350" s="243">
        <v>87</v>
      </c>
      <c r="G4350" s="243">
        <v>120</v>
      </c>
      <c r="H4350" s="243">
        <v>158</v>
      </c>
      <c r="I4350" s="243">
        <v>165</v>
      </c>
      <c r="J4350" s="243">
        <v>181</v>
      </c>
      <c r="K4350" s="243">
        <v>190</v>
      </c>
      <c r="L4350" s="243">
        <v>186</v>
      </c>
      <c r="M4350" s="243">
        <v>189</v>
      </c>
      <c r="N4350" s="243">
        <v>179</v>
      </c>
      <c r="O4350" s="253">
        <v>233</v>
      </c>
    </row>
    <row r="4351" spans="1:15">
      <c r="A4351" s="242" t="s">
        <v>22</v>
      </c>
      <c r="B4351" s="43" t="s">
        <v>4</v>
      </c>
      <c r="C4351" s="15">
        <v>163</v>
      </c>
      <c r="D4351" s="244">
        <v>18</v>
      </c>
      <c r="E4351" s="244">
        <v>10</v>
      </c>
      <c r="F4351" s="244">
        <v>5</v>
      </c>
      <c r="G4351" s="244">
        <v>7</v>
      </c>
      <c r="H4351" s="244">
        <v>8</v>
      </c>
      <c r="I4351" s="244">
        <v>11</v>
      </c>
      <c r="J4351" s="244">
        <v>18</v>
      </c>
      <c r="K4351" s="244">
        <v>16</v>
      </c>
      <c r="L4351" s="244">
        <v>19</v>
      </c>
      <c r="M4351" s="244">
        <v>13</v>
      </c>
      <c r="N4351" s="244">
        <v>13</v>
      </c>
      <c r="O4351" s="254">
        <v>25</v>
      </c>
    </row>
    <row r="4352" spans="1:15">
      <c r="A4352" s="240" t="s">
        <v>22</v>
      </c>
      <c r="B4352" s="47" t="s">
        <v>5</v>
      </c>
      <c r="C4352" s="12">
        <v>0.0789346246973366</v>
      </c>
      <c r="D4352" s="241">
        <v>0.0689655172413793</v>
      </c>
      <c r="E4352" s="241">
        <v>0.0862068965517241</v>
      </c>
      <c r="F4352" s="241">
        <v>0.0574712643678161</v>
      </c>
      <c r="G4352" s="241">
        <v>0.0583333333333333</v>
      </c>
      <c r="H4352" s="241">
        <v>0.0506329113924051</v>
      </c>
      <c r="I4352" s="241">
        <v>0.0666666666666667</v>
      </c>
      <c r="J4352" s="241">
        <v>0.0994475138121547</v>
      </c>
      <c r="K4352" s="241">
        <v>0.0842105263157895</v>
      </c>
      <c r="L4352" s="241">
        <v>0.102150537634409</v>
      </c>
      <c r="M4352" s="241">
        <v>0.0687830687830688</v>
      </c>
      <c r="N4352" s="241">
        <v>0.0726256983240224</v>
      </c>
      <c r="O4352" s="252">
        <v>0.107296137339056</v>
      </c>
    </row>
    <row r="4353" spans="1:15">
      <c r="A4353" s="242" t="s">
        <v>22</v>
      </c>
      <c r="B4353" s="43" t="s">
        <v>6</v>
      </c>
      <c r="C4353" s="15">
        <v>46</v>
      </c>
      <c r="D4353" s="244">
        <v>5</v>
      </c>
      <c r="E4353" s="244">
        <v>4</v>
      </c>
      <c r="F4353" s="244">
        <v>1</v>
      </c>
      <c r="G4353" s="244">
        <v>2</v>
      </c>
      <c r="H4353" s="244">
        <v>4</v>
      </c>
      <c r="I4353" s="244">
        <v>4</v>
      </c>
      <c r="J4353" s="244">
        <v>4</v>
      </c>
      <c r="K4353" s="244">
        <v>7</v>
      </c>
      <c r="L4353" s="244">
        <v>4</v>
      </c>
      <c r="M4353" s="244">
        <v>4</v>
      </c>
      <c r="N4353" s="244">
        <v>2</v>
      </c>
      <c r="O4353" s="254">
        <v>5</v>
      </c>
    </row>
    <row r="4354" ht="14.25" spans="1:15">
      <c r="A4354" s="245" t="s">
        <v>22</v>
      </c>
      <c r="B4354" s="52" t="s">
        <v>64</v>
      </c>
      <c r="C4354" s="19">
        <v>0.282208588957055</v>
      </c>
      <c r="D4354" s="246">
        <v>0.277777777777778</v>
      </c>
      <c r="E4354" s="246">
        <v>0.4</v>
      </c>
      <c r="F4354" s="246">
        <v>0.2</v>
      </c>
      <c r="G4354" s="246">
        <v>0.285714285714286</v>
      </c>
      <c r="H4354" s="246">
        <v>0.5</v>
      </c>
      <c r="I4354" s="246">
        <v>0.363636363636364</v>
      </c>
      <c r="J4354" s="246">
        <v>0.222222222222222</v>
      </c>
      <c r="K4354" s="246">
        <v>0.4375</v>
      </c>
      <c r="L4354" s="246">
        <v>0.210526315789474</v>
      </c>
      <c r="M4354" s="246">
        <v>0.307692307692308</v>
      </c>
      <c r="N4354" s="246">
        <v>0.153846153846154</v>
      </c>
      <c r="O4354" s="255">
        <v>0.2</v>
      </c>
    </row>
    <row r="4355" spans="1:15">
      <c r="A4355" s="247" t="s">
        <v>66</v>
      </c>
      <c r="B4355" s="248" t="s">
        <v>55</v>
      </c>
      <c r="C4355" s="12">
        <v>0.0685966016362492</v>
      </c>
      <c r="D4355" s="249">
        <v>0.0765027322404372</v>
      </c>
      <c r="E4355" s="249">
        <v>0.0505050505050505</v>
      </c>
      <c r="F4355" s="249">
        <v>0.0687022900763359</v>
      </c>
      <c r="G4355" s="249">
        <v>0.032258064516129</v>
      </c>
      <c r="H4355" s="249">
        <v>0.0273972602739726</v>
      </c>
      <c r="I4355" s="249">
        <v>0.0495867768595041</v>
      </c>
      <c r="J4355" s="249">
        <v>0.0955882352941176</v>
      </c>
      <c r="K4355" s="249">
        <v>0.0564516129032258</v>
      </c>
      <c r="L4355" s="249">
        <v>0.0909090909090909</v>
      </c>
      <c r="M4355" s="249">
        <v>0.0980392156862745</v>
      </c>
      <c r="N4355" s="249">
        <v>0.1</v>
      </c>
      <c r="O4355" s="256">
        <v>0.106194690265487</v>
      </c>
    </row>
    <row r="4356" spans="1:15">
      <c r="A4356" s="242" t="s">
        <v>66</v>
      </c>
      <c r="B4356" s="43" t="s">
        <v>57</v>
      </c>
      <c r="C4356" s="15">
        <v>1589</v>
      </c>
      <c r="D4356" s="243">
        <v>183</v>
      </c>
      <c r="E4356" s="243">
        <v>198</v>
      </c>
      <c r="F4356" s="243">
        <v>131</v>
      </c>
      <c r="G4356" s="243">
        <v>124</v>
      </c>
      <c r="H4356" s="243">
        <v>146</v>
      </c>
      <c r="I4356" s="243">
        <v>121</v>
      </c>
      <c r="J4356" s="243">
        <v>136</v>
      </c>
      <c r="K4356" s="243">
        <v>124</v>
      </c>
      <c r="L4356" s="243">
        <v>121</v>
      </c>
      <c r="M4356" s="243">
        <v>102</v>
      </c>
      <c r="N4356" s="243">
        <v>90</v>
      </c>
      <c r="O4356" s="253">
        <v>113</v>
      </c>
    </row>
    <row r="4357" spans="1:15">
      <c r="A4357" s="240" t="s">
        <v>66</v>
      </c>
      <c r="B4357" s="47" t="s">
        <v>59</v>
      </c>
      <c r="C4357" s="15">
        <v>109</v>
      </c>
      <c r="D4357" s="243">
        <v>14</v>
      </c>
      <c r="E4357" s="243">
        <v>10</v>
      </c>
      <c r="F4357" s="243">
        <v>9</v>
      </c>
      <c r="G4357" s="243">
        <v>4</v>
      </c>
      <c r="H4357" s="243">
        <v>4</v>
      </c>
      <c r="I4357" s="243">
        <v>6</v>
      </c>
      <c r="J4357" s="243">
        <v>13</v>
      </c>
      <c r="K4357" s="243">
        <v>7</v>
      </c>
      <c r="L4357" s="243">
        <v>11</v>
      </c>
      <c r="M4357" s="243">
        <v>10</v>
      </c>
      <c r="N4357" s="243">
        <v>9</v>
      </c>
      <c r="O4357" s="253">
        <v>12</v>
      </c>
    </row>
    <row r="4358" spans="1:15">
      <c r="A4358" s="242" t="s">
        <v>66</v>
      </c>
      <c r="B4358" s="43" t="s">
        <v>4</v>
      </c>
      <c r="C4358" s="15">
        <v>3</v>
      </c>
      <c r="D4358" s="244">
        <v>0</v>
      </c>
      <c r="E4358" s="244">
        <v>0</v>
      </c>
      <c r="F4358" s="244">
        <v>1</v>
      </c>
      <c r="G4358" s="244">
        <v>0</v>
      </c>
      <c r="H4358" s="244">
        <v>0</v>
      </c>
      <c r="I4358" s="244">
        <v>0</v>
      </c>
      <c r="J4358" s="244">
        <v>0</v>
      </c>
      <c r="K4358" s="244">
        <v>1</v>
      </c>
      <c r="L4358" s="244">
        <v>0</v>
      </c>
      <c r="M4358" s="244">
        <v>0</v>
      </c>
      <c r="N4358" s="244">
        <v>0</v>
      </c>
      <c r="O4358" s="254">
        <v>1</v>
      </c>
    </row>
    <row r="4359" spans="1:15">
      <c r="A4359" s="240" t="s">
        <v>66</v>
      </c>
      <c r="B4359" s="47" t="s">
        <v>5</v>
      </c>
      <c r="C4359" s="12">
        <v>0.0275229357798165</v>
      </c>
      <c r="D4359" s="241">
        <v>0</v>
      </c>
      <c r="E4359" s="241">
        <v>0</v>
      </c>
      <c r="F4359" s="241">
        <v>0.111111111111111</v>
      </c>
      <c r="G4359" s="241">
        <v>0</v>
      </c>
      <c r="H4359" s="241">
        <v>0</v>
      </c>
      <c r="I4359" s="241">
        <v>0</v>
      </c>
      <c r="J4359" s="241">
        <v>0</v>
      </c>
      <c r="K4359" s="241">
        <v>0.142857142857143</v>
      </c>
      <c r="L4359" s="241">
        <v>0</v>
      </c>
      <c r="M4359" s="241">
        <v>0</v>
      </c>
      <c r="N4359" s="241">
        <v>0</v>
      </c>
      <c r="O4359" s="252">
        <v>0.0833333333333333</v>
      </c>
    </row>
    <row r="4360" spans="1:15">
      <c r="A4360" s="242" t="s">
        <v>66</v>
      </c>
      <c r="B4360" s="43" t="s">
        <v>6</v>
      </c>
      <c r="C4360" s="15">
        <v>2</v>
      </c>
      <c r="D4360" s="244">
        <v>0</v>
      </c>
      <c r="E4360" s="244">
        <v>0</v>
      </c>
      <c r="F4360" s="244">
        <v>0</v>
      </c>
      <c r="G4360" s="244">
        <v>0</v>
      </c>
      <c r="H4360" s="244">
        <v>0</v>
      </c>
      <c r="I4360" s="244">
        <v>0</v>
      </c>
      <c r="J4360" s="244">
        <v>0</v>
      </c>
      <c r="K4360" s="244">
        <v>0</v>
      </c>
      <c r="L4360" s="244">
        <v>1</v>
      </c>
      <c r="M4360" s="244">
        <v>0</v>
      </c>
      <c r="N4360" s="244">
        <v>0</v>
      </c>
      <c r="O4360" s="254">
        <v>1</v>
      </c>
    </row>
    <row r="4361" ht="14.25" spans="1:15">
      <c r="A4361" s="245" t="s">
        <v>66</v>
      </c>
      <c r="B4361" s="52" t="s">
        <v>64</v>
      </c>
      <c r="C4361" s="19">
        <v>0.666666666666667</v>
      </c>
      <c r="D4361" s="246">
        <v>0</v>
      </c>
      <c r="E4361" s="246">
        <v>0</v>
      </c>
      <c r="F4361" s="246">
        <v>0</v>
      </c>
      <c r="G4361" s="246">
        <v>0</v>
      </c>
      <c r="H4361" s="246">
        <v>0</v>
      </c>
      <c r="I4361" s="246">
        <v>0</v>
      </c>
      <c r="J4361" s="246">
        <v>0</v>
      </c>
      <c r="K4361" s="246">
        <v>0</v>
      </c>
      <c r="L4361" s="246">
        <v>0</v>
      </c>
      <c r="M4361" s="246">
        <v>0</v>
      </c>
      <c r="N4361" s="246">
        <v>0</v>
      </c>
      <c r="O4361" s="255">
        <v>1</v>
      </c>
    </row>
    <row r="4362" spans="1:15">
      <c r="A4362" s="240" t="s">
        <v>67</v>
      </c>
      <c r="B4362" s="47" t="s">
        <v>55</v>
      </c>
      <c r="C4362" s="12">
        <v>0.400230680507497</v>
      </c>
      <c r="D4362" s="241">
        <v>0.31</v>
      </c>
      <c r="E4362" s="241">
        <v>0.403508771929825</v>
      </c>
      <c r="F4362" s="241">
        <v>0.375</v>
      </c>
      <c r="G4362" s="241">
        <v>0.441176470588235</v>
      </c>
      <c r="H4362" s="241">
        <v>0.354838709677419</v>
      </c>
      <c r="I4362" s="241">
        <v>0.26</v>
      </c>
      <c r="J4362" s="241">
        <v>0.215909090909091</v>
      </c>
      <c r="K4362" s="241">
        <v>0.35036496350365</v>
      </c>
      <c r="L4362" s="241">
        <v>0.470588235294118</v>
      </c>
      <c r="M4362" s="241">
        <v>0.579710144927536</v>
      </c>
      <c r="N4362" s="241">
        <v>0.586206896551724</v>
      </c>
      <c r="O4362" s="252">
        <v>0.493975903614458</v>
      </c>
    </row>
    <row r="4363" spans="1:15">
      <c r="A4363" s="242" t="s">
        <v>67</v>
      </c>
      <c r="B4363" s="43" t="s">
        <v>57</v>
      </c>
      <c r="C4363" s="15">
        <v>867</v>
      </c>
      <c r="D4363" s="243">
        <v>100</v>
      </c>
      <c r="E4363" s="243">
        <v>57</v>
      </c>
      <c r="F4363" s="243">
        <v>32</v>
      </c>
      <c r="G4363" s="243">
        <v>34</v>
      </c>
      <c r="H4363" s="243">
        <v>62</v>
      </c>
      <c r="I4363" s="243">
        <v>50</v>
      </c>
      <c r="J4363" s="243">
        <v>88</v>
      </c>
      <c r="K4363" s="243">
        <v>137</v>
      </c>
      <c r="L4363" s="243">
        <v>68</v>
      </c>
      <c r="M4363" s="243">
        <v>69</v>
      </c>
      <c r="N4363" s="243">
        <v>87</v>
      </c>
      <c r="O4363" s="253">
        <v>83</v>
      </c>
    </row>
    <row r="4364" spans="1:15">
      <c r="A4364" s="240" t="s">
        <v>67</v>
      </c>
      <c r="B4364" s="47" t="s">
        <v>59</v>
      </c>
      <c r="C4364" s="15">
        <v>347</v>
      </c>
      <c r="D4364" s="243">
        <v>31</v>
      </c>
      <c r="E4364" s="243">
        <v>23</v>
      </c>
      <c r="F4364" s="243">
        <v>12</v>
      </c>
      <c r="G4364" s="243">
        <v>15</v>
      </c>
      <c r="H4364" s="243">
        <v>22</v>
      </c>
      <c r="I4364" s="243">
        <v>13</v>
      </c>
      <c r="J4364" s="243">
        <v>19</v>
      </c>
      <c r="K4364" s="243">
        <v>48</v>
      </c>
      <c r="L4364" s="243">
        <v>32</v>
      </c>
      <c r="M4364" s="243">
        <v>40</v>
      </c>
      <c r="N4364" s="243">
        <v>51</v>
      </c>
      <c r="O4364" s="253">
        <v>41</v>
      </c>
    </row>
    <row r="4365" spans="1:15">
      <c r="A4365" s="242" t="s">
        <v>67</v>
      </c>
      <c r="B4365" s="43" t="s">
        <v>4</v>
      </c>
      <c r="C4365" s="15">
        <v>11</v>
      </c>
      <c r="D4365" s="244">
        <v>2</v>
      </c>
      <c r="E4365" s="244">
        <v>0</v>
      </c>
      <c r="F4365" s="244">
        <v>1</v>
      </c>
      <c r="G4365" s="244">
        <v>0</v>
      </c>
      <c r="H4365" s="244">
        <v>2</v>
      </c>
      <c r="I4365" s="244">
        <v>0</v>
      </c>
      <c r="J4365" s="244">
        <v>0</v>
      </c>
      <c r="K4365" s="244">
        <v>2</v>
      </c>
      <c r="L4365" s="244">
        <v>2</v>
      </c>
      <c r="M4365" s="244">
        <v>0</v>
      </c>
      <c r="N4365" s="244">
        <v>2</v>
      </c>
      <c r="O4365" s="254">
        <v>0</v>
      </c>
    </row>
    <row r="4366" spans="1:15">
      <c r="A4366" s="240" t="s">
        <v>67</v>
      </c>
      <c r="B4366" s="47" t="s">
        <v>5</v>
      </c>
      <c r="C4366" s="12">
        <v>0.031700288184438</v>
      </c>
      <c r="D4366" s="241">
        <v>0.0645161290322581</v>
      </c>
      <c r="E4366" s="241">
        <v>0</v>
      </c>
      <c r="F4366" s="241">
        <v>0.0833333333333333</v>
      </c>
      <c r="G4366" s="241">
        <v>0</v>
      </c>
      <c r="H4366" s="241">
        <v>0.0909090909090909</v>
      </c>
      <c r="I4366" s="241">
        <v>0</v>
      </c>
      <c r="J4366" s="241">
        <v>0</v>
      </c>
      <c r="K4366" s="241">
        <v>0.0416666666666667</v>
      </c>
      <c r="L4366" s="241">
        <v>0.0625</v>
      </c>
      <c r="M4366" s="241">
        <v>0</v>
      </c>
      <c r="N4366" s="241">
        <v>0.0392156862745098</v>
      </c>
      <c r="O4366" s="252">
        <v>0</v>
      </c>
    </row>
    <row r="4367" spans="1:15">
      <c r="A4367" s="242" t="s">
        <v>67</v>
      </c>
      <c r="B4367" s="43" t="s">
        <v>6</v>
      </c>
      <c r="C4367" s="15">
        <v>7</v>
      </c>
      <c r="D4367" s="244">
        <v>1</v>
      </c>
      <c r="E4367" s="244">
        <v>0</v>
      </c>
      <c r="F4367" s="244">
        <v>1</v>
      </c>
      <c r="G4367" s="244">
        <v>0</v>
      </c>
      <c r="H4367" s="244">
        <v>1</v>
      </c>
      <c r="I4367" s="244">
        <v>0</v>
      </c>
      <c r="J4367" s="244">
        <v>0</v>
      </c>
      <c r="K4367" s="244">
        <v>3</v>
      </c>
      <c r="L4367" s="244">
        <v>0</v>
      </c>
      <c r="M4367" s="244">
        <v>1</v>
      </c>
      <c r="N4367" s="244">
        <v>0</v>
      </c>
      <c r="O4367" s="254">
        <v>0</v>
      </c>
    </row>
    <row r="4368" ht="14.25" spans="1:15">
      <c r="A4368" s="245" t="s">
        <v>67</v>
      </c>
      <c r="B4368" s="52" t="s">
        <v>64</v>
      </c>
      <c r="C4368" s="19">
        <v>0.636363636363636</v>
      </c>
      <c r="D4368" s="246">
        <v>0.5</v>
      </c>
      <c r="E4368" s="246">
        <v>0</v>
      </c>
      <c r="F4368" s="246">
        <v>1</v>
      </c>
      <c r="G4368" s="246">
        <v>0</v>
      </c>
      <c r="H4368" s="246">
        <v>0.5</v>
      </c>
      <c r="I4368" s="246">
        <v>0</v>
      </c>
      <c r="J4368" s="246">
        <v>0</v>
      </c>
      <c r="K4368" s="246">
        <v>1.5</v>
      </c>
      <c r="L4368" s="246">
        <v>0</v>
      </c>
      <c r="M4368" s="246">
        <v>0</v>
      </c>
      <c r="N4368" s="246">
        <v>0</v>
      </c>
      <c r="O4368" s="255">
        <v>0</v>
      </c>
    </row>
    <row r="4369" spans="1:15">
      <c r="A4369" s="240" t="s">
        <v>68</v>
      </c>
      <c r="B4369" s="47" t="s">
        <v>55</v>
      </c>
      <c r="C4369" s="12">
        <v>0.177194860813705</v>
      </c>
      <c r="D4369" s="241">
        <v>0.175824175824176</v>
      </c>
      <c r="E4369" s="241">
        <v>0.161849710982659</v>
      </c>
      <c r="F4369" s="241">
        <v>0.270676691729323</v>
      </c>
      <c r="G4369" s="241">
        <v>0.275</v>
      </c>
      <c r="H4369" s="241">
        <v>0.219730941704036</v>
      </c>
      <c r="I4369" s="241">
        <v>0.183673469387755</v>
      </c>
      <c r="J4369" s="241">
        <v>0.209580838323353</v>
      </c>
      <c r="K4369" s="241">
        <v>0.14021164021164</v>
      </c>
      <c r="L4369" s="241">
        <v>0.13849765258216</v>
      </c>
      <c r="M4369" s="241">
        <v>0.198952879581152</v>
      </c>
      <c r="N4369" s="241">
        <v>0.169265033407572</v>
      </c>
      <c r="O4369" s="252">
        <v>0.135029354207436</v>
      </c>
    </row>
    <row r="4370" spans="1:15">
      <c r="A4370" s="242" t="s">
        <v>68</v>
      </c>
      <c r="B4370" s="43" t="s">
        <v>57</v>
      </c>
      <c r="C4370" s="15">
        <v>3736</v>
      </c>
      <c r="D4370" s="243">
        <v>273</v>
      </c>
      <c r="E4370" s="243">
        <v>173</v>
      </c>
      <c r="F4370" s="243">
        <v>133</v>
      </c>
      <c r="G4370" s="243">
        <v>160</v>
      </c>
      <c r="H4370" s="243">
        <v>223</v>
      </c>
      <c r="I4370" s="243">
        <v>294</v>
      </c>
      <c r="J4370" s="243">
        <v>334</v>
      </c>
      <c r="K4370" s="243">
        <v>378</v>
      </c>
      <c r="L4370" s="243">
        <v>426</v>
      </c>
      <c r="M4370" s="243">
        <v>382</v>
      </c>
      <c r="N4370" s="243">
        <v>449</v>
      </c>
      <c r="O4370" s="253">
        <v>511</v>
      </c>
    </row>
    <row r="4371" spans="1:15">
      <c r="A4371" s="240" t="s">
        <v>68</v>
      </c>
      <c r="B4371" s="47" t="s">
        <v>59</v>
      </c>
      <c r="C4371" s="15">
        <v>662</v>
      </c>
      <c r="D4371" s="243">
        <v>48</v>
      </c>
      <c r="E4371" s="243">
        <v>28</v>
      </c>
      <c r="F4371" s="243">
        <v>36</v>
      </c>
      <c r="G4371" s="243">
        <v>44</v>
      </c>
      <c r="H4371" s="243">
        <v>49</v>
      </c>
      <c r="I4371" s="243">
        <v>54</v>
      </c>
      <c r="J4371" s="243">
        <v>70</v>
      </c>
      <c r="K4371" s="243">
        <v>53</v>
      </c>
      <c r="L4371" s="243">
        <v>59</v>
      </c>
      <c r="M4371" s="243">
        <v>76</v>
      </c>
      <c r="N4371" s="243">
        <v>76</v>
      </c>
      <c r="O4371" s="253">
        <v>69</v>
      </c>
    </row>
    <row r="4372" spans="1:15">
      <c r="A4372" s="242" t="s">
        <v>68</v>
      </c>
      <c r="B4372" s="43" t="s">
        <v>4</v>
      </c>
      <c r="C4372" s="15">
        <v>38</v>
      </c>
      <c r="D4372" s="244">
        <v>4</v>
      </c>
      <c r="E4372" s="244">
        <v>2</v>
      </c>
      <c r="F4372" s="244">
        <v>0</v>
      </c>
      <c r="G4372" s="244">
        <v>2</v>
      </c>
      <c r="H4372" s="244">
        <v>3</v>
      </c>
      <c r="I4372" s="244">
        <v>7</v>
      </c>
      <c r="J4372" s="244">
        <v>1</v>
      </c>
      <c r="K4372" s="244">
        <v>2</v>
      </c>
      <c r="L4372" s="244">
        <v>2</v>
      </c>
      <c r="M4372" s="244">
        <v>3</v>
      </c>
      <c r="N4372" s="244">
        <v>7</v>
      </c>
      <c r="O4372" s="254">
        <v>5</v>
      </c>
    </row>
    <row r="4373" spans="1:15">
      <c r="A4373" s="240" t="s">
        <v>68</v>
      </c>
      <c r="B4373" s="47" t="s">
        <v>5</v>
      </c>
      <c r="C4373" s="12">
        <v>0.0574018126888218</v>
      </c>
      <c r="D4373" s="241">
        <v>0.0833333333333333</v>
      </c>
      <c r="E4373" s="241">
        <v>0.0714285714285714</v>
      </c>
      <c r="F4373" s="241">
        <v>0</v>
      </c>
      <c r="G4373" s="241">
        <v>0.0454545454545455</v>
      </c>
      <c r="H4373" s="241">
        <v>0.0612244897959184</v>
      </c>
      <c r="I4373" s="241">
        <v>0.12962962962963</v>
      </c>
      <c r="J4373" s="241">
        <v>0.0142857142857143</v>
      </c>
      <c r="K4373" s="241">
        <v>0.0377358490566038</v>
      </c>
      <c r="L4373" s="241">
        <v>0.0338983050847458</v>
      </c>
      <c r="M4373" s="241">
        <v>0.0394736842105263</v>
      </c>
      <c r="N4373" s="241">
        <v>0.0921052631578947</v>
      </c>
      <c r="O4373" s="252">
        <v>0.072463768115942</v>
      </c>
    </row>
    <row r="4374" spans="1:15">
      <c r="A4374" s="242" t="s">
        <v>68</v>
      </c>
      <c r="B4374" s="43" t="s">
        <v>6</v>
      </c>
      <c r="C4374" s="15">
        <v>12</v>
      </c>
      <c r="D4374" s="244">
        <v>1</v>
      </c>
      <c r="E4374" s="244">
        <v>1</v>
      </c>
      <c r="F4374" s="244">
        <v>0</v>
      </c>
      <c r="G4374" s="244">
        <v>0</v>
      </c>
      <c r="H4374" s="244">
        <v>0</v>
      </c>
      <c r="I4374" s="244">
        <v>0</v>
      </c>
      <c r="J4374" s="244">
        <v>0</v>
      </c>
      <c r="K4374" s="244">
        <v>1</v>
      </c>
      <c r="L4374" s="244">
        <v>2</v>
      </c>
      <c r="M4374" s="244">
        <v>3</v>
      </c>
      <c r="N4374" s="244">
        <v>2</v>
      </c>
      <c r="O4374" s="254">
        <v>2</v>
      </c>
    </row>
    <row r="4375" ht="14.25" spans="1:15">
      <c r="A4375" s="245" t="s">
        <v>68</v>
      </c>
      <c r="B4375" s="52" t="s">
        <v>64</v>
      </c>
      <c r="C4375" s="19">
        <v>0.315789473684211</v>
      </c>
      <c r="D4375" s="246">
        <v>0.25</v>
      </c>
      <c r="E4375" s="246">
        <v>0.5</v>
      </c>
      <c r="F4375" s="246">
        <v>0</v>
      </c>
      <c r="G4375" s="246">
        <v>0</v>
      </c>
      <c r="H4375" s="246">
        <v>0</v>
      </c>
      <c r="I4375" s="246">
        <v>0</v>
      </c>
      <c r="J4375" s="246">
        <v>0</v>
      </c>
      <c r="K4375" s="246">
        <v>0.5</v>
      </c>
      <c r="L4375" s="246">
        <v>1</v>
      </c>
      <c r="M4375" s="246">
        <v>1</v>
      </c>
      <c r="N4375" s="246">
        <v>0.285714285714286</v>
      </c>
      <c r="O4375" s="255">
        <v>0.4</v>
      </c>
    </row>
    <row r="4376" spans="1:15">
      <c r="A4376" s="240" t="s">
        <v>69</v>
      </c>
      <c r="B4376" s="47" t="s">
        <v>55</v>
      </c>
      <c r="C4376" s="12">
        <v>1.38214285714286</v>
      </c>
      <c r="D4376" s="241">
        <v>1.60714285714286</v>
      </c>
      <c r="E4376" s="241">
        <v>1.09090909090909</v>
      </c>
      <c r="F4376" s="241">
        <v>0.666666666666667</v>
      </c>
      <c r="G4376" s="241">
        <v>1.46666666666667</v>
      </c>
      <c r="H4376" s="241">
        <v>1.11538461538462</v>
      </c>
      <c r="I4376" s="241">
        <v>1.54166666666667</v>
      </c>
      <c r="J4376" s="241">
        <v>1.54166666666667</v>
      </c>
      <c r="K4376" s="241">
        <v>1.55</v>
      </c>
      <c r="L4376" s="241">
        <v>1.52</v>
      </c>
      <c r="M4376" s="241">
        <v>1.56521739130435</v>
      </c>
      <c r="N4376" s="241">
        <v>1.26666666666667</v>
      </c>
      <c r="O4376" s="252">
        <v>1.38888888888889</v>
      </c>
    </row>
    <row r="4377" spans="1:15">
      <c r="A4377" s="242" t="s">
        <v>69</v>
      </c>
      <c r="B4377" s="43" t="s">
        <v>57</v>
      </c>
      <c r="C4377" s="15">
        <v>280</v>
      </c>
      <c r="D4377" s="243">
        <v>28</v>
      </c>
      <c r="E4377" s="243">
        <v>11</v>
      </c>
      <c r="F4377" s="243">
        <v>18</v>
      </c>
      <c r="G4377" s="243">
        <v>15</v>
      </c>
      <c r="H4377" s="243">
        <v>26</v>
      </c>
      <c r="I4377" s="243">
        <v>24</v>
      </c>
      <c r="J4377" s="243">
        <v>24</v>
      </c>
      <c r="K4377" s="243">
        <v>20</v>
      </c>
      <c r="L4377" s="243">
        <v>25</v>
      </c>
      <c r="M4377" s="243">
        <v>23</v>
      </c>
      <c r="N4377" s="243">
        <v>30</v>
      </c>
      <c r="O4377" s="253">
        <v>36</v>
      </c>
    </row>
    <row r="4378" spans="1:15">
      <c r="A4378" s="240" t="s">
        <v>69</v>
      </c>
      <c r="B4378" s="47" t="s">
        <v>59</v>
      </c>
      <c r="C4378" s="15">
        <v>387</v>
      </c>
      <c r="D4378" s="243">
        <v>45</v>
      </c>
      <c r="E4378" s="243">
        <v>12</v>
      </c>
      <c r="F4378" s="243">
        <v>12</v>
      </c>
      <c r="G4378" s="243">
        <v>22</v>
      </c>
      <c r="H4378" s="243">
        <v>29</v>
      </c>
      <c r="I4378" s="243">
        <v>37</v>
      </c>
      <c r="J4378" s="243">
        <v>37</v>
      </c>
      <c r="K4378" s="243">
        <v>31</v>
      </c>
      <c r="L4378" s="243">
        <v>38</v>
      </c>
      <c r="M4378" s="243">
        <v>36</v>
      </c>
      <c r="N4378" s="243">
        <v>38</v>
      </c>
      <c r="O4378" s="253">
        <v>50</v>
      </c>
    </row>
    <row r="4379" spans="1:15">
      <c r="A4379" s="242" t="s">
        <v>69</v>
      </c>
      <c r="B4379" s="43" t="s">
        <v>4</v>
      </c>
      <c r="C4379" s="15">
        <v>13</v>
      </c>
      <c r="D4379" s="244">
        <v>0</v>
      </c>
      <c r="E4379" s="244">
        <v>0</v>
      </c>
      <c r="F4379" s="244">
        <v>0</v>
      </c>
      <c r="G4379" s="244">
        <v>0</v>
      </c>
      <c r="H4379" s="244">
        <v>3</v>
      </c>
      <c r="I4379" s="244">
        <v>1</v>
      </c>
      <c r="J4379" s="244">
        <v>0</v>
      </c>
      <c r="K4379" s="244">
        <v>1</v>
      </c>
      <c r="L4379" s="244">
        <v>3</v>
      </c>
      <c r="M4379" s="244">
        <v>3</v>
      </c>
      <c r="N4379" s="244">
        <v>0</v>
      </c>
      <c r="O4379" s="254">
        <v>2</v>
      </c>
    </row>
    <row r="4380" spans="1:15">
      <c r="A4380" s="240" t="s">
        <v>69</v>
      </c>
      <c r="B4380" s="47" t="s">
        <v>5</v>
      </c>
      <c r="C4380" s="12">
        <v>0.0335917312661499</v>
      </c>
      <c r="D4380" s="241">
        <v>0</v>
      </c>
      <c r="E4380" s="241">
        <v>0</v>
      </c>
      <c r="F4380" s="241">
        <v>0</v>
      </c>
      <c r="G4380" s="241">
        <v>0</v>
      </c>
      <c r="H4380" s="241">
        <v>0.103448275862069</v>
      </c>
      <c r="I4380" s="241">
        <v>0.027027027027027</v>
      </c>
      <c r="J4380" s="241">
        <v>0</v>
      </c>
      <c r="K4380" s="241">
        <v>0.032258064516129</v>
      </c>
      <c r="L4380" s="241">
        <v>0.0789473684210526</v>
      </c>
      <c r="M4380" s="241">
        <v>0.0833333333333333</v>
      </c>
      <c r="N4380" s="241">
        <v>0</v>
      </c>
      <c r="O4380" s="252">
        <v>0.04</v>
      </c>
    </row>
    <row r="4381" spans="1:15">
      <c r="A4381" s="242" t="s">
        <v>69</v>
      </c>
      <c r="B4381" s="43" t="s">
        <v>6</v>
      </c>
      <c r="C4381" s="15">
        <v>6</v>
      </c>
      <c r="D4381" s="244">
        <v>0</v>
      </c>
      <c r="E4381" s="244">
        <v>0</v>
      </c>
      <c r="F4381" s="244">
        <v>0</v>
      </c>
      <c r="G4381" s="244">
        <v>0</v>
      </c>
      <c r="H4381" s="244">
        <v>0</v>
      </c>
      <c r="I4381" s="244">
        <v>1</v>
      </c>
      <c r="J4381" s="244">
        <v>0</v>
      </c>
      <c r="K4381" s="244">
        <v>1</v>
      </c>
      <c r="L4381" s="244">
        <v>0</v>
      </c>
      <c r="M4381" s="244">
        <v>2</v>
      </c>
      <c r="N4381" s="244">
        <v>1</v>
      </c>
      <c r="O4381" s="254">
        <v>1</v>
      </c>
    </row>
    <row r="4382" ht="14.25" spans="1:15">
      <c r="A4382" s="245" t="s">
        <v>69</v>
      </c>
      <c r="B4382" s="52" t="s">
        <v>64</v>
      </c>
      <c r="C4382" s="19">
        <v>0.461538461538462</v>
      </c>
      <c r="D4382" s="246">
        <v>0</v>
      </c>
      <c r="E4382" s="246">
        <v>0</v>
      </c>
      <c r="F4382" s="246">
        <v>0</v>
      </c>
      <c r="G4382" s="246">
        <v>0</v>
      </c>
      <c r="H4382" s="246">
        <v>0</v>
      </c>
      <c r="I4382" s="246">
        <v>1</v>
      </c>
      <c r="J4382" s="246">
        <v>0</v>
      </c>
      <c r="K4382" s="246">
        <v>1</v>
      </c>
      <c r="L4382" s="246">
        <v>0</v>
      </c>
      <c r="M4382" s="246">
        <v>0.666666666666667</v>
      </c>
      <c r="N4382" s="246">
        <v>0</v>
      </c>
      <c r="O4382" s="255">
        <v>0.5</v>
      </c>
    </row>
    <row r="4383" spans="1:15">
      <c r="A4383" s="240" t="s">
        <v>70</v>
      </c>
      <c r="B4383" s="47" t="s">
        <v>55</v>
      </c>
      <c r="C4383" s="12">
        <v>0.316916488222698</v>
      </c>
      <c r="D4383" s="241">
        <v>0.314949201741655</v>
      </c>
      <c r="E4383" s="241">
        <v>0.327455919395466</v>
      </c>
      <c r="F4383" s="241">
        <v>0.370503597122302</v>
      </c>
      <c r="G4383" s="241">
        <v>0.348441926345609</v>
      </c>
      <c r="H4383" s="241">
        <v>0.345483359746434</v>
      </c>
      <c r="I4383" s="241">
        <v>0.35809987819732</v>
      </c>
      <c r="J4383" s="241">
        <v>0.333815028901734</v>
      </c>
      <c r="K4383" s="241">
        <v>0.333333333333333</v>
      </c>
      <c r="L4383" s="241">
        <v>0.344173441734417</v>
      </c>
      <c r="M4383" s="241">
        <v>0.298076923076923</v>
      </c>
      <c r="N4383" s="241">
        <v>0.259259259259259</v>
      </c>
      <c r="O4383" s="252">
        <v>0.265365853658537</v>
      </c>
    </row>
    <row r="4384" spans="1:15">
      <c r="A4384" s="242" t="s">
        <v>70</v>
      </c>
      <c r="B4384" s="43" t="s">
        <v>57</v>
      </c>
      <c r="C4384" s="15">
        <v>7939</v>
      </c>
      <c r="D4384" s="243">
        <v>689</v>
      </c>
      <c r="E4384" s="243">
        <v>397</v>
      </c>
      <c r="F4384" s="243">
        <v>278</v>
      </c>
      <c r="G4384" s="243">
        <v>353</v>
      </c>
      <c r="H4384" s="243">
        <v>631</v>
      </c>
      <c r="I4384" s="243">
        <v>821</v>
      </c>
      <c r="J4384" s="243">
        <v>692</v>
      </c>
      <c r="K4384" s="243">
        <v>615</v>
      </c>
      <c r="L4384" s="243">
        <v>738</v>
      </c>
      <c r="M4384" s="243">
        <v>728</v>
      </c>
      <c r="N4384" s="243">
        <v>972</v>
      </c>
      <c r="O4384" s="253">
        <v>1025</v>
      </c>
    </row>
    <row r="4385" spans="1:15">
      <c r="A4385" s="240" t="s">
        <v>70</v>
      </c>
      <c r="B4385" s="47" t="s">
        <v>59</v>
      </c>
      <c r="C4385" s="15">
        <v>2516</v>
      </c>
      <c r="D4385" s="243">
        <v>217</v>
      </c>
      <c r="E4385" s="243">
        <v>130</v>
      </c>
      <c r="F4385" s="243">
        <v>103</v>
      </c>
      <c r="G4385" s="243">
        <v>123</v>
      </c>
      <c r="H4385" s="243">
        <v>218</v>
      </c>
      <c r="I4385" s="243">
        <v>294</v>
      </c>
      <c r="J4385" s="243">
        <v>231</v>
      </c>
      <c r="K4385" s="243">
        <v>205</v>
      </c>
      <c r="L4385" s="243">
        <v>254</v>
      </c>
      <c r="M4385" s="243">
        <v>217</v>
      </c>
      <c r="N4385" s="243">
        <v>252</v>
      </c>
      <c r="O4385" s="253">
        <v>272</v>
      </c>
    </row>
    <row r="4386" spans="1:15">
      <c r="A4386" s="242" t="s">
        <v>70</v>
      </c>
      <c r="B4386" s="43" t="s">
        <v>4</v>
      </c>
      <c r="C4386" s="15">
        <v>228</v>
      </c>
      <c r="D4386" s="244">
        <v>20</v>
      </c>
      <c r="E4386" s="244">
        <v>18</v>
      </c>
      <c r="F4386" s="244">
        <v>6</v>
      </c>
      <c r="G4386" s="244">
        <v>2</v>
      </c>
      <c r="H4386" s="244">
        <v>8</v>
      </c>
      <c r="I4386" s="244">
        <v>13</v>
      </c>
      <c r="J4386" s="244">
        <v>25</v>
      </c>
      <c r="K4386" s="244">
        <v>18</v>
      </c>
      <c r="L4386" s="244">
        <v>22</v>
      </c>
      <c r="M4386" s="244">
        <v>36</v>
      </c>
      <c r="N4386" s="244">
        <v>35</v>
      </c>
      <c r="O4386" s="254">
        <v>25</v>
      </c>
    </row>
    <row r="4387" spans="1:15">
      <c r="A4387" s="240" t="s">
        <v>70</v>
      </c>
      <c r="B4387" s="47" t="s">
        <v>5</v>
      </c>
      <c r="C4387" s="12">
        <v>0.0906200317965024</v>
      </c>
      <c r="D4387" s="241">
        <v>0.0921658986175115</v>
      </c>
      <c r="E4387" s="241">
        <v>0.138461538461538</v>
      </c>
      <c r="F4387" s="241">
        <v>0.058252427184466</v>
      </c>
      <c r="G4387" s="241">
        <v>0.016260162601626</v>
      </c>
      <c r="H4387" s="241">
        <v>0.036697247706422</v>
      </c>
      <c r="I4387" s="241">
        <v>0.0442176870748299</v>
      </c>
      <c r="J4387" s="241">
        <v>0.108225108225108</v>
      </c>
      <c r="K4387" s="241">
        <v>0.0878048780487805</v>
      </c>
      <c r="L4387" s="241">
        <v>0.0866141732283465</v>
      </c>
      <c r="M4387" s="241">
        <v>0.165898617511521</v>
      </c>
      <c r="N4387" s="241">
        <v>0.138888888888889</v>
      </c>
      <c r="O4387" s="252">
        <v>0.0919117647058824</v>
      </c>
    </row>
    <row r="4388" spans="1:15">
      <c r="A4388" s="242" t="s">
        <v>70</v>
      </c>
      <c r="B4388" s="43" t="s">
        <v>6</v>
      </c>
      <c r="C4388" s="15">
        <v>43</v>
      </c>
      <c r="D4388" s="244">
        <v>6</v>
      </c>
      <c r="E4388" s="244">
        <v>4</v>
      </c>
      <c r="F4388" s="244">
        <v>1</v>
      </c>
      <c r="G4388" s="244">
        <v>1</v>
      </c>
      <c r="H4388" s="244">
        <v>0</v>
      </c>
      <c r="I4388" s="244">
        <v>4</v>
      </c>
      <c r="J4388" s="244">
        <v>6</v>
      </c>
      <c r="K4388" s="244">
        <v>2</v>
      </c>
      <c r="L4388" s="244">
        <v>5</v>
      </c>
      <c r="M4388" s="244">
        <v>2</v>
      </c>
      <c r="N4388" s="244">
        <v>7</v>
      </c>
      <c r="O4388" s="254">
        <v>5</v>
      </c>
    </row>
    <row r="4389" ht="14.25" spans="1:15">
      <c r="A4389" s="245" t="s">
        <v>70</v>
      </c>
      <c r="B4389" s="52" t="s">
        <v>64</v>
      </c>
      <c r="C4389" s="19">
        <v>0.18859649122807</v>
      </c>
      <c r="D4389" s="246">
        <v>0.3</v>
      </c>
      <c r="E4389" s="246">
        <v>0.222222222222222</v>
      </c>
      <c r="F4389" s="246">
        <v>0.166666666666667</v>
      </c>
      <c r="G4389" s="246">
        <v>0.5</v>
      </c>
      <c r="H4389" s="246">
        <v>0</v>
      </c>
      <c r="I4389" s="246">
        <v>0.307692307692308</v>
      </c>
      <c r="J4389" s="246">
        <v>0.24</v>
      </c>
      <c r="K4389" s="246">
        <v>0.111111111111111</v>
      </c>
      <c r="L4389" s="246">
        <v>0.227272727272727</v>
      </c>
      <c r="M4389" s="246">
        <v>0.0555555555555556</v>
      </c>
      <c r="N4389" s="246">
        <v>0.2</v>
      </c>
      <c r="O4389" s="255">
        <v>0.2</v>
      </c>
    </row>
    <row r="4390" spans="1:15">
      <c r="A4390" s="240" t="s">
        <v>26</v>
      </c>
      <c r="B4390" s="47" t="s">
        <v>55</v>
      </c>
      <c r="C4390" s="12">
        <v>0.695939982347749</v>
      </c>
      <c r="D4390" s="241">
        <v>0.528109028960818</v>
      </c>
      <c r="E4390" s="241">
        <v>0.517958412098299</v>
      </c>
      <c r="F4390" s="241">
        <v>0.664705882352941</v>
      </c>
      <c r="G4390" s="241">
        <v>0.665198237885463</v>
      </c>
      <c r="H4390" s="241">
        <v>0.896551724137931</v>
      </c>
      <c r="I4390" s="241">
        <v>0.900900900900901</v>
      </c>
      <c r="J4390" s="241">
        <v>1.24675324675325</v>
      </c>
      <c r="K4390" s="241">
        <v>1.04545454545455</v>
      </c>
      <c r="L4390" s="241">
        <v>1.14705882352941</v>
      </c>
      <c r="M4390" s="241">
        <v>0.96</v>
      </c>
      <c r="N4390" s="241">
        <v>1.41860465116279</v>
      </c>
      <c r="O4390" s="252">
        <v>1.47826086956522</v>
      </c>
    </row>
    <row r="4391" spans="1:15">
      <c r="A4391" s="242" t="s">
        <v>26</v>
      </c>
      <c r="B4391" s="43" t="s">
        <v>57</v>
      </c>
      <c r="C4391" s="15">
        <v>2266</v>
      </c>
      <c r="D4391" s="243">
        <v>587</v>
      </c>
      <c r="E4391" s="243">
        <v>529</v>
      </c>
      <c r="F4391" s="243">
        <v>340</v>
      </c>
      <c r="G4391" s="243">
        <v>227</v>
      </c>
      <c r="H4391" s="243">
        <v>145</v>
      </c>
      <c r="I4391" s="243">
        <v>111</v>
      </c>
      <c r="J4391" s="243">
        <v>77</v>
      </c>
      <c r="K4391" s="243">
        <v>66</v>
      </c>
      <c r="L4391" s="243">
        <v>68</v>
      </c>
      <c r="M4391" s="243">
        <v>50</v>
      </c>
      <c r="N4391" s="243">
        <v>43</v>
      </c>
      <c r="O4391" s="253">
        <v>23</v>
      </c>
    </row>
    <row r="4392" spans="1:15">
      <c r="A4392" s="240" t="s">
        <v>26</v>
      </c>
      <c r="B4392" s="47" t="s">
        <v>59</v>
      </c>
      <c r="C4392" s="15">
        <v>1577</v>
      </c>
      <c r="D4392" s="243">
        <v>310</v>
      </c>
      <c r="E4392" s="243">
        <v>274</v>
      </c>
      <c r="F4392" s="243">
        <v>226</v>
      </c>
      <c r="G4392" s="243">
        <v>151</v>
      </c>
      <c r="H4392" s="243">
        <v>130</v>
      </c>
      <c r="I4392" s="243">
        <v>100</v>
      </c>
      <c r="J4392" s="243">
        <v>96</v>
      </c>
      <c r="K4392" s="243">
        <v>69</v>
      </c>
      <c r="L4392" s="243">
        <v>78</v>
      </c>
      <c r="M4392" s="243">
        <v>48</v>
      </c>
      <c r="N4392" s="243">
        <v>61</v>
      </c>
      <c r="O4392" s="253">
        <v>34</v>
      </c>
    </row>
    <row r="4393" spans="1:15">
      <c r="A4393" s="242" t="s">
        <v>26</v>
      </c>
      <c r="B4393" s="43" t="s">
        <v>4</v>
      </c>
      <c r="C4393" s="15">
        <v>3</v>
      </c>
      <c r="D4393" s="244">
        <v>0</v>
      </c>
      <c r="E4393" s="244">
        <v>0</v>
      </c>
      <c r="F4393" s="244">
        <v>0</v>
      </c>
      <c r="G4393" s="244">
        <v>0</v>
      </c>
      <c r="H4393" s="244">
        <v>0</v>
      </c>
      <c r="I4393" s="244">
        <v>0</v>
      </c>
      <c r="J4393" s="244">
        <v>0</v>
      </c>
      <c r="K4393" s="244">
        <v>1</v>
      </c>
      <c r="L4393" s="244">
        <v>1</v>
      </c>
      <c r="M4393" s="244">
        <v>0</v>
      </c>
      <c r="N4393" s="244">
        <v>0</v>
      </c>
      <c r="O4393" s="254">
        <v>1</v>
      </c>
    </row>
    <row r="4394" spans="1:15">
      <c r="A4394" s="240" t="s">
        <v>26</v>
      </c>
      <c r="B4394" s="47" t="s">
        <v>5</v>
      </c>
      <c r="C4394" s="12">
        <v>0.00190234622701332</v>
      </c>
      <c r="D4394" s="241">
        <v>0</v>
      </c>
      <c r="E4394" s="241">
        <v>0</v>
      </c>
      <c r="F4394" s="241">
        <v>0</v>
      </c>
      <c r="G4394" s="241">
        <v>0</v>
      </c>
      <c r="H4394" s="241">
        <v>0</v>
      </c>
      <c r="I4394" s="241">
        <v>0</v>
      </c>
      <c r="J4394" s="241">
        <v>0</v>
      </c>
      <c r="K4394" s="241">
        <v>0.0144927536231884</v>
      </c>
      <c r="L4394" s="241">
        <v>0.0128205128205128</v>
      </c>
      <c r="M4394" s="241">
        <v>0</v>
      </c>
      <c r="N4394" s="241">
        <v>0</v>
      </c>
      <c r="O4394" s="252">
        <v>0.0294117647058824</v>
      </c>
    </row>
    <row r="4395" spans="1:15">
      <c r="A4395" s="242" t="s">
        <v>26</v>
      </c>
      <c r="B4395" s="43" t="s">
        <v>6</v>
      </c>
      <c r="C4395" s="15">
        <v>3</v>
      </c>
      <c r="D4395" s="244">
        <v>0</v>
      </c>
      <c r="E4395" s="244">
        <v>0</v>
      </c>
      <c r="F4395" s="244">
        <v>0</v>
      </c>
      <c r="G4395" s="244">
        <v>0</v>
      </c>
      <c r="H4395" s="244">
        <v>0</v>
      </c>
      <c r="I4395" s="244">
        <v>0</v>
      </c>
      <c r="J4395" s="244">
        <v>1</v>
      </c>
      <c r="K4395" s="244">
        <v>1</v>
      </c>
      <c r="L4395" s="244">
        <v>1</v>
      </c>
      <c r="M4395" s="244">
        <v>0</v>
      </c>
      <c r="N4395" s="244">
        <v>0</v>
      </c>
      <c r="O4395" s="254">
        <v>0</v>
      </c>
    </row>
    <row r="4396" ht="14.25" spans="1:15">
      <c r="A4396" s="245" t="s">
        <v>26</v>
      </c>
      <c r="B4396" s="52" t="s">
        <v>64</v>
      </c>
      <c r="C4396" s="19">
        <v>1</v>
      </c>
      <c r="D4396" s="19" t="e">
        <v>#DIV/0!</v>
      </c>
      <c r="E4396" s="19" t="e">
        <v>#DIV/0!</v>
      </c>
      <c r="F4396" s="19" t="e">
        <v>#DIV/0!</v>
      </c>
      <c r="G4396" s="19" t="e">
        <v>#DIV/0!</v>
      </c>
      <c r="H4396" s="19" t="e">
        <v>#DIV/0!</v>
      </c>
      <c r="I4396" s="19" t="e">
        <v>#DIV/0!</v>
      </c>
      <c r="J4396" s="19" t="e">
        <v>#DIV/0!</v>
      </c>
      <c r="K4396" s="19">
        <v>1</v>
      </c>
      <c r="L4396" s="19">
        <v>1</v>
      </c>
      <c r="M4396" s="19" t="e">
        <v>#DIV/0!</v>
      </c>
      <c r="N4396" s="19" t="e">
        <v>#DIV/0!</v>
      </c>
      <c r="O4396" s="19">
        <v>0</v>
      </c>
    </row>
    <row r="4397" spans="1:15">
      <c r="A4397" s="240" t="s">
        <v>71</v>
      </c>
      <c r="B4397" s="47" t="s">
        <v>55</v>
      </c>
      <c r="C4397" s="12">
        <v>219.5</v>
      </c>
      <c r="D4397" s="241" t="e">
        <v>#DIV/0!</v>
      </c>
      <c r="E4397" s="241" t="e">
        <v>#DIV/0!</v>
      </c>
      <c r="F4397" s="241">
        <v>9</v>
      </c>
      <c r="G4397" s="241" t="e">
        <v>#DIV/0!</v>
      </c>
      <c r="H4397" s="241" t="e">
        <v>#DIV/0!</v>
      </c>
      <c r="I4397" s="241" t="e">
        <v>#DIV/0!</v>
      </c>
      <c r="J4397" s="241" t="e">
        <v>#DIV/0!</v>
      </c>
      <c r="K4397" s="241" t="e">
        <v>#DIV/0!</v>
      </c>
      <c r="L4397" s="241" t="e">
        <v>#DIV/0!</v>
      </c>
      <c r="M4397" s="241" t="e">
        <v>#DIV/0!</v>
      </c>
      <c r="N4397" s="241" t="e">
        <v>#DIV/0!</v>
      </c>
      <c r="O4397" s="252" t="e">
        <v>#DIV/0!</v>
      </c>
    </row>
    <row r="4398" spans="1:15">
      <c r="A4398" s="242" t="s">
        <v>71</v>
      </c>
      <c r="B4398" s="43" t="s">
        <v>57</v>
      </c>
      <c r="C4398" s="15">
        <v>2</v>
      </c>
      <c r="D4398" s="243">
        <v>0</v>
      </c>
      <c r="E4398" s="243">
        <v>0</v>
      </c>
      <c r="F4398" s="243">
        <v>2</v>
      </c>
      <c r="G4398" s="243">
        <v>0</v>
      </c>
      <c r="H4398" s="243">
        <v>0</v>
      </c>
      <c r="I4398" s="243">
        <v>0</v>
      </c>
      <c r="J4398" s="243">
        <v>0</v>
      </c>
      <c r="K4398" s="243">
        <v>0</v>
      </c>
      <c r="L4398" s="243">
        <v>0</v>
      </c>
      <c r="M4398" s="243">
        <v>0</v>
      </c>
      <c r="N4398" s="243">
        <v>0</v>
      </c>
      <c r="O4398" s="253">
        <v>0</v>
      </c>
    </row>
    <row r="4399" spans="1:15">
      <c r="A4399" s="240" t="s">
        <v>71</v>
      </c>
      <c r="B4399" s="47" t="s">
        <v>59</v>
      </c>
      <c r="C4399" s="15">
        <v>439</v>
      </c>
      <c r="D4399" s="243">
        <v>46</v>
      </c>
      <c r="E4399" s="243">
        <v>27</v>
      </c>
      <c r="F4399" s="243">
        <v>18</v>
      </c>
      <c r="G4399" s="243">
        <v>20</v>
      </c>
      <c r="H4399" s="243">
        <v>24</v>
      </c>
      <c r="I4399" s="243">
        <v>33</v>
      </c>
      <c r="J4399" s="243">
        <v>35</v>
      </c>
      <c r="K4399" s="243">
        <v>34</v>
      </c>
      <c r="L4399" s="243">
        <v>30</v>
      </c>
      <c r="M4399" s="243">
        <v>57</v>
      </c>
      <c r="N4399" s="243">
        <v>62</v>
      </c>
      <c r="O4399" s="253">
        <v>53</v>
      </c>
    </row>
    <row r="4400" spans="1:15">
      <c r="A4400" s="242" t="s">
        <v>71</v>
      </c>
      <c r="B4400" s="43" t="s">
        <v>4</v>
      </c>
      <c r="C4400" s="15">
        <v>23</v>
      </c>
      <c r="D4400" s="244">
        <v>5</v>
      </c>
      <c r="E4400" s="244">
        <v>2</v>
      </c>
      <c r="F4400" s="244">
        <v>2</v>
      </c>
      <c r="G4400" s="244">
        <v>0</v>
      </c>
      <c r="H4400" s="244">
        <v>1</v>
      </c>
      <c r="I4400" s="244">
        <v>1</v>
      </c>
      <c r="J4400" s="244">
        <v>1</v>
      </c>
      <c r="K4400" s="244">
        <v>2</v>
      </c>
      <c r="L4400" s="244">
        <v>2</v>
      </c>
      <c r="M4400" s="244">
        <v>3</v>
      </c>
      <c r="N4400" s="244">
        <v>0</v>
      </c>
      <c r="O4400" s="254">
        <v>4</v>
      </c>
    </row>
    <row r="4401" spans="1:15">
      <c r="A4401" s="240" t="s">
        <v>71</v>
      </c>
      <c r="B4401" s="47" t="s">
        <v>5</v>
      </c>
      <c r="C4401" s="241">
        <v>0.0523917995444191</v>
      </c>
      <c r="D4401" s="241">
        <v>0.108695652173913</v>
      </c>
      <c r="E4401" s="241">
        <v>0.0740740740740741</v>
      </c>
      <c r="F4401" s="241">
        <v>0.111111111111111</v>
      </c>
      <c r="G4401" s="241">
        <v>0</v>
      </c>
      <c r="H4401" s="241">
        <v>0.0416666666666667</v>
      </c>
      <c r="I4401" s="241">
        <v>0.0303030303030303</v>
      </c>
      <c r="J4401" s="241">
        <v>0.0285714285714286</v>
      </c>
      <c r="K4401" s="241">
        <v>0.0588235294117647</v>
      </c>
      <c r="L4401" s="241">
        <v>0.0666666666666667</v>
      </c>
      <c r="M4401" s="241">
        <v>0.0526315789473684</v>
      </c>
      <c r="N4401" s="241">
        <v>0</v>
      </c>
      <c r="O4401" s="252">
        <v>0.0754716981132075</v>
      </c>
    </row>
    <row r="4402" spans="1:15">
      <c r="A4402" s="242" t="s">
        <v>71</v>
      </c>
      <c r="B4402" s="43" t="s">
        <v>6</v>
      </c>
      <c r="C4402" s="15">
        <v>5</v>
      </c>
      <c r="D4402" s="244">
        <v>2</v>
      </c>
      <c r="E4402" s="244">
        <v>1</v>
      </c>
      <c r="F4402" s="244">
        <v>0</v>
      </c>
      <c r="G4402" s="244">
        <v>1</v>
      </c>
      <c r="H4402" s="244">
        <v>0</v>
      </c>
      <c r="I4402" s="244">
        <v>1</v>
      </c>
      <c r="J4402" s="244">
        <v>0</v>
      </c>
      <c r="K4402" s="244">
        <v>0</v>
      </c>
      <c r="L4402" s="244">
        <v>0</v>
      </c>
      <c r="M4402" s="244">
        <v>0</v>
      </c>
      <c r="N4402" s="244">
        <v>0</v>
      </c>
      <c r="O4402" s="254">
        <v>0</v>
      </c>
    </row>
    <row r="4403" ht="14.25" spans="1:15">
      <c r="A4403" s="245" t="s">
        <v>71</v>
      </c>
      <c r="B4403" s="52" t="s">
        <v>64</v>
      </c>
      <c r="C4403" s="19">
        <v>0.217391304347826</v>
      </c>
      <c r="D4403" s="19">
        <v>0.4</v>
      </c>
      <c r="E4403" s="19">
        <v>0.5</v>
      </c>
      <c r="F4403" s="19">
        <v>0</v>
      </c>
      <c r="G4403" s="19" t="e">
        <v>#DIV/0!</v>
      </c>
      <c r="H4403" s="19">
        <v>0</v>
      </c>
      <c r="I4403" s="19">
        <v>1</v>
      </c>
      <c r="J4403" s="19">
        <v>0</v>
      </c>
      <c r="K4403" s="19">
        <v>0</v>
      </c>
      <c r="L4403" s="19">
        <v>0</v>
      </c>
      <c r="M4403" s="19">
        <v>0</v>
      </c>
      <c r="N4403" s="19" t="e">
        <v>#DIV/0!</v>
      </c>
      <c r="O4403" s="19">
        <v>0</v>
      </c>
    </row>
    <row r="4404" spans="1:15">
      <c r="A4404" s="240" t="s">
        <v>72</v>
      </c>
      <c r="B4404" s="47" t="s">
        <v>55</v>
      </c>
      <c r="C4404" s="12">
        <v>0.148225957049486</v>
      </c>
      <c r="D4404" s="241">
        <v>0.150234741784038</v>
      </c>
      <c r="E4404" s="241">
        <v>0.164251207729469</v>
      </c>
      <c r="F4404" s="241">
        <v>0.206106870229008</v>
      </c>
      <c r="G4404" s="241">
        <v>0.156424581005587</v>
      </c>
      <c r="H4404" s="241">
        <v>0.139194139194139</v>
      </c>
      <c r="I4404" s="241">
        <v>0.150326797385621</v>
      </c>
      <c r="J4404" s="241">
        <v>0.145205479452055</v>
      </c>
      <c r="K4404" s="241">
        <v>0.148148148148148</v>
      </c>
      <c r="L4404" s="241">
        <v>0.146095717884131</v>
      </c>
      <c r="M4404" s="241">
        <v>0.127777777777778</v>
      </c>
      <c r="N4404" s="241">
        <v>0.147058823529412</v>
      </c>
      <c r="O4404" s="252">
        <v>0.146067415730337</v>
      </c>
    </row>
    <row r="4405" spans="1:15">
      <c r="A4405" s="242" t="s">
        <v>72</v>
      </c>
      <c r="B4405" s="43" t="s">
        <v>57</v>
      </c>
      <c r="C4405" s="15">
        <v>4284</v>
      </c>
      <c r="D4405" s="243">
        <v>426</v>
      </c>
      <c r="E4405" s="243">
        <v>207</v>
      </c>
      <c r="F4405" s="243">
        <v>131</v>
      </c>
      <c r="G4405" s="243">
        <v>179</v>
      </c>
      <c r="H4405" s="243">
        <v>273</v>
      </c>
      <c r="I4405" s="243">
        <v>306</v>
      </c>
      <c r="J4405" s="243">
        <v>365</v>
      </c>
      <c r="K4405" s="243">
        <v>405</v>
      </c>
      <c r="L4405" s="243">
        <v>397</v>
      </c>
      <c r="M4405" s="243">
        <v>360</v>
      </c>
      <c r="N4405" s="243">
        <v>612</v>
      </c>
      <c r="O4405" s="253">
        <v>623</v>
      </c>
    </row>
    <row r="4406" spans="1:15">
      <c r="A4406" s="240" t="s">
        <v>72</v>
      </c>
      <c r="B4406" s="47" t="s">
        <v>59</v>
      </c>
      <c r="C4406" s="15">
        <v>635</v>
      </c>
      <c r="D4406" s="243">
        <v>64</v>
      </c>
      <c r="E4406" s="243">
        <v>34</v>
      </c>
      <c r="F4406" s="243">
        <v>27</v>
      </c>
      <c r="G4406" s="243">
        <v>28</v>
      </c>
      <c r="H4406" s="243">
        <v>38</v>
      </c>
      <c r="I4406" s="243">
        <v>46</v>
      </c>
      <c r="J4406" s="243">
        <v>53</v>
      </c>
      <c r="K4406" s="243">
        <v>60</v>
      </c>
      <c r="L4406" s="243">
        <v>58</v>
      </c>
      <c r="M4406" s="243">
        <v>46</v>
      </c>
      <c r="N4406" s="243">
        <v>90</v>
      </c>
      <c r="O4406" s="253">
        <v>91</v>
      </c>
    </row>
    <row r="4407" spans="1:15">
      <c r="A4407" s="242" t="s">
        <v>72</v>
      </c>
      <c r="B4407" s="43" t="s">
        <v>4</v>
      </c>
      <c r="C4407" s="15">
        <v>48</v>
      </c>
      <c r="D4407" s="244">
        <v>5</v>
      </c>
      <c r="E4407" s="244">
        <v>2</v>
      </c>
      <c r="F4407" s="244">
        <v>2</v>
      </c>
      <c r="G4407" s="244">
        <v>0</v>
      </c>
      <c r="H4407" s="244">
        <v>2</v>
      </c>
      <c r="I4407" s="244">
        <v>2</v>
      </c>
      <c r="J4407" s="244">
        <v>4</v>
      </c>
      <c r="K4407" s="244">
        <v>7</v>
      </c>
      <c r="L4407" s="244">
        <v>3</v>
      </c>
      <c r="M4407" s="244">
        <v>2</v>
      </c>
      <c r="N4407" s="244">
        <v>7</v>
      </c>
      <c r="O4407" s="254">
        <v>12</v>
      </c>
    </row>
    <row r="4408" spans="1:15">
      <c r="A4408" s="240" t="s">
        <v>72</v>
      </c>
      <c r="B4408" s="47" t="s">
        <v>5</v>
      </c>
      <c r="C4408" s="12">
        <v>0.0755905511811024</v>
      </c>
      <c r="D4408" s="241">
        <v>0.078125</v>
      </c>
      <c r="E4408" s="241">
        <v>0.0588235294117647</v>
      </c>
      <c r="F4408" s="241">
        <v>0.0740740740740741</v>
      </c>
      <c r="G4408" s="241">
        <v>0</v>
      </c>
      <c r="H4408" s="241">
        <v>0.0526315789473684</v>
      </c>
      <c r="I4408" s="241">
        <v>0.0434782608695652</v>
      </c>
      <c r="J4408" s="241">
        <v>0.0754716981132075</v>
      </c>
      <c r="K4408" s="241">
        <v>0.116666666666667</v>
      </c>
      <c r="L4408" s="241">
        <v>0.0517241379310345</v>
      </c>
      <c r="M4408" s="241">
        <v>0.0434782608695652</v>
      </c>
      <c r="N4408" s="241">
        <v>0.0777777777777778</v>
      </c>
      <c r="O4408" s="252">
        <v>0.131868131868132</v>
      </c>
    </row>
    <row r="4409" spans="1:15">
      <c r="A4409" s="242" t="s">
        <v>72</v>
      </c>
      <c r="B4409" s="43" t="s">
        <v>6</v>
      </c>
      <c r="C4409" s="15">
        <v>10</v>
      </c>
      <c r="D4409" s="244">
        <v>0</v>
      </c>
      <c r="E4409" s="244">
        <v>0</v>
      </c>
      <c r="F4409" s="244">
        <v>1</v>
      </c>
      <c r="G4409" s="244">
        <v>0</v>
      </c>
      <c r="H4409" s="244">
        <v>1</v>
      </c>
      <c r="I4409" s="244">
        <v>0</v>
      </c>
      <c r="J4409" s="244">
        <v>1</v>
      </c>
      <c r="K4409" s="244">
        <v>2</v>
      </c>
      <c r="L4409" s="244">
        <v>1</v>
      </c>
      <c r="M4409" s="244">
        <v>0</v>
      </c>
      <c r="N4409" s="244">
        <v>1</v>
      </c>
      <c r="O4409" s="254">
        <v>3</v>
      </c>
    </row>
    <row r="4410" ht="14.25" spans="1:15">
      <c r="A4410" s="245" t="s">
        <v>72</v>
      </c>
      <c r="B4410" s="52" t="s">
        <v>64</v>
      </c>
      <c r="C4410" s="19">
        <v>0.208333333333333</v>
      </c>
      <c r="D4410" s="19">
        <v>0</v>
      </c>
      <c r="E4410" s="19">
        <v>0</v>
      </c>
      <c r="F4410" s="19">
        <v>0.5</v>
      </c>
      <c r="G4410" s="19" t="e">
        <v>#DIV/0!</v>
      </c>
      <c r="H4410" s="19">
        <v>0.5</v>
      </c>
      <c r="I4410" s="19">
        <v>0</v>
      </c>
      <c r="J4410" s="19">
        <v>0.25</v>
      </c>
      <c r="K4410" s="19">
        <v>0.285714285714286</v>
      </c>
      <c r="L4410" s="19">
        <v>0.333333333333333</v>
      </c>
      <c r="M4410" s="19">
        <v>0</v>
      </c>
      <c r="N4410" s="19">
        <v>0.142857142857143</v>
      </c>
      <c r="O4410" s="19">
        <v>0.25</v>
      </c>
    </row>
    <row r="4411" ht="14.25" spans="1:15">
      <c r="A4411" s="237">
        <v>45087</v>
      </c>
      <c r="B4411" s="237"/>
      <c r="C4411" s="237"/>
      <c r="D4411" s="237"/>
      <c r="E4411" s="237"/>
      <c r="F4411" s="237"/>
      <c r="G4411" s="237"/>
      <c r="H4411" s="237"/>
      <c r="I4411" s="237"/>
      <c r="J4411" s="237"/>
      <c r="K4411" s="237"/>
      <c r="L4411" s="237"/>
      <c r="M4411" s="237"/>
      <c r="N4411" s="237"/>
      <c r="O4411" s="237"/>
    </row>
    <row r="4412" spans="1:15">
      <c r="A4412" s="56" t="s">
        <v>1</v>
      </c>
      <c r="B4412" s="238"/>
      <c r="C4412" s="8" t="s">
        <v>42</v>
      </c>
      <c r="D4412" s="239" t="s">
        <v>43</v>
      </c>
      <c r="E4412" s="239" t="s">
        <v>44</v>
      </c>
      <c r="F4412" s="239" t="s">
        <v>45</v>
      </c>
      <c r="G4412" s="239" t="s">
        <v>46</v>
      </c>
      <c r="H4412" s="239" t="s">
        <v>47</v>
      </c>
      <c r="I4412" s="239" t="s">
        <v>48</v>
      </c>
      <c r="J4412" s="239" t="s">
        <v>49</v>
      </c>
      <c r="K4412" s="239" t="s">
        <v>50</v>
      </c>
      <c r="L4412" s="239" t="s">
        <v>51</v>
      </c>
      <c r="M4412" s="239" t="s">
        <v>52</v>
      </c>
      <c r="N4412" s="239" t="s">
        <v>53</v>
      </c>
      <c r="O4412" s="251" t="s">
        <v>54</v>
      </c>
    </row>
    <row r="4413" spans="1:15">
      <c r="A4413" s="240" t="s">
        <v>22</v>
      </c>
      <c r="B4413" s="47" t="s">
        <v>55</v>
      </c>
      <c r="C4413" s="12">
        <v>0.420060905976399</v>
      </c>
      <c r="D4413" s="241">
        <v>0.417721518987342</v>
      </c>
      <c r="E4413" s="241">
        <v>0.397993311036789</v>
      </c>
      <c r="F4413" s="241">
        <v>0.434065934065934</v>
      </c>
      <c r="G4413" s="241">
        <v>0.449392712550607</v>
      </c>
      <c r="H4413" s="241">
        <v>0.481662591687042</v>
      </c>
      <c r="I4413" s="241">
        <v>0.396634615384615</v>
      </c>
      <c r="J4413" s="241">
        <v>0.406113537117904</v>
      </c>
      <c r="K4413" s="241">
        <v>0.403326403326403</v>
      </c>
      <c r="L4413" s="241">
        <v>0.405737704918033</v>
      </c>
      <c r="M4413" s="241">
        <v>0.444191343963554</v>
      </c>
      <c r="N4413" s="241">
        <v>0.409893992932862</v>
      </c>
      <c r="O4413" s="252">
        <v>0.418994413407821</v>
      </c>
    </row>
    <row r="4414" spans="1:15">
      <c r="A4414" s="242" t="s">
        <v>22</v>
      </c>
      <c r="B4414" s="43" t="s">
        <v>57</v>
      </c>
      <c r="C4414" s="15">
        <v>5254</v>
      </c>
      <c r="D4414" s="243">
        <v>553</v>
      </c>
      <c r="E4414" s="243">
        <v>299</v>
      </c>
      <c r="F4414" s="243">
        <v>182</v>
      </c>
      <c r="G4414" s="243">
        <v>247</v>
      </c>
      <c r="H4414" s="243">
        <v>409</v>
      </c>
      <c r="I4414" s="243">
        <v>416</v>
      </c>
      <c r="J4414" s="243">
        <v>458</v>
      </c>
      <c r="K4414" s="243">
        <v>481</v>
      </c>
      <c r="L4414" s="243">
        <v>488</v>
      </c>
      <c r="M4414" s="243">
        <v>439</v>
      </c>
      <c r="N4414" s="243">
        <v>566</v>
      </c>
      <c r="O4414" s="253">
        <v>716</v>
      </c>
    </row>
    <row r="4415" spans="1:15">
      <c r="A4415" s="240" t="s">
        <v>22</v>
      </c>
      <c r="B4415" s="47" t="s">
        <v>59</v>
      </c>
      <c r="C4415" s="15">
        <v>2207</v>
      </c>
      <c r="D4415" s="243">
        <v>231</v>
      </c>
      <c r="E4415" s="243">
        <v>119</v>
      </c>
      <c r="F4415" s="243">
        <v>79</v>
      </c>
      <c r="G4415" s="243">
        <v>111</v>
      </c>
      <c r="H4415" s="243">
        <v>197</v>
      </c>
      <c r="I4415" s="243">
        <v>165</v>
      </c>
      <c r="J4415" s="243">
        <v>186</v>
      </c>
      <c r="K4415" s="243">
        <v>194</v>
      </c>
      <c r="L4415" s="243">
        <v>198</v>
      </c>
      <c r="M4415" s="243">
        <v>195</v>
      </c>
      <c r="N4415" s="243">
        <v>232</v>
      </c>
      <c r="O4415" s="253">
        <v>300</v>
      </c>
    </row>
    <row r="4416" spans="1:15">
      <c r="A4416" s="242" t="s">
        <v>22</v>
      </c>
      <c r="B4416" s="43" t="s">
        <v>4</v>
      </c>
      <c r="C4416" s="15">
        <v>206</v>
      </c>
      <c r="D4416" s="244">
        <v>20</v>
      </c>
      <c r="E4416" s="244">
        <v>13</v>
      </c>
      <c r="F4416" s="244">
        <v>4</v>
      </c>
      <c r="G4416" s="244">
        <v>5</v>
      </c>
      <c r="H4416" s="244">
        <v>11</v>
      </c>
      <c r="I4416" s="244">
        <v>11</v>
      </c>
      <c r="J4416" s="244">
        <v>26</v>
      </c>
      <c r="K4416" s="244">
        <v>16</v>
      </c>
      <c r="L4416" s="244">
        <v>17</v>
      </c>
      <c r="M4416" s="244">
        <v>22</v>
      </c>
      <c r="N4416" s="244">
        <v>17</v>
      </c>
      <c r="O4416" s="254">
        <v>44</v>
      </c>
    </row>
    <row r="4417" spans="1:15">
      <c r="A4417" s="240" t="s">
        <v>22</v>
      </c>
      <c r="B4417" s="47" t="s">
        <v>5</v>
      </c>
      <c r="C4417" s="12">
        <v>0.0933393747168102</v>
      </c>
      <c r="D4417" s="241">
        <v>0.0865800865800866</v>
      </c>
      <c r="E4417" s="241">
        <v>0.109243697478992</v>
      </c>
      <c r="F4417" s="241">
        <v>0.0506329113924051</v>
      </c>
      <c r="G4417" s="241">
        <v>0.045045045045045</v>
      </c>
      <c r="H4417" s="241">
        <v>0.0558375634517767</v>
      </c>
      <c r="I4417" s="241">
        <v>0.0666666666666667</v>
      </c>
      <c r="J4417" s="241">
        <v>0.139784946236559</v>
      </c>
      <c r="K4417" s="241">
        <v>0.0824742268041237</v>
      </c>
      <c r="L4417" s="241">
        <v>0.0858585858585859</v>
      </c>
      <c r="M4417" s="241">
        <v>0.112820512820513</v>
      </c>
      <c r="N4417" s="241">
        <v>0.0732758620689655</v>
      </c>
      <c r="O4417" s="252">
        <v>0.146666666666667</v>
      </c>
    </row>
    <row r="4418" spans="1:15">
      <c r="A4418" s="242" t="s">
        <v>22</v>
      </c>
      <c r="B4418" s="43" t="s">
        <v>6</v>
      </c>
      <c r="C4418" s="15">
        <v>63</v>
      </c>
      <c r="D4418" s="244">
        <v>14</v>
      </c>
      <c r="E4418" s="244">
        <v>4</v>
      </c>
      <c r="F4418" s="244">
        <v>3</v>
      </c>
      <c r="G4418" s="244">
        <v>2</v>
      </c>
      <c r="H4418" s="244">
        <v>2</v>
      </c>
      <c r="I4418" s="244">
        <v>2</v>
      </c>
      <c r="J4418" s="244">
        <v>7</v>
      </c>
      <c r="K4418" s="244">
        <v>8</v>
      </c>
      <c r="L4418" s="244">
        <v>5</v>
      </c>
      <c r="M4418" s="244">
        <v>6</v>
      </c>
      <c r="N4418" s="244">
        <v>4</v>
      </c>
      <c r="O4418" s="254">
        <v>6</v>
      </c>
    </row>
    <row r="4419" ht="14.25" spans="1:15">
      <c r="A4419" s="245" t="s">
        <v>22</v>
      </c>
      <c r="B4419" s="52" t="s">
        <v>64</v>
      </c>
      <c r="C4419" s="19">
        <v>0.305825242718447</v>
      </c>
      <c r="D4419" s="246">
        <v>0.7</v>
      </c>
      <c r="E4419" s="246">
        <v>0.307692307692308</v>
      </c>
      <c r="F4419" s="246">
        <v>0.75</v>
      </c>
      <c r="G4419" s="246">
        <v>0.4</v>
      </c>
      <c r="H4419" s="246">
        <v>0.181818181818182</v>
      </c>
      <c r="I4419" s="246">
        <v>0.181818181818182</v>
      </c>
      <c r="J4419" s="246">
        <v>0.269230769230769</v>
      </c>
      <c r="K4419" s="246">
        <v>0.5</v>
      </c>
      <c r="L4419" s="246">
        <v>0.294117647058824</v>
      </c>
      <c r="M4419" s="246">
        <v>0.272727272727273</v>
      </c>
      <c r="N4419" s="246">
        <v>0.235294117647059</v>
      </c>
      <c r="O4419" s="255">
        <v>0.136363636363636</v>
      </c>
    </row>
    <row r="4420" spans="1:15">
      <c r="A4420" s="247" t="s">
        <v>66</v>
      </c>
      <c r="B4420" s="248" t="s">
        <v>55</v>
      </c>
      <c r="C4420" s="12">
        <v>0.0683544303797468</v>
      </c>
      <c r="D4420" s="249">
        <v>0.0491803278688525</v>
      </c>
      <c r="E4420" s="249">
        <v>0.0443037974683544</v>
      </c>
      <c r="F4420" s="249">
        <v>0.0227272727272727</v>
      </c>
      <c r="G4420" s="249">
        <v>0.0204081632653061</v>
      </c>
      <c r="H4420" s="249">
        <v>0.0563380281690141</v>
      </c>
      <c r="I4420" s="249">
        <v>0.056</v>
      </c>
      <c r="J4420" s="249">
        <v>0.055045871559633</v>
      </c>
      <c r="K4420" s="249">
        <v>0.11965811965812</v>
      </c>
      <c r="L4420" s="249">
        <v>0.0948275862068965</v>
      </c>
      <c r="M4420" s="249">
        <v>0.0769230769230769</v>
      </c>
      <c r="N4420" s="249">
        <v>0.105263157894737</v>
      </c>
      <c r="O4420" s="256">
        <v>0.158333333333333</v>
      </c>
    </row>
    <row r="4421" spans="1:15">
      <c r="A4421" s="242" t="s">
        <v>66</v>
      </c>
      <c r="B4421" s="43" t="s">
        <v>57</v>
      </c>
      <c r="C4421" s="15">
        <v>1580</v>
      </c>
      <c r="D4421" s="243">
        <v>183</v>
      </c>
      <c r="E4421" s="243">
        <v>158</v>
      </c>
      <c r="F4421" s="243">
        <v>132</v>
      </c>
      <c r="G4421" s="243">
        <v>147</v>
      </c>
      <c r="H4421" s="243">
        <v>142</v>
      </c>
      <c r="I4421" s="243">
        <v>125</v>
      </c>
      <c r="J4421" s="243">
        <v>109</v>
      </c>
      <c r="K4421" s="243">
        <v>117</v>
      </c>
      <c r="L4421" s="243">
        <v>116</v>
      </c>
      <c r="M4421" s="243">
        <v>117</v>
      </c>
      <c r="N4421" s="243">
        <v>114</v>
      </c>
      <c r="O4421" s="253">
        <v>120</v>
      </c>
    </row>
    <row r="4422" spans="1:15">
      <c r="A4422" s="240" t="s">
        <v>66</v>
      </c>
      <c r="B4422" s="47" t="s">
        <v>59</v>
      </c>
      <c r="C4422" s="15">
        <v>108</v>
      </c>
      <c r="D4422" s="243">
        <v>9</v>
      </c>
      <c r="E4422" s="243">
        <v>7</v>
      </c>
      <c r="F4422" s="243">
        <v>3</v>
      </c>
      <c r="G4422" s="243">
        <v>3</v>
      </c>
      <c r="H4422" s="243">
        <v>8</v>
      </c>
      <c r="I4422" s="243">
        <v>7</v>
      </c>
      <c r="J4422" s="243">
        <v>6</v>
      </c>
      <c r="K4422" s="243">
        <v>14</v>
      </c>
      <c r="L4422" s="243">
        <v>11</v>
      </c>
      <c r="M4422" s="243">
        <v>9</v>
      </c>
      <c r="N4422" s="243">
        <v>12</v>
      </c>
      <c r="O4422" s="253">
        <v>19</v>
      </c>
    </row>
    <row r="4423" spans="1:15">
      <c r="A4423" s="242" t="s">
        <v>66</v>
      </c>
      <c r="B4423" s="43" t="s">
        <v>4</v>
      </c>
      <c r="C4423" s="15">
        <v>11</v>
      </c>
      <c r="D4423" s="244">
        <v>3</v>
      </c>
      <c r="E4423" s="244">
        <v>0</v>
      </c>
      <c r="F4423" s="244">
        <v>2</v>
      </c>
      <c r="G4423" s="244">
        <v>0</v>
      </c>
      <c r="H4423" s="244">
        <v>0</v>
      </c>
      <c r="I4423" s="244">
        <v>0</v>
      </c>
      <c r="J4423" s="244">
        <v>0</v>
      </c>
      <c r="K4423" s="244">
        <v>0</v>
      </c>
      <c r="L4423" s="244">
        <v>3</v>
      </c>
      <c r="M4423" s="244">
        <v>2</v>
      </c>
      <c r="N4423" s="244">
        <v>1</v>
      </c>
      <c r="O4423" s="254">
        <v>0</v>
      </c>
    </row>
    <row r="4424" spans="1:15">
      <c r="A4424" s="240" t="s">
        <v>66</v>
      </c>
      <c r="B4424" s="47" t="s">
        <v>5</v>
      </c>
      <c r="C4424" s="12">
        <v>0.101851851851852</v>
      </c>
      <c r="D4424" s="241">
        <v>0.333333333333333</v>
      </c>
      <c r="E4424" s="241">
        <v>0</v>
      </c>
      <c r="F4424" s="241">
        <v>0.666666666666667</v>
      </c>
      <c r="G4424" s="241">
        <v>0</v>
      </c>
      <c r="H4424" s="241">
        <v>0</v>
      </c>
      <c r="I4424" s="241">
        <v>0</v>
      </c>
      <c r="J4424" s="241">
        <v>0</v>
      </c>
      <c r="K4424" s="241">
        <v>0</v>
      </c>
      <c r="L4424" s="241">
        <v>0.272727272727273</v>
      </c>
      <c r="M4424" s="241">
        <v>0.222222222222222</v>
      </c>
      <c r="N4424" s="241">
        <v>0.0833333333333333</v>
      </c>
      <c r="O4424" s="252">
        <v>0</v>
      </c>
    </row>
    <row r="4425" spans="1:15">
      <c r="A4425" s="242" t="s">
        <v>66</v>
      </c>
      <c r="B4425" s="43" t="s">
        <v>6</v>
      </c>
      <c r="C4425" s="15">
        <v>2</v>
      </c>
      <c r="D4425" s="244">
        <v>0</v>
      </c>
      <c r="E4425" s="244">
        <v>0</v>
      </c>
      <c r="F4425" s="244">
        <v>0</v>
      </c>
      <c r="G4425" s="244">
        <v>0</v>
      </c>
      <c r="H4425" s="244">
        <v>1</v>
      </c>
      <c r="I4425" s="244">
        <v>0</v>
      </c>
      <c r="J4425" s="244">
        <v>0</v>
      </c>
      <c r="K4425" s="244">
        <v>0</v>
      </c>
      <c r="L4425" s="244">
        <v>0</v>
      </c>
      <c r="M4425" s="244">
        <v>1</v>
      </c>
      <c r="N4425" s="244">
        <v>0</v>
      </c>
      <c r="O4425" s="254">
        <v>0</v>
      </c>
    </row>
    <row r="4426" ht="14.25" spans="1:15">
      <c r="A4426" s="245" t="s">
        <v>66</v>
      </c>
      <c r="B4426" s="52" t="s">
        <v>64</v>
      </c>
      <c r="C4426" s="19">
        <v>0.181818181818182</v>
      </c>
      <c r="D4426" s="246">
        <v>0</v>
      </c>
      <c r="E4426" s="246">
        <v>0</v>
      </c>
      <c r="F4426" s="246">
        <v>0</v>
      </c>
      <c r="G4426" s="246">
        <v>0</v>
      </c>
      <c r="H4426" s="246">
        <v>0</v>
      </c>
      <c r="I4426" s="246">
        <v>0</v>
      </c>
      <c r="J4426" s="246">
        <v>0</v>
      </c>
      <c r="K4426" s="246">
        <v>0</v>
      </c>
      <c r="L4426" s="246">
        <v>0</v>
      </c>
      <c r="M4426" s="246">
        <v>0.5</v>
      </c>
      <c r="N4426" s="246">
        <v>0</v>
      </c>
      <c r="O4426" s="255">
        <v>0</v>
      </c>
    </row>
    <row r="4427" spans="1:15">
      <c r="A4427" s="240" t="s">
        <v>67</v>
      </c>
      <c r="B4427" s="47" t="s">
        <v>55</v>
      </c>
      <c r="C4427" s="12">
        <v>0.566588785046729</v>
      </c>
      <c r="D4427" s="241">
        <v>0.602150537634409</v>
      </c>
      <c r="E4427" s="241">
        <v>0.58</v>
      </c>
      <c r="F4427" s="241">
        <v>0.488888888888889</v>
      </c>
      <c r="G4427" s="241">
        <v>0.513513513513513</v>
      </c>
      <c r="H4427" s="241">
        <v>0.6875</v>
      </c>
      <c r="I4427" s="241">
        <v>0.544117647058823</v>
      </c>
      <c r="J4427" s="241">
        <v>0.682539682539683</v>
      </c>
      <c r="K4427" s="241">
        <v>0.63013698630137</v>
      </c>
      <c r="L4427" s="241">
        <v>0.484210526315789</v>
      </c>
      <c r="M4427" s="241">
        <v>0.5</v>
      </c>
      <c r="N4427" s="241">
        <v>0.494505494505495</v>
      </c>
      <c r="O4427" s="252">
        <v>0.614678899082569</v>
      </c>
    </row>
    <row r="4428" spans="1:15">
      <c r="A4428" s="242" t="s">
        <v>67</v>
      </c>
      <c r="B4428" s="43" t="s">
        <v>57</v>
      </c>
      <c r="C4428" s="15">
        <v>856</v>
      </c>
      <c r="D4428" s="243">
        <v>93</v>
      </c>
      <c r="E4428" s="243">
        <v>50</v>
      </c>
      <c r="F4428" s="243">
        <v>45</v>
      </c>
      <c r="G4428" s="243">
        <v>37</v>
      </c>
      <c r="H4428" s="243">
        <v>48</v>
      </c>
      <c r="I4428" s="243">
        <v>68</v>
      </c>
      <c r="J4428" s="243">
        <v>63</v>
      </c>
      <c r="K4428" s="243">
        <v>73</v>
      </c>
      <c r="L4428" s="243">
        <v>95</v>
      </c>
      <c r="M4428" s="243">
        <v>84</v>
      </c>
      <c r="N4428" s="243">
        <v>91</v>
      </c>
      <c r="O4428" s="253">
        <v>109</v>
      </c>
    </row>
    <row r="4429" spans="1:15">
      <c r="A4429" s="240" t="s">
        <v>67</v>
      </c>
      <c r="B4429" s="47" t="s">
        <v>59</v>
      </c>
      <c r="C4429" s="15">
        <v>485</v>
      </c>
      <c r="D4429" s="243">
        <v>56</v>
      </c>
      <c r="E4429" s="243">
        <v>29</v>
      </c>
      <c r="F4429" s="243">
        <v>22</v>
      </c>
      <c r="G4429" s="243">
        <v>19</v>
      </c>
      <c r="H4429" s="243">
        <v>33</v>
      </c>
      <c r="I4429" s="243">
        <v>37</v>
      </c>
      <c r="J4429" s="243">
        <v>43</v>
      </c>
      <c r="K4429" s="243">
        <v>46</v>
      </c>
      <c r="L4429" s="243">
        <v>46</v>
      </c>
      <c r="M4429" s="243">
        <v>42</v>
      </c>
      <c r="N4429" s="243">
        <v>45</v>
      </c>
      <c r="O4429" s="253">
        <v>67</v>
      </c>
    </row>
    <row r="4430" spans="1:15">
      <c r="A4430" s="242" t="s">
        <v>67</v>
      </c>
      <c r="B4430" s="43" t="s">
        <v>4</v>
      </c>
      <c r="C4430" s="15">
        <v>16</v>
      </c>
      <c r="D4430" s="244">
        <v>3</v>
      </c>
      <c r="E4430" s="244">
        <v>1</v>
      </c>
      <c r="F4430" s="244">
        <v>3</v>
      </c>
      <c r="G4430" s="244">
        <v>0</v>
      </c>
      <c r="H4430" s="244">
        <v>0</v>
      </c>
      <c r="I4430" s="244">
        <v>1</v>
      </c>
      <c r="J4430" s="244">
        <v>4</v>
      </c>
      <c r="K4430" s="244">
        <v>3</v>
      </c>
      <c r="L4430" s="244">
        <v>0</v>
      </c>
      <c r="M4430" s="244">
        <v>0</v>
      </c>
      <c r="N4430" s="244">
        <v>0</v>
      </c>
      <c r="O4430" s="254">
        <v>1</v>
      </c>
    </row>
    <row r="4431" spans="1:15">
      <c r="A4431" s="240" t="s">
        <v>67</v>
      </c>
      <c r="B4431" s="47" t="s">
        <v>5</v>
      </c>
      <c r="C4431" s="12">
        <v>0.0329896907216495</v>
      </c>
      <c r="D4431" s="241">
        <v>0.0535714285714286</v>
      </c>
      <c r="E4431" s="241">
        <v>0.0344827586206897</v>
      </c>
      <c r="F4431" s="241">
        <v>0.136363636363636</v>
      </c>
      <c r="G4431" s="241">
        <v>0</v>
      </c>
      <c r="H4431" s="241">
        <v>0</v>
      </c>
      <c r="I4431" s="241">
        <v>0.027027027027027</v>
      </c>
      <c r="J4431" s="241">
        <v>0.0930232558139535</v>
      </c>
      <c r="K4431" s="241">
        <v>0.0652173913043478</v>
      </c>
      <c r="L4431" s="241">
        <v>0</v>
      </c>
      <c r="M4431" s="241">
        <v>0</v>
      </c>
      <c r="N4431" s="241">
        <v>0</v>
      </c>
      <c r="O4431" s="252">
        <v>0.0149253731343284</v>
      </c>
    </row>
    <row r="4432" spans="1:15">
      <c r="A4432" s="242" t="s">
        <v>67</v>
      </c>
      <c r="B4432" s="43" t="s">
        <v>6</v>
      </c>
      <c r="C4432" s="15">
        <v>9</v>
      </c>
      <c r="D4432" s="244">
        <v>2</v>
      </c>
      <c r="E4432" s="244">
        <v>0</v>
      </c>
      <c r="F4432" s="244">
        <v>1</v>
      </c>
      <c r="G4432" s="244">
        <v>0</v>
      </c>
      <c r="H4432" s="244">
        <v>0</v>
      </c>
      <c r="I4432" s="244">
        <v>1</v>
      </c>
      <c r="J4432" s="244">
        <v>1</v>
      </c>
      <c r="K4432" s="244">
        <v>0</v>
      </c>
      <c r="L4432" s="244">
        <v>0</v>
      </c>
      <c r="M4432" s="244">
        <v>1</v>
      </c>
      <c r="N4432" s="244">
        <v>0</v>
      </c>
      <c r="O4432" s="254">
        <v>3</v>
      </c>
    </row>
    <row r="4433" ht="14.25" spans="1:15">
      <c r="A4433" s="245" t="s">
        <v>67</v>
      </c>
      <c r="B4433" s="52" t="s">
        <v>64</v>
      </c>
      <c r="C4433" s="19">
        <v>0.5625</v>
      </c>
      <c r="D4433" s="246">
        <v>0.666666666666667</v>
      </c>
      <c r="E4433" s="246">
        <v>0</v>
      </c>
      <c r="F4433" s="246">
        <v>0.333333333333333</v>
      </c>
      <c r="G4433" s="246">
        <v>0</v>
      </c>
      <c r="H4433" s="246">
        <v>0</v>
      </c>
      <c r="I4433" s="246">
        <v>1</v>
      </c>
      <c r="J4433" s="246">
        <v>0.25</v>
      </c>
      <c r="K4433" s="246">
        <v>0</v>
      </c>
      <c r="L4433" s="246">
        <v>0</v>
      </c>
      <c r="M4433" s="246">
        <v>0</v>
      </c>
      <c r="N4433" s="246">
        <v>0</v>
      </c>
      <c r="O4433" s="255">
        <v>3</v>
      </c>
    </row>
    <row r="4434" spans="1:15">
      <c r="A4434" s="240" t="s">
        <v>68</v>
      </c>
      <c r="B4434" s="47" t="s">
        <v>55</v>
      </c>
      <c r="C4434" s="12">
        <v>0.184618441971383</v>
      </c>
      <c r="D4434" s="241">
        <v>0.218604651162791</v>
      </c>
      <c r="E4434" s="241">
        <v>0.182926829268293</v>
      </c>
      <c r="F4434" s="241">
        <v>0.311827956989247</v>
      </c>
      <c r="G4434" s="241">
        <v>0.17032967032967</v>
      </c>
      <c r="H4434" s="241">
        <v>0.161214953271028</v>
      </c>
      <c r="I4434" s="241">
        <v>0.184510250569476</v>
      </c>
      <c r="J4434" s="241">
        <v>0.174224343675418</v>
      </c>
      <c r="K4434" s="241">
        <v>0.158798283261803</v>
      </c>
      <c r="L4434" s="241">
        <v>0.143897996357013</v>
      </c>
      <c r="M4434" s="241">
        <v>0.19377990430622</v>
      </c>
      <c r="N4434" s="241">
        <v>0.18904593639576</v>
      </c>
      <c r="O4434" s="252">
        <v>0.194879089615932</v>
      </c>
    </row>
    <row r="4435" spans="1:15">
      <c r="A4435" s="242" t="s">
        <v>68</v>
      </c>
      <c r="B4435" s="43" t="s">
        <v>57</v>
      </c>
      <c r="C4435" s="15">
        <v>5032</v>
      </c>
      <c r="D4435" s="243">
        <v>430</v>
      </c>
      <c r="E4435" s="243">
        <v>246</v>
      </c>
      <c r="F4435" s="243">
        <v>186</v>
      </c>
      <c r="G4435" s="243">
        <v>182</v>
      </c>
      <c r="H4435" s="243">
        <v>428</v>
      </c>
      <c r="I4435" s="243">
        <v>439</v>
      </c>
      <c r="J4435" s="243">
        <v>419</v>
      </c>
      <c r="K4435" s="243">
        <v>466</v>
      </c>
      <c r="L4435" s="243">
        <v>549</v>
      </c>
      <c r="M4435" s="243">
        <v>418</v>
      </c>
      <c r="N4435" s="243">
        <v>566</v>
      </c>
      <c r="O4435" s="253">
        <v>703</v>
      </c>
    </row>
    <row r="4436" spans="1:15">
      <c r="A4436" s="240" t="s">
        <v>68</v>
      </c>
      <c r="B4436" s="47" t="s">
        <v>59</v>
      </c>
      <c r="C4436" s="15">
        <v>929</v>
      </c>
      <c r="D4436" s="243">
        <v>94</v>
      </c>
      <c r="E4436" s="243">
        <v>45</v>
      </c>
      <c r="F4436" s="243">
        <v>58</v>
      </c>
      <c r="G4436" s="243">
        <v>31</v>
      </c>
      <c r="H4436" s="243">
        <v>69</v>
      </c>
      <c r="I4436" s="243">
        <v>81</v>
      </c>
      <c r="J4436" s="243">
        <v>73</v>
      </c>
      <c r="K4436" s="243">
        <v>74</v>
      </c>
      <c r="L4436" s="243">
        <v>79</v>
      </c>
      <c r="M4436" s="243">
        <v>81</v>
      </c>
      <c r="N4436" s="243">
        <v>107</v>
      </c>
      <c r="O4436" s="253">
        <v>137</v>
      </c>
    </row>
    <row r="4437" spans="1:15">
      <c r="A4437" s="242" t="s">
        <v>68</v>
      </c>
      <c r="B4437" s="43" t="s">
        <v>4</v>
      </c>
      <c r="C4437" s="15">
        <v>69</v>
      </c>
      <c r="D4437" s="244">
        <v>6</v>
      </c>
      <c r="E4437" s="244">
        <v>5</v>
      </c>
      <c r="F4437" s="244">
        <v>4</v>
      </c>
      <c r="G4437" s="244">
        <v>0</v>
      </c>
      <c r="H4437" s="244">
        <v>1</v>
      </c>
      <c r="I4437" s="244">
        <v>6</v>
      </c>
      <c r="J4437" s="244">
        <v>8</v>
      </c>
      <c r="K4437" s="244">
        <v>5</v>
      </c>
      <c r="L4437" s="244">
        <v>4</v>
      </c>
      <c r="M4437" s="244">
        <v>6</v>
      </c>
      <c r="N4437" s="244">
        <v>5</v>
      </c>
      <c r="O4437" s="254">
        <v>19</v>
      </c>
    </row>
    <row r="4438" spans="1:15">
      <c r="A4438" s="240" t="s">
        <v>68</v>
      </c>
      <c r="B4438" s="47" t="s">
        <v>5</v>
      </c>
      <c r="C4438" s="12">
        <v>0.0742734122712594</v>
      </c>
      <c r="D4438" s="241">
        <v>0.0638297872340425</v>
      </c>
      <c r="E4438" s="241">
        <v>0.111111111111111</v>
      </c>
      <c r="F4438" s="241">
        <v>0.0689655172413793</v>
      </c>
      <c r="G4438" s="241">
        <v>0</v>
      </c>
      <c r="H4438" s="241">
        <v>0.0144927536231884</v>
      </c>
      <c r="I4438" s="241">
        <v>0.0740740740740741</v>
      </c>
      <c r="J4438" s="241">
        <v>0.10958904109589</v>
      </c>
      <c r="K4438" s="241">
        <v>0.0675675675675676</v>
      </c>
      <c r="L4438" s="241">
        <v>0.0506329113924051</v>
      </c>
      <c r="M4438" s="241">
        <v>0.0740740740740741</v>
      </c>
      <c r="N4438" s="241">
        <v>0.0467289719626168</v>
      </c>
      <c r="O4438" s="252">
        <v>0.138686131386861</v>
      </c>
    </row>
    <row r="4439" spans="1:15">
      <c r="A4439" s="242" t="s">
        <v>68</v>
      </c>
      <c r="B4439" s="43" t="s">
        <v>6</v>
      </c>
      <c r="C4439" s="15">
        <v>16</v>
      </c>
      <c r="D4439" s="244">
        <v>3</v>
      </c>
      <c r="E4439" s="244">
        <v>1</v>
      </c>
      <c r="F4439" s="244">
        <v>0</v>
      </c>
      <c r="G4439" s="244">
        <v>0</v>
      </c>
      <c r="H4439" s="244">
        <v>1</v>
      </c>
      <c r="I4439" s="244">
        <v>2</v>
      </c>
      <c r="J4439" s="244">
        <v>3</v>
      </c>
      <c r="K4439" s="244">
        <v>0</v>
      </c>
      <c r="L4439" s="244">
        <v>3</v>
      </c>
      <c r="M4439" s="244">
        <v>1</v>
      </c>
      <c r="N4439" s="244">
        <v>1</v>
      </c>
      <c r="O4439" s="254">
        <v>1</v>
      </c>
    </row>
    <row r="4440" ht="14.25" spans="1:15">
      <c r="A4440" s="245" t="s">
        <v>68</v>
      </c>
      <c r="B4440" s="52" t="s">
        <v>64</v>
      </c>
      <c r="C4440" s="19">
        <v>0.231884057971014</v>
      </c>
      <c r="D4440" s="246">
        <v>0.5</v>
      </c>
      <c r="E4440" s="246">
        <v>0.2</v>
      </c>
      <c r="F4440" s="246">
        <v>0</v>
      </c>
      <c r="G4440" s="246">
        <v>0</v>
      </c>
      <c r="H4440" s="246">
        <v>1</v>
      </c>
      <c r="I4440" s="246">
        <v>0.333333333333333</v>
      </c>
      <c r="J4440" s="246">
        <v>0.375</v>
      </c>
      <c r="K4440" s="246">
        <v>0</v>
      </c>
      <c r="L4440" s="246">
        <v>0.75</v>
      </c>
      <c r="M4440" s="246">
        <v>0.166666666666667</v>
      </c>
      <c r="N4440" s="246">
        <v>0.2</v>
      </c>
      <c r="O4440" s="255">
        <v>0.0526315789473684</v>
      </c>
    </row>
    <row r="4441" spans="1:15">
      <c r="A4441" s="240" t="s">
        <v>69</v>
      </c>
      <c r="B4441" s="47" t="s">
        <v>55</v>
      </c>
      <c r="C4441" s="12">
        <v>1.30283911671924</v>
      </c>
      <c r="D4441" s="241">
        <v>1.45945945945946</v>
      </c>
      <c r="E4441" s="241">
        <v>1</v>
      </c>
      <c r="F4441" s="241">
        <v>1.05263157894737</v>
      </c>
      <c r="G4441" s="241">
        <v>1.44444444444444</v>
      </c>
      <c r="H4441" s="241">
        <v>1.31578947368421</v>
      </c>
      <c r="I4441" s="241">
        <v>1.55555555555556</v>
      </c>
      <c r="J4441" s="241">
        <v>1.39285714285714</v>
      </c>
      <c r="K4441" s="241">
        <v>1.25806451612903</v>
      </c>
      <c r="L4441" s="241">
        <v>1.17857142857143</v>
      </c>
      <c r="M4441" s="241">
        <v>1.18518518518519</v>
      </c>
      <c r="N4441" s="241">
        <v>1.66666666666667</v>
      </c>
      <c r="O4441" s="252">
        <v>1.10526315789474</v>
      </c>
    </row>
    <row r="4442" spans="1:15">
      <c r="A4442" s="242" t="s">
        <v>69</v>
      </c>
      <c r="B4442" s="43" t="s">
        <v>57</v>
      </c>
      <c r="C4442" s="15">
        <v>317</v>
      </c>
      <c r="D4442" s="243">
        <v>37</v>
      </c>
      <c r="E4442" s="243">
        <v>21</v>
      </c>
      <c r="F4442" s="243">
        <v>19</v>
      </c>
      <c r="G4442" s="243">
        <v>18</v>
      </c>
      <c r="H4442" s="243">
        <v>19</v>
      </c>
      <c r="I4442" s="243">
        <v>27</v>
      </c>
      <c r="J4442" s="243">
        <v>28</v>
      </c>
      <c r="K4442" s="243">
        <v>31</v>
      </c>
      <c r="L4442" s="243">
        <v>28</v>
      </c>
      <c r="M4442" s="243">
        <v>27</v>
      </c>
      <c r="N4442" s="243">
        <v>24</v>
      </c>
      <c r="O4442" s="253">
        <v>38</v>
      </c>
    </row>
    <row r="4443" spans="1:15">
      <c r="A4443" s="240" t="s">
        <v>69</v>
      </c>
      <c r="B4443" s="47" t="s">
        <v>59</v>
      </c>
      <c r="C4443" s="15">
        <v>413</v>
      </c>
      <c r="D4443" s="243">
        <v>54</v>
      </c>
      <c r="E4443" s="243">
        <v>21</v>
      </c>
      <c r="F4443" s="243">
        <v>20</v>
      </c>
      <c r="G4443" s="243">
        <v>26</v>
      </c>
      <c r="H4443" s="243">
        <v>25</v>
      </c>
      <c r="I4443" s="243">
        <v>42</v>
      </c>
      <c r="J4443" s="243">
        <v>39</v>
      </c>
      <c r="K4443" s="243">
        <v>39</v>
      </c>
      <c r="L4443" s="243">
        <v>33</v>
      </c>
      <c r="M4443" s="243">
        <v>32</v>
      </c>
      <c r="N4443" s="243">
        <v>40</v>
      </c>
      <c r="O4443" s="253">
        <v>42</v>
      </c>
    </row>
    <row r="4444" spans="1:15">
      <c r="A4444" s="242" t="s">
        <v>69</v>
      </c>
      <c r="B4444" s="43" t="s">
        <v>4</v>
      </c>
      <c r="C4444" s="15">
        <v>12</v>
      </c>
      <c r="D4444" s="244">
        <v>1</v>
      </c>
      <c r="E4444" s="244">
        <v>0</v>
      </c>
      <c r="F4444" s="244">
        <v>1</v>
      </c>
      <c r="G4444" s="244">
        <v>0</v>
      </c>
      <c r="H4444" s="244">
        <v>0</v>
      </c>
      <c r="I4444" s="244">
        <v>0</v>
      </c>
      <c r="J4444" s="244">
        <v>3</v>
      </c>
      <c r="K4444" s="244">
        <v>5</v>
      </c>
      <c r="L4444" s="244">
        <v>0</v>
      </c>
      <c r="M4444" s="244">
        <v>0</v>
      </c>
      <c r="N4444" s="244">
        <v>1</v>
      </c>
      <c r="O4444" s="254">
        <v>1</v>
      </c>
    </row>
    <row r="4445" spans="1:15">
      <c r="A4445" s="240" t="s">
        <v>69</v>
      </c>
      <c r="B4445" s="47" t="s">
        <v>5</v>
      </c>
      <c r="C4445" s="12">
        <v>0.0290556900726392</v>
      </c>
      <c r="D4445" s="241">
        <v>0.0185185185185185</v>
      </c>
      <c r="E4445" s="241">
        <v>0</v>
      </c>
      <c r="F4445" s="241">
        <v>0.05</v>
      </c>
      <c r="G4445" s="241">
        <v>0</v>
      </c>
      <c r="H4445" s="241">
        <v>0</v>
      </c>
      <c r="I4445" s="241">
        <v>0</v>
      </c>
      <c r="J4445" s="241">
        <v>0.0769230769230769</v>
      </c>
      <c r="K4445" s="241">
        <v>0.128205128205128</v>
      </c>
      <c r="L4445" s="241">
        <v>0</v>
      </c>
      <c r="M4445" s="241">
        <v>0</v>
      </c>
      <c r="N4445" s="241">
        <v>0.025</v>
      </c>
      <c r="O4445" s="252">
        <v>0.0238095238095238</v>
      </c>
    </row>
    <row r="4446" spans="1:15">
      <c r="A4446" s="242" t="s">
        <v>69</v>
      </c>
      <c r="B4446" s="43" t="s">
        <v>6</v>
      </c>
      <c r="C4446" s="15">
        <v>6</v>
      </c>
      <c r="D4446" s="244">
        <v>1</v>
      </c>
      <c r="E4446" s="244">
        <v>0</v>
      </c>
      <c r="F4446" s="244">
        <v>0</v>
      </c>
      <c r="G4446" s="244">
        <v>1</v>
      </c>
      <c r="H4446" s="244">
        <v>0</v>
      </c>
      <c r="I4446" s="244">
        <v>1</v>
      </c>
      <c r="J4446" s="244">
        <v>0</v>
      </c>
      <c r="K4446" s="244">
        <v>0</v>
      </c>
      <c r="L4446" s="244">
        <v>2</v>
      </c>
      <c r="M4446" s="244">
        <v>0</v>
      </c>
      <c r="N4446" s="244">
        <v>1</v>
      </c>
      <c r="O4446" s="254">
        <v>0</v>
      </c>
    </row>
    <row r="4447" ht="14.25" spans="1:15">
      <c r="A4447" s="245" t="s">
        <v>69</v>
      </c>
      <c r="B4447" s="52" t="s">
        <v>64</v>
      </c>
      <c r="C4447" s="19">
        <v>0.5</v>
      </c>
      <c r="D4447" s="246">
        <v>1</v>
      </c>
      <c r="E4447" s="246">
        <v>0</v>
      </c>
      <c r="F4447" s="246">
        <v>0</v>
      </c>
      <c r="G4447" s="246">
        <v>0</v>
      </c>
      <c r="H4447" s="246">
        <v>0</v>
      </c>
      <c r="I4447" s="246">
        <v>0</v>
      </c>
      <c r="J4447" s="246">
        <v>0</v>
      </c>
      <c r="K4447" s="246">
        <v>0</v>
      </c>
      <c r="L4447" s="246">
        <v>0</v>
      </c>
      <c r="M4447" s="246">
        <v>0</v>
      </c>
      <c r="N4447" s="246">
        <v>1</v>
      </c>
      <c r="O4447" s="255">
        <v>0</v>
      </c>
    </row>
    <row r="4448" spans="1:15">
      <c r="A4448" s="240" t="s">
        <v>70</v>
      </c>
      <c r="B4448" s="47" t="s">
        <v>55</v>
      </c>
      <c r="C4448" s="12">
        <v>0.300998737228791</v>
      </c>
      <c r="D4448" s="241">
        <v>0.296246648793566</v>
      </c>
      <c r="E4448" s="241">
        <v>0.309133489461358</v>
      </c>
      <c r="F4448" s="241">
        <v>0.307432432432432</v>
      </c>
      <c r="G4448" s="241">
        <v>0.302564102564103</v>
      </c>
      <c r="H4448" s="241">
        <v>0.334928229665072</v>
      </c>
      <c r="I4448" s="241">
        <v>0.320049813200498</v>
      </c>
      <c r="J4448" s="241">
        <v>0.319848293299621</v>
      </c>
      <c r="K4448" s="241">
        <v>0.314014752370917</v>
      </c>
      <c r="L4448" s="241">
        <v>0.303162486368593</v>
      </c>
      <c r="M4448" s="241">
        <v>0.273058252427184</v>
      </c>
      <c r="N4448" s="241">
        <v>0.252173913043478</v>
      </c>
      <c r="O4448" s="252">
        <v>0.300685602350637</v>
      </c>
    </row>
    <row r="4449" spans="1:15">
      <c r="A4449" s="242" t="s">
        <v>70</v>
      </c>
      <c r="B4449" s="43" t="s">
        <v>57</v>
      </c>
      <c r="C4449" s="15">
        <v>8711</v>
      </c>
      <c r="D4449" s="243">
        <v>746</v>
      </c>
      <c r="E4449" s="243">
        <v>427</v>
      </c>
      <c r="F4449" s="243">
        <v>296</v>
      </c>
      <c r="G4449" s="243">
        <v>390</v>
      </c>
      <c r="H4449" s="243">
        <v>627</v>
      </c>
      <c r="I4449" s="243">
        <v>803</v>
      </c>
      <c r="J4449" s="243">
        <v>791</v>
      </c>
      <c r="K4449" s="243">
        <v>949</v>
      </c>
      <c r="L4449" s="243">
        <v>917</v>
      </c>
      <c r="M4449" s="243">
        <v>824</v>
      </c>
      <c r="N4449" s="243">
        <v>920</v>
      </c>
      <c r="O4449" s="253">
        <v>1021</v>
      </c>
    </row>
    <row r="4450" spans="1:15">
      <c r="A4450" s="240" t="s">
        <v>70</v>
      </c>
      <c r="B4450" s="47" t="s">
        <v>59</v>
      </c>
      <c r="C4450" s="15">
        <v>2622</v>
      </c>
      <c r="D4450" s="243">
        <v>221</v>
      </c>
      <c r="E4450" s="243">
        <v>132</v>
      </c>
      <c r="F4450" s="243">
        <v>91</v>
      </c>
      <c r="G4450" s="243">
        <v>118</v>
      </c>
      <c r="H4450" s="243">
        <v>210</v>
      </c>
      <c r="I4450" s="243">
        <v>257</v>
      </c>
      <c r="J4450" s="243">
        <v>253</v>
      </c>
      <c r="K4450" s="243">
        <v>298</v>
      </c>
      <c r="L4450" s="243">
        <v>278</v>
      </c>
      <c r="M4450" s="243">
        <v>225</v>
      </c>
      <c r="N4450" s="243">
        <v>232</v>
      </c>
      <c r="O4450" s="253">
        <v>307</v>
      </c>
    </row>
    <row r="4451" spans="1:15">
      <c r="A4451" s="242" t="s">
        <v>70</v>
      </c>
      <c r="B4451" s="43" t="s">
        <v>4</v>
      </c>
      <c r="C4451" s="15">
        <v>304</v>
      </c>
      <c r="D4451" s="244">
        <v>34</v>
      </c>
      <c r="E4451" s="244">
        <v>21</v>
      </c>
      <c r="F4451" s="244">
        <v>8</v>
      </c>
      <c r="G4451" s="244">
        <v>5</v>
      </c>
      <c r="H4451" s="244">
        <v>17</v>
      </c>
      <c r="I4451" s="244">
        <v>19</v>
      </c>
      <c r="J4451" s="244">
        <v>22</v>
      </c>
      <c r="K4451" s="244">
        <v>27</v>
      </c>
      <c r="L4451" s="244">
        <v>35</v>
      </c>
      <c r="M4451" s="244">
        <v>23</v>
      </c>
      <c r="N4451" s="244">
        <v>40</v>
      </c>
      <c r="O4451" s="254">
        <v>53</v>
      </c>
    </row>
    <row r="4452" spans="1:15">
      <c r="A4452" s="240" t="s">
        <v>70</v>
      </c>
      <c r="B4452" s="47" t="s">
        <v>5</v>
      </c>
      <c r="C4452" s="12">
        <v>0.115942028985507</v>
      </c>
      <c r="D4452" s="241">
        <v>0.153846153846154</v>
      </c>
      <c r="E4452" s="241">
        <v>0.159090909090909</v>
      </c>
      <c r="F4452" s="241">
        <v>0.0879120879120879</v>
      </c>
      <c r="G4452" s="241">
        <v>0.0423728813559322</v>
      </c>
      <c r="H4452" s="241">
        <v>0.080952380952381</v>
      </c>
      <c r="I4452" s="241">
        <v>0.0739299610894942</v>
      </c>
      <c r="J4452" s="241">
        <v>0.0869565217391304</v>
      </c>
      <c r="K4452" s="241">
        <v>0.0906040268456376</v>
      </c>
      <c r="L4452" s="241">
        <v>0.12589928057554</v>
      </c>
      <c r="M4452" s="241">
        <v>0.102222222222222</v>
      </c>
      <c r="N4452" s="241">
        <v>0.172413793103448</v>
      </c>
      <c r="O4452" s="252">
        <v>0.172638436482085</v>
      </c>
    </row>
    <row r="4453" spans="1:15">
      <c r="A4453" s="242" t="s">
        <v>70</v>
      </c>
      <c r="B4453" s="43" t="s">
        <v>6</v>
      </c>
      <c r="C4453" s="15">
        <v>65</v>
      </c>
      <c r="D4453" s="244">
        <v>5</v>
      </c>
      <c r="E4453" s="244">
        <v>7</v>
      </c>
      <c r="F4453" s="244">
        <v>1</v>
      </c>
      <c r="G4453" s="244">
        <v>3</v>
      </c>
      <c r="H4453" s="244">
        <v>3</v>
      </c>
      <c r="I4453" s="244">
        <v>4</v>
      </c>
      <c r="J4453" s="244">
        <v>5</v>
      </c>
      <c r="K4453" s="244">
        <v>4</v>
      </c>
      <c r="L4453" s="244">
        <v>9</v>
      </c>
      <c r="M4453" s="244">
        <v>6</v>
      </c>
      <c r="N4453" s="244">
        <v>9</v>
      </c>
      <c r="O4453" s="254">
        <v>9</v>
      </c>
    </row>
    <row r="4454" ht="14.25" spans="1:15">
      <c r="A4454" s="245" t="s">
        <v>70</v>
      </c>
      <c r="B4454" s="52" t="s">
        <v>64</v>
      </c>
      <c r="C4454" s="19">
        <v>0.213815789473684</v>
      </c>
      <c r="D4454" s="246">
        <v>0.147058823529412</v>
      </c>
      <c r="E4454" s="246">
        <v>0.333333333333333</v>
      </c>
      <c r="F4454" s="246">
        <v>0.125</v>
      </c>
      <c r="G4454" s="246">
        <v>0.6</v>
      </c>
      <c r="H4454" s="246">
        <v>0.176470588235294</v>
      </c>
      <c r="I4454" s="246">
        <v>0.210526315789474</v>
      </c>
      <c r="J4454" s="246">
        <v>0.227272727272727</v>
      </c>
      <c r="K4454" s="246">
        <v>0.148148148148148</v>
      </c>
      <c r="L4454" s="246">
        <v>0.257142857142857</v>
      </c>
      <c r="M4454" s="246">
        <v>0.260869565217391</v>
      </c>
      <c r="N4454" s="246">
        <v>0.225</v>
      </c>
      <c r="O4454" s="255">
        <v>0.169811320754717</v>
      </c>
    </row>
    <row r="4455" spans="1:15">
      <c r="A4455" s="240" t="s">
        <v>26</v>
      </c>
      <c r="B4455" s="47" t="s">
        <v>55</v>
      </c>
      <c r="C4455" s="12">
        <v>0.698104693140794</v>
      </c>
      <c r="D4455" s="241">
        <v>0.573770491803279</v>
      </c>
      <c r="E4455" s="241">
        <v>0.532467532467532</v>
      </c>
      <c r="F4455" s="241">
        <v>0.572815533980582</v>
      </c>
      <c r="G4455" s="241">
        <v>0.682692307692308</v>
      </c>
      <c r="H4455" s="241">
        <v>0.925714285714286</v>
      </c>
      <c r="I4455" s="241">
        <v>0.948717948717949</v>
      </c>
      <c r="J4455" s="241">
        <v>1.17721518987342</v>
      </c>
      <c r="K4455" s="241">
        <v>0.977777777777778</v>
      </c>
      <c r="L4455" s="241">
        <v>1.09259259259259</v>
      </c>
      <c r="M4455" s="241">
        <v>1.43181818181818</v>
      </c>
      <c r="N4455" s="241">
        <v>1.78260869565217</v>
      </c>
      <c r="O4455" s="252">
        <v>0.310344827586207</v>
      </c>
    </row>
    <row r="4456" spans="1:15">
      <c r="A4456" s="242" t="s">
        <v>26</v>
      </c>
      <c r="B4456" s="43" t="s">
        <v>57</v>
      </c>
      <c r="C4456" s="15">
        <v>2216</v>
      </c>
      <c r="D4456" s="243">
        <v>549</v>
      </c>
      <c r="E4456" s="243">
        <v>539</v>
      </c>
      <c r="F4456" s="243">
        <v>309</v>
      </c>
      <c r="G4456" s="243">
        <v>208</v>
      </c>
      <c r="H4456" s="243">
        <v>175</v>
      </c>
      <c r="I4456" s="243">
        <v>117</v>
      </c>
      <c r="J4456" s="243">
        <v>79</v>
      </c>
      <c r="K4456" s="243">
        <v>90</v>
      </c>
      <c r="L4456" s="243">
        <v>54</v>
      </c>
      <c r="M4456" s="243">
        <v>44</v>
      </c>
      <c r="N4456" s="243">
        <v>23</v>
      </c>
      <c r="O4456" s="253">
        <v>29</v>
      </c>
    </row>
    <row r="4457" spans="1:15">
      <c r="A4457" s="240" t="s">
        <v>26</v>
      </c>
      <c r="B4457" s="47" t="s">
        <v>59</v>
      </c>
      <c r="C4457" s="15">
        <v>1547</v>
      </c>
      <c r="D4457" s="243">
        <v>315</v>
      </c>
      <c r="E4457" s="243">
        <v>287</v>
      </c>
      <c r="F4457" s="243">
        <v>177</v>
      </c>
      <c r="G4457" s="243">
        <v>142</v>
      </c>
      <c r="H4457" s="243">
        <v>162</v>
      </c>
      <c r="I4457" s="243">
        <v>111</v>
      </c>
      <c r="J4457" s="243">
        <v>93</v>
      </c>
      <c r="K4457" s="243">
        <v>88</v>
      </c>
      <c r="L4457" s="243">
        <v>59</v>
      </c>
      <c r="M4457" s="243">
        <v>63</v>
      </c>
      <c r="N4457" s="243">
        <v>41</v>
      </c>
      <c r="O4457" s="253">
        <v>9</v>
      </c>
    </row>
    <row r="4458" spans="1:15">
      <c r="A4458" s="242" t="s">
        <v>26</v>
      </c>
      <c r="B4458" s="43" t="s">
        <v>4</v>
      </c>
      <c r="C4458" s="15">
        <v>5</v>
      </c>
      <c r="D4458" s="244">
        <v>0</v>
      </c>
      <c r="E4458" s="244">
        <v>1</v>
      </c>
      <c r="F4458" s="244">
        <v>0</v>
      </c>
      <c r="G4458" s="244">
        <v>0</v>
      </c>
      <c r="H4458" s="244">
        <v>1</v>
      </c>
      <c r="I4458" s="244">
        <v>0</v>
      </c>
      <c r="J4458" s="244">
        <v>1</v>
      </c>
      <c r="K4458" s="244">
        <v>2</v>
      </c>
      <c r="L4458" s="244">
        <v>0</v>
      </c>
      <c r="M4458" s="244">
        <v>0</v>
      </c>
      <c r="N4458" s="244">
        <v>0</v>
      </c>
      <c r="O4458" s="254">
        <v>0</v>
      </c>
    </row>
    <row r="4459" spans="1:15">
      <c r="A4459" s="240" t="s">
        <v>26</v>
      </c>
      <c r="B4459" s="47" t="s">
        <v>5</v>
      </c>
      <c r="C4459" s="12">
        <v>0.00323206205559147</v>
      </c>
      <c r="D4459" s="241">
        <v>0</v>
      </c>
      <c r="E4459" s="241">
        <v>0.00348432055749129</v>
      </c>
      <c r="F4459" s="241">
        <v>0</v>
      </c>
      <c r="G4459" s="241">
        <v>0</v>
      </c>
      <c r="H4459" s="241">
        <v>0.00617283950617284</v>
      </c>
      <c r="I4459" s="241">
        <v>0</v>
      </c>
      <c r="J4459" s="241">
        <v>0.010752688172043</v>
      </c>
      <c r="K4459" s="241">
        <v>0.0227272727272727</v>
      </c>
      <c r="L4459" s="241">
        <v>0</v>
      </c>
      <c r="M4459" s="241">
        <v>0</v>
      </c>
      <c r="N4459" s="241">
        <v>0</v>
      </c>
      <c r="O4459" s="252">
        <v>0</v>
      </c>
    </row>
    <row r="4460" spans="1:15">
      <c r="A4460" s="242" t="s">
        <v>26</v>
      </c>
      <c r="B4460" s="43" t="s">
        <v>6</v>
      </c>
      <c r="C4460" s="15">
        <v>0</v>
      </c>
      <c r="D4460" s="244">
        <v>0</v>
      </c>
      <c r="E4460" s="244">
        <v>0</v>
      </c>
      <c r="F4460" s="244">
        <v>0</v>
      </c>
      <c r="G4460" s="244">
        <v>0</v>
      </c>
      <c r="H4460" s="244">
        <v>0</v>
      </c>
      <c r="I4460" s="244">
        <v>0</v>
      </c>
      <c r="J4460" s="244">
        <v>0</v>
      </c>
      <c r="K4460" s="244">
        <v>0</v>
      </c>
      <c r="L4460" s="244">
        <v>0</v>
      </c>
      <c r="M4460" s="244">
        <v>0</v>
      </c>
      <c r="N4460" s="244">
        <v>0</v>
      </c>
      <c r="O4460" s="254">
        <v>0</v>
      </c>
    </row>
    <row r="4461" ht="14.25" spans="1:15">
      <c r="A4461" s="245" t="s">
        <v>26</v>
      </c>
      <c r="B4461" s="52" t="s">
        <v>64</v>
      </c>
      <c r="C4461" s="19">
        <v>0</v>
      </c>
      <c r="D4461" s="19" t="e">
        <v>#DIV/0!</v>
      </c>
      <c r="E4461" s="19">
        <v>0</v>
      </c>
      <c r="F4461" s="19" t="e">
        <v>#DIV/0!</v>
      </c>
      <c r="G4461" s="19" t="e">
        <v>#DIV/0!</v>
      </c>
      <c r="H4461" s="19">
        <v>0</v>
      </c>
      <c r="I4461" s="19" t="e">
        <v>#DIV/0!</v>
      </c>
      <c r="J4461" s="19">
        <v>0</v>
      </c>
      <c r="K4461" s="19">
        <v>0</v>
      </c>
      <c r="L4461" s="19" t="e">
        <v>#DIV/0!</v>
      </c>
      <c r="M4461" s="19" t="e">
        <v>#DIV/0!</v>
      </c>
      <c r="N4461" s="19" t="e">
        <v>#DIV/0!</v>
      </c>
      <c r="O4461" s="19" t="e">
        <v>#DIV/0!</v>
      </c>
    </row>
    <row r="4462" spans="1:15">
      <c r="A4462" s="240" t="s">
        <v>71</v>
      </c>
      <c r="B4462" s="47" t="s">
        <v>55</v>
      </c>
      <c r="C4462" s="12">
        <v>180</v>
      </c>
      <c r="D4462" s="241" t="e">
        <v>#DIV/0!</v>
      </c>
      <c r="E4462" s="241" t="e">
        <v>#DIV/0!</v>
      </c>
      <c r="F4462" s="241">
        <v>13</v>
      </c>
      <c r="G4462" s="241" t="e">
        <v>#DIV/0!</v>
      </c>
      <c r="H4462" s="241">
        <v>46</v>
      </c>
      <c r="I4462" s="241" t="e">
        <v>#DIV/0!</v>
      </c>
      <c r="J4462" s="241" t="e">
        <v>#DIV/0!</v>
      </c>
      <c r="K4462" s="241" t="e">
        <v>#DIV/0!</v>
      </c>
      <c r="L4462" s="241" t="e">
        <v>#DIV/0!</v>
      </c>
      <c r="M4462" s="241" t="e">
        <v>#DIV/0!</v>
      </c>
      <c r="N4462" s="241" t="e">
        <v>#DIV/0!</v>
      </c>
      <c r="O4462" s="252" t="e">
        <v>#DIV/0!</v>
      </c>
    </row>
    <row r="4463" spans="1:15">
      <c r="A4463" s="242" t="s">
        <v>71</v>
      </c>
      <c r="B4463" s="43" t="s">
        <v>57</v>
      </c>
      <c r="C4463" s="15">
        <v>3</v>
      </c>
      <c r="D4463" s="243">
        <v>0</v>
      </c>
      <c r="E4463" s="243">
        <v>0</v>
      </c>
      <c r="F4463" s="243">
        <v>2</v>
      </c>
      <c r="G4463" s="243">
        <v>0</v>
      </c>
      <c r="H4463" s="243">
        <v>1</v>
      </c>
      <c r="I4463" s="243">
        <v>0</v>
      </c>
      <c r="J4463" s="243">
        <v>0</v>
      </c>
      <c r="K4463" s="243">
        <v>0</v>
      </c>
      <c r="L4463" s="243">
        <v>0</v>
      </c>
      <c r="M4463" s="243">
        <v>0</v>
      </c>
      <c r="N4463" s="243">
        <v>0</v>
      </c>
      <c r="O4463" s="253">
        <v>0</v>
      </c>
    </row>
    <row r="4464" spans="1:15">
      <c r="A4464" s="240" t="s">
        <v>71</v>
      </c>
      <c r="B4464" s="47" t="s">
        <v>59</v>
      </c>
      <c r="C4464" s="15">
        <v>540</v>
      </c>
      <c r="D4464" s="243">
        <v>61</v>
      </c>
      <c r="E4464" s="243">
        <v>30</v>
      </c>
      <c r="F4464" s="243">
        <v>26</v>
      </c>
      <c r="G4464" s="243">
        <v>17</v>
      </c>
      <c r="H4464" s="243">
        <v>46</v>
      </c>
      <c r="I4464" s="243">
        <v>39</v>
      </c>
      <c r="J4464" s="243">
        <v>50</v>
      </c>
      <c r="K4464" s="243">
        <v>48</v>
      </c>
      <c r="L4464" s="243">
        <v>51</v>
      </c>
      <c r="M4464" s="243">
        <v>47</v>
      </c>
      <c r="N4464" s="243">
        <v>57</v>
      </c>
      <c r="O4464" s="253">
        <v>68</v>
      </c>
    </row>
    <row r="4465" spans="1:15">
      <c r="A4465" s="242" t="s">
        <v>71</v>
      </c>
      <c r="B4465" s="43" t="s">
        <v>4</v>
      </c>
      <c r="C4465" s="15">
        <v>27</v>
      </c>
      <c r="D4465" s="244">
        <v>6</v>
      </c>
      <c r="E4465" s="244">
        <v>1</v>
      </c>
      <c r="F4465" s="244">
        <v>1</v>
      </c>
      <c r="G4465" s="244">
        <v>0</v>
      </c>
      <c r="H4465" s="244">
        <v>1</v>
      </c>
      <c r="I4465" s="244">
        <v>2</v>
      </c>
      <c r="J4465" s="244">
        <v>7</v>
      </c>
      <c r="K4465" s="244">
        <v>1</v>
      </c>
      <c r="L4465" s="244">
        <v>1</v>
      </c>
      <c r="M4465" s="244">
        <v>2</v>
      </c>
      <c r="N4465" s="244">
        <v>2</v>
      </c>
      <c r="O4465" s="254">
        <v>3</v>
      </c>
    </row>
    <row r="4466" spans="1:15">
      <c r="A4466" s="240" t="s">
        <v>71</v>
      </c>
      <c r="B4466" s="47" t="s">
        <v>5</v>
      </c>
      <c r="C4466" s="241">
        <v>0.05</v>
      </c>
      <c r="D4466" s="241">
        <v>0.0983606557377049</v>
      </c>
      <c r="E4466" s="241">
        <v>0.0333333333333333</v>
      </c>
      <c r="F4466" s="241">
        <v>0.0384615384615385</v>
      </c>
      <c r="G4466" s="241">
        <v>0</v>
      </c>
      <c r="H4466" s="241">
        <v>0.0217391304347826</v>
      </c>
      <c r="I4466" s="241">
        <v>0.0512820512820513</v>
      </c>
      <c r="J4466" s="241">
        <v>0.14</v>
      </c>
      <c r="K4466" s="241">
        <v>0.0208333333333333</v>
      </c>
      <c r="L4466" s="241">
        <v>0.0196078431372549</v>
      </c>
      <c r="M4466" s="241">
        <v>0.0425531914893617</v>
      </c>
      <c r="N4466" s="241">
        <v>0.0350877192982456</v>
      </c>
      <c r="O4466" s="252">
        <v>0.0441176470588235</v>
      </c>
    </row>
    <row r="4467" spans="1:15">
      <c r="A4467" s="242" t="s">
        <v>71</v>
      </c>
      <c r="B4467" s="43" t="s">
        <v>6</v>
      </c>
      <c r="C4467" s="15">
        <v>6</v>
      </c>
      <c r="D4467" s="244">
        <v>0</v>
      </c>
      <c r="E4467" s="244">
        <v>2</v>
      </c>
      <c r="F4467" s="244">
        <v>0</v>
      </c>
      <c r="G4467" s="244">
        <v>0</v>
      </c>
      <c r="H4467" s="244">
        <v>0</v>
      </c>
      <c r="I4467" s="244">
        <v>1</v>
      </c>
      <c r="J4467" s="244">
        <v>1</v>
      </c>
      <c r="K4467" s="244">
        <v>1</v>
      </c>
      <c r="L4467" s="244">
        <v>1</v>
      </c>
      <c r="M4467" s="244">
        <v>0</v>
      </c>
      <c r="N4467" s="244">
        <v>0</v>
      </c>
      <c r="O4467" s="254">
        <v>0</v>
      </c>
    </row>
    <row r="4468" ht="14.25" spans="1:15">
      <c r="A4468" s="245" t="s">
        <v>71</v>
      </c>
      <c r="B4468" s="52" t="s">
        <v>64</v>
      </c>
      <c r="C4468" s="19">
        <v>0.222222222222222</v>
      </c>
      <c r="D4468" s="19">
        <v>0</v>
      </c>
      <c r="E4468" s="19">
        <v>2</v>
      </c>
      <c r="F4468" s="19">
        <v>0</v>
      </c>
      <c r="G4468" s="19" t="e">
        <v>#DIV/0!</v>
      </c>
      <c r="H4468" s="19">
        <v>0</v>
      </c>
      <c r="I4468" s="19">
        <v>0.5</v>
      </c>
      <c r="J4468" s="19">
        <v>0.142857142857143</v>
      </c>
      <c r="K4468" s="19">
        <v>1</v>
      </c>
      <c r="L4468" s="19">
        <v>1</v>
      </c>
      <c r="M4468" s="19">
        <v>0</v>
      </c>
      <c r="N4468" s="19">
        <v>0</v>
      </c>
      <c r="O4468" s="19">
        <v>0</v>
      </c>
    </row>
    <row r="4469" spans="1:15">
      <c r="A4469" s="240" t="s">
        <v>72</v>
      </c>
      <c r="B4469" s="47" t="s">
        <v>55</v>
      </c>
      <c r="C4469" s="12">
        <v>0.156799353404728</v>
      </c>
      <c r="D4469" s="241">
        <v>0.184331797235023</v>
      </c>
      <c r="E4469" s="241">
        <v>0.151960784313725</v>
      </c>
      <c r="F4469" s="241">
        <v>0.201342281879195</v>
      </c>
      <c r="G4469" s="241">
        <v>0.131979695431472</v>
      </c>
      <c r="H4469" s="241">
        <v>0.191860465116279</v>
      </c>
      <c r="I4469" s="241">
        <v>0.164921465968586</v>
      </c>
      <c r="J4469" s="241">
        <v>0.163755458515284</v>
      </c>
      <c r="K4469" s="241">
        <v>0.130275229357798</v>
      </c>
      <c r="L4469" s="241">
        <v>0.123931623931624</v>
      </c>
      <c r="M4469" s="241">
        <v>0.147239263803681</v>
      </c>
      <c r="N4469" s="241">
        <v>0.155763239875389</v>
      </c>
      <c r="O4469" s="252">
        <v>0.163265306122449</v>
      </c>
    </row>
    <row r="4470" spans="1:15">
      <c r="A4470" s="242" t="s">
        <v>72</v>
      </c>
      <c r="B4470" s="43" t="s">
        <v>57</v>
      </c>
      <c r="C4470" s="15">
        <v>4949</v>
      </c>
      <c r="D4470" s="243">
        <v>434</v>
      </c>
      <c r="E4470" s="243">
        <v>204</v>
      </c>
      <c r="F4470" s="243">
        <v>149</v>
      </c>
      <c r="G4470" s="243">
        <v>197</v>
      </c>
      <c r="H4470" s="243">
        <v>344</v>
      </c>
      <c r="I4470" s="243">
        <v>382</v>
      </c>
      <c r="J4470" s="243">
        <v>458</v>
      </c>
      <c r="K4470" s="243">
        <v>545</v>
      </c>
      <c r="L4470" s="243">
        <v>468</v>
      </c>
      <c r="M4470" s="243">
        <v>489</v>
      </c>
      <c r="N4470" s="243">
        <v>642</v>
      </c>
      <c r="O4470" s="253">
        <v>637</v>
      </c>
    </row>
    <row r="4471" spans="1:15">
      <c r="A4471" s="240" t="s">
        <v>72</v>
      </c>
      <c r="B4471" s="47" t="s">
        <v>59</v>
      </c>
      <c r="C4471" s="15">
        <v>776</v>
      </c>
      <c r="D4471" s="243">
        <v>80</v>
      </c>
      <c r="E4471" s="243">
        <v>31</v>
      </c>
      <c r="F4471" s="243">
        <v>30</v>
      </c>
      <c r="G4471" s="243">
        <v>26</v>
      </c>
      <c r="H4471" s="243">
        <v>66</v>
      </c>
      <c r="I4471" s="243">
        <v>63</v>
      </c>
      <c r="J4471" s="243">
        <v>75</v>
      </c>
      <c r="K4471" s="243">
        <v>71</v>
      </c>
      <c r="L4471" s="243">
        <v>58</v>
      </c>
      <c r="M4471" s="243">
        <v>72</v>
      </c>
      <c r="N4471" s="243">
        <v>100</v>
      </c>
      <c r="O4471" s="253">
        <v>104</v>
      </c>
    </row>
    <row r="4472" spans="1:15">
      <c r="A4472" s="242" t="s">
        <v>72</v>
      </c>
      <c r="B4472" s="43" t="s">
        <v>4</v>
      </c>
      <c r="C4472" s="15">
        <v>53</v>
      </c>
      <c r="D4472" s="244">
        <v>6</v>
      </c>
      <c r="E4472" s="244">
        <v>1</v>
      </c>
      <c r="F4472" s="244">
        <v>3</v>
      </c>
      <c r="G4472" s="244">
        <v>1</v>
      </c>
      <c r="H4472" s="244">
        <v>5</v>
      </c>
      <c r="I4472" s="244">
        <v>3</v>
      </c>
      <c r="J4472" s="244">
        <v>5</v>
      </c>
      <c r="K4472" s="244">
        <v>7</v>
      </c>
      <c r="L4472" s="244">
        <v>7</v>
      </c>
      <c r="M4472" s="244">
        <v>3</v>
      </c>
      <c r="N4472" s="244">
        <v>3</v>
      </c>
      <c r="O4472" s="254">
        <v>9</v>
      </c>
    </row>
    <row r="4473" spans="1:15">
      <c r="A4473" s="240" t="s">
        <v>72</v>
      </c>
      <c r="B4473" s="47" t="s">
        <v>5</v>
      </c>
      <c r="C4473" s="12">
        <v>0.0682989690721649</v>
      </c>
      <c r="D4473" s="241">
        <v>0.075</v>
      </c>
      <c r="E4473" s="241">
        <v>0.032258064516129</v>
      </c>
      <c r="F4473" s="241">
        <v>0.1</v>
      </c>
      <c r="G4473" s="241">
        <v>0.0384615384615385</v>
      </c>
      <c r="H4473" s="241">
        <v>0.0757575757575758</v>
      </c>
      <c r="I4473" s="241">
        <v>0.0476190476190476</v>
      </c>
      <c r="J4473" s="241">
        <v>0.0666666666666667</v>
      </c>
      <c r="K4473" s="241">
        <v>0.0985915492957746</v>
      </c>
      <c r="L4473" s="241">
        <v>0.120689655172414</v>
      </c>
      <c r="M4473" s="241">
        <v>0.0416666666666667</v>
      </c>
      <c r="N4473" s="241">
        <v>0.03</v>
      </c>
      <c r="O4473" s="252">
        <v>0.0865384615384615</v>
      </c>
    </row>
    <row r="4474" spans="1:15">
      <c r="A4474" s="242" t="s">
        <v>72</v>
      </c>
      <c r="B4474" s="43" t="s">
        <v>6</v>
      </c>
      <c r="C4474" s="15">
        <v>7</v>
      </c>
      <c r="D4474" s="244">
        <v>1</v>
      </c>
      <c r="E4474" s="244">
        <v>0</v>
      </c>
      <c r="F4474" s="244">
        <v>0</v>
      </c>
      <c r="G4474" s="244">
        <v>0</v>
      </c>
      <c r="H4474" s="244">
        <v>3</v>
      </c>
      <c r="I4474" s="244">
        <v>1</v>
      </c>
      <c r="J4474" s="244">
        <v>1</v>
      </c>
      <c r="K4474" s="244">
        <v>1</v>
      </c>
      <c r="L4474" s="244">
        <v>0</v>
      </c>
      <c r="M4474" s="244">
        <v>0</v>
      </c>
      <c r="N4474" s="244">
        <v>0</v>
      </c>
      <c r="O4474" s="254">
        <v>0</v>
      </c>
    </row>
    <row r="4475" ht="14.25" spans="1:15">
      <c r="A4475" s="245" t="s">
        <v>72</v>
      </c>
      <c r="B4475" s="52" t="s">
        <v>64</v>
      </c>
      <c r="C4475" s="19">
        <v>0.132075471698113</v>
      </c>
      <c r="D4475" s="19">
        <v>0.166666666666667</v>
      </c>
      <c r="E4475" s="19">
        <v>0</v>
      </c>
      <c r="F4475" s="19">
        <v>0</v>
      </c>
      <c r="G4475" s="19">
        <v>0</v>
      </c>
      <c r="H4475" s="19">
        <v>0.6</v>
      </c>
      <c r="I4475" s="19">
        <v>0.333333333333333</v>
      </c>
      <c r="J4475" s="19">
        <v>0.2</v>
      </c>
      <c r="K4475" s="19">
        <v>0.142857142857143</v>
      </c>
      <c r="L4475" s="19">
        <v>0</v>
      </c>
      <c r="M4475" s="19">
        <v>0</v>
      </c>
      <c r="N4475" s="19">
        <v>0</v>
      </c>
      <c r="O4475" s="19">
        <v>0</v>
      </c>
    </row>
    <row r="4476" ht="14.25" spans="1:15">
      <c r="A4476" s="237">
        <v>45088</v>
      </c>
      <c r="B4476" s="237"/>
      <c r="C4476" s="237"/>
      <c r="D4476" s="237"/>
      <c r="E4476" s="237"/>
      <c r="F4476" s="237"/>
      <c r="G4476" s="237"/>
      <c r="H4476" s="237"/>
      <c r="I4476" s="237"/>
      <c r="J4476" s="237"/>
      <c r="K4476" s="237"/>
      <c r="L4476" s="237"/>
      <c r="M4476" s="237"/>
      <c r="N4476" s="237"/>
      <c r="O4476" s="237"/>
    </row>
    <row r="4477" spans="1:15">
      <c r="A4477" s="56" t="s">
        <v>1</v>
      </c>
      <c r="B4477" s="238"/>
      <c r="C4477" s="8" t="s">
        <v>42</v>
      </c>
      <c r="D4477" s="239" t="s">
        <v>43</v>
      </c>
      <c r="E4477" s="239" t="s">
        <v>44</v>
      </c>
      <c r="F4477" s="239" t="s">
        <v>45</v>
      </c>
      <c r="G4477" s="239" t="s">
        <v>46</v>
      </c>
      <c r="H4477" s="239" t="s">
        <v>47</v>
      </c>
      <c r="I4477" s="239" t="s">
        <v>48</v>
      </c>
      <c r="J4477" s="239" t="s">
        <v>49</v>
      </c>
      <c r="K4477" s="239" t="s">
        <v>50</v>
      </c>
      <c r="L4477" s="239" t="s">
        <v>51</v>
      </c>
      <c r="M4477" s="239" t="s">
        <v>52</v>
      </c>
      <c r="N4477" s="239" t="s">
        <v>53</v>
      </c>
      <c r="O4477" s="251" t="s">
        <v>54</v>
      </c>
    </row>
    <row r="4478" spans="1:15">
      <c r="A4478" s="240" t="s">
        <v>22</v>
      </c>
      <c r="B4478" s="47" t="s">
        <v>55</v>
      </c>
      <c r="C4478" s="12">
        <v>0.404966953735229</v>
      </c>
      <c r="D4478" s="241">
        <v>0.45855614973262</v>
      </c>
      <c r="E4478" s="241">
        <v>0.544857768052516</v>
      </c>
      <c r="F4478" s="241">
        <v>0.423580786026201</v>
      </c>
      <c r="G4478" s="241">
        <v>0.401574803149606</v>
      </c>
      <c r="H4478" s="241">
        <v>0.411078717201166</v>
      </c>
      <c r="I4478" s="241">
        <v>0.344927536231884</v>
      </c>
      <c r="J4478" s="241">
        <v>0.384408602150538</v>
      </c>
      <c r="K4478" s="241">
        <v>0.339092872570194</v>
      </c>
      <c r="L4478" s="241">
        <v>0.378923766816143</v>
      </c>
      <c r="M4478" s="241">
        <v>0.373134328358209</v>
      </c>
      <c r="N4478" s="241">
        <v>0.400932400932401</v>
      </c>
      <c r="O4478" s="252">
        <v>0.356435643564356</v>
      </c>
    </row>
    <row r="4479" spans="1:15">
      <c r="A4479" s="242" t="s">
        <v>22</v>
      </c>
      <c r="B4479" s="43" t="s">
        <v>57</v>
      </c>
      <c r="C4479" s="15">
        <v>4993</v>
      </c>
      <c r="D4479" s="243">
        <v>748</v>
      </c>
      <c r="E4479" s="243">
        <v>457</v>
      </c>
      <c r="F4479" s="243">
        <v>229</v>
      </c>
      <c r="G4479" s="243">
        <v>254</v>
      </c>
      <c r="H4479" s="243">
        <v>343</v>
      </c>
      <c r="I4479" s="243">
        <v>345</v>
      </c>
      <c r="J4479" s="243">
        <v>372</v>
      </c>
      <c r="K4479" s="243">
        <v>463</v>
      </c>
      <c r="L4479" s="243">
        <v>446</v>
      </c>
      <c r="M4479" s="243">
        <v>402</v>
      </c>
      <c r="N4479" s="243">
        <v>429</v>
      </c>
      <c r="O4479" s="253">
        <v>505</v>
      </c>
    </row>
    <row r="4480" spans="1:15">
      <c r="A4480" s="240" t="s">
        <v>22</v>
      </c>
      <c r="B4480" s="47" t="s">
        <v>59</v>
      </c>
      <c r="C4480" s="15">
        <v>2022</v>
      </c>
      <c r="D4480" s="243">
        <v>343</v>
      </c>
      <c r="E4480" s="243">
        <v>249</v>
      </c>
      <c r="F4480" s="243">
        <v>97</v>
      </c>
      <c r="G4480" s="243">
        <v>102</v>
      </c>
      <c r="H4480" s="243">
        <v>141</v>
      </c>
      <c r="I4480" s="243">
        <v>119</v>
      </c>
      <c r="J4480" s="243">
        <v>143</v>
      </c>
      <c r="K4480" s="243">
        <v>157</v>
      </c>
      <c r="L4480" s="243">
        <v>169</v>
      </c>
      <c r="M4480" s="243">
        <v>150</v>
      </c>
      <c r="N4480" s="243">
        <v>172</v>
      </c>
      <c r="O4480" s="253">
        <v>180</v>
      </c>
    </row>
    <row r="4481" spans="1:15">
      <c r="A4481" s="242" t="s">
        <v>22</v>
      </c>
      <c r="B4481" s="43" t="s">
        <v>4</v>
      </c>
      <c r="C4481" s="15">
        <v>192</v>
      </c>
      <c r="D4481" s="244">
        <v>37</v>
      </c>
      <c r="E4481" s="244">
        <v>36</v>
      </c>
      <c r="F4481" s="244">
        <v>17</v>
      </c>
      <c r="G4481" s="244">
        <v>7</v>
      </c>
      <c r="H4481" s="244">
        <v>7</v>
      </c>
      <c r="I4481" s="244">
        <v>12</v>
      </c>
      <c r="J4481" s="244">
        <v>6</v>
      </c>
      <c r="K4481" s="244">
        <v>10</v>
      </c>
      <c r="L4481" s="244">
        <v>12</v>
      </c>
      <c r="M4481" s="244">
        <v>9</v>
      </c>
      <c r="N4481" s="244">
        <v>17</v>
      </c>
      <c r="O4481" s="254">
        <v>22</v>
      </c>
    </row>
    <row r="4482" spans="1:15">
      <c r="A4482" s="240" t="s">
        <v>22</v>
      </c>
      <c r="B4482" s="47" t="s">
        <v>5</v>
      </c>
      <c r="C4482" s="12">
        <v>0.0949554896142433</v>
      </c>
      <c r="D4482" s="241">
        <v>0.107871720116618</v>
      </c>
      <c r="E4482" s="241">
        <v>0.144578313253012</v>
      </c>
      <c r="F4482" s="241">
        <v>0.175257731958763</v>
      </c>
      <c r="G4482" s="241">
        <v>0.0686274509803922</v>
      </c>
      <c r="H4482" s="241">
        <v>0.049645390070922</v>
      </c>
      <c r="I4482" s="241">
        <v>0.100840336134454</v>
      </c>
      <c r="J4482" s="241">
        <v>0.041958041958042</v>
      </c>
      <c r="K4482" s="241">
        <v>0.0636942675159236</v>
      </c>
      <c r="L4482" s="241">
        <v>0.0710059171597633</v>
      </c>
      <c r="M4482" s="241">
        <v>0.06</v>
      </c>
      <c r="N4482" s="241">
        <v>0.0988372093023256</v>
      </c>
      <c r="O4482" s="252">
        <v>0.122222222222222</v>
      </c>
    </row>
    <row r="4483" spans="1:15">
      <c r="A4483" s="242" t="s">
        <v>22</v>
      </c>
      <c r="B4483" s="43" t="s">
        <v>6</v>
      </c>
      <c r="C4483" s="15">
        <v>57</v>
      </c>
      <c r="D4483" s="244">
        <v>12</v>
      </c>
      <c r="E4483" s="244">
        <v>9</v>
      </c>
      <c r="F4483" s="244">
        <v>5</v>
      </c>
      <c r="G4483" s="244">
        <v>3</v>
      </c>
      <c r="H4483" s="244">
        <v>3</v>
      </c>
      <c r="I4483" s="244">
        <v>2</v>
      </c>
      <c r="J4483" s="244">
        <v>4</v>
      </c>
      <c r="K4483" s="244">
        <v>4</v>
      </c>
      <c r="L4483" s="244">
        <v>2</v>
      </c>
      <c r="M4483" s="244">
        <v>1</v>
      </c>
      <c r="N4483" s="244">
        <v>8</v>
      </c>
      <c r="O4483" s="254">
        <v>4</v>
      </c>
    </row>
    <row r="4484" ht="14.25" spans="1:15">
      <c r="A4484" s="245" t="s">
        <v>22</v>
      </c>
      <c r="B4484" s="52" t="s">
        <v>64</v>
      </c>
      <c r="C4484" s="19">
        <v>0.296875</v>
      </c>
      <c r="D4484" s="246">
        <v>0.324324324324324</v>
      </c>
      <c r="E4484" s="246">
        <v>0.25</v>
      </c>
      <c r="F4484" s="246">
        <v>0.294117647058824</v>
      </c>
      <c r="G4484" s="246">
        <v>0.428571428571429</v>
      </c>
      <c r="H4484" s="246">
        <v>0.428571428571429</v>
      </c>
      <c r="I4484" s="246">
        <v>0.166666666666667</v>
      </c>
      <c r="J4484" s="246">
        <v>0.666666666666667</v>
      </c>
      <c r="K4484" s="246">
        <v>0.4</v>
      </c>
      <c r="L4484" s="246">
        <v>0.166666666666667</v>
      </c>
      <c r="M4484" s="246">
        <v>0.111111111111111</v>
      </c>
      <c r="N4484" s="246">
        <v>0.470588235294118</v>
      </c>
      <c r="O4484" s="255">
        <v>0.181818181818182</v>
      </c>
    </row>
    <row r="4485" spans="1:15">
      <c r="A4485" s="247" t="s">
        <v>66</v>
      </c>
      <c r="B4485" s="248" t="s">
        <v>55</v>
      </c>
      <c r="C4485" s="12">
        <v>0.0672268907563025</v>
      </c>
      <c r="D4485" s="249">
        <v>0.0909090909090909</v>
      </c>
      <c r="E4485" s="249">
        <v>0.0552763819095477</v>
      </c>
      <c r="F4485" s="249">
        <v>0.065359477124183</v>
      </c>
      <c r="G4485" s="249">
        <v>0.0291970802919708</v>
      </c>
      <c r="H4485" s="249">
        <v>0.0754716981132075</v>
      </c>
      <c r="I4485" s="249">
        <v>0.0579710144927536</v>
      </c>
      <c r="J4485" s="249">
        <v>0.0671641791044776</v>
      </c>
      <c r="K4485" s="249">
        <v>0.0714285714285714</v>
      </c>
      <c r="L4485" s="249">
        <v>0.0106382978723404</v>
      </c>
      <c r="M4485" s="249">
        <v>0.11</v>
      </c>
      <c r="N4485" s="249">
        <v>0.0495867768595041</v>
      </c>
      <c r="O4485" s="256">
        <v>0.121739130434783</v>
      </c>
    </row>
    <row r="4486" spans="1:15">
      <c r="A4486" s="242" t="s">
        <v>66</v>
      </c>
      <c r="B4486" s="43" t="s">
        <v>57</v>
      </c>
      <c r="C4486" s="15">
        <v>1666</v>
      </c>
      <c r="D4486" s="243">
        <v>176</v>
      </c>
      <c r="E4486" s="243">
        <v>199</v>
      </c>
      <c r="F4486" s="243">
        <v>153</v>
      </c>
      <c r="G4486" s="243">
        <v>137</v>
      </c>
      <c r="H4486" s="243">
        <v>159</v>
      </c>
      <c r="I4486" s="243">
        <v>138</v>
      </c>
      <c r="J4486" s="243">
        <v>134</v>
      </c>
      <c r="K4486" s="243">
        <v>140</v>
      </c>
      <c r="L4486" s="243">
        <v>94</v>
      </c>
      <c r="M4486" s="243">
        <v>100</v>
      </c>
      <c r="N4486" s="243">
        <v>121</v>
      </c>
      <c r="O4486" s="253">
        <v>115</v>
      </c>
    </row>
    <row r="4487" spans="1:15">
      <c r="A4487" s="240" t="s">
        <v>66</v>
      </c>
      <c r="B4487" s="47" t="s">
        <v>59</v>
      </c>
      <c r="C4487" s="15">
        <v>112</v>
      </c>
      <c r="D4487" s="243">
        <v>16</v>
      </c>
      <c r="E4487" s="243">
        <v>11</v>
      </c>
      <c r="F4487" s="243">
        <v>10</v>
      </c>
      <c r="G4487" s="243">
        <v>4</v>
      </c>
      <c r="H4487" s="243">
        <v>12</v>
      </c>
      <c r="I4487" s="243">
        <v>8</v>
      </c>
      <c r="J4487" s="243">
        <v>9</v>
      </c>
      <c r="K4487" s="243">
        <v>10</v>
      </c>
      <c r="L4487" s="243">
        <v>1</v>
      </c>
      <c r="M4487" s="243">
        <v>11</v>
      </c>
      <c r="N4487" s="243">
        <v>6</v>
      </c>
      <c r="O4487" s="253">
        <v>14</v>
      </c>
    </row>
    <row r="4488" spans="1:15">
      <c r="A4488" s="242" t="s">
        <v>66</v>
      </c>
      <c r="B4488" s="43" t="s">
        <v>4</v>
      </c>
      <c r="C4488" s="15">
        <v>6</v>
      </c>
      <c r="D4488" s="244">
        <v>0</v>
      </c>
      <c r="E4488" s="244">
        <v>2</v>
      </c>
      <c r="F4488" s="244">
        <v>3</v>
      </c>
      <c r="G4488" s="244">
        <v>0</v>
      </c>
      <c r="H4488" s="244">
        <v>0</v>
      </c>
      <c r="I4488" s="244">
        <v>1</v>
      </c>
      <c r="J4488" s="244">
        <v>0</v>
      </c>
      <c r="K4488" s="244">
        <v>0</v>
      </c>
      <c r="L4488" s="244">
        <v>0</v>
      </c>
      <c r="M4488" s="244">
        <v>0</v>
      </c>
      <c r="N4488" s="244">
        <v>0</v>
      </c>
      <c r="O4488" s="254">
        <v>0</v>
      </c>
    </row>
    <row r="4489" spans="1:15">
      <c r="A4489" s="240" t="s">
        <v>66</v>
      </c>
      <c r="B4489" s="47" t="s">
        <v>5</v>
      </c>
      <c r="C4489" s="12">
        <v>0.0535714285714286</v>
      </c>
      <c r="D4489" s="241">
        <v>0</v>
      </c>
      <c r="E4489" s="241">
        <v>0.181818181818182</v>
      </c>
      <c r="F4489" s="241">
        <v>0.3</v>
      </c>
      <c r="G4489" s="241">
        <v>0</v>
      </c>
      <c r="H4489" s="241">
        <v>0</v>
      </c>
      <c r="I4489" s="241">
        <v>0.125</v>
      </c>
      <c r="J4489" s="241">
        <v>0</v>
      </c>
      <c r="K4489" s="241">
        <v>0</v>
      </c>
      <c r="L4489" s="241">
        <v>0</v>
      </c>
      <c r="M4489" s="241">
        <v>0</v>
      </c>
      <c r="N4489" s="241">
        <v>0</v>
      </c>
      <c r="O4489" s="252">
        <v>0</v>
      </c>
    </row>
    <row r="4490" spans="1:15">
      <c r="A4490" s="242" t="s">
        <v>66</v>
      </c>
      <c r="B4490" s="43" t="s">
        <v>6</v>
      </c>
      <c r="C4490" s="15">
        <v>3</v>
      </c>
      <c r="D4490" s="244">
        <v>0</v>
      </c>
      <c r="E4490" s="244">
        <v>0</v>
      </c>
      <c r="F4490" s="244">
        <v>0</v>
      </c>
      <c r="G4490" s="244">
        <v>0</v>
      </c>
      <c r="H4490" s="244">
        <v>0</v>
      </c>
      <c r="I4490" s="244">
        <v>2</v>
      </c>
      <c r="J4490" s="244">
        <v>0</v>
      </c>
      <c r="K4490" s="244">
        <v>1</v>
      </c>
      <c r="L4490" s="244">
        <v>0</v>
      </c>
      <c r="M4490" s="244">
        <v>0</v>
      </c>
      <c r="N4490" s="244">
        <v>0</v>
      </c>
      <c r="O4490" s="254">
        <v>0</v>
      </c>
    </row>
    <row r="4491" ht="14.25" spans="1:15">
      <c r="A4491" s="245" t="s">
        <v>66</v>
      </c>
      <c r="B4491" s="52" t="s">
        <v>64</v>
      </c>
      <c r="C4491" s="19">
        <v>0.5</v>
      </c>
      <c r="D4491" s="246">
        <v>0</v>
      </c>
      <c r="E4491" s="246">
        <v>0</v>
      </c>
      <c r="F4491" s="246">
        <v>0</v>
      </c>
      <c r="G4491" s="246">
        <v>0</v>
      </c>
      <c r="H4491" s="246">
        <v>0</v>
      </c>
      <c r="I4491" s="246">
        <v>2</v>
      </c>
      <c r="J4491" s="246">
        <v>0</v>
      </c>
      <c r="K4491" s="246">
        <v>0</v>
      </c>
      <c r="L4491" s="246">
        <v>0</v>
      </c>
      <c r="M4491" s="246">
        <v>0</v>
      </c>
      <c r="N4491" s="246">
        <v>0</v>
      </c>
      <c r="O4491" s="255">
        <v>0</v>
      </c>
    </row>
    <row r="4492" spans="1:15">
      <c r="A4492" s="240" t="s">
        <v>67</v>
      </c>
      <c r="B4492" s="47" t="s">
        <v>55</v>
      </c>
      <c r="C4492" s="12">
        <v>0.552423900789177</v>
      </c>
      <c r="D4492" s="241">
        <v>0.567307692307692</v>
      </c>
      <c r="E4492" s="241">
        <v>0.575342465753425</v>
      </c>
      <c r="F4492" s="241">
        <v>0.574468085106383</v>
      </c>
      <c r="G4492" s="241">
        <v>0.605263157894737</v>
      </c>
      <c r="H4492" s="241">
        <v>0.54</v>
      </c>
      <c r="I4492" s="241">
        <v>0.596774193548387</v>
      </c>
      <c r="J4492" s="241">
        <v>0.65625</v>
      </c>
      <c r="K4492" s="241">
        <v>0.6</v>
      </c>
      <c r="L4492" s="241">
        <v>0.461538461538462</v>
      </c>
      <c r="M4492" s="241">
        <v>0.489130434782609</v>
      </c>
      <c r="N4492" s="241">
        <v>0.536585365853659</v>
      </c>
      <c r="O4492" s="252">
        <v>0.50561797752809</v>
      </c>
    </row>
    <row r="4493" spans="1:15">
      <c r="A4493" s="242" t="s">
        <v>67</v>
      </c>
      <c r="B4493" s="43" t="s">
        <v>57</v>
      </c>
      <c r="C4493" s="15">
        <v>887</v>
      </c>
      <c r="D4493" s="243">
        <v>104</v>
      </c>
      <c r="E4493" s="243">
        <v>73</v>
      </c>
      <c r="F4493" s="243">
        <v>47</v>
      </c>
      <c r="G4493" s="243">
        <v>38</v>
      </c>
      <c r="H4493" s="243">
        <v>50</v>
      </c>
      <c r="I4493" s="243">
        <v>62</v>
      </c>
      <c r="J4493" s="243">
        <v>64</v>
      </c>
      <c r="K4493" s="243">
        <v>95</v>
      </c>
      <c r="L4493" s="243">
        <v>91</v>
      </c>
      <c r="M4493" s="243">
        <v>92</v>
      </c>
      <c r="N4493" s="243">
        <v>82</v>
      </c>
      <c r="O4493" s="253">
        <v>89</v>
      </c>
    </row>
    <row r="4494" spans="1:15">
      <c r="A4494" s="240" t="s">
        <v>67</v>
      </c>
      <c r="B4494" s="47" t="s">
        <v>59</v>
      </c>
      <c r="C4494" s="15">
        <v>490</v>
      </c>
      <c r="D4494" s="243">
        <v>59</v>
      </c>
      <c r="E4494" s="243">
        <v>42</v>
      </c>
      <c r="F4494" s="243">
        <v>27</v>
      </c>
      <c r="G4494" s="243">
        <v>23</v>
      </c>
      <c r="H4494" s="243">
        <v>27</v>
      </c>
      <c r="I4494" s="243">
        <v>37</v>
      </c>
      <c r="J4494" s="243">
        <v>42</v>
      </c>
      <c r="K4494" s="243">
        <v>57</v>
      </c>
      <c r="L4494" s="243">
        <v>42</v>
      </c>
      <c r="M4494" s="243">
        <v>45</v>
      </c>
      <c r="N4494" s="243">
        <v>44</v>
      </c>
      <c r="O4494" s="253">
        <v>45</v>
      </c>
    </row>
    <row r="4495" spans="1:15">
      <c r="A4495" s="242" t="s">
        <v>67</v>
      </c>
      <c r="B4495" s="43" t="s">
        <v>4</v>
      </c>
      <c r="C4495" s="15">
        <v>13</v>
      </c>
      <c r="D4495" s="244">
        <v>2</v>
      </c>
      <c r="E4495" s="244">
        <v>3</v>
      </c>
      <c r="F4495" s="244">
        <v>1</v>
      </c>
      <c r="G4495" s="244">
        <v>1</v>
      </c>
      <c r="H4495" s="244">
        <v>0</v>
      </c>
      <c r="I4495" s="244">
        <v>0</v>
      </c>
      <c r="J4495" s="244">
        <v>0</v>
      </c>
      <c r="K4495" s="244">
        <v>1</v>
      </c>
      <c r="L4495" s="244">
        <v>1</v>
      </c>
      <c r="M4495" s="244">
        <v>2</v>
      </c>
      <c r="N4495" s="244">
        <v>1</v>
      </c>
      <c r="O4495" s="254">
        <v>1</v>
      </c>
    </row>
    <row r="4496" spans="1:15">
      <c r="A4496" s="240" t="s">
        <v>67</v>
      </c>
      <c r="B4496" s="47" t="s">
        <v>5</v>
      </c>
      <c r="C4496" s="12">
        <v>0.026530612244898</v>
      </c>
      <c r="D4496" s="241">
        <v>0.0338983050847458</v>
      </c>
      <c r="E4496" s="241">
        <v>0.0714285714285714</v>
      </c>
      <c r="F4496" s="241">
        <v>0.037037037037037</v>
      </c>
      <c r="G4496" s="241">
        <v>0.0434782608695652</v>
      </c>
      <c r="H4496" s="241">
        <v>0</v>
      </c>
      <c r="I4496" s="241">
        <v>0</v>
      </c>
      <c r="J4496" s="241">
        <v>0</v>
      </c>
      <c r="K4496" s="241">
        <v>0.0175438596491228</v>
      </c>
      <c r="L4496" s="241">
        <v>0.0238095238095238</v>
      </c>
      <c r="M4496" s="241">
        <v>0.0444444444444444</v>
      </c>
      <c r="N4496" s="241">
        <v>0.0227272727272727</v>
      </c>
      <c r="O4496" s="252">
        <v>0.0222222222222222</v>
      </c>
    </row>
    <row r="4497" spans="1:15">
      <c r="A4497" s="242" t="s">
        <v>67</v>
      </c>
      <c r="B4497" s="43" t="s">
        <v>6</v>
      </c>
      <c r="C4497" s="15">
        <v>10</v>
      </c>
      <c r="D4497" s="244">
        <v>2</v>
      </c>
      <c r="E4497" s="244">
        <v>4</v>
      </c>
      <c r="F4497" s="244">
        <v>0</v>
      </c>
      <c r="G4497" s="244">
        <v>0</v>
      </c>
      <c r="H4497" s="244">
        <v>0</v>
      </c>
      <c r="I4497" s="244">
        <v>0</v>
      </c>
      <c r="J4497" s="244">
        <v>1</v>
      </c>
      <c r="K4497" s="244">
        <v>1</v>
      </c>
      <c r="L4497" s="244">
        <v>0</v>
      </c>
      <c r="M4497" s="244">
        <v>1</v>
      </c>
      <c r="N4497" s="244">
        <v>0</v>
      </c>
      <c r="O4497" s="254">
        <v>1</v>
      </c>
    </row>
    <row r="4498" ht="14.25" spans="1:15">
      <c r="A4498" s="245" t="s">
        <v>67</v>
      </c>
      <c r="B4498" s="52" t="s">
        <v>64</v>
      </c>
      <c r="C4498" s="19">
        <v>0.769230769230769</v>
      </c>
      <c r="D4498" s="246">
        <v>1</v>
      </c>
      <c r="E4498" s="246">
        <v>1.33333333333333</v>
      </c>
      <c r="F4498" s="246">
        <v>0</v>
      </c>
      <c r="G4498" s="246">
        <v>0</v>
      </c>
      <c r="H4498" s="246">
        <v>0</v>
      </c>
      <c r="I4498" s="246">
        <v>0</v>
      </c>
      <c r="J4498" s="246">
        <v>0</v>
      </c>
      <c r="K4498" s="246">
        <v>1</v>
      </c>
      <c r="L4498" s="246">
        <v>0</v>
      </c>
      <c r="M4498" s="246">
        <v>0.5</v>
      </c>
      <c r="N4498" s="246">
        <v>0</v>
      </c>
      <c r="O4498" s="255">
        <v>1</v>
      </c>
    </row>
    <row r="4499" spans="1:15">
      <c r="A4499" s="240" t="s">
        <v>68</v>
      </c>
      <c r="B4499" s="47" t="s">
        <v>55</v>
      </c>
      <c r="C4499" s="12">
        <v>0.193696170056808</v>
      </c>
      <c r="D4499" s="241">
        <v>0.226646248085758</v>
      </c>
      <c r="E4499" s="241">
        <v>0.270509977827051</v>
      </c>
      <c r="F4499" s="241">
        <v>0.275</v>
      </c>
      <c r="G4499" s="241">
        <v>0.205405405405405</v>
      </c>
      <c r="H4499" s="241">
        <v>0.150246305418719</v>
      </c>
      <c r="I4499" s="241">
        <v>0.173306772908367</v>
      </c>
      <c r="J4499" s="241">
        <v>0.151574803149606</v>
      </c>
      <c r="K4499" s="241">
        <v>0.204198473282443</v>
      </c>
      <c r="L4499" s="241">
        <v>0.158301158301158</v>
      </c>
      <c r="M4499" s="241">
        <v>0.184466019417476</v>
      </c>
      <c r="N4499" s="241">
        <v>0.174442190669371</v>
      </c>
      <c r="O4499" s="252">
        <v>0.189380530973451</v>
      </c>
    </row>
    <row r="4500" spans="1:15">
      <c r="A4500" s="242" t="s">
        <v>68</v>
      </c>
      <c r="B4500" s="43" t="s">
        <v>57</v>
      </c>
      <c r="C4500" s="15">
        <v>5457</v>
      </c>
      <c r="D4500" s="243">
        <v>653</v>
      </c>
      <c r="E4500" s="243">
        <v>451</v>
      </c>
      <c r="F4500" s="243">
        <v>240</v>
      </c>
      <c r="G4500" s="243">
        <v>185</v>
      </c>
      <c r="H4500" s="243">
        <v>406</v>
      </c>
      <c r="I4500" s="243">
        <v>502</v>
      </c>
      <c r="J4500" s="243">
        <v>508</v>
      </c>
      <c r="K4500" s="243">
        <v>524</v>
      </c>
      <c r="L4500" s="243">
        <v>518</v>
      </c>
      <c r="M4500" s="243">
        <v>412</v>
      </c>
      <c r="N4500" s="243">
        <v>493</v>
      </c>
      <c r="O4500" s="253">
        <v>565</v>
      </c>
    </row>
    <row r="4501" spans="1:15">
      <c r="A4501" s="240" t="s">
        <v>68</v>
      </c>
      <c r="B4501" s="47" t="s">
        <v>59</v>
      </c>
      <c r="C4501" s="15">
        <v>1057</v>
      </c>
      <c r="D4501" s="243">
        <v>148</v>
      </c>
      <c r="E4501" s="243">
        <v>122</v>
      </c>
      <c r="F4501" s="243">
        <v>66</v>
      </c>
      <c r="G4501" s="243">
        <v>38</v>
      </c>
      <c r="H4501" s="243">
        <v>61</v>
      </c>
      <c r="I4501" s="243">
        <v>87</v>
      </c>
      <c r="J4501" s="243">
        <v>77</v>
      </c>
      <c r="K4501" s="243">
        <v>107</v>
      </c>
      <c r="L4501" s="243">
        <v>82</v>
      </c>
      <c r="M4501" s="243">
        <v>76</v>
      </c>
      <c r="N4501" s="243">
        <v>86</v>
      </c>
      <c r="O4501" s="253">
        <v>107</v>
      </c>
    </row>
    <row r="4502" spans="1:15">
      <c r="A4502" s="242" t="s">
        <v>68</v>
      </c>
      <c r="B4502" s="43" t="s">
        <v>4</v>
      </c>
      <c r="C4502" s="15">
        <v>106</v>
      </c>
      <c r="D4502" s="244">
        <v>23</v>
      </c>
      <c r="E4502" s="244">
        <v>20</v>
      </c>
      <c r="F4502" s="244">
        <v>4</v>
      </c>
      <c r="G4502" s="244">
        <v>5</v>
      </c>
      <c r="H4502" s="244">
        <v>7</v>
      </c>
      <c r="I4502" s="244">
        <v>6</v>
      </c>
      <c r="J4502" s="244">
        <v>4</v>
      </c>
      <c r="K4502" s="244">
        <v>11</v>
      </c>
      <c r="L4502" s="244">
        <v>5</v>
      </c>
      <c r="M4502" s="244">
        <v>3</v>
      </c>
      <c r="N4502" s="244">
        <v>7</v>
      </c>
      <c r="O4502" s="254">
        <v>11</v>
      </c>
    </row>
    <row r="4503" spans="1:15">
      <c r="A4503" s="240" t="s">
        <v>68</v>
      </c>
      <c r="B4503" s="47" t="s">
        <v>5</v>
      </c>
      <c r="C4503" s="12">
        <v>0.100283822138127</v>
      </c>
      <c r="D4503" s="241">
        <v>0.155405405405405</v>
      </c>
      <c r="E4503" s="241">
        <v>0.163934426229508</v>
      </c>
      <c r="F4503" s="241">
        <v>0.0606060606060606</v>
      </c>
      <c r="G4503" s="241">
        <v>0.131578947368421</v>
      </c>
      <c r="H4503" s="241">
        <v>0.114754098360656</v>
      </c>
      <c r="I4503" s="241">
        <v>0.0689655172413793</v>
      </c>
      <c r="J4503" s="241">
        <v>0.051948051948052</v>
      </c>
      <c r="K4503" s="241">
        <v>0.102803738317757</v>
      </c>
      <c r="L4503" s="241">
        <v>0.0609756097560976</v>
      </c>
      <c r="M4503" s="241">
        <v>0.0394736842105263</v>
      </c>
      <c r="N4503" s="241">
        <v>0.0813953488372093</v>
      </c>
      <c r="O4503" s="252">
        <v>0.102803738317757</v>
      </c>
    </row>
    <row r="4504" spans="1:15">
      <c r="A4504" s="242" t="s">
        <v>68</v>
      </c>
      <c r="B4504" s="43" t="s">
        <v>6</v>
      </c>
      <c r="C4504" s="15">
        <v>42</v>
      </c>
      <c r="D4504" s="244">
        <v>13</v>
      </c>
      <c r="E4504" s="244">
        <v>4</v>
      </c>
      <c r="F4504" s="244">
        <v>3</v>
      </c>
      <c r="G4504" s="244">
        <v>0</v>
      </c>
      <c r="H4504" s="244">
        <v>4</v>
      </c>
      <c r="I4504" s="244">
        <v>3</v>
      </c>
      <c r="J4504" s="244">
        <v>1</v>
      </c>
      <c r="K4504" s="244">
        <v>4</v>
      </c>
      <c r="L4504" s="244">
        <v>0</v>
      </c>
      <c r="M4504" s="244">
        <v>3</v>
      </c>
      <c r="N4504" s="244">
        <v>3</v>
      </c>
      <c r="O4504" s="254">
        <v>4</v>
      </c>
    </row>
    <row r="4505" ht="14.25" spans="1:15">
      <c r="A4505" s="245" t="s">
        <v>68</v>
      </c>
      <c r="B4505" s="52" t="s">
        <v>64</v>
      </c>
      <c r="C4505" s="19">
        <v>0.39622641509434</v>
      </c>
      <c r="D4505" s="246">
        <v>0.565217391304348</v>
      </c>
      <c r="E4505" s="246">
        <v>0.2</v>
      </c>
      <c r="F4505" s="246">
        <v>0.75</v>
      </c>
      <c r="G4505" s="246">
        <v>0</v>
      </c>
      <c r="H4505" s="246">
        <v>0.571428571428571</v>
      </c>
      <c r="I4505" s="246">
        <v>0.5</v>
      </c>
      <c r="J4505" s="246">
        <v>0.25</v>
      </c>
      <c r="K4505" s="246">
        <v>0.363636363636364</v>
      </c>
      <c r="L4505" s="246">
        <v>0</v>
      </c>
      <c r="M4505" s="246">
        <v>1</v>
      </c>
      <c r="N4505" s="246">
        <v>0.428571428571429</v>
      </c>
      <c r="O4505" s="255">
        <v>0.363636363636364</v>
      </c>
    </row>
    <row r="4506" spans="1:15">
      <c r="A4506" s="240" t="s">
        <v>69</v>
      </c>
      <c r="B4506" s="47" t="s">
        <v>55</v>
      </c>
      <c r="C4506" s="12">
        <v>1.70967741935484</v>
      </c>
      <c r="D4506" s="241">
        <v>2.04545454545455</v>
      </c>
      <c r="E4506" s="241">
        <v>2.17647058823529</v>
      </c>
      <c r="F4506" s="241">
        <v>1.45454545454545</v>
      </c>
      <c r="G4506" s="241">
        <v>1.23076923076923</v>
      </c>
      <c r="H4506" s="241">
        <v>1.27777777777778</v>
      </c>
      <c r="I4506" s="241">
        <v>1.375</v>
      </c>
      <c r="J4506" s="241">
        <v>1.75</v>
      </c>
      <c r="K4506" s="241">
        <v>1.40740740740741</v>
      </c>
      <c r="L4506" s="241">
        <v>2.69230769230769</v>
      </c>
      <c r="M4506" s="241">
        <v>1.45</v>
      </c>
      <c r="N4506" s="241">
        <v>1.64</v>
      </c>
      <c r="O4506" s="252">
        <v>2.26666666666667</v>
      </c>
    </row>
    <row r="4507" spans="1:15">
      <c r="A4507" s="242" t="s">
        <v>69</v>
      </c>
      <c r="B4507" s="43" t="s">
        <v>57</v>
      </c>
      <c r="C4507" s="15">
        <v>217</v>
      </c>
      <c r="D4507" s="243">
        <v>22</v>
      </c>
      <c r="E4507" s="243">
        <v>17</v>
      </c>
      <c r="F4507" s="243">
        <v>11</v>
      </c>
      <c r="G4507" s="243">
        <v>13</v>
      </c>
      <c r="H4507" s="243">
        <v>18</v>
      </c>
      <c r="I4507" s="243">
        <v>16</v>
      </c>
      <c r="J4507" s="243">
        <v>20</v>
      </c>
      <c r="K4507" s="243">
        <v>27</v>
      </c>
      <c r="L4507" s="243">
        <v>13</v>
      </c>
      <c r="M4507" s="243">
        <v>20</v>
      </c>
      <c r="N4507" s="243">
        <v>25</v>
      </c>
      <c r="O4507" s="253">
        <v>15</v>
      </c>
    </row>
    <row r="4508" spans="1:15">
      <c r="A4508" s="240" t="s">
        <v>69</v>
      </c>
      <c r="B4508" s="47" t="s">
        <v>59</v>
      </c>
      <c r="C4508" s="15">
        <v>371</v>
      </c>
      <c r="D4508" s="243">
        <v>45</v>
      </c>
      <c r="E4508" s="243">
        <v>37</v>
      </c>
      <c r="F4508" s="243">
        <v>16</v>
      </c>
      <c r="G4508" s="243">
        <v>16</v>
      </c>
      <c r="H4508" s="243">
        <v>23</v>
      </c>
      <c r="I4508" s="243">
        <v>22</v>
      </c>
      <c r="J4508" s="243">
        <v>35</v>
      </c>
      <c r="K4508" s="243">
        <v>38</v>
      </c>
      <c r="L4508" s="243">
        <v>35</v>
      </c>
      <c r="M4508" s="243">
        <v>29</v>
      </c>
      <c r="N4508" s="243">
        <v>41</v>
      </c>
      <c r="O4508" s="253">
        <v>34</v>
      </c>
    </row>
    <row r="4509" spans="1:15">
      <c r="A4509" s="242" t="s">
        <v>69</v>
      </c>
      <c r="B4509" s="43" t="s">
        <v>4</v>
      </c>
      <c r="C4509" s="15">
        <v>12</v>
      </c>
      <c r="D4509" s="244">
        <v>0</v>
      </c>
      <c r="E4509" s="244">
        <v>1</v>
      </c>
      <c r="F4509" s="244">
        <v>0</v>
      </c>
      <c r="G4509" s="244">
        <v>0</v>
      </c>
      <c r="H4509" s="244">
        <v>0</v>
      </c>
      <c r="I4509" s="244">
        <v>4</v>
      </c>
      <c r="J4509" s="244">
        <v>0</v>
      </c>
      <c r="K4509" s="244">
        <v>3</v>
      </c>
      <c r="L4509" s="244">
        <v>1</v>
      </c>
      <c r="M4509" s="244">
        <v>1</v>
      </c>
      <c r="N4509" s="244">
        <v>0</v>
      </c>
      <c r="O4509" s="254">
        <v>2</v>
      </c>
    </row>
    <row r="4510" spans="1:15">
      <c r="A4510" s="240" t="s">
        <v>69</v>
      </c>
      <c r="B4510" s="47" t="s">
        <v>5</v>
      </c>
      <c r="C4510" s="12">
        <v>0.032345013477089</v>
      </c>
      <c r="D4510" s="241">
        <v>0</v>
      </c>
      <c r="E4510" s="241">
        <v>0.027027027027027</v>
      </c>
      <c r="F4510" s="241">
        <v>0</v>
      </c>
      <c r="G4510" s="241">
        <v>0</v>
      </c>
      <c r="H4510" s="241">
        <v>0</v>
      </c>
      <c r="I4510" s="241">
        <v>0.181818181818182</v>
      </c>
      <c r="J4510" s="241">
        <v>0</v>
      </c>
      <c r="K4510" s="241">
        <v>0.0789473684210526</v>
      </c>
      <c r="L4510" s="241">
        <v>0.0285714285714286</v>
      </c>
      <c r="M4510" s="241">
        <v>0.0344827586206897</v>
      </c>
      <c r="N4510" s="241">
        <v>0</v>
      </c>
      <c r="O4510" s="252">
        <v>0.0588235294117647</v>
      </c>
    </row>
    <row r="4511" spans="1:15">
      <c r="A4511" s="242" t="s">
        <v>69</v>
      </c>
      <c r="B4511" s="43" t="s">
        <v>6</v>
      </c>
      <c r="C4511" s="15">
        <v>6</v>
      </c>
      <c r="D4511" s="244">
        <v>2</v>
      </c>
      <c r="E4511" s="244">
        <v>0</v>
      </c>
      <c r="F4511" s="244">
        <v>0</v>
      </c>
      <c r="G4511" s="244">
        <v>0</v>
      </c>
      <c r="H4511" s="244">
        <v>0</v>
      </c>
      <c r="I4511" s="244">
        <v>1</v>
      </c>
      <c r="J4511" s="244">
        <v>0</v>
      </c>
      <c r="K4511" s="244">
        <v>0</v>
      </c>
      <c r="L4511" s="244">
        <v>1</v>
      </c>
      <c r="M4511" s="244">
        <v>0</v>
      </c>
      <c r="N4511" s="244">
        <v>0</v>
      </c>
      <c r="O4511" s="254">
        <v>2</v>
      </c>
    </row>
    <row r="4512" ht="14.25" spans="1:15">
      <c r="A4512" s="245" t="s">
        <v>69</v>
      </c>
      <c r="B4512" s="52" t="s">
        <v>64</v>
      </c>
      <c r="C4512" s="19">
        <v>0.5</v>
      </c>
      <c r="D4512" s="246">
        <v>0</v>
      </c>
      <c r="E4512" s="246">
        <v>0</v>
      </c>
      <c r="F4512" s="246">
        <v>0</v>
      </c>
      <c r="G4512" s="246">
        <v>0</v>
      </c>
      <c r="H4512" s="246">
        <v>0</v>
      </c>
      <c r="I4512" s="246">
        <v>0.25</v>
      </c>
      <c r="J4512" s="246">
        <v>0</v>
      </c>
      <c r="K4512" s="246">
        <v>0</v>
      </c>
      <c r="L4512" s="246">
        <v>1</v>
      </c>
      <c r="M4512" s="246">
        <v>0</v>
      </c>
      <c r="N4512" s="246">
        <v>0</v>
      </c>
      <c r="O4512" s="255">
        <v>1</v>
      </c>
    </row>
    <row r="4513" spans="1:15">
      <c r="A4513" s="240" t="s">
        <v>70</v>
      </c>
      <c r="B4513" s="47" t="s">
        <v>55</v>
      </c>
      <c r="C4513" s="12">
        <v>0.327123050259965</v>
      </c>
      <c r="D4513" s="241">
        <v>0.315602836879433</v>
      </c>
      <c r="E4513" s="241">
        <v>0.313001605136437</v>
      </c>
      <c r="F4513" s="241">
        <v>0.485049833887043</v>
      </c>
      <c r="G4513" s="241">
        <v>0.377483443708609</v>
      </c>
      <c r="H4513" s="241">
        <v>0.370292887029289</v>
      </c>
      <c r="I4513" s="241">
        <v>0.362657091561939</v>
      </c>
      <c r="J4513" s="241">
        <v>0.365079365079365</v>
      </c>
      <c r="K4513" s="241">
        <v>0.344615384615385</v>
      </c>
      <c r="L4513" s="241">
        <v>0.303079416531605</v>
      </c>
      <c r="M4513" s="241">
        <v>0.316455696202532</v>
      </c>
      <c r="N4513" s="241">
        <v>0.268328445747801</v>
      </c>
      <c r="O4513" s="252">
        <v>0.251336898395722</v>
      </c>
    </row>
    <row r="4514" spans="1:15">
      <c r="A4514" s="242" t="s">
        <v>70</v>
      </c>
      <c r="B4514" s="43" t="s">
        <v>57</v>
      </c>
      <c r="C4514" s="15">
        <v>6924</v>
      </c>
      <c r="D4514" s="243">
        <v>846</v>
      </c>
      <c r="E4514" s="243">
        <v>623</v>
      </c>
      <c r="F4514" s="243">
        <v>301</v>
      </c>
      <c r="G4514" s="243">
        <v>302</v>
      </c>
      <c r="H4514" s="243">
        <v>478</v>
      </c>
      <c r="I4514" s="243">
        <v>557</v>
      </c>
      <c r="J4514" s="243">
        <v>567</v>
      </c>
      <c r="K4514" s="243">
        <v>650</v>
      </c>
      <c r="L4514" s="243">
        <v>617</v>
      </c>
      <c r="M4514" s="243">
        <v>553</v>
      </c>
      <c r="N4514" s="243">
        <v>682</v>
      </c>
      <c r="O4514" s="253">
        <v>748</v>
      </c>
    </row>
    <row r="4515" spans="1:15">
      <c r="A4515" s="240" t="s">
        <v>70</v>
      </c>
      <c r="B4515" s="47" t="s">
        <v>59</v>
      </c>
      <c r="C4515" s="15">
        <v>2265</v>
      </c>
      <c r="D4515" s="243">
        <v>267</v>
      </c>
      <c r="E4515" s="243">
        <v>195</v>
      </c>
      <c r="F4515" s="243">
        <v>146</v>
      </c>
      <c r="G4515" s="243">
        <v>114</v>
      </c>
      <c r="H4515" s="243">
        <v>177</v>
      </c>
      <c r="I4515" s="243">
        <v>202</v>
      </c>
      <c r="J4515" s="243">
        <v>207</v>
      </c>
      <c r="K4515" s="243">
        <v>224</v>
      </c>
      <c r="L4515" s="243">
        <v>187</v>
      </c>
      <c r="M4515" s="243">
        <v>175</v>
      </c>
      <c r="N4515" s="243">
        <v>183</v>
      </c>
      <c r="O4515" s="253">
        <v>188</v>
      </c>
    </row>
    <row r="4516" spans="1:15">
      <c r="A4516" s="242" t="s">
        <v>70</v>
      </c>
      <c r="B4516" s="43" t="s">
        <v>4</v>
      </c>
      <c r="C4516" s="15">
        <v>354</v>
      </c>
      <c r="D4516" s="244">
        <v>86</v>
      </c>
      <c r="E4516" s="244">
        <v>70</v>
      </c>
      <c r="F4516" s="244">
        <v>22</v>
      </c>
      <c r="G4516" s="244">
        <v>8</v>
      </c>
      <c r="H4516" s="244">
        <v>10</v>
      </c>
      <c r="I4516" s="244">
        <v>19</v>
      </c>
      <c r="J4516" s="244">
        <v>13</v>
      </c>
      <c r="K4516" s="244">
        <v>23</v>
      </c>
      <c r="L4516" s="244">
        <v>28</v>
      </c>
      <c r="M4516" s="244">
        <v>22</v>
      </c>
      <c r="N4516" s="244">
        <v>18</v>
      </c>
      <c r="O4516" s="254">
        <v>35</v>
      </c>
    </row>
    <row r="4517" spans="1:15">
      <c r="A4517" s="240" t="s">
        <v>70</v>
      </c>
      <c r="B4517" s="47" t="s">
        <v>5</v>
      </c>
      <c r="C4517" s="12">
        <v>0.156291390728477</v>
      </c>
      <c r="D4517" s="241">
        <v>0.322097378277154</v>
      </c>
      <c r="E4517" s="241">
        <v>0.358974358974359</v>
      </c>
      <c r="F4517" s="241">
        <v>0.150684931506849</v>
      </c>
      <c r="G4517" s="241">
        <v>0.0701754385964912</v>
      </c>
      <c r="H4517" s="241">
        <v>0.0564971751412429</v>
      </c>
      <c r="I4517" s="241">
        <v>0.0940594059405941</v>
      </c>
      <c r="J4517" s="241">
        <v>0.0628019323671498</v>
      </c>
      <c r="K4517" s="241">
        <v>0.102678571428571</v>
      </c>
      <c r="L4517" s="241">
        <v>0.149732620320856</v>
      </c>
      <c r="M4517" s="241">
        <v>0.125714285714286</v>
      </c>
      <c r="N4517" s="241">
        <v>0.0983606557377049</v>
      </c>
      <c r="O4517" s="252">
        <v>0.186170212765957</v>
      </c>
    </row>
    <row r="4518" spans="1:15">
      <c r="A4518" s="242" t="s">
        <v>70</v>
      </c>
      <c r="B4518" s="43" t="s">
        <v>6</v>
      </c>
      <c r="C4518" s="15">
        <v>107</v>
      </c>
      <c r="D4518" s="244">
        <v>25</v>
      </c>
      <c r="E4518" s="244">
        <v>22</v>
      </c>
      <c r="F4518" s="244">
        <v>3</v>
      </c>
      <c r="G4518" s="244">
        <v>6</v>
      </c>
      <c r="H4518" s="244">
        <v>3</v>
      </c>
      <c r="I4518" s="244">
        <v>6</v>
      </c>
      <c r="J4518" s="244">
        <v>7</v>
      </c>
      <c r="K4518" s="244">
        <v>3</v>
      </c>
      <c r="L4518" s="244">
        <v>10</v>
      </c>
      <c r="M4518" s="244">
        <v>6</v>
      </c>
      <c r="N4518" s="244">
        <v>7</v>
      </c>
      <c r="O4518" s="254">
        <v>9</v>
      </c>
    </row>
    <row r="4519" ht="14.25" spans="1:15">
      <c r="A4519" s="245" t="s">
        <v>70</v>
      </c>
      <c r="B4519" s="52" t="s">
        <v>64</v>
      </c>
      <c r="C4519" s="19">
        <v>0.30225988700565</v>
      </c>
      <c r="D4519" s="246">
        <v>0.290697674418605</v>
      </c>
      <c r="E4519" s="246">
        <v>0.314285714285714</v>
      </c>
      <c r="F4519" s="246">
        <v>0.136363636363636</v>
      </c>
      <c r="G4519" s="246">
        <v>0.75</v>
      </c>
      <c r="H4519" s="246">
        <v>0.3</v>
      </c>
      <c r="I4519" s="246">
        <v>0.315789473684211</v>
      </c>
      <c r="J4519" s="246">
        <v>0.538461538461538</v>
      </c>
      <c r="K4519" s="246">
        <v>0.130434782608696</v>
      </c>
      <c r="L4519" s="246">
        <v>0.357142857142857</v>
      </c>
      <c r="M4519" s="246">
        <v>0.272727272727273</v>
      </c>
      <c r="N4519" s="246">
        <v>0.388888888888889</v>
      </c>
      <c r="O4519" s="255">
        <v>0.257142857142857</v>
      </c>
    </row>
    <row r="4520" spans="1:15">
      <c r="A4520" s="240" t="s">
        <v>26</v>
      </c>
      <c r="B4520" s="47" t="s">
        <v>55</v>
      </c>
      <c r="C4520" s="12">
        <v>0.0659340659340659</v>
      </c>
      <c r="D4520" s="241">
        <v>0.0357142857142857</v>
      </c>
      <c r="E4520" s="241">
        <v>0.0263620386643234</v>
      </c>
      <c r="F4520" s="241">
        <v>0.0305810397553517</v>
      </c>
      <c r="G4520" s="241">
        <v>0.0485436893203883</v>
      </c>
      <c r="H4520" s="241">
        <v>0.0728476821192053</v>
      </c>
      <c r="I4520" s="241">
        <v>0.121739130434783</v>
      </c>
      <c r="J4520" s="241">
        <v>0.242424242424242</v>
      </c>
      <c r="K4520" s="241">
        <v>0.245283018867925</v>
      </c>
      <c r="L4520" s="241">
        <v>0.181818181818182</v>
      </c>
      <c r="M4520" s="241">
        <v>0.310344827586207</v>
      </c>
      <c r="N4520" s="241">
        <v>0.275862068965517</v>
      </c>
      <c r="O4520" s="252">
        <v>0.857142857142857</v>
      </c>
    </row>
    <row r="4521" spans="1:15">
      <c r="A4521" s="242" t="s">
        <v>26</v>
      </c>
      <c r="B4521" s="43" t="s">
        <v>57</v>
      </c>
      <c r="C4521" s="15">
        <v>2275</v>
      </c>
      <c r="D4521" s="243">
        <v>672</v>
      </c>
      <c r="E4521" s="243">
        <v>569</v>
      </c>
      <c r="F4521" s="243">
        <v>327</v>
      </c>
      <c r="G4521" s="243">
        <v>206</v>
      </c>
      <c r="H4521" s="243">
        <v>151</v>
      </c>
      <c r="I4521" s="243">
        <v>115</v>
      </c>
      <c r="J4521" s="243">
        <v>66</v>
      </c>
      <c r="K4521" s="243">
        <v>53</v>
      </c>
      <c r="L4521" s="243">
        <v>44</v>
      </c>
      <c r="M4521" s="243">
        <v>29</v>
      </c>
      <c r="N4521" s="243">
        <v>29</v>
      </c>
      <c r="O4521" s="253">
        <v>14</v>
      </c>
    </row>
    <row r="4522" spans="1:15">
      <c r="A4522" s="240" t="s">
        <v>26</v>
      </c>
      <c r="B4522" s="47" t="s">
        <v>59</v>
      </c>
      <c r="C4522" s="15">
        <v>150</v>
      </c>
      <c r="D4522" s="243">
        <v>24</v>
      </c>
      <c r="E4522" s="243">
        <v>15</v>
      </c>
      <c r="F4522" s="243">
        <v>10</v>
      </c>
      <c r="G4522" s="243">
        <v>10</v>
      </c>
      <c r="H4522" s="243">
        <v>11</v>
      </c>
      <c r="I4522" s="243">
        <v>14</v>
      </c>
      <c r="J4522" s="243">
        <v>16</v>
      </c>
      <c r="K4522" s="243">
        <v>13</v>
      </c>
      <c r="L4522" s="243">
        <v>8</v>
      </c>
      <c r="M4522" s="243">
        <v>9</v>
      </c>
      <c r="N4522" s="243">
        <v>8</v>
      </c>
      <c r="O4522" s="253">
        <v>12</v>
      </c>
    </row>
    <row r="4523" spans="1:15">
      <c r="A4523" s="242" t="s">
        <v>26</v>
      </c>
      <c r="B4523" s="43" t="s">
        <v>4</v>
      </c>
      <c r="C4523" s="15">
        <v>0</v>
      </c>
      <c r="D4523" s="244">
        <v>0</v>
      </c>
      <c r="E4523" s="244">
        <v>0</v>
      </c>
      <c r="F4523" s="244">
        <v>0</v>
      </c>
      <c r="G4523" s="244">
        <v>0</v>
      </c>
      <c r="H4523" s="244">
        <v>0</v>
      </c>
      <c r="I4523" s="244">
        <v>0</v>
      </c>
      <c r="J4523" s="244">
        <v>0</v>
      </c>
      <c r="K4523" s="244">
        <v>0</v>
      </c>
      <c r="L4523" s="244">
        <v>0</v>
      </c>
      <c r="M4523" s="244">
        <v>0</v>
      </c>
      <c r="N4523" s="244">
        <v>0</v>
      </c>
      <c r="O4523" s="254">
        <v>0</v>
      </c>
    </row>
    <row r="4524" spans="1:15">
      <c r="A4524" s="240" t="s">
        <v>26</v>
      </c>
      <c r="B4524" s="47" t="s">
        <v>5</v>
      </c>
      <c r="C4524" s="12">
        <v>0</v>
      </c>
      <c r="D4524" s="241">
        <v>0</v>
      </c>
      <c r="E4524" s="241">
        <v>0</v>
      </c>
      <c r="F4524" s="241">
        <v>0</v>
      </c>
      <c r="G4524" s="241">
        <v>0</v>
      </c>
      <c r="H4524" s="241">
        <v>0</v>
      </c>
      <c r="I4524" s="241">
        <v>0</v>
      </c>
      <c r="J4524" s="241">
        <v>0</v>
      </c>
      <c r="K4524" s="241">
        <v>0</v>
      </c>
      <c r="L4524" s="241">
        <v>0</v>
      </c>
      <c r="M4524" s="241">
        <v>0</v>
      </c>
      <c r="N4524" s="241">
        <v>0</v>
      </c>
      <c r="O4524" s="252">
        <v>0</v>
      </c>
    </row>
    <row r="4525" spans="1:15">
      <c r="A4525" s="242" t="s">
        <v>26</v>
      </c>
      <c r="B4525" s="43" t="s">
        <v>6</v>
      </c>
      <c r="C4525" s="15">
        <v>3</v>
      </c>
      <c r="D4525" s="244">
        <v>1</v>
      </c>
      <c r="E4525" s="244">
        <v>0</v>
      </c>
      <c r="F4525" s="244">
        <v>0</v>
      </c>
      <c r="G4525" s="244">
        <v>0</v>
      </c>
      <c r="H4525" s="244">
        <v>0</v>
      </c>
      <c r="I4525" s="244">
        <v>0</v>
      </c>
      <c r="J4525" s="244">
        <v>1</v>
      </c>
      <c r="K4525" s="244">
        <v>0</v>
      </c>
      <c r="L4525" s="244">
        <v>0</v>
      </c>
      <c r="M4525" s="244">
        <v>0</v>
      </c>
      <c r="N4525" s="244">
        <v>1</v>
      </c>
      <c r="O4525" s="254">
        <v>0</v>
      </c>
    </row>
    <row r="4526" ht="14.25" spans="1:15">
      <c r="A4526" s="245" t="s">
        <v>26</v>
      </c>
      <c r="B4526" s="52" t="s">
        <v>64</v>
      </c>
      <c r="C4526" s="19" t="e">
        <v>#DIV/0!</v>
      </c>
      <c r="D4526" s="19" t="e">
        <v>#DIV/0!</v>
      </c>
      <c r="E4526" s="19" t="e">
        <v>#DIV/0!</v>
      </c>
      <c r="F4526" s="19" t="e">
        <v>#DIV/0!</v>
      </c>
      <c r="G4526" s="19" t="e">
        <v>#DIV/0!</v>
      </c>
      <c r="H4526" s="19" t="e">
        <v>#DIV/0!</v>
      </c>
      <c r="I4526" s="19" t="e">
        <v>#DIV/0!</v>
      </c>
      <c r="J4526" s="19" t="e">
        <v>#DIV/0!</v>
      </c>
      <c r="K4526" s="19" t="e">
        <v>#DIV/0!</v>
      </c>
      <c r="L4526" s="19" t="e">
        <v>#DIV/0!</v>
      </c>
      <c r="M4526" s="19" t="e">
        <v>#DIV/0!</v>
      </c>
      <c r="N4526" s="19" t="e">
        <v>#DIV/0!</v>
      </c>
      <c r="O4526" s="19" t="e">
        <v>#DIV/0!</v>
      </c>
    </row>
    <row r="4527" spans="1:15">
      <c r="A4527" s="240" t="s">
        <v>71</v>
      </c>
      <c r="B4527" s="47" t="s">
        <v>55</v>
      </c>
      <c r="C4527" s="12">
        <v>293.5</v>
      </c>
      <c r="D4527" s="241" t="e">
        <v>#DIV/0!</v>
      </c>
      <c r="E4527" s="241" t="e">
        <v>#DIV/0!</v>
      </c>
      <c r="F4527" s="241">
        <v>12</v>
      </c>
      <c r="G4527" s="241" t="e">
        <v>#DIV/0!</v>
      </c>
      <c r="H4527" s="241" t="e">
        <v>#DIV/0!</v>
      </c>
      <c r="I4527" s="241" t="e">
        <v>#DIV/0!</v>
      </c>
      <c r="J4527" s="241" t="e">
        <v>#DIV/0!</v>
      </c>
      <c r="K4527" s="241" t="e">
        <v>#DIV/0!</v>
      </c>
      <c r="L4527" s="241" t="e">
        <v>#DIV/0!</v>
      </c>
      <c r="M4527" s="241" t="e">
        <v>#DIV/0!</v>
      </c>
      <c r="N4527" s="241" t="e">
        <v>#DIV/0!</v>
      </c>
      <c r="O4527" s="252" t="e">
        <v>#DIV/0!</v>
      </c>
    </row>
    <row r="4528" spans="1:15">
      <c r="A4528" s="242" t="s">
        <v>71</v>
      </c>
      <c r="B4528" s="43" t="s">
        <v>57</v>
      </c>
      <c r="C4528" s="15">
        <v>2</v>
      </c>
      <c r="D4528" s="243">
        <v>0</v>
      </c>
      <c r="E4528" s="243">
        <v>0</v>
      </c>
      <c r="F4528" s="243">
        <v>2</v>
      </c>
      <c r="G4528" s="243">
        <v>0</v>
      </c>
      <c r="H4528" s="243">
        <v>0</v>
      </c>
      <c r="I4528" s="243">
        <v>0</v>
      </c>
      <c r="J4528" s="243">
        <v>0</v>
      </c>
      <c r="K4528" s="243">
        <v>0</v>
      </c>
      <c r="L4528" s="243">
        <v>0</v>
      </c>
      <c r="M4528" s="243">
        <v>0</v>
      </c>
      <c r="N4528" s="243">
        <v>0</v>
      </c>
      <c r="O4528" s="253">
        <v>0</v>
      </c>
    </row>
    <row r="4529" spans="1:15">
      <c r="A4529" s="240" t="s">
        <v>71</v>
      </c>
      <c r="B4529" s="47" t="s">
        <v>59</v>
      </c>
      <c r="C4529" s="15">
        <v>587</v>
      </c>
      <c r="D4529" s="243">
        <v>62</v>
      </c>
      <c r="E4529" s="243">
        <v>49</v>
      </c>
      <c r="F4529" s="243">
        <v>24</v>
      </c>
      <c r="G4529" s="243">
        <v>32</v>
      </c>
      <c r="H4529" s="243">
        <v>46</v>
      </c>
      <c r="I4529" s="243">
        <v>53</v>
      </c>
      <c r="J4529" s="243">
        <v>42</v>
      </c>
      <c r="K4529" s="243">
        <v>69</v>
      </c>
      <c r="L4529" s="243">
        <v>50</v>
      </c>
      <c r="M4529" s="243">
        <v>51</v>
      </c>
      <c r="N4529" s="243">
        <v>51</v>
      </c>
      <c r="O4529" s="253">
        <v>58</v>
      </c>
    </row>
    <row r="4530" spans="1:15">
      <c r="A4530" s="242" t="s">
        <v>71</v>
      </c>
      <c r="B4530" s="43" t="s">
        <v>4</v>
      </c>
      <c r="C4530" s="15">
        <v>33</v>
      </c>
      <c r="D4530" s="244">
        <v>6</v>
      </c>
      <c r="E4530" s="244">
        <v>6</v>
      </c>
      <c r="F4530" s="244">
        <v>1</v>
      </c>
      <c r="G4530" s="244">
        <v>1</v>
      </c>
      <c r="H4530" s="244">
        <v>0</v>
      </c>
      <c r="I4530" s="244">
        <v>3</v>
      </c>
      <c r="J4530" s="244">
        <v>1</v>
      </c>
      <c r="K4530" s="244">
        <v>5</v>
      </c>
      <c r="L4530" s="244">
        <v>3</v>
      </c>
      <c r="M4530" s="244">
        <v>1</v>
      </c>
      <c r="N4530" s="244">
        <v>0</v>
      </c>
      <c r="O4530" s="254">
        <v>6</v>
      </c>
    </row>
    <row r="4531" spans="1:15">
      <c r="A4531" s="240" t="s">
        <v>71</v>
      </c>
      <c r="B4531" s="47" t="s">
        <v>5</v>
      </c>
      <c r="C4531" s="241">
        <v>0.0562180579216354</v>
      </c>
      <c r="D4531" s="241">
        <v>0.0967741935483871</v>
      </c>
      <c r="E4531" s="241">
        <v>0.122448979591837</v>
      </c>
      <c r="F4531" s="241">
        <v>0.0416666666666667</v>
      </c>
      <c r="G4531" s="241">
        <v>0.03125</v>
      </c>
      <c r="H4531" s="241">
        <v>0</v>
      </c>
      <c r="I4531" s="241">
        <v>0.0566037735849057</v>
      </c>
      <c r="J4531" s="241">
        <v>0.0238095238095238</v>
      </c>
      <c r="K4531" s="241">
        <v>0.072463768115942</v>
      </c>
      <c r="L4531" s="241">
        <v>0.06</v>
      </c>
      <c r="M4531" s="241">
        <v>0.0196078431372549</v>
      </c>
      <c r="N4531" s="241">
        <v>0</v>
      </c>
      <c r="O4531" s="252">
        <v>0.103448275862069</v>
      </c>
    </row>
    <row r="4532" spans="1:15">
      <c r="A4532" s="242" t="s">
        <v>71</v>
      </c>
      <c r="B4532" s="43" t="s">
        <v>6</v>
      </c>
      <c r="C4532" s="15">
        <v>3</v>
      </c>
      <c r="D4532" s="244">
        <v>1</v>
      </c>
      <c r="E4532" s="244">
        <v>0</v>
      </c>
      <c r="F4532" s="244">
        <v>0</v>
      </c>
      <c r="G4532" s="244">
        <v>1</v>
      </c>
      <c r="H4532" s="244">
        <v>0</v>
      </c>
      <c r="I4532" s="244">
        <v>0</v>
      </c>
      <c r="J4532" s="244">
        <v>0</v>
      </c>
      <c r="K4532" s="244">
        <v>0</v>
      </c>
      <c r="L4532" s="244">
        <v>1</v>
      </c>
      <c r="M4532" s="244">
        <v>0</v>
      </c>
      <c r="N4532" s="244">
        <v>0</v>
      </c>
      <c r="O4532" s="254">
        <v>0</v>
      </c>
    </row>
    <row r="4533" ht="14.25" spans="1:15">
      <c r="A4533" s="245" t="s">
        <v>71</v>
      </c>
      <c r="B4533" s="52" t="s">
        <v>64</v>
      </c>
      <c r="C4533" s="19">
        <v>0.0909090909090909</v>
      </c>
      <c r="D4533" s="19">
        <v>0.166666666666667</v>
      </c>
      <c r="E4533" s="19">
        <v>0</v>
      </c>
      <c r="F4533" s="19">
        <v>0</v>
      </c>
      <c r="G4533" s="19">
        <v>1</v>
      </c>
      <c r="H4533" s="19" t="e">
        <v>#DIV/0!</v>
      </c>
      <c r="I4533" s="19">
        <v>0</v>
      </c>
      <c r="J4533" s="19">
        <v>0</v>
      </c>
      <c r="K4533" s="19">
        <v>0</v>
      </c>
      <c r="L4533" s="19">
        <v>0.333333333333333</v>
      </c>
      <c r="M4533" s="19">
        <v>0</v>
      </c>
      <c r="N4533" s="19" t="e">
        <v>#DIV/0!</v>
      </c>
      <c r="O4533" s="19">
        <v>0</v>
      </c>
    </row>
    <row r="4534" spans="1:15">
      <c r="A4534" s="240" t="s">
        <v>72</v>
      </c>
      <c r="B4534" s="47" t="s">
        <v>55</v>
      </c>
      <c r="C4534" s="12">
        <v>0.14734693877551</v>
      </c>
      <c r="D4534" s="241">
        <v>0.177524429967427</v>
      </c>
      <c r="E4534" s="241">
        <v>0.175496688741722</v>
      </c>
      <c r="F4534" s="241">
        <v>0.184971098265896</v>
      </c>
      <c r="G4534" s="241">
        <v>0.164609053497942</v>
      </c>
      <c r="H4534" s="241">
        <v>0.134868421052632</v>
      </c>
      <c r="I4534" s="241">
        <v>0.131147540983607</v>
      </c>
      <c r="J4534" s="241">
        <v>0.171122994652406</v>
      </c>
      <c r="K4534" s="241">
        <v>0.111776447105788</v>
      </c>
      <c r="L4534" s="241">
        <v>0.128735632183908</v>
      </c>
      <c r="M4534" s="241">
        <v>0.151219512195122</v>
      </c>
      <c r="N4534" s="241">
        <v>0.132110091743119</v>
      </c>
      <c r="O4534" s="252">
        <v>0.141608391608392</v>
      </c>
    </row>
    <row r="4535" spans="1:15">
      <c r="A4535" s="242" t="s">
        <v>72</v>
      </c>
      <c r="B4535" s="43" t="s">
        <v>57</v>
      </c>
      <c r="C4535" s="15">
        <v>4900</v>
      </c>
      <c r="D4535" s="243">
        <v>614</v>
      </c>
      <c r="E4535" s="243">
        <v>302</v>
      </c>
      <c r="F4535" s="243">
        <v>173</v>
      </c>
      <c r="G4535" s="243">
        <v>243</v>
      </c>
      <c r="H4535" s="243">
        <v>304</v>
      </c>
      <c r="I4535" s="243">
        <v>427</v>
      </c>
      <c r="J4535" s="243">
        <v>374</v>
      </c>
      <c r="K4535" s="243">
        <v>501</v>
      </c>
      <c r="L4535" s="243">
        <v>435</v>
      </c>
      <c r="M4535" s="243">
        <v>410</v>
      </c>
      <c r="N4535" s="243">
        <v>545</v>
      </c>
      <c r="O4535" s="253">
        <v>572</v>
      </c>
    </row>
    <row r="4536" spans="1:15">
      <c r="A4536" s="240" t="s">
        <v>72</v>
      </c>
      <c r="B4536" s="47" t="s">
        <v>59</v>
      </c>
      <c r="C4536" s="15">
        <v>722</v>
      </c>
      <c r="D4536" s="243">
        <v>109</v>
      </c>
      <c r="E4536" s="243">
        <v>53</v>
      </c>
      <c r="F4536" s="243">
        <v>32</v>
      </c>
      <c r="G4536" s="243">
        <v>40</v>
      </c>
      <c r="H4536" s="243">
        <v>41</v>
      </c>
      <c r="I4536" s="243">
        <v>56</v>
      </c>
      <c r="J4536" s="243">
        <v>64</v>
      </c>
      <c r="K4536" s="243">
        <v>56</v>
      </c>
      <c r="L4536" s="243">
        <v>56</v>
      </c>
      <c r="M4536" s="243">
        <v>62</v>
      </c>
      <c r="N4536" s="243">
        <v>72</v>
      </c>
      <c r="O4536" s="253">
        <v>81</v>
      </c>
    </row>
    <row r="4537" spans="1:15">
      <c r="A4537" s="242" t="s">
        <v>72</v>
      </c>
      <c r="B4537" s="43" t="s">
        <v>4</v>
      </c>
      <c r="C4537" s="15">
        <v>66</v>
      </c>
      <c r="D4537" s="244">
        <v>16</v>
      </c>
      <c r="E4537" s="244">
        <v>7</v>
      </c>
      <c r="F4537" s="244">
        <v>3</v>
      </c>
      <c r="G4537" s="244">
        <v>1</v>
      </c>
      <c r="H4537" s="244">
        <v>3</v>
      </c>
      <c r="I4537" s="244">
        <v>4</v>
      </c>
      <c r="J4537" s="244">
        <v>4</v>
      </c>
      <c r="K4537" s="244">
        <v>4</v>
      </c>
      <c r="L4537" s="244">
        <v>8</v>
      </c>
      <c r="M4537" s="244">
        <v>6</v>
      </c>
      <c r="N4537" s="244">
        <v>3</v>
      </c>
      <c r="O4537" s="254">
        <v>7</v>
      </c>
    </row>
    <row r="4538" spans="1:15">
      <c r="A4538" s="240" t="s">
        <v>72</v>
      </c>
      <c r="B4538" s="47" t="s">
        <v>5</v>
      </c>
      <c r="C4538" s="12">
        <v>0.0914127423822715</v>
      </c>
      <c r="D4538" s="241">
        <v>0.146788990825688</v>
      </c>
      <c r="E4538" s="241">
        <v>0.132075471698113</v>
      </c>
      <c r="F4538" s="241">
        <v>0.09375</v>
      </c>
      <c r="G4538" s="241">
        <v>0.025</v>
      </c>
      <c r="H4538" s="241">
        <v>0.0731707317073171</v>
      </c>
      <c r="I4538" s="241">
        <v>0.0714285714285714</v>
      </c>
      <c r="J4538" s="241">
        <v>0.0625</v>
      </c>
      <c r="K4538" s="241">
        <v>0.0714285714285714</v>
      </c>
      <c r="L4538" s="241">
        <v>0.142857142857143</v>
      </c>
      <c r="M4538" s="241">
        <v>0.0967741935483871</v>
      </c>
      <c r="N4538" s="241">
        <v>0.0416666666666667</v>
      </c>
      <c r="O4538" s="252">
        <v>0.0864197530864197</v>
      </c>
    </row>
    <row r="4539" spans="1:15">
      <c r="A4539" s="242" t="s">
        <v>72</v>
      </c>
      <c r="B4539" s="43" t="s">
        <v>6</v>
      </c>
      <c r="C4539" s="15">
        <v>14</v>
      </c>
      <c r="D4539" s="244">
        <v>4</v>
      </c>
      <c r="E4539" s="244">
        <v>4</v>
      </c>
      <c r="F4539" s="244">
        <v>1</v>
      </c>
      <c r="G4539" s="244">
        <v>0</v>
      </c>
      <c r="H4539" s="244">
        <v>0</v>
      </c>
      <c r="I4539" s="244">
        <v>1</v>
      </c>
      <c r="J4539" s="244">
        <v>0</v>
      </c>
      <c r="K4539" s="244">
        <v>0</v>
      </c>
      <c r="L4539" s="244">
        <v>1</v>
      </c>
      <c r="M4539" s="244">
        <v>0</v>
      </c>
      <c r="N4539" s="244">
        <v>2</v>
      </c>
      <c r="O4539" s="254">
        <v>1</v>
      </c>
    </row>
    <row r="4540" ht="14.25" spans="1:15">
      <c r="A4540" s="245" t="s">
        <v>72</v>
      </c>
      <c r="B4540" s="52" t="s">
        <v>64</v>
      </c>
      <c r="C4540" s="19">
        <v>0.212121212121212</v>
      </c>
      <c r="D4540" s="19">
        <v>0.25</v>
      </c>
      <c r="E4540" s="19">
        <v>0.571428571428571</v>
      </c>
      <c r="F4540" s="19">
        <v>0.333333333333333</v>
      </c>
      <c r="G4540" s="19">
        <v>0</v>
      </c>
      <c r="H4540" s="19">
        <v>0</v>
      </c>
      <c r="I4540" s="19">
        <v>0.25</v>
      </c>
      <c r="J4540" s="19">
        <v>0</v>
      </c>
      <c r="K4540" s="19">
        <v>0</v>
      </c>
      <c r="L4540" s="19">
        <v>0.125</v>
      </c>
      <c r="M4540" s="19">
        <v>0</v>
      </c>
      <c r="N4540" s="19">
        <v>0.666666666666667</v>
      </c>
      <c r="O4540" s="19">
        <v>0.142857142857143</v>
      </c>
    </row>
    <row r="4541" ht="14.25" spans="1:15">
      <c r="A4541" s="237">
        <v>45089</v>
      </c>
      <c r="B4541" s="237"/>
      <c r="C4541" s="237"/>
      <c r="D4541" s="237"/>
      <c r="E4541" s="237"/>
      <c r="F4541" s="237"/>
      <c r="G4541" s="237"/>
      <c r="H4541" s="237"/>
      <c r="I4541" s="237"/>
      <c r="J4541" s="237"/>
      <c r="K4541" s="237"/>
      <c r="L4541" s="237"/>
      <c r="M4541" s="237"/>
      <c r="N4541" s="237"/>
      <c r="O4541" s="237"/>
    </row>
    <row r="4542" spans="1:15">
      <c r="A4542" s="56" t="s">
        <v>1</v>
      </c>
      <c r="B4542" s="238"/>
      <c r="C4542" s="8" t="s">
        <v>42</v>
      </c>
      <c r="D4542" s="239" t="s">
        <v>43</v>
      </c>
      <c r="E4542" s="239" t="s">
        <v>44</v>
      </c>
      <c r="F4542" s="239" t="s">
        <v>45</v>
      </c>
      <c r="G4542" s="239" t="s">
        <v>46</v>
      </c>
      <c r="H4542" s="239" t="s">
        <v>47</v>
      </c>
      <c r="I4542" s="239" t="s">
        <v>48</v>
      </c>
      <c r="J4542" s="239" t="s">
        <v>49</v>
      </c>
      <c r="K4542" s="239" t="s">
        <v>50</v>
      </c>
      <c r="L4542" s="239" t="s">
        <v>51</v>
      </c>
      <c r="M4542" s="239" t="s">
        <v>52</v>
      </c>
      <c r="N4542" s="239" t="s">
        <v>53</v>
      </c>
      <c r="O4542" s="251" t="s">
        <v>54</v>
      </c>
    </row>
    <row r="4543" spans="1:15">
      <c r="A4543" s="240" t="s">
        <v>22</v>
      </c>
      <c r="B4543" s="47" t="s">
        <v>55</v>
      </c>
      <c r="C4543" s="12">
        <v>0.379644588045234</v>
      </c>
      <c r="D4543" s="241">
        <v>0.414814814814815</v>
      </c>
      <c r="E4543" s="241">
        <v>0.409090909090909</v>
      </c>
      <c r="F4543" s="241">
        <v>0.39766081871345</v>
      </c>
      <c r="G4543" s="241">
        <v>0.572815533980582</v>
      </c>
      <c r="H4543" s="241">
        <v>0.389937106918239</v>
      </c>
      <c r="I4543" s="241">
        <v>0.327077747989276</v>
      </c>
      <c r="J4543" s="241">
        <v>0.380090497737557</v>
      </c>
      <c r="K4543" s="241">
        <v>0.393564356435644</v>
      </c>
      <c r="L4543" s="241">
        <v>0.328125</v>
      </c>
      <c r="M4543" s="241">
        <v>0.37037037037037</v>
      </c>
      <c r="N4543" s="241">
        <v>0.36734693877551</v>
      </c>
      <c r="O4543" s="252">
        <v>0.338345864661654</v>
      </c>
    </row>
    <row r="4544" spans="1:15">
      <c r="A4544" s="242" t="s">
        <v>22</v>
      </c>
      <c r="B4544" s="43" t="s">
        <v>57</v>
      </c>
      <c r="C4544" s="15">
        <v>4333</v>
      </c>
      <c r="D4544" s="243">
        <v>405</v>
      </c>
      <c r="E4544" s="243">
        <v>242</v>
      </c>
      <c r="F4544" s="243">
        <v>171</v>
      </c>
      <c r="G4544" s="243">
        <v>206</v>
      </c>
      <c r="H4544" s="243">
        <v>318</v>
      </c>
      <c r="I4544" s="243">
        <v>373</v>
      </c>
      <c r="J4544" s="243">
        <v>442</v>
      </c>
      <c r="K4544" s="243">
        <v>404</v>
      </c>
      <c r="L4544" s="243">
        <v>448</v>
      </c>
      <c r="M4544" s="243">
        <v>351</v>
      </c>
      <c r="N4544" s="243">
        <v>441</v>
      </c>
      <c r="O4544" s="253">
        <v>532</v>
      </c>
    </row>
    <row r="4545" spans="1:15">
      <c r="A4545" s="240" t="s">
        <v>22</v>
      </c>
      <c r="B4545" s="47" t="s">
        <v>59</v>
      </c>
      <c r="C4545" s="15">
        <v>1645</v>
      </c>
      <c r="D4545" s="243">
        <v>168</v>
      </c>
      <c r="E4545" s="243">
        <v>99</v>
      </c>
      <c r="F4545" s="243">
        <v>68</v>
      </c>
      <c r="G4545" s="243">
        <v>118</v>
      </c>
      <c r="H4545" s="243">
        <v>124</v>
      </c>
      <c r="I4545" s="243">
        <v>122</v>
      </c>
      <c r="J4545" s="243">
        <v>168</v>
      </c>
      <c r="K4545" s="243">
        <v>159</v>
      </c>
      <c r="L4545" s="243">
        <v>147</v>
      </c>
      <c r="M4545" s="243">
        <v>130</v>
      </c>
      <c r="N4545" s="243">
        <v>162</v>
      </c>
      <c r="O4545" s="253">
        <v>180</v>
      </c>
    </row>
    <row r="4546" spans="1:15">
      <c r="A4546" s="242" t="s">
        <v>22</v>
      </c>
      <c r="B4546" s="43" t="s">
        <v>4</v>
      </c>
      <c r="C4546" s="15">
        <v>126</v>
      </c>
      <c r="D4546" s="244">
        <v>14</v>
      </c>
      <c r="E4546" s="244">
        <v>12</v>
      </c>
      <c r="F4546" s="244">
        <v>5</v>
      </c>
      <c r="G4546" s="244">
        <v>5</v>
      </c>
      <c r="H4546" s="244">
        <v>6</v>
      </c>
      <c r="I4546" s="244">
        <v>8</v>
      </c>
      <c r="J4546" s="244">
        <v>12</v>
      </c>
      <c r="K4546" s="244">
        <v>15</v>
      </c>
      <c r="L4546" s="244">
        <v>7</v>
      </c>
      <c r="M4546" s="244">
        <v>12</v>
      </c>
      <c r="N4546" s="244">
        <v>9</v>
      </c>
      <c r="O4546" s="254">
        <v>21</v>
      </c>
    </row>
    <row r="4547" spans="1:15">
      <c r="A4547" s="240" t="s">
        <v>22</v>
      </c>
      <c r="B4547" s="47" t="s">
        <v>5</v>
      </c>
      <c r="C4547" s="12">
        <v>0.0765957446808511</v>
      </c>
      <c r="D4547" s="241">
        <v>0.0833333333333333</v>
      </c>
      <c r="E4547" s="241">
        <v>0.121212121212121</v>
      </c>
      <c r="F4547" s="241">
        <v>0.0735294117647059</v>
      </c>
      <c r="G4547" s="241">
        <v>0.0423728813559322</v>
      </c>
      <c r="H4547" s="241">
        <v>0.0483870967741935</v>
      </c>
      <c r="I4547" s="241">
        <v>0.0655737704918033</v>
      </c>
      <c r="J4547" s="241">
        <v>0.0714285714285714</v>
      </c>
      <c r="K4547" s="241">
        <v>0.0943396226415094</v>
      </c>
      <c r="L4547" s="241">
        <v>0.0476190476190476</v>
      </c>
      <c r="M4547" s="241">
        <v>0.0923076923076923</v>
      </c>
      <c r="N4547" s="241">
        <v>0.0555555555555556</v>
      </c>
      <c r="O4547" s="252">
        <v>0.116666666666667</v>
      </c>
    </row>
    <row r="4548" spans="1:15">
      <c r="A4548" s="242" t="s">
        <v>22</v>
      </c>
      <c r="B4548" s="43" t="s">
        <v>6</v>
      </c>
      <c r="C4548" s="15">
        <v>51</v>
      </c>
      <c r="D4548" s="244">
        <v>2</v>
      </c>
      <c r="E4548" s="244">
        <v>4</v>
      </c>
      <c r="F4548" s="244">
        <v>3</v>
      </c>
      <c r="G4548" s="244">
        <v>1</v>
      </c>
      <c r="H4548" s="244">
        <v>5</v>
      </c>
      <c r="I4548" s="244">
        <v>3</v>
      </c>
      <c r="J4548" s="244">
        <v>6</v>
      </c>
      <c r="K4548" s="244">
        <v>6</v>
      </c>
      <c r="L4548" s="244">
        <v>2</v>
      </c>
      <c r="M4548" s="244">
        <v>5</v>
      </c>
      <c r="N4548" s="244">
        <v>7</v>
      </c>
      <c r="O4548" s="254">
        <v>7</v>
      </c>
    </row>
    <row r="4549" ht="14.25" spans="1:15">
      <c r="A4549" s="245" t="s">
        <v>22</v>
      </c>
      <c r="B4549" s="52" t="s">
        <v>64</v>
      </c>
      <c r="C4549" s="19">
        <v>0.404761904761905</v>
      </c>
      <c r="D4549" s="246">
        <v>0.142857142857143</v>
      </c>
      <c r="E4549" s="246">
        <v>0.333333333333333</v>
      </c>
      <c r="F4549" s="246">
        <v>0.6</v>
      </c>
      <c r="G4549" s="246">
        <v>0.2</v>
      </c>
      <c r="H4549" s="246">
        <v>0.833333333333333</v>
      </c>
      <c r="I4549" s="246">
        <v>0.375</v>
      </c>
      <c r="J4549" s="246">
        <v>0.5</v>
      </c>
      <c r="K4549" s="246">
        <v>0.4</v>
      </c>
      <c r="L4549" s="246">
        <v>0.285714285714286</v>
      </c>
      <c r="M4549" s="246">
        <v>0.416666666666667</v>
      </c>
      <c r="N4549" s="246">
        <v>0.777777777777778</v>
      </c>
      <c r="O4549" s="255">
        <v>0.333333333333333</v>
      </c>
    </row>
    <row r="4550" spans="1:15">
      <c r="A4550" s="247" t="s">
        <v>66</v>
      </c>
      <c r="B4550" s="248" t="s">
        <v>55</v>
      </c>
      <c r="C4550" s="12">
        <v>0.0689655172413793</v>
      </c>
      <c r="D4550" s="249">
        <v>0.0467289719626168</v>
      </c>
      <c r="E4550" s="249">
        <v>0.021505376344086</v>
      </c>
      <c r="F4550" s="249">
        <v>0.0291970802919708</v>
      </c>
      <c r="G4550" s="249">
        <v>0.0641025641025641</v>
      </c>
      <c r="H4550" s="249">
        <v>0.0719424460431655</v>
      </c>
      <c r="I4550" s="249">
        <v>0.130769230769231</v>
      </c>
      <c r="J4550" s="249">
        <v>0.0508474576271186</v>
      </c>
      <c r="K4550" s="249">
        <v>0.0505050505050505</v>
      </c>
      <c r="L4550" s="249">
        <v>0.0909090909090909</v>
      </c>
      <c r="M4550" s="249">
        <v>0.126315789473684</v>
      </c>
      <c r="N4550" s="249">
        <v>0.0849056603773585</v>
      </c>
      <c r="O4550" s="256">
        <v>0.123809523809524</v>
      </c>
    </row>
    <row r="4551" spans="1:15">
      <c r="A4551" s="242" t="s">
        <v>66</v>
      </c>
      <c r="B4551" s="43" t="s">
        <v>57</v>
      </c>
      <c r="C4551" s="15">
        <v>1595</v>
      </c>
      <c r="D4551" s="243">
        <v>214</v>
      </c>
      <c r="E4551" s="243">
        <v>186</v>
      </c>
      <c r="F4551" s="243">
        <v>137</v>
      </c>
      <c r="G4551" s="243">
        <v>156</v>
      </c>
      <c r="H4551" s="243">
        <v>139</v>
      </c>
      <c r="I4551" s="243">
        <v>130</v>
      </c>
      <c r="J4551" s="243">
        <v>118</v>
      </c>
      <c r="K4551" s="243">
        <v>99</v>
      </c>
      <c r="L4551" s="243">
        <v>110</v>
      </c>
      <c r="M4551" s="243">
        <v>95</v>
      </c>
      <c r="N4551" s="243">
        <v>106</v>
      </c>
      <c r="O4551" s="253">
        <v>105</v>
      </c>
    </row>
    <row r="4552" spans="1:15">
      <c r="A4552" s="240" t="s">
        <v>66</v>
      </c>
      <c r="B4552" s="47" t="s">
        <v>59</v>
      </c>
      <c r="C4552" s="15">
        <v>110</v>
      </c>
      <c r="D4552" s="243">
        <v>10</v>
      </c>
      <c r="E4552" s="243">
        <v>4</v>
      </c>
      <c r="F4552" s="243">
        <v>4</v>
      </c>
      <c r="G4552" s="243">
        <v>10</v>
      </c>
      <c r="H4552" s="243">
        <v>10</v>
      </c>
      <c r="I4552" s="243">
        <v>17</v>
      </c>
      <c r="J4552" s="243">
        <v>6</v>
      </c>
      <c r="K4552" s="243">
        <v>5</v>
      </c>
      <c r="L4552" s="243">
        <v>10</v>
      </c>
      <c r="M4552" s="243">
        <v>12</v>
      </c>
      <c r="N4552" s="243">
        <v>9</v>
      </c>
      <c r="O4552" s="253">
        <v>13</v>
      </c>
    </row>
    <row r="4553" spans="1:15">
      <c r="A4553" s="242" t="s">
        <v>66</v>
      </c>
      <c r="B4553" s="43" t="s">
        <v>4</v>
      </c>
      <c r="C4553" s="15">
        <v>9</v>
      </c>
      <c r="D4553" s="244">
        <v>1</v>
      </c>
      <c r="E4553" s="244">
        <v>1</v>
      </c>
      <c r="F4553" s="244">
        <v>0</v>
      </c>
      <c r="G4553" s="244">
        <v>0</v>
      </c>
      <c r="H4553" s="244">
        <v>1</v>
      </c>
      <c r="I4553" s="244">
        <v>3</v>
      </c>
      <c r="J4553" s="244">
        <v>0</v>
      </c>
      <c r="K4553" s="244">
        <v>0</v>
      </c>
      <c r="L4553" s="244">
        <v>1</v>
      </c>
      <c r="M4553" s="244">
        <v>0</v>
      </c>
      <c r="N4553" s="244">
        <v>2</v>
      </c>
      <c r="O4553" s="254">
        <v>0</v>
      </c>
    </row>
    <row r="4554" spans="1:15">
      <c r="A4554" s="240" t="s">
        <v>66</v>
      </c>
      <c r="B4554" s="47" t="s">
        <v>5</v>
      </c>
      <c r="C4554" s="12">
        <v>0.0818181818181818</v>
      </c>
      <c r="D4554" s="241">
        <v>0.1</v>
      </c>
      <c r="E4554" s="241">
        <v>0.25</v>
      </c>
      <c r="F4554" s="241">
        <v>0</v>
      </c>
      <c r="G4554" s="241">
        <v>0</v>
      </c>
      <c r="H4554" s="241">
        <v>0.1</v>
      </c>
      <c r="I4554" s="241">
        <v>0.176470588235294</v>
      </c>
      <c r="J4554" s="241">
        <v>0</v>
      </c>
      <c r="K4554" s="241">
        <v>0</v>
      </c>
      <c r="L4554" s="241">
        <v>0.1</v>
      </c>
      <c r="M4554" s="241">
        <v>0</v>
      </c>
      <c r="N4554" s="241">
        <v>0.222222222222222</v>
      </c>
      <c r="O4554" s="252">
        <v>0</v>
      </c>
    </row>
    <row r="4555" spans="1:15">
      <c r="A4555" s="242" t="s">
        <v>66</v>
      </c>
      <c r="B4555" s="43" t="s">
        <v>6</v>
      </c>
      <c r="C4555" s="15">
        <v>6</v>
      </c>
      <c r="D4555" s="244">
        <v>2</v>
      </c>
      <c r="E4555" s="244">
        <v>1</v>
      </c>
      <c r="F4555" s="244">
        <v>0</v>
      </c>
      <c r="G4555" s="244">
        <v>0</v>
      </c>
      <c r="H4555" s="244">
        <v>0</v>
      </c>
      <c r="I4555" s="244">
        <v>2</v>
      </c>
      <c r="J4555" s="244">
        <v>0</v>
      </c>
      <c r="K4555" s="244">
        <v>0</v>
      </c>
      <c r="L4555" s="244">
        <v>1</v>
      </c>
      <c r="M4555" s="244">
        <v>0</v>
      </c>
      <c r="N4555" s="244">
        <v>0</v>
      </c>
      <c r="O4555" s="254">
        <v>0</v>
      </c>
    </row>
    <row r="4556" ht="14.25" spans="1:15">
      <c r="A4556" s="245" t="s">
        <v>66</v>
      </c>
      <c r="B4556" s="52" t="s">
        <v>64</v>
      </c>
      <c r="C4556" s="19">
        <v>0.666666666666667</v>
      </c>
      <c r="D4556" s="246">
        <v>2</v>
      </c>
      <c r="E4556" s="246">
        <v>1</v>
      </c>
      <c r="F4556" s="246">
        <v>0</v>
      </c>
      <c r="G4556" s="246">
        <v>0</v>
      </c>
      <c r="H4556" s="246">
        <v>0</v>
      </c>
      <c r="I4556" s="246">
        <v>0.666666666666667</v>
      </c>
      <c r="J4556" s="246">
        <v>0</v>
      </c>
      <c r="K4556" s="246">
        <v>0</v>
      </c>
      <c r="L4556" s="246">
        <v>1</v>
      </c>
      <c r="M4556" s="246">
        <v>0</v>
      </c>
      <c r="N4556" s="246">
        <v>0</v>
      </c>
      <c r="O4556" s="255">
        <v>0</v>
      </c>
    </row>
    <row r="4557" spans="1:15">
      <c r="A4557" s="240" t="s">
        <v>67</v>
      </c>
      <c r="B4557" s="47" t="s">
        <v>55</v>
      </c>
      <c r="C4557" s="12">
        <v>0.443838604143948</v>
      </c>
      <c r="D4557" s="241">
        <v>0.473118279569892</v>
      </c>
      <c r="E4557" s="241">
        <v>0.516129032258065</v>
      </c>
      <c r="F4557" s="241">
        <v>0.411764705882353</v>
      </c>
      <c r="G4557" s="241">
        <v>0.806451612903226</v>
      </c>
      <c r="H4557" s="241">
        <v>0.793103448275862</v>
      </c>
      <c r="I4557" s="241">
        <v>0.46551724137931</v>
      </c>
      <c r="J4557" s="241">
        <v>0.606060606060606</v>
      </c>
      <c r="K4557" s="241">
        <v>0.602150537634409</v>
      </c>
      <c r="L4557" s="241">
        <v>0.306930693069307</v>
      </c>
      <c r="M4557" s="241">
        <v>0.242990654205607</v>
      </c>
      <c r="N4557" s="241">
        <v>0.295652173913043</v>
      </c>
      <c r="O4557" s="252">
        <v>0.4296875</v>
      </c>
    </row>
    <row r="4558" spans="1:15">
      <c r="A4558" s="242" t="s">
        <v>67</v>
      </c>
      <c r="B4558" s="43" t="s">
        <v>57</v>
      </c>
      <c r="C4558" s="15">
        <v>917</v>
      </c>
      <c r="D4558" s="243">
        <v>93</v>
      </c>
      <c r="E4558" s="243">
        <v>62</v>
      </c>
      <c r="F4558" s="243">
        <v>34</v>
      </c>
      <c r="G4558" s="243">
        <v>31</v>
      </c>
      <c r="H4558" s="243">
        <v>29</v>
      </c>
      <c r="I4558" s="243">
        <v>58</v>
      </c>
      <c r="J4558" s="243">
        <v>66</v>
      </c>
      <c r="K4558" s="243">
        <v>93</v>
      </c>
      <c r="L4558" s="243">
        <v>101</v>
      </c>
      <c r="M4558" s="243">
        <v>107</v>
      </c>
      <c r="N4558" s="243">
        <v>115</v>
      </c>
      <c r="O4558" s="253">
        <v>128</v>
      </c>
    </row>
    <row r="4559" spans="1:15">
      <c r="A4559" s="240" t="s">
        <v>67</v>
      </c>
      <c r="B4559" s="47" t="s">
        <v>59</v>
      </c>
      <c r="C4559" s="15">
        <v>407</v>
      </c>
      <c r="D4559" s="243">
        <v>44</v>
      </c>
      <c r="E4559" s="243">
        <v>32</v>
      </c>
      <c r="F4559" s="243">
        <v>14</v>
      </c>
      <c r="G4559" s="243">
        <v>25</v>
      </c>
      <c r="H4559" s="243">
        <v>23</v>
      </c>
      <c r="I4559" s="243">
        <v>27</v>
      </c>
      <c r="J4559" s="243">
        <v>40</v>
      </c>
      <c r="K4559" s="243">
        <v>56</v>
      </c>
      <c r="L4559" s="243">
        <v>31</v>
      </c>
      <c r="M4559" s="243">
        <v>26</v>
      </c>
      <c r="N4559" s="243">
        <v>34</v>
      </c>
      <c r="O4559" s="253">
        <v>55</v>
      </c>
    </row>
    <row r="4560" spans="1:15">
      <c r="A4560" s="242" t="s">
        <v>67</v>
      </c>
      <c r="B4560" s="43" t="s">
        <v>4</v>
      </c>
      <c r="C4560" s="15">
        <v>16</v>
      </c>
      <c r="D4560" s="244">
        <v>3</v>
      </c>
      <c r="E4560" s="244">
        <v>1</v>
      </c>
      <c r="F4560" s="244">
        <v>0</v>
      </c>
      <c r="G4560" s="244">
        <v>0</v>
      </c>
      <c r="H4560" s="244">
        <v>2</v>
      </c>
      <c r="I4560" s="244">
        <v>0</v>
      </c>
      <c r="J4560" s="244">
        <v>2</v>
      </c>
      <c r="K4560" s="244">
        <v>3</v>
      </c>
      <c r="L4560" s="244">
        <v>1</v>
      </c>
      <c r="M4560" s="244">
        <v>1</v>
      </c>
      <c r="N4560" s="244">
        <v>1</v>
      </c>
      <c r="O4560" s="254">
        <v>2</v>
      </c>
    </row>
    <row r="4561" spans="1:15">
      <c r="A4561" s="240" t="s">
        <v>67</v>
      </c>
      <c r="B4561" s="47" t="s">
        <v>5</v>
      </c>
      <c r="C4561" s="12">
        <v>0.0393120393120393</v>
      </c>
      <c r="D4561" s="241">
        <v>0.0681818181818182</v>
      </c>
      <c r="E4561" s="241">
        <v>0.03125</v>
      </c>
      <c r="F4561" s="241">
        <v>0</v>
      </c>
      <c r="G4561" s="241">
        <v>0</v>
      </c>
      <c r="H4561" s="241">
        <v>0.0869565217391304</v>
      </c>
      <c r="I4561" s="241">
        <v>0</v>
      </c>
      <c r="J4561" s="241">
        <v>0.05</v>
      </c>
      <c r="K4561" s="241">
        <v>0.0535714285714286</v>
      </c>
      <c r="L4561" s="241">
        <v>0.032258064516129</v>
      </c>
      <c r="M4561" s="241">
        <v>0.0384615384615385</v>
      </c>
      <c r="N4561" s="241">
        <v>0.0294117647058824</v>
      </c>
      <c r="O4561" s="252">
        <v>0.0363636363636364</v>
      </c>
    </row>
    <row r="4562" spans="1:15">
      <c r="A4562" s="242" t="s">
        <v>67</v>
      </c>
      <c r="B4562" s="43" t="s">
        <v>6</v>
      </c>
      <c r="C4562" s="15">
        <v>7</v>
      </c>
      <c r="D4562" s="244">
        <v>2</v>
      </c>
      <c r="E4562" s="244">
        <v>1</v>
      </c>
      <c r="F4562" s="244">
        <v>1</v>
      </c>
      <c r="G4562" s="244">
        <v>0</v>
      </c>
      <c r="H4562" s="244">
        <v>1</v>
      </c>
      <c r="I4562" s="244">
        <v>0</v>
      </c>
      <c r="J4562" s="244">
        <v>1</v>
      </c>
      <c r="K4562" s="244">
        <v>0</v>
      </c>
      <c r="L4562" s="244">
        <v>0</v>
      </c>
      <c r="M4562" s="244">
        <v>0</v>
      </c>
      <c r="N4562" s="244">
        <v>0</v>
      </c>
      <c r="O4562" s="254">
        <v>1</v>
      </c>
    </row>
    <row r="4563" ht="14.25" spans="1:15">
      <c r="A4563" s="245" t="s">
        <v>67</v>
      </c>
      <c r="B4563" s="52" t="s">
        <v>64</v>
      </c>
      <c r="C4563" s="19">
        <v>0.4375</v>
      </c>
      <c r="D4563" s="246">
        <v>0.666666666666667</v>
      </c>
      <c r="E4563" s="246">
        <v>1</v>
      </c>
      <c r="F4563" s="246">
        <v>0</v>
      </c>
      <c r="G4563" s="246">
        <v>0</v>
      </c>
      <c r="H4563" s="246">
        <v>0.5</v>
      </c>
      <c r="I4563" s="246">
        <v>0</v>
      </c>
      <c r="J4563" s="246">
        <v>0.5</v>
      </c>
      <c r="K4563" s="246">
        <v>0</v>
      </c>
      <c r="L4563" s="246">
        <v>0</v>
      </c>
      <c r="M4563" s="246">
        <v>0</v>
      </c>
      <c r="N4563" s="246">
        <v>0</v>
      </c>
      <c r="O4563" s="255">
        <v>0.5</v>
      </c>
    </row>
    <row r="4564" spans="1:15">
      <c r="A4564" s="240" t="s">
        <v>68</v>
      </c>
      <c r="B4564" s="47" t="s">
        <v>55</v>
      </c>
      <c r="C4564" s="12">
        <v>0.232006958034355</v>
      </c>
      <c r="D4564" s="241">
        <v>0.252155172413793</v>
      </c>
      <c r="E4564" s="241">
        <v>0.2</v>
      </c>
      <c r="F4564" s="241">
        <v>0.3375</v>
      </c>
      <c r="G4564" s="241">
        <v>0.323353293413174</v>
      </c>
      <c r="H4564" s="241">
        <v>0.240625</v>
      </c>
      <c r="I4564" s="241">
        <v>0.18961038961039</v>
      </c>
      <c r="J4564" s="241">
        <v>0.220806794055202</v>
      </c>
      <c r="K4564" s="241">
        <v>0.23841059602649</v>
      </c>
      <c r="L4564" s="241">
        <v>0.236607142857143</v>
      </c>
      <c r="M4564" s="241">
        <v>0.228346456692913</v>
      </c>
      <c r="N4564" s="241">
        <v>0.221153846153846</v>
      </c>
      <c r="O4564" s="252">
        <v>0.210084033613445</v>
      </c>
    </row>
    <row r="4565" spans="1:15">
      <c r="A4565" s="242" t="s">
        <v>68</v>
      </c>
      <c r="B4565" s="43" t="s">
        <v>57</v>
      </c>
      <c r="C4565" s="15">
        <v>4599</v>
      </c>
      <c r="D4565" s="243">
        <v>464</v>
      </c>
      <c r="E4565" s="243">
        <v>235</v>
      </c>
      <c r="F4565" s="243">
        <v>160</v>
      </c>
      <c r="G4565" s="243">
        <v>167</v>
      </c>
      <c r="H4565" s="243">
        <v>320</v>
      </c>
      <c r="I4565" s="243">
        <v>385</v>
      </c>
      <c r="J4565" s="243">
        <v>471</v>
      </c>
      <c r="K4565" s="243">
        <v>453</v>
      </c>
      <c r="L4565" s="243">
        <v>448</v>
      </c>
      <c r="M4565" s="243">
        <v>381</v>
      </c>
      <c r="N4565" s="243">
        <v>520</v>
      </c>
      <c r="O4565" s="253">
        <v>595</v>
      </c>
    </row>
    <row r="4566" spans="1:15">
      <c r="A4566" s="240" t="s">
        <v>68</v>
      </c>
      <c r="B4566" s="47" t="s">
        <v>59</v>
      </c>
      <c r="C4566" s="15">
        <v>1067</v>
      </c>
      <c r="D4566" s="243">
        <v>117</v>
      </c>
      <c r="E4566" s="243">
        <v>47</v>
      </c>
      <c r="F4566" s="243">
        <v>54</v>
      </c>
      <c r="G4566" s="243">
        <v>54</v>
      </c>
      <c r="H4566" s="243">
        <v>77</v>
      </c>
      <c r="I4566" s="243">
        <v>73</v>
      </c>
      <c r="J4566" s="243">
        <v>104</v>
      </c>
      <c r="K4566" s="243">
        <v>108</v>
      </c>
      <c r="L4566" s="243">
        <v>106</v>
      </c>
      <c r="M4566" s="243">
        <v>87</v>
      </c>
      <c r="N4566" s="243">
        <v>115</v>
      </c>
      <c r="O4566" s="253">
        <v>125</v>
      </c>
    </row>
    <row r="4567" spans="1:15">
      <c r="A4567" s="242" t="s">
        <v>68</v>
      </c>
      <c r="B4567" s="43" t="s">
        <v>4</v>
      </c>
      <c r="C4567" s="15">
        <v>85</v>
      </c>
      <c r="D4567" s="244">
        <v>8</v>
      </c>
      <c r="E4567" s="244">
        <v>6</v>
      </c>
      <c r="F4567" s="244">
        <v>3</v>
      </c>
      <c r="G4567" s="244">
        <v>4</v>
      </c>
      <c r="H4567" s="244">
        <v>2</v>
      </c>
      <c r="I4567" s="244">
        <v>12</v>
      </c>
      <c r="J4567" s="244">
        <v>7</v>
      </c>
      <c r="K4567" s="244">
        <v>9</v>
      </c>
      <c r="L4567" s="244">
        <v>7</v>
      </c>
      <c r="M4567" s="244">
        <v>9</v>
      </c>
      <c r="N4567" s="244">
        <v>7</v>
      </c>
      <c r="O4567" s="254">
        <v>11</v>
      </c>
    </row>
    <row r="4568" spans="1:15">
      <c r="A4568" s="240" t="s">
        <v>68</v>
      </c>
      <c r="B4568" s="47" t="s">
        <v>5</v>
      </c>
      <c r="C4568" s="12">
        <v>0.0796626054358013</v>
      </c>
      <c r="D4568" s="241">
        <v>0.0683760683760684</v>
      </c>
      <c r="E4568" s="241">
        <v>0.127659574468085</v>
      </c>
      <c r="F4568" s="241">
        <v>0.0555555555555556</v>
      </c>
      <c r="G4568" s="241">
        <v>0.0740740740740741</v>
      </c>
      <c r="H4568" s="241">
        <v>0.025974025974026</v>
      </c>
      <c r="I4568" s="241">
        <v>0.164383561643836</v>
      </c>
      <c r="J4568" s="241">
        <v>0.0673076923076923</v>
      </c>
      <c r="K4568" s="241">
        <v>0.0833333333333333</v>
      </c>
      <c r="L4568" s="241">
        <v>0.0660377358490566</v>
      </c>
      <c r="M4568" s="241">
        <v>0.103448275862069</v>
      </c>
      <c r="N4568" s="241">
        <v>0.0608695652173913</v>
      </c>
      <c r="O4568" s="252">
        <v>0.088</v>
      </c>
    </row>
    <row r="4569" spans="1:15">
      <c r="A4569" s="242" t="s">
        <v>68</v>
      </c>
      <c r="B4569" s="43" t="s">
        <v>6</v>
      </c>
      <c r="C4569" s="15">
        <v>32</v>
      </c>
      <c r="D4569" s="244">
        <v>6</v>
      </c>
      <c r="E4569" s="244">
        <v>1</v>
      </c>
      <c r="F4569" s="244">
        <v>1</v>
      </c>
      <c r="G4569" s="244">
        <v>1</v>
      </c>
      <c r="H4569" s="244">
        <v>0</v>
      </c>
      <c r="I4569" s="244">
        <v>4</v>
      </c>
      <c r="J4569" s="244">
        <v>3</v>
      </c>
      <c r="K4569" s="244">
        <v>2</v>
      </c>
      <c r="L4569" s="244">
        <v>4</v>
      </c>
      <c r="M4569" s="244">
        <v>2</v>
      </c>
      <c r="N4569" s="244">
        <v>5</v>
      </c>
      <c r="O4569" s="254">
        <v>3</v>
      </c>
    </row>
    <row r="4570" ht="14.25" spans="1:15">
      <c r="A4570" s="245" t="s">
        <v>68</v>
      </c>
      <c r="B4570" s="52" t="s">
        <v>64</v>
      </c>
      <c r="C4570" s="19">
        <v>0.376470588235294</v>
      </c>
      <c r="D4570" s="246">
        <v>0.75</v>
      </c>
      <c r="E4570" s="246">
        <v>0.166666666666667</v>
      </c>
      <c r="F4570" s="246">
        <v>0.333333333333333</v>
      </c>
      <c r="G4570" s="246">
        <v>0.25</v>
      </c>
      <c r="H4570" s="246">
        <v>0</v>
      </c>
      <c r="I4570" s="246">
        <v>0.333333333333333</v>
      </c>
      <c r="J4570" s="246">
        <v>0.428571428571429</v>
      </c>
      <c r="K4570" s="246">
        <v>0.222222222222222</v>
      </c>
      <c r="L4570" s="246">
        <v>0.571428571428571</v>
      </c>
      <c r="M4570" s="246">
        <v>0.222222222222222</v>
      </c>
      <c r="N4570" s="246">
        <v>0.714285714285714</v>
      </c>
      <c r="O4570" s="255">
        <v>0.272727272727273</v>
      </c>
    </row>
    <row r="4571" spans="1:15">
      <c r="A4571" s="240" t="s">
        <v>69</v>
      </c>
      <c r="B4571" s="47" t="s">
        <v>55</v>
      </c>
      <c r="C4571" s="12">
        <v>1.47</v>
      </c>
      <c r="D4571" s="241">
        <v>1.33333333333333</v>
      </c>
      <c r="E4571" s="241">
        <v>1.25</v>
      </c>
      <c r="F4571" s="241">
        <v>1.1</v>
      </c>
      <c r="G4571" s="241">
        <v>1.8</v>
      </c>
      <c r="H4571" s="241">
        <v>1.375</v>
      </c>
      <c r="I4571" s="241">
        <v>1.66666666666667</v>
      </c>
      <c r="J4571" s="241">
        <v>2</v>
      </c>
      <c r="K4571" s="241">
        <v>1.7</v>
      </c>
      <c r="L4571" s="241">
        <v>2.13333333333333</v>
      </c>
      <c r="M4571" s="241">
        <v>2.30769230769231</v>
      </c>
      <c r="N4571" s="241">
        <v>1.07407407407407</v>
      </c>
      <c r="O4571" s="252">
        <v>1.08333333333333</v>
      </c>
    </row>
    <row r="4572" spans="1:15">
      <c r="A4572" s="242" t="s">
        <v>69</v>
      </c>
      <c r="B4572" s="43" t="s">
        <v>57</v>
      </c>
      <c r="C4572" s="15">
        <v>200</v>
      </c>
      <c r="D4572" s="243">
        <v>24</v>
      </c>
      <c r="E4572" s="243">
        <v>12</v>
      </c>
      <c r="F4572" s="243">
        <v>10</v>
      </c>
      <c r="G4572" s="243">
        <v>10</v>
      </c>
      <c r="H4572" s="243">
        <v>16</v>
      </c>
      <c r="I4572" s="243">
        <v>15</v>
      </c>
      <c r="J4572" s="243">
        <v>12</v>
      </c>
      <c r="K4572" s="243">
        <v>10</v>
      </c>
      <c r="L4572" s="243">
        <v>15</v>
      </c>
      <c r="M4572" s="243">
        <v>13</v>
      </c>
      <c r="N4572" s="243">
        <v>27</v>
      </c>
      <c r="O4572" s="253">
        <v>36</v>
      </c>
    </row>
    <row r="4573" spans="1:15">
      <c r="A4573" s="240" t="s">
        <v>69</v>
      </c>
      <c r="B4573" s="47" t="s">
        <v>59</v>
      </c>
      <c r="C4573" s="15">
        <v>294</v>
      </c>
      <c r="D4573" s="243">
        <v>32</v>
      </c>
      <c r="E4573" s="243">
        <v>15</v>
      </c>
      <c r="F4573" s="243">
        <v>11</v>
      </c>
      <c r="G4573" s="243">
        <v>18</v>
      </c>
      <c r="H4573" s="243">
        <v>22</v>
      </c>
      <c r="I4573" s="243">
        <v>25</v>
      </c>
      <c r="J4573" s="243">
        <v>24</v>
      </c>
      <c r="K4573" s="243">
        <v>17</v>
      </c>
      <c r="L4573" s="243">
        <v>32</v>
      </c>
      <c r="M4573" s="243">
        <v>30</v>
      </c>
      <c r="N4573" s="243">
        <v>29</v>
      </c>
      <c r="O4573" s="253">
        <v>39</v>
      </c>
    </row>
    <row r="4574" spans="1:15">
      <c r="A4574" s="242" t="s">
        <v>69</v>
      </c>
      <c r="B4574" s="43" t="s">
        <v>4</v>
      </c>
      <c r="C4574" s="15">
        <v>14</v>
      </c>
      <c r="D4574" s="244">
        <v>0</v>
      </c>
      <c r="E4574" s="244">
        <v>0</v>
      </c>
      <c r="F4574" s="244">
        <v>0</v>
      </c>
      <c r="G4574" s="244">
        <v>1</v>
      </c>
      <c r="H4574" s="244">
        <v>4</v>
      </c>
      <c r="I4574" s="244">
        <v>0</v>
      </c>
      <c r="J4574" s="244">
        <v>4</v>
      </c>
      <c r="K4574" s="244">
        <v>1</v>
      </c>
      <c r="L4574" s="244">
        <v>1</v>
      </c>
      <c r="M4574" s="244">
        <v>2</v>
      </c>
      <c r="N4574" s="244">
        <v>1</v>
      </c>
      <c r="O4574" s="254">
        <v>0</v>
      </c>
    </row>
    <row r="4575" spans="1:15">
      <c r="A4575" s="240" t="s">
        <v>69</v>
      </c>
      <c r="B4575" s="47" t="s">
        <v>5</v>
      </c>
      <c r="C4575" s="12">
        <v>0.0476190476190476</v>
      </c>
      <c r="D4575" s="241">
        <v>0</v>
      </c>
      <c r="E4575" s="241">
        <v>0</v>
      </c>
      <c r="F4575" s="241">
        <v>0</v>
      </c>
      <c r="G4575" s="241">
        <v>0.0555555555555556</v>
      </c>
      <c r="H4575" s="241">
        <v>0.181818181818182</v>
      </c>
      <c r="I4575" s="241">
        <v>0</v>
      </c>
      <c r="J4575" s="241">
        <v>0.166666666666667</v>
      </c>
      <c r="K4575" s="241">
        <v>0.0588235294117647</v>
      </c>
      <c r="L4575" s="241">
        <v>0.03125</v>
      </c>
      <c r="M4575" s="241">
        <v>0.0666666666666667</v>
      </c>
      <c r="N4575" s="241">
        <v>0.0344827586206897</v>
      </c>
      <c r="O4575" s="252">
        <v>0</v>
      </c>
    </row>
    <row r="4576" spans="1:15">
      <c r="A4576" s="242" t="s">
        <v>69</v>
      </c>
      <c r="B4576" s="43" t="s">
        <v>6</v>
      </c>
      <c r="C4576" s="15">
        <v>5</v>
      </c>
      <c r="D4576" s="244">
        <v>1</v>
      </c>
      <c r="E4576" s="244">
        <v>0</v>
      </c>
      <c r="F4576" s="244">
        <v>0</v>
      </c>
      <c r="G4576" s="244">
        <v>0</v>
      </c>
      <c r="H4576" s="244">
        <v>0</v>
      </c>
      <c r="I4576" s="244">
        <v>2</v>
      </c>
      <c r="J4576" s="244">
        <v>0</v>
      </c>
      <c r="K4576" s="244">
        <v>0</v>
      </c>
      <c r="L4576" s="244">
        <v>1</v>
      </c>
      <c r="M4576" s="244">
        <v>0</v>
      </c>
      <c r="N4576" s="244">
        <v>1</v>
      </c>
      <c r="O4576" s="254">
        <v>0</v>
      </c>
    </row>
    <row r="4577" ht="14.25" spans="1:15">
      <c r="A4577" s="245" t="s">
        <v>69</v>
      </c>
      <c r="B4577" s="52" t="s">
        <v>64</v>
      </c>
      <c r="C4577" s="19">
        <v>0.357142857142857</v>
      </c>
      <c r="D4577" s="246">
        <v>0</v>
      </c>
      <c r="E4577" s="246">
        <v>0</v>
      </c>
      <c r="F4577" s="246">
        <v>0</v>
      </c>
      <c r="G4577" s="246">
        <v>0</v>
      </c>
      <c r="H4577" s="246">
        <v>0</v>
      </c>
      <c r="I4577" s="246">
        <v>0</v>
      </c>
      <c r="J4577" s="246">
        <v>0</v>
      </c>
      <c r="K4577" s="246">
        <v>0</v>
      </c>
      <c r="L4577" s="246">
        <v>1</v>
      </c>
      <c r="M4577" s="246">
        <v>0</v>
      </c>
      <c r="N4577" s="246">
        <v>1</v>
      </c>
      <c r="O4577" s="255">
        <v>0</v>
      </c>
    </row>
    <row r="4578" spans="1:15">
      <c r="A4578" s="240" t="s">
        <v>70</v>
      </c>
      <c r="B4578" s="47" t="s">
        <v>55</v>
      </c>
      <c r="C4578" s="12">
        <v>0.354604358924013</v>
      </c>
      <c r="D4578" s="241">
        <v>0.324770642201835</v>
      </c>
      <c r="E4578" s="241">
        <v>0.334346504559271</v>
      </c>
      <c r="F4578" s="241">
        <v>0.424528301886792</v>
      </c>
      <c r="G4578" s="241">
        <v>0.483412322274882</v>
      </c>
      <c r="H4578" s="241">
        <v>0.447154471544715</v>
      </c>
      <c r="I4578" s="241">
        <v>0.387706855791962</v>
      </c>
      <c r="J4578" s="241">
        <v>0.336842105263158</v>
      </c>
      <c r="K4578" s="241">
        <v>0.332068311195446</v>
      </c>
      <c r="L4578" s="241">
        <v>0.357142857142857</v>
      </c>
      <c r="M4578" s="241">
        <v>0.331742243436754</v>
      </c>
      <c r="N4578" s="241">
        <v>0.320297951582868</v>
      </c>
      <c r="O4578" s="252">
        <v>0.319298245614035</v>
      </c>
    </row>
    <row r="4579" spans="1:15">
      <c r="A4579" s="242" t="s">
        <v>70</v>
      </c>
      <c r="B4579" s="43" t="s">
        <v>57</v>
      </c>
      <c r="C4579" s="15">
        <v>5093</v>
      </c>
      <c r="D4579" s="243">
        <v>545</v>
      </c>
      <c r="E4579" s="243">
        <v>329</v>
      </c>
      <c r="F4579" s="243">
        <v>212</v>
      </c>
      <c r="G4579" s="243">
        <v>211</v>
      </c>
      <c r="H4579" s="243">
        <v>369</v>
      </c>
      <c r="I4579" s="243">
        <v>423</v>
      </c>
      <c r="J4579" s="243">
        <v>475</v>
      </c>
      <c r="K4579" s="243">
        <v>527</v>
      </c>
      <c r="L4579" s="243">
        <v>476</v>
      </c>
      <c r="M4579" s="243">
        <v>419</v>
      </c>
      <c r="N4579" s="243">
        <v>537</v>
      </c>
      <c r="O4579" s="253">
        <v>570</v>
      </c>
    </row>
    <row r="4580" spans="1:15">
      <c r="A4580" s="240" t="s">
        <v>70</v>
      </c>
      <c r="B4580" s="47" t="s">
        <v>59</v>
      </c>
      <c r="C4580" s="15">
        <v>1806</v>
      </c>
      <c r="D4580" s="243">
        <v>177</v>
      </c>
      <c r="E4580" s="243">
        <v>110</v>
      </c>
      <c r="F4580" s="243">
        <v>90</v>
      </c>
      <c r="G4580" s="243">
        <v>102</v>
      </c>
      <c r="H4580" s="243">
        <v>165</v>
      </c>
      <c r="I4580" s="243">
        <v>164</v>
      </c>
      <c r="J4580" s="243">
        <v>160</v>
      </c>
      <c r="K4580" s="243">
        <v>175</v>
      </c>
      <c r="L4580" s="243">
        <v>170</v>
      </c>
      <c r="M4580" s="243">
        <v>139</v>
      </c>
      <c r="N4580" s="243">
        <v>172</v>
      </c>
      <c r="O4580" s="253">
        <v>182</v>
      </c>
    </row>
    <row r="4581" spans="1:15">
      <c r="A4581" s="242" t="s">
        <v>70</v>
      </c>
      <c r="B4581" s="43" t="s">
        <v>4</v>
      </c>
      <c r="C4581" s="15">
        <v>210</v>
      </c>
      <c r="D4581" s="244">
        <v>27</v>
      </c>
      <c r="E4581" s="244">
        <v>23</v>
      </c>
      <c r="F4581" s="244">
        <v>6</v>
      </c>
      <c r="G4581" s="244">
        <v>10</v>
      </c>
      <c r="H4581" s="244">
        <v>10</v>
      </c>
      <c r="I4581" s="244">
        <v>17</v>
      </c>
      <c r="J4581" s="244">
        <v>16</v>
      </c>
      <c r="K4581" s="244">
        <v>23</v>
      </c>
      <c r="L4581" s="244">
        <v>16</v>
      </c>
      <c r="M4581" s="244">
        <v>15</v>
      </c>
      <c r="N4581" s="244">
        <v>16</v>
      </c>
      <c r="O4581" s="254">
        <v>31</v>
      </c>
    </row>
    <row r="4582" spans="1:15">
      <c r="A4582" s="240" t="s">
        <v>70</v>
      </c>
      <c r="B4582" s="47" t="s">
        <v>5</v>
      </c>
      <c r="C4582" s="12">
        <v>0.116279069767442</v>
      </c>
      <c r="D4582" s="241">
        <v>0.152542372881356</v>
      </c>
      <c r="E4582" s="241">
        <v>0.209090909090909</v>
      </c>
      <c r="F4582" s="241">
        <v>0.0666666666666667</v>
      </c>
      <c r="G4582" s="241">
        <v>0.0980392156862745</v>
      </c>
      <c r="H4582" s="241">
        <v>0.0606060606060606</v>
      </c>
      <c r="I4582" s="241">
        <v>0.103658536585366</v>
      </c>
      <c r="J4582" s="241">
        <v>0.1</v>
      </c>
      <c r="K4582" s="241">
        <v>0.131428571428571</v>
      </c>
      <c r="L4582" s="241">
        <v>0.0941176470588235</v>
      </c>
      <c r="M4582" s="241">
        <v>0.107913669064748</v>
      </c>
      <c r="N4582" s="241">
        <v>0.0930232558139535</v>
      </c>
      <c r="O4582" s="252">
        <v>0.17032967032967</v>
      </c>
    </row>
    <row r="4583" spans="1:15">
      <c r="A4583" s="242" t="s">
        <v>70</v>
      </c>
      <c r="B4583" s="43" t="s">
        <v>6</v>
      </c>
      <c r="C4583" s="15">
        <v>64</v>
      </c>
      <c r="D4583" s="244">
        <v>9</v>
      </c>
      <c r="E4583" s="244">
        <v>6</v>
      </c>
      <c r="F4583" s="244">
        <v>0</v>
      </c>
      <c r="G4583" s="244">
        <v>2</v>
      </c>
      <c r="H4583" s="244">
        <v>2</v>
      </c>
      <c r="I4583" s="244">
        <v>11</v>
      </c>
      <c r="J4583" s="244">
        <v>5</v>
      </c>
      <c r="K4583" s="244">
        <v>7</v>
      </c>
      <c r="L4583" s="244">
        <v>11</v>
      </c>
      <c r="M4583" s="244">
        <v>3</v>
      </c>
      <c r="N4583" s="244">
        <v>3</v>
      </c>
      <c r="O4583" s="254">
        <v>5</v>
      </c>
    </row>
    <row r="4584" ht="14.25" spans="1:15">
      <c r="A4584" s="245" t="s">
        <v>70</v>
      </c>
      <c r="B4584" s="52" t="s">
        <v>64</v>
      </c>
      <c r="C4584" s="19">
        <v>0.304761904761905</v>
      </c>
      <c r="D4584" s="246">
        <v>0.333333333333333</v>
      </c>
      <c r="E4584" s="246">
        <v>0.260869565217391</v>
      </c>
      <c r="F4584" s="246">
        <v>0</v>
      </c>
      <c r="G4584" s="246">
        <v>0.2</v>
      </c>
      <c r="H4584" s="246">
        <v>0.2</v>
      </c>
      <c r="I4584" s="246">
        <v>0.647058823529412</v>
      </c>
      <c r="J4584" s="246">
        <v>0.3125</v>
      </c>
      <c r="K4584" s="246">
        <v>0.304347826086957</v>
      </c>
      <c r="L4584" s="246">
        <v>0.6875</v>
      </c>
      <c r="M4584" s="246">
        <v>0.2</v>
      </c>
      <c r="N4584" s="246">
        <v>0.1875</v>
      </c>
      <c r="O4584" s="255">
        <v>0.161290322580645</v>
      </c>
    </row>
    <row r="4585" spans="1:15">
      <c r="A4585" s="240" t="s">
        <v>26</v>
      </c>
      <c r="B4585" s="47" t="s">
        <v>55</v>
      </c>
      <c r="C4585" s="12">
        <v>0.0599455040871935</v>
      </c>
      <c r="D4585" s="241">
        <v>0.0311986863711002</v>
      </c>
      <c r="E4585" s="241">
        <v>0.0191204588910134</v>
      </c>
      <c r="F4585" s="241">
        <v>0.016260162601626</v>
      </c>
      <c r="G4585" s="241">
        <v>0.0382513661202186</v>
      </c>
      <c r="H4585" s="241">
        <v>0.0719424460431655</v>
      </c>
      <c r="I4585" s="241">
        <v>0.0980392156862745</v>
      </c>
      <c r="J4585" s="241">
        <v>0.178082191780822</v>
      </c>
      <c r="K4585" s="241">
        <v>0.213114754098361</v>
      </c>
      <c r="L4585" s="241">
        <v>0.192307692307692</v>
      </c>
      <c r="M4585" s="241">
        <v>0.485714285714286</v>
      </c>
      <c r="N4585" s="241">
        <v>0.314285714285714</v>
      </c>
      <c r="O4585" s="252">
        <v>0.285714285714286</v>
      </c>
    </row>
    <row r="4586" spans="1:15">
      <c r="A4586" s="242" t="s">
        <v>26</v>
      </c>
      <c r="B4586" s="43" t="s">
        <v>57</v>
      </c>
      <c r="C4586" s="15">
        <v>2202</v>
      </c>
      <c r="D4586" s="243">
        <v>609</v>
      </c>
      <c r="E4586" s="243">
        <v>523</v>
      </c>
      <c r="F4586" s="243">
        <v>369</v>
      </c>
      <c r="G4586" s="243">
        <v>183</v>
      </c>
      <c r="H4586" s="243">
        <v>139</v>
      </c>
      <c r="I4586" s="243">
        <v>102</v>
      </c>
      <c r="J4586" s="243">
        <v>73</v>
      </c>
      <c r="K4586" s="243">
        <v>61</v>
      </c>
      <c r="L4586" s="243">
        <v>52</v>
      </c>
      <c r="M4586" s="243">
        <v>35</v>
      </c>
      <c r="N4586" s="243">
        <v>35</v>
      </c>
      <c r="O4586" s="253">
        <v>21</v>
      </c>
    </row>
    <row r="4587" spans="1:15">
      <c r="A4587" s="240" t="s">
        <v>26</v>
      </c>
      <c r="B4587" s="47" t="s">
        <v>59</v>
      </c>
      <c r="C4587" s="15">
        <v>132</v>
      </c>
      <c r="D4587" s="243">
        <v>19</v>
      </c>
      <c r="E4587" s="243">
        <v>10</v>
      </c>
      <c r="F4587" s="243">
        <v>6</v>
      </c>
      <c r="G4587" s="243">
        <v>7</v>
      </c>
      <c r="H4587" s="243">
        <v>10</v>
      </c>
      <c r="I4587" s="243">
        <v>10</v>
      </c>
      <c r="J4587" s="243">
        <v>13</v>
      </c>
      <c r="K4587" s="243">
        <v>13</v>
      </c>
      <c r="L4587" s="243">
        <v>10</v>
      </c>
      <c r="M4587" s="243">
        <v>17</v>
      </c>
      <c r="N4587" s="243">
        <v>11</v>
      </c>
      <c r="O4587" s="253">
        <v>6</v>
      </c>
    </row>
    <row r="4588" spans="1:15">
      <c r="A4588" s="242" t="s">
        <v>26</v>
      </c>
      <c r="B4588" s="43" t="s">
        <v>4</v>
      </c>
      <c r="C4588" s="15">
        <v>1</v>
      </c>
      <c r="D4588" s="244">
        <v>0</v>
      </c>
      <c r="E4588" s="244">
        <v>0</v>
      </c>
      <c r="F4588" s="244">
        <v>0</v>
      </c>
      <c r="G4588" s="244">
        <v>0</v>
      </c>
      <c r="H4588" s="244">
        <v>0</v>
      </c>
      <c r="I4588" s="244">
        <v>0</v>
      </c>
      <c r="J4588" s="244">
        <v>0</v>
      </c>
      <c r="K4588" s="244">
        <v>0</v>
      </c>
      <c r="L4588" s="244">
        <v>0</v>
      </c>
      <c r="M4588" s="244">
        <v>1</v>
      </c>
      <c r="N4588" s="244">
        <v>0</v>
      </c>
      <c r="O4588" s="254">
        <v>0</v>
      </c>
    </row>
    <row r="4589" spans="1:15">
      <c r="A4589" s="240" t="s">
        <v>26</v>
      </c>
      <c r="B4589" s="47" t="s">
        <v>5</v>
      </c>
      <c r="C4589" s="12">
        <v>0.00757575757575758</v>
      </c>
      <c r="D4589" s="241">
        <v>0</v>
      </c>
      <c r="E4589" s="241">
        <v>0</v>
      </c>
      <c r="F4589" s="241">
        <v>0</v>
      </c>
      <c r="G4589" s="241">
        <v>0</v>
      </c>
      <c r="H4589" s="241">
        <v>0</v>
      </c>
      <c r="I4589" s="241">
        <v>0</v>
      </c>
      <c r="J4589" s="241">
        <v>0</v>
      </c>
      <c r="K4589" s="241">
        <v>0</v>
      </c>
      <c r="L4589" s="241">
        <v>0</v>
      </c>
      <c r="M4589" s="241">
        <v>0.0588235294117647</v>
      </c>
      <c r="N4589" s="241">
        <v>0</v>
      </c>
      <c r="O4589" s="252">
        <v>0</v>
      </c>
    </row>
    <row r="4590" spans="1:15">
      <c r="A4590" s="242" t="s">
        <v>26</v>
      </c>
      <c r="B4590" s="43" t="s">
        <v>6</v>
      </c>
      <c r="C4590" s="15">
        <v>0</v>
      </c>
      <c r="D4590" s="244">
        <v>0</v>
      </c>
      <c r="E4590" s="244">
        <v>0</v>
      </c>
      <c r="F4590" s="244">
        <v>0</v>
      </c>
      <c r="G4590" s="244">
        <v>0</v>
      </c>
      <c r="H4590" s="244">
        <v>0</v>
      </c>
      <c r="I4590" s="244">
        <v>0</v>
      </c>
      <c r="J4590" s="244">
        <v>0</v>
      </c>
      <c r="K4590" s="244">
        <v>0</v>
      </c>
      <c r="L4590" s="244">
        <v>0</v>
      </c>
      <c r="M4590" s="244">
        <v>0</v>
      </c>
      <c r="N4590" s="244">
        <v>0</v>
      </c>
      <c r="O4590" s="254">
        <v>0</v>
      </c>
    </row>
    <row r="4591" ht="14.25" spans="1:15">
      <c r="A4591" s="245" t="s">
        <v>26</v>
      </c>
      <c r="B4591" s="52" t="s">
        <v>64</v>
      </c>
      <c r="C4591" s="19">
        <v>0</v>
      </c>
      <c r="D4591" s="19" t="e">
        <v>#DIV/0!</v>
      </c>
      <c r="E4591" s="19" t="e">
        <v>#DIV/0!</v>
      </c>
      <c r="F4591" s="19" t="e">
        <v>#DIV/0!</v>
      </c>
      <c r="G4591" s="19" t="e">
        <v>#DIV/0!</v>
      </c>
      <c r="H4591" s="19" t="e">
        <v>#DIV/0!</v>
      </c>
      <c r="I4591" s="19" t="e">
        <v>#DIV/0!</v>
      </c>
      <c r="J4591" s="19" t="e">
        <v>#DIV/0!</v>
      </c>
      <c r="K4591" s="19" t="e">
        <v>#DIV/0!</v>
      </c>
      <c r="L4591" s="19" t="e">
        <v>#DIV/0!</v>
      </c>
      <c r="M4591" s="19">
        <v>0</v>
      </c>
      <c r="N4591" s="19" t="e">
        <v>#DIV/0!</v>
      </c>
      <c r="O4591" s="19" t="e">
        <v>#DIV/0!</v>
      </c>
    </row>
    <row r="4592" spans="1:15">
      <c r="A4592" s="240" t="s">
        <v>71</v>
      </c>
      <c r="B4592" s="47" t="s">
        <v>55</v>
      </c>
      <c r="C4592" s="12">
        <v>260.5</v>
      </c>
      <c r="D4592" s="241" t="e">
        <v>#DIV/0!</v>
      </c>
      <c r="E4592" s="241" t="e">
        <v>#DIV/0!</v>
      </c>
      <c r="F4592" s="241">
        <v>18.5</v>
      </c>
      <c r="G4592" s="241" t="e">
        <v>#DIV/0!</v>
      </c>
      <c r="H4592" s="241" t="e">
        <v>#DIV/0!</v>
      </c>
      <c r="I4592" s="241" t="e">
        <v>#DIV/0!</v>
      </c>
      <c r="J4592" s="241" t="e">
        <v>#DIV/0!</v>
      </c>
      <c r="K4592" s="241" t="e">
        <v>#DIV/0!</v>
      </c>
      <c r="L4592" s="241" t="e">
        <v>#DIV/0!</v>
      </c>
      <c r="M4592" s="241" t="e">
        <v>#DIV/0!</v>
      </c>
      <c r="N4592" s="241" t="e">
        <v>#DIV/0!</v>
      </c>
      <c r="O4592" s="252" t="e">
        <v>#DIV/0!</v>
      </c>
    </row>
    <row r="4593" spans="1:15">
      <c r="A4593" s="242" t="s">
        <v>71</v>
      </c>
      <c r="B4593" s="43" t="s">
        <v>57</v>
      </c>
      <c r="C4593" s="15">
        <v>2</v>
      </c>
      <c r="D4593" s="243">
        <v>0</v>
      </c>
      <c r="E4593" s="243">
        <v>0</v>
      </c>
      <c r="F4593" s="243">
        <v>2</v>
      </c>
      <c r="G4593" s="243">
        <v>0</v>
      </c>
      <c r="H4593" s="243">
        <v>0</v>
      </c>
      <c r="I4593" s="243">
        <v>0</v>
      </c>
      <c r="J4593" s="243">
        <v>0</v>
      </c>
      <c r="K4593" s="243">
        <v>0</v>
      </c>
      <c r="L4593" s="243">
        <v>0</v>
      </c>
      <c r="M4593" s="243">
        <v>0</v>
      </c>
      <c r="N4593" s="243">
        <v>0</v>
      </c>
      <c r="O4593" s="253">
        <v>0</v>
      </c>
    </row>
    <row r="4594" spans="1:15">
      <c r="A4594" s="240" t="s">
        <v>71</v>
      </c>
      <c r="B4594" s="47" t="s">
        <v>59</v>
      </c>
      <c r="C4594" s="15">
        <v>521</v>
      </c>
      <c r="D4594" s="243">
        <v>65</v>
      </c>
      <c r="E4594" s="243">
        <v>38</v>
      </c>
      <c r="F4594" s="243">
        <v>37</v>
      </c>
      <c r="G4594" s="243">
        <v>33</v>
      </c>
      <c r="H4594" s="243">
        <v>29</v>
      </c>
      <c r="I4594" s="243">
        <v>44</v>
      </c>
      <c r="J4594" s="243">
        <v>35</v>
      </c>
      <c r="K4594" s="243">
        <v>40</v>
      </c>
      <c r="L4594" s="243">
        <v>53</v>
      </c>
      <c r="M4594" s="243">
        <v>39</v>
      </c>
      <c r="N4594" s="243">
        <v>49</v>
      </c>
      <c r="O4594" s="253">
        <v>59</v>
      </c>
    </row>
    <row r="4595" spans="1:15">
      <c r="A4595" s="242" t="s">
        <v>71</v>
      </c>
      <c r="B4595" s="43" t="s">
        <v>4</v>
      </c>
      <c r="C4595" s="15">
        <v>37</v>
      </c>
      <c r="D4595" s="244">
        <v>4</v>
      </c>
      <c r="E4595" s="244">
        <v>3</v>
      </c>
      <c r="F4595" s="244">
        <v>3</v>
      </c>
      <c r="G4595" s="244">
        <v>2</v>
      </c>
      <c r="H4595" s="244">
        <v>2</v>
      </c>
      <c r="I4595" s="244">
        <v>3</v>
      </c>
      <c r="J4595" s="244">
        <v>3</v>
      </c>
      <c r="K4595" s="244">
        <v>5</v>
      </c>
      <c r="L4595" s="244">
        <v>4</v>
      </c>
      <c r="M4595" s="244">
        <v>3</v>
      </c>
      <c r="N4595" s="244">
        <v>2</v>
      </c>
      <c r="O4595" s="254">
        <v>3</v>
      </c>
    </row>
    <row r="4596" spans="1:15">
      <c r="A4596" s="240" t="s">
        <v>71</v>
      </c>
      <c r="B4596" s="47" t="s">
        <v>5</v>
      </c>
      <c r="C4596" s="241">
        <v>0.0710172744721689</v>
      </c>
      <c r="D4596" s="241">
        <v>0.0615384615384615</v>
      </c>
      <c r="E4596" s="241">
        <v>0.0789473684210526</v>
      </c>
      <c r="F4596" s="241">
        <v>0.0810810810810811</v>
      </c>
      <c r="G4596" s="241">
        <v>0.0606060606060606</v>
      </c>
      <c r="H4596" s="241">
        <v>0.0689655172413793</v>
      </c>
      <c r="I4596" s="241">
        <v>0.0681818181818182</v>
      </c>
      <c r="J4596" s="241">
        <v>0.0857142857142857</v>
      </c>
      <c r="K4596" s="241">
        <v>0.125</v>
      </c>
      <c r="L4596" s="241">
        <v>0.0754716981132075</v>
      </c>
      <c r="M4596" s="241">
        <v>0.0769230769230769</v>
      </c>
      <c r="N4596" s="241">
        <v>0.0408163265306122</v>
      </c>
      <c r="O4596" s="252">
        <v>0.0508474576271186</v>
      </c>
    </row>
    <row r="4597" spans="1:15">
      <c r="A4597" s="242" t="s">
        <v>71</v>
      </c>
      <c r="B4597" s="43" t="s">
        <v>6</v>
      </c>
      <c r="C4597" s="15">
        <v>14</v>
      </c>
      <c r="D4597" s="244">
        <v>0</v>
      </c>
      <c r="E4597" s="244">
        <v>2</v>
      </c>
      <c r="F4597" s="244">
        <v>1</v>
      </c>
      <c r="G4597" s="244">
        <v>0</v>
      </c>
      <c r="H4597" s="244">
        <v>1</v>
      </c>
      <c r="I4597" s="244">
        <v>3</v>
      </c>
      <c r="J4597" s="244">
        <v>1</v>
      </c>
      <c r="K4597" s="244">
        <v>2</v>
      </c>
      <c r="L4597" s="244">
        <v>3</v>
      </c>
      <c r="M4597" s="244">
        <v>0</v>
      </c>
      <c r="N4597" s="244">
        <v>1</v>
      </c>
      <c r="O4597" s="254">
        <v>0</v>
      </c>
    </row>
    <row r="4598" ht="14.25" spans="1:15">
      <c r="A4598" s="245" t="s">
        <v>71</v>
      </c>
      <c r="B4598" s="52" t="s">
        <v>64</v>
      </c>
      <c r="C4598" s="19">
        <v>0.378378378378378</v>
      </c>
      <c r="D4598" s="19">
        <v>0</v>
      </c>
      <c r="E4598" s="19">
        <v>0.666666666666667</v>
      </c>
      <c r="F4598" s="19">
        <v>0.333333333333333</v>
      </c>
      <c r="G4598" s="19">
        <v>0</v>
      </c>
      <c r="H4598" s="19">
        <v>0.5</v>
      </c>
      <c r="I4598" s="19">
        <v>1</v>
      </c>
      <c r="J4598" s="19">
        <v>0.333333333333333</v>
      </c>
      <c r="K4598" s="19">
        <v>0.4</v>
      </c>
      <c r="L4598" s="19">
        <v>0.75</v>
      </c>
      <c r="M4598" s="19">
        <v>0</v>
      </c>
      <c r="N4598" s="19">
        <v>0.5</v>
      </c>
      <c r="O4598" s="19">
        <v>0</v>
      </c>
    </row>
    <row r="4599" spans="1:15">
      <c r="A4599" s="240" t="s">
        <v>72</v>
      </c>
      <c r="B4599" s="47" t="s">
        <v>55</v>
      </c>
      <c r="C4599" s="12">
        <v>0.150494159928122</v>
      </c>
      <c r="D4599" s="241">
        <v>0.179245283018868</v>
      </c>
      <c r="E4599" s="241">
        <v>0.184331797235023</v>
      </c>
      <c r="F4599" s="241">
        <v>0.153374233128834</v>
      </c>
      <c r="G4599" s="241">
        <v>0.181818181818182</v>
      </c>
      <c r="H4599" s="241">
        <v>0.137404580152672</v>
      </c>
      <c r="I4599" s="241">
        <v>0.128834355828221</v>
      </c>
      <c r="J4599" s="241">
        <v>0.134831460674157</v>
      </c>
      <c r="K4599" s="241">
        <v>0.136674259681093</v>
      </c>
      <c r="L4599" s="241">
        <v>0.175355450236967</v>
      </c>
      <c r="M4599" s="241">
        <v>0.151832460732984</v>
      </c>
      <c r="N4599" s="241">
        <v>0.121602288984263</v>
      </c>
      <c r="O4599" s="252">
        <v>0.161184210526316</v>
      </c>
    </row>
    <row r="4600" spans="1:15">
      <c r="A4600" s="242" t="s">
        <v>72</v>
      </c>
      <c r="B4600" s="43" t="s">
        <v>57</v>
      </c>
      <c r="C4600" s="15">
        <v>4452</v>
      </c>
      <c r="D4600" s="243">
        <v>424</v>
      </c>
      <c r="E4600" s="243">
        <v>217</v>
      </c>
      <c r="F4600" s="243">
        <v>163</v>
      </c>
      <c r="G4600" s="243">
        <v>154</v>
      </c>
      <c r="H4600" s="243">
        <v>262</v>
      </c>
      <c r="I4600" s="243">
        <v>326</v>
      </c>
      <c r="J4600" s="243">
        <v>356</v>
      </c>
      <c r="K4600" s="243">
        <v>439</v>
      </c>
      <c r="L4600" s="243">
        <v>422</v>
      </c>
      <c r="M4600" s="243">
        <v>382</v>
      </c>
      <c r="N4600" s="243">
        <v>699</v>
      </c>
      <c r="O4600" s="253">
        <v>608</v>
      </c>
    </row>
    <row r="4601" spans="1:15">
      <c r="A4601" s="240" t="s">
        <v>72</v>
      </c>
      <c r="B4601" s="47" t="s">
        <v>59</v>
      </c>
      <c r="C4601" s="15">
        <v>670</v>
      </c>
      <c r="D4601" s="243">
        <v>76</v>
      </c>
      <c r="E4601" s="243">
        <v>40</v>
      </c>
      <c r="F4601" s="243">
        <v>25</v>
      </c>
      <c r="G4601" s="243">
        <v>28</v>
      </c>
      <c r="H4601" s="243">
        <v>36</v>
      </c>
      <c r="I4601" s="243">
        <v>42</v>
      </c>
      <c r="J4601" s="243">
        <v>48</v>
      </c>
      <c r="K4601" s="243">
        <v>60</v>
      </c>
      <c r="L4601" s="243">
        <v>74</v>
      </c>
      <c r="M4601" s="243">
        <v>58</v>
      </c>
      <c r="N4601" s="243">
        <v>85</v>
      </c>
      <c r="O4601" s="253">
        <v>98</v>
      </c>
    </row>
    <row r="4602" spans="1:15">
      <c r="A4602" s="242" t="s">
        <v>72</v>
      </c>
      <c r="B4602" s="43" t="s">
        <v>4</v>
      </c>
      <c r="C4602" s="15">
        <v>32</v>
      </c>
      <c r="D4602" s="244">
        <v>2</v>
      </c>
      <c r="E4602" s="244">
        <v>3</v>
      </c>
      <c r="F4602" s="244">
        <v>1</v>
      </c>
      <c r="G4602" s="244">
        <v>1</v>
      </c>
      <c r="H4602" s="244">
        <v>3</v>
      </c>
      <c r="I4602" s="244">
        <v>1</v>
      </c>
      <c r="J4602" s="244">
        <v>1</v>
      </c>
      <c r="K4602" s="244">
        <v>3</v>
      </c>
      <c r="L4602" s="244">
        <v>5</v>
      </c>
      <c r="M4602" s="244">
        <v>3</v>
      </c>
      <c r="N4602" s="244">
        <v>5</v>
      </c>
      <c r="O4602" s="254">
        <v>4</v>
      </c>
    </row>
    <row r="4603" spans="1:15">
      <c r="A4603" s="240" t="s">
        <v>72</v>
      </c>
      <c r="B4603" s="47" t="s">
        <v>5</v>
      </c>
      <c r="C4603" s="12">
        <v>0.0477611940298507</v>
      </c>
      <c r="D4603" s="241">
        <v>0.0263157894736842</v>
      </c>
      <c r="E4603" s="241">
        <v>0.075</v>
      </c>
      <c r="F4603" s="241">
        <v>0.04</v>
      </c>
      <c r="G4603" s="241">
        <v>0.0357142857142857</v>
      </c>
      <c r="H4603" s="241">
        <v>0.0833333333333333</v>
      </c>
      <c r="I4603" s="241">
        <v>0.0238095238095238</v>
      </c>
      <c r="J4603" s="241">
        <v>0.0208333333333333</v>
      </c>
      <c r="K4603" s="241">
        <v>0.05</v>
      </c>
      <c r="L4603" s="241">
        <v>0.0675675675675676</v>
      </c>
      <c r="M4603" s="241">
        <v>0.0517241379310345</v>
      </c>
      <c r="N4603" s="241">
        <v>0.0588235294117647</v>
      </c>
      <c r="O4603" s="252">
        <v>0.0408163265306122</v>
      </c>
    </row>
    <row r="4604" spans="1:15">
      <c r="A4604" s="242" t="s">
        <v>72</v>
      </c>
      <c r="B4604" s="43" t="s">
        <v>6</v>
      </c>
      <c r="C4604" s="15">
        <v>8</v>
      </c>
      <c r="D4604" s="244">
        <v>0</v>
      </c>
      <c r="E4604" s="244">
        <v>1</v>
      </c>
      <c r="F4604" s="244">
        <v>1</v>
      </c>
      <c r="G4604" s="244">
        <v>1</v>
      </c>
      <c r="H4604" s="244">
        <v>0</v>
      </c>
      <c r="I4604" s="244">
        <v>1</v>
      </c>
      <c r="J4604" s="244">
        <v>0</v>
      </c>
      <c r="K4604" s="244">
        <v>2</v>
      </c>
      <c r="L4604" s="244">
        <v>0</v>
      </c>
      <c r="M4604" s="244">
        <v>0</v>
      </c>
      <c r="N4604" s="244">
        <v>1</v>
      </c>
      <c r="O4604" s="254">
        <v>1</v>
      </c>
    </row>
    <row r="4605" ht="14.25" spans="1:15">
      <c r="A4605" s="245" t="s">
        <v>72</v>
      </c>
      <c r="B4605" s="52" t="s">
        <v>64</v>
      </c>
      <c r="C4605" s="19">
        <v>0.25</v>
      </c>
      <c r="D4605" s="19">
        <v>0</v>
      </c>
      <c r="E4605" s="19">
        <v>0.333333333333333</v>
      </c>
      <c r="F4605" s="19">
        <v>1</v>
      </c>
      <c r="G4605" s="19">
        <v>1</v>
      </c>
      <c r="H4605" s="19">
        <v>0</v>
      </c>
      <c r="I4605" s="19">
        <v>1</v>
      </c>
      <c r="J4605" s="19">
        <v>0</v>
      </c>
      <c r="K4605" s="19">
        <v>0.666666666666667</v>
      </c>
      <c r="L4605" s="19">
        <v>0</v>
      </c>
      <c r="M4605" s="19">
        <v>0</v>
      </c>
      <c r="N4605" s="19">
        <v>0.2</v>
      </c>
      <c r="O4605" s="19">
        <v>0.25</v>
      </c>
    </row>
    <row r="4606" ht="14.25" spans="1:15">
      <c r="A4606" s="237">
        <v>45090</v>
      </c>
      <c r="B4606" s="237"/>
      <c r="C4606" s="237"/>
      <c r="D4606" s="237"/>
      <c r="E4606" s="237"/>
      <c r="F4606" s="237"/>
      <c r="G4606" s="237"/>
      <c r="H4606" s="237"/>
      <c r="I4606" s="237"/>
      <c r="J4606" s="237"/>
      <c r="K4606" s="237"/>
      <c r="L4606" s="237"/>
      <c r="M4606" s="237"/>
      <c r="N4606" s="237"/>
      <c r="O4606" s="237"/>
    </row>
    <row r="4607" spans="1:15">
      <c r="A4607" s="56" t="s">
        <v>1</v>
      </c>
      <c r="B4607" s="238"/>
      <c r="C4607" s="8" t="s">
        <v>42</v>
      </c>
      <c r="D4607" s="239" t="s">
        <v>43</v>
      </c>
      <c r="E4607" s="239" t="s">
        <v>44</v>
      </c>
      <c r="F4607" s="239" t="s">
        <v>45</v>
      </c>
      <c r="G4607" s="239" t="s">
        <v>46</v>
      </c>
      <c r="H4607" s="239" t="s">
        <v>47</v>
      </c>
      <c r="I4607" s="239" t="s">
        <v>48</v>
      </c>
      <c r="J4607" s="239" t="s">
        <v>49</v>
      </c>
      <c r="K4607" s="239" t="s">
        <v>50</v>
      </c>
      <c r="L4607" s="239" t="s">
        <v>51</v>
      </c>
      <c r="M4607" s="239" t="s">
        <v>52</v>
      </c>
      <c r="N4607" s="239" t="s">
        <v>53</v>
      </c>
      <c r="O4607" s="251" t="s">
        <v>54</v>
      </c>
    </row>
    <row r="4608" spans="1:15">
      <c r="A4608" s="240" t="s">
        <v>22</v>
      </c>
      <c r="B4608" s="47" t="s">
        <v>55</v>
      </c>
      <c r="C4608" s="12">
        <v>0.394173093401885</v>
      </c>
      <c r="D4608" s="241">
        <v>0.37046004842615</v>
      </c>
      <c r="E4608" s="241">
        <v>0.456521739130435</v>
      </c>
      <c r="F4608" s="241">
        <v>0.434108527131783</v>
      </c>
      <c r="G4608" s="241">
        <v>0.486033519553073</v>
      </c>
      <c r="H4608" s="241">
        <v>0.493630573248408</v>
      </c>
      <c r="I4608" s="241">
        <v>0.383870967741935</v>
      </c>
      <c r="J4608" s="241">
        <v>0.379432624113475</v>
      </c>
      <c r="K4608" s="241">
        <v>0.378666666666667</v>
      </c>
      <c r="L4608" s="241">
        <v>0.388888888888889</v>
      </c>
      <c r="M4608" s="241">
        <v>0.412878787878788</v>
      </c>
      <c r="N4608" s="241">
        <v>0.330409356725146</v>
      </c>
      <c r="O4608" s="252">
        <v>0.335064935064935</v>
      </c>
    </row>
    <row r="4609" spans="1:15">
      <c r="A4609" s="242" t="s">
        <v>22</v>
      </c>
      <c r="B4609" s="43" t="s">
        <v>57</v>
      </c>
      <c r="C4609" s="15">
        <v>3501</v>
      </c>
      <c r="D4609" s="243">
        <v>413</v>
      </c>
      <c r="E4609" s="243">
        <v>184</v>
      </c>
      <c r="F4609" s="243">
        <v>129</v>
      </c>
      <c r="G4609" s="243">
        <v>179</v>
      </c>
      <c r="H4609" s="243">
        <v>314</v>
      </c>
      <c r="I4609" s="243">
        <v>310</v>
      </c>
      <c r="J4609" s="243">
        <v>282</v>
      </c>
      <c r="K4609" s="243">
        <v>375</v>
      </c>
      <c r="L4609" s="243">
        <v>324</v>
      </c>
      <c r="M4609" s="243">
        <v>264</v>
      </c>
      <c r="N4609" s="243">
        <v>342</v>
      </c>
      <c r="O4609" s="253">
        <v>385</v>
      </c>
    </row>
    <row r="4610" spans="1:15">
      <c r="A4610" s="240" t="s">
        <v>22</v>
      </c>
      <c r="B4610" s="47" t="s">
        <v>59</v>
      </c>
      <c r="C4610" s="15">
        <v>1380</v>
      </c>
      <c r="D4610" s="243">
        <v>153</v>
      </c>
      <c r="E4610" s="243">
        <v>84</v>
      </c>
      <c r="F4610" s="243">
        <v>56</v>
      </c>
      <c r="G4610" s="243">
        <v>87</v>
      </c>
      <c r="H4610" s="243">
        <v>155</v>
      </c>
      <c r="I4610" s="243">
        <v>119</v>
      </c>
      <c r="J4610" s="243">
        <v>107</v>
      </c>
      <c r="K4610" s="243">
        <v>142</v>
      </c>
      <c r="L4610" s="243">
        <v>126</v>
      </c>
      <c r="M4610" s="243">
        <v>109</v>
      </c>
      <c r="N4610" s="243">
        <v>113</v>
      </c>
      <c r="O4610" s="253">
        <v>129</v>
      </c>
    </row>
    <row r="4611" spans="1:15">
      <c r="A4611" s="242" t="s">
        <v>22</v>
      </c>
      <c r="B4611" s="43" t="s">
        <v>4</v>
      </c>
      <c r="C4611" s="15">
        <v>93</v>
      </c>
      <c r="D4611" s="244">
        <v>10</v>
      </c>
      <c r="E4611" s="244">
        <v>7</v>
      </c>
      <c r="F4611" s="244">
        <v>7</v>
      </c>
      <c r="G4611" s="244">
        <v>6</v>
      </c>
      <c r="H4611" s="244">
        <v>5</v>
      </c>
      <c r="I4611" s="244">
        <v>11</v>
      </c>
      <c r="J4611" s="244">
        <v>8</v>
      </c>
      <c r="K4611" s="244">
        <v>6</v>
      </c>
      <c r="L4611" s="244">
        <v>10</v>
      </c>
      <c r="M4611" s="244">
        <v>7</v>
      </c>
      <c r="N4611" s="244">
        <v>6</v>
      </c>
      <c r="O4611" s="254">
        <v>10</v>
      </c>
    </row>
    <row r="4612" spans="1:15">
      <c r="A4612" s="240" t="s">
        <v>22</v>
      </c>
      <c r="B4612" s="47" t="s">
        <v>5</v>
      </c>
      <c r="C4612" s="12">
        <v>0.0673913043478261</v>
      </c>
      <c r="D4612" s="241">
        <v>0.065359477124183</v>
      </c>
      <c r="E4612" s="241">
        <v>0.0833333333333333</v>
      </c>
      <c r="F4612" s="241">
        <v>0.125</v>
      </c>
      <c r="G4612" s="241">
        <v>0.0689655172413793</v>
      </c>
      <c r="H4612" s="241">
        <v>0.032258064516129</v>
      </c>
      <c r="I4612" s="241">
        <v>0.092436974789916</v>
      </c>
      <c r="J4612" s="241">
        <v>0.0747663551401869</v>
      </c>
      <c r="K4612" s="241">
        <v>0.0422535211267606</v>
      </c>
      <c r="L4612" s="241">
        <v>0.0793650793650794</v>
      </c>
      <c r="M4612" s="241">
        <v>0.0642201834862385</v>
      </c>
      <c r="N4612" s="241">
        <v>0.0530973451327434</v>
      </c>
      <c r="O4612" s="252">
        <v>0.0775193798449612</v>
      </c>
    </row>
    <row r="4613" spans="1:15">
      <c r="A4613" s="242" t="s">
        <v>22</v>
      </c>
      <c r="B4613" s="43" t="s">
        <v>6</v>
      </c>
      <c r="C4613" s="15">
        <v>40</v>
      </c>
      <c r="D4613" s="244">
        <v>7</v>
      </c>
      <c r="E4613" s="244">
        <v>4</v>
      </c>
      <c r="F4613" s="244">
        <v>0</v>
      </c>
      <c r="G4613" s="244">
        <v>2</v>
      </c>
      <c r="H4613" s="244">
        <v>2</v>
      </c>
      <c r="I4613" s="244">
        <v>3</v>
      </c>
      <c r="J4613" s="244">
        <v>4</v>
      </c>
      <c r="K4613" s="244">
        <v>4</v>
      </c>
      <c r="L4613" s="244">
        <v>5</v>
      </c>
      <c r="M4613" s="244">
        <v>4</v>
      </c>
      <c r="N4613" s="244">
        <v>3</v>
      </c>
      <c r="O4613" s="254">
        <v>2</v>
      </c>
    </row>
    <row r="4614" ht="14.25" spans="1:15">
      <c r="A4614" s="245" t="s">
        <v>22</v>
      </c>
      <c r="B4614" s="52" t="s">
        <v>64</v>
      </c>
      <c r="C4614" s="19">
        <v>0.43010752688172</v>
      </c>
      <c r="D4614" s="246">
        <v>0.7</v>
      </c>
      <c r="E4614" s="246">
        <v>0.571428571428571</v>
      </c>
      <c r="F4614" s="246">
        <v>0</v>
      </c>
      <c r="G4614" s="246">
        <v>0.333333333333333</v>
      </c>
      <c r="H4614" s="246">
        <v>0.4</v>
      </c>
      <c r="I4614" s="246">
        <v>0.272727272727273</v>
      </c>
      <c r="J4614" s="246">
        <v>0.5</v>
      </c>
      <c r="K4614" s="246">
        <v>0.666666666666667</v>
      </c>
      <c r="L4614" s="246">
        <v>0.5</v>
      </c>
      <c r="M4614" s="246">
        <v>0.571428571428571</v>
      </c>
      <c r="N4614" s="246">
        <v>0.5</v>
      </c>
      <c r="O4614" s="255">
        <v>0.2</v>
      </c>
    </row>
    <row r="4615" spans="1:15">
      <c r="A4615" s="247" t="s">
        <v>66</v>
      </c>
      <c r="B4615" s="248" t="s">
        <v>55</v>
      </c>
      <c r="C4615" s="12">
        <v>0.0574644549763033</v>
      </c>
      <c r="D4615" s="249">
        <v>0.0581395348837209</v>
      </c>
      <c r="E4615" s="249">
        <v>0.0542986425339367</v>
      </c>
      <c r="F4615" s="249">
        <v>0.00546448087431694</v>
      </c>
      <c r="G4615" s="249">
        <v>0.0612244897959184</v>
      </c>
      <c r="H4615" s="249">
        <v>0.072992700729927</v>
      </c>
      <c r="I4615" s="249">
        <v>0.0652173913043478</v>
      </c>
      <c r="J4615" s="249">
        <v>0.0709219858156028</v>
      </c>
      <c r="K4615" s="249">
        <v>0.0934579439252336</v>
      </c>
      <c r="L4615" s="249">
        <v>0.024</v>
      </c>
      <c r="M4615" s="249">
        <v>0.0520833333333333</v>
      </c>
      <c r="N4615" s="249">
        <v>0.073394495412844</v>
      </c>
      <c r="O4615" s="256">
        <v>0.0892857142857143</v>
      </c>
    </row>
    <row r="4616" spans="1:15">
      <c r="A4616" s="242" t="s">
        <v>66</v>
      </c>
      <c r="B4616" s="43" t="s">
        <v>57</v>
      </c>
      <c r="C4616" s="15">
        <v>1688</v>
      </c>
      <c r="D4616" s="243">
        <v>172</v>
      </c>
      <c r="E4616" s="243">
        <v>221</v>
      </c>
      <c r="F4616" s="243">
        <v>183</v>
      </c>
      <c r="G4616" s="243">
        <v>147</v>
      </c>
      <c r="H4616" s="243">
        <v>137</v>
      </c>
      <c r="I4616" s="243">
        <v>138</v>
      </c>
      <c r="J4616" s="243">
        <v>141</v>
      </c>
      <c r="K4616" s="243">
        <v>107</v>
      </c>
      <c r="L4616" s="243">
        <v>125</v>
      </c>
      <c r="M4616" s="243">
        <v>96</v>
      </c>
      <c r="N4616" s="243">
        <v>109</v>
      </c>
      <c r="O4616" s="253">
        <v>112</v>
      </c>
    </row>
    <row r="4617" spans="1:15">
      <c r="A4617" s="240" t="s">
        <v>66</v>
      </c>
      <c r="B4617" s="47" t="s">
        <v>59</v>
      </c>
      <c r="C4617" s="15">
        <v>97</v>
      </c>
      <c r="D4617" s="243">
        <v>10</v>
      </c>
      <c r="E4617" s="243">
        <v>12</v>
      </c>
      <c r="F4617" s="243">
        <v>1</v>
      </c>
      <c r="G4617" s="243">
        <v>9</v>
      </c>
      <c r="H4617" s="243">
        <v>10</v>
      </c>
      <c r="I4617" s="243">
        <v>9</v>
      </c>
      <c r="J4617" s="243">
        <v>10</v>
      </c>
      <c r="K4617" s="243">
        <v>10</v>
      </c>
      <c r="L4617" s="243">
        <v>3</v>
      </c>
      <c r="M4617" s="243">
        <v>5</v>
      </c>
      <c r="N4617" s="243">
        <v>8</v>
      </c>
      <c r="O4617" s="253">
        <v>10</v>
      </c>
    </row>
    <row r="4618" spans="1:15">
      <c r="A4618" s="242" t="s">
        <v>66</v>
      </c>
      <c r="B4618" s="43" t="s">
        <v>4</v>
      </c>
      <c r="C4618" s="15">
        <v>5</v>
      </c>
      <c r="D4618" s="244">
        <v>1</v>
      </c>
      <c r="E4618" s="244">
        <v>1</v>
      </c>
      <c r="F4618" s="244">
        <v>0</v>
      </c>
      <c r="G4618" s="244">
        <v>1</v>
      </c>
      <c r="H4618" s="244">
        <v>0</v>
      </c>
      <c r="I4618" s="244">
        <v>1</v>
      </c>
      <c r="J4618" s="244">
        <v>0</v>
      </c>
      <c r="K4618" s="244">
        <v>0</v>
      </c>
      <c r="L4618" s="244">
        <v>0</v>
      </c>
      <c r="M4618" s="244">
        <v>0</v>
      </c>
      <c r="N4618" s="244">
        <v>1</v>
      </c>
      <c r="O4618" s="254">
        <v>0</v>
      </c>
    </row>
    <row r="4619" spans="1:15">
      <c r="A4619" s="240" t="s">
        <v>66</v>
      </c>
      <c r="B4619" s="47" t="s">
        <v>5</v>
      </c>
      <c r="C4619" s="12">
        <v>0.0515463917525773</v>
      </c>
      <c r="D4619" s="241">
        <v>0.1</v>
      </c>
      <c r="E4619" s="241">
        <v>0.0833333333333333</v>
      </c>
      <c r="F4619" s="241">
        <v>0</v>
      </c>
      <c r="G4619" s="241">
        <v>0.111111111111111</v>
      </c>
      <c r="H4619" s="241">
        <v>0</v>
      </c>
      <c r="I4619" s="241">
        <v>0.111111111111111</v>
      </c>
      <c r="J4619" s="241">
        <v>0</v>
      </c>
      <c r="K4619" s="241">
        <v>0</v>
      </c>
      <c r="L4619" s="241">
        <v>0</v>
      </c>
      <c r="M4619" s="241">
        <v>0</v>
      </c>
      <c r="N4619" s="241">
        <v>0.125</v>
      </c>
      <c r="O4619" s="252">
        <v>0</v>
      </c>
    </row>
    <row r="4620" spans="1:15">
      <c r="A4620" s="242" t="s">
        <v>66</v>
      </c>
      <c r="B4620" s="43" t="s">
        <v>6</v>
      </c>
      <c r="C4620" s="15">
        <v>2</v>
      </c>
      <c r="D4620" s="244">
        <v>1</v>
      </c>
      <c r="E4620" s="244">
        <v>0</v>
      </c>
      <c r="F4620" s="244">
        <v>0</v>
      </c>
      <c r="G4620" s="244">
        <v>0</v>
      </c>
      <c r="H4620" s="244">
        <v>0</v>
      </c>
      <c r="I4620" s="244">
        <v>1</v>
      </c>
      <c r="J4620" s="244">
        <v>0</v>
      </c>
      <c r="K4620" s="244">
        <v>0</v>
      </c>
      <c r="L4620" s="244">
        <v>0</v>
      </c>
      <c r="M4620" s="244">
        <v>0</v>
      </c>
      <c r="N4620" s="244">
        <v>0</v>
      </c>
      <c r="O4620" s="254">
        <v>0</v>
      </c>
    </row>
    <row r="4621" ht="14.25" spans="1:15">
      <c r="A4621" s="245" t="s">
        <v>66</v>
      </c>
      <c r="B4621" s="52" t="s">
        <v>64</v>
      </c>
      <c r="C4621" s="19">
        <v>0.4</v>
      </c>
      <c r="D4621" s="246">
        <v>1</v>
      </c>
      <c r="E4621" s="246">
        <v>0</v>
      </c>
      <c r="F4621" s="246">
        <v>0</v>
      </c>
      <c r="G4621" s="246">
        <v>0</v>
      </c>
      <c r="H4621" s="246">
        <v>0</v>
      </c>
      <c r="I4621" s="246">
        <v>1</v>
      </c>
      <c r="J4621" s="246">
        <v>0</v>
      </c>
      <c r="K4621" s="246">
        <v>0</v>
      </c>
      <c r="L4621" s="246">
        <v>0</v>
      </c>
      <c r="M4621" s="246">
        <v>0</v>
      </c>
      <c r="N4621" s="246">
        <v>0</v>
      </c>
      <c r="O4621" s="255">
        <v>0</v>
      </c>
    </row>
    <row r="4622" spans="1:15">
      <c r="A4622" s="240" t="s">
        <v>67</v>
      </c>
      <c r="B4622" s="47" t="s">
        <v>55</v>
      </c>
      <c r="C4622" s="12">
        <v>0.5</v>
      </c>
      <c r="D4622" s="241">
        <v>0.451612903225806</v>
      </c>
      <c r="E4622" s="241">
        <v>0.689655172413793</v>
      </c>
      <c r="F4622" s="241">
        <v>0.7</v>
      </c>
      <c r="G4622" s="241">
        <v>0.457142857142857</v>
      </c>
      <c r="H4622" s="241">
        <v>0.523809523809524</v>
      </c>
      <c r="I4622" s="241">
        <v>0.512820512820513</v>
      </c>
      <c r="J4622" s="241">
        <v>0.488372093023256</v>
      </c>
      <c r="K4622" s="241">
        <v>0.504950495049505</v>
      </c>
      <c r="L4622" s="241">
        <v>0.595744680851064</v>
      </c>
      <c r="M4622" s="241">
        <v>0.447761194029851</v>
      </c>
      <c r="N4622" s="241">
        <v>0.397849462365591</v>
      </c>
      <c r="O4622" s="252">
        <v>0.526881720430108</v>
      </c>
    </row>
    <row r="4623" spans="1:15">
      <c r="A4623" s="242" t="s">
        <v>67</v>
      </c>
      <c r="B4623" s="43" t="s">
        <v>57</v>
      </c>
      <c r="C4623" s="15">
        <v>846</v>
      </c>
      <c r="D4623" s="243">
        <v>124</v>
      </c>
      <c r="E4623" s="243">
        <v>29</v>
      </c>
      <c r="F4623" s="243">
        <v>30</v>
      </c>
      <c r="G4623" s="243">
        <v>35</v>
      </c>
      <c r="H4623" s="243">
        <v>63</v>
      </c>
      <c r="I4623" s="243">
        <v>78</v>
      </c>
      <c r="J4623" s="243">
        <v>86</v>
      </c>
      <c r="K4623" s="243">
        <v>101</v>
      </c>
      <c r="L4623" s="243">
        <v>47</v>
      </c>
      <c r="M4623" s="243">
        <v>67</v>
      </c>
      <c r="N4623" s="243">
        <v>93</v>
      </c>
      <c r="O4623" s="253">
        <v>93</v>
      </c>
    </row>
    <row r="4624" spans="1:15">
      <c r="A4624" s="240" t="s">
        <v>67</v>
      </c>
      <c r="B4624" s="47" t="s">
        <v>59</v>
      </c>
      <c r="C4624" s="15">
        <v>423</v>
      </c>
      <c r="D4624" s="243">
        <v>56</v>
      </c>
      <c r="E4624" s="243">
        <v>20</v>
      </c>
      <c r="F4624" s="243">
        <v>21</v>
      </c>
      <c r="G4624" s="243">
        <v>16</v>
      </c>
      <c r="H4624" s="243">
        <v>33</v>
      </c>
      <c r="I4624" s="243">
        <v>40</v>
      </c>
      <c r="J4624" s="243">
        <v>42</v>
      </c>
      <c r="K4624" s="243">
        <v>51</v>
      </c>
      <c r="L4624" s="243">
        <v>28</v>
      </c>
      <c r="M4624" s="243">
        <v>30</v>
      </c>
      <c r="N4624" s="243">
        <v>37</v>
      </c>
      <c r="O4624" s="253">
        <v>49</v>
      </c>
    </row>
    <row r="4625" spans="1:15">
      <c r="A4625" s="242" t="s">
        <v>67</v>
      </c>
      <c r="B4625" s="43" t="s">
        <v>4</v>
      </c>
      <c r="C4625" s="15">
        <v>15</v>
      </c>
      <c r="D4625" s="244">
        <v>0</v>
      </c>
      <c r="E4625" s="244">
        <v>1</v>
      </c>
      <c r="F4625" s="244">
        <v>1</v>
      </c>
      <c r="G4625" s="244">
        <v>1</v>
      </c>
      <c r="H4625" s="244">
        <v>0</v>
      </c>
      <c r="I4625" s="244">
        <v>4</v>
      </c>
      <c r="J4625" s="244">
        <v>2</v>
      </c>
      <c r="K4625" s="244">
        <v>1</v>
      </c>
      <c r="L4625" s="244">
        <v>2</v>
      </c>
      <c r="M4625" s="244">
        <v>1</v>
      </c>
      <c r="N4625" s="244">
        <v>1</v>
      </c>
      <c r="O4625" s="254">
        <v>1</v>
      </c>
    </row>
    <row r="4626" spans="1:15">
      <c r="A4626" s="240" t="s">
        <v>67</v>
      </c>
      <c r="B4626" s="47" t="s">
        <v>5</v>
      </c>
      <c r="C4626" s="12">
        <v>0.0354609929078014</v>
      </c>
      <c r="D4626" s="241">
        <v>0</v>
      </c>
      <c r="E4626" s="241">
        <v>0.05</v>
      </c>
      <c r="F4626" s="241">
        <v>0.0476190476190476</v>
      </c>
      <c r="G4626" s="241">
        <v>0.0625</v>
      </c>
      <c r="H4626" s="241">
        <v>0</v>
      </c>
      <c r="I4626" s="241">
        <v>0.1</v>
      </c>
      <c r="J4626" s="241">
        <v>0.0476190476190476</v>
      </c>
      <c r="K4626" s="241">
        <v>0.0196078431372549</v>
      </c>
      <c r="L4626" s="241">
        <v>0.0714285714285714</v>
      </c>
      <c r="M4626" s="241">
        <v>0.0333333333333333</v>
      </c>
      <c r="N4626" s="241">
        <v>0.027027027027027</v>
      </c>
      <c r="O4626" s="252">
        <v>0.0204081632653061</v>
      </c>
    </row>
    <row r="4627" spans="1:15">
      <c r="A4627" s="242" t="s">
        <v>67</v>
      </c>
      <c r="B4627" s="43" t="s">
        <v>6</v>
      </c>
      <c r="C4627" s="15">
        <v>5</v>
      </c>
      <c r="D4627" s="244">
        <v>0</v>
      </c>
      <c r="E4627" s="244">
        <v>0</v>
      </c>
      <c r="F4627" s="244">
        <v>0</v>
      </c>
      <c r="G4627" s="244">
        <v>0</v>
      </c>
      <c r="H4627" s="244">
        <v>0</v>
      </c>
      <c r="I4627" s="244">
        <v>1</v>
      </c>
      <c r="J4627" s="244">
        <v>2</v>
      </c>
      <c r="K4627" s="244">
        <v>1</v>
      </c>
      <c r="L4627" s="244">
        <v>0</v>
      </c>
      <c r="M4627" s="244">
        <v>1</v>
      </c>
      <c r="N4627" s="244">
        <v>0</v>
      </c>
      <c r="O4627" s="254">
        <v>0</v>
      </c>
    </row>
    <row r="4628" ht="14.25" spans="1:15">
      <c r="A4628" s="245" t="s">
        <v>67</v>
      </c>
      <c r="B4628" s="52" t="s">
        <v>64</v>
      </c>
      <c r="C4628" s="19">
        <v>0.333333333333333</v>
      </c>
      <c r="D4628" s="246">
        <v>0</v>
      </c>
      <c r="E4628" s="246">
        <v>0</v>
      </c>
      <c r="F4628" s="246">
        <v>0</v>
      </c>
      <c r="G4628" s="246">
        <v>0</v>
      </c>
      <c r="H4628" s="246">
        <v>0</v>
      </c>
      <c r="I4628" s="246">
        <v>0.25</v>
      </c>
      <c r="J4628" s="246">
        <v>1</v>
      </c>
      <c r="K4628" s="246">
        <v>1</v>
      </c>
      <c r="L4628" s="246">
        <v>0</v>
      </c>
      <c r="M4628" s="246">
        <v>1</v>
      </c>
      <c r="N4628" s="246">
        <v>0</v>
      </c>
      <c r="O4628" s="255">
        <v>0</v>
      </c>
    </row>
    <row r="4629" spans="1:15">
      <c r="A4629" s="240" t="s">
        <v>68</v>
      </c>
      <c r="B4629" s="47" t="s">
        <v>55</v>
      </c>
      <c r="C4629" s="12">
        <v>0.249699591444364</v>
      </c>
      <c r="D4629" s="241">
        <v>0.239074550128535</v>
      </c>
      <c r="E4629" s="241">
        <v>0.222689075630252</v>
      </c>
      <c r="F4629" s="241">
        <v>0.240223463687151</v>
      </c>
      <c r="G4629" s="241">
        <v>0.280373831775701</v>
      </c>
      <c r="H4629" s="241">
        <v>0.278236914600551</v>
      </c>
      <c r="I4629" s="241">
        <v>0.213367609254499</v>
      </c>
      <c r="J4629" s="241">
        <v>0.264705882352941</v>
      </c>
      <c r="K4629" s="241">
        <v>0.26</v>
      </c>
      <c r="L4629" s="241">
        <v>0.279202279202279</v>
      </c>
      <c r="M4629" s="241">
        <v>0.23433242506812</v>
      </c>
      <c r="N4629" s="241">
        <v>0.244655581947743</v>
      </c>
      <c r="O4629" s="252">
        <v>0.245098039215686</v>
      </c>
    </row>
    <row r="4630" spans="1:15">
      <c r="A4630" s="242" t="s">
        <v>68</v>
      </c>
      <c r="B4630" s="43" t="s">
        <v>57</v>
      </c>
      <c r="C4630" s="15">
        <v>4161</v>
      </c>
      <c r="D4630" s="243">
        <v>389</v>
      </c>
      <c r="E4630" s="243">
        <v>238</v>
      </c>
      <c r="F4630" s="243">
        <v>179</v>
      </c>
      <c r="G4630" s="243">
        <v>214</v>
      </c>
      <c r="H4630" s="243">
        <v>363</v>
      </c>
      <c r="I4630" s="243">
        <v>389</v>
      </c>
      <c r="J4630" s="243">
        <v>340</v>
      </c>
      <c r="K4630" s="243">
        <v>400</v>
      </c>
      <c r="L4630" s="243">
        <v>351</v>
      </c>
      <c r="M4630" s="243">
        <v>367</v>
      </c>
      <c r="N4630" s="243">
        <v>421</v>
      </c>
      <c r="O4630" s="253">
        <v>510</v>
      </c>
    </row>
    <row r="4631" spans="1:15">
      <c r="A4631" s="240" t="s">
        <v>68</v>
      </c>
      <c r="B4631" s="47" t="s">
        <v>59</v>
      </c>
      <c r="C4631" s="15">
        <v>1039</v>
      </c>
      <c r="D4631" s="243">
        <v>93</v>
      </c>
      <c r="E4631" s="243">
        <v>53</v>
      </c>
      <c r="F4631" s="243">
        <v>43</v>
      </c>
      <c r="G4631" s="243">
        <v>60</v>
      </c>
      <c r="H4631" s="243">
        <v>101</v>
      </c>
      <c r="I4631" s="243">
        <v>83</v>
      </c>
      <c r="J4631" s="243">
        <v>90</v>
      </c>
      <c r="K4631" s="243">
        <v>104</v>
      </c>
      <c r="L4631" s="243">
        <v>98</v>
      </c>
      <c r="M4631" s="243">
        <v>86</v>
      </c>
      <c r="N4631" s="243">
        <v>103</v>
      </c>
      <c r="O4631" s="253">
        <v>125</v>
      </c>
    </row>
    <row r="4632" spans="1:15">
      <c r="A4632" s="242" t="s">
        <v>68</v>
      </c>
      <c r="B4632" s="43" t="s">
        <v>4</v>
      </c>
      <c r="C4632" s="15">
        <v>69</v>
      </c>
      <c r="D4632" s="244">
        <v>9</v>
      </c>
      <c r="E4632" s="244">
        <v>3</v>
      </c>
      <c r="F4632" s="244">
        <v>2</v>
      </c>
      <c r="G4632" s="244">
        <v>6</v>
      </c>
      <c r="H4632" s="244">
        <v>5</v>
      </c>
      <c r="I4632" s="244">
        <v>2</v>
      </c>
      <c r="J4632" s="244">
        <v>6</v>
      </c>
      <c r="K4632" s="244">
        <v>8</v>
      </c>
      <c r="L4632" s="244">
        <v>7</v>
      </c>
      <c r="M4632" s="244">
        <v>3</v>
      </c>
      <c r="N4632" s="244">
        <v>7</v>
      </c>
      <c r="O4632" s="254">
        <v>11</v>
      </c>
    </row>
    <row r="4633" spans="1:15">
      <c r="A4633" s="240" t="s">
        <v>68</v>
      </c>
      <c r="B4633" s="47" t="s">
        <v>5</v>
      </c>
      <c r="C4633" s="12">
        <v>0.0664100096246391</v>
      </c>
      <c r="D4633" s="241">
        <v>0.0967741935483871</v>
      </c>
      <c r="E4633" s="241">
        <v>0.0566037735849057</v>
      </c>
      <c r="F4633" s="241">
        <v>0.0465116279069767</v>
      </c>
      <c r="G4633" s="241">
        <v>0.1</v>
      </c>
      <c r="H4633" s="241">
        <v>0.0495049504950495</v>
      </c>
      <c r="I4633" s="241">
        <v>0.0240963855421687</v>
      </c>
      <c r="J4633" s="241">
        <v>0.0666666666666667</v>
      </c>
      <c r="K4633" s="241">
        <v>0.0769230769230769</v>
      </c>
      <c r="L4633" s="241">
        <v>0.0714285714285714</v>
      </c>
      <c r="M4633" s="241">
        <v>0.0348837209302326</v>
      </c>
      <c r="N4633" s="241">
        <v>0.0679611650485437</v>
      </c>
      <c r="O4633" s="252">
        <v>0.088</v>
      </c>
    </row>
    <row r="4634" spans="1:15">
      <c r="A4634" s="242" t="s">
        <v>68</v>
      </c>
      <c r="B4634" s="43" t="s">
        <v>6</v>
      </c>
      <c r="C4634" s="15">
        <v>22</v>
      </c>
      <c r="D4634" s="244">
        <v>1</v>
      </c>
      <c r="E4634" s="244">
        <v>1</v>
      </c>
      <c r="F4634" s="244">
        <v>0</v>
      </c>
      <c r="G4634" s="244">
        <v>4</v>
      </c>
      <c r="H4634" s="244">
        <v>2</v>
      </c>
      <c r="I4634" s="244">
        <v>1</v>
      </c>
      <c r="J4634" s="244">
        <v>1</v>
      </c>
      <c r="K4634" s="244">
        <v>2</v>
      </c>
      <c r="L4634" s="244">
        <v>4</v>
      </c>
      <c r="M4634" s="244">
        <v>3</v>
      </c>
      <c r="N4634" s="244">
        <v>1</v>
      </c>
      <c r="O4634" s="254">
        <v>2</v>
      </c>
    </row>
    <row r="4635" ht="14.25" spans="1:15">
      <c r="A4635" s="245" t="s">
        <v>68</v>
      </c>
      <c r="B4635" s="52" t="s">
        <v>64</v>
      </c>
      <c r="C4635" s="19">
        <v>0.318840579710145</v>
      </c>
      <c r="D4635" s="246">
        <v>0.111111111111111</v>
      </c>
      <c r="E4635" s="246">
        <v>0.333333333333333</v>
      </c>
      <c r="F4635" s="246">
        <v>0</v>
      </c>
      <c r="G4635" s="246">
        <v>0.666666666666667</v>
      </c>
      <c r="H4635" s="246">
        <v>0.4</v>
      </c>
      <c r="I4635" s="246">
        <v>0.5</v>
      </c>
      <c r="J4635" s="246">
        <v>0.166666666666667</v>
      </c>
      <c r="K4635" s="246">
        <v>0.25</v>
      </c>
      <c r="L4635" s="246">
        <v>0.571428571428571</v>
      </c>
      <c r="M4635" s="246">
        <v>1</v>
      </c>
      <c r="N4635" s="246">
        <v>0.142857142857143</v>
      </c>
      <c r="O4635" s="255">
        <v>0.181818181818182</v>
      </c>
    </row>
    <row r="4636" spans="1:15">
      <c r="A4636" s="240" t="s">
        <v>69</v>
      </c>
      <c r="B4636" s="47" t="s">
        <v>55</v>
      </c>
      <c r="C4636" s="12">
        <v>1.39915966386555</v>
      </c>
      <c r="D4636" s="241">
        <v>1.51851851851852</v>
      </c>
      <c r="E4636" s="241">
        <v>1.30769230769231</v>
      </c>
      <c r="F4636" s="241">
        <v>0.9</v>
      </c>
      <c r="G4636" s="241">
        <v>2.5</v>
      </c>
      <c r="H4636" s="241">
        <v>2.26666666666667</v>
      </c>
      <c r="I4636" s="241">
        <v>1.66666666666667</v>
      </c>
      <c r="J4636" s="241">
        <v>1.42857142857143</v>
      </c>
      <c r="K4636" s="241">
        <v>1.3</v>
      </c>
      <c r="L4636" s="241">
        <v>1.46153846153846</v>
      </c>
      <c r="M4636" s="241">
        <v>1.375</v>
      </c>
      <c r="N4636" s="241">
        <v>1.05882352941176</v>
      </c>
      <c r="O4636" s="252">
        <v>1.06060606060606</v>
      </c>
    </row>
    <row r="4637" spans="1:15">
      <c r="A4637" s="242" t="s">
        <v>69</v>
      </c>
      <c r="B4637" s="43" t="s">
        <v>57</v>
      </c>
      <c r="C4637" s="15">
        <v>238</v>
      </c>
      <c r="D4637" s="243">
        <v>27</v>
      </c>
      <c r="E4637" s="243">
        <v>13</v>
      </c>
      <c r="F4637" s="243">
        <v>10</v>
      </c>
      <c r="G4637" s="243">
        <v>8</v>
      </c>
      <c r="H4637" s="243">
        <v>15</v>
      </c>
      <c r="I4637" s="243">
        <v>15</v>
      </c>
      <c r="J4637" s="243">
        <v>21</v>
      </c>
      <c r="K4637" s="243">
        <v>20</v>
      </c>
      <c r="L4637" s="243">
        <v>26</v>
      </c>
      <c r="M4637" s="243">
        <v>16</v>
      </c>
      <c r="N4637" s="243">
        <v>34</v>
      </c>
      <c r="O4637" s="253">
        <v>33</v>
      </c>
    </row>
    <row r="4638" spans="1:15">
      <c r="A4638" s="240" t="s">
        <v>69</v>
      </c>
      <c r="B4638" s="47" t="s">
        <v>59</v>
      </c>
      <c r="C4638" s="15">
        <v>333</v>
      </c>
      <c r="D4638" s="243">
        <v>41</v>
      </c>
      <c r="E4638" s="243">
        <v>17</v>
      </c>
      <c r="F4638" s="243">
        <v>9</v>
      </c>
      <c r="G4638" s="243">
        <v>20</v>
      </c>
      <c r="H4638" s="243">
        <v>34</v>
      </c>
      <c r="I4638" s="243">
        <v>25</v>
      </c>
      <c r="J4638" s="243">
        <v>30</v>
      </c>
      <c r="K4638" s="243">
        <v>26</v>
      </c>
      <c r="L4638" s="243">
        <v>38</v>
      </c>
      <c r="M4638" s="243">
        <v>22</v>
      </c>
      <c r="N4638" s="243">
        <v>36</v>
      </c>
      <c r="O4638" s="253">
        <v>35</v>
      </c>
    </row>
    <row r="4639" spans="1:15">
      <c r="A4639" s="242" t="s">
        <v>69</v>
      </c>
      <c r="B4639" s="43" t="s">
        <v>4</v>
      </c>
      <c r="C4639" s="15">
        <v>12</v>
      </c>
      <c r="D4639" s="244">
        <v>3</v>
      </c>
      <c r="E4639" s="244">
        <v>0</v>
      </c>
      <c r="F4639" s="244">
        <v>0</v>
      </c>
      <c r="G4639" s="244">
        <v>0</v>
      </c>
      <c r="H4639" s="244">
        <v>0</v>
      </c>
      <c r="I4639" s="244">
        <v>3</v>
      </c>
      <c r="J4639" s="244">
        <v>2</v>
      </c>
      <c r="K4639" s="244">
        <v>0</v>
      </c>
      <c r="L4639" s="244">
        <v>2</v>
      </c>
      <c r="M4639" s="244">
        <v>0</v>
      </c>
      <c r="N4639" s="244">
        <v>2</v>
      </c>
      <c r="O4639" s="254">
        <v>0</v>
      </c>
    </row>
    <row r="4640" spans="1:15">
      <c r="A4640" s="240" t="s">
        <v>69</v>
      </c>
      <c r="B4640" s="47" t="s">
        <v>5</v>
      </c>
      <c r="C4640" s="12">
        <v>0.036036036036036</v>
      </c>
      <c r="D4640" s="241">
        <v>0.0731707317073171</v>
      </c>
      <c r="E4640" s="241">
        <v>0</v>
      </c>
      <c r="F4640" s="241">
        <v>0</v>
      </c>
      <c r="G4640" s="241">
        <v>0</v>
      </c>
      <c r="H4640" s="241">
        <v>0</v>
      </c>
      <c r="I4640" s="241">
        <v>0.12</v>
      </c>
      <c r="J4640" s="241">
        <v>0.0666666666666667</v>
      </c>
      <c r="K4640" s="241">
        <v>0</v>
      </c>
      <c r="L4640" s="241">
        <v>0.0526315789473684</v>
      </c>
      <c r="M4640" s="241">
        <v>0</v>
      </c>
      <c r="N4640" s="241">
        <v>0.0555555555555556</v>
      </c>
      <c r="O4640" s="252">
        <v>0</v>
      </c>
    </row>
    <row r="4641" spans="1:15">
      <c r="A4641" s="242" t="s">
        <v>69</v>
      </c>
      <c r="B4641" s="43" t="s">
        <v>6</v>
      </c>
      <c r="C4641" s="15">
        <v>3</v>
      </c>
      <c r="D4641" s="244">
        <v>1</v>
      </c>
      <c r="E4641" s="244">
        <v>0</v>
      </c>
      <c r="F4641" s="244">
        <v>0</v>
      </c>
      <c r="G4641" s="244">
        <v>0</v>
      </c>
      <c r="H4641" s="244">
        <v>0</v>
      </c>
      <c r="I4641" s="244">
        <v>0</v>
      </c>
      <c r="J4641" s="244">
        <v>0</v>
      </c>
      <c r="K4641" s="244">
        <v>1</v>
      </c>
      <c r="L4641" s="244">
        <v>0</v>
      </c>
      <c r="M4641" s="244">
        <v>0</v>
      </c>
      <c r="N4641" s="244">
        <v>1</v>
      </c>
      <c r="O4641" s="254">
        <v>0</v>
      </c>
    </row>
    <row r="4642" ht="14.25" spans="1:15">
      <c r="A4642" s="245" t="s">
        <v>69</v>
      </c>
      <c r="B4642" s="52" t="s">
        <v>64</v>
      </c>
      <c r="C4642" s="19">
        <v>0.25</v>
      </c>
      <c r="D4642" s="246">
        <v>0.333333333333333</v>
      </c>
      <c r="E4642" s="246">
        <v>0</v>
      </c>
      <c r="F4642" s="246">
        <v>0</v>
      </c>
      <c r="G4642" s="246">
        <v>0</v>
      </c>
      <c r="H4642" s="246">
        <v>0</v>
      </c>
      <c r="I4642" s="246">
        <v>0</v>
      </c>
      <c r="J4642" s="246">
        <v>0</v>
      </c>
      <c r="K4642" s="246">
        <v>0</v>
      </c>
      <c r="L4642" s="246">
        <v>0</v>
      </c>
      <c r="M4642" s="246">
        <v>0</v>
      </c>
      <c r="N4642" s="246">
        <v>0.5</v>
      </c>
      <c r="O4642" s="255">
        <v>0</v>
      </c>
    </row>
    <row r="4643" spans="1:15">
      <c r="A4643" s="240" t="s">
        <v>70</v>
      </c>
      <c r="B4643" s="47" t="s">
        <v>55</v>
      </c>
      <c r="C4643" s="12">
        <v>0.385107896608964</v>
      </c>
      <c r="D4643" s="241">
        <v>0.388451443569554</v>
      </c>
      <c r="E4643" s="241">
        <v>0.435185185185185</v>
      </c>
      <c r="F4643" s="241">
        <v>0.462765957446808</v>
      </c>
      <c r="G4643" s="241">
        <v>0.519685039370079</v>
      </c>
      <c r="H4643" s="241">
        <v>0.475155279503106</v>
      </c>
      <c r="I4643" s="241">
        <v>0.41025641025641</v>
      </c>
      <c r="J4643" s="241">
        <v>0.379487179487179</v>
      </c>
      <c r="K4643" s="241">
        <v>0.311750599520384</v>
      </c>
      <c r="L4643" s="241">
        <v>0.362162162162162</v>
      </c>
      <c r="M4643" s="241">
        <v>0.407738095238095</v>
      </c>
      <c r="N4643" s="241">
        <v>0.286902286902287</v>
      </c>
      <c r="O4643" s="252">
        <v>0.350293542074364</v>
      </c>
    </row>
    <row r="4644" spans="1:15">
      <c r="A4644" s="242" t="s">
        <v>70</v>
      </c>
      <c r="B4644" s="43" t="s">
        <v>57</v>
      </c>
      <c r="C4644" s="15">
        <v>4217</v>
      </c>
      <c r="D4644" s="243">
        <v>381</v>
      </c>
      <c r="E4644" s="243">
        <v>216</v>
      </c>
      <c r="F4644" s="243">
        <v>188</v>
      </c>
      <c r="G4644" s="243">
        <v>254</v>
      </c>
      <c r="H4644" s="243">
        <v>322</v>
      </c>
      <c r="I4644" s="243">
        <v>351</v>
      </c>
      <c r="J4644" s="243">
        <v>390</v>
      </c>
      <c r="K4644" s="243">
        <v>417</v>
      </c>
      <c r="L4644" s="243">
        <v>370</v>
      </c>
      <c r="M4644" s="243">
        <v>336</v>
      </c>
      <c r="N4644" s="243">
        <v>481</v>
      </c>
      <c r="O4644" s="253">
        <v>511</v>
      </c>
    </row>
    <row r="4645" spans="1:15">
      <c r="A4645" s="240" t="s">
        <v>70</v>
      </c>
      <c r="B4645" s="47" t="s">
        <v>59</v>
      </c>
      <c r="C4645" s="15">
        <v>1624</v>
      </c>
      <c r="D4645" s="243">
        <v>148</v>
      </c>
      <c r="E4645" s="243">
        <v>94</v>
      </c>
      <c r="F4645" s="243">
        <v>87</v>
      </c>
      <c r="G4645" s="243">
        <v>132</v>
      </c>
      <c r="H4645" s="243">
        <v>153</v>
      </c>
      <c r="I4645" s="243">
        <v>144</v>
      </c>
      <c r="J4645" s="243">
        <v>148</v>
      </c>
      <c r="K4645" s="243">
        <v>130</v>
      </c>
      <c r="L4645" s="243">
        <v>134</v>
      </c>
      <c r="M4645" s="243">
        <v>137</v>
      </c>
      <c r="N4645" s="243">
        <v>138</v>
      </c>
      <c r="O4645" s="253">
        <v>179</v>
      </c>
    </row>
    <row r="4646" spans="1:15">
      <c r="A4646" s="242" t="s">
        <v>70</v>
      </c>
      <c r="B4646" s="43" t="s">
        <v>4</v>
      </c>
      <c r="C4646" s="15">
        <v>145</v>
      </c>
      <c r="D4646" s="244">
        <v>15</v>
      </c>
      <c r="E4646" s="244">
        <v>10</v>
      </c>
      <c r="F4646" s="244">
        <v>4</v>
      </c>
      <c r="G4646" s="244">
        <v>3</v>
      </c>
      <c r="H4646" s="244">
        <v>12</v>
      </c>
      <c r="I4646" s="244">
        <v>18</v>
      </c>
      <c r="J4646" s="244">
        <v>12</v>
      </c>
      <c r="K4646" s="244">
        <v>14</v>
      </c>
      <c r="L4646" s="244">
        <v>11</v>
      </c>
      <c r="M4646" s="244">
        <v>9</v>
      </c>
      <c r="N4646" s="244">
        <v>16</v>
      </c>
      <c r="O4646" s="254">
        <v>21</v>
      </c>
    </row>
    <row r="4647" spans="1:15">
      <c r="A4647" s="240" t="s">
        <v>70</v>
      </c>
      <c r="B4647" s="47" t="s">
        <v>5</v>
      </c>
      <c r="C4647" s="12">
        <v>0.0892857142857143</v>
      </c>
      <c r="D4647" s="241">
        <v>0.101351351351351</v>
      </c>
      <c r="E4647" s="241">
        <v>0.106382978723404</v>
      </c>
      <c r="F4647" s="241">
        <v>0.0459770114942529</v>
      </c>
      <c r="G4647" s="241">
        <v>0.0227272727272727</v>
      </c>
      <c r="H4647" s="241">
        <v>0.0784313725490196</v>
      </c>
      <c r="I4647" s="241">
        <v>0.125</v>
      </c>
      <c r="J4647" s="241">
        <v>0.0810810810810811</v>
      </c>
      <c r="K4647" s="241">
        <v>0.107692307692308</v>
      </c>
      <c r="L4647" s="241">
        <v>0.082089552238806</v>
      </c>
      <c r="M4647" s="241">
        <v>0.0656934306569343</v>
      </c>
      <c r="N4647" s="241">
        <v>0.115942028985507</v>
      </c>
      <c r="O4647" s="252">
        <v>0.11731843575419</v>
      </c>
    </row>
    <row r="4648" spans="1:15">
      <c r="A4648" s="242" t="s">
        <v>70</v>
      </c>
      <c r="B4648" s="43" t="s">
        <v>6</v>
      </c>
      <c r="C4648" s="15">
        <v>39</v>
      </c>
      <c r="D4648" s="244">
        <v>6</v>
      </c>
      <c r="E4648" s="244">
        <v>4</v>
      </c>
      <c r="F4648" s="244">
        <v>1</v>
      </c>
      <c r="G4648" s="244">
        <v>2</v>
      </c>
      <c r="H4648" s="244">
        <v>2</v>
      </c>
      <c r="I4648" s="244">
        <v>6</v>
      </c>
      <c r="J4648" s="244">
        <v>2</v>
      </c>
      <c r="K4648" s="244">
        <v>5</v>
      </c>
      <c r="L4648" s="244">
        <v>3</v>
      </c>
      <c r="M4648" s="244">
        <v>3</v>
      </c>
      <c r="N4648" s="244">
        <v>3</v>
      </c>
      <c r="O4648" s="254">
        <v>2</v>
      </c>
    </row>
    <row r="4649" ht="14.25" spans="1:15">
      <c r="A4649" s="245" t="s">
        <v>70</v>
      </c>
      <c r="B4649" s="52" t="s">
        <v>64</v>
      </c>
      <c r="C4649" s="19">
        <v>0.268965517241379</v>
      </c>
      <c r="D4649" s="246">
        <v>0.4</v>
      </c>
      <c r="E4649" s="246">
        <v>0.4</v>
      </c>
      <c r="F4649" s="246">
        <v>0.25</v>
      </c>
      <c r="G4649" s="246">
        <v>0.666666666666667</v>
      </c>
      <c r="H4649" s="246">
        <v>0.166666666666667</v>
      </c>
      <c r="I4649" s="246">
        <v>0.333333333333333</v>
      </c>
      <c r="J4649" s="246">
        <v>0.166666666666667</v>
      </c>
      <c r="K4649" s="246">
        <v>0.357142857142857</v>
      </c>
      <c r="L4649" s="246">
        <v>0.272727272727273</v>
      </c>
      <c r="M4649" s="246">
        <v>0.333333333333333</v>
      </c>
      <c r="N4649" s="246">
        <v>0.1875</v>
      </c>
      <c r="O4649" s="255">
        <v>0.0952380952380952</v>
      </c>
    </row>
    <row r="4650" spans="1:15">
      <c r="A4650" s="240" t="s">
        <v>26</v>
      </c>
      <c r="B4650" s="47" t="s">
        <v>55</v>
      </c>
      <c r="C4650" s="12">
        <v>0.0705218617771509</v>
      </c>
      <c r="D4650" s="241">
        <v>0.0401854714064915</v>
      </c>
      <c r="E4650" s="241">
        <v>0.00793650793650794</v>
      </c>
      <c r="F4650" s="241">
        <v>0.0193548387096774</v>
      </c>
      <c r="G4650" s="241">
        <v>0.0419354838709677</v>
      </c>
      <c r="H4650" s="241">
        <v>0.12781954887218</v>
      </c>
      <c r="I4650" s="241">
        <v>0.125</v>
      </c>
      <c r="J4650" s="241">
        <v>0.22972972972973</v>
      </c>
      <c r="K4650" s="241">
        <v>0.280701754385965</v>
      </c>
      <c r="L4650" s="241">
        <v>0.395348837209302</v>
      </c>
      <c r="M4650" s="241">
        <v>0.32258064516129</v>
      </c>
      <c r="N4650" s="241">
        <v>0.228571428571429</v>
      </c>
      <c r="O4650" s="252">
        <v>0.222222222222222</v>
      </c>
    </row>
    <row r="4651" spans="1:15">
      <c r="A4651" s="242" t="s">
        <v>26</v>
      </c>
      <c r="B4651" s="43" t="s">
        <v>57</v>
      </c>
      <c r="C4651" s="15">
        <v>2127</v>
      </c>
      <c r="D4651" s="243">
        <v>647</v>
      </c>
      <c r="E4651" s="243">
        <v>504</v>
      </c>
      <c r="F4651" s="243">
        <v>155</v>
      </c>
      <c r="G4651" s="243">
        <v>310</v>
      </c>
      <c r="H4651" s="243">
        <v>133</v>
      </c>
      <c r="I4651" s="243">
        <v>120</v>
      </c>
      <c r="J4651" s="243">
        <v>74</v>
      </c>
      <c r="K4651" s="243">
        <v>57</v>
      </c>
      <c r="L4651" s="243">
        <v>43</v>
      </c>
      <c r="M4651" s="243">
        <v>31</v>
      </c>
      <c r="N4651" s="243">
        <v>35</v>
      </c>
      <c r="O4651" s="253">
        <v>18</v>
      </c>
    </row>
    <row r="4652" spans="1:15">
      <c r="A4652" s="240" t="s">
        <v>26</v>
      </c>
      <c r="B4652" s="47" t="s">
        <v>59</v>
      </c>
      <c r="C4652" s="15">
        <v>150</v>
      </c>
      <c r="D4652" s="243">
        <v>26</v>
      </c>
      <c r="E4652" s="243">
        <v>4</v>
      </c>
      <c r="F4652" s="243">
        <v>3</v>
      </c>
      <c r="G4652" s="243">
        <v>13</v>
      </c>
      <c r="H4652" s="243">
        <v>17</v>
      </c>
      <c r="I4652" s="243">
        <v>15</v>
      </c>
      <c r="J4652" s="243">
        <v>17</v>
      </c>
      <c r="K4652" s="243">
        <v>16</v>
      </c>
      <c r="L4652" s="243">
        <v>17</v>
      </c>
      <c r="M4652" s="243">
        <v>10</v>
      </c>
      <c r="N4652" s="243">
        <v>8</v>
      </c>
      <c r="O4652" s="253">
        <v>4</v>
      </c>
    </row>
    <row r="4653" spans="1:15">
      <c r="A4653" s="242" t="s">
        <v>26</v>
      </c>
      <c r="B4653" s="43" t="s">
        <v>4</v>
      </c>
      <c r="C4653" s="15">
        <v>2</v>
      </c>
      <c r="D4653" s="244">
        <v>0</v>
      </c>
      <c r="E4653" s="244">
        <v>1</v>
      </c>
      <c r="F4653" s="244">
        <v>0</v>
      </c>
      <c r="G4653" s="244">
        <v>0</v>
      </c>
      <c r="H4653" s="244">
        <v>0</v>
      </c>
      <c r="I4653" s="244">
        <v>0</v>
      </c>
      <c r="J4653" s="244">
        <v>0</v>
      </c>
      <c r="K4653" s="244">
        <v>0</v>
      </c>
      <c r="L4653" s="244">
        <v>0</v>
      </c>
      <c r="M4653" s="244">
        <v>1</v>
      </c>
      <c r="N4653" s="244">
        <v>0</v>
      </c>
      <c r="O4653" s="254">
        <v>0</v>
      </c>
    </row>
    <row r="4654" spans="1:15">
      <c r="A4654" s="240" t="s">
        <v>26</v>
      </c>
      <c r="B4654" s="47" t="s">
        <v>5</v>
      </c>
      <c r="C4654" s="12">
        <v>0.0133333333333333</v>
      </c>
      <c r="D4654" s="241">
        <v>0</v>
      </c>
      <c r="E4654" s="241">
        <v>0.25</v>
      </c>
      <c r="F4654" s="241">
        <v>0</v>
      </c>
      <c r="G4654" s="241">
        <v>0</v>
      </c>
      <c r="H4654" s="241">
        <v>0</v>
      </c>
      <c r="I4654" s="241">
        <v>0</v>
      </c>
      <c r="J4654" s="241">
        <v>0</v>
      </c>
      <c r="K4654" s="241">
        <v>0</v>
      </c>
      <c r="L4654" s="241">
        <v>0</v>
      </c>
      <c r="M4654" s="241">
        <v>0.1</v>
      </c>
      <c r="N4654" s="241">
        <v>0</v>
      </c>
      <c r="O4654" s="252">
        <v>0</v>
      </c>
    </row>
    <row r="4655" spans="1:15">
      <c r="A4655" s="242" t="s">
        <v>26</v>
      </c>
      <c r="B4655" s="43" t="s">
        <v>6</v>
      </c>
      <c r="C4655" s="15">
        <v>2</v>
      </c>
      <c r="D4655" s="244">
        <v>0</v>
      </c>
      <c r="E4655" s="244">
        <v>0</v>
      </c>
      <c r="F4655" s="244">
        <v>0</v>
      </c>
      <c r="G4655" s="244">
        <v>0</v>
      </c>
      <c r="H4655" s="244">
        <v>0</v>
      </c>
      <c r="I4655" s="244">
        <v>0</v>
      </c>
      <c r="J4655" s="244">
        <v>0</v>
      </c>
      <c r="K4655" s="244">
        <v>1</v>
      </c>
      <c r="L4655" s="244">
        <v>0</v>
      </c>
      <c r="M4655" s="244">
        <v>1</v>
      </c>
      <c r="N4655" s="244">
        <v>0</v>
      </c>
      <c r="O4655" s="254">
        <v>0</v>
      </c>
    </row>
    <row r="4656" ht="14.25" spans="1:15">
      <c r="A4656" s="245" t="s">
        <v>26</v>
      </c>
      <c r="B4656" s="52" t="s">
        <v>64</v>
      </c>
      <c r="C4656" s="19">
        <v>1</v>
      </c>
      <c r="D4656" s="19" t="e">
        <v>#DIV/0!</v>
      </c>
      <c r="E4656" s="19">
        <v>0</v>
      </c>
      <c r="F4656" s="19" t="e">
        <v>#DIV/0!</v>
      </c>
      <c r="G4656" s="19" t="e">
        <v>#DIV/0!</v>
      </c>
      <c r="H4656" s="19" t="e">
        <v>#DIV/0!</v>
      </c>
      <c r="I4656" s="19" t="e">
        <v>#DIV/0!</v>
      </c>
      <c r="J4656" s="19" t="e">
        <v>#DIV/0!</v>
      </c>
      <c r="K4656" s="19" t="e">
        <v>#DIV/0!</v>
      </c>
      <c r="L4656" s="19" t="e">
        <v>#DIV/0!</v>
      </c>
      <c r="M4656" s="19">
        <v>1</v>
      </c>
      <c r="N4656" s="19" t="e">
        <v>#DIV/0!</v>
      </c>
      <c r="O4656" s="19" t="e">
        <v>#DIV/0!</v>
      </c>
    </row>
    <row r="4657" spans="1:15">
      <c r="A4657" s="240" t="s">
        <v>71</v>
      </c>
      <c r="B4657" s="47" t="s">
        <v>55</v>
      </c>
      <c r="C4657" s="12">
        <v>252</v>
      </c>
      <c r="D4657" s="241" t="e">
        <v>#DIV/0!</v>
      </c>
      <c r="E4657" s="241" t="e">
        <v>#DIV/0!</v>
      </c>
      <c r="F4657" s="241">
        <v>24</v>
      </c>
      <c r="G4657" s="241" t="e">
        <v>#DIV/0!</v>
      </c>
      <c r="H4657" s="241" t="e">
        <v>#DIV/0!</v>
      </c>
      <c r="I4657" s="241">
        <v>48</v>
      </c>
      <c r="J4657" s="241" t="e">
        <v>#DIV/0!</v>
      </c>
      <c r="K4657" s="241" t="e">
        <v>#DIV/0!</v>
      </c>
      <c r="L4657" s="241" t="e">
        <v>#DIV/0!</v>
      </c>
      <c r="M4657" s="241" t="e">
        <v>#DIV/0!</v>
      </c>
      <c r="N4657" s="241" t="e">
        <v>#DIV/0!</v>
      </c>
      <c r="O4657" s="252" t="e">
        <v>#DIV/0!</v>
      </c>
    </row>
    <row r="4658" spans="1:15">
      <c r="A4658" s="242" t="s">
        <v>71</v>
      </c>
      <c r="B4658" s="43" t="s">
        <v>57</v>
      </c>
      <c r="C4658" s="15">
        <v>2</v>
      </c>
      <c r="D4658" s="243">
        <v>0</v>
      </c>
      <c r="E4658" s="243">
        <v>0</v>
      </c>
      <c r="F4658" s="243">
        <v>1</v>
      </c>
      <c r="G4658" s="243">
        <v>0</v>
      </c>
      <c r="H4658" s="243">
        <v>0</v>
      </c>
      <c r="I4658" s="243">
        <v>1</v>
      </c>
      <c r="J4658" s="243">
        <v>0</v>
      </c>
      <c r="K4658" s="243">
        <v>0</v>
      </c>
      <c r="L4658" s="243">
        <v>0</v>
      </c>
      <c r="M4658" s="243">
        <v>0</v>
      </c>
      <c r="N4658" s="243">
        <v>0</v>
      </c>
      <c r="O4658" s="253">
        <v>0</v>
      </c>
    </row>
    <row r="4659" spans="1:15">
      <c r="A4659" s="240" t="s">
        <v>71</v>
      </c>
      <c r="B4659" s="47" t="s">
        <v>59</v>
      </c>
      <c r="C4659" s="15">
        <v>504</v>
      </c>
      <c r="D4659" s="243">
        <v>50</v>
      </c>
      <c r="E4659" s="243">
        <v>17</v>
      </c>
      <c r="F4659" s="243">
        <v>24</v>
      </c>
      <c r="G4659" s="243">
        <v>17</v>
      </c>
      <c r="H4659" s="243">
        <v>51</v>
      </c>
      <c r="I4659" s="243">
        <v>48</v>
      </c>
      <c r="J4659" s="243">
        <v>41</v>
      </c>
      <c r="K4659" s="243">
        <v>62</v>
      </c>
      <c r="L4659" s="243">
        <v>38</v>
      </c>
      <c r="M4659" s="243">
        <v>40</v>
      </c>
      <c r="N4659" s="243">
        <v>46</v>
      </c>
      <c r="O4659" s="253">
        <v>70</v>
      </c>
    </row>
    <row r="4660" spans="1:15">
      <c r="A4660" s="242" t="s">
        <v>71</v>
      </c>
      <c r="B4660" s="43" t="s">
        <v>4</v>
      </c>
      <c r="C4660" s="15">
        <v>30</v>
      </c>
      <c r="D4660" s="244">
        <v>5</v>
      </c>
      <c r="E4660" s="244">
        <v>0</v>
      </c>
      <c r="F4660" s="244">
        <v>0</v>
      </c>
      <c r="G4660" s="244">
        <v>0</v>
      </c>
      <c r="H4660" s="244">
        <v>6</v>
      </c>
      <c r="I4660" s="244">
        <v>3</v>
      </c>
      <c r="J4660" s="244">
        <v>1</v>
      </c>
      <c r="K4660" s="244">
        <v>1</v>
      </c>
      <c r="L4660" s="244">
        <v>2</v>
      </c>
      <c r="M4660" s="244">
        <v>3</v>
      </c>
      <c r="N4660" s="244">
        <v>3</v>
      </c>
      <c r="O4660" s="254">
        <v>6</v>
      </c>
    </row>
    <row r="4661" spans="1:15">
      <c r="A4661" s="240" t="s">
        <v>71</v>
      </c>
      <c r="B4661" s="47" t="s">
        <v>5</v>
      </c>
      <c r="C4661" s="241">
        <v>0.0595238095238095</v>
      </c>
      <c r="D4661" s="241">
        <v>0.1</v>
      </c>
      <c r="E4661" s="241">
        <v>0</v>
      </c>
      <c r="F4661" s="241">
        <v>0</v>
      </c>
      <c r="G4661" s="241">
        <v>0</v>
      </c>
      <c r="H4661" s="241">
        <v>0.117647058823529</v>
      </c>
      <c r="I4661" s="241">
        <v>0.0625</v>
      </c>
      <c r="J4661" s="241">
        <v>0.024390243902439</v>
      </c>
      <c r="K4661" s="241">
        <v>0.0161290322580645</v>
      </c>
      <c r="L4661" s="241">
        <v>0.0526315789473684</v>
      </c>
      <c r="M4661" s="241">
        <v>0.075</v>
      </c>
      <c r="N4661" s="241">
        <v>0.0652173913043478</v>
      </c>
      <c r="O4661" s="252">
        <v>0.0857142857142857</v>
      </c>
    </row>
    <row r="4662" spans="1:15">
      <c r="A4662" s="242" t="s">
        <v>71</v>
      </c>
      <c r="B4662" s="43" t="s">
        <v>6</v>
      </c>
      <c r="C4662" s="15">
        <v>7</v>
      </c>
      <c r="D4662" s="244">
        <v>0</v>
      </c>
      <c r="E4662" s="244">
        <v>0</v>
      </c>
      <c r="F4662" s="244">
        <v>0</v>
      </c>
      <c r="G4662" s="244">
        <v>0</v>
      </c>
      <c r="H4662" s="244">
        <v>1</v>
      </c>
      <c r="I4662" s="244">
        <v>0</v>
      </c>
      <c r="J4662" s="244">
        <v>0</v>
      </c>
      <c r="K4662" s="244">
        <v>2</v>
      </c>
      <c r="L4662" s="244">
        <v>1</v>
      </c>
      <c r="M4662" s="244">
        <v>2</v>
      </c>
      <c r="N4662" s="244">
        <v>1</v>
      </c>
      <c r="O4662" s="254">
        <v>0</v>
      </c>
    </row>
    <row r="4663" ht="14.25" spans="1:15">
      <c r="A4663" s="245" t="s">
        <v>71</v>
      </c>
      <c r="B4663" s="52" t="s">
        <v>64</v>
      </c>
      <c r="C4663" s="19">
        <v>0.233333333333333</v>
      </c>
      <c r="D4663" s="19">
        <v>0</v>
      </c>
      <c r="E4663" s="19" t="e">
        <v>#DIV/0!</v>
      </c>
      <c r="F4663" s="19" t="e">
        <v>#DIV/0!</v>
      </c>
      <c r="G4663" s="19" t="e">
        <v>#DIV/0!</v>
      </c>
      <c r="H4663" s="19">
        <v>0.166666666666667</v>
      </c>
      <c r="I4663" s="19">
        <v>0</v>
      </c>
      <c r="J4663" s="19">
        <v>0</v>
      </c>
      <c r="K4663" s="19">
        <v>2</v>
      </c>
      <c r="L4663" s="19">
        <v>0.5</v>
      </c>
      <c r="M4663" s="19">
        <v>0.666666666666667</v>
      </c>
      <c r="N4663" s="19">
        <v>0.333333333333333</v>
      </c>
      <c r="O4663" s="19">
        <v>0</v>
      </c>
    </row>
    <row r="4664" spans="1:15">
      <c r="A4664" s="240" t="s">
        <v>72</v>
      </c>
      <c r="B4664" s="47" t="s">
        <v>55</v>
      </c>
      <c r="C4664" s="12">
        <v>0.140245214024521</v>
      </c>
      <c r="D4664" s="241">
        <v>0.127118644067797</v>
      </c>
      <c r="E4664" s="241">
        <v>0.163265306122449</v>
      </c>
      <c r="F4664" s="241">
        <v>0.131428571428571</v>
      </c>
      <c r="G4664" s="241">
        <v>0.157360406091371</v>
      </c>
      <c r="H4664" s="241">
        <v>0.134146341463415</v>
      </c>
      <c r="I4664" s="241">
        <v>0.126237623762376</v>
      </c>
      <c r="J4664" s="241">
        <v>0.124352331606218</v>
      </c>
      <c r="K4664" s="241">
        <v>0.171428571428571</v>
      </c>
      <c r="L4664" s="241">
        <v>0.170426065162907</v>
      </c>
      <c r="M4664" s="241">
        <v>0.131840796019901</v>
      </c>
      <c r="N4664" s="241">
        <v>0.128205128205128</v>
      </c>
      <c r="O4664" s="252">
        <v>0.139103554868624</v>
      </c>
    </row>
    <row r="4665" spans="1:15">
      <c r="A4665" s="242" t="s">
        <v>72</v>
      </c>
      <c r="B4665" s="43" t="s">
        <v>57</v>
      </c>
      <c r="C4665" s="15">
        <v>4649</v>
      </c>
      <c r="D4665" s="243">
        <v>354</v>
      </c>
      <c r="E4665" s="243">
        <v>196</v>
      </c>
      <c r="F4665" s="243">
        <v>175</v>
      </c>
      <c r="G4665" s="243">
        <v>197</v>
      </c>
      <c r="H4665" s="243">
        <v>328</v>
      </c>
      <c r="I4665" s="243">
        <v>404</v>
      </c>
      <c r="J4665" s="243">
        <v>386</v>
      </c>
      <c r="K4665" s="243">
        <v>420</v>
      </c>
      <c r="L4665" s="243">
        <v>399</v>
      </c>
      <c r="M4665" s="243">
        <v>402</v>
      </c>
      <c r="N4665" s="243">
        <v>741</v>
      </c>
      <c r="O4665" s="253">
        <v>647</v>
      </c>
    </row>
    <row r="4666" spans="1:15">
      <c r="A4666" s="240" t="s">
        <v>72</v>
      </c>
      <c r="B4666" s="47" t="s">
        <v>59</v>
      </c>
      <c r="C4666" s="15">
        <v>652</v>
      </c>
      <c r="D4666" s="243">
        <v>45</v>
      </c>
      <c r="E4666" s="243">
        <v>32</v>
      </c>
      <c r="F4666" s="243">
        <v>23</v>
      </c>
      <c r="G4666" s="243">
        <v>31</v>
      </c>
      <c r="H4666" s="243">
        <v>44</v>
      </c>
      <c r="I4666" s="243">
        <v>51</v>
      </c>
      <c r="J4666" s="243">
        <v>48</v>
      </c>
      <c r="K4666" s="243">
        <v>72</v>
      </c>
      <c r="L4666" s="243">
        <v>68</v>
      </c>
      <c r="M4666" s="243">
        <v>53</v>
      </c>
      <c r="N4666" s="243">
        <v>95</v>
      </c>
      <c r="O4666" s="253">
        <v>90</v>
      </c>
    </row>
    <row r="4667" spans="1:15">
      <c r="A4667" s="242" t="s">
        <v>72</v>
      </c>
      <c r="B4667" s="43" t="s">
        <v>4</v>
      </c>
      <c r="C4667" s="15">
        <v>41</v>
      </c>
      <c r="D4667" s="244">
        <v>3</v>
      </c>
      <c r="E4667" s="244">
        <v>3</v>
      </c>
      <c r="F4667" s="244">
        <v>4</v>
      </c>
      <c r="G4667" s="244">
        <v>2</v>
      </c>
      <c r="H4667" s="244">
        <v>3</v>
      </c>
      <c r="I4667" s="244">
        <v>3</v>
      </c>
      <c r="J4667" s="244">
        <v>4</v>
      </c>
      <c r="K4667" s="244">
        <v>1</v>
      </c>
      <c r="L4667" s="244">
        <v>4</v>
      </c>
      <c r="M4667" s="244">
        <v>2</v>
      </c>
      <c r="N4667" s="244">
        <v>4</v>
      </c>
      <c r="O4667" s="254">
        <v>8</v>
      </c>
    </row>
    <row r="4668" spans="1:15">
      <c r="A4668" s="240" t="s">
        <v>72</v>
      </c>
      <c r="B4668" s="47" t="s">
        <v>5</v>
      </c>
      <c r="C4668" s="12">
        <v>0.0628834355828221</v>
      </c>
      <c r="D4668" s="241">
        <v>0.0666666666666667</v>
      </c>
      <c r="E4668" s="241">
        <v>0.09375</v>
      </c>
      <c r="F4668" s="241">
        <v>0.173913043478261</v>
      </c>
      <c r="G4668" s="241">
        <v>0.0645161290322581</v>
      </c>
      <c r="H4668" s="241">
        <v>0.0681818181818182</v>
      </c>
      <c r="I4668" s="241">
        <v>0.0588235294117647</v>
      </c>
      <c r="J4668" s="241">
        <v>0.0833333333333333</v>
      </c>
      <c r="K4668" s="241">
        <v>0.0138888888888889</v>
      </c>
      <c r="L4668" s="241">
        <v>0.0588235294117647</v>
      </c>
      <c r="M4668" s="241">
        <v>0.0377358490566038</v>
      </c>
      <c r="N4668" s="241">
        <v>0.0421052631578947</v>
      </c>
      <c r="O4668" s="252">
        <v>0.0888888888888889</v>
      </c>
    </row>
    <row r="4669" spans="1:15">
      <c r="A4669" s="242" t="s">
        <v>72</v>
      </c>
      <c r="B4669" s="43" t="s">
        <v>6</v>
      </c>
      <c r="C4669" s="15">
        <v>6</v>
      </c>
      <c r="D4669" s="244">
        <v>0</v>
      </c>
      <c r="E4669" s="244">
        <v>0</v>
      </c>
      <c r="F4669" s="244">
        <v>1</v>
      </c>
      <c r="G4669" s="244">
        <v>1</v>
      </c>
      <c r="H4669" s="244">
        <v>1</v>
      </c>
      <c r="I4669" s="244">
        <v>0</v>
      </c>
      <c r="J4669" s="244">
        <v>1</v>
      </c>
      <c r="K4669" s="244">
        <v>1</v>
      </c>
      <c r="L4669" s="244">
        <v>0</v>
      </c>
      <c r="M4669" s="244">
        <v>1</v>
      </c>
      <c r="N4669" s="244">
        <v>0</v>
      </c>
      <c r="O4669" s="254">
        <v>0</v>
      </c>
    </row>
    <row r="4670" ht="14.25" spans="1:15">
      <c r="A4670" s="245" t="s">
        <v>72</v>
      </c>
      <c r="B4670" s="52" t="s">
        <v>64</v>
      </c>
      <c r="C4670" s="19">
        <v>0.146341463414634</v>
      </c>
      <c r="D4670" s="19">
        <v>0</v>
      </c>
      <c r="E4670" s="19">
        <v>0</v>
      </c>
      <c r="F4670" s="19">
        <v>0.25</v>
      </c>
      <c r="G4670" s="19">
        <v>0.5</v>
      </c>
      <c r="H4670" s="19">
        <v>0.333333333333333</v>
      </c>
      <c r="I4670" s="19">
        <v>0</v>
      </c>
      <c r="J4670" s="19">
        <v>0.25</v>
      </c>
      <c r="K4670" s="19">
        <v>1</v>
      </c>
      <c r="L4670" s="19">
        <v>0</v>
      </c>
      <c r="M4670" s="19">
        <v>0.5</v>
      </c>
      <c r="N4670" s="19">
        <v>0</v>
      </c>
      <c r="O4670" s="19">
        <v>0</v>
      </c>
    </row>
    <row r="4671" ht="14.25" spans="1:15">
      <c r="A4671" s="237">
        <v>45091</v>
      </c>
      <c r="B4671" s="237"/>
      <c r="C4671" s="237"/>
      <c r="D4671" s="237"/>
      <c r="E4671" s="237"/>
      <c r="F4671" s="237"/>
      <c r="G4671" s="237"/>
      <c r="H4671" s="237"/>
      <c r="I4671" s="237"/>
      <c r="J4671" s="237"/>
      <c r="K4671" s="237"/>
      <c r="L4671" s="237"/>
      <c r="M4671" s="237"/>
      <c r="N4671" s="237"/>
      <c r="O4671" s="237"/>
    </row>
    <row r="4672" spans="1:15">
      <c r="A4672" s="56" t="s">
        <v>1</v>
      </c>
      <c r="B4672" s="238"/>
      <c r="C4672" s="8" t="s">
        <v>42</v>
      </c>
      <c r="D4672" s="239" t="s">
        <v>43</v>
      </c>
      <c r="E4672" s="239" t="s">
        <v>44</v>
      </c>
      <c r="F4672" s="239" t="s">
        <v>45</v>
      </c>
      <c r="G4672" s="239" t="s">
        <v>46</v>
      </c>
      <c r="H4672" s="239" t="s">
        <v>47</v>
      </c>
      <c r="I4672" s="239" t="s">
        <v>48</v>
      </c>
      <c r="J4672" s="239" t="s">
        <v>49</v>
      </c>
      <c r="K4672" s="239" t="s">
        <v>50</v>
      </c>
      <c r="L4672" s="239" t="s">
        <v>51</v>
      </c>
      <c r="M4672" s="239" t="s">
        <v>52</v>
      </c>
      <c r="N4672" s="239" t="s">
        <v>53</v>
      </c>
      <c r="O4672" s="251" t="s">
        <v>54</v>
      </c>
    </row>
    <row r="4673" spans="1:15">
      <c r="A4673" s="240" t="s">
        <v>22</v>
      </c>
      <c r="B4673" s="47" t="s">
        <v>55</v>
      </c>
      <c r="C4673" s="12">
        <v>0.384588441330998</v>
      </c>
      <c r="D4673" s="241">
        <v>0.469314079422383</v>
      </c>
      <c r="E4673" s="241">
        <v>0.429530201342282</v>
      </c>
      <c r="F4673" s="241">
        <v>0.385416666666667</v>
      </c>
      <c r="G4673" s="241">
        <v>0.514925373134328</v>
      </c>
      <c r="H4673" s="241">
        <v>0.439461883408072</v>
      </c>
      <c r="I4673" s="241">
        <v>0.368852459016393</v>
      </c>
      <c r="J4673" s="241">
        <v>0.364705882352941</v>
      </c>
      <c r="K4673" s="241">
        <v>0.360927152317881</v>
      </c>
      <c r="L4673" s="241">
        <v>0.356890459363958</v>
      </c>
      <c r="M4673" s="241">
        <v>0.367816091954023</v>
      </c>
      <c r="N4673" s="241">
        <v>0.305921052631579</v>
      </c>
      <c r="O4673" s="252">
        <v>0.36085626911315</v>
      </c>
    </row>
    <row r="4674" spans="1:15">
      <c r="A4674" s="242" t="s">
        <v>22</v>
      </c>
      <c r="B4674" s="43" t="s">
        <v>57</v>
      </c>
      <c r="C4674" s="15">
        <v>2855</v>
      </c>
      <c r="D4674" s="243">
        <v>277</v>
      </c>
      <c r="E4674" s="243">
        <v>149</v>
      </c>
      <c r="F4674" s="243">
        <v>96</v>
      </c>
      <c r="G4674" s="243">
        <v>134</v>
      </c>
      <c r="H4674" s="243">
        <v>223</v>
      </c>
      <c r="I4674" s="243">
        <v>244</v>
      </c>
      <c r="J4674" s="243">
        <v>255</v>
      </c>
      <c r="K4674" s="243">
        <v>302</v>
      </c>
      <c r="L4674" s="243">
        <v>283</v>
      </c>
      <c r="M4674" s="243">
        <v>261</v>
      </c>
      <c r="N4674" s="243">
        <v>304</v>
      </c>
      <c r="O4674" s="253">
        <v>327</v>
      </c>
    </row>
    <row r="4675" spans="1:15">
      <c r="A4675" s="240" t="s">
        <v>22</v>
      </c>
      <c r="B4675" s="47" t="s">
        <v>59</v>
      </c>
      <c r="C4675" s="15">
        <v>1098</v>
      </c>
      <c r="D4675" s="243">
        <v>130</v>
      </c>
      <c r="E4675" s="243">
        <v>64</v>
      </c>
      <c r="F4675" s="243">
        <v>37</v>
      </c>
      <c r="G4675" s="243">
        <v>69</v>
      </c>
      <c r="H4675" s="243">
        <v>98</v>
      </c>
      <c r="I4675" s="243">
        <v>90</v>
      </c>
      <c r="J4675" s="243">
        <v>93</v>
      </c>
      <c r="K4675" s="243">
        <v>109</v>
      </c>
      <c r="L4675" s="243">
        <v>101</v>
      </c>
      <c r="M4675" s="243">
        <v>96</v>
      </c>
      <c r="N4675" s="243">
        <v>93</v>
      </c>
      <c r="O4675" s="253">
        <v>118</v>
      </c>
    </row>
    <row r="4676" spans="1:15">
      <c r="A4676" s="242" t="s">
        <v>22</v>
      </c>
      <c r="B4676" s="43" t="s">
        <v>4</v>
      </c>
      <c r="C4676" s="15">
        <v>79</v>
      </c>
      <c r="D4676" s="244">
        <v>11</v>
      </c>
      <c r="E4676" s="244">
        <v>4</v>
      </c>
      <c r="F4676" s="244">
        <v>4</v>
      </c>
      <c r="G4676" s="244">
        <v>2</v>
      </c>
      <c r="H4676" s="244">
        <v>5</v>
      </c>
      <c r="I4676" s="244">
        <v>9</v>
      </c>
      <c r="J4676" s="244">
        <v>4</v>
      </c>
      <c r="K4676" s="244">
        <v>7</v>
      </c>
      <c r="L4676" s="244">
        <v>5</v>
      </c>
      <c r="M4676" s="244">
        <v>9</v>
      </c>
      <c r="N4676" s="244">
        <v>10</v>
      </c>
      <c r="O4676" s="254">
        <v>9</v>
      </c>
    </row>
    <row r="4677" spans="1:15">
      <c r="A4677" s="240" t="s">
        <v>22</v>
      </c>
      <c r="B4677" s="47" t="s">
        <v>5</v>
      </c>
      <c r="C4677" s="12">
        <v>0.0719489981785064</v>
      </c>
      <c r="D4677" s="241">
        <v>0.0846153846153846</v>
      </c>
      <c r="E4677" s="241">
        <v>0.0625</v>
      </c>
      <c r="F4677" s="241">
        <v>0.108108108108108</v>
      </c>
      <c r="G4677" s="241">
        <v>0.0289855072463768</v>
      </c>
      <c r="H4677" s="241">
        <v>0.0510204081632653</v>
      </c>
      <c r="I4677" s="241">
        <v>0.1</v>
      </c>
      <c r="J4677" s="241">
        <v>0.043010752688172</v>
      </c>
      <c r="K4677" s="241">
        <v>0.0642201834862385</v>
      </c>
      <c r="L4677" s="241">
        <v>0.0495049504950495</v>
      </c>
      <c r="M4677" s="241">
        <v>0.09375</v>
      </c>
      <c r="N4677" s="241">
        <v>0.10752688172043</v>
      </c>
      <c r="O4677" s="252">
        <v>0.076271186440678</v>
      </c>
    </row>
    <row r="4678" spans="1:15">
      <c r="A4678" s="242" t="s">
        <v>22</v>
      </c>
      <c r="B4678" s="43" t="s">
        <v>6</v>
      </c>
      <c r="C4678" s="15">
        <v>34</v>
      </c>
      <c r="D4678" s="244">
        <v>6</v>
      </c>
      <c r="E4678" s="244">
        <v>4</v>
      </c>
      <c r="F4678" s="244">
        <v>2</v>
      </c>
      <c r="G4678" s="244">
        <v>0</v>
      </c>
      <c r="H4678" s="244">
        <v>0</v>
      </c>
      <c r="I4678" s="244">
        <v>5</v>
      </c>
      <c r="J4678" s="244">
        <v>3</v>
      </c>
      <c r="K4678" s="244">
        <v>3</v>
      </c>
      <c r="L4678" s="244">
        <v>5</v>
      </c>
      <c r="M4678" s="244">
        <v>2</v>
      </c>
      <c r="N4678" s="244">
        <v>2</v>
      </c>
      <c r="O4678" s="254">
        <v>2</v>
      </c>
    </row>
    <row r="4679" ht="14.25" spans="1:15">
      <c r="A4679" s="245" t="s">
        <v>22</v>
      </c>
      <c r="B4679" s="52" t="s">
        <v>64</v>
      </c>
      <c r="C4679" s="19">
        <v>0.430379746835443</v>
      </c>
      <c r="D4679" s="246">
        <v>0.545454545454545</v>
      </c>
      <c r="E4679" s="246">
        <v>1</v>
      </c>
      <c r="F4679" s="246">
        <v>0.5</v>
      </c>
      <c r="G4679" s="246">
        <v>0</v>
      </c>
      <c r="H4679" s="246">
        <v>0</v>
      </c>
      <c r="I4679" s="246">
        <v>0.555555555555556</v>
      </c>
      <c r="J4679" s="246">
        <v>0.75</v>
      </c>
      <c r="K4679" s="246">
        <v>0.428571428571429</v>
      </c>
      <c r="L4679" s="246">
        <v>1</v>
      </c>
      <c r="M4679" s="246">
        <v>0.222222222222222</v>
      </c>
      <c r="N4679" s="246">
        <v>0.2</v>
      </c>
      <c r="O4679" s="255">
        <v>0.222222222222222</v>
      </c>
    </row>
    <row r="4680" spans="1:15">
      <c r="A4680" s="247" t="s">
        <v>66</v>
      </c>
      <c r="B4680" s="248" t="s">
        <v>55</v>
      </c>
      <c r="C4680" s="12">
        <v>0.0559680182752713</v>
      </c>
      <c r="D4680" s="249">
        <v>0.0833333333333333</v>
      </c>
      <c r="E4680" s="249">
        <v>0.0379746835443038</v>
      </c>
      <c r="F4680" s="249">
        <v>0.00892857142857143</v>
      </c>
      <c r="G4680" s="249">
        <v>0.0178571428571429</v>
      </c>
      <c r="H4680" s="249">
        <v>0.0405405405405405</v>
      </c>
      <c r="I4680" s="249">
        <v>0.0774647887323944</v>
      </c>
      <c r="J4680" s="249">
        <v>0.0344827586206897</v>
      </c>
      <c r="K4680" s="249">
        <v>0.0930232558139535</v>
      </c>
      <c r="L4680" s="249">
        <v>0.0654205607476635</v>
      </c>
      <c r="M4680" s="249">
        <v>0.107843137254902</v>
      </c>
      <c r="N4680" s="249">
        <v>0.0948275862068965</v>
      </c>
      <c r="O4680" s="256">
        <v>0.0666666666666667</v>
      </c>
    </row>
    <row r="4681" spans="1:15">
      <c r="A4681" s="242" t="s">
        <v>66</v>
      </c>
      <c r="B4681" s="43" t="s">
        <v>57</v>
      </c>
      <c r="C4681" s="15">
        <v>1751</v>
      </c>
      <c r="D4681" s="243">
        <v>192</v>
      </c>
      <c r="E4681" s="243">
        <v>158</v>
      </c>
      <c r="F4681" s="243">
        <v>224</v>
      </c>
      <c r="G4681" s="243">
        <v>168</v>
      </c>
      <c r="H4681" s="243">
        <v>148</v>
      </c>
      <c r="I4681" s="243">
        <v>142</v>
      </c>
      <c r="J4681" s="243">
        <v>145</v>
      </c>
      <c r="K4681" s="243">
        <v>129</v>
      </c>
      <c r="L4681" s="243">
        <v>107</v>
      </c>
      <c r="M4681" s="243">
        <v>102</v>
      </c>
      <c r="N4681" s="243">
        <v>116</v>
      </c>
      <c r="O4681" s="253">
        <v>120</v>
      </c>
    </row>
    <row r="4682" spans="1:15">
      <c r="A4682" s="240" t="s">
        <v>66</v>
      </c>
      <c r="B4682" s="47" t="s">
        <v>59</v>
      </c>
      <c r="C4682" s="15">
        <v>98</v>
      </c>
      <c r="D4682" s="243">
        <v>16</v>
      </c>
      <c r="E4682" s="243">
        <v>6</v>
      </c>
      <c r="F4682" s="243">
        <v>2</v>
      </c>
      <c r="G4682" s="243">
        <v>3</v>
      </c>
      <c r="H4682" s="243">
        <v>6</v>
      </c>
      <c r="I4682" s="243">
        <v>11</v>
      </c>
      <c r="J4682" s="243">
        <v>5</v>
      </c>
      <c r="K4682" s="243">
        <v>12</v>
      </c>
      <c r="L4682" s="243">
        <v>7</v>
      </c>
      <c r="M4682" s="243">
        <v>11</v>
      </c>
      <c r="N4682" s="243">
        <v>11</v>
      </c>
      <c r="O4682" s="253">
        <v>8</v>
      </c>
    </row>
    <row r="4683" spans="1:15">
      <c r="A4683" s="242" t="s">
        <v>66</v>
      </c>
      <c r="B4683" s="43" t="s">
        <v>4</v>
      </c>
      <c r="C4683" s="15">
        <v>7</v>
      </c>
      <c r="D4683" s="244">
        <v>1</v>
      </c>
      <c r="E4683" s="244">
        <v>0</v>
      </c>
      <c r="F4683" s="244">
        <v>0</v>
      </c>
      <c r="G4683" s="244">
        <v>0</v>
      </c>
      <c r="H4683" s="244">
        <v>0</v>
      </c>
      <c r="I4683" s="244">
        <v>1</v>
      </c>
      <c r="J4683" s="244">
        <v>1</v>
      </c>
      <c r="K4683" s="244">
        <v>1</v>
      </c>
      <c r="L4683" s="244">
        <v>1</v>
      </c>
      <c r="M4683" s="244">
        <v>2</v>
      </c>
      <c r="N4683" s="244">
        <v>0</v>
      </c>
      <c r="O4683" s="254">
        <v>0</v>
      </c>
    </row>
    <row r="4684" spans="1:15">
      <c r="A4684" s="240" t="s">
        <v>66</v>
      </c>
      <c r="B4684" s="47" t="s">
        <v>5</v>
      </c>
      <c r="C4684" s="12">
        <v>0.0714285714285714</v>
      </c>
      <c r="D4684" s="241">
        <v>0.0625</v>
      </c>
      <c r="E4684" s="241">
        <v>0</v>
      </c>
      <c r="F4684" s="241">
        <v>0</v>
      </c>
      <c r="G4684" s="241">
        <v>0</v>
      </c>
      <c r="H4684" s="241">
        <v>0</v>
      </c>
      <c r="I4684" s="241">
        <v>0.0909090909090909</v>
      </c>
      <c r="J4684" s="241">
        <v>0.2</v>
      </c>
      <c r="K4684" s="241">
        <v>0.0833333333333333</v>
      </c>
      <c r="L4684" s="241">
        <v>0.142857142857143</v>
      </c>
      <c r="M4684" s="241">
        <v>0.181818181818182</v>
      </c>
      <c r="N4684" s="241">
        <v>0</v>
      </c>
      <c r="O4684" s="252">
        <v>0</v>
      </c>
    </row>
    <row r="4685" spans="1:15">
      <c r="A4685" s="242" t="s">
        <v>66</v>
      </c>
      <c r="B4685" s="43" t="s">
        <v>6</v>
      </c>
      <c r="C4685" s="15">
        <v>3</v>
      </c>
      <c r="D4685" s="244">
        <v>2</v>
      </c>
      <c r="E4685" s="244">
        <v>0</v>
      </c>
      <c r="F4685" s="244">
        <v>0</v>
      </c>
      <c r="G4685" s="244">
        <v>0</v>
      </c>
      <c r="H4685" s="244">
        <v>0</v>
      </c>
      <c r="I4685" s="244">
        <v>0</v>
      </c>
      <c r="J4685" s="244">
        <v>0</v>
      </c>
      <c r="K4685" s="244">
        <v>0</v>
      </c>
      <c r="L4685" s="244">
        <v>0</v>
      </c>
      <c r="M4685" s="244">
        <v>1</v>
      </c>
      <c r="N4685" s="244">
        <v>0</v>
      </c>
      <c r="O4685" s="254">
        <v>0</v>
      </c>
    </row>
    <row r="4686" ht="14.25" spans="1:15">
      <c r="A4686" s="245" t="s">
        <v>66</v>
      </c>
      <c r="B4686" s="52" t="s">
        <v>64</v>
      </c>
      <c r="C4686" s="19">
        <v>0.428571428571429</v>
      </c>
      <c r="D4686" s="246">
        <v>2</v>
      </c>
      <c r="E4686" s="246">
        <v>0</v>
      </c>
      <c r="F4686" s="246">
        <v>0</v>
      </c>
      <c r="G4686" s="246">
        <v>0</v>
      </c>
      <c r="H4686" s="246">
        <v>0</v>
      </c>
      <c r="I4686" s="246">
        <v>0</v>
      </c>
      <c r="J4686" s="246">
        <v>0</v>
      </c>
      <c r="K4686" s="246">
        <v>0</v>
      </c>
      <c r="L4686" s="246">
        <v>0</v>
      </c>
      <c r="M4686" s="246">
        <v>0.5</v>
      </c>
      <c r="N4686" s="246">
        <v>0</v>
      </c>
      <c r="O4686" s="255">
        <v>0</v>
      </c>
    </row>
    <row r="4687" spans="1:15">
      <c r="A4687" s="240" t="s">
        <v>67</v>
      </c>
      <c r="B4687" s="47" t="s">
        <v>55</v>
      </c>
      <c r="C4687" s="12">
        <v>0.499383477188656</v>
      </c>
      <c r="D4687" s="241">
        <v>0.651515151515151</v>
      </c>
      <c r="E4687" s="241">
        <v>0.296875</v>
      </c>
      <c r="F4687" s="241">
        <v>0.27906976744186</v>
      </c>
      <c r="G4687" s="241">
        <v>0.338709677419355</v>
      </c>
      <c r="H4687" s="241">
        <v>0.444444444444444</v>
      </c>
      <c r="I4687" s="241">
        <v>0.433333333333333</v>
      </c>
      <c r="J4687" s="241">
        <v>0.481481481481481</v>
      </c>
      <c r="K4687" s="241">
        <v>0.616279069767442</v>
      </c>
      <c r="L4687" s="241">
        <v>0.569444444444444</v>
      </c>
      <c r="M4687" s="241">
        <v>0.609375</v>
      </c>
      <c r="N4687" s="241">
        <v>0.67741935483871</v>
      </c>
      <c r="O4687" s="252">
        <v>0.475806451612903</v>
      </c>
    </row>
    <row r="4688" spans="1:15">
      <c r="A4688" s="242" t="s">
        <v>67</v>
      </c>
      <c r="B4688" s="43" t="s">
        <v>57</v>
      </c>
      <c r="C4688" s="15">
        <v>811</v>
      </c>
      <c r="D4688" s="243">
        <v>66</v>
      </c>
      <c r="E4688" s="243">
        <v>64</v>
      </c>
      <c r="F4688" s="243">
        <v>43</v>
      </c>
      <c r="G4688" s="243">
        <v>62</v>
      </c>
      <c r="H4688" s="243">
        <v>54</v>
      </c>
      <c r="I4688" s="243">
        <v>60</v>
      </c>
      <c r="J4688" s="243">
        <v>54</v>
      </c>
      <c r="K4688" s="243">
        <v>86</v>
      </c>
      <c r="L4688" s="243">
        <v>72</v>
      </c>
      <c r="M4688" s="243">
        <v>64</v>
      </c>
      <c r="N4688" s="243">
        <v>62</v>
      </c>
      <c r="O4688" s="253">
        <v>124</v>
      </c>
    </row>
    <row r="4689" spans="1:15">
      <c r="A4689" s="240" t="s">
        <v>67</v>
      </c>
      <c r="B4689" s="47" t="s">
        <v>59</v>
      </c>
      <c r="C4689" s="15">
        <v>405</v>
      </c>
      <c r="D4689" s="243">
        <v>43</v>
      </c>
      <c r="E4689" s="243">
        <v>19</v>
      </c>
      <c r="F4689" s="243">
        <v>12</v>
      </c>
      <c r="G4689" s="243">
        <v>21</v>
      </c>
      <c r="H4689" s="243">
        <v>24</v>
      </c>
      <c r="I4689" s="243">
        <v>26</v>
      </c>
      <c r="J4689" s="243">
        <v>26</v>
      </c>
      <c r="K4689" s="243">
        <v>53</v>
      </c>
      <c r="L4689" s="243">
        <v>41</v>
      </c>
      <c r="M4689" s="243">
        <v>39</v>
      </c>
      <c r="N4689" s="243">
        <v>42</v>
      </c>
      <c r="O4689" s="253">
        <v>59</v>
      </c>
    </row>
    <row r="4690" spans="1:15">
      <c r="A4690" s="242" t="s">
        <v>67</v>
      </c>
      <c r="B4690" s="43" t="s">
        <v>4</v>
      </c>
      <c r="C4690" s="15">
        <v>18</v>
      </c>
      <c r="D4690" s="244">
        <v>1</v>
      </c>
      <c r="E4690" s="244">
        <v>0</v>
      </c>
      <c r="F4690" s="244">
        <v>2</v>
      </c>
      <c r="G4690" s="244">
        <v>3</v>
      </c>
      <c r="H4690" s="244">
        <v>0</v>
      </c>
      <c r="I4690" s="244">
        <v>1</v>
      </c>
      <c r="J4690" s="244">
        <v>0</v>
      </c>
      <c r="K4690" s="244">
        <v>1</v>
      </c>
      <c r="L4690" s="244">
        <v>1</v>
      </c>
      <c r="M4690" s="244">
        <v>3</v>
      </c>
      <c r="N4690" s="244">
        <v>3</v>
      </c>
      <c r="O4690" s="254">
        <v>3</v>
      </c>
    </row>
    <row r="4691" spans="1:15">
      <c r="A4691" s="240" t="s">
        <v>67</v>
      </c>
      <c r="B4691" s="47" t="s">
        <v>5</v>
      </c>
      <c r="C4691" s="12">
        <v>0.0444444444444444</v>
      </c>
      <c r="D4691" s="241">
        <v>0.0232558139534884</v>
      </c>
      <c r="E4691" s="241">
        <v>0</v>
      </c>
      <c r="F4691" s="241">
        <v>0.166666666666667</v>
      </c>
      <c r="G4691" s="241">
        <v>0.142857142857143</v>
      </c>
      <c r="H4691" s="241">
        <v>0</v>
      </c>
      <c r="I4691" s="241">
        <v>0.0384615384615385</v>
      </c>
      <c r="J4691" s="241">
        <v>0</v>
      </c>
      <c r="K4691" s="241">
        <v>0.0188679245283019</v>
      </c>
      <c r="L4691" s="241">
        <v>0.024390243902439</v>
      </c>
      <c r="M4691" s="241">
        <v>0.0769230769230769</v>
      </c>
      <c r="N4691" s="241">
        <v>0.0714285714285714</v>
      </c>
      <c r="O4691" s="252">
        <v>0.0508474576271186</v>
      </c>
    </row>
    <row r="4692" spans="1:15">
      <c r="A4692" s="242" t="s">
        <v>67</v>
      </c>
      <c r="B4692" s="43" t="s">
        <v>6</v>
      </c>
      <c r="C4692" s="15">
        <v>3</v>
      </c>
      <c r="D4692" s="244">
        <v>0</v>
      </c>
      <c r="E4692" s="244">
        <v>0</v>
      </c>
      <c r="F4692" s="244">
        <v>1</v>
      </c>
      <c r="G4692" s="244">
        <v>0</v>
      </c>
      <c r="H4692" s="244">
        <v>1</v>
      </c>
      <c r="I4692" s="244">
        <v>0</v>
      </c>
      <c r="J4692" s="244">
        <v>0</v>
      </c>
      <c r="K4692" s="244">
        <v>0</v>
      </c>
      <c r="L4692" s="244">
        <v>1</v>
      </c>
      <c r="M4692" s="244">
        <v>0</v>
      </c>
      <c r="N4692" s="244">
        <v>0</v>
      </c>
      <c r="O4692" s="254">
        <v>0</v>
      </c>
    </row>
    <row r="4693" ht="14.25" spans="1:15">
      <c r="A4693" s="245" t="s">
        <v>67</v>
      </c>
      <c r="B4693" s="52" t="s">
        <v>64</v>
      </c>
      <c r="C4693" s="19">
        <v>0.166666666666667</v>
      </c>
      <c r="D4693" s="246">
        <v>0</v>
      </c>
      <c r="E4693" s="246">
        <v>0</v>
      </c>
      <c r="F4693" s="246">
        <v>0.5</v>
      </c>
      <c r="G4693" s="246">
        <v>0</v>
      </c>
      <c r="H4693" s="246">
        <v>0</v>
      </c>
      <c r="I4693" s="246">
        <v>0</v>
      </c>
      <c r="J4693" s="246">
        <v>0</v>
      </c>
      <c r="K4693" s="246">
        <v>0</v>
      </c>
      <c r="L4693" s="246">
        <v>1</v>
      </c>
      <c r="M4693" s="246">
        <v>0</v>
      </c>
      <c r="N4693" s="246">
        <v>0</v>
      </c>
      <c r="O4693" s="255">
        <v>0</v>
      </c>
    </row>
    <row r="4694" spans="1:15">
      <c r="A4694" s="240" t="s">
        <v>68</v>
      </c>
      <c r="B4694" s="47" t="s">
        <v>55</v>
      </c>
      <c r="C4694" s="12">
        <v>0.269569594764661</v>
      </c>
      <c r="D4694" s="241">
        <v>0.256944444444444</v>
      </c>
      <c r="E4694" s="241">
        <v>0.270042194092827</v>
      </c>
      <c r="F4694" s="241">
        <v>0.266233766233766</v>
      </c>
      <c r="G4694" s="241">
        <v>0.359281437125749</v>
      </c>
      <c r="H4694" s="241">
        <v>0.334600760456274</v>
      </c>
      <c r="I4694" s="241">
        <v>0.253731343283582</v>
      </c>
      <c r="J4694" s="241">
        <v>0.232758620689655</v>
      </c>
      <c r="K4694" s="241">
        <v>0.255506607929515</v>
      </c>
      <c r="L4694" s="241">
        <v>0.282973621103118</v>
      </c>
      <c r="M4694" s="241">
        <v>0.283746556473829</v>
      </c>
      <c r="N4694" s="241">
        <v>0.275757575757576</v>
      </c>
      <c r="O4694" s="252">
        <v>0.238900634249471</v>
      </c>
    </row>
    <row r="4695" spans="1:15">
      <c r="A4695" s="242" t="s">
        <v>68</v>
      </c>
      <c r="B4695" s="43" t="s">
        <v>57</v>
      </c>
      <c r="C4695" s="15">
        <v>3973</v>
      </c>
      <c r="D4695" s="243">
        <v>432</v>
      </c>
      <c r="E4695" s="243">
        <v>237</v>
      </c>
      <c r="F4695" s="243">
        <v>154</v>
      </c>
      <c r="G4695" s="243">
        <v>167</v>
      </c>
      <c r="H4695" s="243">
        <v>263</v>
      </c>
      <c r="I4695" s="243">
        <v>335</v>
      </c>
      <c r="J4695" s="243">
        <v>348</v>
      </c>
      <c r="K4695" s="243">
        <v>454</v>
      </c>
      <c r="L4695" s="243">
        <v>417</v>
      </c>
      <c r="M4695" s="243">
        <v>363</v>
      </c>
      <c r="N4695" s="243">
        <v>330</v>
      </c>
      <c r="O4695" s="253">
        <v>473</v>
      </c>
    </row>
    <row r="4696" spans="1:15">
      <c r="A4696" s="240" t="s">
        <v>68</v>
      </c>
      <c r="B4696" s="47" t="s">
        <v>59</v>
      </c>
      <c r="C4696" s="15">
        <v>1071</v>
      </c>
      <c r="D4696" s="243">
        <v>111</v>
      </c>
      <c r="E4696" s="243">
        <v>64</v>
      </c>
      <c r="F4696" s="243">
        <v>41</v>
      </c>
      <c r="G4696" s="243">
        <v>60</v>
      </c>
      <c r="H4696" s="243">
        <v>88</v>
      </c>
      <c r="I4696" s="243">
        <v>85</v>
      </c>
      <c r="J4696" s="243">
        <v>81</v>
      </c>
      <c r="K4696" s="243">
        <v>116</v>
      </c>
      <c r="L4696" s="243">
        <v>118</v>
      </c>
      <c r="M4696" s="243">
        <v>103</v>
      </c>
      <c r="N4696" s="243">
        <v>91</v>
      </c>
      <c r="O4696" s="253">
        <v>113</v>
      </c>
    </row>
    <row r="4697" spans="1:15">
      <c r="A4697" s="242" t="s">
        <v>68</v>
      </c>
      <c r="B4697" s="43" t="s">
        <v>4</v>
      </c>
      <c r="C4697" s="15">
        <v>65</v>
      </c>
      <c r="D4697" s="244">
        <v>6</v>
      </c>
      <c r="E4697" s="244">
        <v>11</v>
      </c>
      <c r="F4697" s="244">
        <v>4</v>
      </c>
      <c r="G4697" s="244">
        <v>4</v>
      </c>
      <c r="H4697" s="244">
        <v>6</v>
      </c>
      <c r="I4697" s="244">
        <v>3</v>
      </c>
      <c r="J4697" s="244">
        <v>7</v>
      </c>
      <c r="K4697" s="244">
        <v>5</v>
      </c>
      <c r="L4697" s="244">
        <v>3</v>
      </c>
      <c r="M4697" s="244">
        <v>5</v>
      </c>
      <c r="N4697" s="244">
        <v>4</v>
      </c>
      <c r="O4697" s="254">
        <v>7</v>
      </c>
    </row>
    <row r="4698" spans="1:15">
      <c r="A4698" s="240" t="s">
        <v>68</v>
      </c>
      <c r="B4698" s="47" t="s">
        <v>5</v>
      </c>
      <c r="C4698" s="12">
        <v>0.0606909430438842</v>
      </c>
      <c r="D4698" s="241">
        <v>0.0540540540540541</v>
      </c>
      <c r="E4698" s="241">
        <v>0.171875</v>
      </c>
      <c r="F4698" s="241">
        <v>0.0975609756097561</v>
      </c>
      <c r="G4698" s="241">
        <v>0.0666666666666667</v>
      </c>
      <c r="H4698" s="241">
        <v>0.0681818181818182</v>
      </c>
      <c r="I4698" s="241">
        <v>0.0352941176470588</v>
      </c>
      <c r="J4698" s="241">
        <v>0.0864197530864197</v>
      </c>
      <c r="K4698" s="241">
        <v>0.0431034482758621</v>
      </c>
      <c r="L4698" s="241">
        <v>0.0254237288135593</v>
      </c>
      <c r="M4698" s="241">
        <v>0.0485436893203883</v>
      </c>
      <c r="N4698" s="241">
        <v>0.043956043956044</v>
      </c>
      <c r="O4698" s="252">
        <v>0.0619469026548673</v>
      </c>
    </row>
    <row r="4699" spans="1:15">
      <c r="A4699" s="242" t="s">
        <v>68</v>
      </c>
      <c r="B4699" s="43" t="s">
        <v>6</v>
      </c>
      <c r="C4699" s="15">
        <v>30</v>
      </c>
      <c r="D4699" s="244">
        <v>3</v>
      </c>
      <c r="E4699" s="244">
        <v>7</v>
      </c>
      <c r="F4699" s="244">
        <v>2</v>
      </c>
      <c r="G4699" s="244">
        <v>0</v>
      </c>
      <c r="H4699" s="244">
        <v>2</v>
      </c>
      <c r="I4699" s="244">
        <v>1</v>
      </c>
      <c r="J4699" s="244">
        <v>3</v>
      </c>
      <c r="K4699" s="244">
        <v>3</v>
      </c>
      <c r="L4699" s="244">
        <v>2</v>
      </c>
      <c r="M4699" s="244">
        <v>2</v>
      </c>
      <c r="N4699" s="244">
        <v>3</v>
      </c>
      <c r="O4699" s="254">
        <v>2</v>
      </c>
    </row>
    <row r="4700" ht="14.25" spans="1:15">
      <c r="A4700" s="245" t="s">
        <v>68</v>
      </c>
      <c r="B4700" s="52" t="s">
        <v>64</v>
      </c>
      <c r="C4700" s="19">
        <v>0.461538461538462</v>
      </c>
      <c r="D4700" s="246">
        <v>0.5</v>
      </c>
      <c r="E4700" s="246">
        <v>0.636363636363636</v>
      </c>
      <c r="F4700" s="246">
        <v>0.5</v>
      </c>
      <c r="G4700" s="246">
        <v>0</v>
      </c>
      <c r="H4700" s="246">
        <v>0.333333333333333</v>
      </c>
      <c r="I4700" s="246">
        <v>0.333333333333333</v>
      </c>
      <c r="J4700" s="246">
        <v>0.428571428571429</v>
      </c>
      <c r="K4700" s="246">
        <v>0.6</v>
      </c>
      <c r="L4700" s="246">
        <v>0.666666666666667</v>
      </c>
      <c r="M4700" s="246">
        <v>0.4</v>
      </c>
      <c r="N4700" s="246">
        <v>0.75</v>
      </c>
      <c r="O4700" s="255">
        <v>0.285714285714286</v>
      </c>
    </row>
    <row r="4701" spans="1:15">
      <c r="A4701" s="240" t="s">
        <v>69</v>
      </c>
      <c r="B4701" s="47" t="s">
        <v>55</v>
      </c>
      <c r="C4701" s="12">
        <v>1.34552845528455</v>
      </c>
      <c r="D4701" s="241">
        <v>1.31428571428571</v>
      </c>
      <c r="E4701" s="241">
        <v>1.44444444444444</v>
      </c>
      <c r="F4701" s="241">
        <v>1.4</v>
      </c>
      <c r="G4701" s="241">
        <v>1.3</v>
      </c>
      <c r="H4701" s="241">
        <v>1.2</v>
      </c>
      <c r="I4701" s="241">
        <v>1.88235294117647</v>
      </c>
      <c r="J4701" s="241">
        <v>1.08</v>
      </c>
      <c r="K4701" s="241">
        <v>1.55555555555556</v>
      </c>
      <c r="L4701" s="241">
        <v>1.5</v>
      </c>
      <c r="M4701" s="241">
        <v>1.5</v>
      </c>
      <c r="N4701" s="241">
        <v>1.4</v>
      </c>
      <c r="O4701" s="252">
        <v>0.928571428571429</v>
      </c>
    </row>
    <row r="4702" spans="1:15">
      <c r="A4702" s="242" t="s">
        <v>69</v>
      </c>
      <c r="B4702" s="43" t="s">
        <v>57</v>
      </c>
      <c r="C4702" s="15">
        <v>246</v>
      </c>
      <c r="D4702" s="243">
        <v>35</v>
      </c>
      <c r="E4702" s="243">
        <v>9</v>
      </c>
      <c r="F4702" s="243">
        <v>5</v>
      </c>
      <c r="G4702" s="243">
        <v>10</v>
      </c>
      <c r="H4702" s="243">
        <v>20</v>
      </c>
      <c r="I4702" s="243">
        <v>17</v>
      </c>
      <c r="J4702" s="243">
        <v>25</v>
      </c>
      <c r="K4702" s="243">
        <v>18</v>
      </c>
      <c r="L4702" s="243">
        <v>20</v>
      </c>
      <c r="M4702" s="243">
        <v>24</v>
      </c>
      <c r="N4702" s="243">
        <v>35</v>
      </c>
      <c r="O4702" s="253">
        <v>28</v>
      </c>
    </row>
    <row r="4703" spans="1:15">
      <c r="A4703" s="240" t="s">
        <v>69</v>
      </c>
      <c r="B4703" s="47" t="s">
        <v>59</v>
      </c>
      <c r="C4703" s="15">
        <v>331</v>
      </c>
      <c r="D4703" s="243">
        <v>46</v>
      </c>
      <c r="E4703" s="243">
        <v>13</v>
      </c>
      <c r="F4703" s="243">
        <v>7</v>
      </c>
      <c r="G4703" s="243">
        <v>13</v>
      </c>
      <c r="H4703" s="243">
        <v>24</v>
      </c>
      <c r="I4703" s="243">
        <v>32</v>
      </c>
      <c r="J4703" s="243">
        <v>27</v>
      </c>
      <c r="K4703" s="243">
        <v>28</v>
      </c>
      <c r="L4703" s="243">
        <v>30</v>
      </c>
      <c r="M4703" s="243">
        <v>36</v>
      </c>
      <c r="N4703" s="243">
        <v>49</v>
      </c>
      <c r="O4703" s="253">
        <v>26</v>
      </c>
    </row>
    <row r="4704" spans="1:15">
      <c r="A4704" s="242" t="s">
        <v>69</v>
      </c>
      <c r="B4704" s="43" t="s">
        <v>4</v>
      </c>
      <c r="C4704" s="15">
        <v>4</v>
      </c>
      <c r="D4704" s="244">
        <v>0</v>
      </c>
      <c r="E4704" s="244">
        <v>0</v>
      </c>
      <c r="F4704" s="244">
        <v>0</v>
      </c>
      <c r="G4704" s="244">
        <v>1</v>
      </c>
      <c r="H4704" s="244">
        <v>0</v>
      </c>
      <c r="I4704" s="244">
        <v>1</v>
      </c>
      <c r="J4704" s="244">
        <v>1</v>
      </c>
      <c r="K4704" s="244">
        <v>0</v>
      </c>
      <c r="L4704" s="244">
        <v>0</v>
      </c>
      <c r="M4704" s="244">
        <v>1</v>
      </c>
      <c r="N4704" s="244">
        <v>0</v>
      </c>
      <c r="O4704" s="254">
        <v>0</v>
      </c>
    </row>
    <row r="4705" spans="1:15">
      <c r="A4705" s="240" t="s">
        <v>69</v>
      </c>
      <c r="B4705" s="47" t="s">
        <v>5</v>
      </c>
      <c r="C4705" s="12">
        <v>0.0120845921450151</v>
      </c>
      <c r="D4705" s="241">
        <v>0</v>
      </c>
      <c r="E4705" s="241">
        <v>0</v>
      </c>
      <c r="F4705" s="241">
        <v>0</v>
      </c>
      <c r="G4705" s="241">
        <v>0.0769230769230769</v>
      </c>
      <c r="H4705" s="241">
        <v>0</v>
      </c>
      <c r="I4705" s="241">
        <v>0.03125</v>
      </c>
      <c r="J4705" s="241">
        <v>0.037037037037037</v>
      </c>
      <c r="K4705" s="241">
        <v>0</v>
      </c>
      <c r="L4705" s="241">
        <v>0</v>
      </c>
      <c r="M4705" s="241">
        <v>0.0277777777777778</v>
      </c>
      <c r="N4705" s="241">
        <v>0</v>
      </c>
      <c r="O4705" s="252">
        <v>0</v>
      </c>
    </row>
    <row r="4706" spans="1:15">
      <c r="A4706" s="242" t="s">
        <v>69</v>
      </c>
      <c r="B4706" s="43" t="s">
        <v>6</v>
      </c>
      <c r="C4706" s="15">
        <v>1</v>
      </c>
      <c r="D4706" s="244">
        <v>1</v>
      </c>
      <c r="E4706" s="244">
        <v>0</v>
      </c>
      <c r="F4706" s="244">
        <v>0</v>
      </c>
      <c r="G4706" s="244">
        <v>0</v>
      </c>
      <c r="H4706" s="244">
        <v>0</v>
      </c>
      <c r="I4706" s="244">
        <v>0</v>
      </c>
      <c r="J4706" s="244">
        <v>0</v>
      </c>
      <c r="K4706" s="244">
        <v>0</v>
      </c>
      <c r="L4706" s="244">
        <v>0</v>
      </c>
      <c r="M4706" s="244">
        <v>0</v>
      </c>
      <c r="N4706" s="244">
        <v>0</v>
      </c>
      <c r="O4706" s="254">
        <v>0</v>
      </c>
    </row>
    <row r="4707" ht="14.25" spans="1:15">
      <c r="A4707" s="245" t="s">
        <v>69</v>
      </c>
      <c r="B4707" s="52" t="s">
        <v>64</v>
      </c>
      <c r="C4707" s="19">
        <v>0.25</v>
      </c>
      <c r="D4707" s="246">
        <v>0</v>
      </c>
      <c r="E4707" s="246">
        <v>0</v>
      </c>
      <c r="F4707" s="246">
        <v>0</v>
      </c>
      <c r="G4707" s="246">
        <v>0</v>
      </c>
      <c r="H4707" s="246">
        <v>0</v>
      </c>
      <c r="I4707" s="246">
        <v>0</v>
      </c>
      <c r="J4707" s="246">
        <v>0</v>
      </c>
      <c r="K4707" s="246">
        <v>0</v>
      </c>
      <c r="L4707" s="246">
        <v>0</v>
      </c>
      <c r="M4707" s="246">
        <v>0</v>
      </c>
      <c r="N4707" s="246">
        <v>0</v>
      </c>
      <c r="O4707" s="255">
        <v>0</v>
      </c>
    </row>
    <row r="4708" spans="1:15">
      <c r="A4708" s="240" t="s">
        <v>70</v>
      </c>
      <c r="B4708" s="47" t="s">
        <v>55</v>
      </c>
      <c r="C4708" s="12">
        <v>0.383851931330472</v>
      </c>
      <c r="D4708" s="241">
        <v>0.402203856749311</v>
      </c>
      <c r="E4708" s="241">
        <v>0.462311557788945</v>
      </c>
      <c r="F4708" s="241">
        <v>0.471264367816092</v>
      </c>
      <c r="G4708" s="241">
        <v>0.517857142857143</v>
      </c>
      <c r="H4708" s="241">
        <v>0.469135802469136</v>
      </c>
      <c r="I4708" s="241">
        <v>0.37953795379538</v>
      </c>
      <c r="J4708" s="241">
        <v>0.393767705382436</v>
      </c>
      <c r="K4708" s="241">
        <v>0.425414364640884</v>
      </c>
      <c r="L4708" s="241">
        <v>0.359249329758713</v>
      </c>
      <c r="M4708" s="241">
        <v>0.348441926345609</v>
      </c>
      <c r="N4708" s="241">
        <v>0.296803652968037</v>
      </c>
      <c r="O4708" s="252">
        <v>0.288220551378446</v>
      </c>
    </row>
    <row r="4709" spans="1:15">
      <c r="A4709" s="242" t="s">
        <v>70</v>
      </c>
      <c r="B4709" s="43" t="s">
        <v>57</v>
      </c>
      <c r="C4709" s="15">
        <v>3728</v>
      </c>
      <c r="D4709" s="243">
        <v>363</v>
      </c>
      <c r="E4709" s="243">
        <v>199</v>
      </c>
      <c r="F4709" s="243">
        <v>174</v>
      </c>
      <c r="G4709" s="243">
        <v>168</v>
      </c>
      <c r="H4709" s="243">
        <v>243</v>
      </c>
      <c r="I4709" s="243">
        <v>303</v>
      </c>
      <c r="J4709" s="243">
        <v>353</v>
      </c>
      <c r="K4709" s="243">
        <v>362</v>
      </c>
      <c r="L4709" s="243">
        <v>373</v>
      </c>
      <c r="M4709" s="243">
        <v>353</v>
      </c>
      <c r="N4709" s="243">
        <v>438</v>
      </c>
      <c r="O4709" s="253">
        <v>399</v>
      </c>
    </row>
    <row r="4710" spans="1:15">
      <c r="A4710" s="240" t="s">
        <v>70</v>
      </c>
      <c r="B4710" s="47" t="s">
        <v>59</v>
      </c>
      <c r="C4710" s="15">
        <v>1431</v>
      </c>
      <c r="D4710" s="243">
        <v>146</v>
      </c>
      <c r="E4710" s="243">
        <v>92</v>
      </c>
      <c r="F4710" s="243">
        <v>82</v>
      </c>
      <c r="G4710" s="243">
        <v>87</v>
      </c>
      <c r="H4710" s="243">
        <v>114</v>
      </c>
      <c r="I4710" s="243">
        <v>115</v>
      </c>
      <c r="J4710" s="243">
        <v>139</v>
      </c>
      <c r="K4710" s="243">
        <v>154</v>
      </c>
      <c r="L4710" s="243">
        <v>134</v>
      </c>
      <c r="M4710" s="243">
        <v>123</v>
      </c>
      <c r="N4710" s="243">
        <v>130</v>
      </c>
      <c r="O4710" s="253">
        <v>115</v>
      </c>
    </row>
    <row r="4711" spans="1:15">
      <c r="A4711" s="242" t="s">
        <v>70</v>
      </c>
      <c r="B4711" s="43" t="s">
        <v>4</v>
      </c>
      <c r="C4711" s="15">
        <v>127</v>
      </c>
      <c r="D4711" s="244">
        <v>22</v>
      </c>
      <c r="E4711" s="244">
        <v>9</v>
      </c>
      <c r="F4711" s="244">
        <v>7</v>
      </c>
      <c r="G4711" s="244">
        <v>7</v>
      </c>
      <c r="H4711" s="244">
        <v>4</v>
      </c>
      <c r="I4711" s="244">
        <v>7</v>
      </c>
      <c r="J4711" s="244">
        <v>14</v>
      </c>
      <c r="K4711" s="244">
        <v>15</v>
      </c>
      <c r="L4711" s="244">
        <v>9</v>
      </c>
      <c r="M4711" s="244">
        <v>14</v>
      </c>
      <c r="N4711" s="244">
        <v>9</v>
      </c>
      <c r="O4711" s="254">
        <v>10</v>
      </c>
    </row>
    <row r="4712" spans="1:15">
      <c r="A4712" s="240" t="s">
        <v>70</v>
      </c>
      <c r="B4712" s="47" t="s">
        <v>5</v>
      </c>
      <c r="C4712" s="12">
        <v>0.0887491264849755</v>
      </c>
      <c r="D4712" s="241">
        <v>0.150684931506849</v>
      </c>
      <c r="E4712" s="241">
        <v>0.0978260869565217</v>
      </c>
      <c r="F4712" s="241">
        <v>0.0853658536585366</v>
      </c>
      <c r="G4712" s="241">
        <v>0.0804597701149425</v>
      </c>
      <c r="H4712" s="241">
        <v>0.0350877192982456</v>
      </c>
      <c r="I4712" s="241">
        <v>0.0608695652173913</v>
      </c>
      <c r="J4712" s="241">
        <v>0.100719424460432</v>
      </c>
      <c r="K4712" s="241">
        <v>0.0974025974025974</v>
      </c>
      <c r="L4712" s="241">
        <v>0.0671641791044776</v>
      </c>
      <c r="M4712" s="241">
        <v>0.113821138211382</v>
      </c>
      <c r="N4712" s="241">
        <v>0.0692307692307692</v>
      </c>
      <c r="O4712" s="252">
        <v>0.0869565217391304</v>
      </c>
    </row>
    <row r="4713" spans="1:15">
      <c r="A4713" s="242" t="s">
        <v>70</v>
      </c>
      <c r="B4713" s="43" t="s">
        <v>6</v>
      </c>
      <c r="C4713" s="15">
        <v>35</v>
      </c>
      <c r="D4713" s="244">
        <v>10</v>
      </c>
      <c r="E4713" s="244">
        <v>2</v>
      </c>
      <c r="F4713" s="244">
        <v>0</v>
      </c>
      <c r="G4713" s="244">
        <v>0</v>
      </c>
      <c r="H4713" s="244">
        <v>0</v>
      </c>
      <c r="I4713" s="244">
        <v>1</v>
      </c>
      <c r="J4713" s="244">
        <v>3</v>
      </c>
      <c r="K4713" s="244">
        <v>4</v>
      </c>
      <c r="L4713" s="244">
        <v>2</v>
      </c>
      <c r="M4713" s="244">
        <v>7</v>
      </c>
      <c r="N4713" s="244">
        <v>4</v>
      </c>
      <c r="O4713" s="254">
        <v>2</v>
      </c>
    </row>
    <row r="4714" ht="14.25" spans="1:15">
      <c r="A4714" s="245" t="s">
        <v>70</v>
      </c>
      <c r="B4714" s="52" t="s">
        <v>64</v>
      </c>
      <c r="C4714" s="19">
        <v>0.275590551181102</v>
      </c>
      <c r="D4714" s="246">
        <v>0.454545454545455</v>
      </c>
      <c r="E4714" s="246">
        <v>0.222222222222222</v>
      </c>
      <c r="F4714" s="246">
        <v>0</v>
      </c>
      <c r="G4714" s="246">
        <v>0</v>
      </c>
      <c r="H4714" s="246">
        <v>0</v>
      </c>
      <c r="I4714" s="246">
        <v>0.142857142857143</v>
      </c>
      <c r="J4714" s="246">
        <v>0.214285714285714</v>
      </c>
      <c r="K4714" s="246">
        <v>0.266666666666667</v>
      </c>
      <c r="L4714" s="246">
        <v>0.222222222222222</v>
      </c>
      <c r="M4714" s="246">
        <v>0.5</v>
      </c>
      <c r="N4714" s="246">
        <v>0.444444444444444</v>
      </c>
      <c r="O4714" s="255">
        <v>0.2</v>
      </c>
    </row>
    <row r="4715" spans="1:15">
      <c r="A4715" s="240" t="s">
        <v>26</v>
      </c>
      <c r="B4715" s="47" t="s">
        <v>55</v>
      </c>
      <c r="C4715" s="12">
        <v>0.0627695256348826</v>
      </c>
      <c r="D4715" s="241">
        <v>0.0349344978165939</v>
      </c>
      <c r="E4715" s="241">
        <v>0.0045662100456621</v>
      </c>
      <c r="F4715" s="241">
        <v>0.00343642611683849</v>
      </c>
      <c r="G4715" s="241">
        <v>0.0509803921568627</v>
      </c>
      <c r="H4715" s="241">
        <v>0.0487804878048781</v>
      </c>
      <c r="I4715" s="241">
        <v>0.094017094017094</v>
      </c>
      <c r="J4715" s="241">
        <v>0.135802469135802</v>
      </c>
      <c r="K4715" s="241">
        <v>0.202702702702703</v>
      </c>
      <c r="L4715" s="241">
        <v>0.227272727272727</v>
      </c>
      <c r="M4715" s="241">
        <v>0.307692307692308</v>
      </c>
      <c r="N4715" s="241">
        <v>0.207547169811321</v>
      </c>
      <c r="O4715" s="252">
        <v>0.315789473684211</v>
      </c>
    </row>
    <row r="4716" spans="1:15">
      <c r="A4716" s="242" t="s">
        <v>26</v>
      </c>
      <c r="B4716" s="43" t="s">
        <v>57</v>
      </c>
      <c r="C4716" s="15">
        <v>2087</v>
      </c>
      <c r="D4716" s="243">
        <v>458</v>
      </c>
      <c r="E4716" s="243">
        <v>438</v>
      </c>
      <c r="F4716" s="243">
        <v>291</v>
      </c>
      <c r="G4716" s="243">
        <v>255</v>
      </c>
      <c r="H4716" s="243">
        <v>164</v>
      </c>
      <c r="I4716" s="243">
        <v>117</v>
      </c>
      <c r="J4716" s="243">
        <v>81</v>
      </c>
      <c r="K4716" s="243">
        <v>74</v>
      </c>
      <c r="L4716" s="243">
        <v>66</v>
      </c>
      <c r="M4716" s="243">
        <v>52</v>
      </c>
      <c r="N4716" s="243">
        <v>53</v>
      </c>
      <c r="O4716" s="253">
        <v>38</v>
      </c>
    </row>
    <row r="4717" spans="1:15">
      <c r="A4717" s="240" t="s">
        <v>26</v>
      </c>
      <c r="B4717" s="47" t="s">
        <v>59</v>
      </c>
      <c r="C4717" s="15">
        <v>131</v>
      </c>
      <c r="D4717" s="243">
        <v>16</v>
      </c>
      <c r="E4717" s="243">
        <v>2</v>
      </c>
      <c r="F4717" s="243">
        <v>1</v>
      </c>
      <c r="G4717" s="243">
        <v>13</v>
      </c>
      <c r="H4717" s="243">
        <v>8</v>
      </c>
      <c r="I4717" s="243">
        <v>11</v>
      </c>
      <c r="J4717" s="243">
        <v>11</v>
      </c>
      <c r="K4717" s="243">
        <v>15</v>
      </c>
      <c r="L4717" s="243">
        <v>15</v>
      </c>
      <c r="M4717" s="243">
        <v>16</v>
      </c>
      <c r="N4717" s="243">
        <v>11</v>
      </c>
      <c r="O4717" s="253">
        <v>12</v>
      </c>
    </row>
    <row r="4718" spans="1:15">
      <c r="A4718" s="242" t="s">
        <v>26</v>
      </c>
      <c r="B4718" s="43" t="s">
        <v>4</v>
      </c>
      <c r="C4718" s="15">
        <v>0</v>
      </c>
      <c r="D4718" s="244">
        <v>0</v>
      </c>
      <c r="E4718" s="244">
        <v>0</v>
      </c>
      <c r="F4718" s="244">
        <v>0</v>
      </c>
      <c r="G4718" s="244">
        <v>0</v>
      </c>
      <c r="H4718" s="244">
        <v>0</v>
      </c>
      <c r="I4718" s="244">
        <v>0</v>
      </c>
      <c r="J4718" s="244">
        <v>0</v>
      </c>
      <c r="K4718" s="244">
        <v>0</v>
      </c>
      <c r="L4718" s="244">
        <v>0</v>
      </c>
      <c r="M4718" s="244">
        <v>0</v>
      </c>
      <c r="N4718" s="244">
        <v>0</v>
      </c>
      <c r="O4718" s="254">
        <v>0</v>
      </c>
    </row>
    <row r="4719" spans="1:15">
      <c r="A4719" s="240" t="s">
        <v>26</v>
      </c>
      <c r="B4719" s="47" t="s">
        <v>5</v>
      </c>
      <c r="C4719" s="12">
        <v>0</v>
      </c>
      <c r="D4719" s="241">
        <v>0</v>
      </c>
      <c r="E4719" s="241">
        <v>0</v>
      </c>
      <c r="F4719" s="241">
        <v>0</v>
      </c>
      <c r="G4719" s="241">
        <v>0</v>
      </c>
      <c r="H4719" s="241">
        <v>0</v>
      </c>
      <c r="I4719" s="241">
        <v>0</v>
      </c>
      <c r="J4719" s="241">
        <v>0</v>
      </c>
      <c r="K4719" s="241">
        <v>0</v>
      </c>
      <c r="L4719" s="241">
        <v>0</v>
      </c>
      <c r="M4719" s="241">
        <v>0</v>
      </c>
      <c r="N4719" s="241">
        <v>0</v>
      </c>
      <c r="O4719" s="252">
        <v>0</v>
      </c>
    </row>
    <row r="4720" spans="1:15">
      <c r="A4720" s="242" t="s">
        <v>26</v>
      </c>
      <c r="B4720" s="43" t="s">
        <v>6</v>
      </c>
      <c r="C4720" s="15">
        <v>1</v>
      </c>
      <c r="D4720" s="244">
        <v>0</v>
      </c>
      <c r="E4720" s="244">
        <v>0</v>
      </c>
      <c r="F4720" s="244">
        <v>0</v>
      </c>
      <c r="G4720" s="244">
        <v>0</v>
      </c>
      <c r="H4720" s="244">
        <v>0</v>
      </c>
      <c r="I4720" s="244">
        <v>0</v>
      </c>
      <c r="J4720" s="244">
        <v>0</v>
      </c>
      <c r="K4720" s="244">
        <v>0</v>
      </c>
      <c r="L4720" s="244">
        <v>0</v>
      </c>
      <c r="M4720" s="244">
        <v>0</v>
      </c>
      <c r="N4720" s="244">
        <v>0</v>
      </c>
      <c r="O4720" s="254">
        <v>1</v>
      </c>
    </row>
    <row r="4721" ht="14.25" spans="1:15">
      <c r="A4721" s="245" t="s">
        <v>26</v>
      </c>
      <c r="B4721" s="52" t="s">
        <v>64</v>
      </c>
      <c r="C4721" s="19" t="e">
        <v>#DIV/0!</v>
      </c>
      <c r="D4721" s="19" t="e">
        <v>#DIV/0!</v>
      </c>
      <c r="E4721" s="19" t="e">
        <v>#DIV/0!</v>
      </c>
      <c r="F4721" s="19" t="e">
        <v>#DIV/0!</v>
      </c>
      <c r="G4721" s="19" t="e">
        <v>#DIV/0!</v>
      </c>
      <c r="H4721" s="19" t="e">
        <v>#DIV/0!</v>
      </c>
      <c r="I4721" s="19" t="e">
        <v>#DIV/0!</v>
      </c>
      <c r="J4721" s="19" t="e">
        <v>#DIV/0!</v>
      </c>
      <c r="K4721" s="19" t="e">
        <v>#DIV/0!</v>
      </c>
      <c r="L4721" s="19" t="e">
        <v>#DIV/0!</v>
      </c>
      <c r="M4721" s="19" t="e">
        <v>#DIV/0!</v>
      </c>
      <c r="N4721" s="19" t="e">
        <v>#DIV/0!</v>
      </c>
      <c r="O4721" s="19" t="e">
        <v>#DIV/0!</v>
      </c>
    </row>
    <row r="4722" spans="1:15">
      <c r="A4722" s="240" t="s">
        <v>71</v>
      </c>
      <c r="B4722" s="47" t="s">
        <v>55</v>
      </c>
      <c r="C4722" s="12">
        <v>162.333333333333</v>
      </c>
      <c r="D4722" s="241" t="e">
        <v>#DIV/0!</v>
      </c>
      <c r="E4722" s="241" t="e">
        <v>#DIV/0!</v>
      </c>
      <c r="F4722" s="241">
        <v>11</v>
      </c>
      <c r="G4722" s="241" t="e">
        <v>#DIV/0!</v>
      </c>
      <c r="H4722" s="241" t="e">
        <v>#DIV/0!</v>
      </c>
      <c r="I4722" s="241" t="e">
        <v>#DIV/0!</v>
      </c>
      <c r="J4722" s="241" t="e">
        <v>#DIV/0!</v>
      </c>
      <c r="K4722" s="241" t="e">
        <v>#DIV/0!</v>
      </c>
      <c r="L4722" s="241" t="e">
        <v>#DIV/0!</v>
      </c>
      <c r="M4722" s="241" t="e">
        <v>#DIV/0!</v>
      </c>
      <c r="N4722" s="241">
        <v>44</v>
      </c>
      <c r="O4722" s="252" t="e">
        <v>#DIV/0!</v>
      </c>
    </row>
    <row r="4723" spans="1:15">
      <c r="A4723" s="242" t="s">
        <v>71</v>
      </c>
      <c r="B4723" s="43" t="s">
        <v>57</v>
      </c>
      <c r="C4723" s="15">
        <v>3</v>
      </c>
      <c r="D4723" s="243">
        <v>0</v>
      </c>
      <c r="E4723" s="243">
        <v>0</v>
      </c>
      <c r="F4723" s="243">
        <v>2</v>
      </c>
      <c r="G4723" s="243">
        <v>0</v>
      </c>
      <c r="H4723" s="243">
        <v>0</v>
      </c>
      <c r="I4723" s="243">
        <v>0</v>
      </c>
      <c r="J4723" s="243">
        <v>0</v>
      </c>
      <c r="K4723" s="243">
        <v>0</v>
      </c>
      <c r="L4723" s="243">
        <v>0</v>
      </c>
      <c r="M4723" s="243">
        <v>0</v>
      </c>
      <c r="N4723" s="243">
        <v>1</v>
      </c>
      <c r="O4723" s="253">
        <v>0</v>
      </c>
    </row>
    <row r="4724" spans="1:15">
      <c r="A4724" s="240" t="s">
        <v>71</v>
      </c>
      <c r="B4724" s="47" t="s">
        <v>59</v>
      </c>
      <c r="C4724" s="15">
        <v>487</v>
      </c>
      <c r="D4724" s="243">
        <v>43</v>
      </c>
      <c r="E4724" s="243">
        <v>36</v>
      </c>
      <c r="F4724" s="243">
        <v>22</v>
      </c>
      <c r="G4724" s="243">
        <v>29</v>
      </c>
      <c r="H4724" s="243">
        <v>35</v>
      </c>
      <c r="I4724" s="243">
        <v>28</v>
      </c>
      <c r="J4724" s="243">
        <v>35</v>
      </c>
      <c r="K4724" s="243">
        <v>45</v>
      </c>
      <c r="L4724" s="243">
        <v>56</v>
      </c>
      <c r="M4724" s="243">
        <v>51</v>
      </c>
      <c r="N4724" s="243">
        <v>44</v>
      </c>
      <c r="O4724" s="253">
        <v>63</v>
      </c>
    </row>
    <row r="4725" spans="1:15">
      <c r="A4725" s="242" t="s">
        <v>71</v>
      </c>
      <c r="B4725" s="43" t="s">
        <v>4</v>
      </c>
      <c r="C4725" s="15">
        <v>21</v>
      </c>
      <c r="D4725" s="244">
        <v>3</v>
      </c>
      <c r="E4725" s="244">
        <v>2</v>
      </c>
      <c r="F4725" s="244">
        <v>2</v>
      </c>
      <c r="G4725" s="244">
        <v>0</v>
      </c>
      <c r="H4725" s="244">
        <v>2</v>
      </c>
      <c r="I4725" s="244">
        <v>3</v>
      </c>
      <c r="J4725" s="244">
        <v>1</v>
      </c>
      <c r="K4725" s="244">
        <v>2</v>
      </c>
      <c r="L4725" s="244">
        <v>1</v>
      </c>
      <c r="M4725" s="244">
        <v>0</v>
      </c>
      <c r="N4725" s="244">
        <v>4</v>
      </c>
      <c r="O4725" s="254">
        <v>1</v>
      </c>
    </row>
    <row r="4726" spans="1:15">
      <c r="A4726" s="240" t="s">
        <v>71</v>
      </c>
      <c r="B4726" s="47" t="s">
        <v>5</v>
      </c>
      <c r="C4726" s="241">
        <v>0.0431211498973306</v>
      </c>
      <c r="D4726" s="241">
        <v>0.0697674418604651</v>
      </c>
      <c r="E4726" s="241">
        <v>0.0555555555555556</v>
      </c>
      <c r="F4726" s="241">
        <v>0.0909090909090909</v>
      </c>
      <c r="G4726" s="241">
        <v>0</v>
      </c>
      <c r="H4726" s="241">
        <v>0.0571428571428571</v>
      </c>
      <c r="I4726" s="241">
        <v>0.107142857142857</v>
      </c>
      <c r="J4726" s="241">
        <v>0.0285714285714286</v>
      </c>
      <c r="K4726" s="241">
        <v>0.0444444444444444</v>
      </c>
      <c r="L4726" s="241">
        <v>0.0178571428571429</v>
      </c>
      <c r="M4726" s="241">
        <v>0</v>
      </c>
      <c r="N4726" s="241">
        <v>0.0909090909090909</v>
      </c>
      <c r="O4726" s="252">
        <v>0.0158730158730159</v>
      </c>
    </row>
    <row r="4727" spans="1:15">
      <c r="A4727" s="242" t="s">
        <v>71</v>
      </c>
      <c r="B4727" s="43" t="s">
        <v>6</v>
      </c>
      <c r="C4727" s="15">
        <v>9</v>
      </c>
      <c r="D4727" s="244">
        <v>2</v>
      </c>
      <c r="E4727" s="244">
        <v>1</v>
      </c>
      <c r="F4727" s="244">
        <v>1</v>
      </c>
      <c r="G4727" s="244">
        <v>0</v>
      </c>
      <c r="H4727" s="244">
        <v>0</v>
      </c>
      <c r="I4727" s="244">
        <v>1</v>
      </c>
      <c r="J4727" s="244">
        <v>0</v>
      </c>
      <c r="K4727" s="244">
        <v>1</v>
      </c>
      <c r="L4727" s="244">
        <v>1</v>
      </c>
      <c r="M4727" s="244">
        <v>1</v>
      </c>
      <c r="N4727" s="244">
        <v>1</v>
      </c>
      <c r="O4727" s="254">
        <v>0</v>
      </c>
    </row>
    <row r="4728" ht="14.25" spans="1:15">
      <c r="A4728" s="245" t="s">
        <v>71</v>
      </c>
      <c r="B4728" s="52" t="s">
        <v>64</v>
      </c>
      <c r="C4728" s="19">
        <v>0.428571428571429</v>
      </c>
      <c r="D4728" s="19">
        <v>0.666666666666667</v>
      </c>
      <c r="E4728" s="19">
        <v>0.5</v>
      </c>
      <c r="F4728" s="19">
        <v>0.5</v>
      </c>
      <c r="G4728" s="19" t="e">
        <v>#DIV/0!</v>
      </c>
      <c r="H4728" s="19">
        <v>0</v>
      </c>
      <c r="I4728" s="19">
        <v>0.333333333333333</v>
      </c>
      <c r="J4728" s="19">
        <v>0</v>
      </c>
      <c r="K4728" s="19">
        <v>0.5</v>
      </c>
      <c r="L4728" s="19">
        <v>1</v>
      </c>
      <c r="M4728" s="19" t="e">
        <v>#DIV/0!</v>
      </c>
      <c r="N4728" s="19">
        <v>0.25</v>
      </c>
      <c r="O4728" s="19">
        <v>0</v>
      </c>
    </row>
    <row r="4729" spans="1:15">
      <c r="A4729" s="240" t="s">
        <v>72</v>
      </c>
      <c r="B4729" s="47" t="s">
        <v>55</v>
      </c>
      <c r="C4729" s="12">
        <v>0.143376120125938</v>
      </c>
      <c r="D4729" s="241">
        <v>0.154430379746835</v>
      </c>
      <c r="E4729" s="241">
        <v>0.185792349726776</v>
      </c>
      <c r="F4729" s="241">
        <v>0.130769230769231</v>
      </c>
      <c r="G4729" s="241">
        <v>0.171875</v>
      </c>
      <c r="H4729" s="241">
        <v>0.130434782608696</v>
      </c>
      <c r="I4729" s="241">
        <v>0.127147766323024</v>
      </c>
      <c r="J4729" s="241">
        <v>0.128378378378378</v>
      </c>
      <c r="K4729" s="241">
        <v>0.14070351758794</v>
      </c>
      <c r="L4729" s="241">
        <v>0.155717761557178</v>
      </c>
      <c r="M4729" s="241">
        <v>0.160098522167488</v>
      </c>
      <c r="N4729" s="241">
        <v>0.127946127946128</v>
      </c>
      <c r="O4729" s="252">
        <v>0.134831460674157</v>
      </c>
    </row>
    <row r="4730" spans="1:15">
      <c r="A4730" s="242" t="s">
        <v>72</v>
      </c>
      <c r="B4730" s="43" t="s">
        <v>57</v>
      </c>
      <c r="C4730" s="15">
        <v>4129</v>
      </c>
      <c r="D4730" s="243">
        <v>395</v>
      </c>
      <c r="E4730" s="243">
        <v>183</v>
      </c>
      <c r="F4730" s="243">
        <v>130</v>
      </c>
      <c r="G4730" s="243">
        <v>192</v>
      </c>
      <c r="H4730" s="243">
        <v>299</v>
      </c>
      <c r="I4730" s="243">
        <v>291</v>
      </c>
      <c r="J4730" s="243">
        <v>296</v>
      </c>
      <c r="K4730" s="243">
        <v>398</v>
      </c>
      <c r="L4730" s="243">
        <v>411</v>
      </c>
      <c r="M4730" s="243">
        <v>406</v>
      </c>
      <c r="N4730" s="243">
        <v>594</v>
      </c>
      <c r="O4730" s="253">
        <v>534</v>
      </c>
    </row>
    <row r="4731" spans="1:15">
      <c r="A4731" s="240" t="s">
        <v>72</v>
      </c>
      <c r="B4731" s="47" t="s">
        <v>59</v>
      </c>
      <c r="C4731" s="15">
        <v>592</v>
      </c>
      <c r="D4731" s="243">
        <v>61</v>
      </c>
      <c r="E4731" s="243">
        <v>34</v>
      </c>
      <c r="F4731" s="243">
        <v>17</v>
      </c>
      <c r="G4731" s="243">
        <v>33</v>
      </c>
      <c r="H4731" s="243">
        <v>39</v>
      </c>
      <c r="I4731" s="243">
        <v>37</v>
      </c>
      <c r="J4731" s="243">
        <v>38</v>
      </c>
      <c r="K4731" s="243">
        <v>56</v>
      </c>
      <c r="L4731" s="243">
        <v>64</v>
      </c>
      <c r="M4731" s="243">
        <v>65</v>
      </c>
      <c r="N4731" s="243">
        <v>76</v>
      </c>
      <c r="O4731" s="253">
        <v>72</v>
      </c>
    </row>
    <row r="4732" spans="1:15">
      <c r="A4732" s="242" t="s">
        <v>72</v>
      </c>
      <c r="B4732" s="43" t="s">
        <v>4</v>
      </c>
      <c r="C4732" s="15">
        <v>42</v>
      </c>
      <c r="D4732" s="244">
        <v>1</v>
      </c>
      <c r="E4732" s="244">
        <v>2</v>
      </c>
      <c r="F4732" s="244">
        <v>0</v>
      </c>
      <c r="G4732" s="244">
        <v>5</v>
      </c>
      <c r="H4732" s="244">
        <v>2</v>
      </c>
      <c r="I4732" s="244">
        <v>4</v>
      </c>
      <c r="J4732" s="244">
        <v>4</v>
      </c>
      <c r="K4732" s="244">
        <v>6</v>
      </c>
      <c r="L4732" s="244">
        <v>3</v>
      </c>
      <c r="M4732" s="244">
        <v>4</v>
      </c>
      <c r="N4732" s="244">
        <v>3</v>
      </c>
      <c r="O4732" s="254">
        <v>8</v>
      </c>
    </row>
    <row r="4733" spans="1:15">
      <c r="A4733" s="240" t="s">
        <v>72</v>
      </c>
      <c r="B4733" s="47" t="s">
        <v>5</v>
      </c>
      <c r="C4733" s="12">
        <v>0.0709459459459459</v>
      </c>
      <c r="D4733" s="241">
        <v>0.0163934426229508</v>
      </c>
      <c r="E4733" s="241">
        <v>0.0588235294117647</v>
      </c>
      <c r="F4733" s="241">
        <v>0</v>
      </c>
      <c r="G4733" s="241">
        <v>0.151515151515152</v>
      </c>
      <c r="H4733" s="241">
        <v>0.0512820512820513</v>
      </c>
      <c r="I4733" s="241">
        <v>0.108108108108108</v>
      </c>
      <c r="J4733" s="241">
        <v>0.105263157894737</v>
      </c>
      <c r="K4733" s="241">
        <v>0.107142857142857</v>
      </c>
      <c r="L4733" s="241">
        <v>0.046875</v>
      </c>
      <c r="M4733" s="241">
        <v>0.0615384615384615</v>
      </c>
      <c r="N4733" s="241">
        <v>0.0394736842105263</v>
      </c>
      <c r="O4733" s="252">
        <v>0.111111111111111</v>
      </c>
    </row>
    <row r="4734" spans="1:15">
      <c r="A4734" s="242" t="s">
        <v>72</v>
      </c>
      <c r="B4734" s="43" t="s">
        <v>6</v>
      </c>
      <c r="C4734" s="15">
        <v>11</v>
      </c>
      <c r="D4734" s="244">
        <v>2</v>
      </c>
      <c r="E4734" s="244">
        <v>0</v>
      </c>
      <c r="F4734" s="244">
        <v>0</v>
      </c>
      <c r="G4734" s="244">
        <v>1</v>
      </c>
      <c r="H4734" s="244">
        <v>0</v>
      </c>
      <c r="I4734" s="244">
        <v>1</v>
      </c>
      <c r="J4734" s="244">
        <v>0</v>
      </c>
      <c r="K4734" s="244">
        <v>2</v>
      </c>
      <c r="L4734" s="244">
        <v>2</v>
      </c>
      <c r="M4734" s="244">
        <v>0</v>
      </c>
      <c r="N4734" s="244">
        <v>1</v>
      </c>
      <c r="O4734" s="254">
        <v>2</v>
      </c>
    </row>
    <row r="4735" ht="14.25" spans="1:15">
      <c r="A4735" s="245" t="s">
        <v>72</v>
      </c>
      <c r="B4735" s="52" t="s">
        <v>64</v>
      </c>
      <c r="C4735" s="19">
        <v>0.261904761904762</v>
      </c>
      <c r="D4735" s="19">
        <v>2</v>
      </c>
      <c r="E4735" s="19">
        <v>0</v>
      </c>
      <c r="F4735" s="19" t="e">
        <v>#DIV/0!</v>
      </c>
      <c r="G4735" s="19">
        <v>0.2</v>
      </c>
      <c r="H4735" s="19">
        <v>0</v>
      </c>
      <c r="I4735" s="19">
        <v>0.25</v>
      </c>
      <c r="J4735" s="19">
        <v>0</v>
      </c>
      <c r="K4735" s="19">
        <v>0.333333333333333</v>
      </c>
      <c r="L4735" s="19">
        <v>0.666666666666667</v>
      </c>
      <c r="M4735" s="19">
        <v>0</v>
      </c>
      <c r="N4735" s="19">
        <v>0.333333333333333</v>
      </c>
      <c r="O4735" s="19">
        <v>0.25</v>
      </c>
    </row>
    <row r="4736" ht="14.25" spans="1:15">
      <c r="A4736" s="237">
        <v>45092</v>
      </c>
      <c r="B4736" s="237"/>
      <c r="C4736" s="237"/>
      <c r="D4736" s="237"/>
      <c r="E4736" s="237"/>
      <c r="F4736" s="237"/>
      <c r="G4736" s="237"/>
      <c r="H4736" s="237"/>
      <c r="I4736" s="237"/>
      <c r="J4736" s="237"/>
      <c r="K4736" s="237"/>
      <c r="L4736" s="237"/>
      <c r="M4736" s="237"/>
      <c r="N4736" s="237"/>
      <c r="O4736" s="237"/>
    </row>
    <row r="4737" spans="1:15">
      <c r="A4737" s="56" t="s">
        <v>1</v>
      </c>
      <c r="B4737" s="238"/>
      <c r="C4737" s="8" t="s">
        <v>42</v>
      </c>
      <c r="D4737" s="239" t="s">
        <v>43</v>
      </c>
      <c r="E4737" s="239" t="s">
        <v>44</v>
      </c>
      <c r="F4737" s="239" t="s">
        <v>45</v>
      </c>
      <c r="G4737" s="239" t="s">
        <v>46</v>
      </c>
      <c r="H4737" s="239" t="s">
        <v>47</v>
      </c>
      <c r="I4737" s="239" t="s">
        <v>48</v>
      </c>
      <c r="J4737" s="239" t="s">
        <v>49</v>
      </c>
      <c r="K4737" s="239" t="s">
        <v>50</v>
      </c>
      <c r="L4737" s="239" t="s">
        <v>51</v>
      </c>
      <c r="M4737" s="239" t="s">
        <v>52</v>
      </c>
      <c r="N4737" s="239" t="s">
        <v>53</v>
      </c>
      <c r="O4737" s="251" t="s">
        <v>54</v>
      </c>
    </row>
    <row r="4738" spans="1:15">
      <c r="A4738" s="240" t="s">
        <v>22</v>
      </c>
      <c r="B4738" s="47" t="s">
        <v>55</v>
      </c>
      <c r="C4738" s="12">
        <v>0.396623018607857</v>
      </c>
      <c r="D4738" s="241">
        <v>0.4765625</v>
      </c>
      <c r="E4738" s="241">
        <v>0.347058823529412</v>
      </c>
      <c r="F4738" s="241">
        <v>0.494845360824742</v>
      </c>
      <c r="G4738" s="241">
        <v>0.503937007874016</v>
      </c>
      <c r="H4738" s="241">
        <v>0.433333333333333</v>
      </c>
      <c r="I4738" s="241">
        <v>0.342741935483871</v>
      </c>
      <c r="J4738" s="241">
        <v>0.399122807017544</v>
      </c>
      <c r="K4738" s="241">
        <v>0.388111888111888</v>
      </c>
      <c r="L4738" s="241">
        <v>0.355633802816901</v>
      </c>
      <c r="M4738" s="241">
        <v>0.365853658536585</v>
      </c>
      <c r="N4738" s="241">
        <v>0.440828402366864</v>
      </c>
      <c r="O4738" s="252">
        <v>0.336927223719677</v>
      </c>
    </row>
    <row r="4739" spans="1:15">
      <c r="A4739" s="242" t="s">
        <v>22</v>
      </c>
      <c r="B4739" s="43" t="s">
        <v>57</v>
      </c>
      <c r="C4739" s="15">
        <v>2902</v>
      </c>
      <c r="D4739" s="243">
        <v>256</v>
      </c>
      <c r="E4739" s="243">
        <v>170</v>
      </c>
      <c r="F4739" s="243">
        <v>97</v>
      </c>
      <c r="G4739" s="243">
        <v>127</v>
      </c>
      <c r="H4739" s="243">
        <v>210</v>
      </c>
      <c r="I4739" s="243">
        <v>248</v>
      </c>
      <c r="J4739" s="243">
        <v>228</v>
      </c>
      <c r="K4739" s="243">
        <v>286</v>
      </c>
      <c r="L4739" s="243">
        <v>284</v>
      </c>
      <c r="M4739" s="243">
        <v>287</v>
      </c>
      <c r="N4739" s="243">
        <v>338</v>
      </c>
      <c r="O4739" s="253">
        <v>371</v>
      </c>
    </row>
    <row r="4740" spans="1:15">
      <c r="A4740" s="240" t="s">
        <v>22</v>
      </c>
      <c r="B4740" s="47" t="s">
        <v>59</v>
      </c>
      <c r="C4740" s="15">
        <v>1151</v>
      </c>
      <c r="D4740" s="243">
        <v>122</v>
      </c>
      <c r="E4740" s="243">
        <v>59</v>
      </c>
      <c r="F4740" s="243">
        <v>48</v>
      </c>
      <c r="G4740" s="243">
        <v>64</v>
      </c>
      <c r="H4740" s="243">
        <v>91</v>
      </c>
      <c r="I4740" s="243">
        <v>85</v>
      </c>
      <c r="J4740" s="243">
        <v>91</v>
      </c>
      <c r="K4740" s="243">
        <v>111</v>
      </c>
      <c r="L4740" s="243">
        <v>101</v>
      </c>
      <c r="M4740" s="243">
        <v>105</v>
      </c>
      <c r="N4740" s="243">
        <v>149</v>
      </c>
      <c r="O4740" s="253">
        <v>125</v>
      </c>
    </row>
    <row r="4741" spans="1:15">
      <c r="A4741" s="242" t="s">
        <v>22</v>
      </c>
      <c r="B4741" s="43" t="s">
        <v>4</v>
      </c>
      <c r="C4741" s="15">
        <v>74</v>
      </c>
      <c r="D4741" s="244">
        <v>5</v>
      </c>
      <c r="E4741" s="244">
        <v>4</v>
      </c>
      <c r="F4741" s="244">
        <v>5</v>
      </c>
      <c r="G4741" s="244">
        <v>0</v>
      </c>
      <c r="H4741" s="244">
        <v>5</v>
      </c>
      <c r="I4741" s="244">
        <v>5</v>
      </c>
      <c r="J4741" s="244">
        <v>4</v>
      </c>
      <c r="K4741" s="244">
        <v>8</v>
      </c>
      <c r="L4741" s="244">
        <v>4</v>
      </c>
      <c r="M4741" s="244">
        <v>3</v>
      </c>
      <c r="N4741" s="244">
        <v>15</v>
      </c>
      <c r="O4741" s="254">
        <v>16</v>
      </c>
    </row>
    <row r="4742" spans="1:15">
      <c r="A4742" s="240" t="s">
        <v>22</v>
      </c>
      <c r="B4742" s="47" t="s">
        <v>5</v>
      </c>
      <c r="C4742" s="12">
        <v>0.0642919200695048</v>
      </c>
      <c r="D4742" s="241">
        <v>0.040983606557377</v>
      </c>
      <c r="E4742" s="241">
        <v>0.0677966101694915</v>
      </c>
      <c r="F4742" s="241">
        <v>0.104166666666667</v>
      </c>
      <c r="G4742" s="241">
        <v>0</v>
      </c>
      <c r="H4742" s="241">
        <v>0.0549450549450549</v>
      </c>
      <c r="I4742" s="241">
        <v>0.0588235294117647</v>
      </c>
      <c r="J4742" s="241">
        <v>0.043956043956044</v>
      </c>
      <c r="K4742" s="241">
        <v>0.0720720720720721</v>
      </c>
      <c r="L4742" s="241">
        <v>0.0396039603960396</v>
      </c>
      <c r="M4742" s="241">
        <v>0.0285714285714286</v>
      </c>
      <c r="N4742" s="241">
        <v>0.100671140939597</v>
      </c>
      <c r="O4742" s="252">
        <v>0.128</v>
      </c>
    </row>
    <row r="4743" spans="1:15">
      <c r="A4743" s="242" t="s">
        <v>22</v>
      </c>
      <c r="B4743" s="43" t="s">
        <v>6</v>
      </c>
      <c r="C4743" s="15">
        <v>31</v>
      </c>
      <c r="D4743" s="244">
        <v>4</v>
      </c>
      <c r="E4743" s="244">
        <v>3</v>
      </c>
      <c r="F4743" s="244">
        <v>2</v>
      </c>
      <c r="G4743" s="244">
        <v>0</v>
      </c>
      <c r="H4743" s="244">
        <v>1</v>
      </c>
      <c r="I4743" s="244">
        <v>3</v>
      </c>
      <c r="J4743" s="244">
        <v>3</v>
      </c>
      <c r="K4743" s="244">
        <v>2</v>
      </c>
      <c r="L4743" s="244">
        <v>3</v>
      </c>
      <c r="M4743" s="244">
        <v>5</v>
      </c>
      <c r="N4743" s="244">
        <v>3</v>
      </c>
      <c r="O4743" s="254">
        <v>2</v>
      </c>
    </row>
    <row r="4744" ht="14.25" spans="1:15">
      <c r="A4744" s="245" t="s">
        <v>22</v>
      </c>
      <c r="B4744" s="52" t="s">
        <v>64</v>
      </c>
      <c r="C4744" s="19">
        <v>0.418918918918919</v>
      </c>
      <c r="D4744" s="246">
        <v>0.8</v>
      </c>
      <c r="E4744" s="246">
        <v>0.75</v>
      </c>
      <c r="F4744" s="246">
        <v>0.4</v>
      </c>
      <c r="G4744" s="246">
        <v>0</v>
      </c>
      <c r="H4744" s="246">
        <v>0.2</v>
      </c>
      <c r="I4744" s="246">
        <v>0.6</v>
      </c>
      <c r="J4744" s="246">
        <v>0.75</v>
      </c>
      <c r="K4744" s="246">
        <v>0.25</v>
      </c>
      <c r="L4744" s="246">
        <v>0.75</v>
      </c>
      <c r="M4744" s="246">
        <v>1.66666666666667</v>
      </c>
      <c r="N4744" s="246">
        <v>0.2</v>
      </c>
      <c r="O4744" s="255">
        <v>0.125</v>
      </c>
    </row>
    <row r="4745" spans="1:15">
      <c r="A4745" s="247" t="s">
        <v>66</v>
      </c>
      <c r="B4745" s="248" t="s">
        <v>55</v>
      </c>
      <c r="C4745" s="12">
        <v>0.0645161290322581</v>
      </c>
      <c r="D4745" s="249">
        <v>0.0371747211895911</v>
      </c>
      <c r="E4745" s="249">
        <v>0.0231481481481481</v>
      </c>
      <c r="F4745" s="249">
        <v>0.0301204819277108</v>
      </c>
      <c r="G4745" s="249">
        <v>0.0397350993377483</v>
      </c>
      <c r="H4745" s="249">
        <v>0.0410958904109589</v>
      </c>
      <c r="I4745" s="249">
        <v>0.0948905109489051</v>
      </c>
      <c r="J4745" s="249">
        <v>0.0645161290322581</v>
      </c>
      <c r="K4745" s="249">
        <v>0.1328125</v>
      </c>
      <c r="L4745" s="249">
        <v>0.082089552238806</v>
      </c>
      <c r="M4745" s="249">
        <v>0.0865384615384615</v>
      </c>
      <c r="N4745" s="249">
        <v>0.112068965517241</v>
      </c>
      <c r="O4745" s="256">
        <v>0.100591715976331</v>
      </c>
    </row>
    <row r="4746" spans="1:15">
      <c r="A4746" s="242" t="s">
        <v>66</v>
      </c>
      <c r="B4746" s="43" t="s">
        <v>57</v>
      </c>
      <c r="C4746" s="15">
        <v>1860</v>
      </c>
      <c r="D4746" s="243">
        <v>269</v>
      </c>
      <c r="E4746" s="243">
        <v>216</v>
      </c>
      <c r="F4746" s="243">
        <v>166</v>
      </c>
      <c r="G4746" s="243">
        <v>151</v>
      </c>
      <c r="H4746" s="243">
        <v>146</v>
      </c>
      <c r="I4746" s="243">
        <v>137</v>
      </c>
      <c r="J4746" s="243">
        <v>124</v>
      </c>
      <c r="K4746" s="243">
        <v>128</v>
      </c>
      <c r="L4746" s="243">
        <v>134</v>
      </c>
      <c r="M4746" s="243">
        <v>104</v>
      </c>
      <c r="N4746" s="243">
        <v>116</v>
      </c>
      <c r="O4746" s="253">
        <v>169</v>
      </c>
    </row>
    <row r="4747" spans="1:15">
      <c r="A4747" s="240" t="s">
        <v>66</v>
      </c>
      <c r="B4747" s="47" t="s">
        <v>59</v>
      </c>
      <c r="C4747" s="15">
        <v>120</v>
      </c>
      <c r="D4747" s="243">
        <v>10</v>
      </c>
      <c r="E4747" s="243">
        <v>5</v>
      </c>
      <c r="F4747" s="243">
        <v>5</v>
      </c>
      <c r="G4747" s="243">
        <v>6</v>
      </c>
      <c r="H4747" s="243">
        <v>6</v>
      </c>
      <c r="I4747" s="243">
        <v>13</v>
      </c>
      <c r="J4747" s="243">
        <v>8</v>
      </c>
      <c r="K4747" s="243">
        <v>17</v>
      </c>
      <c r="L4747" s="243">
        <v>11</v>
      </c>
      <c r="M4747" s="243">
        <v>9</v>
      </c>
      <c r="N4747" s="243">
        <v>13</v>
      </c>
      <c r="O4747" s="253">
        <v>17</v>
      </c>
    </row>
    <row r="4748" spans="1:15">
      <c r="A4748" s="242" t="s">
        <v>66</v>
      </c>
      <c r="B4748" s="43" t="s">
        <v>4</v>
      </c>
      <c r="C4748" s="15">
        <v>4</v>
      </c>
      <c r="D4748" s="244">
        <v>0</v>
      </c>
      <c r="E4748" s="244">
        <v>0</v>
      </c>
      <c r="F4748" s="244">
        <v>0</v>
      </c>
      <c r="G4748" s="244">
        <v>0</v>
      </c>
      <c r="H4748" s="244">
        <v>0</v>
      </c>
      <c r="I4748" s="244">
        <v>1</v>
      </c>
      <c r="J4748" s="244">
        <v>0</v>
      </c>
      <c r="K4748" s="244">
        <v>0</v>
      </c>
      <c r="L4748" s="244">
        <v>1</v>
      </c>
      <c r="M4748" s="244">
        <v>0</v>
      </c>
      <c r="N4748" s="244">
        <v>1</v>
      </c>
      <c r="O4748" s="254">
        <v>1</v>
      </c>
    </row>
    <row r="4749" spans="1:15">
      <c r="A4749" s="240" t="s">
        <v>66</v>
      </c>
      <c r="B4749" s="47" t="s">
        <v>5</v>
      </c>
      <c r="C4749" s="12">
        <v>0.0333333333333333</v>
      </c>
      <c r="D4749" s="241">
        <v>0</v>
      </c>
      <c r="E4749" s="241">
        <v>0</v>
      </c>
      <c r="F4749" s="241">
        <v>0</v>
      </c>
      <c r="G4749" s="241">
        <v>0</v>
      </c>
      <c r="H4749" s="241">
        <v>0</v>
      </c>
      <c r="I4749" s="241">
        <v>0.0769230769230769</v>
      </c>
      <c r="J4749" s="241">
        <v>0</v>
      </c>
      <c r="K4749" s="241">
        <v>0</v>
      </c>
      <c r="L4749" s="241">
        <v>0.0909090909090909</v>
      </c>
      <c r="M4749" s="241">
        <v>0</v>
      </c>
      <c r="N4749" s="241">
        <v>0.0769230769230769</v>
      </c>
      <c r="O4749" s="252">
        <v>0.0588235294117647</v>
      </c>
    </row>
    <row r="4750" spans="1:15">
      <c r="A4750" s="242" t="s">
        <v>66</v>
      </c>
      <c r="B4750" s="43" t="s">
        <v>6</v>
      </c>
      <c r="C4750" s="15">
        <v>0</v>
      </c>
      <c r="D4750" s="244">
        <v>0</v>
      </c>
      <c r="E4750" s="244">
        <v>0</v>
      </c>
      <c r="F4750" s="244">
        <v>0</v>
      </c>
      <c r="G4750" s="244">
        <v>0</v>
      </c>
      <c r="H4750" s="244">
        <v>0</v>
      </c>
      <c r="I4750" s="244">
        <v>0</v>
      </c>
      <c r="J4750" s="244">
        <v>0</v>
      </c>
      <c r="K4750" s="244">
        <v>0</v>
      </c>
      <c r="L4750" s="244">
        <v>0</v>
      </c>
      <c r="M4750" s="244">
        <v>0</v>
      </c>
      <c r="N4750" s="244">
        <v>0</v>
      </c>
      <c r="O4750" s="254">
        <v>0</v>
      </c>
    </row>
    <row r="4751" ht="14.25" spans="1:15">
      <c r="A4751" s="245" t="s">
        <v>66</v>
      </c>
      <c r="B4751" s="52" t="s">
        <v>64</v>
      </c>
      <c r="C4751" s="19">
        <v>0</v>
      </c>
      <c r="D4751" s="246">
        <v>0</v>
      </c>
      <c r="E4751" s="246">
        <v>0</v>
      </c>
      <c r="F4751" s="246">
        <v>0</v>
      </c>
      <c r="G4751" s="246">
        <v>0</v>
      </c>
      <c r="H4751" s="246">
        <v>0</v>
      </c>
      <c r="I4751" s="246">
        <v>0</v>
      </c>
      <c r="J4751" s="246">
        <v>0</v>
      </c>
      <c r="K4751" s="246">
        <v>0</v>
      </c>
      <c r="L4751" s="246">
        <v>0</v>
      </c>
      <c r="M4751" s="246">
        <v>0</v>
      </c>
      <c r="N4751" s="246">
        <v>0</v>
      </c>
      <c r="O4751" s="255">
        <v>0</v>
      </c>
    </row>
    <row r="4752" spans="1:15">
      <c r="A4752" s="240" t="s">
        <v>67</v>
      </c>
      <c r="B4752" s="47" t="s">
        <v>55</v>
      </c>
      <c r="C4752" s="12">
        <v>0.513422818791946</v>
      </c>
      <c r="D4752" s="241">
        <v>0.615384615384615</v>
      </c>
      <c r="E4752" s="241">
        <v>0.421052631578947</v>
      </c>
      <c r="F4752" s="241">
        <v>0.361111111111111</v>
      </c>
      <c r="G4752" s="241">
        <v>0.448979591836735</v>
      </c>
      <c r="H4752" s="241">
        <v>0.412698412698413</v>
      </c>
      <c r="I4752" s="241">
        <v>0.569620253164557</v>
      </c>
      <c r="J4752" s="241">
        <v>0.580645161290323</v>
      </c>
      <c r="K4752" s="241">
        <v>0.504854368932039</v>
      </c>
      <c r="L4752" s="241">
        <v>0.522222222222222</v>
      </c>
      <c r="M4752" s="241">
        <v>0.641025641025641</v>
      </c>
      <c r="N4752" s="241">
        <v>0.469879518072289</v>
      </c>
      <c r="O4752" s="252">
        <v>0.491379310344828</v>
      </c>
    </row>
    <row r="4753" spans="1:15">
      <c r="A4753" s="242" t="s">
        <v>67</v>
      </c>
      <c r="B4753" s="43" t="s">
        <v>57</v>
      </c>
      <c r="C4753" s="15">
        <v>894</v>
      </c>
      <c r="D4753" s="243">
        <v>78</v>
      </c>
      <c r="E4753" s="243">
        <v>57</v>
      </c>
      <c r="F4753" s="243">
        <v>36</v>
      </c>
      <c r="G4753" s="243">
        <v>49</v>
      </c>
      <c r="H4753" s="243">
        <v>63</v>
      </c>
      <c r="I4753" s="243">
        <v>79</v>
      </c>
      <c r="J4753" s="243">
        <v>62</v>
      </c>
      <c r="K4753" s="243">
        <v>103</v>
      </c>
      <c r="L4753" s="243">
        <v>90</v>
      </c>
      <c r="M4753" s="243">
        <v>78</v>
      </c>
      <c r="N4753" s="243">
        <v>83</v>
      </c>
      <c r="O4753" s="253">
        <v>116</v>
      </c>
    </row>
    <row r="4754" spans="1:15">
      <c r="A4754" s="240" t="s">
        <v>67</v>
      </c>
      <c r="B4754" s="47" t="s">
        <v>59</v>
      </c>
      <c r="C4754" s="15">
        <v>459</v>
      </c>
      <c r="D4754" s="243">
        <v>48</v>
      </c>
      <c r="E4754" s="243">
        <v>24</v>
      </c>
      <c r="F4754" s="243">
        <v>13</v>
      </c>
      <c r="G4754" s="243">
        <v>22</v>
      </c>
      <c r="H4754" s="243">
        <v>26</v>
      </c>
      <c r="I4754" s="243">
        <v>45</v>
      </c>
      <c r="J4754" s="243">
        <v>36</v>
      </c>
      <c r="K4754" s="243">
        <v>52</v>
      </c>
      <c r="L4754" s="243">
        <v>47</v>
      </c>
      <c r="M4754" s="243">
        <v>50</v>
      </c>
      <c r="N4754" s="243">
        <v>39</v>
      </c>
      <c r="O4754" s="253">
        <v>57</v>
      </c>
    </row>
    <row r="4755" spans="1:15">
      <c r="A4755" s="242" t="s">
        <v>67</v>
      </c>
      <c r="B4755" s="43" t="s">
        <v>4</v>
      </c>
      <c r="C4755" s="15">
        <v>25</v>
      </c>
      <c r="D4755" s="244">
        <v>3</v>
      </c>
      <c r="E4755" s="244">
        <v>2</v>
      </c>
      <c r="F4755" s="244">
        <v>0</v>
      </c>
      <c r="G4755" s="244">
        <v>0</v>
      </c>
      <c r="H4755" s="244">
        <v>1</v>
      </c>
      <c r="I4755" s="244">
        <v>2</v>
      </c>
      <c r="J4755" s="244">
        <v>3</v>
      </c>
      <c r="K4755" s="244">
        <v>4</v>
      </c>
      <c r="L4755" s="244">
        <v>1</v>
      </c>
      <c r="M4755" s="244">
        <v>3</v>
      </c>
      <c r="N4755" s="244">
        <v>4</v>
      </c>
      <c r="O4755" s="254">
        <v>2</v>
      </c>
    </row>
    <row r="4756" spans="1:15">
      <c r="A4756" s="240" t="s">
        <v>67</v>
      </c>
      <c r="B4756" s="47" t="s">
        <v>5</v>
      </c>
      <c r="C4756" s="12">
        <v>0.0544662309368192</v>
      </c>
      <c r="D4756" s="241">
        <v>0.0625</v>
      </c>
      <c r="E4756" s="241">
        <v>0.0833333333333333</v>
      </c>
      <c r="F4756" s="241">
        <v>0</v>
      </c>
      <c r="G4756" s="241">
        <v>0</v>
      </c>
      <c r="H4756" s="241">
        <v>0.0384615384615385</v>
      </c>
      <c r="I4756" s="241">
        <v>0.0444444444444444</v>
      </c>
      <c r="J4756" s="241">
        <v>0.0833333333333333</v>
      </c>
      <c r="K4756" s="241">
        <v>0.0769230769230769</v>
      </c>
      <c r="L4756" s="241">
        <v>0.0212765957446809</v>
      </c>
      <c r="M4756" s="241">
        <v>0.06</v>
      </c>
      <c r="N4756" s="241">
        <v>0.102564102564103</v>
      </c>
      <c r="O4756" s="252">
        <v>0.0350877192982456</v>
      </c>
    </row>
    <row r="4757" spans="1:15">
      <c r="A4757" s="242" t="s">
        <v>67</v>
      </c>
      <c r="B4757" s="43" t="s">
        <v>6</v>
      </c>
      <c r="C4757" s="15">
        <v>7</v>
      </c>
      <c r="D4757" s="244">
        <v>0</v>
      </c>
      <c r="E4757" s="244">
        <v>1</v>
      </c>
      <c r="F4757" s="244">
        <v>0</v>
      </c>
      <c r="G4757" s="244">
        <v>0</v>
      </c>
      <c r="H4757" s="244">
        <v>0</v>
      </c>
      <c r="I4757" s="244">
        <v>0</v>
      </c>
      <c r="J4757" s="244">
        <v>0</v>
      </c>
      <c r="K4757" s="244">
        <v>1</v>
      </c>
      <c r="L4757" s="244">
        <v>1</v>
      </c>
      <c r="M4757" s="244">
        <v>3</v>
      </c>
      <c r="N4757" s="244">
        <v>1</v>
      </c>
      <c r="O4757" s="254">
        <v>0</v>
      </c>
    </row>
    <row r="4758" ht="14.25" spans="1:15">
      <c r="A4758" s="245" t="s">
        <v>67</v>
      </c>
      <c r="B4758" s="52" t="s">
        <v>64</v>
      </c>
      <c r="C4758" s="19">
        <v>0.28</v>
      </c>
      <c r="D4758" s="246">
        <v>0</v>
      </c>
      <c r="E4758" s="246">
        <v>0.5</v>
      </c>
      <c r="F4758" s="246">
        <v>0</v>
      </c>
      <c r="G4758" s="246">
        <v>0</v>
      </c>
      <c r="H4758" s="246">
        <v>0</v>
      </c>
      <c r="I4758" s="246">
        <v>0</v>
      </c>
      <c r="J4758" s="246">
        <v>0</v>
      </c>
      <c r="K4758" s="246">
        <v>0.25</v>
      </c>
      <c r="L4758" s="246">
        <v>1</v>
      </c>
      <c r="M4758" s="246">
        <v>1</v>
      </c>
      <c r="N4758" s="246">
        <v>0.25</v>
      </c>
      <c r="O4758" s="255">
        <v>0</v>
      </c>
    </row>
    <row r="4759" spans="1:15">
      <c r="A4759" s="240" t="s">
        <v>68</v>
      </c>
      <c r="B4759" s="47" t="s">
        <v>55</v>
      </c>
      <c r="C4759" s="12">
        <v>0.28747959897412</v>
      </c>
      <c r="D4759" s="241">
        <v>0.325520833333333</v>
      </c>
      <c r="E4759" s="241">
        <v>0.278688524590164</v>
      </c>
      <c r="F4759" s="241">
        <v>0.321428571428571</v>
      </c>
      <c r="G4759" s="241">
        <v>0.316939890710383</v>
      </c>
      <c r="H4759" s="241">
        <v>0.307142857142857</v>
      </c>
      <c r="I4759" s="241">
        <v>0.294765840220386</v>
      </c>
      <c r="J4759" s="241">
        <v>0.258312020460358</v>
      </c>
      <c r="K4759" s="241">
        <v>0.314225053078556</v>
      </c>
      <c r="L4759" s="241">
        <v>0.312169312169312</v>
      </c>
      <c r="M4759" s="241">
        <v>0.292343387470998</v>
      </c>
      <c r="N4759" s="241">
        <v>0.251072961373391</v>
      </c>
      <c r="O4759" s="252">
        <v>0.236234458259325</v>
      </c>
    </row>
    <row r="4760" spans="1:15">
      <c r="A4760" s="242" t="s">
        <v>68</v>
      </c>
      <c r="B4760" s="43" t="s">
        <v>57</v>
      </c>
      <c r="C4760" s="15">
        <v>4289</v>
      </c>
      <c r="D4760" s="243">
        <v>384</v>
      </c>
      <c r="E4760" s="243">
        <v>183</v>
      </c>
      <c r="F4760" s="243">
        <v>196</v>
      </c>
      <c r="G4760" s="243">
        <v>183</v>
      </c>
      <c r="H4760" s="243">
        <v>280</v>
      </c>
      <c r="I4760" s="243">
        <v>363</v>
      </c>
      <c r="J4760" s="243">
        <v>391</v>
      </c>
      <c r="K4760" s="243">
        <v>471</v>
      </c>
      <c r="L4760" s="243">
        <v>378</v>
      </c>
      <c r="M4760" s="243">
        <v>431</v>
      </c>
      <c r="N4760" s="243">
        <v>466</v>
      </c>
      <c r="O4760" s="253">
        <v>563</v>
      </c>
    </row>
    <row r="4761" spans="1:15">
      <c r="A4761" s="240" t="s">
        <v>68</v>
      </c>
      <c r="B4761" s="47" t="s">
        <v>59</v>
      </c>
      <c r="C4761" s="15">
        <v>1233</v>
      </c>
      <c r="D4761" s="243">
        <v>125</v>
      </c>
      <c r="E4761" s="243">
        <v>51</v>
      </c>
      <c r="F4761" s="243">
        <v>63</v>
      </c>
      <c r="G4761" s="243">
        <v>58</v>
      </c>
      <c r="H4761" s="243">
        <v>86</v>
      </c>
      <c r="I4761" s="243">
        <v>107</v>
      </c>
      <c r="J4761" s="243">
        <v>101</v>
      </c>
      <c r="K4761" s="243">
        <v>148</v>
      </c>
      <c r="L4761" s="243">
        <v>118</v>
      </c>
      <c r="M4761" s="243">
        <v>126</v>
      </c>
      <c r="N4761" s="243">
        <v>117</v>
      </c>
      <c r="O4761" s="253">
        <v>133</v>
      </c>
    </row>
    <row r="4762" spans="1:15">
      <c r="A4762" s="242" t="s">
        <v>68</v>
      </c>
      <c r="B4762" s="43" t="s">
        <v>4</v>
      </c>
      <c r="C4762" s="15">
        <v>63</v>
      </c>
      <c r="D4762" s="244">
        <v>4</v>
      </c>
      <c r="E4762" s="244">
        <v>6</v>
      </c>
      <c r="F4762" s="244">
        <v>1</v>
      </c>
      <c r="G4762" s="244">
        <v>5</v>
      </c>
      <c r="H4762" s="244">
        <v>2</v>
      </c>
      <c r="I4762" s="244">
        <v>3</v>
      </c>
      <c r="J4762" s="244">
        <v>6</v>
      </c>
      <c r="K4762" s="244">
        <v>3</v>
      </c>
      <c r="L4762" s="244">
        <v>7</v>
      </c>
      <c r="M4762" s="244">
        <v>9</v>
      </c>
      <c r="N4762" s="244">
        <v>10</v>
      </c>
      <c r="O4762" s="254">
        <v>7</v>
      </c>
    </row>
    <row r="4763" spans="1:15">
      <c r="A4763" s="240" t="s">
        <v>68</v>
      </c>
      <c r="B4763" s="47" t="s">
        <v>5</v>
      </c>
      <c r="C4763" s="12">
        <v>0.0510948905109489</v>
      </c>
      <c r="D4763" s="241">
        <v>0.032</v>
      </c>
      <c r="E4763" s="241">
        <v>0.117647058823529</v>
      </c>
      <c r="F4763" s="241">
        <v>0.0158730158730159</v>
      </c>
      <c r="G4763" s="241">
        <v>0.0862068965517241</v>
      </c>
      <c r="H4763" s="241">
        <v>0.0232558139534884</v>
      </c>
      <c r="I4763" s="241">
        <v>0.0280373831775701</v>
      </c>
      <c r="J4763" s="241">
        <v>0.0594059405940594</v>
      </c>
      <c r="K4763" s="241">
        <v>0.0202702702702703</v>
      </c>
      <c r="L4763" s="241">
        <v>0.0593220338983051</v>
      </c>
      <c r="M4763" s="241">
        <v>0.0714285714285714</v>
      </c>
      <c r="N4763" s="241">
        <v>0.0854700854700855</v>
      </c>
      <c r="O4763" s="252">
        <v>0.0526315789473684</v>
      </c>
    </row>
    <row r="4764" spans="1:15">
      <c r="A4764" s="242" t="s">
        <v>68</v>
      </c>
      <c r="B4764" s="43" t="s">
        <v>6</v>
      </c>
      <c r="C4764" s="15">
        <v>20</v>
      </c>
      <c r="D4764" s="244">
        <v>2</v>
      </c>
      <c r="E4764" s="244">
        <v>0</v>
      </c>
      <c r="F4764" s="244">
        <v>1</v>
      </c>
      <c r="G4764" s="244">
        <v>2</v>
      </c>
      <c r="H4764" s="244">
        <v>2</v>
      </c>
      <c r="I4764" s="244">
        <v>0</v>
      </c>
      <c r="J4764" s="244">
        <v>1</v>
      </c>
      <c r="K4764" s="244">
        <v>2</v>
      </c>
      <c r="L4764" s="244">
        <v>2</v>
      </c>
      <c r="M4764" s="244">
        <v>2</v>
      </c>
      <c r="N4764" s="244">
        <v>4</v>
      </c>
      <c r="O4764" s="254">
        <v>2</v>
      </c>
    </row>
    <row r="4765" ht="14.25" spans="1:15">
      <c r="A4765" s="245" t="s">
        <v>68</v>
      </c>
      <c r="B4765" s="52" t="s">
        <v>64</v>
      </c>
      <c r="C4765" s="19">
        <v>0.317460317460317</v>
      </c>
      <c r="D4765" s="246">
        <v>0.5</v>
      </c>
      <c r="E4765" s="246">
        <v>0</v>
      </c>
      <c r="F4765" s="246">
        <v>1</v>
      </c>
      <c r="G4765" s="246">
        <v>0.4</v>
      </c>
      <c r="H4765" s="246">
        <v>1</v>
      </c>
      <c r="I4765" s="246">
        <v>0</v>
      </c>
      <c r="J4765" s="246">
        <v>0.166666666666667</v>
      </c>
      <c r="K4765" s="246">
        <v>0.666666666666667</v>
      </c>
      <c r="L4765" s="246">
        <v>0.285714285714286</v>
      </c>
      <c r="M4765" s="246">
        <v>0.222222222222222</v>
      </c>
      <c r="N4765" s="246">
        <v>0.4</v>
      </c>
      <c r="O4765" s="255">
        <v>0.285714285714286</v>
      </c>
    </row>
    <row r="4766" spans="1:15">
      <c r="A4766" s="240" t="s">
        <v>69</v>
      </c>
      <c r="B4766" s="47" t="s">
        <v>55</v>
      </c>
      <c r="C4766" s="12">
        <v>1.51982378854626</v>
      </c>
      <c r="D4766" s="241">
        <v>1.39285714285714</v>
      </c>
      <c r="E4766" s="241">
        <v>1.22222222222222</v>
      </c>
      <c r="F4766" s="241">
        <v>2.66666666666667</v>
      </c>
      <c r="G4766" s="241">
        <v>1.66666666666667</v>
      </c>
      <c r="H4766" s="241">
        <v>0.933333333333333</v>
      </c>
      <c r="I4766" s="241">
        <v>1.2</v>
      </c>
      <c r="J4766" s="241">
        <v>1.44</v>
      </c>
      <c r="K4766" s="241">
        <v>1.47368421052632</v>
      </c>
      <c r="L4766" s="241">
        <v>2.15789473684211</v>
      </c>
      <c r="M4766" s="241">
        <v>1.58333333333333</v>
      </c>
      <c r="N4766" s="241">
        <v>1.47368421052632</v>
      </c>
      <c r="O4766" s="252">
        <v>1.8</v>
      </c>
    </row>
    <row r="4767" spans="1:15">
      <c r="A4767" s="242" t="s">
        <v>69</v>
      </c>
      <c r="B4767" s="43" t="s">
        <v>57</v>
      </c>
      <c r="C4767" s="15">
        <v>227</v>
      </c>
      <c r="D4767" s="243">
        <v>28</v>
      </c>
      <c r="E4767" s="243">
        <v>9</v>
      </c>
      <c r="F4767" s="243">
        <v>3</v>
      </c>
      <c r="G4767" s="243">
        <v>12</v>
      </c>
      <c r="H4767" s="243">
        <v>15</v>
      </c>
      <c r="I4767" s="243">
        <v>15</v>
      </c>
      <c r="J4767" s="243">
        <v>25</v>
      </c>
      <c r="K4767" s="243">
        <v>19</v>
      </c>
      <c r="L4767" s="243">
        <v>19</v>
      </c>
      <c r="M4767" s="243">
        <v>24</v>
      </c>
      <c r="N4767" s="243">
        <v>38</v>
      </c>
      <c r="O4767" s="253">
        <v>20</v>
      </c>
    </row>
    <row r="4768" spans="1:15">
      <c r="A4768" s="240" t="s">
        <v>69</v>
      </c>
      <c r="B4768" s="47" t="s">
        <v>59</v>
      </c>
      <c r="C4768" s="15">
        <v>345</v>
      </c>
      <c r="D4768" s="243">
        <v>39</v>
      </c>
      <c r="E4768" s="243">
        <v>11</v>
      </c>
      <c r="F4768" s="243">
        <v>8</v>
      </c>
      <c r="G4768" s="243">
        <v>20</v>
      </c>
      <c r="H4768" s="243">
        <v>14</v>
      </c>
      <c r="I4768" s="243">
        <v>18</v>
      </c>
      <c r="J4768" s="243">
        <v>36</v>
      </c>
      <c r="K4768" s="243">
        <v>28</v>
      </c>
      <c r="L4768" s="243">
        <v>41</v>
      </c>
      <c r="M4768" s="243">
        <v>38</v>
      </c>
      <c r="N4768" s="243">
        <v>56</v>
      </c>
      <c r="O4768" s="253">
        <v>36</v>
      </c>
    </row>
    <row r="4769" spans="1:15">
      <c r="A4769" s="242" t="s">
        <v>69</v>
      </c>
      <c r="B4769" s="43" t="s">
        <v>4</v>
      </c>
      <c r="C4769" s="15">
        <v>7</v>
      </c>
      <c r="D4769" s="244">
        <v>0</v>
      </c>
      <c r="E4769" s="244">
        <v>0</v>
      </c>
      <c r="F4769" s="244">
        <v>0</v>
      </c>
      <c r="G4769" s="244">
        <v>0</v>
      </c>
      <c r="H4769" s="244">
        <v>1</v>
      </c>
      <c r="I4769" s="244">
        <v>0</v>
      </c>
      <c r="J4769" s="244">
        <v>2</v>
      </c>
      <c r="K4769" s="244">
        <v>1</v>
      </c>
      <c r="L4769" s="244">
        <v>3</v>
      </c>
      <c r="M4769" s="244">
        <v>0</v>
      </c>
      <c r="N4769" s="244">
        <v>0</v>
      </c>
      <c r="O4769" s="254">
        <v>0</v>
      </c>
    </row>
    <row r="4770" spans="1:15">
      <c r="A4770" s="240" t="s">
        <v>69</v>
      </c>
      <c r="B4770" s="47" t="s">
        <v>5</v>
      </c>
      <c r="C4770" s="12">
        <v>0.0202898550724638</v>
      </c>
      <c r="D4770" s="241">
        <v>0</v>
      </c>
      <c r="E4770" s="241">
        <v>0</v>
      </c>
      <c r="F4770" s="241">
        <v>0</v>
      </c>
      <c r="G4770" s="241">
        <v>0</v>
      </c>
      <c r="H4770" s="241">
        <v>0.0714285714285714</v>
      </c>
      <c r="I4770" s="241">
        <v>0</v>
      </c>
      <c r="J4770" s="241">
        <v>0.0555555555555556</v>
      </c>
      <c r="K4770" s="241">
        <v>0.0357142857142857</v>
      </c>
      <c r="L4770" s="241">
        <v>0.0731707317073171</v>
      </c>
      <c r="M4770" s="241">
        <v>0</v>
      </c>
      <c r="N4770" s="241">
        <v>0</v>
      </c>
      <c r="O4770" s="252">
        <v>0</v>
      </c>
    </row>
    <row r="4771" spans="1:15">
      <c r="A4771" s="242" t="s">
        <v>69</v>
      </c>
      <c r="B4771" s="43" t="s">
        <v>6</v>
      </c>
      <c r="C4771" s="15">
        <v>2</v>
      </c>
      <c r="D4771" s="244">
        <v>0</v>
      </c>
      <c r="E4771" s="244">
        <v>0</v>
      </c>
      <c r="F4771" s="244">
        <v>0</v>
      </c>
      <c r="G4771" s="244">
        <v>0</v>
      </c>
      <c r="H4771" s="244">
        <v>0</v>
      </c>
      <c r="I4771" s="244">
        <v>0</v>
      </c>
      <c r="J4771" s="244">
        <v>1</v>
      </c>
      <c r="K4771" s="244">
        <v>0</v>
      </c>
      <c r="L4771" s="244">
        <v>1</v>
      </c>
      <c r="M4771" s="244">
        <v>0</v>
      </c>
      <c r="N4771" s="244">
        <v>0</v>
      </c>
      <c r="O4771" s="254">
        <v>0</v>
      </c>
    </row>
    <row r="4772" ht="14.25" spans="1:15">
      <c r="A4772" s="245" t="s">
        <v>69</v>
      </c>
      <c r="B4772" s="52" t="s">
        <v>64</v>
      </c>
      <c r="C4772" s="19">
        <v>0.285714285714286</v>
      </c>
      <c r="D4772" s="246">
        <v>0</v>
      </c>
      <c r="E4772" s="246">
        <v>0</v>
      </c>
      <c r="F4772" s="246">
        <v>0</v>
      </c>
      <c r="G4772" s="246">
        <v>0</v>
      </c>
      <c r="H4772" s="246">
        <v>0</v>
      </c>
      <c r="I4772" s="246">
        <v>0</v>
      </c>
      <c r="J4772" s="246">
        <v>0.5</v>
      </c>
      <c r="K4772" s="246">
        <v>0</v>
      </c>
      <c r="L4772" s="246">
        <v>0.333333333333333</v>
      </c>
      <c r="M4772" s="246">
        <v>0</v>
      </c>
      <c r="N4772" s="246">
        <v>0</v>
      </c>
      <c r="O4772" s="255">
        <v>0</v>
      </c>
    </row>
    <row r="4773" spans="1:15">
      <c r="A4773" s="240" t="s">
        <v>70</v>
      </c>
      <c r="B4773" s="47" t="s">
        <v>55</v>
      </c>
      <c r="C4773" s="12">
        <v>0.365591397849462</v>
      </c>
      <c r="D4773" s="241">
        <v>0.364985163204748</v>
      </c>
      <c r="E4773" s="241">
        <v>0.47027027027027</v>
      </c>
      <c r="F4773" s="241">
        <v>0.533834586466165</v>
      </c>
      <c r="G4773" s="241">
        <v>0.455056179775281</v>
      </c>
      <c r="H4773" s="241">
        <v>0.487068965517241</v>
      </c>
      <c r="I4773" s="241">
        <v>0.433460076045627</v>
      </c>
      <c r="J4773" s="241">
        <v>0.404844290657439</v>
      </c>
      <c r="K4773" s="241">
        <v>0.356083086053412</v>
      </c>
      <c r="L4773" s="241">
        <v>0.364130434782609</v>
      </c>
      <c r="M4773" s="241">
        <v>0.286103542234332</v>
      </c>
      <c r="N4773" s="241">
        <v>0.286975717439294</v>
      </c>
      <c r="O4773" s="252">
        <v>0.270103092783505</v>
      </c>
    </row>
    <row r="4774" spans="1:15">
      <c r="A4774" s="242" t="s">
        <v>70</v>
      </c>
      <c r="B4774" s="43" t="s">
        <v>57</v>
      </c>
      <c r="C4774" s="15">
        <v>3627</v>
      </c>
      <c r="D4774" s="243">
        <v>337</v>
      </c>
      <c r="E4774" s="243">
        <v>185</v>
      </c>
      <c r="F4774" s="243">
        <v>133</v>
      </c>
      <c r="G4774" s="243">
        <v>178</v>
      </c>
      <c r="H4774" s="243">
        <v>232</v>
      </c>
      <c r="I4774" s="243">
        <v>263</v>
      </c>
      <c r="J4774" s="243">
        <v>289</v>
      </c>
      <c r="K4774" s="243">
        <v>337</v>
      </c>
      <c r="L4774" s="243">
        <v>368</v>
      </c>
      <c r="M4774" s="243">
        <v>367</v>
      </c>
      <c r="N4774" s="243">
        <v>453</v>
      </c>
      <c r="O4774" s="253">
        <v>485</v>
      </c>
    </row>
    <row r="4775" spans="1:15">
      <c r="A4775" s="240" t="s">
        <v>70</v>
      </c>
      <c r="B4775" s="47" t="s">
        <v>59</v>
      </c>
      <c r="C4775" s="15">
        <v>1326</v>
      </c>
      <c r="D4775" s="243">
        <v>123</v>
      </c>
      <c r="E4775" s="243">
        <v>87</v>
      </c>
      <c r="F4775" s="243">
        <v>71</v>
      </c>
      <c r="G4775" s="243">
        <v>81</v>
      </c>
      <c r="H4775" s="243">
        <v>113</v>
      </c>
      <c r="I4775" s="243">
        <v>114</v>
      </c>
      <c r="J4775" s="243">
        <v>117</v>
      </c>
      <c r="K4775" s="243">
        <v>120</v>
      </c>
      <c r="L4775" s="243">
        <v>134</v>
      </c>
      <c r="M4775" s="243">
        <v>105</v>
      </c>
      <c r="N4775" s="243">
        <v>130</v>
      </c>
      <c r="O4775" s="253">
        <v>131</v>
      </c>
    </row>
    <row r="4776" spans="1:15">
      <c r="A4776" s="242" t="s">
        <v>70</v>
      </c>
      <c r="B4776" s="43" t="s">
        <v>4</v>
      </c>
      <c r="C4776" s="15">
        <v>129</v>
      </c>
      <c r="D4776" s="244">
        <v>13</v>
      </c>
      <c r="E4776" s="244">
        <v>7</v>
      </c>
      <c r="F4776" s="244">
        <v>5</v>
      </c>
      <c r="G4776" s="244">
        <v>7</v>
      </c>
      <c r="H4776" s="244">
        <v>8</v>
      </c>
      <c r="I4776" s="244">
        <v>8</v>
      </c>
      <c r="J4776" s="244">
        <v>12</v>
      </c>
      <c r="K4776" s="244">
        <v>15</v>
      </c>
      <c r="L4776" s="244">
        <v>10</v>
      </c>
      <c r="M4776" s="244">
        <v>8</v>
      </c>
      <c r="N4776" s="244">
        <v>22</v>
      </c>
      <c r="O4776" s="254">
        <v>14</v>
      </c>
    </row>
    <row r="4777" spans="1:15">
      <c r="A4777" s="240" t="s">
        <v>70</v>
      </c>
      <c r="B4777" s="47" t="s">
        <v>5</v>
      </c>
      <c r="C4777" s="12">
        <v>0.0972850678733032</v>
      </c>
      <c r="D4777" s="241">
        <v>0.105691056910569</v>
      </c>
      <c r="E4777" s="241">
        <v>0.0804597701149425</v>
      </c>
      <c r="F4777" s="241">
        <v>0.0704225352112676</v>
      </c>
      <c r="G4777" s="241">
        <v>0.0864197530864197</v>
      </c>
      <c r="H4777" s="241">
        <v>0.0707964601769911</v>
      </c>
      <c r="I4777" s="241">
        <v>0.0701754385964912</v>
      </c>
      <c r="J4777" s="241">
        <v>0.102564102564103</v>
      </c>
      <c r="K4777" s="241">
        <v>0.125</v>
      </c>
      <c r="L4777" s="241">
        <v>0.0746268656716418</v>
      </c>
      <c r="M4777" s="241">
        <v>0.0761904761904762</v>
      </c>
      <c r="N4777" s="241">
        <v>0.169230769230769</v>
      </c>
      <c r="O4777" s="252">
        <v>0.106870229007634</v>
      </c>
    </row>
    <row r="4778" spans="1:15">
      <c r="A4778" s="242" t="s">
        <v>70</v>
      </c>
      <c r="B4778" s="43" t="s">
        <v>6</v>
      </c>
      <c r="C4778" s="15">
        <v>33</v>
      </c>
      <c r="D4778" s="244">
        <v>2</v>
      </c>
      <c r="E4778" s="244">
        <v>2</v>
      </c>
      <c r="F4778" s="244">
        <v>1</v>
      </c>
      <c r="G4778" s="244">
        <v>1</v>
      </c>
      <c r="H4778" s="244">
        <v>1</v>
      </c>
      <c r="I4778" s="244">
        <v>2</v>
      </c>
      <c r="J4778" s="244">
        <v>2</v>
      </c>
      <c r="K4778" s="244">
        <v>5</v>
      </c>
      <c r="L4778" s="244">
        <v>1</v>
      </c>
      <c r="M4778" s="244">
        <v>6</v>
      </c>
      <c r="N4778" s="244">
        <v>9</v>
      </c>
      <c r="O4778" s="254">
        <v>1</v>
      </c>
    </row>
    <row r="4779" ht="14.25" spans="1:15">
      <c r="A4779" s="245" t="s">
        <v>70</v>
      </c>
      <c r="B4779" s="52" t="s">
        <v>64</v>
      </c>
      <c r="C4779" s="19">
        <v>0.255813953488372</v>
      </c>
      <c r="D4779" s="246">
        <v>0.153846153846154</v>
      </c>
      <c r="E4779" s="246">
        <v>0.285714285714286</v>
      </c>
      <c r="F4779" s="246">
        <v>0.2</v>
      </c>
      <c r="G4779" s="246">
        <v>0.142857142857143</v>
      </c>
      <c r="H4779" s="246">
        <v>0.125</v>
      </c>
      <c r="I4779" s="246">
        <v>0.25</v>
      </c>
      <c r="J4779" s="246">
        <v>0.166666666666667</v>
      </c>
      <c r="K4779" s="246">
        <v>0.333333333333333</v>
      </c>
      <c r="L4779" s="246">
        <v>0.1</v>
      </c>
      <c r="M4779" s="246">
        <v>0.75</v>
      </c>
      <c r="N4779" s="246">
        <v>0.409090909090909</v>
      </c>
      <c r="O4779" s="255">
        <v>0.0714285714285714</v>
      </c>
    </row>
    <row r="4780" spans="1:15">
      <c r="A4780" s="240" t="s">
        <v>26</v>
      </c>
      <c r="B4780" s="47" t="s">
        <v>55</v>
      </c>
      <c r="C4780" s="12">
        <v>0.0558183538315989</v>
      </c>
      <c r="D4780" s="241">
        <v>0.017353579175705</v>
      </c>
      <c r="E4780" s="241">
        <v>0.0115740740740741</v>
      </c>
      <c r="F4780" s="241">
        <v>0.0166666666666667</v>
      </c>
      <c r="G4780" s="241">
        <v>0.0473933649289099</v>
      </c>
      <c r="H4780" s="241">
        <v>0.0479041916167665</v>
      </c>
      <c r="I4780" s="241">
        <v>0.0804597701149425</v>
      </c>
      <c r="J4780" s="241">
        <v>0.104477611940299</v>
      </c>
      <c r="K4780" s="241">
        <v>0.0515463917525773</v>
      </c>
      <c r="L4780" s="241">
        <v>0.189873417721519</v>
      </c>
      <c r="M4780" s="241">
        <v>0.224137931034483</v>
      </c>
      <c r="N4780" s="241">
        <v>0.675675675675676</v>
      </c>
      <c r="O4780" s="252">
        <v>0.155172413793103</v>
      </c>
    </row>
    <row r="4781" spans="1:15">
      <c r="A4781" s="242" t="s">
        <v>26</v>
      </c>
      <c r="B4781" s="43" t="s">
        <v>57</v>
      </c>
      <c r="C4781" s="15">
        <v>2114</v>
      </c>
      <c r="D4781" s="243">
        <v>461</v>
      </c>
      <c r="E4781" s="243">
        <v>432</v>
      </c>
      <c r="F4781" s="243">
        <v>360</v>
      </c>
      <c r="G4781" s="243">
        <v>211</v>
      </c>
      <c r="H4781" s="243">
        <v>167</v>
      </c>
      <c r="I4781" s="243">
        <v>87</v>
      </c>
      <c r="J4781" s="243">
        <v>67</v>
      </c>
      <c r="K4781" s="243">
        <v>97</v>
      </c>
      <c r="L4781" s="243">
        <v>79</v>
      </c>
      <c r="M4781" s="243">
        <v>58</v>
      </c>
      <c r="N4781" s="243">
        <v>37</v>
      </c>
      <c r="O4781" s="253">
        <v>58</v>
      </c>
    </row>
    <row r="4782" spans="1:15">
      <c r="A4782" s="240" t="s">
        <v>26</v>
      </c>
      <c r="B4782" s="47" t="s">
        <v>59</v>
      </c>
      <c r="C4782" s="15">
        <v>118</v>
      </c>
      <c r="D4782" s="243">
        <v>8</v>
      </c>
      <c r="E4782" s="243">
        <v>5</v>
      </c>
      <c r="F4782" s="243">
        <v>6</v>
      </c>
      <c r="G4782" s="243">
        <v>10</v>
      </c>
      <c r="H4782" s="243">
        <v>8</v>
      </c>
      <c r="I4782" s="243">
        <v>7</v>
      </c>
      <c r="J4782" s="243">
        <v>7</v>
      </c>
      <c r="K4782" s="243">
        <v>5</v>
      </c>
      <c r="L4782" s="243">
        <v>15</v>
      </c>
      <c r="M4782" s="243">
        <v>13</v>
      </c>
      <c r="N4782" s="243">
        <v>25</v>
      </c>
      <c r="O4782" s="253">
        <v>9</v>
      </c>
    </row>
    <row r="4783" spans="1:15">
      <c r="A4783" s="242" t="s">
        <v>26</v>
      </c>
      <c r="B4783" s="43" t="s">
        <v>4</v>
      </c>
      <c r="C4783" s="15">
        <v>2</v>
      </c>
      <c r="D4783" s="244">
        <v>0</v>
      </c>
      <c r="E4783" s="244">
        <v>0</v>
      </c>
      <c r="F4783" s="244">
        <v>0</v>
      </c>
      <c r="G4783" s="244">
        <v>0</v>
      </c>
      <c r="H4783" s="244">
        <v>0</v>
      </c>
      <c r="I4783" s="244">
        <v>0</v>
      </c>
      <c r="J4783" s="244">
        <v>0</v>
      </c>
      <c r="K4783" s="244">
        <v>0</v>
      </c>
      <c r="L4783" s="244">
        <v>0</v>
      </c>
      <c r="M4783" s="244">
        <v>0</v>
      </c>
      <c r="N4783" s="244">
        <v>1</v>
      </c>
      <c r="O4783" s="254">
        <v>1</v>
      </c>
    </row>
    <row r="4784" spans="1:15">
      <c r="A4784" s="240" t="s">
        <v>26</v>
      </c>
      <c r="B4784" s="47" t="s">
        <v>5</v>
      </c>
      <c r="C4784" s="12">
        <v>0.0169491525423729</v>
      </c>
      <c r="D4784" s="241">
        <v>0</v>
      </c>
      <c r="E4784" s="241">
        <v>0</v>
      </c>
      <c r="F4784" s="241">
        <v>0</v>
      </c>
      <c r="G4784" s="241">
        <v>0</v>
      </c>
      <c r="H4784" s="241">
        <v>0</v>
      </c>
      <c r="I4784" s="241">
        <v>0</v>
      </c>
      <c r="J4784" s="241">
        <v>0</v>
      </c>
      <c r="K4784" s="241">
        <v>0</v>
      </c>
      <c r="L4784" s="241">
        <v>0</v>
      </c>
      <c r="M4784" s="241">
        <v>0</v>
      </c>
      <c r="N4784" s="241">
        <v>0.04</v>
      </c>
      <c r="O4784" s="252">
        <v>0.111111111111111</v>
      </c>
    </row>
    <row r="4785" spans="1:15">
      <c r="A4785" s="242" t="s">
        <v>26</v>
      </c>
      <c r="B4785" s="43" t="s">
        <v>6</v>
      </c>
      <c r="C4785" s="15">
        <v>1</v>
      </c>
      <c r="D4785" s="244">
        <v>0</v>
      </c>
      <c r="E4785" s="244">
        <v>0</v>
      </c>
      <c r="F4785" s="244">
        <v>0</v>
      </c>
      <c r="G4785" s="244">
        <v>0</v>
      </c>
      <c r="H4785" s="244">
        <v>0</v>
      </c>
      <c r="I4785" s="244">
        <v>0</v>
      </c>
      <c r="J4785" s="244">
        <v>0</v>
      </c>
      <c r="K4785" s="244">
        <v>0</v>
      </c>
      <c r="L4785" s="244">
        <v>0</v>
      </c>
      <c r="M4785" s="244">
        <v>0</v>
      </c>
      <c r="N4785" s="244">
        <v>1</v>
      </c>
      <c r="O4785" s="254">
        <v>0</v>
      </c>
    </row>
    <row r="4786" ht="14.25" spans="1:15">
      <c r="A4786" s="245" t="s">
        <v>26</v>
      </c>
      <c r="B4786" s="52" t="s">
        <v>64</v>
      </c>
      <c r="C4786" s="19">
        <v>0.5</v>
      </c>
      <c r="D4786" s="19" t="e">
        <v>#DIV/0!</v>
      </c>
      <c r="E4786" s="19" t="e">
        <v>#DIV/0!</v>
      </c>
      <c r="F4786" s="19" t="e">
        <v>#DIV/0!</v>
      </c>
      <c r="G4786" s="19" t="e">
        <v>#DIV/0!</v>
      </c>
      <c r="H4786" s="19" t="e">
        <v>#DIV/0!</v>
      </c>
      <c r="I4786" s="19" t="e">
        <v>#DIV/0!</v>
      </c>
      <c r="J4786" s="19" t="e">
        <v>#DIV/0!</v>
      </c>
      <c r="K4786" s="19" t="e">
        <v>#DIV/0!</v>
      </c>
      <c r="L4786" s="19" t="e">
        <v>#DIV/0!</v>
      </c>
      <c r="M4786" s="19" t="e">
        <v>#DIV/0!</v>
      </c>
      <c r="N4786" s="19">
        <v>1</v>
      </c>
      <c r="O4786" s="19">
        <v>0</v>
      </c>
    </row>
    <row r="4787" spans="1:15">
      <c r="A4787" s="240" t="s">
        <v>71</v>
      </c>
      <c r="B4787" s="47" t="s">
        <v>55</v>
      </c>
      <c r="C4787" s="12">
        <v>287.5</v>
      </c>
      <c r="D4787" s="241" t="e">
        <v>#DIV/0!</v>
      </c>
      <c r="E4787" s="241" t="e">
        <v>#DIV/0!</v>
      </c>
      <c r="F4787" s="241">
        <v>15</v>
      </c>
      <c r="G4787" s="241" t="e">
        <v>#DIV/0!</v>
      </c>
      <c r="H4787" s="241" t="e">
        <v>#DIV/0!</v>
      </c>
      <c r="I4787" s="241" t="e">
        <v>#DIV/0!</v>
      </c>
      <c r="J4787" s="241" t="e">
        <v>#DIV/0!</v>
      </c>
      <c r="K4787" s="241" t="e">
        <v>#DIV/0!</v>
      </c>
      <c r="L4787" s="241" t="e">
        <v>#DIV/0!</v>
      </c>
      <c r="M4787" s="241" t="e">
        <v>#DIV/0!</v>
      </c>
      <c r="N4787" s="241" t="e">
        <v>#DIV/0!</v>
      </c>
      <c r="O4787" s="252" t="e">
        <v>#DIV/0!</v>
      </c>
    </row>
    <row r="4788" spans="1:15">
      <c r="A4788" s="242" t="s">
        <v>71</v>
      </c>
      <c r="B4788" s="43" t="s">
        <v>57</v>
      </c>
      <c r="C4788" s="15">
        <v>2</v>
      </c>
      <c r="D4788" s="243">
        <v>0</v>
      </c>
      <c r="E4788" s="243">
        <v>0</v>
      </c>
      <c r="F4788" s="243">
        <v>2</v>
      </c>
      <c r="G4788" s="243">
        <v>0</v>
      </c>
      <c r="H4788" s="243">
        <v>0</v>
      </c>
      <c r="I4788" s="243">
        <v>0</v>
      </c>
      <c r="J4788" s="243">
        <v>0</v>
      </c>
      <c r="K4788" s="243">
        <v>0</v>
      </c>
      <c r="L4788" s="243">
        <v>0</v>
      </c>
      <c r="M4788" s="243">
        <v>0</v>
      </c>
      <c r="N4788" s="243">
        <v>0</v>
      </c>
      <c r="O4788" s="253">
        <v>0</v>
      </c>
    </row>
    <row r="4789" spans="1:15">
      <c r="A4789" s="240" t="s">
        <v>71</v>
      </c>
      <c r="B4789" s="47" t="s">
        <v>59</v>
      </c>
      <c r="C4789" s="15">
        <v>575</v>
      </c>
      <c r="D4789" s="243">
        <v>59</v>
      </c>
      <c r="E4789" s="243">
        <v>36</v>
      </c>
      <c r="F4789" s="243">
        <v>30</v>
      </c>
      <c r="G4789" s="243">
        <v>23</v>
      </c>
      <c r="H4789" s="243">
        <v>37</v>
      </c>
      <c r="I4789" s="243">
        <v>52</v>
      </c>
      <c r="J4789" s="243">
        <v>56</v>
      </c>
      <c r="K4789" s="243">
        <v>55</v>
      </c>
      <c r="L4789" s="243">
        <v>51</v>
      </c>
      <c r="M4789" s="243">
        <v>44</v>
      </c>
      <c r="N4789" s="243">
        <v>69</v>
      </c>
      <c r="O4789" s="253">
        <v>63</v>
      </c>
    </row>
    <row r="4790" spans="1:15">
      <c r="A4790" s="242" t="s">
        <v>71</v>
      </c>
      <c r="B4790" s="43" t="s">
        <v>4</v>
      </c>
      <c r="C4790" s="15">
        <v>25</v>
      </c>
      <c r="D4790" s="244">
        <v>2</v>
      </c>
      <c r="E4790" s="244">
        <v>1</v>
      </c>
      <c r="F4790" s="244">
        <v>0</v>
      </c>
      <c r="G4790" s="244">
        <v>0</v>
      </c>
      <c r="H4790" s="244">
        <v>1</v>
      </c>
      <c r="I4790" s="244">
        <v>1</v>
      </c>
      <c r="J4790" s="244">
        <v>1</v>
      </c>
      <c r="K4790" s="244">
        <v>3</v>
      </c>
      <c r="L4790" s="244">
        <v>4</v>
      </c>
      <c r="M4790" s="244">
        <v>3</v>
      </c>
      <c r="N4790" s="244">
        <v>4</v>
      </c>
      <c r="O4790" s="254">
        <v>5</v>
      </c>
    </row>
    <row r="4791" spans="1:15">
      <c r="A4791" s="240" t="s">
        <v>71</v>
      </c>
      <c r="B4791" s="47" t="s">
        <v>5</v>
      </c>
      <c r="C4791" s="241">
        <v>0.0434782608695652</v>
      </c>
      <c r="D4791" s="241">
        <v>0.0338983050847458</v>
      </c>
      <c r="E4791" s="241">
        <v>0.0277777777777778</v>
      </c>
      <c r="F4791" s="241">
        <v>0</v>
      </c>
      <c r="G4791" s="241">
        <v>0</v>
      </c>
      <c r="H4791" s="241">
        <v>0.027027027027027</v>
      </c>
      <c r="I4791" s="241">
        <v>0.0192307692307692</v>
      </c>
      <c r="J4791" s="241">
        <v>0.0178571428571429</v>
      </c>
      <c r="K4791" s="241">
        <v>0.0545454545454545</v>
      </c>
      <c r="L4791" s="241">
        <v>0.0784313725490196</v>
      </c>
      <c r="M4791" s="241">
        <v>0.0681818181818182</v>
      </c>
      <c r="N4791" s="241">
        <v>0.0579710144927536</v>
      </c>
      <c r="O4791" s="252">
        <v>0.0793650793650794</v>
      </c>
    </row>
    <row r="4792" spans="1:15">
      <c r="A4792" s="242" t="s">
        <v>71</v>
      </c>
      <c r="B4792" s="43" t="s">
        <v>6</v>
      </c>
      <c r="C4792" s="15">
        <v>4</v>
      </c>
      <c r="D4792" s="244">
        <v>0</v>
      </c>
      <c r="E4792" s="244">
        <v>1</v>
      </c>
      <c r="F4792" s="244">
        <v>0</v>
      </c>
      <c r="G4792" s="244">
        <v>0</v>
      </c>
      <c r="H4792" s="244">
        <v>0</v>
      </c>
      <c r="I4792" s="244">
        <v>1</v>
      </c>
      <c r="J4792" s="244">
        <v>0</v>
      </c>
      <c r="K4792" s="244">
        <v>0</v>
      </c>
      <c r="L4792" s="244">
        <v>1</v>
      </c>
      <c r="M4792" s="244">
        <v>0</v>
      </c>
      <c r="N4792" s="244">
        <v>1</v>
      </c>
      <c r="O4792" s="254">
        <v>0</v>
      </c>
    </row>
    <row r="4793" ht="14.25" spans="1:15">
      <c r="A4793" s="245" t="s">
        <v>71</v>
      </c>
      <c r="B4793" s="52" t="s">
        <v>64</v>
      </c>
      <c r="C4793" s="19">
        <v>0.16</v>
      </c>
      <c r="D4793" s="19">
        <v>0</v>
      </c>
      <c r="E4793" s="19">
        <v>1</v>
      </c>
      <c r="F4793" s="19" t="e">
        <v>#DIV/0!</v>
      </c>
      <c r="G4793" s="19" t="e">
        <v>#DIV/0!</v>
      </c>
      <c r="H4793" s="19">
        <v>0</v>
      </c>
      <c r="I4793" s="19">
        <v>1</v>
      </c>
      <c r="J4793" s="19">
        <v>0</v>
      </c>
      <c r="K4793" s="19">
        <v>0</v>
      </c>
      <c r="L4793" s="19">
        <v>0.25</v>
      </c>
      <c r="M4793" s="19">
        <v>0</v>
      </c>
      <c r="N4793" s="19">
        <v>0.25</v>
      </c>
      <c r="O4793" s="19">
        <v>0</v>
      </c>
    </row>
    <row r="4794" spans="1:15">
      <c r="A4794" s="240" t="s">
        <v>72</v>
      </c>
      <c r="B4794" s="47" t="s">
        <v>55</v>
      </c>
      <c r="C4794" s="12">
        <v>0.150393700787402</v>
      </c>
      <c r="D4794" s="241">
        <v>0.193220338983051</v>
      </c>
      <c r="E4794" s="241">
        <v>0.174603174603175</v>
      </c>
      <c r="F4794" s="241">
        <v>0.18125</v>
      </c>
      <c r="G4794" s="241">
        <v>0.146739130434783</v>
      </c>
      <c r="H4794" s="241">
        <v>0.137546468401487</v>
      </c>
      <c r="I4794" s="241">
        <v>0.142857142857143</v>
      </c>
      <c r="J4794" s="241">
        <v>0.171140939597315</v>
      </c>
      <c r="K4794" s="241">
        <v>0.128865979381443</v>
      </c>
      <c r="L4794" s="241">
        <v>0.162337662337662</v>
      </c>
      <c r="M4794" s="241">
        <v>0.149625935162095</v>
      </c>
      <c r="N4794" s="241">
        <v>0.151228733459357</v>
      </c>
      <c r="O4794" s="252">
        <v>0.115537848605578</v>
      </c>
    </row>
    <row r="4795" spans="1:15">
      <c r="A4795" s="242" t="s">
        <v>72</v>
      </c>
      <c r="B4795" s="43" t="s">
        <v>57</v>
      </c>
      <c r="C4795" s="15">
        <v>3810</v>
      </c>
      <c r="D4795" s="243">
        <v>295</v>
      </c>
      <c r="E4795" s="243">
        <v>189</v>
      </c>
      <c r="F4795" s="243">
        <v>160</v>
      </c>
      <c r="G4795" s="243">
        <v>184</v>
      </c>
      <c r="H4795" s="243">
        <v>269</v>
      </c>
      <c r="I4795" s="243">
        <v>287</v>
      </c>
      <c r="J4795" s="243">
        <v>298</v>
      </c>
      <c r="K4795" s="243">
        <v>388</v>
      </c>
      <c r="L4795" s="243">
        <v>308</v>
      </c>
      <c r="M4795" s="243">
        <v>401</v>
      </c>
      <c r="N4795" s="243">
        <v>529</v>
      </c>
      <c r="O4795" s="253">
        <v>502</v>
      </c>
    </row>
    <row r="4796" spans="1:15">
      <c r="A4796" s="240" t="s">
        <v>72</v>
      </c>
      <c r="B4796" s="47" t="s">
        <v>59</v>
      </c>
      <c r="C4796" s="15">
        <v>573</v>
      </c>
      <c r="D4796" s="243">
        <v>57</v>
      </c>
      <c r="E4796" s="243">
        <v>33</v>
      </c>
      <c r="F4796" s="243">
        <v>29</v>
      </c>
      <c r="G4796" s="243">
        <v>27</v>
      </c>
      <c r="H4796" s="243">
        <v>37</v>
      </c>
      <c r="I4796" s="243">
        <v>41</v>
      </c>
      <c r="J4796" s="243">
        <v>51</v>
      </c>
      <c r="K4796" s="243">
        <v>50</v>
      </c>
      <c r="L4796" s="243">
        <v>50</v>
      </c>
      <c r="M4796" s="243">
        <v>60</v>
      </c>
      <c r="N4796" s="243">
        <v>80</v>
      </c>
      <c r="O4796" s="253">
        <v>58</v>
      </c>
    </row>
    <row r="4797" spans="1:15">
      <c r="A4797" s="242" t="s">
        <v>72</v>
      </c>
      <c r="B4797" s="43" t="s">
        <v>4</v>
      </c>
      <c r="C4797" s="15">
        <v>49</v>
      </c>
      <c r="D4797" s="244">
        <v>2</v>
      </c>
      <c r="E4797" s="244">
        <v>3</v>
      </c>
      <c r="F4797" s="244">
        <v>2</v>
      </c>
      <c r="G4797" s="244">
        <v>0</v>
      </c>
      <c r="H4797" s="244">
        <v>2</v>
      </c>
      <c r="I4797" s="244">
        <v>5</v>
      </c>
      <c r="J4797" s="244">
        <v>4</v>
      </c>
      <c r="K4797" s="244">
        <v>7</v>
      </c>
      <c r="L4797" s="244">
        <v>3</v>
      </c>
      <c r="M4797" s="244">
        <v>5</v>
      </c>
      <c r="N4797" s="244">
        <v>5</v>
      </c>
      <c r="O4797" s="254">
        <v>11</v>
      </c>
    </row>
    <row r="4798" spans="1:15">
      <c r="A4798" s="240" t="s">
        <v>72</v>
      </c>
      <c r="B4798" s="47" t="s">
        <v>5</v>
      </c>
      <c r="C4798" s="12">
        <v>0.0855148342059337</v>
      </c>
      <c r="D4798" s="241">
        <v>0.0350877192982456</v>
      </c>
      <c r="E4798" s="241">
        <v>0.0909090909090909</v>
      </c>
      <c r="F4798" s="241">
        <v>0.0689655172413793</v>
      </c>
      <c r="G4798" s="241">
        <v>0</v>
      </c>
      <c r="H4798" s="241">
        <v>0.0540540540540541</v>
      </c>
      <c r="I4798" s="241">
        <v>0.121951219512195</v>
      </c>
      <c r="J4798" s="241">
        <v>0.0784313725490196</v>
      </c>
      <c r="K4798" s="241">
        <v>0.14</v>
      </c>
      <c r="L4798" s="241">
        <v>0.06</v>
      </c>
      <c r="M4798" s="241">
        <v>0.0833333333333333</v>
      </c>
      <c r="N4798" s="241">
        <v>0.0625</v>
      </c>
      <c r="O4798" s="252">
        <v>0.189655172413793</v>
      </c>
    </row>
    <row r="4799" spans="1:15">
      <c r="A4799" s="242" t="s">
        <v>72</v>
      </c>
      <c r="B4799" s="43" t="s">
        <v>6</v>
      </c>
      <c r="C4799" s="15">
        <v>17</v>
      </c>
      <c r="D4799" s="244">
        <v>2</v>
      </c>
      <c r="E4799" s="244">
        <v>1</v>
      </c>
      <c r="F4799" s="244">
        <v>1</v>
      </c>
      <c r="G4799" s="244">
        <v>0</v>
      </c>
      <c r="H4799" s="244">
        <v>1</v>
      </c>
      <c r="I4799" s="244">
        <v>3</v>
      </c>
      <c r="J4799" s="244">
        <v>1</v>
      </c>
      <c r="K4799" s="244">
        <v>3</v>
      </c>
      <c r="L4799" s="244">
        <v>2</v>
      </c>
      <c r="M4799" s="244">
        <v>1</v>
      </c>
      <c r="N4799" s="244">
        <v>2</v>
      </c>
      <c r="O4799" s="254">
        <v>0</v>
      </c>
    </row>
    <row r="4800" ht="14.25" spans="1:15">
      <c r="A4800" s="245" t="s">
        <v>72</v>
      </c>
      <c r="B4800" s="52" t="s">
        <v>64</v>
      </c>
      <c r="C4800" s="19">
        <v>0.346938775510204</v>
      </c>
      <c r="D4800" s="19">
        <v>1</v>
      </c>
      <c r="E4800" s="19">
        <v>0.333333333333333</v>
      </c>
      <c r="F4800" s="19">
        <v>0.5</v>
      </c>
      <c r="G4800" s="19" t="e">
        <v>#DIV/0!</v>
      </c>
      <c r="H4800" s="19">
        <v>0.5</v>
      </c>
      <c r="I4800" s="19">
        <v>0.6</v>
      </c>
      <c r="J4800" s="19">
        <v>0.25</v>
      </c>
      <c r="K4800" s="19">
        <v>0.428571428571429</v>
      </c>
      <c r="L4800" s="19">
        <v>0.666666666666667</v>
      </c>
      <c r="M4800" s="19">
        <v>0.2</v>
      </c>
      <c r="N4800" s="19">
        <v>0.4</v>
      </c>
      <c r="O4800" s="19">
        <v>0</v>
      </c>
    </row>
    <row r="4801" ht="14.25" spans="1:15">
      <c r="A4801" s="237">
        <v>45093</v>
      </c>
      <c r="B4801" s="237"/>
      <c r="C4801" s="237"/>
      <c r="D4801" s="237"/>
      <c r="E4801" s="237"/>
      <c r="F4801" s="237"/>
      <c r="G4801" s="237"/>
      <c r="H4801" s="237"/>
      <c r="I4801" s="237"/>
      <c r="J4801" s="237"/>
      <c r="K4801" s="237"/>
      <c r="L4801" s="237"/>
      <c r="M4801" s="237"/>
      <c r="N4801" s="237"/>
      <c r="O4801" s="237"/>
    </row>
    <row r="4802" spans="1:15">
      <c r="A4802" s="56" t="s">
        <v>1</v>
      </c>
      <c r="B4802" s="238"/>
      <c r="C4802" s="8" t="s">
        <v>42</v>
      </c>
      <c r="D4802" s="239" t="s">
        <v>43</v>
      </c>
      <c r="E4802" s="239" t="s">
        <v>44</v>
      </c>
      <c r="F4802" s="239" t="s">
        <v>45</v>
      </c>
      <c r="G4802" s="239" t="s">
        <v>46</v>
      </c>
      <c r="H4802" s="239" t="s">
        <v>47</v>
      </c>
      <c r="I4802" s="239" t="s">
        <v>48</v>
      </c>
      <c r="J4802" s="239" t="s">
        <v>49</v>
      </c>
      <c r="K4802" s="239" t="s">
        <v>50</v>
      </c>
      <c r="L4802" s="239" t="s">
        <v>51</v>
      </c>
      <c r="M4802" s="239" t="s">
        <v>52</v>
      </c>
      <c r="N4802" s="239" t="s">
        <v>53</v>
      </c>
      <c r="O4802" s="251" t="s">
        <v>54</v>
      </c>
    </row>
    <row r="4803" spans="1:15">
      <c r="A4803" s="240" t="s">
        <v>22</v>
      </c>
      <c r="B4803" s="47" t="s">
        <v>55</v>
      </c>
      <c r="C4803" s="12">
        <v>0.694515074464221</v>
      </c>
      <c r="D4803" s="241">
        <v>0.5</v>
      </c>
      <c r="E4803" s="241">
        <v>0.463576158940397</v>
      </c>
      <c r="F4803" s="241">
        <v>0.36</v>
      </c>
      <c r="G4803" s="241">
        <v>0.470149253731343</v>
      </c>
      <c r="H4803" s="241">
        <v>0.430693069306931</v>
      </c>
      <c r="I4803" s="241">
        <v>0.401709401709402</v>
      </c>
      <c r="J4803" s="241">
        <v>0.809160305343511</v>
      </c>
      <c r="K4803" s="241">
        <v>0.834615384615385</v>
      </c>
      <c r="L4803" s="241">
        <v>0.852713178294574</v>
      </c>
      <c r="M4803" s="241">
        <v>0.892</v>
      </c>
      <c r="N4803" s="241">
        <v>0.88135593220339</v>
      </c>
      <c r="O4803" s="252">
        <v>0.884498480243161</v>
      </c>
    </row>
    <row r="4804" spans="1:15">
      <c r="A4804" s="242" t="s">
        <v>22</v>
      </c>
      <c r="B4804" s="43" t="s">
        <v>57</v>
      </c>
      <c r="C4804" s="15">
        <v>2753</v>
      </c>
      <c r="D4804" s="243">
        <v>278</v>
      </c>
      <c r="E4804" s="243">
        <v>151</v>
      </c>
      <c r="F4804" s="243">
        <v>100</v>
      </c>
      <c r="G4804" s="243">
        <v>134</v>
      </c>
      <c r="H4804" s="243">
        <v>202</v>
      </c>
      <c r="I4804" s="243">
        <v>234</v>
      </c>
      <c r="J4804" s="243">
        <v>262</v>
      </c>
      <c r="K4804" s="243">
        <v>260</v>
      </c>
      <c r="L4804" s="243">
        <v>258</v>
      </c>
      <c r="M4804" s="243">
        <v>250</v>
      </c>
      <c r="N4804" s="243">
        <v>295</v>
      </c>
      <c r="O4804" s="253">
        <v>329</v>
      </c>
    </row>
    <row r="4805" spans="1:15">
      <c r="A4805" s="240" t="s">
        <v>22</v>
      </c>
      <c r="B4805" s="47" t="s">
        <v>59</v>
      </c>
      <c r="C4805" s="15">
        <v>1912</v>
      </c>
      <c r="D4805" s="243">
        <v>139</v>
      </c>
      <c r="E4805" s="243">
        <v>70</v>
      </c>
      <c r="F4805" s="243">
        <v>36</v>
      </c>
      <c r="G4805" s="243">
        <v>63</v>
      </c>
      <c r="H4805" s="243">
        <v>87</v>
      </c>
      <c r="I4805" s="243">
        <v>94</v>
      </c>
      <c r="J4805" s="243">
        <v>212</v>
      </c>
      <c r="K4805" s="243">
        <v>217</v>
      </c>
      <c r="L4805" s="243">
        <v>220</v>
      </c>
      <c r="M4805" s="243">
        <v>223</v>
      </c>
      <c r="N4805" s="243">
        <v>260</v>
      </c>
      <c r="O4805" s="253">
        <v>291</v>
      </c>
    </row>
    <row r="4806" spans="1:15">
      <c r="A4806" s="242" t="s">
        <v>22</v>
      </c>
      <c r="B4806" s="43" t="s">
        <v>4</v>
      </c>
      <c r="C4806" s="15">
        <v>86</v>
      </c>
      <c r="D4806" s="244">
        <v>14</v>
      </c>
      <c r="E4806" s="244">
        <v>9</v>
      </c>
      <c r="F4806" s="244">
        <v>4</v>
      </c>
      <c r="G4806" s="244">
        <v>3</v>
      </c>
      <c r="H4806" s="244">
        <v>3</v>
      </c>
      <c r="I4806" s="244">
        <v>9</v>
      </c>
      <c r="J4806" s="244">
        <v>8</v>
      </c>
      <c r="K4806" s="244">
        <v>5</v>
      </c>
      <c r="L4806" s="244">
        <v>9</v>
      </c>
      <c r="M4806" s="244">
        <v>7</v>
      </c>
      <c r="N4806" s="244">
        <v>8</v>
      </c>
      <c r="O4806" s="254">
        <v>7</v>
      </c>
    </row>
    <row r="4807" spans="1:15">
      <c r="A4807" s="240" t="s">
        <v>22</v>
      </c>
      <c r="B4807" s="47" t="s">
        <v>5</v>
      </c>
      <c r="C4807" s="12">
        <v>0.0449790794979079</v>
      </c>
      <c r="D4807" s="241">
        <v>0.100719424460432</v>
      </c>
      <c r="E4807" s="241">
        <v>0.128571428571429</v>
      </c>
      <c r="F4807" s="241">
        <v>0.111111111111111</v>
      </c>
      <c r="G4807" s="241">
        <v>0.0476190476190476</v>
      </c>
      <c r="H4807" s="241">
        <v>0.0344827586206897</v>
      </c>
      <c r="I4807" s="241">
        <v>0.0957446808510638</v>
      </c>
      <c r="J4807" s="241">
        <v>0.0377358490566038</v>
      </c>
      <c r="K4807" s="241">
        <v>0.0230414746543779</v>
      </c>
      <c r="L4807" s="241">
        <v>0.0409090909090909</v>
      </c>
      <c r="M4807" s="241">
        <v>0.031390134529148</v>
      </c>
      <c r="N4807" s="241">
        <v>0.0307692307692308</v>
      </c>
      <c r="O4807" s="252">
        <v>0.0240549828178694</v>
      </c>
    </row>
    <row r="4808" spans="1:15">
      <c r="A4808" s="242" t="s">
        <v>22</v>
      </c>
      <c r="B4808" s="43" t="s">
        <v>6</v>
      </c>
      <c r="C4808" s="15">
        <v>30</v>
      </c>
      <c r="D4808" s="244">
        <v>9</v>
      </c>
      <c r="E4808" s="244">
        <v>0</v>
      </c>
      <c r="F4808" s="244">
        <v>3</v>
      </c>
      <c r="G4808" s="244">
        <v>0</v>
      </c>
      <c r="H4808" s="244">
        <v>2</v>
      </c>
      <c r="I4808" s="244">
        <v>1</v>
      </c>
      <c r="J4808" s="244">
        <v>4</v>
      </c>
      <c r="K4808" s="244">
        <v>3</v>
      </c>
      <c r="L4808" s="244">
        <v>3</v>
      </c>
      <c r="M4808" s="244">
        <v>2</v>
      </c>
      <c r="N4808" s="244">
        <v>2</v>
      </c>
      <c r="O4808" s="254">
        <v>1</v>
      </c>
    </row>
    <row r="4809" ht="14.25" spans="1:15">
      <c r="A4809" s="245" t="s">
        <v>22</v>
      </c>
      <c r="B4809" s="52" t="s">
        <v>64</v>
      </c>
      <c r="C4809" s="19">
        <v>0.348837209302326</v>
      </c>
      <c r="D4809" s="246">
        <v>0.642857142857143</v>
      </c>
      <c r="E4809" s="246">
        <v>0</v>
      </c>
      <c r="F4809" s="246">
        <v>0.75</v>
      </c>
      <c r="G4809" s="246">
        <v>0</v>
      </c>
      <c r="H4809" s="246">
        <v>0.666666666666667</v>
      </c>
      <c r="I4809" s="246">
        <v>0.111111111111111</v>
      </c>
      <c r="J4809" s="246">
        <v>0.5</v>
      </c>
      <c r="K4809" s="246">
        <v>0.6</v>
      </c>
      <c r="L4809" s="246">
        <v>0.333333333333333</v>
      </c>
      <c r="M4809" s="246">
        <v>0.285714285714286</v>
      </c>
      <c r="N4809" s="246">
        <v>0.25</v>
      </c>
      <c r="O4809" s="255">
        <v>0.142857142857143</v>
      </c>
    </row>
    <row r="4810" spans="1:15">
      <c r="A4810" s="247" t="s">
        <v>66</v>
      </c>
      <c r="B4810" s="248" t="s">
        <v>55</v>
      </c>
      <c r="C4810" s="12">
        <v>0.0503080082135524</v>
      </c>
      <c r="D4810" s="249">
        <v>0.0460829493087558</v>
      </c>
      <c r="E4810" s="249">
        <v>0.0140845070422535</v>
      </c>
      <c r="F4810" s="249">
        <v>0.0366492146596859</v>
      </c>
      <c r="G4810" s="249">
        <v>0.0406091370558376</v>
      </c>
      <c r="H4810" s="249">
        <v>0.0328947368421053</v>
      </c>
      <c r="I4810" s="249">
        <v>0.0324675324675325</v>
      </c>
      <c r="J4810" s="249">
        <v>0.0507246376811594</v>
      </c>
      <c r="K4810" s="249">
        <v>0.0683760683760684</v>
      </c>
      <c r="L4810" s="249">
        <v>0.0847457627118644</v>
      </c>
      <c r="M4810" s="249">
        <v>0.144067796610169</v>
      </c>
      <c r="N4810" s="249">
        <v>0.0523560209424084</v>
      </c>
      <c r="O4810" s="256">
        <v>0.0563380281690141</v>
      </c>
    </row>
    <row r="4811" spans="1:15">
      <c r="A4811" s="242" t="s">
        <v>66</v>
      </c>
      <c r="B4811" s="43" t="s">
        <v>57</v>
      </c>
      <c r="C4811" s="15">
        <v>1948</v>
      </c>
      <c r="D4811" s="243">
        <v>217</v>
      </c>
      <c r="E4811" s="243">
        <v>213</v>
      </c>
      <c r="F4811" s="243">
        <v>191</v>
      </c>
      <c r="G4811" s="243">
        <v>197</v>
      </c>
      <c r="H4811" s="243">
        <v>152</v>
      </c>
      <c r="I4811" s="243">
        <v>154</v>
      </c>
      <c r="J4811" s="243">
        <v>138</v>
      </c>
      <c r="K4811" s="243">
        <v>117</v>
      </c>
      <c r="L4811" s="243">
        <v>118</v>
      </c>
      <c r="M4811" s="243">
        <v>118</v>
      </c>
      <c r="N4811" s="243">
        <v>191</v>
      </c>
      <c r="O4811" s="253">
        <v>142</v>
      </c>
    </row>
    <row r="4812" spans="1:15">
      <c r="A4812" s="240" t="s">
        <v>66</v>
      </c>
      <c r="B4812" s="47" t="s">
        <v>59</v>
      </c>
      <c r="C4812" s="15">
        <v>98</v>
      </c>
      <c r="D4812" s="243">
        <v>10</v>
      </c>
      <c r="E4812" s="243">
        <v>3</v>
      </c>
      <c r="F4812" s="243">
        <v>7</v>
      </c>
      <c r="G4812" s="243">
        <v>8</v>
      </c>
      <c r="H4812" s="243">
        <v>5</v>
      </c>
      <c r="I4812" s="243">
        <v>5</v>
      </c>
      <c r="J4812" s="243">
        <v>7</v>
      </c>
      <c r="K4812" s="243">
        <v>8</v>
      </c>
      <c r="L4812" s="243">
        <v>10</v>
      </c>
      <c r="M4812" s="243">
        <v>17</v>
      </c>
      <c r="N4812" s="243">
        <v>10</v>
      </c>
      <c r="O4812" s="253">
        <v>8</v>
      </c>
    </row>
    <row r="4813" spans="1:15">
      <c r="A4813" s="242" t="s">
        <v>66</v>
      </c>
      <c r="B4813" s="43" t="s">
        <v>4</v>
      </c>
      <c r="C4813" s="15">
        <v>6</v>
      </c>
      <c r="D4813" s="244">
        <v>1</v>
      </c>
      <c r="E4813" s="244">
        <v>0</v>
      </c>
      <c r="F4813" s="244">
        <v>1</v>
      </c>
      <c r="G4813" s="244">
        <v>0</v>
      </c>
      <c r="H4813" s="244">
        <v>0</v>
      </c>
      <c r="I4813" s="244">
        <v>0</v>
      </c>
      <c r="J4813" s="244">
        <v>0</v>
      </c>
      <c r="K4813" s="244">
        <v>2</v>
      </c>
      <c r="L4813" s="244">
        <v>0</v>
      </c>
      <c r="M4813" s="244">
        <v>0</v>
      </c>
      <c r="N4813" s="244">
        <v>0</v>
      </c>
      <c r="O4813" s="254">
        <v>2</v>
      </c>
    </row>
    <row r="4814" spans="1:15">
      <c r="A4814" s="240" t="s">
        <v>66</v>
      </c>
      <c r="B4814" s="47" t="s">
        <v>5</v>
      </c>
      <c r="C4814" s="12">
        <v>0.0612244897959184</v>
      </c>
      <c r="D4814" s="241">
        <v>0.1</v>
      </c>
      <c r="E4814" s="241">
        <v>0</v>
      </c>
      <c r="F4814" s="241">
        <v>0.142857142857143</v>
      </c>
      <c r="G4814" s="241">
        <v>0</v>
      </c>
      <c r="H4814" s="241">
        <v>0</v>
      </c>
      <c r="I4814" s="241">
        <v>0</v>
      </c>
      <c r="J4814" s="241">
        <v>0</v>
      </c>
      <c r="K4814" s="241">
        <v>0.25</v>
      </c>
      <c r="L4814" s="241">
        <v>0</v>
      </c>
      <c r="M4814" s="241">
        <v>0</v>
      </c>
      <c r="N4814" s="241">
        <v>0</v>
      </c>
      <c r="O4814" s="252">
        <v>0.25</v>
      </c>
    </row>
    <row r="4815" spans="1:15">
      <c r="A4815" s="242" t="s">
        <v>66</v>
      </c>
      <c r="B4815" s="43" t="s">
        <v>6</v>
      </c>
      <c r="C4815" s="15">
        <v>3</v>
      </c>
      <c r="D4815" s="244">
        <v>0</v>
      </c>
      <c r="E4815" s="244">
        <v>0</v>
      </c>
      <c r="F4815" s="244">
        <v>1</v>
      </c>
      <c r="G4815" s="244">
        <v>0</v>
      </c>
      <c r="H4815" s="244">
        <v>0</v>
      </c>
      <c r="I4815" s="244">
        <v>0</v>
      </c>
      <c r="J4815" s="244">
        <v>0</v>
      </c>
      <c r="K4815" s="244">
        <v>1</v>
      </c>
      <c r="L4815" s="244">
        <v>1</v>
      </c>
      <c r="M4815" s="244">
        <v>0</v>
      </c>
      <c r="N4815" s="244">
        <v>0</v>
      </c>
      <c r="O4815" s="254">
        <v>0</v>
      </c>
    </row>
    <row r="4816" ht="14.25" spans="1:15">
      <c r="A4816" s="245" t="s">
        <v>66</v>
      </c>
      <c r="B4816" s="52" t="s">
        <v>64</v>
      </c>
      <c r="C4816" s="19">
        <v>0.5</v>
      </c>
      <c r="D4816" s="246">
        <v>0</v>
      </c>
      <c r="E4816" s="246">
        <v>0</v>
      </c>
      <c r="F4816" s="246">
        <v>1</v>
      </c>
      <c r="G4816" s="246">
        <v>0</v>
      </c>
      <c r="H4816" s="246">
        <v>0</v>
      </c>
      <c r="I4816" s="246">
        <v>0</v>
      </c>
      <c r="J4816" s="246">
        <v>0</v>
      </c>
      <c r="K4816" s="246">
        <v>0.5</v>
      </c>
      <c r="L4816" s="246">
        <v>0</v>
      </c>
      <c r="M4816" s="246">
        <v>0</v>
      </c>
      <c r="N4816" s="246">
        <v>0</v>
      </c>
      <c r="O4816" s="255">
        <v>0</v>
      </c>
    </row>
    <row r="4817" spans="1:15">
      <c r="A4817" s="240" t="s">
        <v>67</v>
      </c>
      <c r="B4817" s="47" t="s">
        <v>55</v>
      </c>
      <c r="C4817" s="12">
        <v>0.518971848225214</v>
      </c>
      <c r="D4817" s="241">
        <v>0.553398058252427</v>
      </c>
      <c r="E4817" s="241">
        <v>0.433962264150943</v>
      </c>
      <c r="F4817" s="241">
        <v>0.448275862068966</v>
      </c>
      <c r="G4817" s="241">
        <v>0.5</v>
      </c>
      <c r="H4817" s="241">
        <v>0.472727272727273</v>
      </c>
      <c r="I4817" s="241">
        <v>0.468354430379747</v>
      </c>
      <c r="J4817" s="241">
        <v>0.486111111111111</v>
      </c>
      <c r="K4817" s="241">
        <v>0.478260869565217</v>
      </c>
      <c r="L4817" s="241">
        <v>0.547945205479452</v>
      </c>
      <c r="M4817" s="241">
        <v>0.594202898550725</v>
      </c>
      <c r="N4817" s="241">
        <v>0.492537313432836</v>
      </c>
      <c r="O4817" s="252">
        <v>0.633333333333333</v>
      </c>
    </row>
    <row r="4818" spans="1:15">
      <c r="A4818" s="242" t="s">
        <v>67</v>
      </c>
      <c r="B4818" s="43" t="s">
        <v>57</v>
      </c>
      <c r="C4818" s="15">
        <v>817</v>
      </c>
      <c r="D4818" s="243">
        <v>103</v>
      </c>
      <c r="E4818" s="243">
        <v>53</v>
      </c>
      <c r="F4818" s="243">
        <v>29</v>
      </c>
      <c r="G4818" s="243">
        <v>58</v>
      </c>
      <c r="H4818" s="243">
        <v>55</v>
      </c>
      <c r="I4818" s="243">
        <v>79</v>
      </c>
      <c r="J4818" s="243">
        <v>72</v>
      </c>
      <c r="K4818" s="243">
        <v>69</v>
      </c>
      <c r="L4818" s="243">
        <v>73</v>
      </c>
      <c r="M4818" s="243">
        <v>69</v>
      </c>
      <c r="N4818" s="243">
        <v>67</v>
      </c>
      <c r="O4818" s="253">
        <v>90</v>
      </c>
    </row>
    <row r="4819" spans="1:15">
      <c r="A4819" s="240" t="s">
        <v>67</v>
      </c>
      <c r="B4819" s="47" t="s">
        <v>59</v>
      </c>
      <c r="C4819" s="15">
        <v>424</v>
      </c>
      <c r="D4819" s="243">
        <v>57</v>
      </c>
      <c r="E4819" s="243">
        <v>23</v>
      </c>
      <c r="F4819" s="243">
        <v>13</v>
      </c>
      <c r="G4819" s="243">
        <v>29</v>
      </c>
      <c r="H4819" s="243">
        <v>26</v>
      </c>
      <c r="I4819" s="243">
        <v>37</v>
      </c>
      <c r="J4819" s="243">
        <v>35</v>
      </c>
      <c r="K4819" s="243">
        <v>33</v>
      </c>
      <c r="L4819" s="243">
        <v>40</v>
      </c>
      <c r="M4819" s="243">
        <v>41</v>
      </c>
      <c r="N4819" s="243">
        <v>33</v>
      </c>
      <c r="O4819" s="253">
        <v>57</v>
      </c>
    </row>
    <row r="4820" spans="1:15">
      <c r="A4820" s="242" t="s">
        <v>67</v>
      </c>
      <c r="B4820" s="43" t="s">
        <v>4</v>
      </c>
      <c r="C4820" s="15">
        <v>20</v>
      </c>
      <c r="D4820" s="244">
        <v>3</v>
      </c>
      <c r="E4820" s="244">
        <v>1</v>
      </c>
      <c r="F4820" s="244">
        <v>0</v>
      </c>
      <c r="G4820" s="244">
        <v>1</v>
      </c>
      <c r="H4820" s="244">
        <v>2</v>
      </c>
      <c r="I4820" s="244">
        <v>3</v>
      </c>
      <c r="J4820" s="244">
        <v>0</v>
      </c>
      <c r="K4820" s="244">
        <v>0</v>
      </c>
      <c r="L4820" s="244">
        <v>2</v>
      </c>
      <c r="M4820" s="244">
        <v>1</v>
      </c>
      <c r="N4820" s="244">
        <v>2</v>
      </c>
      <c r="O4820" s="254">
        <v>5</v>
      </c>
    </row>
    <row r="4821" spans="1:15">
      <c r="A4821" s="240" t="s">
        <v>67</v>
      </c>
      <c r="B4821" s="47" t="s">
        <v>5</v>
      </c>
      <c r="C4821" s="12">
        <v>0.0471698113207547</v>
      </c>
      <c r="D4821" s="241">
        <v>0.0526315789473684</v>
      </c>
      <c r="E4821" s="241">
        <v>0.0434782608695652</v>
      </c>
      <c r="F4821" s="241">
        <v>0</v>
      </c>
      <c r="G4821" s="241">
        <v>0.0344827586206897</v>
      </c>
      <c r="H4821" s="241">
        <v>0.0769230769230769</v>
      </c>
      <c r="I4821" s="241">
        <v>0.0810810810810811</v>
      </c>
      <c r="J4821" s="241">
        <v>0</v>
      </c>
      <c r="K4821" s="241">
        <v>0</v>
      </c>
      <c r="L4821" s="241">
        <v>0.05</v>
      </c>
      <c r="M4821" s="241">
        <v>0.024390243902439</v>
      </c>
      <c r="N4821" s="241">
        <v>0.0606060606060606</v>
      </c>
      <c r="O4821" s="252">
        <v>0.087719298245614</v>
      </c>
    </row>
    <row r="4822" spans="1:15">
      <c r="A4822" s="242" t="s">
        <v>67</v>
      </c>
      <c r="B4822" s="43" t="s">
        <v>6</v>
      </c>
      <c r="C4822" s="15">
        <v>8</v>
      </c>
      <c r="D4822" s="244">
        <v>1</v>
      </c>
      <c r="E4822" s="244">
        <v>0</v>
      </c>
      <c r="F4822" s="244">
        <v>0</v>
      </c>
      <c r="G4822" s="244">
        <v>1</v>
      </c>
      <c r="H4822" s="244">
        <v>1</v>
      </c>
      <c r="I4822" s="244">
        <v>0</v>
      </c>
      <c r="J4822" s="244">
        <v>0</v>
      </c>
      <c r="K4822" s="244">
        <v>0</v>
      </c>
      <c r="L4822" s="244">
        <v>1</v>
      </c>
      <c r="M4822" s="244">
        <v>2</v>
      </c>
      <c r="N4822" s="244">
        <v>0</v>
      </c>
      <c r="O4822" s="254">
        <v>2</v>
      </c>
    </row>
    <row r="4823" ht="14.25" spans="1:15">
      <c r="A4823" s="245" t="s">
        <v>67</v>
      </c>
      <c r="B4823" s="52" t="s">
        <v>64</v>
      </c>
      <c r="C4823" s="19">
        <v>0.4</v>
      </c>
      <c r="D4823" s="246">
        <v>0.333333333333333</v>
      </c>
      <c r="E4823" s="246">
        <v>0</v>
      </c>
      <c r="F4823" s="246">
        <v>0</v>
      </c>
      <c r="G4823" s="246">
        <v>1</v>
      </c>
      <c r="H4823" s="246">
        <v>0.5</v>
      </c>
      <c r="I4823" s="246">
        <v>0</v>
      </c>
      <c r="J4823" s="246">
        <v>0</v>
      </c>
      <c r="K4823" s="246">
        <v>0</v>
      </c>
      <c r="L4823" s="246">
        <v>0.5</v>
      </c>
      <c r="M4823" s="246">
        <v>2</v>
      </c>
      <c r="N4823" s="246">
        <v>0</v>
      </c>
      <c r="O4823" s="255">
        <v>0.4</v>
      </c>
    </row>
    <row r="4824" spans="1:15">
      <c r="A4824" s="240" t="s">
        <v>68</v>
      </c>
      <c r="B4824" s="47" t="s">
        <v>55</v>
      </c>
      <c r="C4824" s="12">
        <v>0.282772820864791</v>
      </c>
      <c r="D4824" s="241">
        <v>0.302173913043478</v>
      </c>
      <c r="E4824" s="241">
        <v>0.274774774774775</v>
      </c>
      <c r="F4824" s="241">
        <v>0.294117647058824</v>
      </c>
      <c r="G4824" s="241">
        <v>0.306532663316583</v>
      </c>
      <c r="H4824" s="241">
        <v>0.355481727574751</v>
      </c>
      <c r="I4824" s="241">
        <v>0.345454545454545</v>
      </c>
      <c r="J4824" s="241">
        <v>0.322674418604651</v>
      </c>
      <c r="K4824" s="241">
        <v>0.284671532846715</v>
      </c>
      <c r="L4824" s="241">
        <v>0.266509433962264</v>
      </c>
      <c r="M4824" s="241">
        <v>0.229074889867841</v>
      </c>
      <c r="N4824" s="241">
        <v>0.269874476987448</v>
      </c>
      <c r="O4824" s="252">
        <v>0.224913494809689</v>
      </c>
    </row>
    <row r="4825" spans="1:15">
      <c r="A4825" s="242" t="s">
        <v>68</v>
      </c>
      <c r="B4825" s="43" t="s">
        <v>57</v>
      </c>
      <c r="C4825" s="15">
        <v>4371</v>
      </c>
      <c r="D4825" s="243">
        <v>460</v>
      </c>
      <c r="E4825" s="243">
        <v>222</v>
      </c>
      <c r="F4825" s="243">
        <v>170</v>
      </c>
      <c r="G4825" s="243">
        <v>199</v>
      </c>
      <c r="H4825" s="243">
        <v>301</v>
      </c>
      <c r="I4825" s="243">
        <v>330</v>
      </c>
      <c r="J4825" s="243">
        <v>344</v>
      </c>
      <c r="K4825" s="243">
        <v>411</v>
      </c>
      <c r="L4825" s="243">
        <v>424</v>
      </c>
      <c r="M4825" s="243">
        <v>454</v>
      </c>
      <c r="N4825" s="243">
        <v>478</v>
      </c>
      <c r="O4825" s="253">
        <v>578</v>
      </c>
    </row>
    <row r="4826" spans="1:15">
      <c r="A4826" s="240" t="s">
        <v>68</v>
      </c>
      <c r="B4826" s="47" t="s">
        <v>59</v>
      </c>
      <c r="C4826" s="15">
        <v>1236</v>
      </c>
      <c r="D4826" s="243">
        <v>139</v>
      </c>
      <c r="E4826" s="243">
        <v>61</v>
      </c>
      <c r="F4826" s="243">
        <v>50</v>
      </c>
      <c r="G4826" s="243">
        <v>61</v>
      </c>
      <c r="H4826" s="243">
        <v>107</v>
      </c>
      <c r="I4826" s="243">
        <v>114</v>
      </c>
      <c r="J4826" s="243">
        <v>111</v>
      </c>
      <c r="K4826" s="243">
        <v>117</v>
      </c>
      <c r="L4826" s="243">
        <v>113</v>
      </c>
      <c r="M4826" s="243">
        <v>104</v>
      </c>
      <c r="N4826" s="243">
        <v>129</v>
      </c>
      <c r="O4826" s="253">
        <v>130</v>
      </c>
    </row>
    <row r="4827" spans="1:15">
      <c r="A4827" s="242" t="s">
        <v>68</v>
      </c>
      <c r="B4827" s="43" t="s">
        <v>4</v>
      </c>
      <c r="C4827" s="15">
        <v>80</v>
      </c>
      <c r="D4827" s="244">
        <v>8</v>
      </c>
      <c r="E4827" s="244">
        <v>2</v>
      </c>
      <c r="F4827" s="244">
        <v>4</v>
      </c>
      <c r="G4827" s="244">
        <v>3</v>
      </c>
      <c r="H4827" s="244">
        <v>7</v>
      </c>
      <c r="I4827" s="244">
        <v>6</v>
      </c>
      <c r="J4827" s="244">
        <v>5</v>
      </c>
      <c r="K4827" s="244">
        <v>7</v>
      </c>
      <c r="L4827" s="244">
        <v>9</v>
      </c>
      <c r="M4827" s="244">
        <v>4</v>
      </c>
      <c r="N4827" s="244">
        <v>10</v>
      </c>
      <c r="O4827" s="254">
        <v>15</v>
      </c>
    </row>
    <row r="4828" spans="1:15">
      <c r="A4828" s="240" t="s">
        <v>68</v>
      </c>
      <c r="B4828" s="47" t="s">
        <v>5</v>
      </c>
      <c r="C4828" s="12">
        <v>0.0647249190938511</v>
      </c>
      <c r="D4828" s="241">
        <v>0.0575539568345324</v>
      </c>
      <c r="E4828" s="241">
        <v>0.0327868852459016</v>
      </c>
      <c r="F4828" s="241">
        <v>0.08</v>
      </c>
      <c r="G4828" s="241">
        <v>0.0491803278688525</v>
      </c>
      <c r="H4828" s="241">
        <v>0.0654205607476635</v>
      </c>
      <c r="I4828" s="241">
        <v>0.0526315789473684</v>
      </c>
      <c r="J4828" s="241">
        <v>0.045045045045045</v>
      </c>
      <c r="K4828" s="241">
        <v>0.0598290598290598</v>
      </c>
      <c r="L4828" s="241">
        <v>0.079646017699115</v>
      </c>
      <c r="M4828" s="241">
        <v>0.0384615384615385</v>
      </c>
      <c r="N4828" s="241">
        <v>0.0775193798449612</v>
      </c>
      <c r="O4828" s="252">
        <v>0.115384615384615</v>
      </c>
    </row>
    <row r="4829" spans="1:15">
      <c r="A4829" s="242" t="s">
        <v>68</v>
      </c>
      <c r="B4829" s="43" t="s">
        <v>6</v>
      </c>
      <c r="C4829" s="15">
        <v>21</v>
      </c>
      <c r="D4829" s="244">
        <v>3</v>
      </c>
      <c r="E4829" s="244">
        <v>3</v>
      </c>
      <c r="F4829" s="244">
        <v>0</v>
      </c>
      <c r="G4829" s="244">
        <v>0</v>
      </c>
      <c r="H4829" s="244">
        <v>1</v>
      </c>
      <c r="I4829" s="244">
        <v>1</v>
      </c>
      <c r="J4829" s="244">
        <v>1</v>
      </c>
      <c r="K4829" s="244">
        <v>3</v>
      </c>
      <c r="L4829" s="244">
        <v>7</v>
      </c>
      <c r="M4829" s="244">
        <v>1</v>
      </c>
      <c r="N4829" s="244">
        <v>0</v>
      </c>
      <c r="O4829" s="254">
        <v>1</v>
      </c>
    </row>
    <row r="4830" ht="14.25" spans="1:15">
      <c r="A4830" s="245" t="s">
        <v>68</v>
      </c>
      <c r="B4830" s="52" t="s">
        <v>64</v>
      </c>
      <c r="C4830" s="19">
        <v>0.2625</v>
      </c>
      <c r="D4830" s="246">
        <v>0.375</v>
      </c>
      <c r="E4830" s="246">
        <v>1.5</v>
      </c>
      <c r="F4830" s="246">
        <v>0</v>
      </c>
      <c r="G4830" s="246">
        <v>0</v>
      </c>
      <c r="H4830" s="246">
        <v>0.142857142857143</v>
      </c>
      <c r="I4830" s="246">
        <v>0.166666666666667</v>
      </c>
      <c r="J4830" s="246">
        <v>0.2</v>
      </c>
      <c r="K4830" s="246">
        <v>0.428571428571429</v>
      </c>
      <c r="L4830" s="246">
        <v>0.777777777777778</v>
      </c>
      <c r="M4830" s="246">
        <v>0.25</v>
      </c>
      <c r="N4830" s="246">
        <v>0</v>
      </c>
      <c r="O4830" s="255">
        <v>0.0666666666666667</v>
      </c>
    </row>
    <row r="4831" spans="1:15">
      <c r="A4831" s="240" t="s">
        <v>69</v>
      </c>
      <c r="B4831" s="47" t="s">
        <v>55</v>
      </c>
      <c r="C4831" s="12">
        <v>1.50655021834061</v>
      </c>
      <c r="D4831" s="241">
        <v>1.51724137931034</v>
      </c>
      <c r="E4831" s="241">
        <v>1.38461538461538</v>
      </c>
      <c r="F4831" s="241">
        <v>1.25</v>
      </c>
      <c r="G4831" s="241">
        <v>2.125</v>
      </c>
      <c r="H4831" s="241">
        <v>1.73333333333333</v>
      </c>
      <c r="I4831" s="241">
        <v>1.5</v>
      </c>
      <c r="J4831" s="241">
        <v>2.30769230769231</v>
      </c>
      <c r="K4831" s="241">
        <v>1.42857142857143</v>
      </c>
      <c r="L4831" s="241">
        <v>2</v>
      </c>
      <c r="M4831" s="241">
        <v>1.33333333333333</v>
      </c>
      <c r="N4831" s="241">
        <v>1.36111111111111</v>
      </c>
      <c r="O4831" s="252">
        <v>1.04</v>
      </c>
    </row>
    <row r="4832" spans="1:15">
      <c r="A4832" s="242" t="s">
        <v>69</v>
      </c>
      <c r="B4832" s="43" t="s">
        <v>57</v>
      </c>
      <c r="C4832" s="15">
        <v>229</v>
      </c>
      <c r="D4832" s="243">
        <v>29</v>
      </c>
      <c r="E4832" s="243">
        <v>13</v>
      </c>
      <c r="F4832" s="243">
        <v>12</v>
      </c>
      <c r="G4832" s="243">
        <v>8</v>
      </c>
      <c r="H4832" s="243">
        <v>15</v>
      </c>
      <c r="I4832" s="243">
        <v>16</v>
      </c>
      <c r="J4832" s="243">
        <v>13</v>
      </c>
      <c r="K4832" s="243">
        <v>21</v>
      </c>
      <c r="L4832" s="243">
        <v>17</v>
      </c>
      <c r="M4832" s="243">
        <v>24</v>
      </c>
      <c r="N4832" s="243">
        <v>36</v>
      </c>
      <c r="O4832" s="253">
        <v>25</v>
      </c>
    </row>
    <row r="4833" spans="1:15">
      <c r="A4833" s="240" t="s">
        <v>69</v>
      </c>
      <c r="B4833" s="47" t="s">
        <v>59</v>
      </c>
      <c r="C4833" s="15">
        <v>345</v>
      </c>
      <c r="D4833" s="243">
        <v>44</v>
      </c>
      <c r="E4833" s="243">
        <v>18</v>
      </c>
      <c r="F4833" s="243">
        <v>15</v>
      </c>
      <c r="G4833" s="243">
        <v>17</v>
      </c>
      <c r="H4833" s="243">
        <v>26</v>
      </c>
      <c r="I4833" s="243">
        <v>24</v>
      </c>
      <c r="J4833" s="243">
        <v>30</v>
      </c>
      <c r="K4833" s="243">
        <v>30</v>
      </c>
      <c r="L4833" s="243">
        <v>34</v>
      </c>
      <c r="M4833" s="243">
        <v>32</v>
      </c>
      <c r="N4833" s="243">
        <v>49</v>
      </c>
      <c r="O4833" s="253">
        <v>26</v>
      </c>
    </row>
    <row r="4834" spans="1:15">
      <c r="A4834" s="242" t="s">
        <v>69</v>
      </c>
      <c r="B4834" s="43" t="s">
        <v>4</v>
      </c>
      <c r="C4834" s="15">
        <v>5</v>
      </c>
      <c r="D4834" s="244">
        <v>0</v>
      </c>
      <c r="E4834" s="244">
        <v>0</v>
      </c>
      <c r="F4834" s="244">
        <v>0</v>
      </c>
      <c r="G4834" s="244">
        <v>0</v>
      </c>
      <c r="H4834" s="244">
        <v>1</v>
      </c>
      <c r="I4834" s="244">
        <v>0</v>
      </c>
      <c r="J4834" s="244">
        <v>0</v>
      </c>
      <c r="K4834" s="244">
        <v>0</v>
      </c>
      <c r="L4834" s="244">
        <v>0</v>
      </c>
      <c r="M4834" s="244">
        <v>0</v>
      </c>
      <c r="N4834" s="244">
        <v>3</v>
      </c>
      <c r="O4834" s="254">
        <v>1</v>
      </c>
    </row>
    <row r="4835" spans="1:15">
      <c r="A4835" s="240" t="s">
        <v>69</v>
      </c>
      <c r="B4835" s="47" t="s">
        <v>5</v>
      </c>
      <c r="C4835" s="12">
        <v>0.0144927536231884</v>
      </c>
      <c r="D4835" s="241">
        <v>0</v>
      </c>
      <c r="E4835" s="241">
        <v>0</v>
      </c>
      <c r="F4835" s="241">
        <v>0</v>
      </c>
      <c r="G4835" s="241">
        <v>0</v>
      </c>
      <c r="H4835" s="241">
        <v>0.0384615384615385</v>
      </c>
      <c r="I4835" s="241">
        <v>0</v>
      </c>
      <c r="J4835" s="241">
        <v>0</v>
      </c>
      <c r="K4835" s="241">
        <v>0</v>
      </c>
      <c r="L4835" s="241">
        <v>0</v>
      </c>
      <c r="M4835" s="241">
        <v>0</v>
      </c>
      <c r="N4835" s="241">
        <v>0.0612244897959184</v>
      </c>
      <c r="O4835" s="252">
        <v>0.0384615384615385</v>
      </c>
    </row>
    <row r="4836" spans="1:15">
      <c r="A4836" s="242" t="s">
        <v>69</v>
      </c>
      <c r="B4836" s="43" t="s">
        <v>6</v>
      </c>
      <c r="C4836" s="15">
        <v>3</v>
      </c>
      <c r="D4836" s="244">
        <v>0</v>
      </c>
      <c r="E4836" s="244">
        <v>0</v>
      </c>
      <c r="F4836" s="244">
        <v>0</v>
      </c>
      <c r="G4836" s="244">
        <v>0</v>
      </c>
      <c r="H4836" s="244">
        <v>1</v>
      </c>
      <c r="I4836" s="244">
        <v>0</v>
      </c>
      <c r="J4836" s="244">
        <v>1</v>
      </c>
      <c r="K4836" s="244">
        <v>0</v>
      </c>
      <c r="L4836" s="244">
        <v>0</v>
      </c>
      <c r="M4836" s="244">
        <v>0</v>
      </c>
      <c r="N4836" s="244">
        <v>0</v>
      </c>
      <c r="O4836" s="254">
        <v>1</v>
      </c>
    </row>
    <row r="4837" ht="14.25" spans="1:15">
      <c r="A4837" s="245" t="s">
        <v>69</v>
      </c>
      <c r="B4837" s="52" t="s">
        <v>64</v>
      </c>
      <c r="C4837" s="19">
        <v>0.6</v>
      </c>
      <c r="D4837" s="246">
        <v>0</v>
      </c>
      <c r="E4837" s="246">
        <v>0</v>
      </c>
      <c r="F4837" s="246">
        <v>0</v>
      </c>
      <c r="G4837" s="246">
        <v>0</v>
      </c>
      <c r="H4837" s="246">
        <v>1</v>
      </c>
      <c r="I4837" s="246">
        <v>0</v>
      </c>
      <c r="J4837" s="246">
        <v>0</v>
      </c>
      <c r="K4837" s="246">
        <v>0</v>
      </c>
      <c r="L4837" s="246">
        <v>0</v>
      </c>
      <c r="M4837" s="246">
        <v>0</v>
      </c>
      <c r="N4837" s="246">
        <v>0</v>
      </c>
      <c r="O4837" s="255">
        <v>1</v>
      </c>
    </row>
    <row r="4838" spans="1:15">
      <c r="A4838" s="240" t="s">
        <v>70</v>
      </c>
      <c r="B4838" s="47" t="s">
        <v>55</v>
      </c>
      <c r="C4838" s="12">
        <v>0.376076555023923</v>
      </c>
      <c r="D4838" s="241">
        <v>0.322766570605187</v>
      </c>
      <c r="E4838" s="241">
        <v>0.398936170212766</v>
      </c>
      <c r="F4838" s="241">
        <v>0.523076923076923</v>
      </c>
      <c r="G4838" s="241">
        <v>0.454545454545455</v>
      </c>
      <c r="H4838" s="241">
        <v>0.468292682926829</v>
      </c>
      <c r="I4838" s="241">
        <v>0.415254237288136</v>
      </c>
      <c r="J4838" s="241">
        <v>0.430278884462151</v>
      </c>
      <c r="K4838" s="241">
        <v>0.367003367003367</v>
      </c>
      <c r="L4838" s="241">
        <v>0.376760563380282</v>
      </c>
      <c r="M4838" s="241">
        <v>0.340136054421769</v>
      </c>
      <c r="N4838" s="241">
        <v>0.303430079155673</v>
      </c>
      <c r="O4838" s="252">
        <v>0.327027027027027</v>
      </c>
    </row>
    <row r="4839" spans="1:15">
      <c r="A4839" s="242" t="s">
        <v>70</v>
      </c>
      <c r="B4839" s="43" t="s">
        <v>57</v>
      </c>
      <c r="C4839" s="15">
        <v>3135</v>
      </c>
      <c r="D4839" s="243">
        <v>347</v>
      </c>
      <c r="E4839" s="243">
        <v>188</v>
      </c>
      <c r="F4839" s="243">
        <v>130</v>
      </c>
      <c r="G4839" s="243">
        <v>154</v>
      </c>
      <c r="H4839" s="243">
        <v>205</v>
      </c>
      <c r="I4839" s="243">
        <v>236</v>
      </c>
      <c r="J4839" s="243">
        <v>251</v>
      </c>
      <c r="K4839" s="243">
        <v>297</v>
      </c>
      <c r="L4839" s="243">
        <v>284</v>
      </c>
      <c r="M4839" s="243">
        <v>294</v>
      </c>
      <c r="N4839" s="243">
        <v>379</v>
      </c>
      <c r="O4839" s="253">
        <v>370</v>
      </c>
    </row>
    <row r="4840" spans="1:15">
      <c r="A4840" s="240" t="s">
        <v>70</v>
      </c>
      <c r="B4840" s="47" t="s">
        <v>59</v>
      </c>
      <c r="C4840" s="15">
        <v>1179</v>
      </c>
      <c r="D4840" s="243">
        <v>112</v>
      </c>
      <c r="E4840" s="243">
        <v>75</v>
      </c>
      <c r="F4840" s="243">
        <v>68</v>
      </c>
      <c r="G4840" s="243">
        <v>70</v>
      </c>
      <c r="H4840" s="243">
        <v>96</v>
      </c>
      <c r="I4840" s="243">
        <v>98</v>
      </c>
      <c r="J4840" s="243">
        <v>108</v>
      </c>
      <c r="K4840" s="243">
        <v>109</v>
      </c>
      <c r="L4840" s="243">
        <v>107</v>
      </c>
      <c r="M4840" s="243">
        <v>100</v>
      </c>
      <c r="N4840" s="243">
        <v>115</v>
      </c>
      <c r="O4840" s="253">
        <v>121</v>
      </c>
    </row>
    <row r="4841" spans="1:15">
      <c r="A4841" s="242" t="s">
        <v>70</v>
      </c>
      <c r="B4841" s="43" t="s">
        <v>4</v>
      </c>
      <c r="C4841" s="15">
        <v>109</v>
      </c>
      <c r="D4841" s="244">
        <v>9</v>
      </c>
      <c r="E4841" s="244">
        <v>14</v>
      </c>
      <c r="F4841" s="244">
        <v>7</v>
      </c>
      <c r="G4841" s="244">
        <v>1</v>
      </c>
      <c r="H4841" s="244">
        <v>4</v>
      </c>
      <c r="I4841" s="244">
        <v>7</v>
      </c>
      <c r="J4841" s="244">
        <v>8</v>
      </c>
      <c r="K4841" s="244">
        <v>9</v>
      </c>
      <c r="L4841" s="244">
        <v>11</v>
      </c>
      <c r="M4841" s="244">
        <v>10</v>
      </c>
      <c r="N4841" s="244">
        <v>10</v>
      </c>
      <c r="O4841" s="254">
        <v>19</v>
      </c>
    </row>
    <row r="4842" spans="1:15">
      <c r="A4842" s="240" t="s">
        <v>70</v>
      </c>
      <c r="B4842" s="47" t="s">
        <v>5</v>
      </c>
      <c r="C4842" s="12">
        <v>0.09245122985581</v>
      </c>
      <c r="D4842" s="241">
        <v>0.0803571428571429</v>
      </c>
      <c r="E4842" s="241">
        <v>0.186666666666667</v>
      </c>
      <c r="F4842" s="241">
        <v>0.102941176470588</v>
      </c>
      <c r="G4842" s="241">
        <v>0.0142857142857143</v>
      </c>
      <c r="H4842" s="241">
        <v>0.0416666666666667</v>
      </c>
      <c r="I4842" s="241">
        <v>0.0714285714285714</v>
      </c>
      <c r="J4842" s="241">
        <v>0.0740740740740741</v>
      </c>
      <c r="K4842" s="241">
        <v>0.0825688073394495</v>
      </c>
      <c r="L4842" s="241">
        <v>0.102803738317757</v>
      </c>
      <c r="M4842" s="241">
        <v>0.1</v>
      </c>
      <c r="N4842" s="241">
        <v>0.0869565217391304</v>
      </c>
      <c r="O4842" s="252">
        <v>0.15702479338843</v>
      </c>
    </row>
    <row r="4843" spans="1:15">
      <c r="A4843" s="242" t="s">
        <v>70</v>
      </c>
      <c r="B4843" s="43" t="s">
        <v>6</v>
      </c>
      <c r="C4843" s="15">
        <v>45</v>
      </c>
      <c r="D4843" s="244">
        <v>4</v>
      </c>
      <c r="E4843" s="244">
        <v>3</v>
      </c>
      <c r="F4843" s="244">
        <v>4</v>
      </c>
      <c r="G4843" s="244">
        <v>0</v>
      </c>
      <c r="H4843" s="244">
        <v>2</v>
      </c>
      <c r="I4843" s="244">
        <v>1</v>
      </c>
      <c r="J4843" s="244">
        <v>6</v>
      </c>
      <c r="K4843" s="244">
        <v>10</v>
      </c>
      <c r="L4843" s="244">
        <v>3</v>
      </c>
      <c r="M4843" s="244">
        <v>8</v>
      </c>
      <c r="N4843" s="244">
        <v>0</v>
      </c>
      <c r="O4843" s="254">
        <v>4</v>
      </c>
    </row>
    <row r="4844" ht="14.25" spans="1:15">
      <c r="A4844" s="245" t="s">
        <v>70</v>
      </c>
      <c r="B4844" s="52" t="s">
        <v>64</v>
      </c>
      <c r="C4844" s="19">
        <v>0.412844036697248</v>
      </c>
      <c r="D4844" s="246">
        <v>0.444444444444444</v>
      </c>
      <c r="E4844" s="246">
        <v>0.214285714285714</v>
      </c>
      <c r="F4844" s="246">
        <v>0.571428571428571</v>
      </c>
      <c r="G4844" s="246">
        <v>0</v>
      </c>
      <c r="H4844" s="246">
        <v>0.5</v>
      </c>
      <c r="I4844" s="246">
        <v>0.142857142857143</v>
      </c>
      <c r="J4844" s="246">
        <v>0.75</v>
      </c>
      <c r="K4844" s="246">
        <v>1.11111111111111</v>
      </c>
      <c r="L4844" s="246">
        <v>0.272727272727273</v>
      </c>
      <c r="M4844" s="246">
        <v>0.8</v>
      </c>
      <c r="N4844" s="246">
        <v>0</v>
      </c>
      <c r="O4844" s="255">
        <v>0.210526315789474</v>
      </c>
    </row>
    <row r="4845" spans="1:15">
      <c r="A4845" s="240" t="s">
        <v>26</v>
      </c>
      <c r="B4845" s="47" t="s">
        <v>55</v>
      </c>
      <c r="C4845" s="12">
        <v>0.0575280898876405</v>
      </c>
      <c r="D4845" s="241">
        <v>0.0326086956521739</v>
      </c>
      <c r="E4845" s="241">
        <v>0.019271948608137</v>
      </c>
      <c r="F4845" s="241">
        <v>0.0106007067137809</v>
      </c>
      <c r="G4845" s="241">
        <v>0.0271317829457364</v>
      </c>
      <c r="H4845" s="241">
        <v>0.0404624277456647</v>
      </c>
      <c r="I4845" s="241">
        <v>0.0593220338983051</v>
      </c>
      <c r="J4845" s="241">
        <v>0.28</v>
      </c>
      <c r="K4845" s="241">
        <v>0.28</v>
      </c>
      <c r="L4845" s="241">
        <v>0.189655172413793</v>
      </c>
      <c r="M4845" s="241">
        <v>0.131868131868132</v>
      </c>
      <c r="N4845" s="241">
        <v>0.736842105263158</v>
      </c>
      <c r="O4845" s="252">
        <v>0.642857142857143</v>
      </c>
    </row>
    <row r="4846" spans="1:15">
      <c r="A4846" s="242" t="s">
        <v>26</v>
      </c>
      <c r="B4846" s="43" t="s">
        <v>57</v>
      </c>
      <c r="C4846" s="15">
        <v>2225</v>
      </c>
      <c r="D4846" s="243">
        <v>644</v>
      </c>
      <c r="E4846" s="243">
        <v>467</v>
      </c>
      <c r="F4846" s="243">
        <v>283</v>
      </c>
      <c r="G4846" s="243">
        <v>258</v>
      </c>
      <c r="H4846" s="243">
        <v>173</v>
      </c>
      <c r="I4846" s="243">
        <v>118</v>
      </c>
      <c r="J4846" s="243">
        <v>50</v>
      </c>
      <c r="K4846" s="243">
        <v>50</v>
      </c>
      <c r="L4846" s="243">
        <v>58</v>
      </c>
      <c r="M4846" s="243">
        <v>91</v>
      </c>
      <c r="N4846" s="243">
        <v>19</v>
      </c>
      <c r="O4846" s="253">
        <v>14</v>
      </c>
    </row>
    <row r="4847" spans="1:15">
      <c r="A4847" s="240" t="s">
        <v>26</v>
      </c>
      <c r="B4847" s="47" t="s">
        <v>59</v>
      </c>
      <c r="C4847" s="15">
        <v>128</v>
      </c>
      <c r="D4847" s="243">
        <v>21</v>
      </c>
      <c r="E4847" s="243">
        <v>9</v>
      </c>
      <c r="F4847" s="243">
        <v>3</v>
      </c>
      <c r="G4847" s="243">
        <v>7</v>
      </c>
      <c r="H4847" s="243">
        <v>7</v>
      </c>
      <c r="I4847" s="243">
        <v>7</v>
      </c>
      <c r="J4847" s="243">
        <v>14</v>
      </c>
      <c r="K4847" s="243">
        <v>14</v>
      </c>
      <c r="L4847" s="243">
        <v>11</v>
      </c>
      <c r="M4847" s="243">
        <v>12</v>
      </c>
      <c r="N4847" s="243">
        <v>14</v>
      </c>
      <c r="O4847" s="253">
        <v>9</v>
      </c>
    </row>
    <row r="4848" spans="1:15">
      <c r="A4848" s="242" t="s">
        <v>26</v>
      </c>
      <c r="B4848" s="43" t="s">
        <v>4</v>
      </c>
      <c r="C4848" s="15">
        <v>1</v>
      </c>
      <c r="D4848" s="244">
        <v>0</v>
      </c>
      <c r="E4848" s="244">
        <v>1</v>
      </c>
      <c r="F4848" s="244">
        <v>0</v>
      </c>
      <c r="G4848" s="244">
        <v>0</v>
      </c>
      <c r="H4848" s="244">
        <v>0</v>
      </c>
      <c r="I4848" s="244">
        <v>0</v>
      </c>
      <c r="J4848" s="244">
        <v>0</v>
      </c>
      <c r="K4848" s="244">
        <v>0</v>
      </c>
      <c r="L4848" s="244">
        <v>0</v>
      </c>
      <c r="M4848" s="244">
        <v>0</v>
      </c>
      <c r="N4848" s="244">
        <v>0</v>
      </c>
      <c r="O4848" s="254">
        <v>0</v>
      </c>
    </row>
    <row r="4849" spans="1:15">
      <c r="A4849" s="240" t="s">
        <v>26</v>
      </c>
      <c r="B4849" s="47" t="s">
        <v>5</v>
      </c>
      <c r="C4849" s="12">
        <v>0.0078125</v>
      </c>
      <c r="D4849" s="241">
        <v>0</v>
      </c>
      <c r="E4849" s="241">
        <v>0.111111111111111</v>
      </c>
      <c r="F4849" s="241">
        <v>0</v>
      </c>
      <c r="G4849" s="241">
        <v>0</v>
      </c>
      <c r="H4849" s="241">
        <v>0</v>
      </c>
      <c r="I4849" s="241">
        <v>0</v>
      </c>
      <c r="J4849" s="241">
        <v>0</v>
      </c>
      <c r="K4849" s="241">
        <v>0</v>
      </c>
      <c r="L4849" s="241">
        <v>0</v>
      </c>
      <c r="M4849" s="241">
        <v>0</v>
      </c>
      <c r="N4849" s="241">
        <v>0</v>
      </c>
      <c r="O4849" s="252">
        <v>0</v>
      </c>
    </row>
    <row r="4850" spans="1:15">
      <c r="A4850" s="242" t="s">
        <v>26</v>
      </c>
      <c r="B4850" s="43" t="s">
        <v>6</v>
      </c>
      <c r="C4850" s="15">
        <v>0</v>
      </c>
      <c r="D4850" s="244">
        <v>0</v>
      </c>
      <c r="E4850" s="244">
        <v>0</v>
      </c>
      <c r="F4850" s="244">
        <v>0</v>
      </c>
      <c r="G4850" s="244">
        <v>0</v>
      </c>
      <c r="H4850" s="244">
        <v>0</v>
      </c>
      <c r="I4850" s="244">
        <v>0</v>
      </c>
      <c r="J4850" s="244">
        <v>0</v>
      </c>
      <c r="K4850" s="244">
        <v>0</v>
      </c>
      <c r="L4850" s="244">
        <v>0</v>
      </c>
      <c r="M4850" s="244">
        <v>0</v>
      </c>
      <c r="N4850" s="244">
        <v>0</v>
      </c>
      <c r="O4850" s="254">
        <v>0</v>
      </c>
    </row>
    <row r="4851" ht="14.25" spans="1:15">
      <c r="A4851" s="245" t="s">
        <v>26</v>
      </c>
      <c r="B4851" s="52" t="s">
        <v>64</v>
      </c>
      <c r="C4851" s="19">
        <v>0</v>
      </c>
      <c r="D4851" s="19" t="e">
        <v>#DIV/0!</v>
      </c>
      <c r="E4851" s="19">
        <v>0</v>
      </c>
      <c r="F4851" s="19" t="e">
        <v>#DIV/0!</v>
      </c>
      <c r="G4851" s="19" t="e">
        <v>#DIV/0!</v>
      </c>
      <c r="H4851" s="19" t="e">
        <v>#DIV/0!</v>
      </c>
      <c r="I4851" s="19" t="e">
        <v>#DIV/0!</v>
      </c>
      <c r="J4851" s="19" t="e">
        <v>#DIV/0!</v>
      </c>
      <c r="K4851" s="19" t="e">
        <v>#DIV/0!</v>
      </c>
      <c r="L4851" s="19" t="e">
        <v>#DIV/0!</v>
      </c>
      <c r="M4851" s="19" t="e">
        <v>#DIV/0!</v>
      </c>
      <c r="N4851" s="19" t="e">
        <v>#DIV/0!</v>
      </c>
      <c r="O4851" s="19" t="e">
        <v>#DIV/0!</v>
      </c>
    </row>
    <row r="4852" spans="1:15">
      <c r="A4852" s="240" t="s">
        <v>71</v>
      </c>
      <c r="B4852" s="47" t="s">
        <v>55</v>
      </c>
      <c r="C4852" s="12">
        <v>195.666666666667</v>
      </c>
      <c r="D4852" s="241" t="e">
        <v>#DIV/0!</v>
      </c>
      <c r="E4852" s="241" t="e">
        <v>#DIV/0!</v>
      </c>
      <c r="F4852" s="241">
        <v>22</v>
      </c>
      <c r="G4852" s="241">
        <v>22</v>
      </c>
      <c r="H4852" s="241" t="e">
        <v>#DIV/0!</v>
      </c>
      <c r="I4852" s="241" t="e">
        <v>#DIV/0!</v>
      </c>
      <c r="J4852" s="241" t="e">
        <v>#DIV/0!</v>
      </c>
      <c r="K4852" s="241">
        <v>55</v>
      </c>
      <c r="L4852" s="241" t="e">
        <v>#DIV/0!</v>
      </c>
      <c r="M4852" s="241" t="e">
        <v>#DIV/0!</v>
      </c>
      <c r="N4852" s="241" t="e">
        <v>#DIV/0!</v>
      </c>
      <c r="O4852" s="252" t="e">
        <v>#DIV/0!</v>
      </c>
    </row>
    <row r="4853" spans="1:15">
      <c r="A4853" s="242" t="s">
        <v>71</v>
      </c>
      <c r="B4853" s="43" t="s">
        <v>57</v>
      </c>
      <c r="C4853" s="15">
        <v>3</v>
      </c>
      <c r="D4853" s="243">
        <v>0</v>
      </c>
      <c r="E4853" s="243">
        <v>0</v>
      </c>
      <c r="F4853" s="243">
        <v>1</v>
      </c>
      <c r="G4853" s="243">
        <v>1</v>
      </c>
      <c r="H4853" s="243">
        <v>0</v>
      </c>
      <c r="I4853" s="243">
        <v>0</v>
      </c>
      <c r="J4853" s="243">
        <v>0</v>
      </c>
      <c r="K4853" s="243">
        <v>1</v>
      </c>
      <c r="L4853" s="243">
        <v>0</v>
      </c>
      <c r="M4853" s="243">
        <v>0</v>
      </c>
      <c r="N4853" s="243">
        <v>0</v>
      </c>
      <c r="O4853" s="253">
        <v>0</v>
      </c>
    </row>
    <row r="4854" spans="1:15">
      <c r="A4854" s="240" t="s">
        <v>71</v>
      </c>
      <c r="B4854" s="47" t="s">
        <v>59</v>
      </c>
      <c r="C4854" s="15">
        <v>587</v>
      </c>
      <c r="D4854" s="243">
        <v>60</v>
      </c>
      <c r="E4854" s="243">
        <v>38</v>
      </c>
      <c r="F4854" s="243">
        <v>22</v>
      </c>
      <c r="G4854" s="243">
        <v>22</v>
      </c>
      <c r="H4854" s="243">
        <v>55</v>
      </c>
      <c r="I4854" s="243">
        <v>39</v>
      </c>
      <c r="J4854" s="243">
        <v>43</v>
      </c>
      <c r="K4854" s="243">
        <v>55</v>
      </c>
      <c r="L4854" s="243">
        <v>70</v>
      </c>
      <c r="M4854" s="243">
        <v>57</v>
      </c>
      <c r="N4854" s="243">
        <v>70</v>
      </c>
      <c r="O4854" s="253">
        <v>56</v>
      </c>
    </row>
    <row r="4855" spans="1:15">
      <c r="A4855" s="242" t="s">
        <v>71</v>
      </c>
      <c r="B4855" s="43" t="s">
        <v>4</v>
      </c>
      <c r="C4855" s="15">
        <v>34</v>
      </c>
      <c r="D4855" s="244">
        <v>1</v>
      </c>
      <c r="E4855" s="244">
        <v>2</v>
      </c>
      <c r="F4855" s="244">
        <v>4</v>
      </c>
      <c r="G4855" s="244">
        <v>1</v>
      </c>
      <c r="H4855" s="244">
        <v>1</v>
      </c>
      <c r="I4855" s="244">
        <v>3</v>
      </c>
      <c r="J4855" s="244">
        <v>1</v>
      </c>
      <c r="K4855" s="244">
        <v>2</v>
      </c>
      <c r="L4855" s="244">
        <v>2</v>
      </c>
      <c r="M4855" s="244">
        <v>2</v>
      </c>
      <c r="N4855" s="244">
        <v>6</v>
      </c>
      <c r="O4855" s="254">
        <v>9</v>
      </c>
    </row>
    <row r="4856" spans="1:15">
      <c r="A4856" s="240" t="s">
        <v>71</v>
      </c>
      <c r="B4856" s="47" t="s">
        <v>5</v>
      </c>
      <c r="C4856" s="241">
        <v>0.0579216354344123</v>
      </c>
      <c r="D4856" s="241">
        <v>0.0166666666666667</v>
      </c>
      <c r="E4856" s="241">
        <v>0.0526315789473684</v>
      </c>
      <c r="F4856" s="241">
        <v>0.181818181818182</v>
      </c>
      <c r="G4856" s="241">
        <v>0.0454545454545455</v>
      </c>
      <c r="H4856" s="241">
        <v>0.0181818181818182</v>
      </c>
      <c r="I4856" s="241">
        <v>0.0769230769230769</v>
      </c>
      <c r="J4856" s="241">
        <v>0.0232558139534884</v>
      </c>
      <c r="K4856" s="241">
        <v>0.0363636363636364</v>
      </c>
      <c r="L4856" s="241">
        <v>0.0285714285714286</v>
      </c>
      <c r="M4856" s="241">
        <v>0.0350877192982456</v>
      </c>
      <c r="N4856" s="241">
        <v>0.0857142857142857</v>
      </c>
      <c r="O4856" s="252">
        <v>0.160714285714286</v>
      </c>
    </row>
    <row r="4857" spans="1:15">
      <c r="A4857" s="242" t="s">
        <v>71</v>
      </c>
      <c r="B4857" s="43" t="s">
        <v>6</v>
      </c>
      <c r="C4857" s="15">
        <v>9</v>
      </c>
      <c r="D4857" s="244">
        <v>1</v>
      </c>
      <c r="E4857" s="244">
        <v>1</v>
      </c>
      <c r="F4857" s="244">
        <v>1</v>
      </c>
      <c r="G4857" s="244">
        <v>1</v>
      </c>
      <c r="H4857" s="244">
        <v>1</v>
      </c>
      <c r="I4857" s="244">
        <v>0</v>
      </c>
      <c r="J4857" s="244">
        <v>1</v>
      </c>
      <c r="K4857" s="244">
        <v>0</v>
      </c>
      <c r="L4857" s="244">
        <v>0</v>
      </c>
      <c r="M4857" s="244">
        <v>2</v>
      </c>
      <c r="N4857" s="244">
        <v>1</v>
      </c>
      <c r="O4857" s="254">
        <v>0</v>
      </c>
    </row>
    <row r="4858" ht="14.25" spans="1:15">
      <c r="A4858" s="245" t="s">
        <v>71</v>
      </c>
      <c r="B4858" s="52" t="s">
        <v>64</v>
      </c>
      <c r="C4858" s="19">
        <v>0.264705882352941</v>
      </c>
      <c r="D4858" s="19">
        <v>1</v>
      </c>
      <c r="E4858" s="19">
        <v>0.5</v>
      </c>
      <c r="F4858" s="19">
        <v>0.25</v>
      </c>
      <c r="G4858" s="19">
        <v>1</v>
      </c>
      <c r="H4858" s="19">
        <v>1</v>
      </c>
      <c r="I4858" s="19">
        <v>0</v>
      </c>
      <c r="J4858" s="19">
        <v>1</v>
      </c>
      <c r="K4858" s="19">
        <v>0</v>
      </c>
      <c r="L4858" s="19">
        <v>0</v>
      </c>
      <c r="M4858" s="19">
        <v>1</v>
      </c>
      <c r="N4858" s="19">
        <v>0.166666666666667</v>
      </c>
      <c r="O4858" s="19">
        <v>0</v>
      </c>
    </row>
    <row r="4859" spans="1:15">
      <c r="A4859" s="240" t="s">
        <v>72</v>
      </c>
      <c r="B4859" s="47" t="s">
        <v>55</v>
      </c>
      <c r="C4859" s="12">
        <v>0.154949784791966</v>
      </c>
      <c r="D4859" s="241">
        <v>0.215469613259669</v>
      </c>
      <c r="E4859" s="241">
        <v>0.208530805687204</v>
      </c>
      <c r="F4859" s="241">
        <v>0.140127388535032</v>
      </c>
      <c r="G4859" s="241">
        <v>0.123893805309735</v>
      </c>
      <c r="H4859" s="241">
        <v>0.125</v>
      </c>
      <c r="I4859" s="241">
        <v>0.121739130434783</v>
      </c>
      <c r="J4859" s="241">
        <v>0.132911392405063</v>
      </c>
      <c r="K4859" s="241">
        <v>0.141509433962264</v>
      </c>
      <c r="L4859" s="241">
        <v>0.142105263157895</v>
      </c>
      <c r="M4859" s="241">
        <v>0.146596858638743</v>
      </c>
      <c r="N4859" s="241">
        <v>0.148820326678766</v>
      </c>
      <c r="O4859" s="252">
        <v>0.193609022556391</v>
      </c>
    </row>
    <row r="4860" spans="1:15">
      <c r="A4860" s="242" t="s">
        <v>72</v>
      </c>
      <c r="B4860" s="43" t="s">
        <v>57</v>
      </c>
      <c r="C4860" s="15">
        <v>4182</v>
      </c>
      <c r="D4860" s="243">
        <v>362</v>
      </c>
      <c r="E4860" s="243">
        <v>211</v>
      </c>
      <c r="F4860" s="243">
        <v>157</v>
      </c>
      <c r="G4860" s="243">
        <v>226</v>
      </c>
      <c r="H4860" s="243">
        <v>296</v>
      </c>
      <c r="I4860" s="243">
        <v>345</v>
      </c>
      <c r="J4860" s="243">
        <v>316</v>
      </c>
      <c r="K4860" s="243">
        <v>424</v>
      </c>
      <c r="L4860" s="243">
        <v>380</v>
      </c>
      <c r="M4860" s="243">
        <v>382</v>
      </c>
      <c r="N4860" s="243">
        <v>551</v>
      </c>
      <c r="O4860" s="253">
        <v>532</v>
      </c>
    </row>
    <row r="4861" spans="1:15">
      <c r="A4861" s="240" t="s">
        <v>72</v>
      </c>
      <c r="B4861" s="47" t="s">
        <v>59</v>
      </c>
      <c r="C4861" s="15">
        <v>648</v>
      </c>
      <c r="D4861" s="243">
        <v>78</v>
      </c>
      <c r="E4861" s="243">
        <v>44</v>
      </c>
      <c r="F4861" s="243">
        <v>22</v>
      </c>
      <c r="G4861" s="243">
        <v>28</v>
      </c>
      <c r="H4861" s="243">
        <v>37</v>
      </c>
      <c r="I4861" s="243">
        <v>42</v>
      </c>
      <c r="J4861" s="243">
        <v>42</v>
      </c>
      <c r="K4861" s="243">
        <v>60</v>
      </c>
      <c r="L4861" s="243">
        <v>54</v>
      </c>
      <c r="M4861" s="243">
        <v>56</v>
      </c>
      <c r="N4861" s="243">
        <v>82</v>
      </c>
      <c r="O4861" s="253">
        <v>103</v>
      </c>
    </row>
    <row r="4862" spans="1:15">
      <c r="A4862" s="242" t="s">
        <v>72</v>
      </c>
      <c r="B4862" s="43" t="s">
        <v>4</v>
      </c>
      <c r="C4862" s="15">
        <v>50</v>
      </c>
      <c r="D4862" s="244">
        <v>8</v>
      </c>
      <c r="E4862" s="244">
        <v>4</v>
      </c>
      <c r="F4862" s="244">
        <v>3</v>
      </c>
      <c r="G4862" s="244">
        <v>1</v>
      </c>
      <c r="H4862" s="244">
        <v>2</v>
      </c>
      <c r="I4862" s="244">
        <v>4</v>
      </c>
      <c r="J4862" s="244">
        <v>1</v>
      </c>
      <c r="K4862" s="244">
        <v>3</v>
      </c>
      <c r="L4862" s="244">
        <v>6</v>
      </c>
      <c r="M4862" s="244">
        <v>4</v>
      </c>
      <c r="N4862" s="244">
        <v>3</v>
      </c>
      <c r="O4862" s="254">
        <v>11</v>
      </c>
    </row>
    <row r="4863" spans="1:15">
      <c r="A4863" s="240" t="s">
        <v>72</v>
      </c>
      <c r="B4863" s="47" t="s">
        <v>5</v>
      </c>
      <c r="C4863" s="12">
        <v>0.0771604938271605</v>
      </c>
      <c r="D4863" s="241">
        <v>0.102564102564103</v>
      </c>
      <c r="E4863" s="241">
        <v>0.0909090909090909</v>
      </c>
      <c r="F4863" s="241">
        <v>0.136363636363636</v>
      </c>
      <c r="G4863" s="241">
        <v>0.0357142857142857</v>
      </c>
      <c r="H4863" s="241">
        <v>0.0540540540540541</v>
      </c>
      <c r="I4863" s="241">
        <v>0.0952380952380952</v>
      </c>
      <c r="J4863" s="241">
        <v>0.0238095238095238</v>
      </c>
      <c r="K4863" s="241">
        <v>0.05</v>
      </c>
      <c r="L4863" s="241">
        <v>0.111111111111111</v>
      </c>
      <c r="M4863" s="241">
        <v>0.0714285714285714</v>
      </c>
      <c r="N4863" s="241">
        <v>0.0365853658536585</v>
      </c>
      <c r="O4863" s="252">
        <v>0.106796116504854</v>
      </c>
    </row>
    <row r="4864" spans="1:15">
      <c r="A4864" s="242" t="s">
        <v>72</v>
      </c>
      <c r="B4864" s="43" t="s">
        <v>6</v>
      </c>
      <c r="C4864" s="15">
        <v>14</v>
      </c>
      <c r="D4864" s="244">
        <v>2</v>
      </c>
      <c r="E4864" s="244">
        <v>1</v>
      </c>
      <c r="F4864" s="244">
        <v>1</v>
      </c>
      <c r="G4864" s="244">
        <v>1</v>
      </c>
      <c r="H4864" s="244">
        <v>1</v>
      </c>
      <c r="I4864" s="244">
        <v>0</v>
      </c>
      <c r="J4864" s="244">
        <v>0</v>
      </c>
      <c r="K4864" s="244">
        <v>3</v>
      </c>
      <c r="L4864" s="244">
        <v>2</v>
      </c>
      <c r="M4864" s="244">
        <v>1</v>
      </c>
      <c r="N4864" s="244">
        <v>1</v>
      </c>
      <c r="O4864" s="254">
        <v>1</v>
      </c>
    </row>
    <row r="4865" ht="14.25" spans="1:15">
      <c r="A4865" s="245" t="s">
        <v>72</v>
      </c>
      <c r="B4865" s="52" t="s">
        <v>64</v>
      </c>
      <c r="C4865" s="19">
        <v>0.28</v>
      </c>
      <c r="D4865" s="19">
        <v>0.25</v>
      </c>
      <c r="E4865" s="19">
        <v>0.25</v>
      </c>
      <c r="F4865" s="19">
        <v>0.333333333333333</v>
      </c>
      <c r="G4865" s="19">
        <v>1</v>
      </c>
      <c r="H4865" s="19">
        <v>0.5</v>
      </c>
      <c r="I4865" s="19">
        <v>0</v>
      </c>
      <c r="J4865" s="19">
        <v>0</v>
      </c>
      <c r="K4865" s="19">
        <v>1</v>
      </c>
      <c r="L4865" s="19">
        <v>0.333333333333333</v>
      </c>
      <c r="M4865" s="19">
        <v>0.25</v>
      </c>
      <c r="N4865" s="19">
        <v>0.333333333333333</v>
      </c>
      <c r="O4865" s="19">
        <v>0.0909090909090909</v>
      </c>
    </row>
    <row r="4866" ht="14.25" spans="1:15">
      <c r="A4866" s="259">
        <v>45094</v>
      </c>
      <c r="B4866" s="259"/>
      <c r="C4866" s="259"/>
      <c r="D4866" s="259"/>
      <c r="E4866" s="259"/>
      <c r="F4866" s="259"/>
      <c r="G4866" s="259"/>
      <c r="H4866" s="259"/>
      <c r="I4866" s="259"/>
      <c r="J4866" s="259"/>
      <c r="K4866" s="259"/>
      <c r="L4866" s="259"/>
      <c r="M4866" s="259"/>
      <c r="N4866" s="259"/>
      <c r="O4866" s="259"/>
    </row>
    <row r="4867" spans="1:15">
      <c r="A4867" s="56" t="s">
        <v>1</v>
      </c>
      <c r="B4867" s="238"/>
      <c r="C4867" s="8" t="s">
        <v>42</v>
      </c>
      <c r="D4867" s="239" t="s">
        <v>43</v>
      </c>
      <c r="E4867" s="239" t="s">
        <v>44</v>
      </c>
      <c r="F4867" s="239" t="s">
        <v>45</v>
      </c>
      <c r="G4867" s="239" t="s">
        <v>46</v>
      </c>
      <c r="H4867" s="239" t="s">
        <v>47</v>
      </c>
      <c r="I4867" s="239" t="s">
        <v>48</v>
      </c>
      <c r="J4867" s="239" t="s">
        <v>49</v>
      </c>
      <c r="K4867" s="239" t="s">
        <v>50</v>
      </c>
      <c r="L4867" s="239" t="s">
        <v>51</v>
      </c>
      <c r="M4867" s="239" t="s">
        <v>52</v>
      </c>
      <c r="N4867" s="239" t="s">
        <v>53</v>
      </c>
      <c r="O4867" s="251" t="s">
        <v>54</v>
      </c>
    </row>
    <row r="4868" spans="1:15">
      <c r="A4868" s="240" t="s">
        <v>22</v>
      </c>
      <c r="B4868" s="47" t="s">
        <v>55</v>
      </c>
      <c r="C4868" s="12">
        <v>0.857750289911094</v>
      </c>
      <c r="D4868" s="241">
        <v>0.832258064516129</v>
      </c>
      <c r="E4868" s="241">
        <v>0.948905109489051</v>
      </c>
      <c r="F4868" s="241">
        <v>0.822916666666667</v>
      </c>
      <c r="G4868" s="241">
        <v>0.944055944055944</v>
      </c>
      <c r="H4868" s="241">
        <v>0.918032786885246</v>
      </c>
      <c r="I4868" s="241">
        <v>0.772151898734177</v>
      </c>
      <c r="J4868" s="241">
        <v>0.922413793103448</v>
      </c>
      <c r="K4868" s="241">
        <v>0.891791044776119</v>
      </c>
      <c r="L4868" s="241">
        <v>0.858870967741935</v>
      </c>
      <c r="M4868" s="241">
        <v>0.766423357664234</v>
      </c>
      <c r="N4868" s="241">
        <v>0.8</v>
      </c>
      <c r="O4868" s="252">
        <v>0.855828220858896</v>
      </c>
    </row>
    <row r="4869" spans="1:15">
      <c r="A4869" s="242" t="s">
        <v>22</v>
      </c>
      <c r="B4869" s="43" t="s">
        <v>57</v>
      </c>
      <c r="C4869" s="15">
        <v>2587</v>
      </c>
      <c r="D4869" s="243">
        <v>310</v>
      </c>
      <c r="E4869" s="243">
        <v>137</v>
      </c>
      <c r="F4869" s="243">
        <v>96</v>
      </c>
      <c r="G4869" s="243">
        <v>143</v>
      </c>
      <c r="H4869" s="243">
        <v>183</v>
      </c>
      <c r="I4869" s="243">
        <v>237</v>
      </c>
      <c r="J4869" s="243">
        <v>232</v>
      </c>
      <c r="K4869" s="243">
        <v>268</v>
      </c>
      <c r="L4869" s="243">
        <v>248</v>
      </c>
      <c r="M4869" s="243">
        <v>137</v>
      </c>
      <c r="N4869" s="243">
        <v>270</v>
      </c>
      <c r="O4869" s="253">
        <v>326</v>
      </c>
    </row>
    <row r="4870" spans="1:15">
      <c r="A4870" s="240" t="s">
        <v>22</v>
      </c>
      <c r="B4870" s="47" t="s">
        <v>59</v>
      </c>
      <c r="C4870" s="15">
        <v>2219</v>
      </c>
      <c r="D4870" s="243">
        <v>258</v>
      </c>
      <c r="E4870" s="243">
        <v>130</v>
      </c>
      <c r="F4870" s="243">
        <v>79</v>
      </c>
      <c r="G4870" s="243">
        <v>135</v>
      </c>
      <c r="H4870" s="243">
        <v>168</v>
      </c>
      <c r="I4870" s="243">
        <v>183</v>
      </c>
      <c r="J4870" s="243">
        <v>214</v>
      </c>
      <c r="K4870" s="243">
        <v>239</v>
      </c>
      <c r="L4870" s="243">
        <v>213</v>
      </c>
      <c r="M4870" s="243">
        <v>105</v>
      </c>
      <c r="N4870" s="243">
        <v>216</v>
      </c>
      <c r="O4870" s="253">
        <v>279</v>
      </c>
    </row>
    <row r="4871" spans="1:15">
      <c r="A4871" s="242" t="s">
        <v>22</v>
      </c>
      <c r="B4871" s="43" t="s">
        <v>4</v>
      </c>
      <c r="C4871" s="15">
        <v>53</v>
      </c>
      <c r="D4871" s="244">
        <v>4</v>
      </c>
      <c r="E4871" s="244">
        <v>4</v>
      </c>
      <c r="F4871" s="244">
        <v>1</v>
      </c>
      <c r="G4871" s="244">
        <v>7</v>
      </c>
      <c r="H4871" s="244">
        <v>5</v>
      </c>
      <c r="I4871" s="244">
        <v>4</v>
      </c>
      <c r="J4871" s="244">
        <v>6</v>
      </c>
      <c r="K4871" s="244">
        <v>6</v>
      </c>
      <c r="L4871" s="244">
        <v>2</v>
      </c>
      <c r="M4871" s="244">
        <v>1</v>
      </c>
      <c r="N4871" s="244">
        <v>6</v>
      </c>
      <c r="O4871" s="254">
        <v>7</v>
      </c>
    </row>
    <row r="4872" spans="1:15">
      <c r="A4872" s="240" t="s">
        <v>22</v>
      </c>
      <c r="B4872" s="47" t="s">
        <v>5</v>
      </c>
      <c r="C4872" s="12">
        <v>0.0238846327174403</v>
      </c>
      <c r="D4872" s="241">
        <v>0.0155038759689922</v>
      </c>
      <c r="E4872" s="241">
        <v>0.0307692307692308</v>
      </c>
      <c r="F4872" s="241">
        <v>0.0126582278481013</v>
      </c>
      <c r="G4872" s="241">
        <v>0.0518518518518519</v>
      </c>
      <c r="H4872" s="241">
        <v>0.0297619047619048</v>
      </c>
      <c r="I4872" s="241">
        <v>0.0218579234972678</v>
      </c>
      <c r="J4872" s="241">
        <v>0.0280373831775701</v>
      </c>
      <c r="K4872" s="241">
        <v>0.0251046025104603</v>
      </c>
      <c r="L4872" s="241">
        <v>0.00938967136150235</v>
      </c>
      <c r="M4872" s="241">
        <v>0.00952380952380952</v>
      </c>
      <c r="N4872" s="241">
        <v>0.0277777777777778</v>
      </c>
      <c r="O4872" s="252">
        <v>0.025089605734767</v>
      </c>
    </row>
    <row r="4873" spans="1:15">
      <c r="A4873" s="242" t="s">
        <v>22</v>
      </c>
      <c r="B4873" s="43" t="s">
        <v>6</v>
      </c>
      <c r="C4873" s="15">
        <v>26</v>
      </c>
      <c r="D4873" s="244">
        <v>1</v>
      </c>
      <c r="E4873" s="244">
        <v>3</v>
      </c>
      <c r="F4873" s="244">
        <v>0</v>
      </c>
      <c r="G4873" s="244">
        <v>2</v>
      </c>
      <c r="H4873" s="244">
        <v>2</v>
      </c>
      <c r="I4873" s="244">
        <v>4</v>
      </c>
      <c r="J4873" s="244">
        <v>2</v>
      </c>
      <c r="K4873" s="244">
        <v>3</v>
      </c>
      <c r="L4873" s="244">
        <v>1</v>
      </c>
      <c r="M4873" s="244">
        <v>4</v>
      </c>
      <c r="N4873" s="244">
        <v>1</v>
      </c>
      <c r="O4873" s="254">
        <v>3</v>
      </c>
    </row>
    <row r="4874" ht="14.25" spans="1:15">
      <c r="A4874" s="245" t="s">
        <v>22</v>
      </c>
      <c r="B4874" s="52" t="s">
        <v>64</v>
      </c>
      <c r="C4874" s="19">
        <v>0.490566037735849</v>
      </c>
      <c r="D4874" s="246">
        <v>0.25</v>
      </c>
      <c r="E4874" s="246">
        <v>0.75</v>
      </c>
      <c r="F4874" s="246">
        <v>0</v>
      </c>
      <c r="G4874" s="246">
        <v>0.285714285714286</v>
      </c>
      <c r="H4874" s="246">
        <v>0.4</v>
      </c>
      <c r="I4874" s="246">
        <v>1</v>
      </c>
      <c r="J4874" s="246">
        <v>0.333333333333333</v>
      </c>
      <c r="K4874" s="246">
        <v>0.5</v>
      </c>
      <c r="L4874" s="246">
        <v>0.5</v>
      </c>
      <c r="M4874" s="246">
        <v>4</v>
      </c>
      <c r="N4874" s="246">
        <v>0.166666666666667</v>
      </c>
      <c r="O4874" s="255">
        <v>0.428571428571429</v>
      </c>
    </row>
    <row r="4875" spans="1:15">
      <c r="A4875" s="247" t="s">
        <v>66</v>
      </c>
      <c r="B4875" s="248" t="s">
        <v>55</v>
      </c>
      <c r="C4875" s="12">
        <v>0.0582120582120582</v>
      </c>
      <c r="D4875" s="249">
        <v>0.0729166666666667</v>
      </c>
      <c r="E4875" s="249">
        <v>0.0181818181818182</v>
      </c>
      <c r="F4875" s="249">
        <v>0.05</v>
      </c>
      <c r="G4875" s="249">
        <v>0.020979020979021</v>
      </c>
      <c r="H4875" s="249">
        <v>0.0508474576271186</v>
      </c>
      <c r="I4875" s="249">
        <v>0.0441988950276243</v>
      </c>
      <c r="J4875" s="249">
        <v>0.0736196319018405</v>
      </c>
      <c r="K4875" s="249">
        <v>0.0642857142857143</v>
      </c>
      <c r="L4875" s="249">
        <v>0.1</v>
      </c>
      <c r="M4875" s="249">
        <v>0.1015625</v>
      </c>
      <c r="N4875" s="249">
        <v>0.0656934306569343</v>
      </c>
      <c r="O4875" s="256">
        <v>0.0601503759398496</v>
      </c>
    </row>
    <row r="4876" spans="1:15">
      <c r="A4876" s="242" t="s">
        <v>66</v>
      </c>
      <c r="B4876" s="43" t="s">
        <v>57</v>
      </c>
      <c r="C4876" s="15">
        <v>1924</v>
      </c>
      <c r="D4876" s="243">
        <v>192</v>
      </c>
      <c r="E4876" s="243">
        <v>220</v>
      </c>
      <c r="F4876" s="243">
        <v>160</v>
      </c>
      <c r="G4876" s="243">
        <v>143</v>
      </c>
      <c r="H4876" s="243">
        <v>177</v>
      </c>
      <c r="I4876" s="243">
        <v>181</v>
      </c>
      <c r="J4876" s="243">
        <v>163</v>
      </c>
      <c r="K4876" s="243">
        <v>140</v>
      </c>
      <c r="L4876" s="243">
        <v>150</v>
      </c>
      <c r="M4876" s="243">
        <v>128</v>
      </c>
      <c r="N4876" s="243">
        <v>137</v>
      </c>
      <c r="O4876" s="253">
        <v>133</v>
      </c>
    </row>
    <row r="4877" spans="1:15">
      <c r="A4877" s="240" t="s">
        <v>66</v>
      </c>
      <c r="B4877" s="47" t="s">
        <v>59</v>
      </c>
      <c r="C4877" s="15">
        <v>112</v>
      </c>
      <c r="D4877" s="243">
        <v>14</v>
      </c>
      <c r="E4877" s="243">
        <v>4</v>
      </c>
      <c r="F4877" s="243">
        <v>8</v>
      </c>
      <c r="G4877" s="243">
        <v>3</v>
      </c>
      <c r="H4877" s="243">
        <v>9</v>
      </c>
      <c r="I4877" s="243">
        <v>8</v>
      </c>
      <c r="J4877" s="243">
        <v>12</v>
      </c>
      <c r="K4877" s="243">
        <v>9</v>
      </c>
      <c r="L4877" s="243">
        <v>15</v>
      </c>
      <c r="M4877" s="243">
        <v>13</v>
      </c>
      <c r="N4877" s="243">
        <v>9</v>
      </c>
      <c r="O4877" s="253">
        <v>8</v>
      </c>
    </row>
    <row r="4878" spans="1:15">
      <c r="A4878" s="242" t="s">
        <v>66</v>
      </c>
      <c r="B4878" s="43" t="s">
        <v>4</v>
      </c>
      <c r="C4878" s="15">
        <v>4</v>
      </c>
      <c r="D4878" s="244">
        <v>1</v>
      </c>
      <c r="E4878" s="244">
        <v>0</v>
      </c>
      <c r="F4878" s="244">
        <v>0</v>
      </c>
      <c r="G4878" s="244">
        <v>0</v>
      </c>
      <c r="H4878" s="244">
        <v>0</v>
      </c>
      <c r="I4878" s="244">
        <v>1</v>
      </c>
      <c r="J4878" s="244">
        <v>0</v>
      </c>
      <c r="K4878" s="244">
        <v>0</v>
      </c>
      <c r="L4878" s="244">
        <v>1</v>
      </c>
      <c r="M4878" s="244">
        <v>0</v>
      </c>
      <c r="N4878" s="244">
        <v>1</v>
      </c>
      <c r="O4878" s="254">
        <v>0</v>
      </c>
    </row>
    <row r="4879" spans="1:15">
      <c r="A4879" s="240" t="s">
        <v>66</v>
      </c>
      <c r="B4879" s="47" t="s">
        <v>5</v>
      </c>
      <c r="C4879" s="12">
        <v>0.0357142857142857</v>
      </c>
      <c r="D4879" s="241">
        <v>0.0714285714285714</v>
      </c>
      <c r="E4879" s="241">
        <v>0</v>
      </c>
      <c r="F4879" s="241">
        <v>0</v>
      </c>
      <c r="G4879" s="241">
        <v>0</v>
      </c>
      <c r="H4879" s="241">
        <v>0</v>
      </c>
      <c r="I4879" s="241">
        <v>0.125</v>
      </c>
      <c r="J4879" s="241">
        <v>0</v>
      </c>
      <c r="K4879" s="241">
        <v>0</v>
      </c>
      <c r="L4879" s="241">
        <v>0.0666666666666667</v>
      </c>
      <c r="M4879" s="241">
        <v>0</v>
      </c>
      <c r="N4879" s="241">
        <v>0.111111111111111</v>
      </c>
      <c r="O4879" s="252">
        <v>0</v>
      </c>
    </row>
    <row r="4880" spans="1:15">
      <c r="A4880" s="242" t="s">
        <v>66</v>
      </c>
      <c r="B4880" s="43" t="s">
        <v>6</v>
      </c>
      <c r="C4880" s="15">
        <v>3</v>
      </c>
      <c r="D4880" s="244">
        <v>0</v>
      </c>
      <c r="E4880" s="244">
        <v>1</v>
      </c>
      <c r="F4880" s="244">
        <v>0</v>
      </c>
      <c r="G4880" s="244">
        <v>0</v>
      </c>
      <c r="H4880" s="244">
        <v>0</v>
      </c>
      <c r="I4880" s="244">
        <v>0</v>
      </c>
      <c r="J4880" s="244">
        <v>0</v>
      </c>
      <c r="K4880" s="244">
        <v>0</v>
      </c>
      <c r="L4880" s="244">
        <v>0</v>
      </c>
      <c r="M4880" s="244">
        <v>1</v>
      </c>
      <c r="N4880" s="244">
        <v>1</v>
      </c>
      <c r="O4880" s="254">
        <v>0</v>
      </c>
    </row>
    <row r="4881" ht="14.25" spans="1:15">
      <c r="A4881" s="245" t="s">
        <v>66</v>
      </c>
      <c r="B4881" s="52" t="s">
        <v>64</v>
      </c>
      <c r="C4881" s="19">
        <v>0.75</v>
      </c>
      <c r="D4881" s="246">
        <v>0</v>
      </c>
      <c r="E4881" s="246">
        <v>0</v>
      </c>
      <c r="F4881" s="246">
        <v>0</v>
      </c>
      <c r="G4881" s="246">
        <v>0</v>
      </c>
      <c r="H4881" s="246">
        <v>0</v>
      </c>
      <c r="I4881" s="246">
        <v>0</v>
      </c>
      <c r="J4881" s="246">
        <v>0</v>
      </c>
      <c r="K4881" s="246">
        <v>0</v>
      </c>
      <c r="L4881" s="246">
        <v>0</v>
      </c>
      <c r="M4881" s="246">
        <v>0</v>
      </c>
      <c r="N4881" s="246">
        <v>1</v>
      </c>
      <c r="O4881" s="255">
        <v>0</v>
      </c>
    </row>
    <row r="4882" spans="1:15">
      <c r="A4882" s="240" t="s">
        <v>67</v>
      </c>
      <c r="B4882" s="47" t="s">
        <v>55</v>
      </c>
      <c r="C4882" s="12">
        <v>0.554095045500506</v>
      </c>
      <c r="D4882" s="241">
        <v>0.695652173913043</v>
      </c>
      <c r="E4882" s="241">
        <v>0.418181818181818</v>
      </c>
      <c r="F4882" s="241">
        <v>0.52</v>
      </c>
      <c r="G4882" s="241">
        <v>0.354166666666667</v>
      </c>
      <c r="H4882" s="241">
        <v>0.642857142857143</v>
      </c>
      <c r="I4882" s="241">
        <v>0.448275862068966</v>
      </c>
      <c r="J4882" s="241">
        <v>0.637931034482759</v>
      </c>
      <c r="K4882" s="241">
        <v>0.561904761904762</v>
      </c>
      <c r="L4882" s="241">
        <v>0.481481481481481</v>
      </c>
      <c r="M4882" s="241">
        <v>0.567901234567901</v>
      </c>
      <c r="N4882" s="241">
        <v>0.635294117647059</v>
      </c>
      <c r="O4882" s="252">
        <v>0.473684210526316</v>
      </c>
    </row>
    <row r="4883" spans="1:15">
      <c r="A4883" s="242" t="s">
        <v>67</v>
      </c>
      <c r="B4883" s="43" t="s">
        <v>57</v>
      </c>
      <c r="C4883" s="15">
        <v>989</v>
      </c>
      <c r="D4883" s="243">
        <v>69</v>
      </c>
      <c r="E4883" s="243">
        <v>55</v>
      </c>
      <c r="F4883" s="243">
        <v>25</v>
      </c>
      <c r="G4883" s="243">
        <v>48</v>
      </c>
      <c r="H4883" s="243">
        <v>84</v>
      </c>
      <c r="I4883" s="243">
        <v>87</v>
      </c>
      <c r="J4883" s="243">
        <v>174</v>
      </c>
      <c r="K4883" s="243">
        <v>105</v>
      </c>
      <c r="L4883" s="243">
        <v>81</v>
      </c>
      <c r="M4883" s="243">
        <v>81</v>
      </c>
      <c r="N4883" s="243">
        <v>85</v>
      </c>
      <c r="O4883" s="253">
        <v>95</v>
      </c>
    </row>
    <row r="4884" spans="1:15">
      <c r="A4884" s="240" t="s">
        <v>67</v>
      </c>
      <c r="B4884" s="47" t="s">
        <v>59</v>
      </c>
      <c r="C4884" s="15">
        <v>548</v>
      </c>
      <c r="D4884" s="243">
        <v>48</v>
      </c>
      <c r="E4884" s="243">
        <v>23</v>
      </c>
      <c r="F4884" s="243">
        <v>13</v>
      </c>
      <c r="G4884" s="243">
        <v>17</v>
      </c>
      <c r="H4884" s="243">
        <v>54</v>
      </c>
      <c r="I4884" s="243">
        <v>39</v>
      </c>
      <c r="J4884" s="243">
        <v>111</v>
      </c>
      <c r="K4884" s="243">
        <v>59</v>
      </c>
      <c r="L4884" s="243">
        <v>39</v>
      </c>
      <c r="M4884" s="243">
        <v>46</v>
      </c>
      <c r="N4884" s="243">
        <v>54</v>
      </c>
      <c r="O4884" s="253">
        <v>45</v>
      </c>
    </row>
    <row r="4885" spans="1:15">
      <c r="A4885" s="242" t="s">
        <v>67</v>
      </c>
      <c r="B4885" s="43" t="s">
        <v>4</v>
      </c>
      <c r="C4885" s="15">
        <v>15</v>
      </c>
      <c r="D4885" s="244">
        <v>4</v>
      </c>
      <c r="E4885" s="244">
        <v>1</v>
      </c>
      <c r="F4885" s="244">
        <v>2</v>
      </c>
      <c r="G4885" s="244">
        <v>1</v>
      </c>
      <c r="H4885" s="244">
        <v>0</v>
      </c>
      <c r="I4885" s="244">
        <v>0</v>
      </c>
      <c r="J4885" s="244">
        <v>0</v>
      </c>
      <c r="K4885" s="244">
        <v>2</v>
      </c>
      <c r="L4885" s="244">
        <v>1</v>
      </c>
      <c r="M4885" s="244">
        <v>1</v>
      </c>
      <c r="N4885" s="244">
        <v>2</v>
      </c>
      <c r="O4885" s="254">
        <v>1</v>
      </c>
    </row>
    <row r="4886" spans="1:15">
      <c r="A4886" s="240" t="s">
        <v>67</v>
      </c>
      <c r="B4886" s="47" t="s">
        <v>5</v>
      </c>
      <c r="C4886" s="12">
        <v>0.0273722627737226</v>
      </c>
      <c r="D4886" s="241">
        <v>0.0833333333333333</v>
      </c>
      <c r="E4886" s="241">
        <v>0.0434782608695652</v>
      </c>
      <c r="F4886" s="241">
        <v>0.153846153846154</v>
      </c>
      <c r="G4886" s="241">
        <v>0.0588235294117647</v>
      </c>
      <c r="H4886" s="241">
        <v>0</v>
      </c>
      <c r="I4886" s="241">
        <v>0</v>
      </c>
      <c r="J4886" s="241">
        <v>0</v>
      </c>
      <c r="K4886" s="241">
        <v>0.0338983050847458</v>
      </c>
      <c r="L4886" s="241">
        <v>0.0256410256410256</v>
      </c>
      <c r="M4886" s="241">
        <v>0.0217391304347826</v>
      </c>
      <c r="N4886" s="241">
        <v>0.037037037037037</v>
      </c>
      <c r="O4886" s="252">
        <v>0.0222222222222222</v>
      </c>
    </row>
    <row r="4887" spans="1:15">
      <c r="A4887" s="242" t="s">
        <v>67</v>
      </c>
      <c r="B4887" s="43" t="s">
        <v>6</v>
      </c>
      <c r="C4887" s="15">
        <v>3</v>
      </c>
      <c r="D4887" s="244">
        <v>1</v>
      </c>
      <c r="E4887" s="244">
        <v>0</v>
      </c>
      <c r="F4887" s="244">
        <v>1</v>
      </c>
      <c r="G4887" s="244">
        <v>0</v>
      </c>
      <c r="H4887" s="244">
        <v>0</v>
      </c>
      <c r="I4887" s="244">
        <v>0</v>
      </c>
      <c r="J4887" s="244">
        <v>0</v>
      </c>
      <c r="K4887" s="244">
        <v>0</v>
      </c>
      <c r="L4887" s="244">
        <v>0</v>
      </c>
      <c r="M4887" s="244">
        <v>0</v>
      </c>
      <c r="N4887" s="244">
        <v>1</v>
      </c>
      <c r="O4887" s="254">
        <v>0</v>
      </c>
    </row>
    <row r="4888" ht="14.25" spans="1:15">
      <c r="A4888" s="245" t="s">
        <v>67</v>
      </c>
      <c r="B4888" s="52" t="s">
        <v>64</v>
      </c>
      <c r="C4888" s="19">
        <v>0.2</v>
      </c>
      <c r="D4888" s="246">
        <v>0.25</v>
      </c>
      <c r="E4888" s="246">
        <v>0</v>
      </c>
      <c r="F4888" s="246">
        <v>0.5</v>
      </c>
      <c r="G4888" s="246">
        <v>0</v>
      </c>
      <c r="H4888" s="246">
        <v>0</v>
      </c>
      <c r="I4888" s="246">
        <v>0</v>
      </c>
      <c r="J4888" s="246">
        <v>0</v>
      </c>
      <c r="K4888" s="246">
        <v>0</v>
      </c>
      <c r="L4888" s="246">
        <v>0</v>
      </c>
      <c r="M4888" s="246">
        <v>0</v>
      </c>
      <c r="N4888" s="246">
        <v>0.5</v>
      </c>
      <c r="O4888" s="255">
        <v>0</v>
      </c>
    </row>
    <row r="4889" spans="1:15">
      <c r="A4889" s="240" t="s">
        <v>68</v>
      </c>
      <c r="B4889" s="47" t="s">
        <v>55</v>
      </c>
      <c r="C4889" s="12">
        <v>0.26471226927253</v>
      </c>
      <c r="D4889" s="241">
        <v>0.317567567567568</v>
      </c>
      <c r="E4889" s="241">
        <v>0.293617021276596</v>
      </c>
      <c r="F4889" s="241">
        <v>0.27807486631016</v>
      </c>
      <c r="G4889" s="241">
        <v>0.331683168316832</v>
      </c>
      <c r="H4889" s="241">
        <v>0.263636363636364</v>
      </c>
      <c r="I4889" s="241">
        <v>0.282122905027933</v>
      </c>
      <c r="J4889" s="241">
        <v>0.25065963060686</v>
      </c>
      <c r="K4889" s="241">
        <v>0.237911025145068</v>
      </c>
      <c r="L4889" s="241">
        <v>0.280632411067194</v>
      </c>
      <c r="M4889" s="241">
        <v>0.262295081967213</v>
      </c>
      <c r="N4889" s="241">
        <v>0.227368421052632</v>
      </c>
      <c r="O4889" s="252">
        <v>0.223853211009174</v>
      </c>
    </row>
    <row r="4890" spans="1:15">
      <c r="A4890" s="242" t="s">
        <v>68</v>
      </c>
      <c r="B4890" s="43" t="s">
        <v>57</v>
      </c>
      <c r="C4890" s="15">
        <v>4605</v>
      </c>
      <c r="D4890" s="243">
        <v>444</v>
      </c>
      <c r="E4890" s="243">
        <v>235</v>
      </c>
      <c r="F4890" s="243">
        <v>187</v>
      </c>
      <c r="G4890" s="243">
        <v>202</v>
      </c>
      <c r="H4890" s="243">
        <v>330</v>
      </c>
      <c r="I4890" s="243">
        <v>358</v>
      </c>
      <c r="J4890" s="243">
        <v>379</v>
      </c>
      <c r="K4890" s="243">
        <v>517</v>
      </c>
      <c r="L4890" s="243">
        <v>506</v>
      </c>
      <c r="M4890" s="243">
        <v>427</v>
      </c>
      <c r="N4890" s="243">
        <v>475</v>
      </c>
      <c r="O4890" s="253">
        <v>545</v>
      </c>
    </row>
    <row r="4891" spans="1:15">
      <c r="A4891" s="240" t="s">
        <v>68</v>
      </c>
      <c r="B4891" s="47" t="s">
        <v>59</v>
      </c>
      <c r="C4891" s="15">
        <v>1219</v>
      </c>
      <c r="D4891" s="243">
        <v>141</v>
      </c>
      <c r="E4891" s="243">
        <v>69</v>
      </c>
      <c r="F4891" s="243">
        <v>52</v>
      </c>
      <c r="G4891" s="243">
        <v>67</v>
      </c>
      <c r="H4891" s="243">
        <v>87</v>
      </c>
      <c r="I4891" s="243">
        <v>101</v>
      </c>
      <c r="J4891" s="243">
        <v>95</v>
      </c>
      <c r="K4891" s="243">
        <v>123</v>
      </c>
      <c r="L4891" s="243">
        <v>142</v>
      </c>
      <c r="M4891" s="243">
        <v>112</v>
      </c>
      <c r="N4891" s="243">
        <v>108</v>
      </c>
      <c r="O4891" s="253">
        <v>122</v>
      </c>
    </row>
    <row r="4892" spans="1:15">
      <c r="A4892" s="242" t="s">
        <v>68</v>
      </c>
      <c r="B4892" s="43" t="s">
        <v>4</v>
      </c>
      <c r="C4892" s="15">
        <v>70</v>
      </c>
      <c r="D4892" s="244">
        <v>11</v>
      </c>
      <c r="E4892" s="244">
        <v>0</v>
      </c>
      <c r="F4892" s="244">
        <v>7</v>
      </c>
      <c r="G4892" s="244">
        <v>3</v>
      </c>
      <c r="H4892" s="244">
        <v>5</v>
      </c>
      <c r="I4892" s="244">
        <v>7</v>
      </c>
      <c r="J4892" s="244">
        <v>3</v>
      </c>
      <c r="K4892" s="244">
        <v>5</v>
      </c>
      <c r="L4892" s="244">
        <v>4</v>
      </c>
      <c r="M4892" s="244">
        <v>12</v>
      </c>
      <c r="N4892" s="244">
        <v>9</v>
      </c>
      <c r="O4892" s="254">
        <v>4</v>
      </c>
    </row>
    <row r="4893" spans="1:15">
      <c r="A4893" s="240" t="s">
        <v>68</v>
      </c>
      <c r="B4893" s="47" t="s">
        <v>5</v>
      </c>
      <c r="C4893" s="12">
        <v>0.0574241181296144</v>
      </c>
      <c r="D4893" s="241">
        <v>0.0780141843971631</v>
      </c>
      <c r="E4893" s="241">
        <v>0</v>
      </c>
      <c r="F4893" s="241">
        <v>0.134615384615385</v>
      </c>
      <c r="G4893" s="241">
        <v>0.0447761194029851</v>
      </c>
      <c r="H4893" s="241">
        <v>0.0574712643678161</v>
      </c>
      <c r="I4893" s="241">
        <v>0.0693069306930693</v>
      </c>
      <c r="J4893" s="241">
        <v>0.0315789473684211</v>
      </c>
      <c r="K4893" s="241">
        <v>0.040650406504065</v>
      </c>
      <c r="L4893" s="241">
        <v>0.028169014084507</v>
      </c>
      <c r="M4893" s="241">
        <v>0.107142857142857</v>
      </c>
      <c r="N4893" s="241">
        <v>0.0833333333333333</v>
      </c>
      <c r="O4893" s="252">
        <v>0.0327868852459016</v>
      </c>
    </row>
    <row r="4894" spans="1:15">
      <c r="A4894" s="242" t="s">
        <v>68</v>
      </c>
      <c r="B4894" s="43" t="s">
        <v>6</v>
      </c>
      <c r="C4894" s="15">
        <v>28</v>
      </c>
      <c r="D4894" s="244">
        <v>5</v>
      </c>
      <c r="E4894" s="244">
        <v>1</v>
      </c>
      <c r="F4894" s="244">
        <v>1</v>
      </c>
      <c r="G4894" s="244">
        <v>0</v>
      </c>
      <c r="H4894" s="244">
        <v>2</v>
      </c>
      <c r="I4894" s="244">
        <v>5</v>
      </c>
      <c r="J4894" s="244">
        <v>2</v>
      </c>
      <c r="K4894" s="244">
        <v>0</v>
      </c>
      <c r="L4894" s="244">
        <v>3</v>
      </c>
      <c r="M4894" s="244">
        <v>3</v>
      </c>
      <c r="N4894" s="244">
        <v>4</v>
      </c>
      <c r="O4894" s="254">
        <v>2</v>
      </c>
    </row>
    <row r="4895" ht="14.25" spans="1:15">
      <c r="A4895" s="245" t="s">
        <v>68</v>
      </c>
      <c r="B4895" s="52" t="s">
        <v>64</v>
      </c>
      <c r="C4895" s="19">
        <v>0.4</v>
      </c>
      <c r="D4895" s="246">
        <v>0.454545454545455</v>
      </c>
      <c r="E4895" s="246">
        <v>0</v>
      </c>
      <c r="F4895" s="246">
        <v>0.142857142857143</v>
      </c>
      <c r="G4895" s="246">
        <v>0</v>
      </c>
      <c r="H4895" s="246">
        <v>0.4</v>
      </c>
      <c r="I4895" s="246">
        <v>0.714285714285714</v>
      </c>
      <c r="J4895" s="246">
        <v>0.666666666666667</v>
      </c>
      <c r="K4895" s="246">
        <v>0</v>
      </c>
      <c r="L4895" s="246">
        <v>0.75</v>
      </c>
      <c r="M4895" s="246">
        <v>0.25</v>
      </c>
      <c r="N4895" s="246">
        <v>0.444444444444444</v>
      </c>
      <c r="O4895" s="255">
        <v>0.5</v>
      </c>
    </row>
    <row r="4896" spans="1:15">
      <c r="A4896" s="240" t="s">
        <v>69</v>
      </c>
      <c r="B4896" s="47" t="s">
        <v>55</v>
      </c>
      <c r="C4896" s="12">
        <v>1.29765886287625</v>
      </c>
      <c r="D4896" s="241">
        <v>1.2972972972973</v>
      </c>
      <c r="E4896" s="241">
        <v>1.58333333333333</v>
      </c>
      <c r="F4896" s="241">
        <v>1.375</v>
      </c>
      <c r="G4896" s="241">
        <v>1.64285714285714</v>
      </c>
      <c r="H4896" s="241">
        <v>1.25</v>
      </c>
      <c r="I4896" s="241">
        <v>1</v>
      </c>
      <c r="J4896" s="241">
        <v>1.66666666666667</v>
      </c>
      <c r="K4896" s="241">
        <v>1.10810810810811</v>
      </c>
      <c r="L4896" s="241">
        <v>1.23529411764706</v>
      </c>
      <c r="M4896" s="241">
        <v>1.68421052631579</v>
      </c>
      <c r="N4896" s="241">
        <v>1.2</v>
      </c>
      <c r="O4896" s="252">
        <v>1.15384615384615</v>
      </c>
    </row>
    <row r="4897" spans="1:15">
      <c r="A4897" s="242" t="s">
        <v>69</v>
      </c>
      <c r="B4897" s="43" t="s">
        <v>57</v>
      </c>
      <c r="C4897" s="15">
        <v>299</v>
      </c>
      <c r="D4897" s="243">
        <v>37</v>
      </c>
      <c r="E4897" s="243">
        <v>12</v>
      </c>
      <c r="F4897" s="243">
        <v>8</v>
      </c>
      <c r="G4897" s="243">
        <v>14</v>
      </c>
      <c r="H4897" s="243">
        <v>20</v>
      </c>
      <c r="I4897" s="243">
        <v>20</v>
      </c>
      <c r="J4897" s="243">
        <v>24</v>
      </c>
      <c r="K4897" s="243">
        <v>37</v>
      </c>
      <c r="L4897" s="243">
        <v>34</v>
      </c>
      <c r="M4897" s="243">
        <v>19</v>
      </c>
      <c r="N4897" s="243">
        <v>35</v>
      </c>
      <c r="O4897" s="253">
        <v>39</v>
      </c>
    </row>
    <row r="4898" spans="1:15">
      <c r="A4898" s="240" t="s">
        <v>69</v>
      </c>
      <c r="B4898" s="47" t="s">
        <v>59</v>
      </c>
      <c r="C4898" s="15">
        <v>388</v>
      </c>
      <c r="D4898" s="243">
        <v>48</v>
      </c>
      <c r="E4898" s="243">
        <v>19</v>
      </c>
      <c r="F4898" s="243">
        <v>11</v>
      </c>
      <c r="G4898" s="243">
        <v>23</v>
      </c>
      <c r="H4898" s="243">
        <v>25</v>
      </c>
      <c r="I4898" s="243">
        <v>20</v>
      </c>
      <c r="J4898" s="243">
        <v>40</v>
      </c>
      <c r="K4898" s="243">
        <v>41</v>
      </c>
      <c r="L4898" s="243">
        <v>42</v>
      </c>
      <c r="M4898" s="243">
        <v>32</v>
      </c>
      <c r="N4898" s="243">
        <v>42</v>
      </c>
      <c r="O4898" s="253">
        <v>45</v>
      </c>
    </row>
    <row r="4899" spans="1:15">
      <c r="A4899" s="242" t="s">
        <v>69</v>
      </c>
      <c r="B4899" s="43" t="s">
        <v>4</v>
      </c>
      <c r="C4899" s="15">
        <v>9</v>
      </c>
      <c r="D4899" s="244">
        <v>0</v>
      </c>
      <c r="E4899" s="244">
        <v>2</v>
      </c>
      <c r="F4899" s="244">
        <v>0</v>
      </c>
      <c r="G4899" s="244">
        <v>0</v>
      </c>
      <c r="H4899" s="244">
        <v>1</v>
      </c>
      <c r="I4899" s="244">
        <v>0</v>
      </c>
      <c r="J4899" s="244">
        <v>0</v>
      </c>
      <c r="K4899" s="244">
        <v>0</v>
      </c>
      <c r="L4899" s="244">
        <v>0</v>
      </c>
      <c r="M4899" s="244">
        <v>2</v>
      </c>
      <c r="N4899" s="244">
        <v>0</v>
      </c>
      <c r="O4899" s="254">
        <v>4</v>
      </c>
    </row>
    <row r="4900" spans="1:15">
      <c r="A4900" s="240" t="s">
        <v>69</v>
      </c>
      <c r="B4900" s="47" t="s">
        <v>5</v>
      </c>
      <c r="C4900" s="12">
        <v>0.0231958762886598</v>
      </c>
      <c r="D4900" s="241">
        <v>0</v>
      </c>
      <c r="E4900" s="241">
        <v>0.105263157894737</v>
      </c>
      <c r="F4900" s="241">
        <v>0</v>
      </c>
      <c r="G4900" s="241">
        <v>0</v>
      </c>
      <c r="H4900" s="241">
        <v>0.04</v>
      </c>
      <c r="I4900" s="241">
        <v>0</v>
      </c>
      <c r="J4900" s="241">
        <v>0</v>
      </c>
      <c r="K4900" s="241">
        <v>0</v>
      </c>
      <c r="L4900" s="241">
        <v>0</v>
      </c>
      <c r="M4900" s="241">
        <v>0.0625</v>
      </c>
      <c r="N4900" s="241">
        <v>0</v>
      </c>
      <c r="O4900" s="252">
        <v>0.0888888888888889</v>
      </c>
    </row>
    <row r="4901" spans="1:15">
      <c r="A4901" s="242" t="s">
        <v>69</v>
      </c>
      <c r="B4901" s="43" t="s">
        <v>6</v>
      </c>
      <c r="C4901" s="15">
        <v>2</v>
      </c>
      <c r="D4901" s="244">
        <v>0</v>
      </c>
      <c r="E4901" s="244">
        <v>1</v>
      </c>
      <c r="F4901" s="244">
        <v>0</v>
      </c>
      <c r="G4901" s="244">
        <v>0</v>
      </c>
      <c r="H4901" s="244">
        <v>0</v>
      </c>
      <c r="I4901" s="244">
        <v>0</v>
      </c>
      <c r="J4901" s="244">
        <v>0</v>
      </c>
      <c r="K4901" s="244">
        <v>0</v>
      </c>
      <c r="L4901" s="244">
        <v>1</v>
      </c>
      <c r="M4901" s="244">
        <v>0</v>
      </c>
      <c r="N4901" s="244">
        <v>0</v>
      </c>
      <c r="O4901" s="254">
        <v>0</v>
      </c>
    </row>
    <row r="4902" ht="14.25" spans="1:15">
      <c r="A4902" s="245" t="s">
        <v>69</v>
      </c>
      <c r="B4902" s="52" t="s">
        <v>64</v>
      </c>
      <c r="C4902" s="19">
        <v>0.222222222222222</v>
      </c>
      <c r="D4902" s="246">
        <v>0</v>
      </c>
      <c r="E4902" s="246">
        <v>0.5</v>
      </c>
      <c r="F4902" s="246">
        <v>0</v>
      </c>
      <c r="G4902" s="246">
        <v>0</v>
      </c>
      <c r="H4902" s="246">
        <v>0</v>
      </c>
      <c r="I4902" s="246">
        <v>0</v>
      </c>
      <c r="J4902" s="246">
        <v>0</v>
      </c>
      <c r="K4902" s="246">
        <v>0</v>
      </c>
      <c r="L4902" s="246">
        <v>0</v>
      </c>
      <c r="M4902" s="246">
        <v>0</v>
      </c>
      <c r="N4902" s="246">
        <v>0</v>
      </c>
      <c r="O4902" s="255">
        <v>0</v>
      </c>
    </row>
    <row r="4903" spans="1:15">
      <c r="A4903" s="240" t="s">
        <v>70</v>
      </c>
      <c r="B4903" s="47" t="s">
        <v>55</v>
      </c>
      <c r="C4903" s="12">
        <v>0.369463087248322</v>
      </c>
      <c r="D4903" s="241">
        <v>0.419795221843003</v>
      </c>
      <c r="E4903" s="241">
        <v>0.462962962962963</v>
      </c>
      <c r="F4903" s="241">
        <v>0.4296875</v>
      </c>
      <c r="G4903" s="241">
        <v>0.423913043478261</v>
      </c>
      <c r="H4903" s="241">
        <v>0.419354838709677</v>
      </c>
      <c r="I4903" s="241">
        <v>0.293172690763052</v>
      </c>
      <c r="J4903" s="241">
        <v>0.326153846153846</v>
      </c>
      <c r="K4903" s="241">
        <v>0.349514563106796</v>
      </c>
      <c r="L4903" s="241">
        <v>0.382470119521912</v>
      </c>
      <c r="M4903" s="241">
        <v>0.39344262295082</v>
      </c>
      <c r="N4903" s="241">
        <v>0.326666666666667</v>
      </c>
      <c r="O4903" s="252">
        <v>0.329512893982808</v>
      </c>
    </row>
    <row r="4904" spans="1:15">
      <c r="A4904" s="242" t="s">
        <v>70</v>
      </c>
      <c r="B4904" s="43" t="s">
        <v>57</v>
      </c>
      <c r="C4904" s="15">
        <v>2980</v>
      </c>
      <c r="D4904" s="243">
        <v>293</v>
      </c>
      <c r="E4904" s="243">
        <v>162</v>
      </c>
      <c r="F4904" s="243">
        <v>128</v>
      </c>
      <c r="G4904" s="243">
        <v>184</v>
      </c>
      <c r="H4904" s="243">
        <v>186</v>
      </c>
      <c r="I4904" s="243">
        <v>249</v>
      </c>
      <c r="J4904" s="243">
        <v>325</v>
      </c>
      <c r="K4904" s="243">
        <v>309</v>
      </c>
      <c r="L4904" s="243">
        <v>251</v>
      </c>
      <c r="M4904" s="243">
        <v>244</v>
      </c>
      <c r="N4904" s="243">
        <v>300</v>
      </c>
      <c r="O4904" s="253">
        <v>349</v>
      </c>
    </row>
    <row r="4905" spans="1:15">
      <c r="A4905" s="240" t="s">
        <v>70</v>
      </c>
      <c r="B4905" s="47" t="s">
        <v>59</v>
      </c>
      <c r="C4905" s="15">
        <v>1101</v>
      </c>
      <c r="D4905" s="243">
        <v>123</v>
      </c>
      <c r="E4905" s="243">
        <v>75</v>
      </c>
      <c r="F4905" s="243">
        <v>55</v>
      </c>
      <c r="G4905" s="243">
        <v>78</v>
      </c>
      <c r="H4905" s="243">
        <v>78</v>
      </c>
      <c r="I4905" s="243">
        <v>73</v>
      </c>
      <c r="J4905" s="243">
        <v>106</v>
      </c>
      <c r="K4905" s="243">
        <v>108</v>
      </c>
      <c r="L4905" s="243">
        <v>96</v>
      </c>
      <c r="M4905" s="243">
        <v>96</v>
      </c>
      <c r="N4905" s="243">
        <v>98</v>
      </c>
      <c r="O4905" s="253">
        <v>115</v>
      </c>
    </row>
    <row r="4906" spans="1:15">
      <c r="A4906" s="242" t="s">
        <v>70</v>
      </c>
      <c r="B4906" s="43" t="s">
        <v>4</v>
      </c>
      <c r="C4906" s="15">
        <v>111</v>
      </c>
      <c r="D4906" s="244">
        <v>6</v>
      </c>
      <c r="E4906" s="244">
        <v>6</v>
      </c>
      <c r="F4906" s="244">
        <v>4</v>
      </c>
      <c r="G4906" s="244">
        <v>9</v>
      </c>
      <c r="H4906" s="244">
        <v>5</v>
      </c>
      <c r="I4906" s="244">
        <v>4</v>
      </c>
      <c r="J4906" s="244">
        <v>14</v>
      </c>
      <c r="K4906" s="244">
        <v>11</v>
      </c>
      <c r="L4906" s="244">
        <v>12</v>
      </c>
      <c r="M4906" s="244">
        <v>12</v>
      </c>
      <c r="N4906" s="244">
        <v>12</v>
      </c>
      <c r="O4906" s="254">
        <v>16</v>
      </c>
    </row>
    <row r="4907" spans="1:15">
      <c r="A4907" s="240" t="s">
        <v>70</v>
      </c>
      <c r="B4907" s="47" t="s">
        <v>5</v>
      </c>
      <c r="C4907" s="12">
        <v>0.100817438692098</v>
      </c>
      <c r="D4907" s="241">
        <v>0.0487804878048781</v>
      </c>
      <c r="E4907" s="241">
        <v>0.08</v>
      </c>
      <c r="F4907" s="241">
        <v>0.0727272727272727</v>
      </c>
      <c r="G4907" s="241">
        <v>0.115384615384615</v>
      </c>
      <c r="H4907" s="241">
        <v>0.0641025641025641</v>
      </c>
      <c r="I4907" s="241">
        <v>0.0547945205479452</v>
      </c>
      <c r="J4907" s="241">
        <v>0.132075471698113</v>
      </c>
      <c r="K4907" s="241">
        <v>0.101851851851852</v>
      </c>
      <c r="L4907" s="241">
        <v>0.125</v>
      </c>
      <c r="M4907" s="241">
        <v>0.125</v>
      </c>
      <c r="N4907" s="241">
        <v>0.122448979591837</v>
      </c>
      <c r="O4907" s="252">
        <v>0.139130434782609</v>
      </c>
    </row>
    <row r="4908" spans="1:15">
      <c r="A4908" s="242" t="s">
        <v>70</v>
      </c>
      <c r="B4908" s="43" t="s">
        <v>6</v>
      </c>
      <c r="C4908" s="15">
        <v>40</v>
      </c>
      <c r="D4908" s="244">
        <v>4</v>
      </c>
      <c r="E4908" s="244">
        <v>1</v>
      </c>
      <c r="F4908" s="244">
        <v>3</v>
      </c>
      <c r="G4908" s="244">
        <v>4</v>
      </c>
      <c r="H4908" s="244">
        <v>1</v>
      </c>
      <c r="I4908" s="244">
        <v>1</v>
      </c>
      <c r="J4908" s="244">
        <v>5</v>
      </c>
      <c r="K4908" s="244">
        <v>4</v>
      </c>
      <c r="L4908" s="244">
        <v>6</v>
      </c>
      <c r="M4908" s="244">
        <v>4</v>
      </c>
      <c r="N4908" s="244">
        <v>4</v>
      </c>
      <c r="O4908" s="254">
        <v>3</v>
      </c>
    </row>
    <row r="4909" ht="14.25" spans="1:15">
      <c r="A4909" s="245" t="s">
        <v>70</v>
      </c>
      <c r="B4909" s="52" t="s">
        <v>64</v>
      </c>
      <c r="C4909" s="19">
        <v>0.36036036036036</v>
      </c>
      <c r="D4909" s="246">
        <v>0.666666666666667</v>
      </c>
      <c r="E4909" s="246">
        <v>0.166666666666667</v>
      </c>
      <c r="F4909" s="246">
        <v>0.75</v>
      </c>
      <c r="G4909" s="246">
        <v>0.444444444444444</v>
      </c>
      <c r="H4909" s="246">
        <v>0.2</v>
      </c>
      <c r="I4909" s="246">
        <v>0.25</v>
      </c>
      <c r="J4909" s="246">
        <v>0.357142857142857</v>
      </c>
      <c r="K4909" s="246">
        <v>0.363636363636364</v>
      </c>
      <c r="L4909" s="246">
        <v>0.5</v>
      </c>
      <c r="M4909" s="246">
        <v>0.333333333333333</v>
      </c>
      <c r="N4909" s="246">
        <v>0.333333333333333</v>
      </c>
      <c r="O4909" s="255">
        <v>0.1875</v>
      </c>
    </row>
    <row r="4910" spans="1:15">
      <c r="A4910" s="240" t="s">
        <v>26</v>
      </c>
      <c r="B4910" s="47" t="s">
        <v>55</v>
      </c>
      <c r="C4910" s="12">
        <v>10.7</v>
      </c>
      <c r="D4910" s="241">
        <v>3.66666666666667</v>
      </c>
      <c r="E4910" s="241">
        <v>3.33333333333333</v>
      </c>
      <c r="F4910" s="241" t="e">
        <v>#DIV/0!</v>
      </c>
      <c r="G4910" s="241">
        <v>1.5</v>
      </c>
      <c r="H4910" s="241">
        <v>5.5</v>
      </c>
      <c r="I4910" s="241" t="e">
        <v>#DIV/0!</v>
      </c>
      <c r="J4910" s="241" t="e">
        <v>#DIV/0!</v>
      </c>
      <c r="K4910" s="241" t="e">
        <v>#DIV/0!</v>
      </c>
      <c r="L4910" s="241" t="e">
        <v>#DIV/0!</v>
      </c>
      <c r="M4910" s="241" t="e">
        <v>#DIV/0!</v>
      </c>
      <c r="N4910" s="241" t="e">
        <v>#DIV/0!</v>
      </c>
      <c r="O4910" s="252" t="e">
        <v>#DIV/0!</v>
      </c>
    </row>
    <row r="4911" spans="1:15">
      <c r="A4911" s="242" t="s">
        <v>26</v>
      </c>
      <c r="B4911" s="43" t="s">
        <v>57</v>
      </c>
      <c r="C4911" s="15">
        <v>10</v>
      </c>
      <c r="D4911" s="243">
        <v>3</v>
      </c>
      <c r="E4911" s="243">
        <v>3</v>
      </c>
      <c r="F4911" s="243">
        <v>0</v>
      </c>
      <c r="G4911" s="243">
        <v>2</v>
      </c>
      <c r="H4911" s="243">
        <v>2</v>
      </c>
      <c r="I4911" s="243">
        <v>0</v>
      </c>
      <c r="J4911" s="243">
        <v>0</v>
      </c>
      <c r="K4911" s="243">
        <v>0</v>
      </c>
      <c r="L4911" s="243">
        <v>0</v>
      </c>
      <c r="M4911" s="243">
        <v>0</v>
      </c>
      <c r="N4911" s="243">
        <v>0</v>
      </c>
      <c r="O4911" s="253">
        <v>0</v>
      </c>
    </row>
    <row r="4912" spans="1:15">
      <c r="A4912" s="240" t="s">
        <v>26</v>
      </c>
      <c r="B4912" s="47" t="s">
        <v>59</v>
      </c>
      <c r="C4912" s="15">
        <v>107</v>
      </c>
      <c r="D4912" s="243">
        <v>11</v>
      </c>
      <c r="E4912" s="243">
        <v>10</v>
      </c>
      <c r="F4912" s="243">
        <v>2</v>
      </c>
      <c r="G4912" s="243">
        <v>3</v>
      </c>
      <c r="H4912" s="243">
        <v>11</v>
      </c>
      <c r="I4912" s="243">
        <v>13</v>
      </c>
      <c r="J4912" s="243">
        <v>12</v>
      </c>
      <c r="K4912" s="243">
        <v>5</v>
      </c>
      <c r="L4912" s="243">
        <v>13</v>
      </c>
      <c r="M4912" s="243">
        <v>15</v>
      </c>
      <c r="N4912" s="243">
        <v>2</v>
      </c>
      <c r="O4912" s="253">
        <v>10</v>
      </c>
    </row>
    <row r="4913" spans="1:15">
      <c r="A4913" s="242" t="s">
        <v>26</v>
      </c>
      <c r="B4913" s="43" t="s">
        <v>4</v>
      </c>
      <c r="C4913" s="15">
        <v>0</v>
      </c>
      <c r="D4913" s="244">
        <v>0</v>
      </c>
      <c r="E4913" s="244">
        <v>0</v>
      </c>
      <c r="F4913" s="244">
        <v>0</v>
      </c>
      <c r="G4913" s="244">
        <v>0</v>
      </c>
      <c r="H4913" s="244">
        <v>0</v>
      </c>
      <c r="I4913" s="244">
        <v>0</v>
      </c>
      <c r="J4913" s="244">
        <v>0</v>
      </c>
      <c r="K4913" s="244">
        <v>0</v>
      </c>
      <c r="L4913" s="244">
        <v>0</v>
      </c>
      <c r="M4913" s="244">
        <v>0</v>
      </c>
      <c r="N4913" s="244">
        <v>0</v>
      </c>
      <c r="O4913" s="254">
        <v>0</v>
      </c>
    </row>
    <row r="4914" spans="1:15">
      <c r="A4914" s="240" t="s">
        <v>26</v>
      </c>
      <c r="B4914" s="47" t="s">
        <v>5</v>
      </c>
      <c r="C4914" s="12">
        <v>0</v>
      </c>
      <c r="D4914" s="241">
        <v>0</v>
      </c>
      <c r="E4914" s="241">
        <v>0</v>
      </c>
      <c r="F4914" s="241">
        <v>0</v>
      </c>
      <c r="G4914" s="241">
        <v>0</v>
      </c>
      <c r="H4914" s="241">
        <v>0</v>
      </c>
      <c r="I4914" s="241">
        <v>0</v>
      </c>
      <c r="J4914" s="241">
        <v>0</v>
      </c>
      <c r="K4914" s="241">
        <v>0</v>
      </c>
      <c r="L4914" s="241">
        <v>0</v>
      </c>
      <c r="M4914" s="241">
        <v>0</v>
      </c>
      <c r="N4914" s="241">
        <v>0</v>
      </c>
      <c r="O4914" s="252">
        <v>0</v>
      </c>
    </row>
    <row r="4915" spans="1:15">
      <c r="A4915" s="242" t="s">
        <v>26</v>
      </c>
      <c r="B4915" s="43" t="s">
        <v>6</v>
      </c>
      <c r="C4915" s="15">
        <v>0</v>
      </c>
      <c r="D4915" s="244">
        <v>0</v>
      </c>
      <c r="E4915" s="244">
        <v>0</v>
      </c>
      <c r="F4915" s="244">
        <v>0</v>
      </c>
      <c r="G4915" s="244">
        <v>0</v>
      </c>
      <c r="H4915" s="244">
        <v>0</v>
      </c>
      <c r="I4915" s="244">
        <v>0</v>
      </c>
      <c r="J4915" s="244">
        <v>0</v>
      </c>
      <c r="K4915" s="244">
        <v>0</v>
      </c>
      <c r="L4915" s="244">
        <v>0</v>
      </c>
      <c r="M4915" s="244">
        <v>0</v>
      </c>
      <c r="N4915" s="244">
        <v>0</v>
      </c>
      <c r="O4915" s="254">
        <v>0</v>
      </c>
    </row>
    <row r="4916" ht="14.25" spans="1:15">
      <c r="A4916" s="245" t="s">
        <v>26</v>
      </c>
      <c r="B4916" s="52" t="s">
        <v>64</v>
      </c>
      <c r="C4916" s="19" t="e">
        <v>#DIV/0!</v>
      </c>
      <c r="D4916" s="19" t="e">
        <v>#DIV/0!</v>
      </c>
      <c r="E4916" s="19" t="e">
        <v>#DIV/0!</v>
      </c>
      <c r="F4916" s="19" t="e">
        <v>#DIV/0!</v>
      </c>
      <c r="G4916" s="19" t="e">
        <v>#DIV/0!</v>
      </c>
      <c r="H4916" s="19" t="e">
        <v>#DIV/0!</v>
      </c>
      <c r="I4916" s="19" t="e">
        <v>#DIV/0!</v>
      </c>
      <c r="J4916" s="19" t="e">
        <v>#DIV/0!</v>
      </c>
      <c r="K4916" s="19" t="e">
        <v>#DIV/0!</v>
      </c>
      <c r="L4916" s="19" t="e">
        <v>#DIV/0!</v>
      </c>
      <c r="M4916" s="19" t="e">
        <v>#DIV/0!</v>
      </c>
      <c r="N4916" s="19" t="e">
        <v>#DIV/0!</v>
      </c>
      <c r="O4916" s="19" t="e">
        <v>#DIV/0!</v>
      </c>
    </row>
    <row r="4917" spans="1:15">
      <c r="A4917" s="240" t="s">
        <v>71</v>
      </c>
      <c r="B4917" s="47" t="s">
        <v>55</v>
      </c>
      <c r="C4917" s="12">
        <v>310.5</v>
      </c>
      <c r="D4917" s="241" t="e">
        <v>#DIV/0!</v>
      </c>
      <c r="E4917" s="241" t="e">
        <v>#DIV/0!</v>
      </c>
      <c r="F4917" s="241">
        <v>10.5</v>
      </c>
      <c r="G4917" s="241" t="e">
        <v>#DIV/0!</v>
      </c>
      <c r="H4917" s="241" t="e">
        <v>#DIV/0!</v>
      </c>
      <c r="I4917" s="241" t="e">
        <v>#DIV/0!</v>
      </c>
      <c r="J4917" s="241" t="e">
        <v>#DIV/0!</v>
      </c>
      <c r="K4917" s="241" t="e">
        <v>#DIV/0!</v>
      </c>
      <c r="L4917" s="241" t="e">
        <v>#DIV/0!</v>
      </c>
      <c r="M4917" s="241" t="e">
        <v>#DIV/0!</v>
      </c>
      <c r="N4917" s="241" t="e">
        <v>#DIV/0!</v>
      </c>
      <c r="O4917" s="252" t="e">
        <v>#DIV/0!</v>
      </c>
    </row>
    <row r="4918" spans="1:15">
      <c r="A4918" s="242" t="s">
        <v>71</v>
      </c>
      <c r="B4918" s="43" t="s">
        <v>57</v>
      </c>
      <c r="C4918" s="15">
        <v>2</v>
      </c>
      <c r="D4918" s="243">
        <v>0</v>
      </c>
      <c r="E4918" s="243">
        <v>0</v>
      </c>
      <c r="F4918" s="243">
        <v>2</v>
      </c>
      <c r="G4918" s="243">
        <v>0</v>
      </c>
      <c r="H4918" s="243">
        <v>0</v>
      </c>
      <c r="I4918" s="243">
        <v>0</v>
      </c>
      <c r="J4918" s="243">
        <v>0</v>
      </c>
      <c r="K4918" s="243">
        <v>0</v>
      </c>
      <c r="L4918" s="243">
        <v>0</v>
      </c>
      <c r="M4918" s="243">
        <v>0</v>
      </c>
      <c r="N4918" s="243">
        <v>0</v>
      </c>
      <c r="O4918" s="253">
        <v>0</v>
      </c>
    </row>
    <row r="4919" spans="1:15">
      <c r="A4919" s="240" t="s">
        <v>71</v>
      </c>
      <c r="B4919" s="47" t="s">
        <v>59</v>
      </c>
      <c r="C4919" s="15">
        <v>621</v>
      </c>
      <c r="D4919" s="243">
        <v>67</v>
      </c>
      <c r="E4919" s="243">
        <v>40</v>
      </c>
      <c r="F4919" s="243">
        <v>21</v>
      </c>
      <c r="G4919" s="243">
        <v>35</v>
      </c>
      <c r="H4919" s="243">
        <v>50</v>
      </c>
      <c r="I4919" s="243">
        <v>53</v>
      </c>
      <c r="J4919" s="243">
        <v>63</v>
      </c>
      <c r="K4919" s="243">
        <v>60</v>
      </c>
      <c r="L4919" s="243">
        <v>54</v>
      </c>
      <c r="M4919" s="243">
        <v>63</v>
      </c>
      <c r="N4919" s="243">
        <v>48</v>
      </c>
      <c r="O4919" s="253">
        <v>67</v>
      </c>
    </row>
    <row r="4920" spans="1:15">
      <c r="A4920" s="242" t="s">
        <v>71</v>
      </c>
      <c r="B4920" s="43" t="s">
        <v>4</v>
      </c>
      <c r="C4920" s="15">
        <v>38</v>
      </c>
      <c r="D4920" s="244">
        <v>7</v>
      </c>
      <c r="E4920" s="244">
        <v>1</v>
      </c>
      <c r="F4920" s="244">
        <v>1</v>
      </c>
      <c r="G4920" s="244">
        <v>0</v>
      </c>
      <c r="H4920" s="244">
        <v>3</v>
      </c>
      <c r="I4920" s="244">
        <v>3</v>
      </c>
      <c r="J4920" s="244">
        <v>2</v>
      </c>
      <c r="K4920" s="244">
        <v>7</v>
      </c>
      <c r="L4920" s="244">
        <v>2</v>
      </c>
      <c r="M4920" s="244">
        <v>5</v>
      </c>
      <c r="N4920" s="244">
        <v>3</v>
      </c>
      <c r="O4920" s="254">
        <v>4</v>
      </c>
    </row>
    <row r="4921" spans="1:15">
      <c r="A4921" s="240" t="s">
        <v>71</v>
      </c>
      <c r="B4921" s="47" t="s">
        <v>5</v>
      </c>
      <c r="C4921" s="241">
        <v>0.0611916264090177</v>
      </c>
      <c r="D4921" s="241">
        <v>0.104477611940299</v>
      </c>
      <c r="E4921" s="241">
        <v>0.025</v>
      </c>
      <c r="F4921" s="241">
        <v>0.0476190476190476</v>
      </c>
      <c r="G4921" s="241">
        <v>0</v>
      </c>
      <c r="H4921" s="241">
        <v>0.06</v>
      </c>
      <c r="I4921" s="241">
        <v>0.0566037735849057</v>
      </c>
      <c r="J4921" s="241">
        <v>0.0317460317460317</v>
      </c>
      <c r="K4921" s="241">
        <v>0.116666666666667</v>
      </c>
      <c r="L4921" s="241">
        <v>0.037037037037037</v>
      </c>
      <c r="M4921" s="241">
        <v>0.0793650793650794</v>
      </c>
      <c r="N4921" s="241">
        <v>0.0625</v>
      </c>
      <c r="O4921" s="252">
        <v>0.0597014925373134</v>
      </c>
    </row>
    <row r="4922" spans="1:15">
      <c r="A4922" s="242" t="s">
        <v>71</v>
      </c>
      <c r="B4922" s="43" t="s">
        <v>6</v>
      </c>
      <c r="C4922" s="15">
        <v>11</v>
      </c>
      <c r="D4922" s="244">
        <v>2</v>
      </c>
      <c r="E4922" s="244">
        <v>1</v>
      </c>
      <c r="F4922" s="244">
        <v>1</v>
      </c>
      <c r="G4922" s="244">
        <v>0</v>
      </c>
      <c r="H4922" s="244">
        <v>1</v>
      </c>
      <c r="I4922" s="244">
        <v>1</v>
      </c>
      <c r="J4922" s="244">
        <v>2</v>
      </c>
      <c r="K4922" s="244">
        <v>0</v>
      </c>
      <c r="L4922" s="244">
        <v>2</v>
      </c>
      <c r="M4922" s="244">
        <v>1</v>
      </c>
      <c r="N4922" s="244">
        <v>0</v>
      </c>
      <c r="O4922" s="254">
        <v>0</v>
      </c>
    </row>
    <row r="4923" ht="14.25" spans="1:15">
      <c r="A4923" s="245" t="s">
        <v>71</v>
      </c>
      <c r="B4923" s="52" t="s">
        <v>64</v>
      </c>
      <c r="C4923" s="19">
        <v>0.289473684210526</v>
      </c>
      <c r="D4923" s="19">
        <v>0.285714285714286</v>
      </c>
      <c r="E4923" s="19">
        <v>1</v>
      </c>
      <c r="F4923" s="19">
        <v>1</v>
      </c>
      <c r="G4923" s="19" t="e">
        <v>#DIV/0!</v>
      </c>
      <c r="H4923" s="19">
        <v>0.333333333333333</v>
      </c>
      <c r="I4923" s="19">
        <v>0.333333333333333</v>
      </c>
      <c r="J4923" s="19">
        <v>1</v>
      </c>
      <c r="K4923" s="19">
        <v>0</v>
      </c>
      <c r="L4923" s="19">
        <v>1</v>
      </c>
      <c r="M4923" s="19">
        <v>0.2</v>
      </c>
      <c r="N4923" s="19">
        <v>0</v>
      </c>
      <c r="O4923" s="19">
        <v>0</v>
      </c>
    </row>
    <row r="4924" spans="1:15">
      <c r="A4924" s="240" t="s">
        <v>72</v>
      </c>
      <c r="B4924" s="47" t="s">
        <v>55</v>
      </c>
      <c r="C4924" s="12">
        <v>0.153774895785086</v>
      </c>
      <c r="D4924" s="241">
        <v>0.198492462311558</v>
      </c>
      <c r="E4924" s="241">
        <v>0.176991150442478</v>
      </c>
      <c r="F4924" s="241">
        <v>0.185185185185185</v>
      </c>
      <c r="G4924" s="241">
        <v>0.138755980861244</v>
      </c>
      <c r="H4924" s="241">
        <v>0.142276422764228</v>
      </c>
      <c r="I4924" s="241">
        <v>0.134048257372654</v>
      </c>
      <c r="J4924" s="241">
        <v>0.124688279301746</v>
      </c>
      <c r="K4924" s="241">
        <v>0.15</v>
      </c>
      <c r="L4924" s="241">
        <v>0.152380952380952</v>
      </c>
      <c r="M4924" s="241">
        <v>0.146341463414634</v>
      </c>
      <c r="N4924" s="241">
        <v>0.127413127413127</v>
      </c>
      <c r="O4924" s="252">
        <v>0.186974789915966</v>
      </c>
    </row>
    <row r="4925" spans="1:15">
      <c r="A4925" s="242" t="s">
        <v>72</v>
      </c>
      <c r="B4925" s="43" t="s">
        <v>57</v>
      </c>
      <c r="C4925" s="15">
        <v>4318</v>
      </c>
      <c r="D4925" s="243">
        <v>398</v>
      </c>
      <c r="E4925" s="243">
        <v>226</v>
      </c>
      <c r="F4925" s="243">
        <v>162</v>
      </c>
      <c r="G4925" s="243">
        <v>209</v>
      </c>
      <c r="H4925" s="243">
        <v>246</v>
      </c>
      <c r="I4925" s="243">
        <v>373</v>
      </c>
      <c r="J4925" s="243">
        <v>401</v>
      </c>
      <c r="K4925" s="243">
        <v>520</v>
      </c>
      <c r="L4925" s="243">
        <v>420</v>
      </c>
      <c r="M4925" s="243">
        <v>369</v>
      </c>
      <c r="N4925" s="243">
        <v>518</v>
      </c>
      <c r="O4925" s="253">
        <v>476</v>
      </c>
    </row>
    <row r="4926" spans="1:15">
      <c r="A4926" s="240" t="s">
        <v>72</v>
      </c>
      <c r="B4926" s="47" t="s">
        <v>59</v>
      </c>
      <c r="C4926" s="15">
        <v>664</v>
      </c>
      <c r="D4926" s="243">
        <v>79</v>
      </c>
      <c r="E4926" s="243">
        <v>40</v>
      </c>
      <c r="F4926" s="243">
        <v>30</v>
      </c>
      <c r="G4926" s="243">
        <v>29</v>
      </c>
      <c r="H4926" s="243">
        <v>35</v>
      </c>
      <c r="I4926" s="243">
        <v>50</v>
      </c>
      <c r="J4926" s="243">
        <v>50</v>
      </c>
      <c r="K4926" s="243">
        <v>78</v>
      </c>
      <c r="L4926" s="243">
        <v>64</v>
      </c>
      <c r="M4926" s="243">
        <v>54</v>
      </c>
      <c r="N4926" s="243">
        <v>66</v>
      </c>
      <c r="O4926" s="253">
        <v>89</v>
      </c>
    </row>
    <row r="4927" spans="1:15">
      <c r="A4927" s="242" t="s">
        <v>72</v>
      </c>
      <c r="B4927" s="43" t="s">
        <v>4</v>
      </c>
      <c r="C4927" s="15">
        <v>46</v>
      </c>
      <c r="D4927" s="244">
        <v>5</v>
      </c>
      <c r="E4927" s="244">
        <v>3</v>
      </c>
      <c r="F4927" s="244">
        <v>0</v>
      </c>
      <c r="G4927" s="244">
        <v>4</v>
      </c>
      <c r="H4927" s="244">
        <v>3</v>
      </c>
      <c r="I4927" s="244">
        <v>4</v>
      </c>
      <c r="J4927" s="244">
        <v>3</v>
      </c>
      <c r="K4927" s="244">
        <v>7</v>
      </c>
      <c r="L4927" s="244">
        <v>5</v>
      </c>
      <c r="M4927" s="244">
        <v>4</v>
      </c>
      <c r="N4927" s="244">
        <v>2</v>
      </c>
      <c r="O4927" s="254">
        <v>6</v>
      </c>
    </row>
    <row r="4928" spans="1:15">
      <c r="A4928" s="240" t="s">
        <v>72</v>
      </c>
      <c r="B4928" s="47" t="s">
        <v>5</v>
      </c>
      <c r="C4928" s="12">
        <v>0.0692771084337349</v>
      </c>
      <c r="D4928" s="241">
        <v>0.0632911392405063</v>
      </c>
      <c r="E4928" s="241">
        <v>0.075</v>
      </c>
      <c r="F4928" s="241">
        <v>0</v>
      </c>
      <c r="G4928" s="241">
        <v>0.137931034482759</v>
      </c>
      <c r="H4928" s="241">
        <v>0.0857142857142857</v>
      </c>
      <c r="I4928" s="241">
        <v>0.08</v>
      </c>
      <c r="J4928" s="241">
        <v>0.06</v>
      </c>
      <c r="K4928" s="241">
        <v>0.0897435897435897</v>
      </c>
      <c r="L4928" s="241">
        <v>0.078125</v>
      </c>
      <c r="M4928" s="241">
        <v>0.0740740740740741</v>
      </c>
      <c r="N4928" s="241">
        <v>0.0303030303030303</v>
      </c>
      <c r="O4928" s="252">
        <v>0.0674157303370786</v>
      </c>
    </row>
    <row r="4929" spans="1:15">
      <c r="A4929" s="242" t="s">
        <v>72</v>
      </c>
      <c r="B4929" s="43" t="s">
        <v>6</v>
      </c>
      <c r="C4929" s="15">
        <v>10</v>
      </c>
      <c r="D4929" s="244">
        <v>0</v>
      </c>
      <c r="E4929" s="244">
        <v>1</v>
      </c>
      <c r="F4929" s="244">
        <v>0</v>
      </c>
      <c r="G4929" s="244">
        <v>1</v>
      </c>
      <c r="H4929" s="244">
        <v>1</v>
      </c>
      <c r="I4929" s="244">
        <v>2</v>
      </c>
      <c r="J4929" s="244">
        <v>3</v>
      </c>
      <c r="K4929" s="244">
        <v>0</v>
      </c>
      <c r="L4929" s="244">
        <v>2</v>
      </c>
      <c r="M4929" s="244">
        <v>0</v>
      </c>
      <c r="N4929" s="244">
        <v>0</v>
      </c>
      <c r="O4929" s="254">
        <v>0</v>
      </c>
    </row>
    <row r="4930" ht="14.25" spans="1:15">
      <c r="A4930" s="245" t="s">
        <v>72</v>
      </c>
      <c r="B4930" s="52" t="s">
        <v>64</v>
      </c>
      <c r="C4930" s="19">
        <v>0.217391304347826</v>
      </c>
      <c r="D4930" s="19">
        <v>0</v>
      </c>
      <c r="E4930" s="19">
        <v>0.333333333333333</v>
      </c>
      <c r="F4930" s="19" t="e">
        <v>#DIV/0!</v>
      </c>
      <c r="G4930" s="19">
        <v>0.25</v>
      </c>
      <c r="H4930" s="19">
        <v>0.333333333333333</v>
      </c>
      <c r="I4930" s="19">
        <v>0.5</v>
      </c>
      <c r="J4930" s="19">
        <v>1</v>
      </c>
      <c r="K4930" s="19">
        <v>0</v>
      </c>
      <c r="L4930" s="19">
        <v>0.4</v>
      </c>
      <c r="M4930" s="19">
        <v>0</v>
      </c>
      <c r="N4930" s="19">
        <v>0</v>
      </c>
      <c r="O4930" s="19">
        <v>0</v>
      </c>
    </row>
    <row r="4931" ht="14.25" spans="1:15">
      <c r="A4931" s="237">
        <v>45095</v>
      </c>
      <c r="B4931" s="237"/>
      <c r="C4931" s="237"/>
      <c r="D4931" s="237"/>
      <c r="E4931" s="237"/>
      <c r="F4931" s="237"/>
      <c r="G4931" s="237"/>
      <c r="H4931" s="237"/>
      <c r="I4931" s="237"/>
      <c r="J4931" s="237"/>
      <c r="K4931" s="237"/>
      <c r="L4931" s="237"/>
      <c r="M4931" s="237"/>
      <c r="N4931" s="237"/>
      <c r="O4931" s="237"/>
    </row>
    <row r="4932" spans="1:15">
      <c r="A4932" s="56" t="s">
        <v>1</v>
      </c>
      <c r="B4932" s="238"/>
      <c r="C4932" s="8" t="s">
        <v>42</v>
      </c>
      <c r="D4932" s="239" t="s">
        <v>43</v>
      </c>
      <c r="E4932" s="239" t="s">
        <v>44</v>
      </c>
      <c r="F4932" s="239" t="s">
        <v>45</v>
      </c>
      <c r="G4932" s="239" t="s">
        <v>46</v>
      </c>
      <c r="H4932" s="239" t="s">
        <v>47</v>
      </c>
      <c r="I4932" s="239" t="s">
        <v>48</v>
      </c>
      <c r="J4932" s="239" t="s">
        <v>49</v>
      </c>
      <c r="K4932" s="239" t="s">
        <v>50</v>
      </c>
      <c r="L4932" s="239" t="s">
        <v>51</v>
      </c>
      <c r="M4932" s="239" t="s">
        <v>52</v>
      </c>
      <c r="N4932" s="239" t="s">
        <v>53</v>
      </c>
      <c r="O4932" s="251" t="s">
        <v>54</v>
      </c>
    </row>
    <row r="4933" spans="1:15">
      <c r="A4933" s="240" t="s">
        <v>22</v>
      </c>
      <c r="B4933" s="47" t="s">
        <v>55</v>
      </c>
      <c r="C4933" s="12">
        <v>0.872525732383215</v>
      </c>
      <c r="D4933" s="241">
        <v>0.936395759717314</v>
      </c>
      <c r="E4933" s="241">
        <v>0.913333333333333</v>
      </c>
      <c r="F4933" s="241">
        <v>0.768518518518518</v>
      </c>
      <c r="G4933" s="241">
        <v>0.824074074074074</v>
      </c>
      <c r="H4933" s="241">
        <v>0.931034482758621</v>
      </c>
      <c r="I4933" s="241">
        <v>0.936585365853659</v>
      </c>
      <c r="J4933" s="241">
        <v>0.842553191489362</v>
      </c>
      <c r="K4933" s="241">
        <v>0.944649446494465</v>
      </c>
      <c r="L4933" s="241">
        <v>0.8125</v>
      </c>
      <c r="M4933" s="241">
        <v>0.847222222222222</v>
      </c>
      <c r="N4933" s="241">
        <v>0.817427385892116</v>
      </c>
      <c r="O4933" s="252">
        <v>0.840304182509506</v>
      </c>
    </row>
    <row r="4934" spans="1:15">
      <c r="A4934" s="242" t="s">
        <v>22</v>
      </c>
      <c r="B4934" s="43" t="s">
        <v>57</v>
      </c>
      <c r="C4934" s="15">
        <v>2526</v>
      </c>
      <c r="D4934" s="243">
        <v>283</v>
      </c>
      <c r="E4934" s="243">
        <v>150</v>
      </c>
      <c r="F4934" s="243">
        <v>108</v>
      </c>
      <c r="G4934" s="243">
        <v>108</v>
      </c>
      <c r="H4934" s="243">
        <v>174</v>
      </c>
      <c r="I4934" s="243">
        <v>205</v>
      </c>
      <c r="J4934" s="243">
        <v>235</v>
      </c>
      <c r="K4934" s="243">
        <v>271</v>
      </c>
      <c r="L4934" s="243">
        <v>272</v>
      </c>
      <c r="M4934" s="243">
        <v>216</v>
      </c>
      <c r="N4934" s="243">
        <v>241</v>
      </c>
      <c r="O4934" s="253">
        <v>263</v>
      </c>
    </row>
    <row r="4935" spans="1:15">
      <c r="A4935" s="240" t="s">
        <v>22</v>
      </c>
      <c r="B4935" s="47" t="s">
        <v>59</v>
      </c>
      <c r="C4935" s="15">
        <v>2204</v>
      </c>
      <c r="D4935" s="243">
        <v>265</v>
      </c>
      <c r="E4935" s="243">
        <v>137</v>
      </c>
      <c r="F4935" s="243">
        <v>83</v>
      </c>
      <c r="G4935" s="243">
        <v>89</v>
      </c>
      <c r="H4935" s="243">
        <v>162</v>
      </c>
      <c r="I4935" s="243">
        <v>192</v>
      </c>
      <c r="J4935" s="243">
        <v>198</v>
      </c>
      <c r="K4935" s="243">
        <v>256</v>
      </c>
      <c r="L4935" s="243">
        <v>221</v>
      </c>
      <c r="M4935" s="243">
        <v>183</v>
      </c>
      <c r="N4935" s="243">
        <v>197</v>
      </c>
      <c r="O4935" s="253">
        <v>221</v>
      </c>
    </row>
    <row r="4936" spans="1:15">
      <c r="A4936" s="242" t="s">
        <v>22</v>
      </c>
      <c r="B4936" s="43" t="s">
        <v>4</v>
      </c>
      <c r="C4936" s="15">
        <v>49</v>
      </c>
      <c r="D4936" s="244">
        <v>4</v>
      </c>
      <c r="E4936" s="244">
        <v>8</v>
      </c>
      <c r="F4936" s="244">
        <v>3</v>
      </c>
      <c r="G4936" s="244">
        <v>1</v>
      </c>
      <c r="H4936" s="244">
        <v>3</v>
      </c>
      <c r="I4936" s="244">
        <v>2</v>
      </c>
      <c r="J4936" s="244">
        <v>3</v>
      </c>
      <c r="K4936" s="244">
        <v>3</v>
      </c>
      <c r="L4936" s="244">
        <v>7</v>
      </c>
      <c r="M4936" s="244">
        <v>5</v>
      </c>
      <c r="N4936" s="244">
        <v>5</v>
      </c>
      <c r="O4936" s="254">
        <v>5</v>
      </c>
    </row>
    <row r="4937" spans="1:15">
      <c r="A4937" s="240" t="s">
        <v>22</v>
      </c>
      <c r="B4937" s="47" t="s">
        <v>5</v>
      </c>
      <c r="C4937" s="12">
        <v>0.0222323049001815</v>
      </c>
      <c r="D4937" s="241">
        <v>0.0150943396226415</v>
      </c>
      <c r="E4937" s="241">
        <v>0.0583941605839416</v>
      </c>
      <c r="F4937" s="241">
        <v>0.036144578313253</v>
      </c>
      <c r="G4937" s="241">
        <v>0.0112359550561798</v>
      </c>
      <c r="H4937" s="241">
        <v>0.0185185185185185</v>
      </c>
      <c r="I4937" s="241">
        <v>0.0104166666666667</v>
      </c>
      <c r="J4937" s="241">
        <v>0.0151515151515152</v>
      </c>
      <c r="K4937" s="241">
        <v>0.01171875</v>
      </c>
      <c r="L4937" s="241">
        <v>0.0316742081447964</v>
      </c>
      <c r="M4937" s="241">
        <v>0.0273224043715847</v>
      </c>
      <c r="N4937" s="241">
        <v>0.0253807106598985</v>
      </c>
      <c r="O4937" s="252">
        <v>0.0226244343891403</v>
      </c>
    </row>
    <row r="4938" spans="1:15">
      <c r="A4938" s="242" t="s">
        <v>22</v>
      </c>
      <c r="B4938" s="43" t="s">
        <v>6</v>
      </c>
      <c r="C4938" s="15">
        <v>27</v>
      </c>
      <c r="D4938" s="244">
        <v>1</v>
      </c>
      <c r="E4938" s="244">
        <v>5</v>
      </c>
      <c r="F4938" s="244">
        <v>2</v>
      </c>
      <c r="G4938" s="244">
        <v>1</v>
      </c>
      <c r="H4938" s="244">
        <v>0</v>
      </c>
      <c r="I4938" s="244">
        <v>1</v>
      </c>
      <c r="J4938" s="244">
        <v>0</v>
      </c>
      <c r="K4938" s="244">
        <v>1</v>
      </c>
      <c r="L4938" s="244">
        <v>5</v>
      </c>
      <c r="M4938" s="244">
        <v>5</v>
      </c>
      <c r="N4938" s="244">
        <v>3</v>
      </c>
      <c r="O4938" s="254">
        <v>3</v>
      </c>
    </row>
    <row r="4939" ht="14.25" spans="1:15">
      <c r="A4939" s="245" t="s">
        <v>22</v>
      </c>
      <c r="B4939" s="52" t="s">
        <v>64</v>
      </c>
      <c r="C4939" s="19">
        <v>0.551020408163265</v>
      </c>
      <c r="D4939" s="246">
        <v>0.25</v>
      </c>
      <c r="E4939" s="246">
        <v>0.625</v>
      </c>
      <c r="F4939" s="246">
        <v>0.666666666666667</v>
      </c>
      <c r="G4939" s="246">
        <v>1</v>
      </c>
      <c r="H4939" s="246">
        <v>0</v>
      </c>
      <c r="I4939" s="246">
        <v>0.5</v>
      </c>
      <c r="J4939" s="246">
        <v>0</v>
      </c>
      <c r="K4939" s="246">
        <v>0.333333333333333</v>
      </c>
      <c r="L4939" s="246">
        <v>0.714285714285714</v>
      </c>
      <c r="M4939" s="246">
        <v>1</v>
      </c>
      <c r="N4939" s="246">
        <v>0.6</v>
      </c>
      <c r="O4939" s="255">
        <v>0.6</v>
      </c>
    </row>
    <row r="4940" spans="1:15">
      <c r="A4940" s="247" t="s">
        <v>66</v>
      </c>
      <c r="B4940" s="248" t="s">
        <v>55</v>
      </c>
      <c r="C4940" s="12">
        <v>0.0610403397027601</v>
      </c>
      <c r="D4940" s="249">
        <v>0.0769230769230769</v>
      </c>
      <c r="E4940" s="249">
        <v>0.0353982300884956</v>
      </c>
      <c r="F4940" s="249">
        <v>0.00625</v>
      </c>
      <c r="G4940" s="249">
        <v>0.0392156862745098</v>
      </c>
      <c r="H4940" s="249">
        <v>0.0588235294117647</v>
      </c>
      <c r="I4940" s="249">
        <v>0.0320855614973262</v>
      </c>
      <c r="J4940" s="249">
        <v>0.0843373493975904</v>
      </c>
      <c r="K4940" s="249">
        <v>0.0545454545454545</v>
      </c>
      <c r="L4940" s="249">
        <v>0.0987654320987654</v>
      </c>
      <c r="M4940" s="249">
        <v>0.131868131868132</v>
      </c>
      <c r="N4940" s="249">
        <v>0.0740740740740741</v>
      </c>
      <c r="O4940" s="256">
        <v>0.0964912280701754</v>
      </c>
    </row>
    <row r="4941" spans="1:15">
      <c r="A4941" s="242" t="s">
        <v>66</v>
      </c>
      <c r="B4941" s="43" t="s">
        <v>57</v>
      </c>
      <c r="C4941" s="15">
        <v>1884</v>
      </c>
      <c r="D4941" s="243">
        <v>182</v>
      </c>
      <c r="E4941" s="243">
        <v>226</v>
      </c>
      <c r="F4941" s="243">
        <v>160</v>
      </c>
      <c r="G4941" s="243">
        <v>153</v>
      </c>
      <c r="H4941" s="243">
        <v>170</v>
      </c>
      <c r="I4941" s="243">
        <v>187</v>
      </c>
      <c r="J4941" s="243">
        <v>166</v>
      </c>
      <c r="K4941" s="243">
        <v>165</v>
      </c>
      <c r="L4941" s="243">
        <v>162</v>
      </c>
      <c r="M4941" s="243">
        <v>91</v>
      </c>
      <c r="N4941" s="243">
        <v>108</v>
      </c>
      <c r="O4941" s="253">
        <v>114</v>
      </c>
    </row>
    <row r="4942" spans="1:15">
      <c r="A4942" s="240" t="s">
        <v>66</v>
      </c>
      <c r="B4942" s="47" t="s">
        <v>59</v>
      </c>
      <c r="C4942" s="15">
        <v>115</v>
      </c>
      <c r="D4942" s="243">
        <v>14</v>
      </c>
      <c r="E4942" s="243">
        <v>8</v>
      </c>
      <c r="F4942" s="243">
        <v>1</v>
      </c>
      <c r="G4942" s="243">
        <v>6</v>
      </c>
      <c r="H4942" s="243">
        <v>10</v>
      </c>
      <c r="I4942" s="243">
        <v>6</v>
      </c>
      <c r="J4942" s="243">
        <v>14</v>
      </c>
      <c r="K4942" s="243">
        <v>9</v>
      </c>
      <c r="L4942" s="243">
        <v>16</v>
      </c>
      <c r="M4942" s="243">
        <v>12</v>
      </c>
      <c r="N4942" s="243">
        <v>8</v>
      </c>
      <c r="O4942" s="253">
        <v>11</v>
      </c>
    </row>
    <row r="4943" spans="1:15">
      <c r="A4943" s="242" t="s">
        <v>66</v>
      </c>
      <c r="B4943" s="43" t="s">
        <v>4</v>
      </c>
      <c r="C4943" s="15">
        <v>8</v>
      </c>
      <c r="D4943" s="244">
        <v>1</v>
      </c>
      <c r="E4943" s="244">
        <v>2</v>
      </c>
      <c r="F4943" s="244">
        <v>0</v>
      </c>
      <c r="G4943" s="244">
        <v>1</v>
      </c>
      <c r="H4943" s="244">
        <v>0</v>
      </c>
      <c r="I4943" s="244">
        <v>0</v>
      </c>
      <c r="J4943" s="244">
        <v>1</v>
      </c>
      <c r="K4943" s="244">
        <v>0</v>
      </c>
      <c r="L4943" s="244">
        <v>3</v>
      </c>
      <c r="M4943" s="244">
        <v>0</v>
      </c>
      <c r="N4943" s="244">
        <v>0</v>
      </c>
      <c r="O4943" s="254">
        <v>0</v>
      </c>
    </row>
    <row r="4944" spans="1:15">
      <c r="A4944" s="240" t="s">
        <v>66</v>
      </c>
      <c r="B4944" s="47" t="s">
        <v>5</v>
      </c>
      <c r="C4944" s="12">
        <v>0.0695652173913043</v>
      </c>
      <c r="D4944" s="241">
        <v>0.0714285714285714</v>
      </c>
      <c r="E4944" s="241">
        <v>0.25</v>
      </c>
      <c r="F4944" s="241">
        <v>0</v>
      </c>
      <c r="G4944" s="241">
        <v>0.166666666666667</v>
      </c>
      <c r="H4944" s="241">
        <v>0</v>
      </c>
      <c r="I4944" s="241">
        <v>0</v>
      </c>
      <c r="J4944" s="241">
        <v>0.0714285714285714</v>
      </c>
      <c r="K4944" s="241">
        <v>0</v>
      </c>
      <c r="L4944" s="241">
        <v>0.1875</v>
      </c>
      <c r="M4944" s="241">
        <v>0</v>
      </c>
      <c r="N4944" s="241">
        <v>0</v>
      </c>
      <c r="O4944" s="252">
        <v>0</v>
      </c>
    </row>
    <row r="4945" spans="1:15">
      <c r="A4945" s="242" t="s">
        <v>66</v>
      </c>
      <c r="B4945" s="43" t="s">
        <v>6</v>
      </c>
      <c r="C4945" s="15">
        <v>3</v>
      </c>
      <c r="D4945" s="244">
        <v>1</v>
      </c>
      <c r="E4945" s="244">
        <v>0</v>
      </c>
      <c r="F4945" s="244">
        <v>0</v>
      </c>
      <c r="G4945" s="244">
        <v>0</v>
      </c>
      <c r="H4945" s="244">
        <v>0</v>
      </c>
      <c r="I4945" s="244">
        <v>0</v>
      </c>
      <c r="J4945" s="244">
        <v>0</v>
      </c>
      <c r="K4945" s="244">
        <v>0</v>
      </c>
      <c r="L4945" s="244">
        <v>1</v>
      </c>
      <c r="M4945" s="244">
        <v>1</v>
      </c>
      <c r="N4945" s="244">
        <v>0</v>
      </c>
      <c r="O4945" s="254">
        <v>0</v>
      </c>
    </row>
    <row r="4946" ht="14.25" spans="1:15">
      <c r="A4946" s="245" t="s">
        <v>66</v>
      </c>
      <c r="B4946" s="52" t="s">
        <v>64</v>
      </c>
      <c r="C4946" s="19">
        <v>0.375</v>
      </c>
      <c r="D4946" s="246">
        <v>1</v>
      </c>
      <c r="E4946" s="246">
        <v>0</v>
      </c>
      <c r="F4946" s="246">
        <v>0</v>
      </c>
      <c r="G4946" s="246">
        <v>0</v>
      </c>
      <c r="H4946" s="246">
        <v>0</v>
      </c>
      <c r="I4946" s="246">
        <v>0</v>
      </c>
      <c r="J4946" s="246">
        <v>0</v>
      </c>
      <c r="K4946" s="246">
        <v>0</v>
      </c>
      <c r="L4946" s="246">
        <v>0.333333333333333</v>
      </c>
      <c r="M4946" s="246">
        <v>0</v>
      </c>
      <c r="N4946" s="246">
        <v>0</v>
      </c>
      <c r="O4946" s="255">
        <v>0</v>
      </c>
    </row>
    <row r="4947" spans="1:15">
      <c r="A4947" s="240" t="s">
        <v>67</v>
      </c>
      <c r="B4947" s="47" t="s">
        <v>55</v>
      </c>
      <c r="C4947" s="12">
        <v>0.531645569620253</v>
      </c>
      <c r="D4947" s="241">
        <v>0.5</v>
      </c>
      <c r="E4947" s="241">
        <v>0.659090909090909</v>
      </c>
      <c r="F4947" s="241">
        <v>0.625</v>
      </c>
      <c r="G4947" s="241">
        <v>0.35</v>
      </c>
      <c r="H4947" s="241">
        <v>0.558823529411765</v>
      </c>
      <c r="I4947" s="241">
        <v>0.365591397849462</v>
      </c>
      <c r="J4947" s="241">
        <v>0.544303797468354</v>
      </c>
      <c r="K4947" s="241">
        <v>0.486725663716814</v>
      </c>
      <c r="L4947" s="241">
        <v>0.534883720930233</v>
      </c>
      <c r="M4947" s="241">
        <v>0.621212121212121</v>
      </c>
      <c r="N4947" s="241">
        <v>0.607843137254902</v>
      </c>
      <c r="O4947" s="252">
        <v>0.685185185185185</v>
      </c>
    </row>
    <row r="4948" spans="1:15">
      <c r="A4948" s="242" t="s">
        <v>67</v>
      </c>
      <c r="B4948" s="43" t="s">
        <v>57</v>
      </c>
      <c r="C4948" s="15">
        <v>790</v>
      </c>
      <c r="D4948" s="243">
        <v>64</v>
      </c>
      <c r="E4948" s="243">
        <v>44</v>
      </c>
      <c r="F4948" s="243">
        <v>32</v>
      </c>
      <c r="G4948" s="243">
        <v>40</v>
      </c>
      <c r="H4948" s="243">
        <v>68</v>
      </c>
      <c r="I4948" s="243">
        <v>93</v>
      </c>
      <c r="J4948" s="243">
        <v>79</v>
      </c>
      <c r="K4948" s="243">
        <v>113</v>
      </c>
      <c r="L4948" s="243">
        <v>86</v>
      </c>
      <c r="M4948" s="243">
        <v>66</v>
      </c>
      <c r="N4948" s="243">
        <v>51</v>
      </c>
      <c r="O4948" s="253">
        <v>54</v>
      </c>
    </row>
    <row r="4949" spans="1:15">
      <c r="A4949" s="240" t="s">
        <v>67</v>
      </c>
      <c r="B4949" s="47" t="s">
        <v>59</v>
      </c>
      <c r="C4949" s="15">
        <v>420</v>
      </c>
      <c r="D4949" s="243">
        <v>32</v>
      </c>
      <c r="E4949" s="243">
        <v>29</v>
      </c>
      <c r="F4949" s="243">
        <v>20</v>
      </c>
      <c r="G4949" s="243">
        <v>14</v>
      </c>
      <c r="H4949" s="243">
        <v>38</v>
      </c>
      <c r="I4949" s="243">
        <v>34</v>
      </c>
      <c r="J4949" s="243">
        <v>43</v>
      </c>
      <c r="K4949" s="243">
        <v>55</v>
      </c>
      <c r="L4949" s="243">
        <v>46</v>
      </c>
      <c r="M4949" s="243">
        <v>41</v>
      </c>
      <c r="N4949" s="243">
        <v>31</v>
      </c>
      <c r="O4949" s="253">
        <v>37</v>
      </c>
    </row>
    <row r="4950" spans="1:15">
      <c r="A4950" s="242" t="s">
        <v>67</v>
      </c>
      <c r="B4950" s="43" t="s">
        <v>4</v>
      </c>
      <c r="C4950" s="15">
        <v>17</v>
      </c>
      <c r="D4950" s="244">
        <v>1</v>
      </c>
      <c r="E4950" s="244">
        <v>0</v>
      </c>
      <c r="F4950" s="244">
        <v>3</v>
      </c>
      <c r="G4950" s="244">
        <v>1</v>
      </c>
      <c r="H4950" s="244">
        <v>0</v>
      </c>
      <c r="I4950" s="244">
        <v>2</v>
      </c>
      <c r="J4950" s="244">
        <v>0</v>
      </c>
      <c r="K4950" s="244">
        <v>3</v>
      </c>
      <c r="L4950" s="244">
        <v>1</v>
      </c>
      <c r="M4950" s="244">
        <v>3</v>
      </c>
      <c r="N4950" s="244">
        <v>2</v>
      </c>
      <c r="O4950" s="254">
        <v>1</v>
      </c>
    </row>
    <row r="4951" spans="1:15">
      <c r="A4951" s="240" t="s">
        <v>67</v>
      </c>
      <c r="B4951" s="47" t="s">
        <v>5</v>
      </c>
      <c r="C4951" s="12">
        <v>0.0404761904761905</v>
      </c>
      <c r="D4951" s="241">
        <v>0.03125</v>
      </c>
      <c r="E4951" s="241">
        <v>0</v>
      </c>
      <c r="F4951" s="241">
        <v>0.15</v>
      </c>
      <c r="G4951" s="241">
        <v>0.0714285714285714</v>
      </c>
      <c r="H4951" s="241">
        <v>0</v>
      </c>
      <c r="I4951" s="241">
        <v>0.0588235294117647</v>
      </c>
      <c r="J4951" s="241">
        <v>0</v>
      </c>
      <c r="K4951" s="241">
        <v>0.0545454545454545</v>
      </c>
      <c r="L4951" s="241">
        <v>0.0217391304347826</v>
      </c>
      <c r="M4951" s="241">
        <v>0.0731707317073171</v>
      </c>
      <c r="N4951" s="241">
        <v>0.0645161290322581</v>
      </c>
      <c r="O4951" s="252">
        <v>0.027027027027027</v>
      </c>
    </row>
    <row r="4952" spans="1:15">
      <c r="A4952" s="242" t="s">
        <v>67</v>
      </c>
      <c r="B4952" s="43" t="s">
        <v>6</v>
      </c>
      <c r="C4952" s="15">
        <v>6</v>
      </c>
      <c r="D4952" s="244">
        <v>0</v>
      </c>
      <c r="E4952" s="244">
        <v>1</v>
      </c>
      <c r="F4952" s="244">
        <v>0</v>
      </c>
      <c r="G4952" s="244">
        <v>0</v>
      </c>
      <c r="H4952" s="244">
        <v>1</v>
      </c>
      <c r="I4952" s="244">
        <v>0</v>
      </c>
      <c r="J4952" s="244">
        <v>0</v>
      </c>
      <c r="K4952" s="244">
        <v>1</v>
      </c>
      <c r="L4952" s="244">
        <v>0</v>
      </c>
      <c r="M4952" s="244">
        <v>3</v>
      </c>
      <c r="N4952" s="244">
        <v>0</v>
      </c>
      <c r="O4952" s="254">
        <v>0</v>
      </c>
    </row>
    <row r="4953" ht="14.25" spans="1:15">
      <c r="A4953" s="245" t="s">
        <v>67</v>
      </c>
      <c r="B4953" s="52" t="s">
        <v>64</v>
      </c>
      <c r="C4953" s="19">
        <v>0.352941176470588</v>
      </c>
      <c r="D4953" s="246">
        <v>0</v>
      </c>
      <c r="E4953" s="246">
        <v>0</v>
      </c>
      <c r="F4953" s="246">
        <v>0</v>
      </c>
      <c r="G4953" s="246">
        <v>0</v>
      </c>
      <c r="H4953" s="246">
        <v>0</v>
      </c>
      <c r="I4953" s="246">
        <v>0</v>
      </c>
      <c r="J4953" s="246">
        <v>0</v>
      </c>
      <c r="K4953" s="246">
        <v>0.333333333333333</v>
      </c>
      <c r="L4953" s="246">
        <v>0</v>
      </c>
      <c r="M4953" s="246">
        <v>1</v>
      </c>
      <c r="N4953" s="246">
        <v>0</v>
      </c>
      <c r="O4953" s="255">
        <v>0</v>
      </c>
    </row>
    <row r="4954" spans="1:15">
      <c r="A4954" s="240" t="s">
        <v>68</v>
      </c>
      <c r="B4954" s="47" t="s">
        <v>55</v>
      </c>
      <c r="C4954" s="12">
        <v>0.229605963791267</v>
      </c>
      <c r="D4954" s="241">
        <v>0.296066252587992</v>
      </c>
      <c r="E4954" s="241">
        <v>0.288808664259928</v>
      </c>
      <c r="F4954" s="241">
        <v>0.264044943820225</v>
      </c>
      <c r="G4954" s="241">
        <v>0.305</v>
      </c>
      <c r="H4954" s="241">
        <v>0.254545454545455</v>
      </c>
      <c r="I4954" s="241">
        <v>0.24468085106383</v>
      </c>
      <c r="J4954" s="241">
        <v>0.225641025641026</v>
      </c>
      <c r="K4954" s="241">
        <v>0.140157480314961</v>
      </c>
      <c r="L4954" s="241">
        <v>0.226190476190476</v>
      </c>
      <c r="M4954" s="241">
        <v>0.223277909738717</v>
      </c>
      <c r="N4954" s="241">
        <v>0.232931726907631</v>
      </c>
      <c r="O4954" s="252">
        <v>0.190036900369004</v>
      </c>
    </row>
    <row r="4955" spans="1:15">
      <c r="A4955" s="242" t="s">
        <v>68</v>
      </c>
      <c r="B4955" s="43" t="s">
        <v>57</v>
      </c>
      <c r="C4955" s="15">
        <v>4695</v>
      </c>
      <c r="D4955" s="243">
        <v>483</v>
      </c>
      <c r="E4955" s="243">
        <v>277</v>
      </c>
      <c r="F4955" s="243">
        <v>178</v>
      </c>
      <c r="G4955" s="243">
        <v>200</v>
      </c>
      <c r="H4955" s="243">
        <v>275</v>
      </c>
      <c r="I4955" s="243">
        <v>376</v>
      </c>
      <c r="J4955" s="243">
        <v>390</v>
      </c>
      <c r="K4955" s="243">
        <v>635</v>
      </c>
      <c r="L4955" s="243">
        <v>420</v>
      </c>
      <c r="M4955" s="243">
        <v>421</v>
      </c>
      <c r="N4955" s="243">
        <v>498</v>
      </c>
      <c r="O4955" s="253">
        <v>542</v>
      </c>
    </row>
    <row r="4956" spans="1:15">
      <c r="A4956" s="240" t="s">
        <v>68</v>
      </c>
      <c r="B4956" s="47" t="s">
        <v>59</v>
      </c>
      <c r="C4956" s="15">
        <v>1078</v>
      </c>
      <c r="D4956" s="243">
        <v>143</v>
      </c>
      <c r="E4956" s="243">
        <v>80</v>
      </c>
      <c r="F4956" s="243">
        <v>47</v>
      </c>
      <c r="G4956" s="243">
        <v>61</v>
      </c>
      <c r="H4956" s="243">
        <v>70</v>
      </c>
      <c r="I4956" s="243">
        <v>92</v>
      </c>
      <c r="J4956" s="243">
        <v>88</v>
      </c>
      <c r="K4956" s="243">
        <v>89</v>
      </c>
      <c r="L4956" s="243">
        <v>95</v>
      </c>
      <c r="M4956" s="243">
        <v>94</v>
      </c>
      <c r="N4956" s="243">
        <v>116</v>
      </c>
      <c r="O4956" s="253">
        <v>103</v>
      </c>
    </row>
    <row r="4957" spans="1:15">
      <c r="A4957" s="242" t="s">
        <v>68</v>
      </c>
      <c r="B4957" s="43" t="s">
        <v>4</v>
      </c>
      <c r="C4957" s="15">
        <v>58</v>
      </c>
      <c r="D4957" s="244">
        <v>8</v>
      </c>
      <c r="E4957" s="244">
        <v>2</v>
      </c>
      <c r="F4957" s="244">
        <v>0</v>
      </c>
      <c r="G4957" s="244">
        <v>2</v>
      </c>
      <c r="H4957" s="244">
        <v>3</v>
      </c>
      <c r="I4957" s="244">
        <v>6</v>
      </c>
      <c r="J4957" s="244">
        <v>7</v>
      </c>
      <c r="K4957" s="244">
        <v>5</v>
      </c>
      <c r="L4957" s="244">
        <v>7</v>
      </c>
      <c r="M4957" s="244">
        <v>3</v>
      </c>
      <c r="N4957" s="244">
        <v>7</v>
      </c>
      <c r="O4957" s="254">
        <v>8</v>
      </c>
    </row>
    <row r="4958" spans="1:15">
      <c r="A4958" s="240" t="s">
        <v>68</v>
      </c>
      <c r="B4958" s="47" t="s">
        <v>5</v>
      </c>
      <c r="C4958" s="12">
        <v>0.0538033395176252</v>
      </c>
      <c r="D4958" s="241">
        <v>0.0559440559440559</v>
      </c>
      <c r="E4958" s="241">
        <v>0.025</v>
      </c>
      <c r="F4958" s="241">
        <v>0</v>
      </c>
      <c r="G4958" s="241">
        <v>0.0327868852459016</v>
      </c>
      <c r="H4958" s="241">
        <v>0.0428571428571429</v>
      </c>
      <c r="I4958" s="241">
        <v>0.0652173913043478</v>
      </c>
      <c r="J4958" s="241">
        <v>0.0795454545454545</v>
      </c>
      <c r="K4958" s="241">
        <v>0.0561797752808989</v>
      </c>
      <c r="L4958" s="241">
        <v>0.0736842105263158</v>
      </c>
      <c r="M4958" s="241">
        <v>0.0319148936170213</v>
      </c>
      <c r="N4958" s="241">
        <v>0.0603448275862069</v>
      </c>
      <c r="O4958" s="252">
        <v>0.0776699029126214</v>
      </c>
    </row>
    <row r="4959" spans="1:15">
      <c r="A4959" s="242" t="s">
        <v>68</v>
      </c>
      <c r="B4959" s="43" t="s">
        <v>6</v>
      </c>
      <c r="C4959" s="15">
        <v>20</v>
      </c>
      <c r="D4959" s="244">
        <v>2</v>
      </c>
      <c r="E4959" s="244">
        <v>1</v>
      </c>
      <c r="F4959" s="244">
        <v>0</v>
      </c>
      <c r="G4959" s="244">
        <v>2</v>
      </c>
      <c r="H4959" s="244">
        <v>0</v>
      </c>
      <c r="I4959" s="244">
        <v>1</v>
      </c>
      <c r="J4959" s="244">
        <v>3</v>
      </c>
      <c r="K4959" s="244">
        <v>1</v>
      </c>
      <c r="L4959" s="244">
        <v>3</v>
      </c>
      <c r="M4959" s="244">
        <v>3</v>
      </c>
      <c r="N4959" s="244">
        <v>3</v>
      </c>
      <c r="O4959" s="254">
        <v>1</v>
      </c>
    </row>
    <row r="4960" ht="14.25" spans="1:15">
      <c r="A4960" s="245" t="s">
        <v>68</v>
      </c>
      <c r="B4960" s="52" t="s">
        <v>64</v>
      </c>
      <c r="C4960" s="19">
        <v>0.344827586206897</v>
      </c>
      <c r="D4960" s="246">
        <v>0.25</v>
      </c>
      <c r="E4960" s="246">
        <v>0.5</v>
      </c>
      <c r="F4960" s="246">
        <v>0</v>
      </c>
      <c r="G4960" s="246">
        <v>1</v>
      </c>
      <c r="H4960" s="246">
        <v>0</v>
      </c>
      <c r="I4960" s="246">
        <v>0.166666666666667</v>
      </c>
      <c r="J4960" s="246">
        <v>0.428571428571429</v>
      </c>
      <c r="K4960" s="246">
        <v>0.2</v>
      </c>
      <c r="L4960" s="246">
        <v>0.428571428571429</v>
      </c>
      <c r="M4960" s="246">
        <v>1</v>
      </c>
      <c r="N4960" s="246">
        <v>0.428571428571429</v>
      </c>
      <c r="O4960" s="255">
        <v>0.125</v>
      </c>
    </row>
    <row r="4961" spans="1:15">
      <c r="A4961" s="240" t="s">
        <v>69</v>
      </c>
      <c r="B4961" s="47" t="s">
        <v>55</v>
      </c>
      <c r="C4961" s="12">
        <v>1.3265306122449</v>
      </c>
      <c r="D4961" s="241">
        <v>1.61904761904762</v>
      </c>
      <c r="E4961" s="241">
        <v>1.6</v>
      </c>
      <c r="F4961" s="241">
        <v>1.36363636363636</v>
      </c>
      <c r="G4961" s="241">
        <v>1.75</v>
      </c>
      <c r="H4961" s="241">
        <v>1.28571428571429</v>
      </c>
      <c r="I4961" s="241">
        <v>2.06666666666667</v>
      </c>
      <c r="J4961" s="241">
        <v>1.5</v>
      </c>
      <c r="K4961" s="241">
        <v>1.5</v>
      </c>
      <c r="L4961" s="241">
        <v>1.12</v>
      </c>
      <c r="M4961" s="241">
        <v>1.03703703703704</v>
      </c>
      <c r="N4961" s="241">
        <v>1.33333333333333</v>
      </c>
      <c r="O4961" s="252">
        <v>0.902439024390244</v>
      </c>
    </row>
    <row r="4962" spans="1:15">
      <c r="A4962" s="242" t="s">
        <v>69</v>
      </c>
      <c r="B4962" s="43" t="s">
        <v>57</v>
      </c>
      <c r="C4962" s="15">
        <v>245</v>
      </c>
      <c r="D4962" s="243">
        <v>21</v>
      </c>
      <c r="E4962" s="243">
        <v>10</v>
      </c>
      <c r="F4962" s="243">
        <v>11</v>
      </c>
      <c r="G4962" s="243">
        <v>12</v>
      </c>
      <c r="H4962" s="243">
        <v>21</v>
      </c>
      <c r="I4962" s="243">
        <v>15</v>
      </c>
      <c r="J4962" s="243">
        <v>16</v>
      </c>
      <c r="K4962" s="243">
        <v>16</v>
      </c>
      <c r="L4962" s="243">
        <v>25</v>
      </c>
      <c r="M4962" s="243">
        <v>27</v>
      </c>
      <c r="N4962" s="243">
        <v>30</v>
      </c>
      <c r="O4962" s="253">
        <v>41</v>
      </c>
    </row>
    <row r="4963" spans="1:15">
      <c r="A4963" s="240" t="s">
        <v>69</v>
      </c>
      <c r="B4963" s="47" t="s">
        <v>59</v>
      </c>
      <c r="C4963" s="15">
        <v>325</v>
      </c>
      <c r="D4963" s="243">
        <v>34</v>
      </c>
      <c r="E4963" s="243">
        <v>16</v>
      </c>
      <c r="F4963" s="243">
        <v>15</v>
      </c>
      <c r="G4963" s="243">
        <v>21</v>
      </c>
      <c r="H4963" s="243">
        <v>27</v>
      </c>
      <c r="I4963" s="243">
        <v>31</v>
      </c>
      <c r="J4963" s="243">
        <v>24</v>
      </c>
      <c r="K4963" s="243">
        <v>24</v>
      </c>
      <c r="L4963" s="243">
        <v>28</v>
      </c>
      <c r="M4963" s="243">
        <v>28</v>
      </c>
      <c r="N4963" s="243">
        <v>40</v>
      </c>
      <c r="O4963" s="253">
        <v>37</v>
      </c>
    </row>
    <row r="4964" spans="1:15">
      <c r="A4964" s="242" t="s">
        <v>69</v>
      </c>
      <c r="B4964" s="43" t="s">
        <v>4</v>
      </c>
      <c r="C4964" s="15">
        <v>2</v>
      </c>
      <c r="D4964" s="244">
        <v>0</v>
      </c>
      <c r="E4964" s="244">
        <v>1</v>
      </c>
      <c r="F4964" s="244">
        <v>0</v>
      </c>
      <c r="G4964" s="244">
        <v>0</v>
      </c>
      <c r="H4964" s="244">
        <v>0</v>
      </c>
      <c r="I4964" s="244">
        <v>0</v>
      </c>
      <c r="J4964" s="244">
        <v>0</v>
      </c>
      <c r="K4964" s="244">
        <v>0</v>
      </c>
      <c r="L4964" s="244">
        <v>0</v>
      </c>
      <c r="M4964" s="244">
        <v>0</v>
      </c>
      <c r="N4964" s="244">
        <v>0</v>
      </c>
      <c r="O4964" s="254">
        <v>1</v>
      </c>
    </row>
    <row r="4965" spans="1:15">
      <c r="A4965" s="240" t="s">
        <v>69</v>
      </c>
      <c r="B4965" s="47" t="s">
        <v>5</v>
      </c>
      <c r="C4965" s="12">
        <v>0.00615384615384615</v>
      </c>
      <c r="D4965" s="241">
        <v>0</v>
      </c>
      <c r="E4965" s="241">
        <v>0.0625</v>
      </c>
      <c r="F4965" s="241">
        <v>0</v>
      </c>
      <c r="G4965" s="241">
        <v>0</v>
      </c>
      <c r="H4965" s="241">
        <v>0</v>
      </c>
      <c r="I4965" s="241">
        <v>0</v>
      </c>
      <c r="J4965" s="241">
        <v>0</v>
      </c>
      <c r="K4965" s="241">
        <v>0</v>
      </c>
      <c r="L4965" s="241">
        <v>0</v>
      </c>
      <c r="M4965" s="241">
        <v>0</v>
      </c>
      <c r="N4965" s="241">
        <v>0</v>
      </c>
      <c r="O4965" s="252">
        <v>0.027027027027027</v>
      </c>
    </row>
    <row r="4966" spans="1:15">
      <c r="A4966" s="242" t="s">
        <v>69</v>
      </c>
      <c r="B4966" s="43" t="s">
        <v>6</v>
      </c>
      <c r="C4966" s="15">
        <v>3</v>
      </c>
      <c r="D4966" s="244">
        <v>1</v>
      </c>
      <c r="E4966" s="244">
        <v>0</v>
      </c>
      <c r="F4966" s="244">
        <v>0</v>
      </c>
      <c r="G4966" s="244">
        <v>0</v>
      </c>
      <c r="H4966" s="244">
        <v>0</v>
      </c>
      <c r="I4966" s="244">
        <v>1</v>
      </c>
      <c r="J4966" s="244">
        <v>0</v>
      </c>
      <c r="K4966" s="244">
        <v>0</v>
      </c>
      <c r="L4966" s="244">
        <v>0</v>
      </c>
      <c r="M4966" s="244">
        <v>0</v>
      </c>
      <c r="N4966" s="244">
        <v>0</v>
      </c>
      <c r="O4966" s="254">
        <v>1</v>
      </c>
    </row>
    <row r="4967" ht="14.25" spans="1:15">
      <c r="A4967" s="245" t="s">
        <v>69</v>
      </c>
      <c r="B4967" s="52" t="s">
        <v>64</v>
      </c>
      <c r="C4967" s="19">
        <v>1.5</v>
      </c>
      <c r="D4967" s="246">
        <v>0</v>
      </c>
      <c r="E4967" s="246">
        <v>0</v>
      </c>
      <c r="F4967" s="246">
        <v>0</v>
      </c>
      <c r="G4967" s="246">
        <v>0</v>
      </c>
      <c r="H4967" s="246">
        <v>0</v>
      </c>
      <c r="I4967" s="246">
        <v>0</v>
      </c>
      <c r="J4967" s="246">
        <v>0</v>
      </c>
      <c r="K4967" s="246">
        <v>0</v>
      </c>
      <c r="L4967" s="246">
        <v>0</v>
      </c>
      <c r="M4967" s="246">
        <v>0</v>
      </c>
      <c r="N4967" s="246">
        <v>0</v>
      </c>
      <c r="O4967" s="255">
        <v>1</v>
      </c>
    </row>
    <row r="4968" spans="1:15">
      <c r="A4968" s="240" t="s">
        <v>70</v>
      </c>
      <c r="B4968" s="47" t="s">
        <v>55</v>
      </c>
      <c r="C4968" s="12">
        <v>0.411358403683807</v>
      </c>
      <c r="D4968" s="241">
        <v>0.491638795986622</v>
      </c>
      <c r="E4968" s="241">
        <v>0.4</v>
      </c>
      <c r="F4968" s="241">
        <v>0.488</v>
      </c>
      <c r="G4968" s="241">
        <v>0.464566929133858</v>
      </c>
      <c r="H4968" s="241">
        <v>0.452830188679245</v>
      </c>
      <c r="I4968" s="241">
        <v>0.440528634361233</v>
      </c>
      <c r="J4968" s="241">
        <v>0.433497536945813</v>
      </c>
      <c r="K4968" s="241">
        <v>0.382239382239382</v>
      </c>
      <c r="L4968" s="241">
        <v>0.362204724409449</v>
      </c>
      <c r="M4968" s="241">
        <v>0.365591397849462</v>
      </c>
      <c r="N4968" s="241">
        <v>0.395759717314488</v>
      </c>
      <c r="O4968" s="252">
        <v>0.338557993730408</v>
      </c>
    </row>
    <row r="4969" spans="1:15">
      <c r="A4969" s="242" t="s">
        <v>70</v>
      </c>
      <c r="B4969" s="43" t="s">
        <v>57</v>
      </c>
      <c r="C4969" s="15">
        <v>2606</v>
      </c>
      <c r="D4969" s="243">
        <v>299</v>
      </c>
      <c r="E4969" s="243">
        <v>165</v>
      </c>
      <c r="F4969" s="243">
        <v>125</v>
      </c>
      <c r="G4969" s="243">
        <v>127</v>
      </c>
      <c r="H4969" s="243">
        <v>159</v>
      </c>
      <c r="I4969" s="243">
        <v>227</v>
      </c>
      <c r="J4969" s="243">
        <v>203</v>
      </c>
      <c r="K4969" s="243">
        <v>259</v>
      </c>
      <c r="L4969" s="243">
        <v>254</v>
      </c>
      <c r="M4969" s="243">
        <v>186</v>
      </c>
      <c r="N4969" s="243">
        <v>283</v>
      </c>
      <c r="O4969" s="253">
        <v>319</v>
      </c>
    </row>
    <row r="4970" spans="1:15">
      <c r="A4970" s="240" t="s">
        <v>70</v>
      </c>
      <c r="B4970" s="47" t="s">
        <v>59</v>
      </c>
      <c r="C4970" s="15">
        <v>1072</v>
      </c>
      <c r="D4970" s="243">
        <v>147</v>
      </c>
      <c r="E4970" s="243">
        <v>66</v>
      </c>
      <c r="F4970" s="243">
        <v>61</v>
      </c>
      <c r="G4970" s="243">
        <v>59</v>
      </c>
      <c r="H4970" s="243">
        <v>72</v>
      </c>
      <c r="I4970" s="243">
        <v>100</v>
      </c>
      <c r="J4970" s="243">
        <v>88</v>
      </c>
      <c r="K4970" s="243">
        <v>99</v>
      </c>
      <c r="L4970" s="243">
        <v>92</v>
      </c>
      <c r="M4970" s="243">
        <v>68</v>
      </c>
      <c r="N4970" s="243">
        <v>112</v>
      </c>
      <c r="O4970" s="253">
        <v>108</v>
      </c>
    </row>
    <row r="4971" spans="1:15">
      <c r="A4971" s="242" t="s">
        <v>70</v>
      </c>
      <c r="B4971" s="43" t="s">
        <v>4</v>
      </c>
      <c r="C4971" s="15">
        <v>102</v>
      </c>
      <c r="D4971" s="244">
        <v>14</v>
      </c>
      <c r="E4971" s="244">
        <v>9</v>
      </c>
      <c r="F4971" s="244">
        <v>4</v>
      </c>
      <c r="G4971" s="244">
        <v>2</v>
      </c>
      <c r="H4971" s="244">
        <v>9</v>
      </c>
      <c r="I4971" s="244">
        <v>9</v>
      </c>
      <c r="J4971" s="244">
        <v>3</v>
      </c>
      <c r="K4971" s="244">
        <v>10</v>
      </c>
      <c r="L4971" s="244">
        <v>14</v>
      </c>
      <c r="M4971" s="244">
        <v>4</v>
      </c>
      <c r="N4971" s="244">
        <v>9</v>
      </c>
      <c r="O4971" s="254">
        <v>15</v>
      </c>
    </row>
    <row r="4972" spans="1:15">
      <c r="A4972" s="240" t="s">
        <v>70</v>
      </c>
      <c r="B4972" s="47" t="s">
        <v>5</v>
      </c>
      <c r="C4972" s="12">
        <v>0.0951492537313433</v>
      </c>
      <c r="D4972" s="241">
        <v>0.0952380952380952</v>
      </c>
      <c r="E4972" s="241">
        <v>0.136363636363636</v>
      </c>
      <c r="F4972" s="241">
        <v>0.0655737704918033</v>
      </c>
      <c r="G4972" s="241">
        <v>0.0338983050847458</v>
      </c>
      <c r="H4972" s="241">
        <v>0.125</v>
      </c>
      <c r="I4972" s="241">
        <v>0.09</v>
      </c>
      <c r="J4972" s="241">
        <v>0.0340909090909091</v>
      </c>
      <c r="K4972" s="241">
        <v>0.101010101010101</v>
      </c>
      <c r="L4972" s="241">
        <v>0.152173913043478</v>
      </c>
      <c r="M4972" s="241">
        <v>0.0588235294117647</v>
      </c>
      <c r="N4972" s="241">
        <v>0.0803571428571429</v>
      </c>
      <c r="O4972" s="252">
        <v>0.138888888888889</v>
      </c>
    </row>
    <row r="4973" spans="1:15">
      <c r="A4973" s="242" t="s">
        <v>70</v>
      </c>
      <c r="B4973" s="43" t="s">
        <v>6</v>
      </c>
      <c r="C4973" s="15">
        <v>44</v>
      </c>
      <c r="D4973" s="244">
        <v>4</v>
      </c>
      <c r="E4973" s="244">
        <v>7</v>
      </c>
      <c r="F4973" s="244">
        <v>2</v>
      </c>
      <c r="G4973" s="244">
        <v>1</v>
      </c>
      <c r="H4973" s="244">
        <v>2</v>
      </c>
      <c r="I4973" s="244">
        <v>2</v>
      </c>
      <c r="J4973" s="244">
        <v>2</v>
      </c>
      <c r="K4973" s="244">
        <v>3</v>
      </c>
      <c r="L4973" s="244">
        <v>12</v>
      </c>
      <c r="M4973" s="244">
        <v>4</v>
      </c>
      <c r="N4973" s="244">
        <v>4</v>
      </c>
      <c r="O4973" s="254">
        <v>1</v>
      </c>
    </row>
    <row r="4974" ht="14.25" spans="1:15">
      <c r="A4974" s="245" t="s">
        <v>70</v>
      </c>
      <c r="B4974" s="52" t="s">
        <v>64</v>
      </c>
      <c r="C4974" s="19">
        <v>0.431372549019608</v>
      </c>
      <c r="D4974" s="246">
        <v>0.285714285714286</v>
      </c>
      <c r="E4974" s="246">
        <v>0.777777777777778</v>
      </c>
      <c r="F4974" s="246">
        <v>0.5</v>
      </c>
      <c r="G4974" s="246">
        <v>0.5</v>
      </c>
      <c r="H4974" s="246">
        <v>0.222222222222222</v>
      </c>
      <c r="I4974" s="246">
        <v>0.222222222222222</v>
      </c>
      <c r="J4974" s="246">
        <v>0.666666666666667</v>
      </c>
      <c r="K4974" s="246">
        <v>0.3</v>
      </c>
      <c r="L4974" s="246">
        <v>0.857142857142857</v>
      </c>
      <c r="M4974" s="246">
        <v>1</v>
      </c>
      <c r="N4974" s="246">
        <v>0.444444444444444</v>
      </c>
      <c r="O4974" s="255">
        <v>0.0666666666666667</v>
      </c>
    </row>
    <row r="4975" spans="1:15">
      <c r="A4975" s="240" t="s">
        <v>26</v>
      </c>
      <c r="B4975" s="47" t="s">
        <v>55</v>
      </c>
      <c r="C4975" s="12">
        <v>36</v>
      </c>
      <c r="D4975" s="241" t="e">
        <v>#DIV/0!</v>
      </c>
      <c r="E4975" s="241" t="e">
        <v>#DIV/0!</v>
      </c>
      <c r="F4975" s="241" t="e">
        <v>#DIV/0!</v>
      </c>
      <c r="G4975" s="241" t="e">
        <v>#DIV/0!</v>
      </c>
      <c r="H4975" s="241" t="e">
        <v>#DIV/0!</v>
      </c>
      <c r="I4975" s="241">
        <v>5.5</v>
      </c>
      <c r="J4975" s="241" t="e">
        <v>#DIV/0!</v>
      </c>
      <c r="K4975" s="241" t="e">
        <v>#DIV/0!</v>
      </c>
      <c r="L4975" s="241" t="e">
        <v>#DIV/0!</v>
      </c>
      <c r="M4975" s="241" t="e">
        <v>#DIV/0!</v>
      </c>
      <c r="N4975" s="241">
        <v>12</v>
      </c>
      <c r="O4975" s="252" t="e">
        <v>#DIV/0!</v>
      </c>
    </row>
    <row r="4976" spans="1:15">
      <c r="A4976" s="242" t="s">
        <v>26</v>
      </c>
      <c r="B4976" s="43" t="s">
        <v>57</v>
      </c>
      <c r="C4976" s="15">
        <v>3</v>
      </c>
      <c r="D4976" s="243">
        <v>0</v>
      </c>
      <c r="E4976" s="243">
        <v>0</v>
      </c>
      <c r="F4976" s="243">
        <v>0</v>
      </c>
      <c r="G4976" s="243">
        <v>0</v>
      </c>
      <c r="H4976" s="243">
        <v>0</v>
      </c>
      <c r="I4976" s="243">
        <v>2</v>
      </c>
      <c r="J4976" s="243">
        <v>0</v>
      </c>
      <c r="K4976" s="243">
        <v>0</v>
      </c>
      <c r="L4976" s="243">
        <v>0</v>
      </c>
      <c r="M4976" s="243">
        <v>0</v>
      </c>
      <c r="N4976" s="243">
        <v>1</v>
      </c>
      <c r="O4976" s="253">
        <v>0</v>
      </c>
    </row>
    <row r="4977" spans="1:15">
      <c r="A4977" s="240" t="s">
        <v>26</v>
      </c>
      <c r="B4977" s="47" t="s">
        <v>59</v>
      </c>
      <c r="C4977" s="15">
        <v>108</v>
      </c>
      <c r="D4977" s="243">
        <v>13</v>
      </c>
      <c r="E4977" s="243">
        <v>4</v>
      </c>
      <c r="F4977" s="243">
        <v>4</v>
      </c>
      <c r="G4977" s="243">
        <v>3</v>
      </c>
      <c r="H4977" s="243">
        <v>9</v>
      </c>
      <c r="I4977" s="243">
        <v>11</v>
      </c>
      <c r="J4977" s="243">
        <v>12</v>
      </c>
      <c r="K4977" s="243">
        <v>13</v>
      </c>
      <c r="L4977" s="243">
        <v>6</v>
      </c>
      <c r="M4977" s="243">
        <v>13</v>
      </c>
      <c r="N4977" s="243">
        <v>12</v>
      </c>
      <c r="O4977" s="253">
        <v>8</v>
      </c>
    </row>
    <row r="4978" spans="1:15">
      <c r="A4978" s="242" t="s">
        <v>26</v>
      </c>
      <c r="B4978" s="43" t="s">
        <v>4</v>
      </c>
      <c r="C4978" s="15">
        <v>1</v>
      </c>
      <c r="D4978" s="244">
        <v>1</v>
      </c>
      <c r="E4978" s="244">
        <v>0</v>
      </c>
      <c r="F4978" s="244">
        <v>0</v>
      </c>
      <c r="G4978" s="244">
        <v>0</v>
      </c>
      <c r="H4978" s="244">
        <v>0</v>
      </c>
      <c r="I4978" s="244">
        <v>0</v>
      </c>
      <c r="J4978" s="244">
        <v>0</v>
      </c>
      <c r="K4978" s="244">
        <v>0</v>
      </c>
      <c r="L4978" s="244">
        <v>0</v>
      </c>
      <c r="M4978" s="244">
        <v>0</v>
      </c>
      <c r="N4978" s="244">
        <v>0</v>
      </c>
      <c r="O4978" s="254">
        <v>0</v>
      </c>
    </row>
    <row r="4979" spans="1:15">
      <c r="A4979" s="240" t="s">
        <v>26</v>
      </c>
      <c r="B4979" s="47" t="s">
        <v>5</v>
      </c>
      <c r="C4979" s="12">
        <v>0.00925925925925926</v>
      </c>
      <c r="D4979" s="241">
        <v>0.0769230769230769</v>
      </c>
      <c r="E4979" s="241">
        <v>0</v>
      </c>
      <c r="F4979" s="241">
        <v>0</v>
      </c>
      <c r="G4979" s="241">
        <v>0</v>
      </c>
      <c r="H4979" s="241">
        <v>0</v>
      </c>
      <c r="I4979" s="241">
        <v>0</v>
      </c>
      <c r="J4979" s="241">
        <v>0</v>
      </c>
      <c r="K4979" s="241">
        <v>0</v>
      </c>
      <c r="L4979" s="241">
        <v>0</v>
      </c>
      <c r="M4979" s="241">
        <v>0</v>
      </c>
      <c r="N4979" s="241">
        <v>0</v>
      </c>
      <c r="O4979" s="252">
        <v>0</v>
      </c>
    </row>
    <row r="4980" spans="1:15">
      <c r="A4980" s="242" t="s">
        <v>26</v>
      </c>
      <c r="B4980" s="43" t="s">
        <v>6</v>
      </c>
      <c r="C4980" s="15">
        <v>3</v>
      </c>
      <c r="D4980" s="244">
        <v>0</v>
      </c>
      <c r="E4980" s="244">
        <v>0</v>
      </c>
      <c r="F4980" s="244">
        <v>0</v>
      </c>
      <c r="G4980" s="244">
        <v>1</v>
      </c>
      <c r="H4980" s="244">
        <v>0</v>
      </c>
      <c r="I4980" s="244">
        <v>2</v>
      </c>
      <c r="J4980" s="244">
        <v>0</v>
      </c>
      <c r="K4980" s="244">
        <v>0</v>
      </c>
      <c r="L4980" s="244">
        <v>0</v>
      </c>
      <c r="M4980" s="244">
        <v>0</v>
      </c>
      <c r="N4980" s="244">
        <v>0</v>
      </c>
      <c r="O4980" s="254">
        <v>0</v>
      </c>
    </row>
    <row r="4981" ht="14.25" spans="1:15">
      <c r="A4981" s="245" t="s">
        <v>26</v>
      </c>
      <c r="B4981" s="52" t="s">
        <v>64</v>
      </c>
      <c r="C4981" s="19">
        <v>3</v>
      </c>
      <c r="D4981" s="19">
        <v>0</v>
      </c>
      <c r="E4981" s="19" t="e">
        <v>#DIV/0!</v>
      </c>
      <c r="F4981" s="19" t="e">
        <v>#DIV/0!</v>
      </c>
      <c r="G4981" s="19" t="e">
        <v>#DIV/0!</v>
      </c>
      <c r="H4981" s="19" t="e">
        <v>#DIV/0!</v>
      </c>
      <c r="I4981" s="19" t="e">
        <v>#DIV/0!</v>
      </c>
      <c r="J4981" s="19" t="e">
        <v>#DIV/0!</v>
      </c>
      <c r="K4981" s="19" t="e">
        <v>#DIV/0!</v>
      </c>
      <c r="L4981" s="19" t="e">
        <v>#DIV/0!</v>
      </c>
      <c r="M4981" s="19" t="e">
        <v>#DIV/0!</v>
      </c>
      <c r="N4981" s="19" t="e">
        <v>#DIV/0!</v>
      </c>
      <c r="O4981" s="19" t="e">
        <v>#DIV/0!</v>
      </c>
    </row>
    <row r="4982" spans="1:15">
      <c r="A4982" s="240" t="s">
        <v>71</v>
      </c>
      <c r="B4982" s="47" t="s">
        <v>55</v>
      </c>
      <c r="C4982" s="12">
        <v>685</v>
      </c>
      <c r="D4982" s="241" t="e">
        <v>#DIV/0!</v>
      </c>
      <c r="E4982" s="241" t="e">
        <v>#DIV/0!</v>
      </c>
      <c r="F4982" s="241">
        <v>34</v>
      </c>
      <c r="G4982" s="241" t="e">
        <v>#DIV/0!</v>
      </c>
      <c r="H4982" s="241" t="e">
        <v>#DIV/0!</v>
      </c>
      <c r="I4982" s="241" t="e">
        <v>#DIV/0!</v>
      </c>
      <c r="J4982" s="241" t="e">
        <v>#DIV/0!</v>
      </c>
      <c r="K4982" s="241" t="e">
        <v>#DIV/0!</v>
      </c>
      <c r="L4982" s="241" t="e">
        <v>#DIV/0!</v>
      </c>
      <c r="M4982" s="241" t="e">
        <v>#DIV/0!</v>
      </c>
      <c r="N4982" s="241" t="e">
        <v>#DIV/0!</v>
      </c>
      <c r="O4982" s="252" t="e">
        <v>#DIV/0!</v>
      </c>
    </row>
    <row r="4983" spans="1:15">
      <c r="A4983" s="242" t="s">
        <v>71</v>
      </c>
      <c r="B4983" s="43" t="s">
        <v>57</v>
      </c>
      <c r="C4983" s="15">
        <v>1</v>
      </c>
      <c r="D4983" s="243">
        <v>0</v>
      </c>
      <c r="E4983" s="243">
        <v>0</v>
      </c>
      <c r="F4983" s="243">
        <v>1</v>
      </c>
      <c r="G4983" s="243">
        <v>0</v>
      </c>
      <c r="H4983" s="243">
        <v>0</v>
      </c>
      <c r="I4983" s="243">
        <v>0</v>
      </c>
      <c r="J4983" s="243">
        <v>0</v>
      </c>
      <c r="K4983" s="243">
        <v>0</v>
      </c>
      <c r="L4983" s="243">
        <v>0</v>
      </c>
      <c r="M4983" s="243">
        <v>0</v>
      </c>
      <c r="N4983" s="243">
        <v>0</v>
      </c>
      <c r="O4983" s="253">
        <v>0</v>
      </c>
    </row>
    <row r="4984" spans="1:15">
      <c r="A4984" s="240" t="s">
        <v>71</v>
      </c>
      <c r="B4984" s="47" t="s">
        <v>59</v>
      </c>
      <c r="C4984" s="15">
        <v>685</v>
      </c>
      <c r="D4984" s="243">
        <v>60</v>
      </c>
      <c r="E4984" s="243">
        <v>45</v>
      </c>
      <c r="F4984" s="243">
        <v>34</v>
      </c>
      <c r="G4984" s="243">
        <v>27</v>
      </c>
      <c r="H4984" s="243">
        <v>64</v>
      </c>
      <c r="I4984" s="243">
        <v>45</v>
      </c>
      <c r="J4984" s="243">
        <v>59</v>
      </c>
      <c r="K4984" s="243">
        <v>60</v>
      </c>
      <c r="L4984" s="243">
        <v>58</v>
      </c>
      <c r="M4984" s="243">
        <v>74</v>
      </c>
      <c r="N4984" s="243">
        <v>77</v>
      </c>
      <c r="O4984" s="253">
        <v>82</v>
      </c>
    </row>
    <row r="4985" spans="1:15">
      <c r="A4985" s="242" t="s">
        <v>71</v>
      </c>
      <c r="B4985" s="43" t="s">
        <v>4</v>
      </c>
      <c r="C4985" s="15">
        <v>41</v>
      </c>
      <c r="D4985" s="244">
        <v>4</v>
      </c>
      <c r="E4985" s="244">
        <v>4</v>
      </c>
      <c r="F4985" s="244">
        <v>3</v>
      </c>
      <c r="G4985" s="244">
        <v>2</v>
      </c>
      <c r="H4985" s="244">
        <v>5</v>
      </c>
      <c r="I4985" s="244">
        <v>2</v>
      </c>
      <c r="J4985" s="244">
        <v>2</v>
      </c>
      <c r="K4985" s="244">
        <v>3</v>
      </c>
      <c r="L4985" s="244">
        <v>2</v>
      </c>
      <c r="M4985" s="244">
        <v>7</v>
      </c>
      <c r="N4985" s="244">
        <v>2</v>
      </c>
      <c r="O4985" s="254">
        <v>5</v>
      </c>
    </row>
    <row r="4986" spans="1:15">
      <c r="A4986" s="240" t="s">
        <v>71</v>
      </c>
      <c r="B4986" s="47" t="s">
        <v>5</v>
      </c>
      <c r="C4986" s="241">
        <v>0.0598540145985401</v>
      </c>
      <c r="D4986" s="241">
        <v>0.0666666666666667</v>
      </c>
      <c r="E4986" s="241">
        <v>0.0888888888888889</v>
      </c>
      <c r="F4986" s="241">
        <v>0.0882352941176471</v>
      </c>
      <c r="G4986" s="241">
        <v>0.0740740740740741</v>
      </c>
      <c r="H4986" s="241">
        <v>0.078125</v>
      </c>
      <c r="I4986" s="241">
        <v>0.0444444444444444</v>
      </c>
      <c r="J4986" s="241">
        <v>0.0338983050847458</v>
      </c>
      <c r="K4986" s="241">
        <v>0.05</v>
      </c>
      <c r="L4986" s="241">
        <v>0.0344827586206897</v>
      </c>
      <c r="M4986" s="241">
        <v>0.0945945945945946</v>
      </c>
      <c r="N4986" s="241">
        <v>0.025974025974026</v>
      </c>
      <c r="O4986" s="252">
        <v>0.0609756097560976</v>
      </c>
    </row>
    <row r="4987" spans="1:15">
      <c r="A4987" s="242" t="s">
        <v>71</v>
      </c>
      <c r="B4987" s="43" t="s">
        <v>6</v>
      </c>
      <c r="C4987" s="15">
        <v>10</v>
      </c>
      <c r="D4987" s="244">
        <v>0</v>
      </c>
      <c r="E4987" s="244">
        <v>1</v>
      </c>
      <c r="F4987" s="244">
        <v>1</v>
      </c>
      <c r="G4987" s="244">
        <v>1</v>
      </c>
      <c r="H4987" s="244">
        <v>2</v>
      </c>
      <c r="I4987" s="244">
        <v>0</v>
      </c>
      <c r="J4987" s="244">
        <v>1</v>
      </c>
      <c r="K4987" s="244">
        <v>0</v>
      </c>
      <c r="L4987" s="244">
        <v>0</v>
      </c>
      <c r="M4987" s="244">
        <v>3</v>
      </c>
      <c r="N4987" s="244">
        <v>0</v>
      </c>
      <c r="O4987" s="254">
        <v>1</v>
      </c>
    </row>
    <row r="4988" ht="14.25" spans="1:15">
      <c r="A4988" s="245" t="s">
        <v>71</v>
      </c>
      <c r="B4988" s="52" t="s">
        <v>64</v>
      </c>
      <c r="C4988" s="19">
        <v>0.24390243902439</v>
      </c>
      <c r="D4988" s="19">
        <v>0</v>
      </c>
      <c r="E4988" s="19">
        <v>0.25</v>
      </c>
      <c r="F4988" s="19">
        <v>0.333333333333333</v>
      </c>
      <c r="G4988" s="19">
        <v>0.5</v>
      </c>
      <c r="H4988" s="19">
        <v>0.4</v>
      </c>
      <c r="I4988" s="19">
        <v>0</v>
      </c>
      <c r="J4988" s="19">
        <v>0.5</v>
      </c>
      <c r="K4988" s="19">
        <v>0</v>
      </c>
      <c r="L4988" s="19">
        <v>0</v>
      </c>
      <c r="M4988" s="19">
        <v>0.428571428571429</v>
      </c>
      <c r="N4988" s="19">
        <v>0</v>
      </c>
      <c r="O4988" s="19">
        <v>0.2</v>
      </c>
    </row>
    <row r="4989" spans="1:15">
      <c r="A4989" s="240" t="s">
        <v>72</v>
      </c>
      <c r="B4989" s="47" t="s">
        <v>55</v>
      </c>
      <c r="C4989" s="12">
        <v>0.154604526103518</v>
      </c>
      <c r="D4989" s="241">
        <v>0.171974522292994</v>
      </c>
      <c r="E4989" s="241">
        <v>0.192139737991266</v>
      </c>
      <c r="F4989" s="241">
        <v>0.19047619047619</v>
      </c>
      <c r="G4989" s="241">
        <v>0.228723404255319</v>
      </c>
      <c r="H4989" s="241">
        <v>0.197132616487455</v>
      </c>
      <c r="I4989" s="241">
        <v>0.167664670658683</v>
      </c>
      <c r="J4989" s="241">
        <v>0.124031007751938</v>
      </c>
      <c r="K4989" s="241">
        <v>0.147971360381862</v>
      </c>
      <c r="L4989" s="241">
        <v>0.120728929384966</v>
      </c>
      <c r="M4989" s="241">
        <v>0.198453608247423</v>
      </c>
      <c r="N4989" s="241">
        <v>0.1089258698941</v>
      </c>
      <c r="O4989" s="252">
        <v>0.134</v>
      </c>
    </row>
    <row r="4990" spans="1:15">
      <c r="A4990" s="242" t="s">
        <v>72</v>
      </c>
      <c r="B4990" s="43" t="s">
        <v>57</v>
      </c>
      <c r="C4990" s="15">
        <v>4463</v>
      </c>
      <c r="D4990" s="243">
        <v>471</v>
      </c>
      <c r="E4990" s="243">
        <v>229</v>
      </c>
      <c r="F4990" s="243">
        <v>168</v>
      </c>
      <c r="G4990" s="243">
        <v>188</v>
      </c>
      <c r="H4990" s="243">
        <v>279</v>
      </c>
      <c r="I4990" s="243">
        <v>334</v>
      </c>
      <c r="J4990" s="243">
        <v>387</v>
      </c>
      <c r="K4990" s="243">
        <v>419</v>
      </c>
      <c r="L4990" s="243">
        <v>439</v>
      </c>
      <c r="M4990" s="243">
        <v>388</v>
      </c>
      <c r="N4990" s="243">
        <v>661</v>
      </c>
      <c r="O4990" s="253">
        <v>500</v>
      </c>
    </row>
    <row r="4991" spans="1:15">
      <c r="A4991" s="240" t="s">
        <v>72</v>
      </c>
      <c r="B4991" s="47" t="s">
        <v>59</v>
      </c>
      <c r="C4991" s="15">
        <v>690</v>
      </c>
      <c r="D4991" s="243">
        <v>81</v>
      </c>
      <c r="E4991" s="243">
        <v>44</v>
      </c>
      <c r="F4991" s="243">
        <v>32</v>
      </c>
      <c r="G4991" s="243">
        <v>43</v>
      </c>
      <c r="H4991" s="243">
        <v>55</v>
      </c>
      <c r="I4991" s="243">
        <v>56</v>
      </c>
      <c r="J4991" s="243">
        <v>48</v>
      </c>
      <c r="K4991" s="243">
        <v>62</v>
      </c>
      <c r="L4991" s="243">
        <v>53</v>
      </c>
      <c r="M4991" s="243">
        <v>77</v>
      </c>
      <c r="N4991" s="243">
        <v>72</v>
      </c>
      <c r="O4991" s="253">
        <v>67</v>
      </c>
    </row>
    <row r="4992" spans="1:15">
      <c r="A4992" s="242" t="s">
        <v>72</v>
      </c>
      <c r="B4992" s="43" t="s">
        <v>4</v>
      </c>
      <c r="C4992" s="15">
        <v>40</v>
      </c>
      <c r="D4992" s="244">
        <v>3</v>
      </c>
      <c r="E4992" s="244">
        <v>4</v>
      </c>
      <c r="F4992" s="244">
        <v>1</v>
      </c>
      <c r="G4992" s="244">
        <v>1</v>
      </c>
      <c r="H4992" s="244">
        <v>1</v>
      </c>
      <c r="I4992" s="244">
        <v>5</v>
      </c>
      <c r="J4992" s="244">
        <v>3</v>
      </c>
      <c r="K4992" s="244">
        <v>3</v>
      </c>
      <c r="L4992" s="244">
        <v>3</v>
      </c>
      <c r="M4992" s="244">
        <v>5</v>
      </c>
      <c r="N4992" s="244">
        <v>4</v>
      </c>
      <c r="O4992" s="254">
        <v>7</v>
      </c>
    </row>
    <row r="4993" spans="1:15">
      <c r="A4993" s="240" t="s">
        <v>72</v>
      </c>
      <c r="B4993" s="47" t="s">
        <v>5</v>
      </c>
      <c r="C4993" s="12">
        <v>0.0579710144927536</v>
      </c>
      <c r="D4993" s="241">
        <v>0.037037037037037</v>
      </c>
      <c r="E4993" s="241">
        <v>0.0909090909090909</v>
      </c>
      <c r="F4993" s="241">
        <v>0.03125</v>
      </c>
      <c r="G4993" s="241">
        <v>0.0232558139534884</v>
      </c>
      <c r="H4993" s="241">
        <v>0.0181818181818182</v>
      </c>
      <c r="I4993" s="241">
        <v>0.0892857142857143</v>
      </c>
      <c r="J4993" s="241">
        <v>0.0625</v>
      </c>
      <c r="K4993" s="241">
        <v>0.0483870967741935</v>
      </c>
      <c r="L4993" s="241">
        <v>0.0566037735849057</v>
      </c>
      <c r="M4993" s="241">
        <v>0.0649350649350649</v>
      </c>
      <c r="N4993" s="241">
        <v>0.0555555555555556</v>
      </c>
      <c r="O4993" s="252">
        <v>0.104477611940299</v>
      </c>
    </row>
    <row r="4994" spans="1:15">
      <c r="A4994" s="242" t="s">
        <v>72</v>
      </c>
      <c r="B4994" s="43" t="s">
        <v>6</v>
      </c>
      <c r="C4994" s="15">
        <v>8</v>
      </c>
      <c r="D4994" s="244">
        <v>2</v>
      </c>
      <c r="E4994" s="244">
        <v>1</v>
      </c>
      <c r="F4994" s="244">
        <v>0</v>
      </c>
      <c r="G4994" s="244">
        <v>0</v>
      </c>
      <c r="H4994" s="244">
        <v>0</v>
      </c>
      <c r="I4994" s="244">
        <v>0</v>
      </c>
      <c r="J4994" s="244">
        <v>1</v>
      </c>
      <c r="K4994" s="244">
        <v>1</v>
      </c>
      <c r="L4994" s="244">
        <v>0</v>
      </c>
      <c r="M4994" s="244">
        <v>1</v>
      </c>
      <c r="N4994" s="244">
        <v>1</v>
      </c>
      <c r="O4994" s="254">
        <v>1</v>
      </c>
    </row>
    <row r="4995" ht="14.25" spans="1:15">
      <c r="A4995" s="245" t="s">
        <v>72</v>
      </c>
      <c r="B4995" s="52" t="s">
        <v>64</v>
      </c>
      <c r="C4995" s="19">
        <v>0.2</v>
      </c>
      <c r="D4995" s="19">
        <v>0.666666666666667</v>
      </c>
      <c r="E4995" s="19">
        <v>0.25</v>
      </c>
      <c r="F4995" s="19">
        <v>0</v>
      </c>
      <c r="G4995" s="19">
        <v>0</v>
      </c>
      <c r="H4995" s="19">
        <v>0</v>
      </c>
      <c r="I4995" s="19">
        <v>0</v>
      </c>
      <c r="J4995" s="19">
        <v>0.333333333333333</v>
      </c>
      <c r="K4995" s="19">
        <v>0.333333333333333</v>
      </c>
      <c r="L4995" s="19">
        <v>0</v>
      </c>
      <c r="M4995" s="19">
        <v>0.2</v>
      </c>
      <c r="N4995" s="19">
        <v>0.25</v>
      </c>
      <c r="O4995" s="19">
        <v>0.142857142857143</v>
      </c>
    </row>
    <row r="4996" ht="14.25" spans="1:15">
      <c r="A4996" s="237">
        <v>45096</v>
      </c>
      <c r="B4996" s="237"/>
      <c r="C4996" s="237"/>
      <c r="D4996" s="237"/>
      <c r="E4996" s="237"/>
      <c r="F4996" s="237"/>
      <c r="G4996" s="237"/>
      <c r="H4996" s="237"/>
      <c r="I4996" s="237"/>
      <c r="J4996" s="237"/>
      <c r="K4996" s="237"/>
      <c r="L4996" s="237"/>
      <c r="M4996" s="237"/>
      <c r="N4996" s="237"/>
      <c r="O4996" s="237"/>
    </row>
    <row r="4997" spans="1:15">
      <c r="A4997" s="56" t="s">
        <v>1</v>
      </c>
      <c r="B4997" s="238"/>
      <c r="C4997" s="8" t="s">
        <v>42</v>
      </c>
      <c r="D4997" s="239" t="s">
        <v>43</v>
      </c>
      <c r="E4997" s="239" t="s">
        <v>44</v>
      </c>
      <c r="F4997" s="239" t="s">
        <v>45</v>
      </c>
      <c r="G4997" s="239" t="s">
        <v>46</v>
      </c>
      <c r="H4997" s="239" t="s">
        <v>47</v>
      </c>
      <c r="I4997" s="239" t="s">
        <v>48</v>
      </c>
      <c r="J4997" s="239" t="s">
        <v>49</v>
      </c>
      <c r="K4997" s="239" t="s">
        <v>50</v>
      </c>
      <c r="L4997" s="239" t="s">
        <v>51</v>
      </c>
      <c r="M4997" s="239" t="s">
        <v>52</v>
      </c>
      <c r="N4997" s="239" t="s">
        <v>53</v>
      </c>
      <c r="O4997" s="251" t="s">
        <v>54</v>
      </c>
    </row>
    <row r="4998" spans="1:15">
      <c r="A4998" s="240" t="s">
        <v>22</v>
      </c>
      <c r="B4998" s="47" t="s">
        <v>55</v>
      </c>
      <c r="C4998" s="12">
        <v>0.835650040883074</v>
      </c>
      <c r="D4998" s="241">
        <v>1.04188481675393</v>
      </c>
      <c r="E4998" s="241">
        <v>0.924242424242424</v>
      </c>
      <c r="F4998" s="241">
        <v>0.774509803921569</v>
      </c>
      <c r="G4998" s="241">
        <v>0.951456310679612</v>
      </c>
      <c r="H4998" s="241">
        <v>0.881720430107527</v>
      </c>
      <c r="I4998" s="241">
        <v>0.812785388127854</v>
      </c>
      <c r="J4998" s="241">
        <v>0.836363636363636</v>
      </c>
      <c r="K4998" s="241">
        <v>0.789667896678967</v>
      </c>
      <c r="L4998" s="241">
        <v>0.774193548387097</v>
      </c>
      <c r="M4998" s="241">
        <v>0.848039215686274</v>
      </c>
      <c r="N4998" s="241">
        <v>0.775665399239544</v>
      </c>
      <c r="O4998" s="252">
        <v>0.772189349112426</v>
      </c>
    </row>
    <row r="4999" spans="1:15">
      <c r="A4999" s="242" t="s">
        <v>22</v>
      </c>
      <c r="B4999" s="43" t="s">
        <v>57</v>
      </c>
      <c r="C4999" s="15">
        <v>2446</v>
      </c>
      <c r="D4999" s="243">
        <v>191</v>
      </c>
      <c r="E4999" s="243">
        <v>132</v>
      </c>
      <c r="F4999" s="243">
        <v>102</v>
      </c>
      <c r="G4999" s="243">
        <v>103</v>
      </c>
      <c r="H4999" s="243">
        <v>186</v>
      </c>
      <c r="I4999" s="243">
        <v>219</v>
      </c>
      <c r="J4999" s="243">
        <v>220</v>
      </c>
      <c r="K4999" s="243">
        <v>271</v>
      </c>
      <c r="L4999" s="243">
        <v>217</v>
      </c>
      <c r="M4999" s="243">
        <v>204</v>
      </c>
      <c r="N4999" s="243">
        <v>263</v>
      </c>
      <c r="O4999" s="253">
        <v>338</v>
      </c>
    </row>
    <row r="5000" spans="1:15">
      <c r="A5000" s="240" t="s">
        <v>22</v>
      </c>
      <c r="B5000" s="47" t="s">
        <v>59</v>
      </c>
      <c r="C5000" s="15">
        <v>2044</v>
      </c>
      <c r="D5000" s="243">
        <v>199</v>
      </c>
      <c r="E5000" s="243">
        <v>122</v>
      </c>
      <c r="F5000" s="243">
        <v>79</v>
      </c>
      <c r="G5000" s="243">
        <v>98</v>
      </c>
      <c r="H5000" s="243">
        <v>164</v>
      </c>
      <c r="I5000" s="243">
        <v>178</v>
      </c>
      <c r="J5000" s="243">
        <v>184</v>
      </c>
      <c r="K5000" s="243">
        <v>214</v>
      </c>
      <c r="L5000" s="243">
        <v>168</v>
      </c>
      <c r="M5000" s="243">
        <v>173</v>
      </c>
      <c r="N5000" s="243">
        <v>204</v>
      </c>
      <c r="O5000" s="253">
        <v>261</v>
      </c>
    </row>
    <row r="5001" spans="1:15">
      <c r="A5001" s="242" t="s">
        <v>22</v>
      </c>
      <c r="B5001" s="43" t="s">
        <v>4</v>
      </c>
      <c r="C5001" s="15">
        <v>42</v>
      </c>
      <c r="D5001" s="244">
        <v>3</v>
      </c>
      <c r="E5001" s="244">
        <v>4</v>
      </c>
      <c r="F5001" s="244">
        <v>2</v>
      </c>
      <c r="G5001" s="244">
        <v>1</v>
      </c>
      <c r="H5001" s="244">
        <v>0</v>
      </c>
      <c r="I5001" s="244">
        <v>4</v>
      </c>
      <c r="J5001" s="244">
        <v>3</v>
      </c>
      <c r="K5001" s="244">
        <v>7</v>
      </c>
      <c r="L5001" s="244">
        <v>4</v>
      </c>
      <c r="M5001" s="244">
        <v>5</v>
      </c>
      <c r="N5001" s="244">
        <v>1</v>
      </c>
      <c r="O5001" s="254">
        <v>8</v>
      </c>
    </row>
    <row r="5002" spans="1:15">
      <c r="A5002" s="240" t="s">
        <v>22</v>
      </c>
      <c r="B5002" s="47" t="s">
        <v>5</v>
      </c>
      <c r="C5002" s="12">
        <v>0.0205479452054795</v>
      </c>
      <c r="D5002" s="241">
        <v>0.0150753768844221</v>
      </c>
      <c r="E5002" s="241">
        <v>0.0327868852459016</v>
      </c>
      <c r="F5002" s="241">
        <v>0.0253164556962025</v>
      </c>
      <c r="G5002" s="241">
        <v>0.0102040816326531</v>
      </c>
      <c r="H5002" s="241">
        <v>0</v>
      </c>
      <c r="I5002" s="241">
        <v>0.0224719101123595</v>
      </c>
      <c r="J5002" s="241">
        <v>0.016304347826087</v>
      </c>
      <c r="K5002" s="241">
        <v>0.0327102803738318</v>
      </c>
      <c r="L5002" s="241">
        <v>0.0238095238095238</v>
      </c>
      <c r="M5002" s="241">
        <v>0.0289017341040462</v>
      </c>
      <c r="N5002" s="241">
        <v>0.00490196078431373</v>
      </c>
      <c r="O5002" s="252">
        <v>0.0306513409961686</v>
      </c>
    </row>
    <row r="5003" spans="1:15">
      <c r="A5003" s="242" t="s">
        <v>22</v>
      </c>
      <c r="B5003" s="43" t="s">
        <v>6</v>
      </c>
      <c r="C5003" s="15">
        <v>15</v>
      </c>
      <c r="D5003" s="244">
        <v>1</v>
      </c>
      <c r="E5003" s="244">
        <v>1</v>
      </c>
      <c r="F5003" s="244">
        <v>0</v>
      </c>
      <c r="G5003" s="244">
        <v>0</v>
      </c>
      <c r="H5003" s="244">
        <v>0</v>
      </c>
      <c r="I5003" s="244">
        <v>2</v>
      </c>
      <c r="J5003" s="244">
        <v>2</v>
      </c>
      <c r="K5003" s="244">
        <v>2</v>
      </c>
      <c r="L5003" s="244">
        <v>0</v>
      </c>
      <c r="M5003" s="244">
        <v>4</v>
      </c>
      <c r="N5003" s="244">
        <v>1</v>
      </c>
      <c r="O5003" s="254">
        <v>2</v>
      </c>
    </row>
    <row r="5004" ht="14.25" spans="1:15">
      <c r="A5004" s="245" t="s">
        <v>22</v>
      </c>
      <c r="B5004" s="52" t="s">
        <v>64</v>
      </c>
      <c r="C5004" s="19">
        <v>0.357142857142857</v>
      </c>
      <c r="D5004" s="246">
        <v>0.333333333333333</v>
      </c>
      <c r="E5004" s="246">
        <v>0.25</v>
      </c>
      <c r="F5004" s="246">
        <v>0</v>
      </c>
      <c r="G5004" s="246">
        <v>0</v>
      </c>
      <c r="H5004" s="246">
        <v>0</v>
      </c>
      <c r="I5004" s="246">
        <v>0.5</v>
      </c>
      <c r="J5004" s="246">
        <v>0.666666666666667</v>
      </c>
      <c r="K5004" s="246">
        <v>0.285714285714286</v>
      </c>
      <c r="L5004" s="246">
        <v>0</v>
      </c>
      <c r="M5004" s="246">
        <v>0.8</v>
      </c>
      <c r="N5004" s="246">
        <v>1</v>
      </c>
      <c r="O5004" s="255">
        <v>0.25</v>
      </c>
    </row>
    <row r="5005" spans="1:15">
      <c r="A5005" s="247" t="s">
        <v>66</v>
      </c>
      <c r="B5005" s="248" t="s">
        <v>55</v>
      </c>
      <c r="C5005" s="12">
        <v>0.0648899188876014</v>
      </c>
      <c r="D5005" s="249">
        <v>0.0843373493975904</v>
      </c>
      <c r="E5005" s="249">
        <v>0.0384615384615385</v>
      </c>
      <c r="F5005" s="249">
        <v>0.0479041916167665</v>
      </c>
      <c r="G5005" s="249">
        <v>0.0397727272727273</v>
      </c>
      <c r="H5005" s="249">
        <v>0.0855263157894737</v>
      </c>
      <c r="I5005" s="249">
        <v>0.04</v>
      </c>
      <c r="J5005" s="249">
        <v>0.032258064516129</v>
      </c>
      <c r="K5005" s="249">
        <v>0.048951048951049</v>
      </c>
      <c r="L5005" s="249">
        <v>0.0673076923076923</v>
      </c>
      <c r="M5005" s="249">
        <v>0.09</v>
      </c>
      <c r="N5005" s="249">
        <v>0.127272727272727</v>
      </c>
      <c r="O5005" s="256">
        <v>0.12396694214876</v>
      </c>
    </row>
    <row r="5006" spans="1:15">
      <c r="A5006" s="242" t="s">
        <v>66</v>
      </c>
      <c r="B5006" s="43" t="s">
        <v>57</v>
      </c>
      <c r="C5006" s="15">
        <v>1726</v>
      </c>
      <c r="D5006" s="243">
        <v>166</v>
      </c>
      <c r="E5006" s="243">
        <v>182</v>
      </c>
      <c r="F5006" s="243">
        <v>167</v>
      </c>
      <c r="G5006" s="243">
        <v>176</v>
      </c>
      <c r="H5006" s="243">
        <v>152</v>
      </c>
      <c r="I5006" s="243">
        <v>150</v>
      </c>
      <c r="J5006" s="243">
        <v>155</v>
      </c>
      <c r="K5006" s="243">
        <v>143</v>
      </c>
      <c r="L5006" s="243">
        <v>104</v>
      </c>
      <c r="M5006" s="243">
        <v>100</v>
      </c>
      <c r="N5006" s="243">
        <v>110</v>
      </c>
      <c r="O5006" s="253">
        <v>121</v>
      </c>
    </row>
    <row r="5007" spans="1:15">
      <c r="A5007" s="240" t="s">
        <v>66</v>
      </c>
      <c r="B5007" s="47" t="s">
        <v>59</v>
      </c>
      <c r="C5007" s="15">
        <v>112</v>
      </c>
      <c r="D5007" s="243">
        <v>14</v>
      </c>
      <c r="E5007" s="243">
        <v>7</v>
      </c>
      <c r="F5007" s="243">
        <v>8</v>
      </c>
      <c r="G5007" s="243">
        <v>7</v>
      </c>
      <c r="H5007" s="243">
        <v>13</v>
      </c>
      <c r="I5007" s="243">
        <v>6</v>
      </c>
      <c r="J5007" s="243">
        <v>5</v>
      </c>
      <c r="K5007" s="243">
        <v>7</v>
      </c>
      <c r="L5007" s="243">
        <v>7</v>
      </c>
      <c r="M5007" s="243">
        <v>9</v>
      </c>
      <c r="N5007" s="243">
        <v>14</v>
      </c>
      <c r="O5007" s="253">
        <v>15</v>
      </c>
    </row>
    <row r="5008" spans="1:15">
      <c r="A5008" s="242" t="s">
        <v>66</v>
      </c>
      <c r="B5008" s="43" t="s">
        <v>4</v>
      </c>
      <c r="C5008" s="15">
        <v>4</v>
      </c>
      <c r="D5008" s="244">
        <v>1</v>
      </c>
      <c r="E5008" s="244">
        <v>0</v>
      </c>
      <c r="F5008" s="244">
        <v>0</v>
      </c>
      <c r="G5008" s="244">
        <v>0</v>
      </c>
      <c r="H5008" s="244">
        <v>0</v>
      </c>
      <c r="I5008" s="244">
        <v>0</v>
      </c>
      <c r="J5008" s="244">
        <v>0</v>
      </c>
      <c r="K5008" s="244">
        <v>1</v>
      </c>
      <c r="L5008" s="244">
        <v>1</v>
      </c>
      <c r="M5008" s="244">
        <v>1</v>
      </c>
      <c r="N5008" s="244">
        <v>0</v>
      </c>
      <c r="O5008" s="254">
        <v>0</v>
      </c>
    </row>
    <row r="5009" spans="1:15">
      <c r="A5009" s="240" t="s">
        <v>66</v>
      </c>
      <c r="B5009" s="47" t="s">
        <v>5</v>
      </c>
      <c r="C5009" s="12">
        <v>0.0357142857142857</v>
      </c>
      <c r="D5009" s="241">
        <v>0.0714285714285714</v>
      </c>
      <c r="E5009" s="241">
        <v>0</v>
      </c>
      <c r="F5009" s="241">
        <v>0</v>
      </c>
      <c r="G5009" s="241">
        <v>0</v>
      </c>
      <c r="H5009" s="241">
        <v>0</v>
      </c>
      <c r="I5009" s="241">
        <v>0</v>
      </c>
      <c r="J5009" s="241">
        <v>0</v>
      </c>
      <c r="K5009" s="241">
        <v>0.142857142857143</v>
      </c>
      <c r="L5009" s="241">
        <v>0.142857142857143</v>
      </c>
      <c r="M5009" s="241">
        <v>0.111111111111111</v>
      </c>
      <c r="N5009" s="241">
        <v>0</v>
      </c>
      <c r="O5009" s="252">
        <v>0</v>
      </c>
    </row>
    <row r="5010" spans="1:15">
      <c r="A5010" s="242" t="s">
        <v>66</v>
      </c>
      <c r="B5010" s="43" t="s">
        <v>6</v>
      </c>
      <c r="C5010" s="15">
        <v>2</v>
      </c>
      <c r="D5010" s="244">
        <v>0</v>
      </c>
      <c r="E5010" s="244">
        <v>0</v>
      </c>
      <c r="F5010" s="244">
        <v>0</v>
      </c>
      <c r="G5010" s="244">
        <v>0</v>
      </c>
      <c r="H5010" s="244">
        <v>0</v>
      </c>
      <c r="I5010" s="244">
        <v>0</v>
      </c>
      <c r="J5010" s="244">
        <v>0</v>
      </c>
      <c r="K5010" s="244">
        <v>1</v>
      </c>
      <c r="L5010" s="244">
        <v>0</v>
      </c>
      <c r="M5010" s="244">
        <v>1</v>
      </c>
      <c r="N5010" s="244">
        <v>0</v>
      </c>
      <c r="O5010" s="254">
        <v>0</v>
      </c>
    </row>
    <row r="5011" ht="14.25" spans="1:15">
      <c r="A5011" s="245" t="s">
        <v>66</v>
      </c>
      <c r="B5011" s="52" t="s">
        <v>64</v>
      </c>
      <c r="C5011" s="19">
        <v>0.5</v>
      </c>
      <c r="D5011" s="246">
        <v>0</v>
      </c>
      <c r="E5011" s="246">
        <v>0</v>
      </c>
      <c r="F5011" s="246">
        <v>0</v>
      </c>
      <c r="G5011" s="246">
        <v>0</v>
      </c>
      <c r="H5011" s="246">
        <v>0</v>
      </c>
      <c r="I5011" s="246">
        <v>0</v>
      </c>
      <c r="J5011" s="246">
        <v>0</v>
      </c>
      <c r="K5011" s="246">
        <v>1</v>
      </c>
      <c r="L5011" s="246">
        <v>0</v>
      </c>
      <c r="M5011" s="246">
        <v>1</v>
      </c>
      <c r="N5011" s="246">
        <v>0</v>
      </c>
      <c r="O5011" s="255">
        <v>0</v>
      </c>
    </row>
    <row r="5012" spans="1:15">
      <c r="A5012" s="240" t="s">
        <v>67</v>
      </c>
      <c r="B5012" s="47" t="s">
        <v>55</v>
      </c>
      <c r="C5012" s="12">
        <v>0.536211699164345</v>
      </c>
      <c r="D5012" s="241">
        <v>0.537037037037037</v>
      </c>
      <c r="E5012" s="241">
        <v>0.595238095238095</v>
      </c>
      <c r="F5012" s="241">
        <v>0.625</v>
      </c>
      <c r="G5012" s="241">
        <v>0.551724137931034</v>
      </c>
      <c r="H5012" s="241">
        <v>0.6</v>
      </c>
      <c r="I5012" s="241">
        <v>0.52112676056338</v>
      </c>
      <c r="J5012" s="241">
        <v>0.571428571428571</v>
      </c>
      <c r="K5012" s="241">
        <v>0.506024096385542</v>
      </c>
      <c r="L5012" s="241">
        <v>0.435294117647059</v>
      </c>
      <c r="M5012" s="241">
        <v>0.459016393442623</v>
      </c>
      <c r="N5012" s="241">
        <v>0.536585365853659</v>
      </c>
      <c r="O5012" s="252">
        <v>0.615384615384615</v>
      </c>
    </row>
    <row r="5013" spans="1:15">
      <c r="A5013" s="242" t="s">
        <v>67</v>
      </c>
      <c r="B5013" s="43" t="s">
        <v>57</v>
      </c>
      <c r="C5013" s="15">
        <v>718</v>
      </c>
      <c r="D5013" s="243">
        <v>54</v>
      </c>
      <c r="E5013" s="243">
        <v>42</v>
      </c>
      <c r="F5013" s="243">
        <v>32</v>
      </c>
      <c r="G5013" s="243">
        <v>29</v>
      </c>
      <c r="H5013" s="243">
        <v>45</v>
      </c>
      <c r="I5013" s="243">
        <v>71</v>
      </c>
      <c r="J5013" s="243">
        <v>56</v>
      </c>
      <c r="K5013" s="243">
        <v>83</v>
      </c>
      <c r="L5013" s="243">
        <v>85</v>
      </c>
      <c r="M5013" s="243">
        <v>61</v>
      </c>
      <c r="N5013" s="243">
        <v>82</v>
      </c>
      <c r="O5013" s="253">
        <v>78</v>
      </c>
    </row>
    <row r="5014" spans="1:15">
      <c r="A5014" s="240" t="s">
        <v>67</v>
      </c>
      <c r="B5014" s="47" t="s">
        <v>59</v>
      </c>
      <c r="C5014" s="15">
        <v>385</v>
      </c>
      <c r="D5014" s="243">
        <v>29</v>
      </c>
      <c r="E5014" s="243">
        <v>25</v>
      </c>
      <c r="F5014" s="243">
        <v>20</v>
      </c>
      <c r="G5014" s="243">
        <v>16</v>
      </c>
      <c r="H5014" s="243">
        <v>27</v>
      </c>
      <c r="I5014" s="243">
        <v>37</v>
      </c>
      <c r="J5014" s="243">
        <v>32</v>
      </c>
      <c r="K5014" s="243">
        <v>42</v>
      </c>
      <c r="L5014" s="243">
        <v>37</v>
      </c>
      <c r="M5014" s="243">
        <v>28</v>
      </c>
      <c r="N5014" s="243">
        <v>44</v>
      </c>
      <c r="O5014" s="253">
        <v>48</v>
      </c>
    </row>
    <row r="5015" spans="1:15">
      <c r="A5015" s="242" t="s">
        <v>67</v>
      </c>
      <c r="B5015" s="43" t="s">
        <v>4</v>
      </c>
      <c r="C5015" s="15">
        <v>13</v>
      </c>
      <c r="D5015" s="244">
        <v>1</v>
      </c>
      <c r="E5015" s="244">
        <v>0</v>
      </c>
      <c r="F5015" s="244">
        <v>0</v>
      </c>
      <c r="G5015" s="244">
        <v>1</v>
      </c>
      <c r="H5015" s="244">
        <v>3</v>
      </c>
      <c r="I5015" s="244">
        <v>1</v>
      </c>
      <c r="J5015" s="244">
        <v>0</v>
      </c>
      <c r="K5015" s="244">
        <v>2</v>
      </c>
      <c r="L5015" s="244">
        <v>1</v>
      </c>
      <c r="M5015" s="244">
        <v>1</v>
      </c>
      <c r="N5015" s="244">
        <v>1</v>
      </c>
      <c r="O5015" s="254">
        <v>2</v>
      </c>
    </row>
    <row r="5016" spans="1:15">
      <c r="A5016" s="240" t="s">
        <v>67</v>
      </c>
      <c r="B5016" s="47" t="s">
        <v>5</v>
      </c>
      <c r="C5016" s="12">
        <v>0.0337662337662338</v>
      </c>
      <c r="D5016" s="241">
        <v>0.0344827586206897</v>
      </c>
      <c r="E5016" s="241">
        <v>0</v>
      </c>
      <c r="F5016" s="241">
        <v>0</v>
      </c>
      <c r="G5016" s="241">
        <v>0.0625</v>
      </c>
      <c r="H5016" s="241">
        <v>0.111111111111111</v>
      </c>
      <c r="I5016" s="241">
        <v>0.027027027027027</v>
      </c>
      <c r="J5016" s="241">
        <v>0</v>
      </c>
      <c r="K5016" s="241">
        <v>0.0476190476190476</v>
      </c>
      <c r="L5016" s="241">
        <v>0.027027027027027</v>
      </c>
      <c r="M5016" s="241">
        <v>0.0357142857142857</v>
      </c>
      <c r="N5016" s="241">
        <v>0.0227272727272727</v>
      </c>
      <c r="O5016" s="252">
        <v>0.0416666666666667</v>
      </c>
    </row>
    <row r="5017" spans="1:15">
      <c r="A5017" s="242" t="s">
        <v>67</v>
      </c>
      <c r="B5017" s="43" t="s">
        <v>6</v>
      </c>
      <c r="C5017" s="15">
        <v>1</v>
      </c>
      <c r="D5017" s="244">
        <v>0</v>
      </c>
      <c r="E5017" s="244">
        <v>0</v>
      </c>
      <c r="F5017" s="244">
        <v>0</v>
      </c>
      <c r="G5017" s="244">
        <v>0</v>
      </c>
      <c r="H5017" s="244">
        <v>0</v>
      </c>
      <c r="I5017" s="244">
        <v>1</v>
      </c>
      <c r="J5017" s="244">
        <v>0</v>
      </c>
      <c r="K5017" s="244">
        <v>0</v>
      </c>
      <c r="L5017" s="244">
        <v>0</v>
      </c>
      <c r="M5017" s="244">
        <v>0</v>
      </c>
      <c r="N5017" s="244">
        <v>0</v>
      </c>
      <c r="O5017" s="254">
        <v>0</v>
      </c>
    </row>
    <row r="5018" ht="14.25" spans="1:15">
      <c r="A5018" s="245" t="s">
        <v>67</v>
      </c>
      <c r="B5018" s="52" t="s">
        <v>64</v>
      </c>
      <c r="C5018" s="19">
        <v>0.0769230769230769</v>
      </c>
      <c r="D5018" s="246">
        <v>0</v>
      </c>
      <c r="E5018" s="246">
        <v>0</v>
      </c>
      <c r="F5018" s="246">
        <v>0</v>
      </c>
      <c r="G5018" s="246">
        <v>0</v>
      </c>
      <c r="H5018" s="246">
        <v>0</v>
      </c>
      <c r="I5018" s="246">
        <v>1</v>
      </c>
      <c r="J5018" s="246">
        <v>0</v>
      </c>
      <c r="K5018" s="246">
        <v>0</v>
      </c>
      <c r="L5018" s="246">
        <v>0</v>
      </c>
      <c r="M5018" s="246">
        <v>0</v>
      </c>
      <c r="N5018" s="246">
        <v>0</v>
      </c>
      <c r="O5018" s="255">
        <v>0</v>
      </c>
    </row>
    <row r="5019" spans="1:15">
      <c r="A5019" s="240" t="s">
        <v>68</v>
      </c>
      <c r="B5019" s="47" t="s">
        <v>55</v>
      </c>
      <c r="C5019" s="12">
        <v>0.256787850897377</v>
      </c>
      <c r="D5019" s="241">
        <v>0.304556354916067</v>
      </c>
      <c r="E5019" s="241">
        <v>0.270642201834862</v>
      </c>
      <c r="F5019" s="241">
        <v>0.294797687861272</v>
      </c>
      <c r="G5019" s="241">
        <v>0.366863905325444</v>
      </c>
      <c r="H5019" s="241">
        <v>0.305921052631579</v>
      </c>
      <c r="I5019" s="241">
        <v>0.263440860215054</v>
      </c>
      <c r="J5019" s="241">
        <v>0.25990099009901</v>
      </c>
      <c r="K5019" s="241">
        <v>0.209163346613546</v>
      </c>
      <c r="L5019" s="241">
        <v>0.248780487804878</v>
      </c>
      <c r="M5019" s="241">
        <v>0.26161369193154</v>
      </c>
      <c r="N5019" s="241">
        <v>0.24</v>
      </c>
      <c r="O5019" s="252">
        <v>0.193370165745856</v>
      </c>
    </row>
    <row r="5020" spans="1:15">
      <c r="A5020" s="242" t="s">
        <v>68</v>
      </c>
      <c r="B5020" s="43" t="s">
        <v>57</v>
      </c>
      <c r="C5020" s="15">
        <v>4346</v>
      </c>
      <c r="D5020" s="243">
        <v>417</v>
      </c>
      <c r="E5020" s="243">
        <v>218</v>
      </c>
      <c r="F5020" s="243">
        <v>173</v>
      </c>
      <c r="G5020" s="243">
        <v>169</v>
      </c>
      <c r="H5020" s="243">
        <v>304</v>
      </c>
      <c r="I5020" s="243">
        <v>372</v>
      </c>
      <c r="J5020" s="243">
        <v>404</v>
      </c>
      <c r="K5020" s="243">
        <v>502</v>
      </c>
      <c r="L5020" s="243">
        <v>410</v>
      </c>
      <c r="M5020" s="243">
        <v>409</v>
      </c>
      <c r="N5020" s="243">
        <v>425</v>
      </c>
      <c r="O5020" s="253">
        <v>543</v>
      </c>
    </row>
    <row r="5021" spans="1:15">
      <c r="A5021" s="240" t="s">
        <v>68</v>
      </c>
      <c r="B5021" s="47" t="s">
        <v>59</v>
      </c>
      <c r="C5021" s="15">
        <v>1116</v>
      </c>
      <c r="D5021" s="243">
        <v>127</v>
      </c>
      <c r="E5021" s="243">
        <v>59</v>
      </c>
      <c r="F5021" s="243">
        <v>51</v>
      </c>
      <c r="G5021" s="243">
        <v>62</v>
      </c>
      <c r="H5021" s="243">
        <v>93</v>
      </c>
      <c r="I5021" s="243">
        <v>98</v>
      </c>
      <c r="J5021" s="243">
        <v>105</v>
      </c>
      <c r="K5021" s="243">
        <v>105</v>
      </c>
      <c r="L5021" s="243">
        <v>102</v>
      </c>
      <c r="M5021" s="243">
        <v>107</v>
      </c>
      <c r="N5021" s="243">
        <v>102</v>
      </c>
      <c r="O5021" s="253">
        <v>105</v>
      </c>
    </row>
    <row r="5022" spans="1:15">
      <c r="A5022" s="242" t="s">
        <v>68</v>
      </c>
      <c r="B5022" s="43" t="s">
        <v>4</v>
      </c>
      <c r="C5022" s="15">
        <v>56</v>
      </c>
      <c r="D5022" s="244">
        <v>9</v>
      </c>
      <c r="E5022" s="244">
        <v>6</v>
      </c>
      <c r="F5022" s="244">
        <v>3</v>
      </c>
      <c r="G5022" s="244">
        <v>3</v>
      </c>
      <c r="H5022" s="244">
        <v>3</v>
      </c>
      <c r="I5022" s="244">
        <v>6</v>
      </c>
      <c r="J5022" s="244">
        <v>5</v>
      </c>
      <c r="K5022" s="244">
        <v>4</v>
      </c>
      <c r="L5022" s="244">
        <v>3</v>
      </c>
      <c r="M5022" s="244">
        <v>4</v>
      </c>
      <c r="N5022" s="244">
        <v>3</v>
      </c>
      <c r="O5022" s="254">
        <v>7</v>
      </c>
    </row>
    <row r="5023" spans="1:15">
      <c r="A5023" s="240" t="s">
        <v>68</v>
      </c>
      <c r="B5023" s="47" t="s">
        <v>5</v>
      </c>
      <c r="C5023" s="12">
        <v>0.0501792114695341</v>
      </c>
      <c r="D5023" s="241">
        <v>0.0708661417322835</v>
      </c>
      <c r="E5023" s="241">
        <v>0.101694915254237</v>
      </c>
      <c r="F5023" s="241">
        <v>0.0588235294117647</v>
      </c>
      <c r="G5023" s="241">
        <v>0.0483870967741935</v>
      </c>
      <c r="H5023" s="241">
        <v>0.032258064516129</v>
      </c>
      <c r="I5023" s="241">
        <v>0.0612244897959184</v>
      </c>
      <c r="J5023" s="241">
        <v>0.0476190476190476</v>
      </c>
      <c r="K5023" s="241">
        <v>0.0380952380952381</v>
      </c>
      <c r="L5023" s="241">
        <v>0.0294117647058824</v>
      </c>
      <c r="M5023" s="241">
        <v>0.0373831775700935</v>
      </c>
      <c r="N5023" s="241">
        <v>0.0294117647058824</v>
      </c>
      <c r="O5023" s="252">
        <v>0.0666666666666667</v>
      </c>
    </row>
    <row r="5024" spans="1:15">
      <c r="A5024" s="242" t="s">
        <v>68</v>
      </c>
      <c r="B5024" s="43" t="s">
        <v>6</v>
      </c>
      <c r="C5024" s="15">
        <v>18</v>
      </c>
      <c r="D5024" s="244">
        <v>3</v>
      </c>
      <c r="E5024" s="244">
        <v>2</v>
      </c>
      <c r="F5024" s="244">
        <v>1</v>
      </c>
      <c r="G5024" s="244">
        <v>2</v>
      </c>
      <c r="H5024" s="244">
        <v>1</v>
      </c>
      <c r="I5024" s="244">
        <v>1</v>
      </c>
      <c r="J5024" s="244">
        <v>1</v>
      </c>
      <c r="K5024" s="244">
        <v>2</v>
      </c>
      <c r="L5024" s="244">
        <v>0</v>
      </c>
      <c r="M5024" s="244">
        <v>1</v>
      </c>
      <c r="N5024" s="244">
        <v>3</v>
      </c>
      <c r="O5024" s="254">
        <v>1</v>
      </c>
    </row>
    <row r="5025" ht="14.25" spans="1:15">
      <c r="A5025" s="245" t="s">
        <v>68</v>
      </c>
      <c r="B5025" s="52" t="s">
        <v>64</v>
      </c>
      <c r="C5025" s="19">
        <v>0.321428571428571</v>
      </c>
      <c r="D5025" s="246">
        <v>0.333333333333333</v>
      </c>
      <c r="E5025" s="246">
        <v>0.333333333333333</v>
      </c>
      <c r="F5025" s="246">
        <v>0.333333333333333</v>
      </c>
      <c r="G5025" s="246">
        <v>0.666666666666667</v>
      </c>
      <c r="H5025" s="246">
        <v>0.333333333333333</v>
      </c>
      <c r="I5025" s="246">
        <v>0.166666666666667</v>
      </c>
      <c r="J5025" s="246">
        <v>0.2</v>
      </c>
      <c r="K5025" s="246">
        <v>0.5</v>
      </c>
      <c r="L5025" s="246">
        <v>0</v>
      </c>
      <c r="M5025" s="246">
        <v>0.25</v>
      </c>
      <c r="N5025" s="246">
        <v>1</v>
      </c>
      <c r="O5025" s="255">
        <v>0.142857142857143</v>
      </c>
    </row>
    <row r="5026" spans="1:15">
      <c r="A5026" s="240" t="s">
        <v>69</v>
      </c>
      <c r="B5026" s="47" t="s">
        <v>55</v>
      </c>
      <c r="C5026" s="12">
        <v>1.46052631578947</v>
      </c>
      <c r="D5026" s="241">
        <v>1.19354838709677</v>
      </c>
      <c r="E5026" s="241">
        <v>1.42857142857143</v>
      </c>
      <c r="F5026" s="241">
        <v>1.23076923076923</v>
      </c>
      <c r="G5026" s="241">
        <v>2</v>
      </c>
      <c r="H5026" s="241">
        <v>2.09090909090909</v>
      </c>
      <c r="I5026" s="241">
        <v>1.57142857142857</v>
      </c>
      <c r="J5026" s="241">
        <v>1.76923076923077</v>
      </c>
      <c r="K5026" s="241">
        <v>1.45454545454545</v>
      </c>
      <c r="L5026" s="241">
        <v>1.58823529411765</v>
      </c>
      <c r="M5026" s="241">
        <v>1.68181818181818</v>
      </c>
      <c r="N5026" s="241">
        <v>1.39393939393939</v>
      </c>
      <c r="O5026" s="252">
        <v>1.13333333333333</v>
      </c>
    </row>
    <row r="5027" spans="1:15">
      <c r="A5027" s="242" t="s">
        <v>69</v>
      </c>
      <c r="B5027" s="43" t="s">
        <v>57</v>
      </c>
      <c r="C5027" s="15">
        <v>228</v>
      </c>
      <c r="D5027" s="243">
        <v>31</v>
      </c>
      <c r="E5027" s="243">
        <v>14</v>
      </c>
      <c r="F5027" s="243">
        <v>13</v>
      </c>
      <c r="G5027" s="243">
        <v>8</v>
      </c>
      <c r="H5027" s="243">
        <v>11</v>
      </c>
      <c r="I5027" s="243">
        <v>14</v>
      </c>
      <c r="J5027" s="243">
        <v>13</v>
      </c>
      <c r="K5027" s="243">
        <v>22</v>
      </c>
      <c r="L5027" s="243">
        <v>17</v>
      </c>
      <c r="M5027" s="243">
        <v>22</v>
      </c>
      <c r="N5027" s="243">
        <v>33</v>
      </c>
      <c r="O5027" s="253">
        <v>30</v>
      </c>
    </row>
    <row r="5028" spans="1:15">
      <c r="A5028" s="240" t="s">
        <v>69</v>
      </c>
      <c r="B5028" s="47" t="s">
        <v>59</v>
      </c>
      <c r="C5028" s="15">
        <v>333</v>
      </c>
      <c r="D5028" s="243">
        <v>37</v>
      </c>
      <c r="E5028" s="243">
        <v>20</v>
      </c>
      <c r="F5028" s="243">
        <v>16</v>
      </c>
      <c r="G5028" s="243">
        <v>16</v>
      </c>
      <c r="H5028" s="243">
        <v>23</v>
      </c>
      <c r="I5028" s="243">
        <v>22</v>
      </c>
      <c r="J5028" s="243">
        <v>23</v>
      </c>
      <c r="K5028" s="243">
        <v>32</v>
      </c>
      <c r="L5028" s="243">
        <v>27</v>
      </c>
      <c r="M5028" s="243">
        <v>37</v>
      </c>
      <c r="N5028" s="243">
        <v>46</v>
      </c>
      <c r="O5028" s="253">
        <v>34</v>
      </c>
    </row>
    <row r="5029" spans="1:15">
      <c r="A5029" s="242" t="s">
        <v>69</v>
      </c>
      <c r="B5029" s="43" t="s">
        <v>4</v>
      </c>
      <c r="C5029" s="15">
        <v>8</v>
      </c>
      <c r="D5029" s="244">
        <v>2</v>
      </c>
      <c r="E5029" s="244">
        <v>0</v>
      </c>
      <c r="F5029" s="244">
        <v>0</v>
      </c>
      <c r="G5029" s="244">
        <v>1</v>
      </c>
      <c r="H5029" s="244">
        <v>0</v>
      </c>
      <c r="I5029" s="244">
        <v>0</v>
      </c>
      <c r="J5029" s="244">
        <v>1</v>
      </c>
      <c r="K5029" s="244">
        <v>1</v>
      </c>
      <c r="L5029" s="244">
        <v>0</v>
      </c>
      <c r="M5029" s="244">
        <v>1</v>
      </c>
      <c r="N5029" s="244">
        <v>0</v>
      </c>
      <c r="O5029" s="254">
        <v>2</v>
      </c>
    </row>
    <row r="5030" spans="1:15">
      <c r="A5030" s="240" t="s">
        <v>69</v>
      </c>
      <c r="B5030" s="47" t="s">
        <v>5</v>
      </c>
      <c r="C5030" s="12">
        <v>0.024024024024024</v>
      </c>
      <c r="D5030" s="241">
        <v>0.0540540540540541</v>
      </c>
      <c r="E5030" s="241">
        <v>0</v>
      </c>
      <c r="F5030" s="241">
        <v>0</v>
      </c>
      <c r="G5030" s="241">
        <v>0.0625</v>
      </c>
      <c r="H5030" s="241">
        <v>0</v>
      </c>
      <c r="I5030" s="241">
        <v>0</v>
      </c>
      <c r="J5030" s="241">
        <v>0.0434782608695652</v>
      </c>
      <c r="K5030" s="241">
        <v>0.03125</v>
      </c>
      <c r="L5030" s="241">
        <v>0</v>
      </c>
      <c r="M5030" s="241">
        <v>0.027027027027027</v>
      </c>
      <c r="N5030" s="241">
        <v>0</v>
      </c>
      <c r="O5030" s="252">
        <v>0.0588235294117647</v>
      </c>
    </row>
    <row r="5031" spans="1:15">
      <c r="A5031" s="242" t="s">
        <v>69</v>
      </c>
      <c r="B5031" s="43" t="s">
        <v>6</v>
      </c>
      <c r="C5031" s="15">
        <v>3</v>
      </c>
      <c r="D5031" s="244">
        <v>0</v>
      </c>
      <c r="E5031" s="244">
        <v>0</v>
      </c>
      <c r="F5031" s="244">
        <v>0</v>
      </c>
      <c r="G5031" s="244">
        <v>0</v>
      </c>
      <c r="H5031" s="244">
        <v>0</v>
      </c>
      <c r="I5031" s="244">
        <v>2</v>
      </c>
      <c r="J5031" s="244">
        <v>0</v>
      </c>
      <c r="K5031" s="244">
        <v>1</v>
      </c>
      <c r="L5031" s="244">
        <v>0</v>
      </c>
      <c r="M5031" s="244">
        <v>0</v>
      </c>
      <c r="N5031" s="244">
        <v>0</v>
      </c>
      <c r="O5031" s="254">
        <v>0</v>
      </c>
    </row>
    <row r="5032" ht="14.25" spans="1:15">
      <c r="A5032" s="245" t="s">
        <v>69</v>
      </c>
      <c r="B5032" s="52" t="s">
        <v>64</v>
      </c>
      <c r="C5032" s="19">
        <v>0.375</v>
      </c>
      <c r="D5032" s="246">
        <v>0</v>
      </c>
      <c r="E5032" s="246">
        <v>0</v>
      </c>
      <c r="F5032" s="246">
        <v>0</v>
      </c>
      <c r="G5032" s="246">
        <v>0</v>
      </c>
      <c r="H5032" s="246">
        <v>0</v>
      </c>
      <c r="I5032" s="246">
        <v>0</v>
      </c>
      <c r="J5032" s="246">
        <v>0</v>
      </c>
      <c r="K5032" s="246">
        <v>1</v>
      </c>
      <c r="L5032" s="246">
        <v>0</v>
      </c>
      <c r="M5032" s="246">
        <v>0</v>
      </c>
      <c r="N5032" s="246">
        <v>0</v>
      </c>
      <c r="O5032" s="255">
        <v>0</v>
      </c>
    </row>
    <row r="5033" spans="1:15">
      <c r="A5033" s="240" t="s">
        <v>70</v>
      </c>
      <c r="B5033" s="47" t="s">
        <v>55</v>
      </c>
      <c r="C5033" s="12">
        <v>0.470355731225296</v>
      </c>
      <c r="D5033" s="241">
        <v>0.448</v>
      </c>
      <c r="E5033" s="241">
        <v>0.563492063492063</v>
      </c>
      <c r="F5033" s="241">
        <v>0.527472527472527</v>
      </c>
      <c r="G5033" s="241">
        <v>0.5375</v>
      </c>
      <c r="H5033" s="241">
        <v>0.575757575757576</v>
      </c>
      <c r="I5033" s="241">
        <v>0.585987261146497</v>
      </c>
      <c r="J5033" s="241">
        <v>0.486486486486487</v>
      </c>
      <c r="K5033" s="241">
        <v>0.486238532110092</v>
      </c>
      <c r="L5033" s="241">
        <v>0.530487804878049</v>
      </c>
      <c r="M5033" s="241">
        <v>0.36969696969697</v>
      </c>
      <c r="N5033" s="241">
        <v>0.364485981308411</v>
      </c>
      <c r="O5033" s="252">
        <v>0.363636363636364</v>
      </c>
    </row>
    <row r="5034" spans="1:15">
      <c r="A5034" s="242" t="s">
        <v>70</v>
      </c>
      <c r="B5034" s="43" t="s">
        <v>57</v>
      </c>
      <c r="C5034" s="15">
        <v>2024</v>
      </c>
      <c r="D5034" s="243">
        <v>250</v>
      </c>
      <c r="E5034" s="243">
        <v>126</v>
      </c>
      <c r="F5034" s="243">
        <v>91</v>
      </c>
      <c r="G5034" s="243">
        <v>80</v>
      </c>
      <c r="H5034" s="243">
        <v>132</v>
      </c>
      <c r="I5034" s="243">
        <v>157</v>
      </c>
      <c r="J5034" s="243">
        <v>185</v>
      </c>
      <c r="K5034" s="243">
        <v>218</v>
      </c>
      <c r="L5034" s="243">
        <v>164</v>
      </c>
      <c r="M5034" s="243">
        <v>165</v>
      </c>
      <c r="N5034" s="243">
        <v>214</v>
      </c>
      <c r="O5034" s="253">
        <v>242</v>
      </c>
    </row>
    <row r="5035" spans="1:15">
      <c r="A5035" s="240" t="s">
        <v>70</v>
      </c>
      <c r="B5035" s="47" t="s">
        <v>59</v>
      </c>
      <c r="C5035" s="15">
        <v>952</v>
      </c>
      <c r="D5035" s="243">
        <v>112</v>
      </c>
      <c r="E5035" s="243">
        <v>71</v>
      </c>
      <c r="F5035" s="243">
        <v>48</v>
      </c>
      <c r="G5035" s="243">
        <v>43</v>
      </c>
      <c r="H5035" s="243">
        <v>76</v>
      </c>
      <c r="I5035" s="243">
        <v>92</v>
      </c>
      <c r="J5035" s="243">
        <v>90</v>
      </c>
      <c r="K5035" s="243">
        <v>106</v>
      </c>
      <c r="L5035" s="243">
        <v>87</v>
      </c>
      <c r="M5035" s="243">
        <v>61</v>
      </c>
      <c r="N5035" s="243">
        <v>78</v>
      </c>
      <c r="O5035" s="253">
        <v>88</v>
      </c>
    </row>
    <row r="5036" spans="1:15">
      <c r="A5036" s="242" t="s">
        <v>70</v>
      </c>
      <c r="B5036" s="43" t="s">
        <v>4</v>
      </c>
      <c r="C5036" s="15">
        <v>75</v>
      </c>
      <c r="D5036" s="244">
        <v>11</v>
      </c>
      <c r="E5036" s="244">
        <v>7</v>
      </c>
      <c r="F5036" s="244">
        <v>5</v>
      </c>
      <c r="G5036" s="244">
        <v>3</v>
      </c>
      <c r="H5036" s="244">
        <v>2</v>
      </c>
      <c r="I5036" s="244">
        <v>4</v>
      </c>
      <c r="J5036" s="244">
        <v>5</v>
      </c>
      <c r="K5036" s="244">
        <v>7</v>
      </c>
      <c r="L5036" s="244">
        <v>5</v>
      </c>
      <c r="M5036" s="244">
        <v>6</v>
      </c>
      <c r="N5036" s="244">
        <v>7</v>
      </c>
      <c r="O5036" s="254">
        <v>13</v>
      </c>
    </row>
    <row r="5037" spans="1:15">
      <c r="A5037" s="240" t="s">
        <v>70</v>
      </c>
      <c r="B5037" s="47" t="s">
        <v>5</v>
      </c>
      <c r="C5037" s="12">
        <v>0.078781512605042</v>
      </c>
      <c r="D5037" s="241">
        <v>0.0982142857142857</v>
      </c>
      <c r="E5037" s="241">
        <v>0.0985915492957746</v>
      </c>
      <c r="F5037" s="241">
        <v>0.104166666666667</v>
      </c>
      <c r="G5037" s="241">
        <v>0.0697674418604651</v>
      </c>
      <c r="H5037" s="241">
        <v>0.0263157894736842</v>
      </c>
      <c r="I5037" s="241">
        <v>0.0434782608695652</v>
      </c>
      <c r="J5037" s="241">
        <v>0.0555555555555556</v>
      </c>
      <c r="K5037" s="241">
        <v>0.0660377358490566</v>
      </c>
      <c r="L5037" s="241">
        <v>0.0574712643678161</v>
      </c>
      <c r="M5037" s="241">
        <v>0.0983606557377049</v>
      </c>
      <c r="N5037" s="241">
        <v>0.0897435897435897</v>
      </c>
      <c r="O5037" s="252">
        <v>0.147727272727273</v>
      </c>
    </row>
    <row r="5038" spans="1:15">
      <c r="A5038" s="242" t="s">
        <v>70</v>
      </c>
      <c r="B5038" s="43" t="s">
        <v>6</v>
      </c>
      <c r="C5038" s="15">
        <v>17</v>
      </c>
      <c r="D5038" s="244">
        <v>3</v>
      </c>
      <c r="E5038" s="244">
        <v>2</v>
      </c>
      <c r="F5038" s="244">
        <v>1</v>
      </c>
      <c r="G5038" s="244">
        <v>1</v>
      </c>
      <c r="H5038" s="244">
        <v>1</v>
      </c>
      <c r="I5038" s="244">
        <v>1</v>
      </c>
      <c r="J5038" s="244">
        <v>2</v>
      </c>
      <c r="K5038" s="244">
        <v>2</v>
      </c>
      <c r="L5038" s="244">
        <v>1</v>
      </c>
      <c r="M5038" s="244">
        <v>1</v>
      </c>
      <c r="N5038" s="244">
        <v>0</v>
      </c>
      <c r="O5038" s="254">
        <v>2</v>
      </c>
    </row>
    <row r="5039" ht="14.25" spans="1:15">
      <c r="A5039" s="245" t="s">
        <v>70</v>
      </c>
      <c r="B5039" s="52" t="s">
        <v>64</v>
      </c>
      <c r="C5039" s="19">
        <v>0.226666666666667</v>
      </c>
      <c r="D5039" s="246">
        <v>0.272727272727273</v>
      </c>
      <c r="E5039" s="246">
        <v>0.285714285714286</v>
      </c>
      <c r="F5039" s="246">
        <v>0.2</v>
      </c>
      <c r="G5039" s="246">
        <v>0.333333333333333</v>
      </c>
      <c r="H5039" s="246">
        <v>0.5</v>
      </c>
      <c r="I5039" s="246">
        <v>0.25</v>
      </c>
      <c r="J5039" s="246">
        <v>0.4</v>
      </c>
      <c r="K5039" s="246">
        <v>0.285714285714286</v>
      </c>
      <c r="L5039" s="246">
        <v>0.2</v>
      </c>
      <c r="M5039" s="246">
        <v>0.166666666666667</v>
      </c>
      <c r="N5039" s="246">
        <v>0</v>
      </c>
      <c r="O5039" s="255">
        <v>0.153846153846154</v>
      </c>
    </row>
    <row r="5040" spans="1:15">
      <c r="A5040" s="240" t="s">
        <v>26</v>
      </c>
      <c r="B5040" s="47" t="s">
        <v>55</v>
      </c>
      <c r="C5040" s="12">
        <v>117</v>
      </c>
      <c r="D5040" s="241" t="e">
        <v>#DIV/0!</v>
      </c>
      <c r="E5040" s="241" t="e">
        <v>#DIV/0!</v>
      </c>
      <c r="F5040" s="241" t="e">
        <v>#DIV/0!</v>
      </c>
      <c r="G5040" s="241" t="e">
        <v>#DIV/0!</v>
      </c>
      <c r="H5040" s="241" t="e">
        <v>#DIV/0!</v>
      </c>
      <c r="I5040" s="241" t="e">
        <v>#DIV/0!</v>
      </c>
      <c r="J5040" s="241" t="e">
        <v>#DIV/0!</v>
      </c>
      <c r="K5040" s="241" t="e">
        <v>#DIV/0!</v>
      </c>
      <c r="L5040" s="241">
        <v>9</v>
      </c>
      <c r="M5040" s="241" t="e">
        <v>#DIV/0!</v>
      </c>
      <c r="N5040" s="241" t="e">
        <v>#DIV/0!</v>
      </c>
      <c r="O5040" s="252" t="e">
        <v>#DIV/0!</v>
      </c>
    </row>
    <row r="5041" spans="1:15">
      <c r="A5041" s="242" t="s">
        <v>26</v>
      </c>
      <c r="B5041" s="43" t="s">
        <v>57</v>
      </c>
      <c r="C5041" s="15">
        <v>1</v>
      </c>
      <c r="D5041" s="243">
        <v>0</v>
      </c>
      <c r="E5041" s="243">
        <v>0</v>
      </c>
      <c r="F5041" s="243">
        <v>0</v>
      </c>
      <c r="G5041" s="243">
        <v>0</v>
      </c>
      <c r="H5041" s="243">
        <v>0</v>
      </c>
      <c r="I5041" s="243">
        <v>0</v>
      </c>
      <c r="J5041" s="243">
        <v>0</v>
      </c>
      <c r="K5041" s="243">
        <v>0</v>
      </c>
      <c r="L5041" s="243">
        <v>1</v>
      </c>
      <c r="M5041" s="243">
        <v>0</v>
      </c>
      <c r="N5041" s="243">
        <v>0</v>
      </c>
      <c r="O5041" s="253">
        <v>0</v>
      </c>
    </row>
    <row r="5042" spans="1:15">
      <c r="A5042" s="240" t="s">
        <v>26</v>
      </c>
      <c r="B5042" s="47" t="s">
        <v>59</v>
      </c>
      <c r="C5042" s="15">
        <v>117</v>
      </c>
      <c r="D5042" s="243">
        <v>15</v>
      </c>
      <c r="E5042" s="243">
        <v>8</v>
      </c>
      <c r="F5042" s="243">
        <v>6</v>
      </c>
      <c r="G5042" s="243">
        <v>9</v>
      </c>
      <c r="H5042" s="243">
        <v>9</v>
      </c>
      <c r="I5042" s="243">
        <v>12</v>
      </c>
      <c r="J5042" s="243">
        <v>11</v>
      </c>
      <c r="K5042" s="243">
        <v>13</v>
      </c>
      <c r="L5042" s="243">
        <v>9</v>
      </c>
      <c r="M5042" s="243">
        <v>8</v>
      </c>
      <c r="N5042" s="243">
        <v>8</v>
      </c>
      <c r="O5042" s="253">
        <v>9</v>
      </c>
    </row>
    <row r="5043" spans="1:15">
      <c r="A5043" s="242" t="s">
        <v>26</v>
      </c>
      <c r="B5043" s="43" t="s">
        <v>4</v>
      </c>
      <c r="C5043" s="15">
        <v>0</v>
      </c>
      <c r="D5043" s="244">
        <v>0</v>
      </c>
      <c r="E5043" s="244">
        <v>0</v>
      </c>
      <c r="F5043" s="244">
        <v>0</v>
      </c>
      <c r="G5043" s="244">
        <v>0</v>
      </c>
      <c r="H5043" s="244">
        <v>0</v>
      </c>
      <c r="I5043" s="244">
        <v>0</v>
      </c>
      <c r="J5043" s="244">
        <v>0</v>
      </c>
      <c r="K5043" s="244">
        <v>0</v>
      </c>
      <c r="L5043" s="244">
        <v>0</v>
      </c>
      <c r="M5043" s="244">
        <v>0</v>
      </c>
      <c r="N5043" s="244">
        <v>0</v>
      </c>
      <c r="O5043" s="254">
        <v>0</v>
      </c>
    </row>
    <row r="5044" spans="1:15">
      <c r="A5044" s="240" t="s">
        <v>26</v>
      </c>
      <c r="B5044" s="47" t="s">
        <v>5</v>
      </c>
      <c r="C5044" s="12">
        <v>0</v>
      </c>
      <c r="D5044" s="241">
        <v>0</v>
      </c>
      <c r="E5044" s="241">
        <v>0</v>
      </c>
      <c r="F5044" s="241">
        <v>0</v>
      </c>
      <c r="G5044" s="241">
        <v>0</v>
      </c>
      <c r="H5044" s="241">
        <v>0</v>
      </c>
      <c r="I5044" s="241">
        <v>0</v>
      </c>
      <c r="J5044" s="241">
        <v>0</v>
      </c>
      <c r="K5044" s="241">
        <v>0</v>
      </c>
      <c r="L5044" s="241">
        <v>0</v>
      </c>
      <c r="M5044" s="241">
        <v>0</v>
      </c>
      <c r="N5044" s="241">
        <v>0</v>
      </c>
      <c r="O5044" s="252">
        <v>0</v>
      </c>
    </row>
    <row r="5045" spans="1:15">
      <c r="A5045" s="242" t="s">
        <v>26</v>
      </c>
      <c r="B5045" s="43" t="s">
        <v>6</v>
      </c>
      <c r="C5045" s="15">
        <v>1</v>
      </c>
      <c r="D5045" s="244">
        <v>0</v>
      </c>
      <c r="E5045" s="244">
        <v>0</v>
      </c>
      <c r="F5045" s="244">
        <v>0</v>
      </c>
      <c r="G5045" s="244">
        <v>0</v>
      </c>
      <c r="H5045" s="244">
        <v>0</v>
      </c>
      <c r="I5045" s="244">
        <v>0</v>
      </c>
      <c r="J5045" s="244">
        <v>0</v>
      </c>
      <c r="K5045" s="244">
        <v>0</v>
      </c>
      <c r="L5045" s="244">
        <v>0</v>
      </c>
      <c r="M5045" s="244">
        <v>1</v>
      </c>
      <c r="N5045" s="244">
        <v>0</v>
      </c>
      <c r="O5045" s="254">
        <v>0</v>
      </c>
    </row>
    <row r="5046" ht="14.25" spans="1:15">
      <c r="A5046" s="245" t="s">
        <v>26</v>
      </c>
      <c r="B5046" s="52" t="s">
        <v>64</v>
      </c>
      <c r="C5046" s="19" t="e">
        <v>#DIV/0!</v>
      </c>
      <c r="D5046" s="19" t="e">
        <v>#DIV/0!</v>
      </c>
      <c r="E5046" s="19" t="e">
        <v>#DIV/0!</v>
      </c>
      <c r="F5046" s="19" t="e">
        <v>#DIV/0!</v>
      </c>
      <c r="G5046" s="19" t="e">
        <v>#DIV/0!</v>
      </c>
      <c r="H5046" s="19" t="e">
        <v>#DIV/0!</v>
      </c>
      <c r="I5046" s="19" t="e">
        <v>#DIV/0!</v>
      </c>
      <c r="J5046" s="19" t="e">
        <v>#DIV/0!</v>
      </c>
      <c r="K5046" s="19" t="e">
        <v>#DIV/0!</v>
      </c>
      <c r="L5046" s="19" t="e">
        <v>#DIV/0!</v>
      </c>
      <c r="M5046" s="19" t="e">
        <v>#DIV/0!</v>
      </c>
      <c r="N5046" s="19" t="e">
        <v>#DIV/0!</v>
      </c>
      <c r="O5046" s="19" t="e">
        <v>#DIV/0!</v>
      </c>
    </row>
    <row r="5047" spans="1:15">
      <c r="A5047" s="240" t="s">
        <v>71</v>
      </c>
      <c r="B5047" s="47" t="s">
        <v>55</v>
      </c>
      <c r="C5047" s="12">
        <v>364</v>
      </c>
      <c r="D5047" s="241" t="e">
        <v>#DIV/0!</v>
      </c>
      <c r="E5047" s="241" t="e">
        <v>#DIV/0!</v>
      </c>
      <c r="F5047" s="241">
        <v>21</v>
      </c>
      <c r="G5047" s="241" t="e">
        <v>#DIV/0!</v>
      </c>
      <c r="H5047" s="241" t="e">
        <v>#DIV/0!</v>
      </c>
      <c r="I5047" s="241" t="e">
        <v>#DIV/0!</v>
      </c>
      <c r="J5047" s="241" t="e">
        <v>#DIV/0!</v>
      </c>
      <c r="K5047" s="241" t="e">
        <v>#DIV/0!</v>
      </c>
      <c r="L5047" s="241" t="e">
        <v>#DIV/0!</v>
      </c>
      <c r="M5047" s="241" t="e">
        <v>#DIV/0!</v>
      </c>
      <c r="N5047" s="241" t="e">
        <v>#DIV/0!</v>
      </c>
      <c r="O5047" s="252" t="e">
        <v>#DIV/0!</v>
      </c>
    </row>
    <row r="5048" spans="1:15">
      <c r="A5048" s="242" t="s">
        <v>71</v>
      </c>
      <c r="B5048" s="43" t="s">
        <v>57</v>
      </c>
      <c r="C5048" s="15">
        <v>2</v>
      </c>
      <c r="D5048" s="243">
        <v>0</v>
      </c>
      <c r="E5048" s="243">
        <v>0</v>
      </c>
      <c r="F5048" s="243">
        <v>2</v>
      </c>
      <c r="G5048" s="243">
        <v>0</v>
      </c>
      <c r="H5048" s="243">
        <v>0</v>
      </c>
      <c r="I5048" s="243">
        <v>0</v>
      </c>
      <c r="J5048" s="243">
        <v>0</v>
      </c>
      <c r="K5048" s="243">
        <v>0</v>
      </c>
      <c r="L5048" s="243">
        <v>0</v>
      </c>
      <c r="M5048" s="243">
        <v>0</v>
      </c>
      <c r="N5048" s="243">
        <v>0</v>
      </c>
      <c r="O5048" s="253">
        <v>0</v>
      </c>
    </row>
    <row r="5049" spans="1:15">
      <c r="A5049" s="240" t="s">
        <v>71</v>
      </c>
      <c r="B5049" s="47" t="s">
        <v>59</v>
      </c>
      <c r="C5049" s="15">
        <v>728</v>
      </c>
      <c r="D5049" s="243">
        <v>64</v>
      </c>
      <c r="E5049" s="243">
        <v>44</v>
      </c>
      <c r="F5049" s="243">
        <v>42</v>
      </c>
      <c r="G5049" s="243">
        <v>31</v>
      </c>
      <c r="H5049" s="243">
        <v>32</v>
      </c>
      <c r="I5049" s="243">
        <v>72</v>
      </c>
      <c r="J5049" s="243">
        <v>65</v>
      </c>
      <c r="K5049" s="243">
        <v>66</v>
      </c>
      <c r="L5049" s="243">
        <v>62</v>
      </c>
      <c r="M5049" s="243">
        <v>60</v>
      </c>
      <c r="N5049" s="243">
        <v>101</v>
      </c>
      <c r="O5049" s="253">
        <v>89</v>
      </c>
    </row>
    <row r="5050" spans="1:15">
      <c r="A5050" s="242" t="s">
        <v>71</v>
      </c>
      <c r="B5050" s="43" t="s">
        <v>4</v>
      </c>
      <c r="C5050" s="15">
        <v>39</v>
      </c>
      <c r="D5050" s="244">
        <v>6</v>
      </c>
      <c r="E5050" s="244">
        <v>1</v>
      </c>
      <c r="F5050" s="244">
        <v>2</v>
      </c>
      <c r="G5050" s="244">
        <v>3</v>
      </c>
      <c r="H5050" s="244">
        <v>1</v>
      </c>
      <c r="I5050" s="244">
        <v>3</v>
      </c>
      <c r="J5050" s="244">
        <v>3</v>
      </c>
      <c r="K5050" s="244">
        <v>4</v>
      </c>
      <c r="L5050" s="244">
        <v>1</v>
      </c>
      <c r="M5050" s="244">
        <v>1</v>
      </c>
      <c r="N5050" s="244">
        <v>8</v>
      </c>
      <c r="O5050" s="254">
        <v>6</v>
      </c>
    </row>
    <row r="5051" spans="1:15">
      <c r="A5051" s="240" t="s">
        <v>71</v>
      </c>
      <c r="B5051" s="47" t="s">
        <v>5</v>
      </c>
      <c r="C5051" s="241">
        <v>0.0535714285714286</v>
      </c>
      <c r="D5051" s="241">
        <v>0.09375</v>
      </c>
      <c r="E5051" s="241">
        <v>0.0227272727272727</v>
      </c>
      <c r="F5051" s="241">
        <v>0.0476190476190476</v>
      </c>
      <c r="G5051" s="241">
        <v>0.0967741935483871</v>
      </c>
      <c r="H5051" s="241">
        <v>0.03125</v>
      </c>
      <c r="I5051" s="241">
        <v>0.0416666666666667</v>
      </c>
      <c r="J5051" s="241">
        <v>0.0461538461538462</v>
      </c>
      <c r="K5051" s="241">
        <v>0.0606060606060606</v>
      </c>
      <c r="L5051" s="241">
        <v>0.0161290322580645</v>
      </c>
      <c r="M5051" s="241">
        <v>0.0166666666666667</v>
      </c>
      <c r="N5051" s="241">
        <v>0.0792079207920792</v>
      </c>
      <c r="O5051" s="252">
        <v>0.0674157303370786</v>
      </c>
    </row>
    <row r="5052" spans="1:15">
      <c r="A5052" s="242" t="s">
        <v>71</v>
      </c>
      <c r="B5052" s="43" t="s">
        <v>6</v>
      </c>
      <c r="C5052" s="15">
        <v>13</v>
      </c>
      <c r="D5052" s="244">
        <v>3</v>
      </c>
      <c r="E5052" s="244">
        <v>0</v>
      </c>
      <c r="F5052" s="244">
        <v>1</v>
      </c>
      <c r="G5052" s="244">
        <v>0</v>
      </c>
      <c r="H5052" s="244">
        <v>1</v>
      </c>
      <c r="I5052" s="244">
        <v>2</v>
      </c>
      <c r="J5052" s="244">
        <v>0</v>
      </c>
      <c r="K5052" s="244">
        <v>2</v>
      </c>
      <c r="L5052" s="244">
        <v>1</v>
      </c>
      <c r="M5052" s="244">
        <v>0</v>
      </c>
      <c r="N5052" s="244">
        <v>3</v>
      </c>
      <c r="O5052" s="254">
        <v>0</v>
      </c>
    </row>
    <row r="5053" ht="14.25" spans="1:15">
      <c r="A5053" s="245" t="s">
        <v>71</v>
      </c>
      <c r="B5053" s="52" t="s">
        <v>64</v>
      </c>
      <c r="C5053" s="19">
        <v>0.333333333333333</v>
      </c>
      <c r="D5053" s="19">
        <v>0.5</v>
      </c>
      <c r="E5053" s="19">
        <v>0</v>
      </c>
      <c r="F5053" s="19">
        <v>0.5</v>
      </c>
      <c r="G5053" s="19">
        <v>0</v>
      </c>
      <c r="H5053" s="19">
        <v>1</v>
      </c>
      <c r="I5053" s="19">
        <v>0.666666666666667</v>
      </c>
      <c r="J5053" s="19">
        <v>0</v>
      </c>
      <c r="K5053" s="19">
        <v>0.5</v>
      </c>
      <c r="L5053" s="19">
        <v>1</v>
      </c>
      <c r="M5053" s="19">
        <v>0</v>
      </c>
      <c r="N5053" s="19">
        <v>0.375</v>
      </c>
      <c r="O5053" s="19">
        <v>0</v>
      </c>
    </row>
    <row r="5054" spans="1:15">
      <c r="A5054" s="240" t="s">
        <v>72</v>
      </c>
      <c r="B5054" s="47" t="s">
        <v>55</v>
      </c>
      <c r="C5054" s="12">
        <v>0.140526976160602</v>
      </c>
      <c r="D5054" s="241">
        <v>0.185089974293059</v>
      </c>
      <c r="E5054" s="241">
        <v>0.20952380952381</v>
      </c>
      <c r="F5054" s="241">
        <v>0.198412698412698</v>
      </c>
      <c r="G5054" s="241">
        <v>0.154696132596685</v>
      </c>
      <c r="H5054" s="241">
        <v>0.145907473309609</v>
      </c>
      <c r="I5054" s="241">
        <v>0.119205298013245</v>
      </c>
      <c r="J5054" s="241">
        <v>0.130879345603272</v>
      </c>
      <c r="K5054" s="241">
        <v>0.10738255033557</v>
      </c>
      <c r="L5054" s="241">
        <v>0.140997830802603</v>
      </c>
      <c r="M5054" s="241">
        <v>0.180672268907563</v>
      </c>
      <c r="N5054" s="241">
        <v>0.10443864229765</v>
      </c>
      <c r="O5054" s="252">
        <v>0.126911314984709</v>
      </c>
    </row>
    <row r="5055" spans="1:15">
      <c r="A5055" s="242" t="s">
        <v>72</v>
      </c>
      <c r="B5055" s="43" t="s">
        <v>57</v>
      </c>
      <c r="C5055" s="15">
        <v>4782</v>
      </c>
      <c r="D5055" s="243">
        <v>389</v>
      </c>
      <c r="E5055" s="243">
        <v>210</v>
      </c>
      <c r="F5055" s="243">
        <v>126</v>
      </c>
      <c r="G5055" s="243">
        <v>181</v>
      </c>
      <c r="H5055" s="243">
        <v>281</v>
      </c>
      <c r="I5055" s="243">
        <v>302</v>
      </c>
      <c r="J5055" s="243">
        <v>489</v>
      </c>
      <c r="K5055" s="243">
        <v>447</v>
      </c>
      <c r="L5055" s="243">
        <v>461</v>
      </c>
      <c r="M5055" s="243">
        <v>476</v>
      </c>
      <c r="N5055" s="243">
        <v>766</v>
      </c>
      <c r="O5055" s="253">
        <v>654</v>
      </c>
    </row>
    <row r="5056" spans="1:15">
      <c r="A5056" s="240" t="s">
        <v>72</v>
      </c>
      <c r="B5056" s="47" t="s">
        <v>59</v>
      </c>
      <c r="C5056" s="15">
        <v>672</v>
      </c>
      <c r="D5056" s="243">
        <v>72</v>
      </c>
      <c r="E5056" s="243">
        <v>44</v>
      </c>
      <c r="F5056" s="243">
        <v>25</v>
      </c>
      <c r="G5056" s="243">
        <v>28</v>
      </c>
      <c r="H5056" s="243">
        <v>41</v>
      </c>
      <c r="I5056" s="243">
        <v>36</v>
      </c>
      <c r="J5056" s="243">
        <v>64</v>
      </c>
      <c r="K5056" s="243">
        <v>48</v>
      </c>
      <c r="L5056" s="243">
        <v>65</v>
      </c>
      <c r="M5056" s="243">
        <v>86</v>
      </c>
      <c r="N5056" s="243">
        <v>80</v>
      </c>
      <c r="O5056" s="253">
        <v>83</v>
      </c>
    </row>
    <row r="5057" spans="1:15">
      <c r="A5057" s="242" t="s">
        <v>72</v>
      </c>
      <c r="B5057" s="43" t="s">
        <v>4</v>
      </c>
      <c r="C5057" s="15">
        <v>58</v>
      </c>
      <c r="D5057" s="244">
        <v>8</v>
      </c>
      <c r="E5057" s="244">
        <v>4</v>
      </c>
      <c r="F5057" s="244">
        <v>1</v>
      </c>
      <c r="G5057" s="244">
        <v>1</v>
      </c>
      <c r="H5057" s="244">
        <v>3</v>
      </c>
      <c r="I5057" s="244">
        <v>1</v>
      </c>
      <c r="J5057" s="244">
        <v>5</v>
      </c>
      <c r="K5057" s="244">
        <v>1</v>
      </c>
      <c r="L5057" s="244">
        <v>9</v>
      </c>
      <c r="M5057" s="244">
        <v>4</v>
      </c>
      <c r="N5057" s="244">
        <v>11</v>
      </c>
      <c r="O5057" s="254">
        <v>10</v>
      </c>
    </row>
    <row r="5058" spans="1:15">
      <c r="A5058" s="240" t="s">
        <v>72</v>
      </c>
      <c r="B5058" s="47" t="s">
        <v>5</v>
      </c>
      <c r="C5058" s="12">
        <v>0.0863095238095238</v>
      </c>
      <c r="D5058" s="241">
        <v>0.111111111111111</v>
      </c>
      <c r="E5058" s="241">
        <v>0.0909090909090909</v>
      </c>
      <c r="F5058" s="241">
        <v>0.04</v>
      </c>
      <c r="G5058" s="241">
        <v>0.0357142857142857</v>
      </c>
      <c r="H5058" s="241">
        <v>0.0731707317073171</v>
      </c>
      <c r="I5058" s="241">
        <v>0.0277777777777778</v>
      </c>
      <c r="J5058" s="241">
        <v>0.078125</v>
      </c>
      <c r="K5058" s="241">
        <v>0.0208333333333333</v>
      </c>
      <c r="L5058" s="241">
        <v>0.138461538461538</v>
      </c>
      <c r="M5058" s="241">
        <v>0.0465116279069767</v>
      </c>
      <c r="N5058" s="241">
        <v>0.1375</v>
      </c>
      <c r="O5058" s="252">
        <v>0.120481927710843</v>
      </c>
    </row>
    <row r="5059" spans="1:15">
      <c r="A5059" s="242" t="s">
        <v>72</v>
      </c>
      <c r="B5059" s="43" t="s">
        <v>6</v>
      </c>
      <c r="C5059" s="15">
        <v>14</v>
      </c>
      <c r="D5059" s="244">
        <v>2</v>
      </c>
      <c r="E5059" s="244">
        <v>3</v>
      </c>
      <c r="F5059" s="244">
        <v>0</v>
      </c>
      <c r="G5059" s="244">
        <v>1</v>
      </c>
      <c r="H5059" s="244">
        <v>0</v>
      </c>
      <c r="I5059" s="244">
        <v>2</v>
      </c>
      <c r="J5059" s="244">
        <v>1</v>
      </c>
      <c r="K5059" s="244">
        <v>0</v>
      </c>
      <c r="L5059" s="244">
        <v>0</v>
      </c>
      <c r="M5059" s="244">
        <v>2</v>
      </c>
      <c r="N5059" s="244">
        <v>2</v>
      </c>
      <c r="O5059" s="254">
        <v>1</v>
      </c>
    </row>
    <row r="5060" ht="14.25" spans="1:15">
      <c r="A5060" s="245" t="s">
        <v>72</v>
      </c>
      <c r="B5060" s="52" t="s">
        <v>64</v>
      </c>
      <c r="C5060" s="19">
        <v>0.241379310344828</v>
      </c>
      <c r="D5060" s="19">
        <v>0.25</v>
      </c>
      <c r="E5060" s="19">
        <v>0.75</v>
      </c>
      <c r="F5060" s="19">
        <v>0</v>
      </c>
      <c r="G5060" s="19">
        <v>1</v>
      </c>
      <c r="H5060" s="19">
        <v>0</v>
      </c>
      <c r="I5060" s="19">
        <v>2</v>
      </c>
      <c r="J5060" s="19">
        <v>0.2</v>
      </c>
      <c r="K5060" s="19">
        <v>0</v>
      </c>
      <c r="L5060" s="19">
        <v>0</v>
      </c>
      <c r="M5060" s="19">
        <v>0.5</v>
      </c>
      <c r="N5060" s="19">
        <v>0.181818181818182</v>
      </c>
      <c r="O5060" s="19">
        <v>0.1</v>
      </c>
    </row>
    <row r="5061" ht="14.25" spans="1:15">
      <c r="A5061" s="237">
        <v>45097</v>
      </c>
      <c r="B5061" s="237"/>
      <c r="C5061" s="237"/>
      <c r="D5061" s="237"/>
      <c r="E5061" s="237"/>
      <c r="F5061" s="237"/>
      <c r="G5061" s="237"/>
      <c r="H5061" s="237"/>
      <c r="I5061" s="237"/>
      <c r="J5061" s="237"/>
      <c r="K5061" s="237"/>
      <c r="L5061" s="237"/>
      <c r="M5061" s="237"/>
      <c r="N5061" s="237"/>
      <c r="O5061" s="237"/>
    </row>
    <row r="5062" spans="1:15">
      <c r="A5062" s="56" t="s">
        <v>1</v>
      </c>
      <c r="B5062" s="238"/>
      <c r="C5062" s="8" t="s">
        <v>42</v>
      </c>
      <c r="D5062" s="239" t="s">
        <v>43</v>
      </c>
      <c r="E5062" s="239" t="s">
        <v>44</v>
      </c>
      <c r="F5062" s="239" t="s">
        <v>45</v>
      </c>
      <c r="G5062" s="239" t="s">
        <v>46</v>
      </c>
      <c r="H5062" s="239" t="s">
        <v>47</v>
      </c>
      <c r="I5062" s="239" t="s">
        <v>48</v>
      </c>
      <c r="J5062" s="239" t="s">
        <v>49</v>
      </c>
      <c r="K5062" s="239" t="s">
        <v>50</v>
      </c>
      <c r="L5062" s="239" t="s">
        <v>51</v>
      </c>
      <c r="M5062" s="239" t="s">
        <v>52</v>
      </c>
      <c r="N5062" s="239" t="s">
        <v>53</v>
      </c>
      <c r="O5062" s="251" t="s">
        <v>54</v>
      </c>
    </row>
    <row r="5063" spans="1:15">
      <c r="A5063" s="240" t="s">
        <v>22</v>
      </c>
      <c r="B5063" s="47" t="s">
        <v>55</v>
      </c>
      <c r="C5063" s="12">
        <v>0.85025817555938</v>
      </c>
      <c r="D5063" s="241">
        <v>0.842911877394636</v>
      </c>
      <c r="E5063" s="241">
        <v>0.921259842519685</v>
      </c>
      <c r="F5063" s="241">
        <v>0.784090909090909</v>
      </c>
      <c r="G5063" s="241">
        <v>0.968421052631579</v>
      </c>
      <c r="H5063" s="241">
        <v>0.830508474576271</v>
      </c>
      <c r="I5063" s="241">
        <v>0.798941798941799</v>
      </c>
      <c r="J5063" s="241">
        <v>0.879807692307692</v>
      </c>
      <c r="K5063" s="241">
        <v>0.745173745173745</v>
      </c>
      <c r="L5063" s="241">
        <v>0.85981308411215</v>
      </c>
      <c r="M5063" s="241">
        <v>1.02906976744186</v>
      </c>
      <c r="N5063" s="241">
        <v>0.761904761904762</v>
      </c>
      <c r="O5063" s="252">
        <v>0.881188118811881</v>
      </c>
    </row>
    <row r="5064" spans="1:15">
      <c r="A5064" s="242" t="s">
        <v>22</v>
      </c>
      <c r="B5064" s="43" t="s">
        <v>57</v>
      </c>
      <c r="C5064" s="15">
        <v>2324</v>
      </c>
      <c r="D5064" s="243">
        <v>261</v>
      </c>
      <c r="E5064" s="243">
        <v>127</v>
      </c>
      <c r="F5064" s="243">
        <v>88</v>
      </c>
      <c r="G5064" s="243">
        <v>95</v>
      </c>
      <c r="H5064" s="243">
        <v>177</v>
      </c>
      <c r="I5064" s="243">
        <v>189</v>
      </c>
      <c r="J5064" s="243">
        <v>208</v>
      </c>
      <c r="K5064" s="243">
        <v>259</v>
      </c>
      <c r="L5064" s="243">
        <v>214</v>
      </c>
      <c r="M5064" s="243">
        <v>172</v>
      </c>
      <c r="N5064" s="243">
        <v>231</v>
      </c>
      <c r="O5064" s="253">
        <v>303</v>
      </c>
    </row>
    <row r="5065" spans="1:15">
      <c r="A5065" s="240" t="s">
        <v>22</v>
      </c>
      <c r="B5065" s="47" t="s">
        <v>59</v>
      </c>
      <c r="C5065" s="15">
        <v>1976</v>
      </c>
      <c r="D5065" s="243">
        <v>220</v>
      </c>
      <c r="E5065" s="243">
        <v>117</v>
      </c>
      <c r="F5065" s="243">
        <v>69</v>
      </c>
      <c r="G5065" s="243">
        <v>92</v>
      </c>
      <c r="H5065" s="243">
        <v>147</v>
      </c>
      <c r="I5065" s="243">
        <v>151</v>
      </c>
      <c r="J5065" s="243">
        <v>183</v>
      </c>
      <c r="K5065" s="243">
        <v>193</v>
      </c>
      <c r="L5065" s="243">
        <v>184</v>
      </c>
      <c r="M5065" s="243">
        <v>177</v>
      </c>
      <c r="N5065" s="243">
        <v>176</v>
      </c>
      <c r="O5065" s="253">
        <v>267</v>
      </c>
    </row>
    <row r="5066" spans="1:15">
      <c r="A5066" s="242" t="s">
        <v>22</v>
      </c>
      <c r="B5066" s="43" t="s">
        <v>4</v>
      </c>
      <c r="C5066" s="15">
        <v>47</v>
      </c>
      <c r="D5066" s="244">
        <v>6</v>
      </c>
      <c r="E5066" s="244">
        <v>3</v>
      </c>
      <c r="F5066" s="244">
        <v>3</v>
      </c>
      <c r="G5066" s="244">
        <v>1</v>
      </c>
      <c r="H5066" s="244">
        <v>2</v>
      </c>
      <c r="I5066" s="244">
        <v>5</v>
      </c>
      <c r="J5066" s="244">
        <v>3</v>
      </c>
      <c r="K5066" s="244">
        <v>5</v>
      </c>
      <c r="L5066" s="244">
        <v>6</v>
      </c>
      <c r="M5066" s="244">
        <v>7</v>
      </c>
      <c r="N5066" s="244">
        <v>2</v>
      </c>
      <c r="O5066" s="254">
        <v>4</v>
      </c>
    </row>
    <row r="5067" spans="1:15">
      <c r="A5067" s="240" t="s">
        <v>22</v>
      </c>
      <c r="B5067" s="47" t="s">
        <v>5</v>
      </c>
      <c r="C5067" s="12">
        <v>0.0237854251012146</v>
      </c>
      <c r="D5067" s="241">
        <v>0.0272727272727273</v>
      </c>
      <c r="E5067" s="241">
        <v>0.0256410256410256</v>
      </c>
      <c r="F5067" s="241">
        <v>0.0434782608695652</v>
      </c>
      <c r="G5067" s="241">
        <v>0.0108695652173913</v>
      </c>
      <c r="H5067" s="241">
        <v>0.0136054421768707</v>
      </c>
      <c r="I5067" s="241">
        <v>0.033112582781457</v>
      </c>
      <c r="J5067" s="241">
        <v>0.0163934426229508</v>
      </c>
      <c r="K5067" s="241">
        <v>0.0259067357512953</v>
      </c>
      <c r="L5067" s="241">
        <v>0.0326086956521739</v>
      </c>
      <c r="M5067" s="241">
        <v>0.0395480225988701</v>
      </c>
      <c r="N5067" s="241">
        <v>0.0113636363636364</v>
      </c>
      <c r="O5067" s="252">
        <v>0.0149812734082397</v>
      </c>
    </row>
    <row r="5068" spans="1:15">
      <c r="A5068" s="242" t="s">
        <v>22</v>
      </c>
      <c r="B5068" s="43" t="s">
        <v>6</v>
      </c>
      <c r="C5068" s="15">
        <v>17</v>
      </c>
      <c r="D5068" s="244">
        <v>1</v>
      </c>
      <c r="E5068" s="244">
        <v>0</v>
      </c>
      <c r="F5068" s="244">
        <v>0</v>
      </c>
      <c r="G5068" s="244">
        <v>0</v>
      </c>
      <c r="H5068" s="244">
        <v>2</v>
      </c>
      <c r="I5068" s="244">
        <v>0</v>
      </c>
      <c r="J5068" s="244">
        <v>1</v>
      </c>
      <c r="K5068" s="244">
        <v>2</v>
      </c>
      <c r="L5068" s="244">
        <v>4</v>
      </c>
      <c r="M5068" s="244">
        <v>4</v>
      </c>
      <c r="N5068" s="244">
        <v>1</v>
      </c>
      <c r="O5068" s="254">
        <v>2</v>
      </c>
    </row>
    <row r="5069" ht="14.25" spans="1:15">
      <c r="A5069" s="245" t="s">
        <v>22</v>
      </c>
      <c r="B5069" s="52" t="s">
        <v>64</v>
      </c>
      <c r="C5069" s="19">
        <v>0.361702127659574</v>
      </c>
      <c r="D5069" s="246">
        <v>0.166666666666667</v>
      </c>
      <c r="E5069" s="246">
        <v>0</v>
      </c>
      <c r="F5069" s="246">
        <v>0</v>
      </c>
      <c r="G5069" s="246">
        <v>0</v>
      </c>
      <c r="H5069" s="246">
        <v>1</v>
      </c>
      <c r="I5069" s="246">
        <v>0</v>
      </c>
      <c r="J5069" s="246">
        <v>0.333333333333333</v>
      </c>
      <c r="K5069" s="246">
        <v>0.4</v>
      </c>
      <c r="L5069" s="246">
        <v>0.666666666666667</v>
      </c>
      <c r="M5069" s="246">
        <v>0.571428571428571</v>
      </c>
      <c r="N5069" s="246">
        <v>0.5</v>
      </c>
      <c r="O5069" s="255">
        <v>0.5</v>
      </c>
    </row>
    <row r="5070" spans="1:15">
      <c r="A5070" s="247" t="s">
        <v>66</v>
      </c>
      <c r="B5070" s="248" t="s">
        <v>55</v>
      </c>
      <c r="C5070" s="12">
        <v>0.0850111856823266</v>
      </c>
      <c r="D5070" s="249">
        <v>0.13125</v>
      </c>
      <c r="E5070" s="249">
        <v>0.0394088669950739</v>
      </c>
      <c r="F5070" s="249">
        <v>0.0271739130434783</v>
      </c>
      <c r="G5070" s="249">
        <v>0.0661764705882353</v>
      </c>
      <c r="H5070" s="249">
        <v>0.0538461538461538</v>
      </c>
      <c r="I5070" s="249">
        <v>0.0723684210526316</v>
      </c>
      <c r="J5070" s="249">
        <v>0.0718232044198895</v>
      </c>
      <c r="K5070" s="249">
        <v>0.0839160839160839</v>
      </c>
      <c r="L5070" s="249">
        <v>0.104347826086957</v>
      </c>
      <c r="M5070" s="249">
        <v>0.114285714285714</v>
      </c>
      <c r="N5070" s="249">
        <v>0.141843971631206</v>
      </c>
      <c r="O5070" s="256">
        <v>0.159420289855072</v>
      </c>
    </row>
    <row r="5071" spans="1:15">
      <c r="A5071" s="242" t="s">
        <v>66</v>
      </c>
      <c r="B5071" s="43" t="s">
        <v>57</v>
      </c>
      <c r="C5071" s="15">
        <v>1788</v>
      </c>
      <c r="D5071" s="243">
        <v>160</v>
      </c>
      <c r="E5071" s="243">
        <v>203</v>
      </c>
      <c r="F5071" s="243">
        <v>184</v>
      </c>
      <c r="G5071" s="243">
        <v>136</v>
      </c>
      <c r="H5071" s="243">
        <v>130</v>
      </c>
      <c r="I5071" s="243">
        <v>152</v>
      </c>
      <c r="J5071" s="243">
        <v>181</v>
      </c>
      <c r="K5071" s="243">
        <v>143</v>
      </c>
      <c r="L5071" s="243">
        <v>115</v>
      </c>
      <c r="M5071" s="243">
        <v>105</v>
      </c>
      <c r="N5071" s="243">
        <v>141</v>
      </c>
      <c r="O5071" s="253">
        <v>138</v>
      </c>
    </row>
    <row r="5072" spans="1:15">
      <c r="A5072" s="240" t="s">
        <v>66</v>
      </c>
      <c r="B5072" s="47" t="s">
        <v>59</v>
      </c>
      <c r="C5072" s="15">
        <v>152</v>
      </c>
      <c r="D5072" s="243">
        <v>21</v>
      </c>
      <c r="E5072" s="243">
        <v>8</v>
      </c>
      <c r="F5072" s="243">
        <v>5</v>
      </c>
      <c r="G5072" s="243">
        <v>9</v>
      </c>
      <c r="H5072" s="243">
        <v>7</v>
      </c>
      <c r="I5072" s="243">
        <v>11</v>
      </c>
      <c r="J5072" s="243">
        <v>13</v>
      </c>
      <c r="K5072" s="243">
        <v>12</v>
      </c>
      <c r="L5072" s="243">
        <v>12</v>
      </c>
      <c r="M5072" s="243">
        <v>12</v>
      </c>
      <c r="N5072" s="243">
        <v>20</v>
      </c>
      <c r="O5072" s="253">
        <v>22</v>
      </c>
    </row>
    <row r="5073" spans="1:15">
      <c r="A5073" s="242" t="s">
        <v>66</v>
      </c>
      <c r="B5073" s="43" t="s">
        <v>4</v>
      </c>
      <c r="C5073" s="15">
        <v>11</v>
      </c>
      <c r="D5073" s="244">
        <v>1</v>
      </c>
      <c r="E5073" s="244">
        <v>1</v>
      </c>
      <c r="F5073" s="244">
        <v>1</v>
      </c>
      <c r="G5073" s="244">
        <v>0</v>
      </c>
      <c r="H5073" s="244">
        <v>0</v>
      </c>
      <c r="I5073" s="244">
        <v>1</v>
      </c>
      <c r="J5073" s="244">
        <v>1</v>
      </c>
      <c r="K5073" s="244">
        <v>0</v>
      </c>
      <c r="L5073" s="244">
        <v>2</v>
      </c>
      <c r="M5073" s="244">
        <v>1</v>
      </c>
      <c r="N5073" s="244">
        <v>2</v>
      </c>
      <c r="O5073" s="254">
        <v>1</v>
      </c>
    </row>
    <row r="5074" spans="1:15">
      <c r="A5074" s="240" t="s">
        <v>66</v>
      </c>
      <c r="B5074" s="47" t="s">
        <v>5</v>
      </c>
      <c r="C5074" s="12">
        <v>0.0723684210526316</v>
      </c>
      <c r="D5074" s="241">
        <v>0.0476190476190476</v>
      </c>
      <c r="E5074" s="241">
        <v>0.125</v>
      </c>
      <c r="F5074" s="241">
        <v>0.2</v>
      </c>
      <c r="G5074" s="241">
        <v>0</v>
      </c>
      <c r="H5074" s="241">
        <v>0</v>
      </c>
      <c r="I5074" s="241">
        <v>0.0909090909090909</v>
      </c>
      <c r="J5074" s="241">
        <v>0.0769230769230769</v>
      </c>
      <c r="K5074" s="241">
        <v>0</v>
      </c>
      <c r="L5074" s="241">
        <v>0.166666666666667</v>
      </c>
      <c r="M5074" s="241">
        <v>0.0833333333333333</v>
      </c>
      <c r="N5074" s="241">
        <v>0.1</v>
      </c>
      <c r="O5074" s="252">
        <v>0.0454545454545455</v>
      </c>
    </row>
    <row r="5075" spans="1:15">
      <c r="A5075" s="242" t="s">
        <v>66</v>
      </c>
      <c r="B5075" s="43" t="s">
        <v>6</v>
      </c>
      <c r="C5075" s="15">
        <v>3</v>
      </c>
      <c r="D5075" s="244">
        <v>0</v>
      </c>
      <c r="E5075" s="244">
        <v>0</v>
      </c>
      <c r="F5075" s="244">
        <v>0</v>
      </c>
      <c r="G5075" s="244">
        <v>0</v>
      </c>
      <c r="H5075" s="244">
        <v>0</v>
      </c>
      <c r="I5075" s="244">
        <v>0</v>
      </c>
      <c r="J5075" s="244">
        <v>0</v>
      </c>
      <c r="K5075" s="244">
        <v>0</v>
      </c>
      <c r="L5075" s="244">
        <v>0</v>
      </c>
      <c r="M5075" s="244">
        <v>1</v>
      </c>
      <c r="N5075" s="244">
        <v>0</v>
      </c>
      <c r="O5075" s="254">
        <v>2</v>
      </c>
    </row>
    <row r="5076" ht="14.25" spans="1:15">
      <c r="A5076" s="245" t="s">
        <v>66</v>
      </c>
      <c r="B5076" s="52" t="s">
        <v>64</v>
      </c>
      <c r="C5076" s="19">
        <v>0.272727272727273</v>
      </c>
      <c r="D5076" s="246">
        <v>0</v>
      </c>
      <c r="E5076" s="246">
        <v>0</v>
      </c>
      <c r="F5076" s="246">
        <v>0</v>
      </c>
      <c r="G5076" s="246">
        <v>0</v>
      </c>
      <c r="H5076" s="246">
        <v>0</v>
      </c>
      <c r="I5076" s="246">
        <v>0</v>
      </c>
      <c r="J5076" s="246">
        <v>0</v>
      </c>
      <c r="K5076" s="246">
        <v>0</v>
      </c>
      <c r="L5076" s="246">
        <v>0</v>
      </c>
      <c r="M5076" s="246">
        <v>1</v>
      </c>
      <c r="N5076" s="246">
        <v>0</v>
      </c>
      <c r="O5076" s="255">
        <v>2</v>
      </c>
    </row>
    <row r="5077" spans="1:15">
      <c r="A5077" s="240" t="s">
        <v>67</v>
      </c>
      <c r="B5077" s="47" t="s">
        <v>55</v>
      </c>
      <c r="C5077" s="12">
        <v>0.527987897125567</v>
      </c>
      <c r="D5077" s="241">
        <v>0.556701030927835</v>
      </c>
      <c r="E5077" s="241">
        <v>0.55</v>
      </c>
      <c r="F5077" s="241">
        <v>0.371428571428571</v>
      </c>
      <c r="G5077" s="241">
        <v>1</v>
      </c>
      <c r="H5077" s="241">
        <v>0.390243902439024</v>
      </c>
      <c r="I5077" s="241">
        <v>0.462962962962963</v>
      </c>
      <c r="J5077" s="241">
        <v>0.38961038961039</v>
      </c>
      <c r="K5077" s="241">
        <v>0.574074074074074</v>
      </c>
      <c r="L5077" s="241">
        <v>0.56</v>
      </c>
      <c r="M5077" s="241">
        <v>0.517241379310345</v>
      </c>
      <c r="N5077" s="241">
        <v>0.571428571428571</v>
      </c>
      <c r="O5077" s="252">
        <v>0.592105263157895</v>
      </c>
    </row>
    <row r="5078" spans="1:15">
      <c r="A5078" s="242" t="s">
        <v>67</v>
      </c>
      <c r="B5078" s="43" t="s">
        <v>57</v>
      </c>
      <c r="C5078" s="15">
        <v>661</v>
      </c>
      <c r="D5078" s="243">
        <v>97</v>
      </c>
      <c r="E5078" s="243">
        <v>40</v>
      </c>
      <c r="F5078" s="243">
        <v>35</v>
      </c>
      <c r="G5078" s="243">
        <v>23</v>
      </c>
      <c r="H5078" s="243">
        <v>41</v>
      </c>
      <c r="I5078" s="243">
        <v>54</v>
      </c>
      <c r="J5078" s="243">
        <v>77</v>
      </c>
      <c r="K5078" s="243">
        <v>54</v>
      </c>
      <c r="L5078" s="243">
        <v>50</v>
      </c>
      <c r="M5078" s="243">
        <v>58</v>
      </c>
      <c r="N5078" s="243">
        <v>56</v>
      </c>
      <c r="O5078" s="253">
        <v>76</v>
      </c>
    </row>
    <row r="5079" spans="1:15">
      <c r="A5079" s="240" t="s">
        <v>67</v>
      </c>
      <c r="B5079" s="47" t="s">
        <v>59</v>
      </c>
      <c r="C5079" s="15">
        <v>349</v>
      </c>
      <c r="D5079" s="243">
        <v>54</v>
      </c>
      <c r="E5079" s="243">
        <v>22</v>
      </c>
      <c r="F5079" s="243">
        <v>13</v>
      </c>
      <c r="G5079" s="243">
        <v>23</v>
      </c>
      <c r="H5079" s="243">
        <v>16</v>
      </c>
      <c r="I5079" s="243">
        <v>25</v>
      </c>
      <c r="J5079" s="243">
        <v>30</v>
      </c>
      <c r="K5079" s="243">
        <v>31</v>
      </c>
      <c r="L5079" s="243">
        <v>28</v>
      </c>
      <c r="M5079" s="243">
        <v>30</v>
      </c>
      <c r="N5079" s="243">
        <v>32</v>
      </c>
      <c r="O5079" s="253">
        <v>45</v>
      </c>
    </row>
    <row r="5080" spans="1:15">
      <c r="A5080" s="242" t="s">
        <v>67</v>
      </c>
      <c r="B5080" s="43" t="s">
        <v>4</v>
      </c>
      <c r="C5080" s="15">
        <v>20</v>
      </c>
      <c r="D5080" s="244">
        <v>3</v>
      </c>
      <c r="E5080" s="244">
        <v>0</v>
      </c>
      <c r="F5080" s="244">
        <v>0</v>
      </c>
      <c r="G5080" s="244">
        <v>0</v>
      </c>
      <c r="H5080" s="244">
        <v>0</v>
      </c>
      <c r="I5080" s="244">
        <v>0</v>
      </c>
      <c r="J5080" s="244">
        <v>2</v>
      </c>
      <c r="K5080" s="244">
        <v>4</v>
      </c>
      <c r="L5080" s="244">
        <v>2</v>
      </c>
      <c r="M5080" s="244">
        <v>3</v>
      </c>
      <c r="N5080" s="244">
        <v>3</v>
      </c>
      <c r="O5080" s="254">
        <v>3</v>
      </c>
    </row>
    <row r="5081" spans="1:15">
      <c r="A5081" s="240" t="s">
        <v>67</v>
      </c>
      <c r="B5081" s="47" t="s">
        <v>5</v>
      </c>
      <c r="C5081" s="12">
        <v>0.0573065902578797</v>
      </c>
      <c r="D5081" s="241">
        <v>0.0555555555555556</v>
      </c>
      <c r="E5081" s="241">
        <v>0</v>
      </c>
      <c r="F5081" s="241">
        <v>0</v>
      </c>
      <c r="G5081" s="241">
        <v>0</v>
      </c>
      <c r="H5081" s="241">
        <v>0</v>
      </c>
      <c r="I5081" s="241">
        <v>0</v>
      </c>
      <c r="J5081" s="241">
        <v>0.0666666666666667</v>
      </c>
      <c r="K5081" s="241">
        <v>0.129032258064516</v>
      </c>
      <c r="L5081" s="241">
        <v>0.0714285714285714</v>
      </c>
      <c r="M5081" s="241">
        <v>0.1</v>
      </c>
      <c r="N5081" s="241">
        <v>0.09375</v>
      </c>
      <c r="O5081" s="252">
        <v>0.0666666666666667</v>
      </c>
    </row>
    <row r="5082" spans="1:15">
      <c r="A5082" s="242" t="s">
        <v>67</v>
      </c>
      <c r="B5082" s="43" t="s">
        <v>6</v>
      </c>
      <c r="C5082" s="15">
        <v>6</v>
      </c>
      <c r="D5082" s="244">
        <v>1</v>
      </c>
      <c r="E5082" s="244">
        <v>1</v>
      </c>
      <c r="F5082" s="244">
        <v>0</v>
      </c>
      <c r="G5082" s="244">
        <v>0</v>
      </c>
      <c r="H5082" s="244">
        <v>0</v>
      </c>
      <c r="I5082" s="244">
        <v>0</v>
      </c>
      <c r="J5082" s="244">
        <v>0</v>
      </c>
      <c r="K5082" s="244">
        <v>0</v>
      </c>
      <c r="L5082" s="244">
        <v>0</v>
      </c>
      <c r="M5082" s="244">
        <v>2</v>
      </c>
      <c r="N5082" s="244">
        <v>2</v>
      </c>
      <c r="O5082" s="254">
        <v>0</v>
      </c>
    </row>
    <row r="5083" ht="14.25" spans="1:15">
      <c r="A5083" s="245" t="s">
        <v>67</v>
      </c>
      <c r="B5083" s="52" t="s">
        <v>64</v>
      </c>
      <c r="C5083" s="19">
        <v>0.3</v>
      </c>
      <c r="D5083" s="246">
        <v>0.333333333333333</v>
      </c>
      <c r="E5083" s="246">
        <v>0</v>
      </c>
      <c r="F5083" s="246">
        <v>0</v>
      </c>
      <c r="G5083" s="246">
        <v>0</v>
      </c>
      <c r="H5083" s="246">
        <v>0</v>
      </c>
      <c r="I5083" s="246">
        <v>0</v>
      </c>
      <c r="J5083" s="246">
        <v>0</v>
      </c>
      <c r="K5083" s="246">
        <v>0</v>
      </c>
      <c r="L5083" s="246">
        <v>0</v>
      </c>
      <c r="M5083" s="246">
        <v>0.666666666666667</v>
      </c>
      <c r="N5083" s="246">
        <v>0.666666666666667</v>
      </c>
      <c r="O5083" s="255">
        <v>0</v>
      </c>
    </row>
    <row r="5084" spans="1:15">
      <c r="A5084" s="240" t="s">
        <v>68</v>
      </c>
      <c r="B5084" s="47" t="s">
        <v>55</v>
      </c>
      <c r="C5084" s="12">
        <v>0.249086034608823</v>
      </c>
      <c r="D5084" s="241">
        <v>0.331476323119777</v>
      </c>
      <c r="E5084" s="241">
        <v>0.24468085106383</v>
      </c>
      <c r="F5084" s="241">
        <v>0.298850574712644</v>
      </c>
      <c r="G5084" s="241">
        <v>0.435114503816794</v>
      </c>
      <c r="H5084" s="241">
        <v>0.276923076923077</v>
      </c>
      <c r="I5084" s="241">
        <v>0.256637168141593</v>
      </c>
      <c r="J5084" s="241">
        <v>0.227777777777778</v>
      </c>
      <c r="K5084" s="241">
        <v>0.211180124223602</v>
      </c>
      <c r="L5084" s="241">
        <v>0.236725663716814</v>
      </c>
      <c r="M5084" s="241">
        <v>0.206812652068127</v>
      </c>
      <c r="N5084" s="241">
        <v>0.242696629213483</v>
      </c>
      <c r="O5084" s="252">
        <v>0.209580838323353</v>
      </c>
    </row>
    <row r="5085" spans="1:15">
      <c r="A5085" s="242" t="s">
        <v>68</v>
      </c>
      <c r="B5085" s="43" t="s">
        <v>57</v>
      </c>
      <c r="C5085" s="15">
        <v>4103</v>
      </c>
      <c r="D5085" s="243">
        <v>359</v>
      </c>
      <c r="E5085" s="243">
        <v>188</v>
      </c>
      <c r="F5085" s="243">
        <v>174</v>
      </c>
      <c r="G5085" s="243">
        <v>131</v>
      </c>
      <c r="H5085" s="243">
        <v>260</v>
      </c>
      <c r="I5085" s="243">
        <v>339</v>
      </c>
      <c r="J5085" s="243">
        <v>360</v>
      </c>
      <c r="K5085" s="243">
        <v>483</v>
      </c>
      <c r="L5085" s="243">
        <v>452</v>
      </c>
      <c r="M5085" s="243">
        <v>411</v>
      </c>
      <c r="N5085" s="243">
        <v>445</v>
      </c>
      <c r="O5085" s="253">
        <v>501</v>
      </c>
    </row>
    <row r="5086" spans="1:15">
      <c r="A5086" s="240" t="s">
        <v>68</v>
      </c>
      <c r="B5086" s="47" t="s">
        <v>59</v>
      </c>
      <c r="C5086" s="15">
        <v>1022</v>
      </c>
      <c r="D5086" s="243">
        <v>119</v>
      </c>
      <c r="E5086" s="243">
        <v>46</v>
      </c>
      <c r="F5086" s="243">
        <v>52</v>
      </c>
      <c r="G5086" s="243">
        <v>57</v>
      </c>
      <c r="H5086" s="243">
        <v>72</v>
      </c>
      <c r="I5086" s="243">
        <v>87</v>
      </c>
      <c r="J5086" s="243">
        <v>82</v>
      </c>
      <c r="K5086" s="243">
        <v>102</v>
      </c>
      <c r="L5086" s="243">
        <v>107</v>
      </c>
      <c r="M5086" s="243">
        <v>85</v>
      </c>
      <c r="N5086" s="243">
        <v>108</v>
      </c>
      <c r="O5086" s="253">
        <v>105</v>
      </c>
    </row>
    <row r="5087" spans="1:15">
      <c r="A5087" s="242" t="s">
        <v>68</v>
      </c>
      <c r="B5087" s="43" t="s">
        <v>4</v>
      </c>
      <c r="C5087" s="15">
        <v>78</v>
      </c>
      <c r="D5087" s="244">
        <v>7</v>
      </c>
      <c r="E5087" s="244">
        <v>3</v>
      </c>
      <c r="F5087" s="244">
        <v>2</v>
      </c>
      <c r="G5087" s="244">
        <v>1</v>
      </c>
      <c r="H5087" s="244">
        <v>4</v>
      </c>
      <c r="I5087" s="244">
        <v>5</v>
      </c>
      <c r="J5087" s="244">
        <v>10</v>
      </c>
      <c r="K5087" s="244">
        <v>6</v>
      </c>
      <c r="L5087" s="244">
        <v>9</v>
      </c>
      <c r="M5087" s="244">
        <v>6</v>
      </c>
      <c r="N5087" s="244">
        <v>10</v>
      </c>
      <c r="O5087" s="254">
        <v>15</v>
      </c>
    </row>
    <row r="5088" spans="1:15">
      <c r="A5088" s="240" t="s">
        <v>68</v>
      </c>
      <c r="B5088" s="47" t="s">
        <v>5</v>
      </c>
      <c r="C5088" s="12">
        <v>0.076320939334638</v>
      </c>
      <c r="D5088" s="241">
        <v>0.0588235294117647</v>
      </c>
      <c r="E5088" s="241">
        <v>0.0652173913043478</v>
      </c>
      <c r="F5088" s="241">
        <v>0.0384615384615385</v>
      </c>
      <c r="G5088" s="241">
        <v>0.0175438596491228</v>
      </c>
      <c r="H5088" s="241">
        <v>0.0555555555555556</v>
      </c>
      <c r="I5088" s="241">
        <v>0.0574712643678161</v>
      </c>
      <c r="J5088" s="241">
        <v>0.121951219512195</v>
      </c>
      <c r="K5088" s="241">
        <v>0.0588235294117647</v>
      </c>
      <c r="L5088" s="241">
        <v>0.0841121495327103</v>
      </c>
      <c r="M5088" s="241">
        <v>0.0705882352941176</v>
      </c>
      <c r="N5088" s="241">
        <v>0.0925925925925926</v>
      </c>
      <c r="O5088" s="252">
        <v>0.142857142857143</v>
      </c>
    </row>
    <row r="5089" spans="1:15">
      <c r="A5089" s="242" t="s">
        <v>68</v>
      </c>
      <c r="B5089" s="43" t="s">
        <v>6</v>
      </c>
      <c r="C5089" s="15">
        <v>20</v>
      </c>
      <c r="D5089" s="244">
        <v>1</v>
      </c>
      <c r="E5089" s="244">
        <v>3</v>
      </c>
      <c r="F5089" s="244">
        <v>0</v>
      </c>
      <c r="G5089" s="244">
        <v>0</v>
      </c>
      <c r="H5089" s="244">
        <v>1</v>
      </c>
      <c r="I5089" s="244">
        <v>1</v>
      </c>
      <c r="J5089" s="244">
        <v>0</v>
      </c>
      <c r="K5089" s="244">
        <v>2</v>
      </c>
      <c r="L5089" s="244">
        <v>2</v>
      </c>
      <c r="M5089" s="244">
        <v>4</v>
      </c>
      <c r="N5089" s="244">
        <v>3</v>
      </c>
      <c r="O5089" s="254">
        <v>3</v>
      </c>
    </row>
    <row r="5090" ht="14.25" spans="1:15">
      <c r="A5090" s="245" t="s">
        <v>68</v>
      </c>
      <c r="B5090" s="52" t="s">
        <v>64</v>
      </c>
      <c r="C5090" s="19">
        <v>0.256410256410256</v>
      </c>
      <c r="D5090" s="246">
        <v>0.142857142857143</v>
      </c>
      <c r="E5090" s="246">
        <v>1</v>
      </c>
      <c r="F5090" s="246">
        <v>0</v>
      </c>
      <c r="G5090" s="246">
        <v>0</v>
      </c>
      <c r="H5090" s="246">
        <v>0.25</v>
      </c>
      <c r="I5090" s="246">
        <v>0.2</v>
      </c>
      <c r="J5090" s="246">
        <v>0</v>
      </c>
      <c r="K5090" s="246">
        <v>0.333333333333333</v>
      </c>
      <c r="L5090" s="246">
        <v>0.222222222222222</v>
      </c>
      <c r="M5090" s="246">
        <v>0.666666666666667</v>
      </c>
      <c r="N5090" s="246">
        <v>0.3</v>
      </c>
      <c r="O5090" s="255">
        <v>0.2</v>
      </c>
    </row>
    <row r="5091" spans="1:15">
      <c r="A5091" s="240" t="s">
        <v>69</v>
      </c>
      <c r="B5091" s="47" t="s">
        <v>55</v>
      </c>
      <c r="C5091" s="12">
        <v>1.25084745762712</v>
      </c>
      <c r="D5091" s="241">
        <v>1.3125</v>
      </c>
      <c r="E5091" s="241">
        <v>1.63636363636364</v>
      </c>
      <c r="F5091" s="241">
        <v>1.16666666666667</v>
      </c>
      <c r="G5091" s="241">
        <v>2.16666666666667</v>
      </c>
      <c r="H5091" s="241">
        <v>1.5</v>
      </c>
      <c r="I5091" s="241">
        <v>1.33333333333333</v>
      </c>
      <c r="J5091" s="241">
        <v>1.18518518518519</v>
      </c>
      <c r="K5091" s="241">
        <v>1.30434782608696</v>
      </c>
      <c r="L5091" s="241">
        <v>1.53846153846154</v>
      </c>
      <c r="M5091" s="241">
        <v>1.02439024390244</v>
      </c>
      <c r="N5091" s="241">
        <v>0.974358974358974</v>
      </c>
      <c r="O5091" s="252">
        <v>0.96551724137931</v>
      </c>
    </row>
    <row r="5092" spans="1:15">
      <c r="A5092" s="242" t="s">
        <v>69</v>
      </c>
      <c r="B5092" s="43" t="s">
        <v>57</v>
      </c>
      <c r="C5092" s="15">
        <v>295</v>
      </c>
      <c r="D5092" s="243">
        <v>32</v>
      </c>
      <c r="E5092" s="243">
        <v>11</v>
      </c>
      <c r="F5092" s="243">
        <v>18</v>
      </c>
      <c r="G5092" s="243">
        <v>12</v>
      </c>
      <c r="H5092" s="243">
        <v>16</v>
      </c>
      <c r="I5092" s="243">
        <v>21</v>
      </c>
      <c r="J5092" s="243">
        <v>27</v>
      </c>
      <c r="K5092" s="243">
        <v>23</v>
      </c>
      <c r="L5092" s="243">
        <v>26</v>
      </c>
      <c r="M5092" s="243">
        <v>41</v>
      </c>
      <c r="N5092" s="243">
        <v>39</v>
      </c>
      <c r="O5092" s="253">
        <v>29</v>
      </c>
    </row>
    <row r="5093" spans="1:15">
      <c r="A5093" s="240" t="s">
        <v>69</v>
      </c>
      <c r="B5093" s="47" t="s">
        <v>59</v>
      </c>
      <c r="C5093" s="15">
        <v>369</v>
      </c>
      <c r="D5093" s="243">
        <v>42</v>
      </c>
      <c r="E5093" s="243">
        <v>18</v>
      </c>
      <c r="F5093" s="243">
        <v>21</v>
      </c>
      <c r="G5093" s="243">
        <v>26</v>
      </c>
      <c r="H5093" s="243">
        <v>24</v>
      </c>
      <c r="I5093" s="243">
        <v>28</v>
      </c>
      <c r="J5093" s="243">
        <v>32</v>
      </c>
      <c r="K5093" s="243">
        <v>30</v>
      </c>
      <c r="L5093" s="243">
        <v>40</v>
      </c>
      <c r="M5093" s="243">
        <v>42</v>
      </c>
      <c r="N5093" s="243">
        <v>38</v>
      </c>
      <c r="O5093" s="253">
        <v>28</v>
      </c>
    </row>
    <row r="5094" spans="1:15">
      <c r="A5094" s="242" t="s">
        <v>69</v>
      </c>
      <c r="B5094" s="43" t="s">
        <v>4</v>
      </c>
      <c r="C5094" s="15">
        <v>4</v>
      </c>
      <c r="D5094" s="244">
        <v>0</v>
      </c>
      <c r="E5094" s="244">
        <v>0</v>
      </c>
      <c r="F5094" s="244">
        <v>0</v>
      </c>
      <c r="G5094" s="244">
        <v>1</v>
      </c>
      <c r="H5094" s="244">
        <v>0</v>
      </c>
      <c r="I5094" s="244">
        <v>0</v>
      </c>
      <c r="J5094" s="244">
        <v>0</v>
      </c>
      <c r="K5094" s="244">
        <v>3</v>
      </c>
      <c r="L5094" s="244">
        <v>0</v>
      </c>
      <c r="M5094" s="244">
        <v>0</v>
      </c>
      <c r="N5094" s="244">
        <v>0</v>
      </c>
      <c r="O5094" s="254">
        <v>0</v>
      </c>
    </row>
    <row r="5095" spans="1:15">
      <c r="A5095" s="240" t="s">
        <v>69</v>
      </c>
      <c r="B5095" s="47" t="s">
        <v>5</v>
      </c>
      <c r="C5095" s="12">
        <v>0.010840108401084</v>
      </c>
      <c r="D5095" s="241">
        <v>0</v>
      </c>
      <c r="E5095" s="241">
        <v>0</v>
      </c>
      <c r="F5095" s="241">
        <v>0</v>
      </c>
      <c r="G5095" s="241">
        <v>0.0384615384615385</v>
      </c>
      <c r="H5095" s="241">
        <v>0</v>
      </c>
      <c r="I5095" s="241">
        <v>0</v>
      </c>
      <c r="J5095" s="241">
        <v>0</v>
      </c>
      <c r="K5095" s="241">
        <v>0.1</v>
      </c>
      <c r="L5095" s="241">
        <v>0</v>
      </c>
      <c r="M5095" s="241">
        <v>0</v>
      </c>
      <c r="N5095" s="241">
        <v>0</v>
      </c>
      <c r="O5095" s="252">
        <v>0</v>
      </c>
    </row>
    <row r="5096" spans="1:15">
      <c r="A5096" s="242" t="s">
        <v>69</v>
      </c>
      <c r="B5096" s="43" t="s">
        <v>6</v>
      </c>
      <c r="C5096" s="15">
        <v>2</v>
      </c>
      <c r="D5096" s="244">
        <v>0</v>
      </c>
      <c r="E5096" s="244">
        <v>0</v>
      </c>
      <c r="F5096" s="244">
        <v>0</v>
      </c>
      <c r="G5096" s="244">
        <v>0</v>
      </c>
      <c r="H5096" s="244">
        <v>0</v>
      </c>
      <c r="I5096" s="244">
        <v>0</v>
      </c>
      <c r="J5096" s="244">
        <v>0</v>
      </c>
      <c r="K5096" s="244">
        <v>0</v>
      </c>
      <c r="L5096" s="244">
        <v>1</v>
      </c>
      <c r="M5096" s="244">
        <v>0</v>
      </c>
      <c r="N5096" s="244">
        <v>1</v>
      </c>
      <c r="O5096" s="254">
        <v>0</v>
      </c>
    </row>
    <row r="5097" ht="14.25" spans="1:15">
      <c r="A5097" s="245" t="s">
        <v>69</v>
      </c>
      <c r="B5097" s="52" t="s">
        <v>64</v>
      </c>
      <c r="C5097" s="19">
        <v>0.5</v>
      </c>
      <c r="D5097" s="246">
        <v>0</v>
      </c>
      <c r="E5097" s="246">
        <v>0</v>
      </c>
      <c r="F5097" s="246">
        <v>0</v>
      </c>
      <c r="G5097" s="246">
        <v>0</v>
      </c>
      <c r="H5097" s="246">
        <v>0</v>
      </c>
      <c r="I5097" s="246">
        <v>0</v>
      </c>
      <c r="J5097" s="246">
        <v>0</v>
      </c>
      <c r="K5097" s="246">
        <v>0</v>
      </c>
      <c r="L5097" s="246">
        <v>0</v>
      </c>
      <c r="M5097" s="246">
        <v>0</v>
      </c>
      <c r="N5097" s="246">
        <v>0</v>
      </c>
      <c r="O5097" s="255">
        <v>0</v>
      </c>
    </row>
    <row r="5098" spans="1:15">
      <c r="A5098" s="240" t="s">
        <v>70</v>
      </c>
      <c r="B5098" s="47" t="s">
        <v>55</v>
      </c>
      <c r="C5098" s="12">
        <v>0.467905405405405</v>
      </c>
      <c r="D5098" s="241">
        <v>0.450617283950617</v>
      </c>
      <c r="E5098" s="241">
        <v>0.579439252336449</v>
      </c>
      <c r="F5098" s="241">
        <v>0.541666666666667</v>
      </c>
      <c r="G5098" s="241">
        <v>0.769230769230769</v>
      </c>
      <c r="H5098" s="241">
        <v>0.617391304347826</v>
      </c>
      <c r="I5098" s="241">
        <v>0.569343065693431</v>
      </c>
      <c r="J5098" s="241">
        <v>0.471698113207547</v>
      </c>
      <c r="K5098" s="241">
        <v>0.372972972972973</v>
      </c>
      <c r="L5098" s="241">
        <v>0.457831325301205</v>
      </c>
      <c r="M5098" s="241">
        <v>0.397790055248619</v>
      </c>
      <c r="N5098" s="241">
        <v>0.366336633663366</v>
      </c>
      <c r="O5098" s="252">
        <v>0.386792452830189</v>
      </c>
    </row>
    <row r="5099" spans="1:15">
      <c r="A5099" s="242" t="s">
        <v>70</v>
      </c>
      <c r="B5099" s="43" t="s">
        <v>57</v>
      </c>
      <c r="C5099" s="15">
        <v>1776</v>
      </c>
      <c r="D5099" s="243">
        <v>162</v>
      </c>
      <c r="E5099" s="243">
        <v>107</v>
      </c>
      <c r="F5099" s="243">
        <v>72</v>
      </c>
      <c r="G5099" s="243">
        <v>78</v>
      </c>
      <c r="H5099" s="243">
        <v>115</v>
      </c>
      <c r="I5099" s="243">
        <v>137</v>
      </c>
      <c r="J5099" s="243">
        <v>159</v>
      </c>
      <c r="K5099" s="243">
        <v>185</v>
      </c>
      <c r="L5099" s="243">
        <v>166</v>
      </c>
      <c r="M5099" s="243">
        <v>181</v>
      </c>
      <c r="N5099" s="243">
        <v>202</v>
      </c>
      <c r="O5099" s="253">
        <v>212</v>
      </c>
    </row>
    <row r="5100" spans="1:15">
      <c r="A5100" s="240" t="s">
        <v>70</v>
      </c>
      <c r="B5100" s="47" t="s">
        <v>59</v>
      </c>
      <c r="C5100" s="15">
        <v>831</v>
      </c>
      <c r="D5100" s="243">
        <v>73</v>
      </c>
      <c r="E5100" s="243">
        <v>62</v>
      </c>
      <c r="F5100" s="243">
        <v>39</v>
      </c>
      <c r="G5100" s="243">
        <v>60</v>
      </c>
      <c r="H5100" s="243">
        <v>71</v>
      </c>
      <c r="I5100" s="243">
        <v>78</v>
      </c>
      <c r="J5100" s="243">
        <v>75</v>
      </c>
      <c r="K5100" s="243">
        <v>69</v>
      </c>
      <c r="L5100" s="243">
        <v>76</v>
      </c>
      <c r="M5100" s="243">
        <v>72</v>
      </c>
      <c r="N5100" s="243">
        <v>74</v>
      </c>
      <c r="O5100" s="253">
        <v>82</v>
      </c>
    </row>
    <row r="5101" spans="1:15">
      <c r="A5101" s="242" t="s">
        <v>70</v>
      </c>
      <c r="B5101" s="43" t="s">
        <v>4</v>
      </c>
      <c r="C5101" s="15">
        <v>59</v>
      </c>
      <c r="D5101" s="244">
        <v>8</v>
      </c>
      <c r="E5101" s="244">
        <v>4</v>
      </c>
      <c r="F5101" s="244">
        <v>2</v>
      </c>
      <c r="G5101" s="244">
        <v>2</v>
      </c>
      <c r="H5101" s="244">
        <v>2</v>
      </c>
      <c r="I5101" s="244">
        <v>2</v>
      </c>
      <c r="J5101" s="244">
        <v>6</v>
      </c>
      <c r="K5101" s="244">
        <v>7</v>
      </c>
      <c r="L5101" s="244">
        <v>6</v>
      </c>
      <c r="M5101" s="244">
        <v>3</v>
      </c>
      <c r="N5101" s="244">
        <v>6</v>
      </c>
      <c r="O5101" s="254">
        <v>11</v>
      </c>
    </row>
    <row r="5102" spans="1:15">
      <c r="A5102" s="240" t="s">
        <v>70</v>
      </c>
      <c r="B5102" s="47" t="s">
        <v>5</v>
      </c>
      <c r="C5102" s="12">
        <v>0.0709987966305656</v>
      </c>
      <c r="D5102" s="241">
        <v>0.10958904109589</v>
      </c>
      <c r="E5102" s="241">
        <v>0.0645161290322581</v>
      </c>
      <c r="F5102" s="241">
        <v>0.0512820512820513</v>
      </c>
      <c r="G5102" s="241">
        <v>0.0333333333333333</v>
      </c>
      <c r="H5102" s="241">
        <v>0.028169014084507</v>
      </c>
      <c r="I5102" s="241">
        <v>0.0256410256410256</v>
      </c>
      <c r="J5102" s="241">
        <v>0.08</v>
      </c>
      <c r="K5102" s="241">
        <v>0.101449275362319</v>
      </c>
      <c r="L5102" s="241">
        <v>0.0789473684210526</v>
      </c>
      <c r="M5102" s="241">
        <v>0.0416666666666667</v>
      </c>
      <c r="N5102" s="241">
        <v>0.0810810810810811</v>
      </c>
      <c r="O5102" s="252">
        <v>0.134146341463415</v>
      </c>
    </row>
    <row r="5103" spans="1:15">
      <c r="A5103" s="242" t="s">
        <v>70</v>
      </c>
      <c r="B5103" s="43" t="s">
        <v>6</v>
      </c>
      <c r="C5103" s="15">
        <v>22</v>
      </c>
      <c r="D5103" s="244">
        <v>2</v>
      </c>
      <c r="E5103" s="244">
        <v>1</v>
      </c>
      <c r="F5103" s="244">
        <v>2</v>
      </c>
      <c r="G5103" s="244">
        <v>0</v>
      </c>
      <c r="H5103" s="244">
        <v>1</v>
      </c>
      <c r="I5103" s="244">
        <v>2</v>
      </c>
      <c r="J5103" s="244">
        <v>1</v>
      </c>
      <c r="K5103" s="244">
        <v>1</v>
      </c>
      <c r="L5103" s="244">
        <v>3</v>
      </c>
      <c r="M5103" s="244">
        <v>2</v>
      </c>
      <c r="N5103" s="244">
        <v>4</v>
      </c>
      <c r="O5103" s="254">
        <v>3</v>
      </c>
    </row>
    <row r="5104" ht="14.25" spans="1:15">
      <c r="A5104" s="245" t="s">
        <v>70</v>
      </c>
      <c r="B5104" s="52" t="s">
        <v>64</v>
      </c>
      <c r="C5104" s="19">
        <v>0.372881355932203</v>
      </c>
      <c r="D5104" s="246">
        <v>0.25</v>
      </c>
      <c r="E5104" s="246">
        <v>0.25</v>
      </c>
      <c r="F5104" s="246">
        <v>1</v>
      </c>
      <c r="G5104" s="246">
        <v>0</v>
      </c>
      <c r="H5104" s="246">
        <v>0.5</v>
      </c>
      <c r="I5104" s="246">
        <v>1</v>
      </c>
      <c r="J5104" s="246">
        <v>0.166666666666667</v>
      </c>
      <c r="K5104" s="246">
        <v>0.142857142857143</v>
      </c>
      <c r="L5104" s="246">
        <v>0.5</v>
      </c>
      <c r="M5104" s="246">
        <v>0.666666666666667</v>
      </c>
      <c r="N5104" s="246">
        <v>0.666666666666667</v>
      </c>
      <c r="O5104" s="255">
        <v>0.272727272727273</v>
      </c>
    </row>
    <row r="5105" spans="1:15">
      <c r="A5105" s="240" t="s">
        <v>26</v>
      </c>
      <c r="B5105" s="47" t="s">
        <v>55</v>
      </c>
      <c r="C5105" s="12">
        <v>27</v>
      </c>
      <c r="D5105" s="241" t="e">
        <v>#DIV/0!</v>
      </c>
      <c r="E5105" s="241" t="e">
        <v>#DIV/0!</v>
      </c>
      <c r="F5105" s="241" t="e">
        <v>#DIV/0!</v>
      </c>
      <c r="G5105" s="241" t="e">
        <v>#DIV/0!</v>
      </c>
      <c r="H5105" s="241" t="e">
        <v>#DIV/0!</v>
      </c>
      <c r="I5105" s="241" t="e">
        <v>#DIV/0!</v>
      </c>
      <c r="J5105" s="241" t="e">
        <v>#DIV/0!</v>
      </c>
      <c r="K5105" s="241">
        <v>9.5</v>
      </c>
      <c r="L5105" s="241" t="e">
        <v>#DIV/0!</v>
      </c>
      <c r="M5105" s="241">
        <v>3</v>
      </c>
      <c r="N5105" s="241" t="e">
        <v>#DIV/0!</v>
      </c>
      <c r="O5105" s="252" t="e">
        <v>#DIV/0!</v>
      </c>
    </row>
    <row r="5106" spans="1:15">
      <c r="A5106" s="242" t="s">
        <v>26</v>
      </c>
      <c r="B5106" s="43" t="s">
        <v>57</v>
      </c>
      <c r="C5106" s="15">
        <v>4</v>
      </c>
      <c r="D5106" s="243">
        <v>0</v>
      </c>
      <c r="E5106" s="243">
        <v>0</v>
      </c>
      <c r="F5106" s="243">
        <v>0</v>
      </c>
      <c r="G5106" s="243">
        <v>0</v>
      </c>
      <c r="H5106" s="243">
        <v>0</v>
      </c>
      <c r="I5106" s="243">
        <v>0</v>
      </c>
      <c r="J5106" s="243">
        <v>0</v>
      </c>
      <c r="K5106" s="243">
        <v>2</v>
      </c>
      <c r="L5106" s="243">
        <v>0</v>
      </c>
      <c r="M5106" s="243">
        <v>2</v>
      </c>
      <c r="N5106" s="243">
        <v>0</v>
      </c>
      <c r="O5106" s="253">
        <v>0</v>
      </c>
    </row>
    <row r="5107" spans="1:15">
      <c r="A5107" s="240" t="s">
        <v>26</v>
      </c>
      <c r="B5107" s="47" t="s">
        <v>59</v>
      </c>
      <c r="C5107" s="15">
        <v>108</v>
      </c>
      <c r="D5107" s="243">
        <v>12</v>
      </c>
      <c r="E5107" s="243">
        <v>4</v>
      </c>
      <c r="F5107" s="243">
        <v>6</v>
      </c>
      <c r="G5107" s="243">
        <v>13</v>
      </c>
      <c r="H5107" s="243">
        <v>14</v>
      </c>
      <c r="I5107" s="243">
        <v>4</v>
      </c>
      <c r="J5107" s="243">
        <v>9</v>
      </c>
      <c r="K5107" s="243">
        <v>19</v>
      </c>
      <c r="L5107" s="243">
        <v>7</v>
      </c>
      <c r="M5107" s="243">
        <v>6</v>
      </c>
      <c r="N5107" s="243">
        <v>6</v>
      </c>
      <c r="O5107" s="253">
        <v>8</v>
      </c>
    </row>
    <row r="5108" spans="1:15">
      <c r="A5108" s="242" t="s">
        <v>26</v>
      </c>
      <c r="B5108" s="43" t="s">
        <v>4</v>
      </c>
      <c r="C5108" s="15">
        <v>0</v>
      </c>
      <c r="D5108" s="244">
        <v>0</v>
      </c>
      <c r="E5108" s="244">
        <v>0</v>
      </c>
      <c r="F5108" s="244">
        <v>0</v>
      </c>
      <c r="G5108" s="244">
        <v>0</v>
      </c>
      <c r="H5108" s="244">
        <v>0</v>
      </c>
      <c r="I5108" s="244">
        <v>0</v>
      </c>
      <c r="J5108" s="244">
        <v>0</v>
      </c>
      <c r="K5108" s="244">
        <v>0</v>
      </c>
      <c r="L5108" s="244">
        <v>0</v>
      </c>
      <c r="M5108" s="244">
        <v>0</v>
      </c>
      <c r="N5108" s="244">
        <v>0</v>
      </c>
      <c r="O5108" s="254">
        <v>0</v>
      </c>
    </row>
    <row r="5109" spans="1:15">
      <c r="A5109" s="240" t="s">
        <v>26</v>
      </c>
      <c r="B5109" s="47" t="s">
        <v>5</v>
      </c>
      <c r="C5109" s="12">
        <v>0</v>
      </c>
      <c r="D5109" s="241">
        <v>0</v>
      </c>
      <c r="E5109" s="241">
        <v>0</v>
      </c>
      <c r="F5109" s="241">
        <v>0</v>
      </c>
      <c r="G5109" s="241">
        <v>0</v>
      </c>
      <c r="H5109" s="241">
        <v>0</v>
      </c>
      <c r="I5109" s="241">
        <v>0</v>
      </c>
      <c r="J5109" s="241">
        <v>0</v>
      </c>
      <c r="K5109" s="241">
        <v>0</v>
      </c>
      <c r="L5109" s="241">
        <v>0</v>
      </c>
      <c r="M5109" s="241">
        <v>0</v>
      </c>
      <c r="N5109" s="241">
        <v>0</v>
      </c>
      <c r="O5109" s="252">
        <v>0</v>
      </c>
    </row>
    <row r="5110" spans="1:15">
      <c r="A5110" s="242" t="s">
        <v>26</v>
      </c>
      <c r="B5110" s="43" t="s">
        <v>6</v>
      </c>
      <c r="C5110" s="15">
        <v>0</v>
      </c>
      <c r="D5110" s="244">
        <v>0</v>
      </c>
      <c r="E5110" s="244">
        <v>0</v>
      </c>
      <c r="F5110" s="244">
        <v>0</v>
      </c>
      <c r="G5110" s="244">
        <v>0</v>
      </c>
      <c r="H5110" s="244">
        <v>0</v>
      </c>
      <c r="I5110" s="244">
        <v>0</v>
      </c>
      <c r="J5110" s="244">
        <v>0</v>
      </c>
      <c r="K5110" s="244">
        <v>0</v>
      </c>
      <c r="L5110" s="244">
        <v>0</v>
      </c>
      <c r="M5110" s="244">
        <v>0</v>
      </c>
      <c r="N5110" s="244">
        <v>0</v>
      </c>
      <c r="O5110" s="254">
        <v>0</v>
      </c>
    </row>
    <row r="5111" ht="14.25" spans="1:15">
      <c r="A5111" s="245" t="s">
        <v>26</v>
      </c>
      <c r="B5111" s="52" t="s">
        <v>64</v>
      </c>
      <c r="C5111" s="19" t="e">
        <v>#DIV/0!</v>
      </c>
      <c r="D5111" s="19" t="e">
        <v>#DIV/0!</v>
      </c>
      <c r="E5111" s="19" t="e">
        <v>#DIV/0!</v>
      </c>
      <c r="F5111" s="19" t="e">
        <v>#DIV/0!</v>
      </c>
      <c r="G5111" s="19" t="e">
        <v>#DIV/0!</v>
      </c>
      <c r="H5111" s="19" t="e">
        <v>#DIV/0!</v>
      </c>
      <c r="I5111" s="19" t="e">
        <v>#DIV/0!</v>
      </c>
      <c r="J5111" s="19" t="e">
        <v>#DIV/0!</v>
      </c>
      <c r="K5111" s="19" t="e">
        <v>#DIV/0!</v>
      </c>
      <c r="L5111" s="19" t="e">
        <v>#DIV/0!</v>
      </c>
      <c r="M5111" s="19" t="e">
        <v>#DIV/0!</v>
      </c>
      <c r="N5111" s="19" t="e">
        <v>#DIV/0!</v>
      </c>
      <c r="O5111" s="19" t="e">
        <v>#DIV/0!</v>
      </c>
    </row>
    <row r="5112" spans="1:15">
      <c r="A5112" s="240" t="s">
        <v>71</v>
      </c>
      <c r="B5112" s="47" t="s">
        <v>55</v>
      </c>
      <c r="C5112" s="12">
        <v>300.666666666667</v>
      </c>
      <c r="D5112" s="241" t="e">
        <v>#DIV/0!</v>
      </c>
      <c r="E5112" s="241" t="e">
        <v>#DIV/0!</v>
      </c>
      <c r="F5112" s="241">
        <v>26</v>
      </c>
      <c r="G5112" s="241" t="e">
        <v>#DIV/0!</v>
      </c>
      <c r="H5112" s="241" t="e">
        <v>#DIV/0!</v>
      </c>
      <c r="I5112" s="241" t="e">
        <v>#DIV/0!</v>
      </c>
      <c r="J5112" s="241" t="e">
        <v>#DIV/0!</v>
      </c>
      <c r="K5112" s="241" t="e">
        <v>#DIV/0!</v>
      </c>
      <c r="L5112" s="241" t="e">
        <v>#DIV/0!</v>
      </c>
      <c r="M5112" s="241" t="e">
        <v>#DIV/0!</v>
      </c>
      <c r="N5112" s="241" t="e">
        <v>#DIV/0!</v>
      </c>
      <c r="O5112" s="252">
        <v>101</v>
      </c>
    </row>
    <row r="5113" spans="1:15">
      <c r="A5113" s="242" t="s">
        <v>71</v>
      </c>
      <c r="B5113" s="43" t="s">
        <v>57</v>
      </c>
      <c r="C5113" s="15">
        <v>3</v>
      </c>
      <c r="D5113" s="243">
        <v>0</v>
      </c>
      <c r="E5113" s="243">
        <v>0</v>
      </c>
      <c r="F5113" s="243">
        <v>2</v>
      </c>
      <c r="G5113" s="243">
        <v>0</v>
      </c>
      <c r="H5113" s="243">
        <v>0</v>
      </c>
      <c r="I5113" s="243">
        <v>0</v>
      </c>
      <c r="J5113" s="243">
        <v>0</v>
      </c>
      <c r="K5113" s="243">
        <v>0</v>
      </c>
      <c r="L5113" s="243">
        <v>0</v>
      </c>
      <c r="M5113" s="243">
        <v>0</v>
      </c>
      <c r="N5113" s="243">
        <v>0</v>
      </c>
      <c r="O5113" s="253">
        <v>1</v>
      </c>
    </row>
    <row r="5114" spans="1:15">
      <c r="A5114" s="240" t="s">
        <v>71</v>
      </c>
      <c r="B5114" s="47" t="s">
        <v>59</v>
      </c>
      <c r="C5114" s="15">
        <v>902</v>
      </c>
      <c r="D5114" s="243">
        <v>68</v>
      </c>
      <c r="E5114" s="243">
        <v>54</v>
      </c>
      <c r="F5114" s="243">
        <v>52</v>
      </c>
      <c r="G5114" s="243">
        <v>43</v>
      </c>
      <c r="H5114" s="243">
        <v>58</v>
      </c>
      <c r="I5114" s="243">
        <v>71</v>
      </c>
      <c r="J5114" s="243">
        <v>56</v>
      </c>
      <c r="K5114" s="243">
        <v>109</v>
      </c>
      <c r="L5114" s="243">
        <v>98</v>
      </c>
      <c r="M5114" s="243">
        <v>95</v>
      </c>
      <c r="N5114" s="243">
        <v>97</v>
      </c>
      <c r="O5114" s="253">
        <v>101</v>
      </c>
    </row>
    <row r="5115" spans="1:15">
      <c r="A5115" s="242" t="s">
        <v>71</v>
      </c>
      <c r="B5115" s="43" t="s">
        <v>4</v>
      </c>
      <c r="C5115" s="15">
        <v>59</v>
      </c>
      <c r="D5115" s="244">
        <v>7</v>
      </c>
      <c r="E5115" s="244">
        <v>5</v>
      </c>
      <c r="F5115" s="244">
        <v>1</v>
      </c>
      <c r="G5115" s="244">
        <v>3</v>
      </c>
      <c r="H5115" s="244">
        <v>1</v>
      </c>
      <c r="I5115" s="244">
        <v>2</v>
      </c>
      <c r="J5115" s="244">
        <v>5</v>
      </c>
      <c r="K5115" s="244">
        <v>7</v>
      </c>
      <c r="L5115" s="244">
        <v>7</v>
      </c>
      <c r="M5115" s="244">
        <v>5</v>
      </c>
      <c r="N5115" s="244">
        <v>4</v>
      </c>
      <c r="O5115" s="254">
        <v>12</v>
      </c>
    </row>
    <row r="5116" spans="1:15">
      <c r="A5116" s="240" t="s">
        <v>71</v>
      </c>
      <c r="B5116" s="47" t="s">
        <v>5</v>
      </c>
      <c r="C5116" s="241">
        <v>0.065410199556541</v>
      </c>
      <c r="D5116" s="241">
        <v>0.102941176470588</v>
      </c>
      <c r="E5116" s="241">
        <v>0.0925925925925926</v>
      </c>
      <c r="F5116" s="241">
        <v>0.0192307692307692</v>
      </c>
      <c r="G5116" s="241">
        <v>0.0697674418604651</v>
      </c>
      <c r="H5116" s="241">
        <v>0.0172413793103448</v>
      </c>
      <c r="I5116" s="241">
        <v>0.028169014084507</v>
      </c>
      <c r="J5116" s="241">
        <v>0.0892857142857143</v>
      </c>
      <c r="K5116" s="241">
        <v>0.0642201834862385</v>
      </c>
      <c r="L5116" s="241">
        <v>0.0714285714285714</v>
      </c>
      <c r="M5116" s="241">
        <v>0.0526315789473684</v>
      </c>
      <c r="N5116" s="241">
        <v>0.0412371134020619</v>
      </c>
      <c r="O5116" s="252">
        <v>0.118811881188119</v>
      </c>
    </row>
    <row r="5117" spans="1:15">
      <c r="A5117" s="242" t="s">
        <v>71</v>
      </c>
      <c r="B5117" s="43" t="s">
        <v>6</v>
      </c>
      <c r="C5117" s="15">
        <v>15</v>
      </c>
      <c r="D5117" s="244">
        <v>1</v>
      </c>
      <c r="E5117" s="244">
        <v>0</v>
      </c>
      <c r="F5117" s="244">
        <v>3</v>
      </c>
      <c r="G5117" s="244">
        <v>0</v>
      </c>
      <c r="H5117" s="244">
        <v>1</v>
      </c>
      <c r="I5117" s="244">
        <v>2</v>
      </c>
      <c r="J5117" s="244">
        <v>2</v>
      </c>
      <c r="K5117" s="244">
        <v>2</v>
      </c>
      <c r="L5117" s="244">
        <v>1</v>
      </c>
      <c r="M5117" s="244">
        <v>2</v>
      </c>
      <c r="N5117" s="244">
        <v>1</v>
      </c>
      <c r="O5117" s="254">
        <v>0</v>
      </c>
    </row>
    <row r="5118" ht="14.25" spans="1:15">
      <c r="A5118" s="245" t="s">
        <v>71</v>
      </c>
      <c r="B5118" s="52" t="s">
        <v>64</v>
      </c>
      <c r="C5118" s="19">
        <v>0.254237288135593</v>
      </c>
      <c r="D5118" s="19">
        <v>0.142857142857143</v>
      </c>
      <c r="E5118" s="19">
        <v>0</v>
      </c>
      <c r="F5118" s="19">
        <v>3</v>
      </c>
      <c r="G5118" s="19">
        <v>0</v>
      </c>
      <c r="H5118" s="19">
        <v>1</v>
      </c>
      <c r="I5118" s="19">
        <v>1</v>
      </c>
      <c r="J5118" s="19">
        <v>0.4</v>
      </c>
      <c r="K5118" s="19">
        <v>0.285714285714286</v>
      </c>
      <c r="L5118" s="19">
        <v>0.142857142857143</v>
      </c>
      <c r="M5118" s="19">
        <v>0.4</v>
      </c>
      <c r="N5118" s="19">
        <v>0.25</v>
      </c>
      <c r="O5118" s="19">
        <v>0</v>
      </c>
    </row>
    <row r="5119" spans="1:15">
      <c r="A5119" s="240" t="s">
        <v>72</v>
      </c>
      <c r="B5119" s="47" t="s">
        <v>55</v>
      </c>
      <c r="C5119" s="12">
        <v>0.137494981934966</v>
      </c>
      <c r="D5119" s="241">
        <v>0.119834710743802</v>
      </c>
      <c r="E5119" s="241">
        <v>0.132841328413284</v>
      </c>
      <c r="F5119" s="241">
        <v>0.122222222222222</v>
      </c>
      <c r="G5119" s="241">
        <v>0.165876777251185</v>
      </c>
      <c r="H5119" s="241">
        <v>0.156666666666667</v>
      </c>
      <c r="I5119" s="241">
        <v>0.124688279301746</v>
      </c>
      <c r="J5119" s="241">
        <v>0.149253731343284</v>
      </c>
      <c r="K5119" s="241">
        <v>0.121272365805169</v>
      </c>
      <c r="L5119" s="241">
        <v>0.140425531914894</v>
      </c>
      <c r="M5119" s="241">
        <v>0.144124168514412</v>
      </c>
      <c r="N5119" s="241">
        <v>0.133421400264201</v>
      </c>
      <c r="O5119" s="252">
        <v>0.152577319587629</v>
      </c>
    </row>
    <row r="5120" spans="1:15">
      <c r="A5120" s="242" t="s">
        <v>72</v>
      </c>
      <c r="B5120" s="43" t="s">
        <v>57</v>
      </c>
      <c r="C5120" s="15">
        <v>4982</v>
      </c>
      <c r="D5120" s="243">
        <v>484</v>
      </c>
      <c r="E5120" s="243">
        <v>271</v>
      </c>
      <c r="F5120" s="243">
        <v>180</v>
      </c>
      <c r="G5120" s="243">
        <v>211</v>
      </c>
      <c r="H5120" s="243">
        <v>300</v>
      </c>
      <c r="I5120" s="243">
        <v>401</v>
      </c>
      <c r="J5120" s="243">
        <v>469</v>
      </c>
      <c r="K5120" s="243">
        <v>503</v>
      </c>
      <c r="L5120" s="243">
        <v>470</v>
      </c>
      <c r="M5120" s="243">
        <v>451</v>
      </c>
      <c r="N5120" s="243">
        <v>757</v>
      </c>
      <c r="O5120" s="253">
        <v>485</v>
      </c>
    </row>
    <row r="5121" spans="1:15">
      <c r="A5121" s="240" t="s">
        <v>72</v>
      </c>
      <c r="B5121" s="47" t="s">
        <v>59</v>
      </c>
      <c r="C5121" s="15">
        <v>685</v>
      </c>
      <c r="D5121" s="243">
        <v>58</v>
      </c>
      <c r="E5121" s="243">
        <v>36</v>
      </c>
      <c r="F5121" s="243">
        <v>22</v>
      </c>
      <c r="G5121" s="243">
        <v>35</v>
      </c>
      <c r="H5121" s="243">
        <v>47</v>
      </c>
      <c r="I5121" s="243">
        <v>50</v>
      </c>
      <c r="J5121" s="243">
        <v>70</v>
      </c>
      <c r="K5121" s="243">
        <v>61</v>
      </c>
      <c r="L5121" s="243">
        <v>66</v>
      </c>
      <c r="M5121" s="243">
        <v>65</v>
      </c>
      <c r="N5121" s="243">
        <v>101</v>
      </c>
      <c r="O5121" s="253">
        <v>74</v>
      </c>
    </row>
    <row r="5122" spans="1:15">
      <c r="A5122" s="242" t="s">
        <v>72</v>
      </c>
      <c r="B5122" s="43" t="s">
        <v>4</v>
      </c>
      <c r="C5122" s="15">
        <v>54</v>
      </c>
      <c r="D5122" s="244">
        <v>7</v>
      </c>
      <c r="E5122" s="244">
        <v>2</v>
      </c>
      <c r="F5122" s="244">
        <v>2</v>
      </c>
      <c r="G5122" s="244">
        <v>0</v>
      </c>
      <c r="H5122" s="244">
        <v>4</v>
      </c>
      <c r="I5122" s="244">
        <v>8</v>
      </c>
      <c r="J5122" s="244">
        <v>3</v>
      </c>
      <c r="K5122" s="244">
        <v>3</v>
      </c>
      <c r="L5122" s="244">
        <v>10</v>
      </c>
      <c r="M5122" s="244">
        <v>3</v>
      </c>
      <c r="N5122" s="244">
        <v>6</v>
      </c>
      <c r="O5122" s="254">
        <v>6</v>
      </c>
    </row>
    <row r="5123" spans="1:15">
      <c r="A5123" s="240" t="s">
        <v>72</v>
      </c>
      <c r="B5123" s="47" t="s">
        <v>5</v>
      </c>
      <c r="C5123" s="12">
        <v>0.0788321167883212</v>
      </c>
      <c r="D5123" s="241">
        <v>0.120689655172414</v>
      </c>
      <c r="E5123" s="241">
        <v>0.0555555555555556</v>
      </c>
      <c r="F5123" s="241">
        <v>0.0909090909090909</v>
      </c>
      <c r="G5123" s="241">
        <v>0</v>
      </c>
      <c r="H5123" s="241">
        <v>0.0851063829787234</v>
      </c>
      <c r="I5123" s="241">
        <v>0.16</v>
      </c>
      <c r="J5123" s="241">
        <v>0.0428571428571429</v>
      </c>
      <c r="K5123" s="241">
        <v>0.0491803278688525</v>
      </c>
      <c r="L5123" s="241">
        <v>0.151515151515152</v>
      </c>
      <c r="M5123" s="241">
        <v>0.0461538461538462</v>
      </c>
      <c r="N5123" s="241">
        <v>0.0594059405940594</v>
      </c>
      <c r="O5123" s="252">
        <v>0.0810810810810811</v>
      </c>
    </row>
    <row r="5124" spans="1:15">
      <c r="A5124" s="242" t="s">
        <v>72</v>
      </c>
      <c r="B5124" s="43" t="s">
        <v>6</v>
      </c>
      <c r="C5124" s="15">
        <v>9</v>
      </c>
      <c r="D5124" s="244">
        <v>1</v>
      </c>
      <c r="E5124" s="244">
        <v>0</v>
      </c>
      <c r="F5124" s="244">
        <v>0</v>
      </c>
      <c r="G5124" s="244">
        <v>0</v>
      </c>
      <c r="H5124" s="244">
        <v>1</v>
      </c>
      <c r="I5124" s="244">
        <v>0</v>
      </c>
      <c r="J5124" s="244">
        <v>1</v>
      </c>
      <c r="K5124" s="244">
        <v>1</v>
      </c>
      <c r="L5124" s="244">
        <v>0</v>
      </c>
      <c r="M5124" s="244">
        <v>0</v>
      </c>
      <c r="N5124" s="244">
        <v>3</v>
      </c>
      <c r="O5124" s="254">
        <v>2</v>
      </c>
    </row>
    <row r="5125" ht="14.25" spans="1:15">
      <c r="A5125" s="245" t="s">
        <v>72</v>
      </c>
      <c r="B5125" s="52" t="s">
        <v>64</v>
      </c>
      <c r="C5125" s="19">
        <v>0.166666666666667</v>
      </c>
      <c r="D5125" s="19">
        <v>0.142857142857143</v>
      </c>
      <c r="E5125" s="19">
        <v>0</v>
      </c>
      <c r="F5125" s="19">
        <v>0</v>
      </c>
      <c r="G5125" s="19" t="e">
        <v>#DIV/0!</v>
      </c>
      <c r="H5125" s="19">
        <v>0.25</v>
      </c>
      <c r="I5125" s="19">
        <v>0</v>
      </c>
      <c r="J5125" s="19">
        <v>0.333333333333333</v>
      </c>
      <c r="K5125" s="19">
        <v>0.333333333333333</v>
      </c>
      <c r="L5125" s="19">
        <v>0</v>
      </c>
      <c r="M5125" s="19">
        <v>0</v>
      </c>
      <c r="N5125" s="19">
        <v>0.5</v>
      </c>
      <c r="O5125" s="19">
        <v>0.333333333333333</v>
      </c>
    </row>
    <row r="5126" ht="14.25" spans="1:15">
      <c r="A5126" s="259">
        <v>45098</v>
      </c>
      <c r="B5126" s="259"/>
      <c r="C5126" s="259"/>
      <c r="D5126" s="259"/>
      <c r="E5126" s="259"/>
      <c r="F5126" s="259"/>
      <c r="G5126" s="259"/>
      <c r="H5126" s="259"/>
      <c r="I5126" s="259"/>
      <c r="J5126" s="259"/>
      <c r="K5126" s="259"/>
      <c r="L5126" s="259"/>
      <c r="M5126" s="259"/>
      <c r="N5126" s="259"/>
      <c r="O5126" s="259"/>
    </row>
    <row r="5127" spans="1:15">
      <c r="A5127" s="260" t="s">
        <v>1</v>
      </c>
      <c r="B5127" s="261"/>
      <c r="C5127" s="39" t="s">
        <v>42</v>
      </c>
      <c r="D5127" s="262" t="s">
        <v>43</v>
      </c>
      <c r="E5127" s="262" t="s">
        <v>44</v>
      </c>
      <c r="F5127" s="262" t="s">
        <v>45</v>
      </c>
      <c r="G5127" s="262" t="s">
        <v>46</v>
      </c>
      <c r="H5127" s="262" t="s">
        <v>47</v>
      </c>
      <c r="I5127" s="262" t="s">
        <v>48</v>
      </c>
      <c r="J5127" s="262" t="s">
        <v>49</v>
      </c>
      <c r="K5127" s="262" t="s">
        <v>50</v>
      </c>
      <c r="L5127" s="262" t="s">
        <v>51</v>
      </c>
      <c r="M5127" s="262" t="s">
        <v>52</v>
      </c>
      <c r="N5127" s="262" t="s">
        <v>53</v>
      </c>
      <c r="O5127" s="276" t="s">
        <v>54</v>
      </c>
    </row>
    <row r="5128" spans="1:15">
      <c r="A5128" s="263" t="s">
        <v>22</v>
      </c>
      <c r="B5128" s="264" t="s">
        <v>55</v>
      </c>
      <c r="C5128" s="49">
        <v>0.832107312851579</v>
      </c>
      <c r="D5128" s="265">
        <v>0.942982456140351</v>
      </c>
      <c r="E5128" s="265">
        <v>0.737704918032787</v>
      </c>
      <c r="F5128" s="265">
        <v>0.842696629213483</v>
      </c>
      <c r="G5128" s="265">
        <v>0.788990825688073</v>
      </c>
      <c r="H5128" s="265">
        <v>0.805031446540881</v>
      </c>
      <c r="I5128" s="265">
        <v>0.759776536312849</v>
      </c>
      <c r="J5128" s="265">
        <v>0.918454935622318</v>
      </c>
      <c r="K5128" s="265">
        <v>0.815899581589958</v>
      </c>
      <c r="L5128" s="265">
        <v>0.8</v>
      </c>
      <c r="M5128" s="265">
        <v>0.896373056994819</v>
      </c>
      <c r="N5128" s="265">
        <v>0.829059829059829</v>
      </c>
      <c r="O5128" s="277">
        <v>0.788343558282209</v>
      </c>
    </row>
    <row r="5129" spans="1:15">
      <c r="A5129" s="266" t="s">
        <v>22</v>
      </c>
      <c r="B5129" s="267" t="s">
        <v>57</v>
      </c>
      <c r="C5129" s="44">
        <v>2311</v>
      </c>
      <c r="D5129" s="268">
        <v>228</v>
      </c>
      <c r="E5129" s="268">
        <v>122</v>
      </c>
      <c r="F5129" s="268">
        <v>89</v>
      </c>
      <c r="G5129" s="268">
        <v>109</v>
      </c>
      <c r="H5129" s="268">
        <v>159</v>
      </c>
      <c r="I5129" s="268">
        <v>179</v>
      </c>
      <c r="J5129" s="268">
        <v>233</v>
      </c>
      <c r="K5129" s="268">
        <v>239</v>
      </c>
      <c r="L5129" s="268">
        <v>200</v>
      </c>
      <c r="M5129" s="268">
        <v>193</v>
      </c>
      <c r="N5129" s="268">
        <v>234</v>
      </c>
      <c r="O5129" s="278">
        <v>326</v>
      </c>
    </row>
    <row r="5130" spans="1:15">
      <c r="A5130" s="263" t="s">
        <v>22</v>
      </c>
      <c r="B5130" s="264" t="s">
        <v>59</v>
      </c>
      <c r="C5130" s="44">
        <v>1923</v>
      </c>
      <c r="D5130" s="268">
        <v>215</v>
      </c>
      <c r="E5130" s="268">
        <v>90</v>
      </c>
      <c r="F5130" s="268">
        <v>75</v>
      </c>
      <c r="G5130" s="268">
        <v>86</v>
      </c>
      <c r="H5130" s="268">
        <v>128</v>
      </c>
      <c r="I5130" s="268">
        <v>136</v>
      </c>
      <c r="J5130" s="268">
        <v>214</v>
      </c>
      <c r="K5130" s="268">
        <v>195</v>
      </c>
      <c r="L5130" s="268">
        <v>160</v>
      </c>
      <c r="M5130" s="268">
        <v>173</v>
      </c>
      <c r="N5130" s="268">
        <v>194</v>
      </c>
      <c r="O5130" s="278">
        <v>257</v>
      </c>
    </row>
    <row r="5131" spans="1:15">
      <c r="A5131" s="266" t="s">
        <v>22</v>
      </c>
      <c r="B5131" s="267" t="s">
        <v>4</v>
      </c>
      <c r="C5131" s="44">
        <v>47</v>
      </c>
      <c r="D5131" s="269">
        <v>4</v>
      </c>
      <c r="E5131" s="269">
        <v>6</v>
      </c>
      <c r="F5131" s="269">
        <v>3</v>
      </c>
      <c r="G5131" s="269">
        <v>3</v>
      </c>
      <c r="H5131" s="269">
        <v>2</v>
      </c>
      <c r="I5131" s="269">
        <v>1</v>
      </c>
      <c r="J5131" s="269">
        <v>4</v>
      </c>
      <c r="K5131" s="269">
        <v>4</v>
      </c>
      <c r="L5131" s="269">
        <v>6</v>
      </c>
      <c r="M5131" s="269">
        <v>3</v>
      </c>
      <c r="N5131" s="269">
        <v>4</v>
      </c>
      <c r="O5131" s="279">
        <v>7</v>
      </c>
    </row>
    <row r="5132" spans="1:15">
      <c r="A5132" s="263" t="s">
        <v>22</v>
      </c>
      <c r="B5132" s="264" t="s">
        <v>5</v>
      </c>
      <c r="C5132" s="49">
        <v>0.0244409776391056</v>
      </c>
      <c r="D5132" s="265">
        <v>0.0186046511627907</v>
      </c>
      <c r="E5132" s="265">
        <v>0.0666666666666667</v>
      </c>
      <c r="F5132" s="265">
        <v>0.04</v>
      </c>
      <c r="G5132" s="265">
        <v>0.0348837209302326</v>
      </c>
      <c r="H5132" s="265">
        <v>0.015625</v>
      </c>
      <c r="I5132" s="265">
        <v>0.00735294117647059</v>
      </c>
      <c r="J5132" s="265">
        <v>0.0186915887850467</v>
      </c>
      <c r="K5132" s="265">
        <v>0.0205128205128205</v>
      </c>
      <c r="L5132" s="265">
        <v>0.0375</v>
      </c>
      <c r="M5132" s="265">
        <v>0.0173410404624277</v>
      </c>
      <c r="N5132" s="265">
        <v>0.0206185567010309</v>
      </c>
      <c r="O5132" s="277">
        <v>0.0272373540856031</v>
      </c>
    </row>
    <row r="5133" spans="1:15">
      <c r="A5133" s="266" t="s">
        <v>22</v>
      </c>
      <c r="B5133" s="267" t="s">
        <v>6</v>
      </c>
      <c r="C5133" s="44">
        <v>17</v>
      </c>
      <c r="D5133" s="269">
        <v>0</v>
      </c>
      <c r="E5133" s="269">
        <v>0</v>
      </c>
      <c r="F5133" s="269">
        <v>2</v>
      </c>
      <c r="G5133" s="269">
        <v>0</v>
      </c>
      <c r="H5133" s="269">
        <v>2</v>
      </c>
      <c r="I5133" s="269">
        <v>1</v>
      </c>
      <c r="J5133" s="269">
        <v>2</v>
      </c>
      <c r="K5133" s="269">
        <v>4</v>
      </c>
      <c r="L5133" s="269">
        <v>3</v>
      </c>
      <c r="M5133" s="269">
        <v>1</v>
      </c>
      <c r="N5133" s="269">
        <v>2</v>
      </c>
      <c r="O5133" s="279">
        <v>0</v>
      </c>
    </row>
    <row r="5134" ht="14.25" spans="1:15">
      <c r="A5134" s="270" t="s">
        <v>22</v>
      </c>
      <c r="B5134" s="271" t="s">
        <v>64</v>
      </c>
      <c r="C5134" s="53">
        <v>0.361702127659574</v>
      </c>
      <c r="D5134" s="272">
        <v>0</v>
      </c>
      <c r="E5134" s="272">
        <v>0</v>
      </c>
      <c r="F5134" s="272">
        <v>0.666666666666667</v>
      </c>
      <c r="G5134" s="272">
        <v>0</v>
      </c>
      <c r="H5134" s="272">
        <v>1</v>
      </c>
      <c r="I5134" s="272">
        <v>1</v>
      </c>
      <c r="J5134" s="272">
        <v>0.5</v>
      </c>
      <c r="K5134" s="272">
        <v>1</v>
      </c>
      <c r="L5134" s="272">
        <v>0.5</v>
      </c>
      <c r="M5134" s="272">
        <v>0.333333333333333</v>
      </c>
      <c r="N5134" s="272">
        <v>0.5</v>
      </c>
      <c r="O5134" s="280">
        <v>0</v>
      </c>
    </row>
    <row r="5135" spans="1:15">
      <c r="A5135" s="273" t="s">
        <v>66</v>
      </c>
      <c r="B5135" s="274" t="s">
        <v>55</v>
      </c>
      <c r="C5135" s="49">
        <v>0.0812533191715348</v>
      </c>
      <c r="D5135" s="275">
        <v>0.103092783505155</v>
      </c>
      <c r="E5135" s="275">
        <v>0.0931372549019608</v>
      </c>
      <c r="F5135" s="275">
        <v>0.06875</v>
      </c>
      <c r="G5135" s="275">
        <v>0.0172413793103448</v>
      </c>
      <c r="H5135" s="275">
        <v>0.0127388535031847</v>
      </c>
      <c r="I5135" s="275">
        <v>0.0833333333333333</v>
      </c>
      <c r="J5135" s="275">
        <v>0.0642857142857143</v>
      </c>
      <c r="K5135" s="275">
        <v>0.0827586206896552</v>
      </c>
      <c r="L5135" s="275">
        <v>0.120967741935484</v>
      </c>
      <c r="M5135" s="275">
        <v>0.0873015873015873</v>
      </c>
      <c r="N5135" s="275">
        <v>0.140845070422535</v>
      </c>
      <c r="O5135" s="281">
        <v>0.111801242236025</v>
      </c>
    </row>
    <row r="5136" spans="1:15">
      <c r="A5136" s="266" t="s">
        <v>66</v>
      </c>
      <c r="B5136" s="267" t="s">
        <v>57</v>
      </c>
      <c r="C5136" s="44">
        <v>1883</v>
      </c>
      <c r="D5136" s="268">
        <v>194</v>
      </c>
      <c r="E5136" s="268">
        <v>204</v>
      </c>
      <c r="F5136" s="268">
        <v>160</v>
      </c>
      <c r="G5136" s="268">
        <v>174</v>
      </c>
      <c r="H5136" s="268">
        <v>157</v>
      </c>
      <c r="I5136" s="268">
        <v>156</v>
      </c>
      <c r="J5136" s="268">
        <v>140</v>
      </c>
      <c r="K5136" s="268">
        <v>145</v>
      </c>
      <c r="L5136" s="268">
        <v>124</v>
      </c>
      <c r="M5136" s="268">
        <v>126</v>
      </c>
      <c r="N5136" s="268">
        <v>142</v>
      </c>
      <c r="O5136" s="278">
        <v>161</v>
      </c>
    </row>
    <row r="5137" spans="1:15">
      <c r="A5137" s="263" t="s">
        <v>66</v>
      </c>
      <c r="B5137" s="264" t="s">
        <v>59</v>
      </c>
      <c r="C5137" s="44">
        <v>153</v>
      </c>
      <c r="D5137" s="268">
        <v>20</v>
      </c>
      <c r="E5137" s="268">
        <v>19</v>
      </c>
      <c r="F5137" s="268">
        <v>11</v>
      </c>
      <c r="G5137" s="268">
        <v>3</v>
      </c>
      <c r="H5137" s="268">
        <v>2</v>
      </c>
      <c r="I5137" s="268">
        <v>13</v>
      </c>
      <c r="J5137" s="268">
        <v>9</v>
      </c>
      <c r="K5137" s="268">
        <v>12</v>
      </c>
      <c r="L5137" s="268">
        <v>15</v>
      </c>
      <c r="M5137" s="268">
        <v>11</v>
      </c>
      <c r="N5137" s="268">
        <v>20</v>
      </c>
      <c r="O5137" s="278">
        <v>18</v>
      </c>
    </row>
    <row r="5138" spans="1:15">
      <c r="A5138" s="266" t="s">
        <v>66</v>
      </c>
      <c r="B5138" s="267" t="s">
        <v>4</v>
      </c>
      <c r="C5138" s="44">
        <v>11</v>
      </c>
      <c r="D5138" s="269">
        <v>2</v>
      </c>
      <c r="E5138" s="269">
        <v>1</v>
      </c>
      <c r="F5138" s="269">
        <v>2</v>
      </c>
      <c r="G5138" s="269">
        <v>0</v>
      </c>
      <c r="H5138" s="269">
        <v>1</v>
      </c>
      <c r="I5138" s="269">
        <v>0</v>
      </c>
      <c r="J5138" s="269">
        <v>1</v>
      </c>
      <c r="K5138" s="269">
        <v>0</v>
      </c>
      <c r="L5138" s="269">
        <v>0</v>
      </c>
      <c r="M5138" s="269">
        <v>0</v>
      </c>
      <c r="N5138" s="269">
        <v>3</v>
      </c>
      <c r="O5138" s="279">
        <v>1</v>
      </c>
    </row>
    <row r="5139" spans="1:15">
      <c r="A5139" s="263" t="s">
        <v>66</v>
      </c>
      <c r="B5139" s="264" t="s">
        <v>5</v>
      </c>
      <c r="C5139" s="49">
        <v>0.0718954248366013</v>
      </c>
      <c r="D5139" s="265">
        <v>0.1</v>
      </c>
      <c r="E5139" s="265">
        <v>0.0526315789473684</v>
      </c>
      <c r="F5139" s="265">
        <v>0.181818181818182</v>
      </c>
      <c r="G5139" s="265">
        <v>0</v>
      </c>
      <c r="H5139" s="265">
        <v>0.5</v>
      </c>
      <c r="I5139" s="265">
        <v>0</v>
      </c>
      <c r="J5139" s="265">
        <v>0.111111111111111</v>
      </c>
      <c r="K5139" s="265">
        <v>0</v>
      </c>
      <c r="L5139" s="265">
        <v>0</v>
      </c>
      <c r="M5139" s="265">
        <v>0</v>
      </c>
      <c r="N5139" s="265">
        <v>0.15</v>
      </c>
      <c r="O5139" s="277">
        <v>0.0555555555555556</v>
      </c>
    </row>
    <row r="5140" spans="1:15">
      <c r="A5140" s="266" t="s">
        <v>66</v>
      </c>
      <c r="B5140" s="267" t="s">
        <v>6</v>
      </c>
      <c r="C5140" s="44">
        <v>3</v>
      </c>
      <c r="D5140" s="269">
        <v>0</v>
      </c>
      <c r="E5140" s="269">
        <v>1</v>
      </c>
      <c r="F5140" s="269">
        <v>0</v>
      </c>
      <c r="G5140" s="269">
        <v>0</v>
      </c>
      <c r="H5140" s="269">
        <v>0</v>
      </c>
      <c r="I5140" s="269">
        <v>1</v>
      </c>
      <c r="J5140" s="269">
        <v>0</v>
      </c>
      <c r="K5140" s="269">
        <v>0</v>
      </c>
      <c r="L5140" s="269">
        <v>0</v>
      </c>
      <c r="M5140" s="269">
        <v>0</v>
      </c>
      <c r="N5140" s="269">
        <v>1</v>
      </c>
      <c r="O5140" s="279">
        <v>0</v>
      </c>
    </row>
    <row r="5141" ht="14.25" spans="1:15">
      <c r="A5141" s="270" t="s">
        <v>66</v>
      </c>
      <c r="B5141" s="271" t="s">
        <v>64</v>
      </c>
      <c r="C5141" s="53">
        <v>0.272727272727273</v>
      </c>
      <c r="D5141" s="272">
        <v>0</v>
      </c>
      <c r="E5141" s="272">
        <v>1</v>
      </c>
      <c r="F5141" s="272">
        <v>0</v>
      </c>
      <c r="G5141" s="272">
        <v>0</v>
      </c>
      <c r="H5141" s="272">
        <v>0</v>
      </c>
      <c r="I5141" s="272">
        <v>0</v>
      </c>
      <c r="J5141" s="272">
        <v>0</v>
      </c>
      <c r="K5141" s="272">
        <v>0</v>
      </c>
      <c r="L5141" s="272">
        <v>0</v>
      </c>
      <c r="M5141" s="272">
        <v>0</v>
      </c>
      <c r="N5141" s="272">
        <v>0.333333333333333</v>
      </c>
      <c r="O5141" s="280">
        <v>0</v>
      </c>
    </row>
    <row r="5142" spans="1:15">
      <c r="A5142" s="263" t="s">
        <v>67</v>
      </c>
      <c r="B5142" s="264" t="s">
        <v>55</v>
      </c>
      <c r="C5142" s="49">
        <v>0.489964580873672</v>
      </c>
      <c r="D5142" s="265">
        <v>0.517241379310345</v>
      </c>
      <c r="E5142" s="265">
        <v>0.418604651162791</v>
      </c>
      <c r="F5142" s="265">
        <v>0.324324324324324</v>
      </c>
      <c r="G5142" s="265">
        <v>0.5</v>
      </c>
      <c r="H5142" s="265">
        <v>0.509090909090909</v>
      </c>
      <c r="I5142" s="265">
        <v>0.455696202531646</v>
      </c>
      <c r="J5142" s="265">
        <v>0.450549450549451</v>
      </c>
      <c r="K5142" s="265">
        <v>0.619047619047619</v>
      </c>
      <c r="L5142" s="265">
        <v>0.506666666666667</v>
      </c>
      <c r="M5142" s="265">
        <v>0.46078431372549</v>
      </c>
      <c r="N5142" s="265">
        <v>0.43956043956044</v>
      </c>
      <c r="O5142" s="277">
        <v>0.576086956521739</v>
      </c>
    </row>
    <row r="5143" spans="1:15">
      <c r="A5143" s="266" t="s">
        <v>67</v>
      </c>
      <c r="B5143" s="267" t="s">
        <v>57</v>
      </c>
      <c r="C5143" s="44">
        <v>847</v>
      </c>
      <c r="D5143" s="268">
        <v>58</v>
      </c>
      <c r="E5143" s="268">
        <v>43</v>
      </c>
      <c r="F5143" s="268">
        <v>37</v>
      </c>
      <c r="G5143" s="268">
        <v>40</v>
      </c>
      <c r="H5143" s="268">
        <v>55</v>
      </c>
      <c r="I5143" s="268">
        <v>79</v>
      </c>
      <c r="J5143" s="268">
        <v>91</v>
      </c>
      <c r="K5143" s="268">
        <v>84</v>
      </c>
      <c r="L5143" s="268">
        <v>75</v>
      </c>
      <c r="M5143" s="268">
        <v>102</v>
      </c>
      <c r="N5143" s="268">
        <v>91</v>
      </c>
      <c r="O5143" s="278">
        <v>92</v>
      </c>
    </row>
    <row r="5144" spans="1:15">
      <c r="A5144" s="263" t="s">
        <v>67</v>
      </c>
      <c r="B5144" s="264" t="s">
        <v>59</v>
      </c>
      <c r="C5144" s="44">
        <v>415</v>
      </c>
      <c r="D5144" s="268">
        <v>30</v>
      </c>
      <c r="E5144" s="268">
        <v>18</v>
      </c>
      <c r="F5144" s="268">
        <v>12</v>
      </c>
      <c r="G5144" s="268">
        <v>20</v>
      </c>
      <c r="H5144" s="268">
        <v>28</v>
      </c>
      <c r="I5144" s="268">
        <v>36</v>
      </c>
      <c r="J5144" s="268">
        <v>41</v>
      </c>
      <c r="K5144" s="268">
        <v>52</v>
      </c>
      <c r="L5144" s="268">
        <v>38</v>
      </c>
      <c r="M5144" s="268">
        <v>47</v>
      </c>
      <c r="N5144" s="268">
        <v>40</v>
      </c>
      <c r="O5144" s="278">
        <v>53</v>
      </c>
    </row>
    <row r="5145" spans="1:15">
      <c r="A5145" s="266" t="s">
        <v>67</v>
      </c>
      <c r="B5145" s="267" t="s">
        <v>4</v>
      </c>
      <c r="C5145" s="44">
        <v>9</v>
      </c>
      <c r="D5145" s="269">
        <v>2</v>
      </c>
      <c r="E5145" s="269">
        <v>0</v>
      </c>
      <c r="F5145" s="269">
        <v>0</v>
      </c>
      <c r="G5145" s="269">
        <v>0</v>
      </c>
      <c r="H5145" s="269">
        <v>1</v>
      </c>
      <c r="I5145" s="269">
        <v>0</v>
      </c>
      <c r="J5145" s="269">
        <v>1</v>
      </c>
      <c r="K5145" s="269">
        <v>1</v>
      </c>
      <c r="L5145" s="269">
        <v>0</v>
      </c>
      <c r="M5145" s="269">
        <v>0</v>
      </c>
      <c r="N5145" s="269">
        <v>1</v>
      </c>
      <c r="O5145" s="279">
        <v>3</v>
      </c>
    </row>
    <row r="5146" spans="1:15">
      <c r="A5146" s="263" t="s">
        <v>67</v>
      </c>
      <c r="B5146" s="264" t="s">
        <v>5</v>
      </c>
      <c r="C5146" s="49">
        <v>0.0216867469879518</v>
      </c>
      <c r="D5146" s="265">
        <v>0.0666666666666667</v>
      </c>
      <c r="E5146" s="265">
        <v>0</v>
      </c>
      <c r="F5146" s="265">
        <v>0</v>
      </c>
      <c r="G5146" s="265">
        <v>0</v>
      </c>
      <c r="H5146" s="265">
        <v>0.0357142857142857</v>
      </c>
      <c r="I5146" s="265">
        <v>0</v>
      </c>
      <c r="J5146" s="265">
        <v>0.024390243902439</v>
      </c>
      <c r="K5146" s="265">
        <v>0.0192307692307692</v>
      </c>
      <c r="L5146" s="265">
        <v>0</v>
      </c>
      <c r="M5146" s="265">
        <v>0</v>
      </c>
      <c r="N5146" s="265">
        <v>0.025</v>
      </c>
      <c r="O5146" s="277">
        <v>0.0566037735849057</v>
      </c>
    </row>
    <row r="5147" spans="1:15">
      <c r="A5147" s="266" t="s">
        <v>67</v>
      </c>
      <c r="B5147" s="267" t="s">
        <v>6</v>
      </c>
      <c r="C5147" s="44">
        <v>4</v>
      </c>
      <c r="D5147" s="269">
        <v>1</v>
      </c>
      <c r="E5147" s="269">
        <v>0</v>
      </c>
      <c r="F5147" s="269">
        <v>0</v>
      </c>
      <c r="G5147" s="269">
        <v>1</v>
      </c>
      <c r="H5147" s="269">
        <v>1</v>
      </c>
      <c r="I5147" s="269">
        <v>0</v>
      </c>
      <c r="J5147" s="269">
        <v>1</v>
      </c>
      <c r="K5147" s="269">
        <v>0</v>
      </c>
      <c r="L5147" s="269">
        <v>0</v>
      </c>
      <c r="M5147" s="269">
        <v>0</v>
      </c>
      <c r="N5147" s="269">
        <v>0</v>
      </c>
      <c r="O5147" s="279">
        <v>0</v>
      </c>
    </row>
    <row r="5148" ht="14.25" spans="1:15">
      <c r="A5148" s="270" t="s">
        <v>67</v>
      </c>
      <c r="B5148" s="271" t="s">
        <v>64</v>
      </c>
      <c r="C5148" s="53">
        <v>0.444444444444444</v>
      </c>
      <c r="D5148" s="272">
        <v>0.5</v>
      </c>
      <c r="E5148" s="272">
        <v>0</v>
      </c>
      <c r="F5148" s="272">
        <v>0</v>
      </c>
      <c r="G5148" s="272">
        <v>0</v>
      </c>
      <c r="H5148" s="272">
        <v>1</v>
      </c>
      <c r="I5148" s="272">
        <v>0</v>
      </c>
      <c r="J5148" s="272">
        <v>1</v>
      </c>
      <c r="K5148" s="272">
        <v>0</v>
      </c>
      <c r="L5148" s="272">
        <v>0</v>
      </c>
      <c r="M5148" s="272">
        <v>0</v>
      </c>
      <c r="N5148" s="272">
        <v>0</v>
      </c>
      <c r="O5148" s="280">
        <v>0</v>
      </c>
    </row>
    <row r="5149" spans="1:15">
      <c r="A5149" s="263" t="s">
        <v>68</v>
      </c>
      <c r="B5149" s="264" t="s">
        <v>55</v>
      </c>
      <c r="C5149" s="49">
        <v>0.224475359585004</v>
      </c>
      <c r="D5149" s="265">
        <v>0.269121813031161</v>
      </c>
      <c r="E5149" s="265">
        <v>0.348258706467662</v>
      </c>
      <c r="F5149" s="265">
        <v>0.270833333333333</v>
      </c>
      <c r="G5149" s="265">
        <v>0.266187050359712</v>
      </c>
      <c r="H5149" s="265">
        <v>0.291390728476821</v>
      </c>
      <c r="I5149" s="265">
        <v>0.217791411042945</v>
      </c>
      <c r="J5149" s="265">
        <v>0.224274406332454</v>
      </c>
      <c r="K5149" s="265">
        <v>0.194915254237288</v>
      </c>
      <c r="L5149" s="265">
        <v>0.216161616161616</v>
      </c>
      <c r="M5149" s="265">
        <v>0.209844559585492</v>
      </c>
      <c r="N5149" s="265">
        <v>0.1875</v>
      </c>
      <c r="O5149" s="277">
        <v>0.164893617021277</v>
      </c>
    </row>
    <row r="5150" spans="1:15">
      <c r="A5150" s="266" t="s">
        <v>68</v>
      </c>
      <c r="B5150" s="267" t="s">
        <v>57</v>
      </c>
      <c r="C5150" s="44">
        <v>4241</v>
      </c>
      <c r="D5150" s="268">
        <v>353</v>
      </c>
      <c r="E5150" s="268">
        <v>201</v>
      </c>
      <c r="F5150" s="268">
        <v>192</v>
      </c>
      <c r="G5150" s="268">
        <v>139</v>
      </c>
      <c r="H5150" s="268">
        <v>302</v>
      </c>
      <c r="I5150" s="268">
        <v>326</v>
      </c>
      <c r="J5150" s="268">
        <v>379</v>
      </c>
      <c r="K5150" s="268">
        <v>472</v>
      </c>
      <c r="L5150" s="268">
        <v>495</v>
      </c>
      <c r="M5150" s="268">
        <v>386</v>
      </c>
      <c r="N5150" s="268">
        <v>432</v>
      </c>
      <c r="O5150" s="278">
        <v>564</v>
      </c>
    </row>
    <row r="5151" spans="1:15">
      <c r="A5151" s="263" t="s">
        <v>68</v>
      </c>
      <c r="B5151" s="264" t="s">
        <v>59</v>
      </c>
      <c r="C5151" s="44">
        <v>952</v>
      </c>
      <c r="D5151" s="268">
        <v>95</v>
      </c>
      <c r="E5151" s="268">
        <v>70</v>
      </c>
      <c r="F5151" s="268">
        <v>52</v>
      </c>
      <c r="G5151" s="268">
        <v>37</v>
      </c>
      <c r="H5151" s="268">
        <v>88</v>
      </c>
      <c r="I5151" s="268">
        <v>71</v>
      </c>
      <c r="J5151" s="268">
        <v>85</v>
      </c>
      <c r="K5151" s="268">
        <v>92</v>
      </c>
      <c r="L5151" s="268">
        <v>107</v>
      </c>
      <c r="M5151" s="268">
        <v>81</v>
      </c>
      <c r="N5151" s="268">
        <v>81</v>
      </c>
      <c r="O5151" s="278">
        <v>93</v>
      </c>
    </row>
    <row r="5152" spans="1:15">
      <c r="A5152" s="266" t="s">
        <v>68</v>
      </c>
      <c r="B5152" s="267" t="s">
        <v>4</v>
      </c>
      <c r="C5152" s="44">
        <v>57</v>
      </c>
      <c r="D5152" s="269">
        <v>6</v>
      </c>
      <c r="E5152" s="269">
        <v>7</v>
      </c>
      <c r="F5152" s="269">
        <v>1</v>
      </c>
      <c r="G5152" s="269">
        <v>3</v>
      </c>
      <c r="H5152" s="269">
        <v>4</v>
      </c>
      <c r="I5152" s="269">
        <v>4</v>
      </c>
      <c r="J5152" s="269">
        <v>4</v>
      </c>
      <c r="K5152" s="269">
        <v>7</v>
      </c>
      <c r="L5152" s="269">
        <v>7</v>
      </c>
      <c r="M5152" s="269">
        <v>3</v>
      </c>
      <c r="N5152" s="269">
        <v>4</v>
      </c>
      <c r="O5152" s="279">
        <v>7</v>
      </c>
    </row>
    <row r="5153" spans="1:15">
      <c r="A5153" s="263" t="s">
        <v>68</v>
      </c>
      <c r="B5153" s="264" t="s">
        <v>5</v>
      </c>
      <c r="C5153" s="49">
        <v>0.0598739495798319</v>
      </c>
      <c r="D5153" s="265">
        <v>0.0631578947368421</v>
      </c>
      <c r="E5153" s="265">
        <v>0.1</v>
      </c>
      <c r="F5153" s="265">
        <v>0.0192307692307692</v>
      </c>
      <c r="G5153" s="265">
        <v>0.0810810810810811</v>
      </c>
      <c r="H5153" s="265">
        <v>0.0454545454545455</v>
      </c>
      <c r="I5153" s="265">
        <v>0.0563380281690141</v>
      </c>
      <c r="J5153" s="265">
        <v>0.0470588235294118</v>
      </c>
      <c r="K5153" s="265">
        <v>0.0760869565217391</v>
      </c>
      <c r="L5153" s="265">
        <v>0.0654205607476635</v>
      </c>
      <c r="M5153" s="265">
        <v>0.037037037037037</v>
      </c>
      <c r="N5153" s="265">
        <v>0.0493827160493827</v>
      </c>
      <c r="O5153" s="277">
        <v>0.0752688172043011</v>
      </c>
    </row>
    <row r="5154" spans="1:15">
      <c r="A5154" s="266" t="s">
        <v>68</v>
      </c>
      <c r="B5154" s="267" t="s">
        <v>6</v>
      </c>
      <c r="C5154" s="44">
        <v>22</v>
      </c>
      <c r="D5154" s="269">
        <v>5</v>
      </c>
      <c r="E5154" s="269">
        <v>1</v>
      </c>
      <c r="F5154" s="269">
        <v>0</v>
      </c>
      <c r="G5154" s="269">
        <v>3</v>
      </c>
      <c r="H5154" s="269">
        <v>1</v>
      </c>
      <c r="I5154" s="269">
        <v>3</v>
      </c>
      <c r="J5154" s="269">
        <v>0</v>
      </c>
      <c r="K5154" s="269">
        <v>2</v>
      </c>
      <c r="L5154" s="269">
        <v>3</v>
      </c>
      <c r="M5154" s="269">
        <v>1</v>
      </c>
      <c r="N5154" s="269">
        <v>2</v>
      </c>
      <c r="O5154" s="279">
        <v>1</v>
      </c>
    </row>
    <row r="5155" ht="14.25" spans="1:15">
      <c r="A5155" s="270" t="s">
        <v>68</v>
      </c>
      <c r="B5155" s="271" t="s">
        <v>64</v>
      </c>
      <c r="C5155" s="53">
        <v>0.385964912280702</v>
      </c>
      <c r="D5155" s="272">
        <v>0.833333333333333</v>
      </c>
      <c r="E5155" s="272">
        <v>0.142857142857143</v>
      </c>
      <c r="F5155" s="272">
        <v>0</v>
      </c>
      <c r="G5155" s="272">
        <v>1</v>
      </c>
      <c r="H5155" s="272">
        <v>0.25</v>
      </c>
      <c r="I5155" s="272">
        <v>0.75</v>
      </c>
      <c r="J5155" s="272">
        <v>0</v>
      </c>
      <c r="K5155" s="272">
        <v>0.285714285714286</v>
      </c>
      <c r="L5155" s="272">
        <v>0.428571428571429</v>
      </c>
      <c r="M5155" s="272">
        <v>0.333333333333333</v>
      </c>
      <c r="N5155" s="272">
        <v>0.5</v>
      </c>
      <c r="O5155" s="280">
        <v>0.142857142857143</v>
      </c>
    </row>
    <row r="5156" spans="1:15">
      <c r="A5156" s="263" t="s">
        <v>69</v>
      </c>
      <c r="B5156" s="264" t="s">
        <v>55</v>
      </c>
      <c r="C5156" s="49">
        <v>1.36101083032491</v>
      </c>
      <c r="D5156" s="265">
        <v>1.56</v>
      </c>
      <c r="E5156" s="265">
        <v>1.5</v>
      </c>
      <c r="F5156" s="265">
        <v>1.5</v>
      </c>
      <c r="G5156" s="265">
        <v>2.33333333333333</v>
      </c>
      <c r="H5156" s="265">
        <v>1.23529411764706</v>
      </c>
      <c r="I5156" s="265">
        <v>1.47368421052632</v>
      </c>
      <c r="J5156" s="265">
        <v>1.61111111111111</v>
      </c>
      <c r="K5156" s="265">
        <v>1.12820512820513</v>
      </c>
      <c r="L5156" s="265">
        <v>1.8</v>
      </c>
      <c r="M5156" s="265">
        <v>1.35714285714286</v>
      </c>
      <c r="N5156" s="265">
        <v>1</v>
      </c>
      <c r="O5156" s="277">
        <v>1.04651162790698</v>
      </c>
    </row>
    <row r="5157" spans="1:15">
      <c r="A5157" s="266" t="s">
        <v>69</v>
      </c>
      <c r="B5157" s="267" t="s">
        <v>57</v>
      </c>
      <c r="C5157" s="44">
        <v>277</v>
      </c>
      <c r="D5157" s="268">
        <v>25</v>
      </c>
      <c r="E5157" s="268">
        <v>18</v>
      </c>
      <c r="F5157" s="268">
        <v>8</v>
      </c>
      <c r="G5157" s="268">
        <v>9</v>
      </c>
      <c r="H5157" s="268">
        <v>17</v>
      </c>
      <c r="I5157" s="268">
        <v>19</v>
      </c>
      <c r="J5157" s="268">
        <v>18</v>
      </c>
      <c r="K5157" s="268">
        <v>39</v>
      </c>
      <c r="L5157" s="268">
        <v>25</v>
      </c>
      <c r="M5157" s="268">
        <v>28</v>
      </c>
      <c r="N5157" s="268">
        <v>28</v>
      </c>
      <c r="O5157" s="278">
        <v>43</v>
      </c>
    </row>
    <row r="5158" spans="1:15">
      <c r="A5158" s="263" t="s">
        <v>69</v>
      </c>
      <c r="B5158" s="264" t="s">
        <v>59</v>
      </c>
      <c r="C5158" s="44">
        <v>377</v>
      </c>
      <c r="D5158" s="268">
        <v>39</v>
      </c>
      <c r="E5158" s="268">
        <v>27</v>
      </c>
      <c r="F5158" s="268">
        <v>12</v>
      </c>
      <c r="G5158" s="268">
        <v>21</v>
      </c>
      <c r="H5158" s="268">
        <v>21</v>
      </c>
      <c r="I5158" s="268">
        <v>28</v>
      </c>
      <c r="J5158" s="268">
        <v>29</v>
      </c>
      <c r="K5158" s="268">
        <v>44</v>
      </c>
      <c r="L5158" s="268">
        <v>45</v>
      </c>
      <c r="M5158" s="268">
        <v>38</v>
      </c>
      <c r="N5158" s="268">
        <v>28</v>
      </c>
      <c r="O5158" s="278">
        <v>45</v>
      </c>
    </row>
    <row r="5159" spans="1:15">
      <c r="A5159" s="266" t="s">
        <v>69</v>
      </c>
      <c r="B5159" s="267" t="s">
        <v>4</v>
      </c>
      <c r="C5159" s="44">
        <v>3</v>
      </c>
      <c r="D5159" s="269">
        <v>0</v>
      </c>
      <c r="E5159" s="269">
        <v>0</v>
      </c>
      <c r="F5159" s="269">
        <v>0</v>
      </c>
      <c r="G5159" s="269">
        <v>0</v>
      </c>
      <c r="H5159" s="269">
        <v>0</v>
      </c>
      <c r="I5159" s="269">
        <v>0</v>
      </c>
      <c r="J5159" s="269">
        <v>1</v>
      </c>
      <c r="K5159" s="269">
        <v>0</v>
      </c>
      <c r="L5159" s="269">
        <v>0</v>
      </c>
      <c r="M5159" s="269">
        <v>1</v>
      </c>
      <c r="N5159" s="269">
        <v>1</v>
      </c>
      <c r="O5159" s="279">
        <v>0</v>
      </c>
    </row>
    <row r="5160" spans="1:15">
      <c r="A5160" s="263" t="s">
        <v>69</v>
      </c>
      <c r="B5160" s="264" t="s">
        <v>5</v>
      </c>
      <c r="C5160" s="49">
        <v>0.00795755968169761</v>
      </c>
      <c r="D5160" s="265">
        <v>0</v>
      </c>
      <c r="E5160" s="265">
        <v>0</v>
      </c>
      <c r="F5160" s="265">
        <v>0</v>
      </c>
      <c r="G5160" s="265">
        <v>0</v>
      </c>
      <c r="H5160" s="265">
        <v>0</v>
      </c>
      <c r="I5160" s="265">
        <v>0</v>
      </c>
      <c r="J5160" s="265">
        <v>0.0344827586206897</v>
      </c>
      <c r="K5160" s="265">
        <v>0</v>
      </c>
      <c r="L5160" s="265">
        <v>0</v>
      </c>
      <c r="M5160" s="265">
        <v>0.0263157894736842</v>
      </c>
      <c r="N5160" s="265">
        <v>0.0357142857142857</v>
      </c>
      <c r="O5160" s="277">
        <v>0</v>
      </c>
    </row>
    <row r="5161" spans="1:15">
      <c r="A5161" s="266" t="s">
        <v>69</v>
      </c>
      <c r="B5161" s="267" t="s">
        <v>6</v>
      </c>
      <c r="C5161" s="44">
        <v>3</v>
      </c>
      <c r="D5161" s="269">
        <v>0</v>
      </c>
      <c r="E5161" s="269">
        <v>0</v>
      </c>
      <c r="F5161" s="269">
        <v>0</v>
      </c>
      <c r="G5161" s="269">
        <v>0</v>
      </c>
      <c r="H5161" s="269">
        <v>0</v>
      </c>
      <c r="I5161" s="269">
        <v>0</v>
      </c>
      <c r="J5161" s="269">
        <v>0</v>
      </c>
      <c r="K5161" s="269">
        <v>0</v>
      </c>
      <c r="L5161" s="269">
        <v>1</v>
      </c>
      <c r="M5161" s="269">
        <v>1</v>
      </c>
      <c r="N5161" s="269">
        <v>1</v>
      </c>
      <c r="O5161" s="279">
        <v>0</v>
      </c>
    </row>
    <row r="5162" ht="14.25" spans="1:15">
      <c r="A5162" s="270" t="s">
        <v>69</v>
      </c>
      <c r="B5162" s="271" t="s">
        <v>64</v>
      </c>
      <c r="C5162" s="53">
        <v>1</v>
      </c>
      <c r="D5162" s="272">
        <v>0</v>
      </c>
      <c r="E5162" s="272">
        <v>0</v>
      </c>
      <c r="F5162" s="272">
        <v>0</v>
      </c>
      <c r="G5162" s="272">
        <v>0</v>
      </c>
      <c r="H5162" s="272">
        <v>0</v>
      </c>
      <c r="I5162" s="272">
        <v>0</v>
      </c>
      <c r="J5162" s="272">
        <v>0</v>
      </c>
      <c r="K5162" s="272">
        <v>0</v>
      </c>
      <c r="L5162" s="272">
        <v>0</v>
      </c>
      <c r="M5162" s="272">
        <v>1</v>
      </c>
      <c r="N5162" s="272">
        <v>1</v>
      </c>
      <c r="O5162" s="280">
        <v>0</v>
      </c>
    </row>
    <row r="5163" spans="1:15">
      <c r="A5163" s="263" t="s">
        <v>70</v>
      </c>
      <c r="B5163" s="264" t="s">
        <v>55</v>
      </c>
      <c r="C5163" s="49">
        <v>0.425831923293852</v>
      </c>
      <c r="D5163" s="265">
        <v>0.556291390728477</v>
      </c>
      <c r="E5163" s="265">
        <v>0.539325842696629</v>
      </c>
      <c r="F5163" s="265">
        <v>0.469135802469136</v>
      </c>
      <c r="G5163" s="265">
        <v>0.456521739130435</v>
      </c>
      <c r="H5163" s="265">
        <v>0.522935779816514</v>
      </c>
      <c r="I5163" s="265">
        <v>0.444444444444444</v>
      </c>
      <c r="J5163" s="265">
        <v>0.476190476190476</v>
      </c>
      <c r="K5163" s="265">
        <v>0.47887323943662</v>
      </c>
      <c r="L5163" s="265">
        <v>0.397590361445783</v>
      </c>
      <c r="M5163" s="265">
        <v>0.354838709677419</v>
      </c>
      <c r="N5163" s="265">
        <v>0.31858407079646</v>
      </c>
      <c r="O5163" s="277">
        <v>0.344827586206897</v>
      </c>
    </row>
    <row r="5164" spans="1:15">
      <c r="A5164" s="266" t="s">
        <v>70</v>
      </c>
      <c r="B5164" s="267" t="s">
        <v>57</v>
      </c>
      <c r="C5164" s="44">
        <v>1773</v>
      </c>
      <c r="D5164" s="268">
        <v>151</v>
      </c>
      <c r="E5164" s="268">
        <v>89</v>
      </c>
      <c r="F5164" s="268">
        <v>81</v>
      </c>
      <c r="G5164" s="268">
        <v>92</v>
      </c>
      <c r="H5164" s="268">
        <v>109</v>
      </c>
      <c r="I5164" s="268">
        <v>144</v>
      </c>
      <c r="J5164" s="268">
        <v>126</v>
      </c>
      <c r="K5164" s="268">
        <v>142</v>
      </c>
      <c r="L5164" s="268">
        <v>166</v>
      </c>
      <c r="M5164" s="268">
        <v>186</v>
      </c>
      <c r="N5164" s="268">
        <v>226</v>
      </c>
      <c r="O5164" s="278">
        <v>261</v>
      </c>
    </row>
    <row r="5165" spans="1:15">
      <c r="A5165" s="263" t="s">
        <v>70</v>
      </c>
      <c r="B5165" s="264" t="s">
        <v>59</v>
      </c>
      <c r="C5165" s="44">
        <v>755</v>
      </c>
      <c r="D5165" s="268">
        <v>84</v>
      </c>
      <c r="E5165" s="268">
        <v>48</v>
      </c>
      <c r="F5165" s="268">
        <v>38</v>
      </c>
      <c r="G5165" s="268">
        <v>42</v>
      </c>
      <c r="H5165" s="268">
        <v>57</v>
      </c>
      <c r="I5165" s="268">
        <v>64</v>
      </c>
      <c r="J5165" s="268">
        <v>60</v>
      </c>
      <c r="K5165" s="268">
        <v>68</v>
      </c>
      <c r="L5165" s="268">
        <v>66</v>
      </c>
      <c r="M5165" s="268">
        <v>66</v>
      </c>
      <c r="N5165" s="268">
        <v>72</v>
      </c>
      <c r="O5165" s="278">
        <v>90</v>
      </c>
    </row>
    <row r="5166" spans="1:15">
      <c r="A5166" s="266" t="s">
        <v>70</v>
      </c>
      <c r="B5166" s="267" t="s">
        <v>4</v>
      </c>
      <c r="C5166" s="44">
        <v>46</v>
      </c>
      <c r="D5166" s="269">
        <v>2</v>
      </c>
      <c r="E5166" s="269">
        <v>4</v>
      </c>
      <c r="F5166" s="269">
        <v>2</v>
      </c>
      <c r="G5166" s="269">
        <v>1</v>
      </c>
      <c r="H5166" s="269">
        <v>1</v>
      </c>
      <c r="I5166" s="269">
        <v>6</v>
      </c>
      <c r="J5166" s="269">
        <v>3</v>
      </c>
      <c r="K5166" s="269">
        <v>4</v>
      </c>
      <c r="L5166" s="269">
        <v>7</v>
      </c>
      <c r="M5166" s="269">
        <v>6</v>
      </c>
      <c r="N5166" s="269">
        <v>6</v>
      </c>
      <c r="O5166" s="279">
        <v>4</v>
      </c>
    </row>
    <row r="5167" spans="1:15">
      <c r="A5167" s="263" t="s">
        <v>70</v>
      </c>
      <c r="B5167" s="264" t="s">
        <v>5</v>
      </c>
      <c r="C5167" s="49">
        <v>0.0609271523178808</v>
      </c>
      <c r="D5167" s="265">
        <v>0.0238095238095238</v>
      </c>
      <c r="E5167" s="265">
        <v>0.0833333333333333</v>
      </c>
      <c r="F5167" s="265">
        <v>0.0526315789473684</v>
      </c>
      <c r="G5167" s="265">
        <v>0.0238095238095238</v>
      </c>
      <c r="H5167" s="265">
        <v>0.0175438596491228</v>
      </c>
      <c r="I5167" s="265">
        <v>0.09375</v>
      </c>
      <c r="J5167" s="265">
        <v>0.05</v>
      </c>
      <c r="K5167" s="265">
        <v>0.0588235294117647</v>
      </c>
      <c r="L5167" s="265">
        <v>0.106060606060606</v>
      </c>
      <c r="M5167" s="265">
        <v>0.0909090909090909</v>
      </c>
      <c r="N5167" s="265">
        <v>0.0833333333333333</v>
      </c>
      <c r="O5167" s="277">
        <v>0.0444444444444444</v>
      </c>
    </row>
    <row r="5168" spans="1:15">
      <c r="A5168" s="266" t="s">
        <v>70</v>
      </c>
      <c r="B5168" s="267" t="s">
        <v>6</v>
      </c>
      <c r="C5168" s="44">
        <v>14</v>
      </c>
      <c r="D5168" s="269">
        <v>2</v>
      </c>
      <c r="E5168" s="269">
        <v>2</v>
      </c>
      <c r="F5168" s="269">
        <v>1</v>
      </c>
      <c r="G5168" s="269">
        <v>0</v>
      </c>
      <c r="H5168" s="269">
        <v>0</v>
      </c>
      <c r="I5168" s="269">
        <v>0</v>
      </c>
      <c r="J5168" s="269">
        <v>0</v>
      </c>
      <c r="K5168" s="269">
        <v>0</v>
      </c>
      <c r="L5168" s="269">
        <v>1</v>
      </c>
      <c r="M5168" s="269">
        <v>2</v>
      </c>
      <c r="N5168" s="269">
        <v>4</v>
      </c>
      <c r="O5168" s="279">
        <v>2</v>
      </c>
    </row>
    <row r="5169" ht="14.25" spans="1:15">
      <c r="A5169" s="270" t="s">
        <v>70</v>
      </c>
      <c r="B5169" s="271" t="s">
        <v>64</v>
      </c>
      <c r="C5169" s="53">
        <v>0.304347826086957</v>
      </c>
      <c r="D5169" s="272">
        <v>1</v>
      </c>
      <c r="E5169" s="272">
        <v>0.5</v>
      </c>
      <c r="F5169" s="272">
        <v>0.5</v>
      </c>
      <c r="G5169" s="272">
        <v>0</v>
      </c>
      <c r="H5169" s="272">
        <v>0</v>
      </c>
      <c r="I5169" s="272">
        <v>0</v>
      </c>
      <c r="J5169" s="272">
        <v>0</v>
      </c>
      <c r="K5169" s="272">
        <v>0</v>
      </c>
      <c r="L5169" s="272">
        <v>0.142857142857143</v>
      </c>
      <c r="M5169" s="272">
        <v>0.333333333333333</v>
      </c>
      <c r="N5169" s="272">
        <v>0.666666666666667</v>
      </c>
      <c r="O5169" s="280">
        <v>0.5</v>
      </c>
    </row>
    <row r="5170" spans="1:15">
      <c r="A5170" s="263" t="s">
        <v>26</v>
      </c>
      <c r="B5170" s="264" t="s">
        <v>55</v>
      </c>
      <c r="C5170" s="49" t="e">
        <v>#DIV/0!</v>
      </c>
      <c r="D5170" s="265" t="e">
        <v>#DIV/0!</v>
      </c>
      <c r="E5170" s="265" t="e">
        <v>#DIV/0!</v>
      </c>
      <c r="F5170" s="265" t="e">
        <v>#DIV/0!</v>
      </c>
      <c r="G5170" s="265" t="e">
        <v>#DIV/0!</v>
      </c>
      <c r="H5170" s="265" t="e">
        <v>#DIV/0!</v>
      </c>
      <c r="I5170" s="265" t="e">
        <v>#DIV/0!</v>
      </c>
      <c r="J5170" s="265" t="e">
        <v>#DIV/0!</v>
      </c>
      <c r="K5170" s="265" t="e">
        <v>#DIV/0!</v>
      </c>
      <c r="L5170" s="265" t="e">
        <v>#DIV/0!</v>
      </c>
      <c r="M5170" s="265" t="e">
        <v>#DIV/0!</v>
      </c>
      <c r="N5170" s="265" t="e">
        <v>#DIV/0!</v>
      </c>
      <c r="O5170" s="277" t="e">
        <v>#DIV/0!</v>
      </c>
    </row>
    <row r="5171" spans="1:15">
      <c r="A5171" s="266" t="s">
        <v>26</v>
      </c>
      <c r="B5171" s="267" t="s">
        <v>57</v>
      </c>
      <c r="C5171" s="44">
        <v>0</v>
      </c>
      <c r="D5171" s="268">
        <v>0</v>
      </c>
      <c r="E5171" s="268">
        <v>0</v>
      </c>
      <c r="F5171" s="268">
        <v>0</v>
      </c>
      <c r="G5171" s="268">
        <v>0</v>
      </c>
      <c r="H5171" s="268">
        <v>0</v>
      </c>
      <c r="I5171" s="268">
        <v>0</v>
      </c>
      <c r="J5171" s="268">
        <v>0</v>
      </c>
      <c r="K5171" s="268">
        <v>0</v>
      </c>
      <c r="L5171" s="268">
        <v>0</v>
      </c>
      <c r="M5171" s="268">
        <v>0</v>
      </c>
      <c r="N5171" s="268">
        <v>0</v>
      </c>
      <c r="O5171" s="278">
        <v>0</v>
      </c>
    </row>
    <row r="5172" spans="1:15">
      <c r="A5172" s="263" t="s">
        <v>26</v>
      </c>
      <c r="B5172" s="264" t="s">
        <v>59</v>
      </c>
      <c r="C5172" s="44">
        <v>117</v>
      </c>
      <c r="D5172" s="268">
        <v>17</v>
      </c>
      <c r="E5172" s="268">
        <v>8</v>
      </c>
      <c r="F5172" s="268">
        <v>3</v>
      </c>
      <c r="G5172" s="268">
        <v>10</v>
      </c>
      <c r="H5172" s="268">
        <v>17</v>
      </c>
      <c r="I5172" s="268">
        <v>7</v>
      </c>
      <c r="J5172" s="268">
        <v>8</v>
      </c>
      <c r="K5172" s="268">
        <v>16</v>
      </c>
      <c r="L5172" s="268">
        <v>11</v>
      </c>
      <c r="M5172" s="268">
        <v>7</v>
      </c>
      <c r="N5172" s="268">
        <v>3</v>
      </c>
      <c r="O5172" s="278">
        <v>10</v>
      </c>
    </row>
    <row r="5173" spans="1:15">
      <c r="A5173" s="266" t="s">
        <v>26</v>
      </c>
      <c r="B5173" s="267" t="s">
        <v>4</v>
      </c>
      <c r="C5173" s="44">
        <v>0</v>
      </c>
      <c r="D5173" s="269">
        <v>0</v>
      </c>
      <c r="E5173" s="269">
        <v>0</v>
      </c>
      <c r="F5173" s="269">
        <v>0</v>
      </c>
      <c r="G5173" s="269">
        <v>0</v>
      </c>
      <c r="H5173" s="269">
        <v>0</v>
      </c>
      <c r="I5173" s="269">
        <v>0</v>
      </c>
      <c r="J5173" s="269">
        <v>0</v>
      </c>
      <c r="K5173" s="269">
        <v>0</v>
      </c>
      <c r="L5173" s="269">
        <v>0</v>
      </c>
      <c r="M5173" s="269">
        <v>0</v>
      </c>
      <c r="N5173" s="269">
        <v>0</v>
      </c>
      <c r="O5173" s="279">
        <v>0</v>
      </c>
    </row>
    <row r="5174" spans="1:15">
      <c r="A5174" s="263" t="s">
        <v>26</v>
      </c>
      <c r="B5174" s="264" t="s">
        <v>5</v>
      </c>
      <c r="C5174" s="49">
        <v>0</v>
      </c>
      <c r="D5174" s="265">
        <v>0</v>
      </c>
      <c r="E5174" s="265">
        <v>0</v>
      </c>
      <c r="F5174" s="265">
        <v>0</v>
      </c>
      <c r="G5174" s="265">
        <v>0</v>
      </c>
      <c r="H5174" s="265">
        <v>0</v>
      </c>
      <c r="I5174" s="265">
        <v>0</v>
      </c>
      <c r="J5174" s="265">
        <v>0</v>
      </c>
      <c r="K5174" s="265">
        <v>0</v>
      </c>
      <c r="L5174" s="265">
        <v>0</v>
      </c>
      <c r="M5174" s="265">
        <v>0</v>
      </c>
      <c r="N5174" s="265">
        <v>0</v>
      </c>
      <c r="O5174" s="277">
        <v>0</v>
      </c>
    </row>
    <row r="5175" spans="1:15">
      <c r="A5175" s="266" t="s">
        <v>26</v>
      </c>
      <c r="B5175" s="267" t="s">
        <v>6</v>
      </c>
      <c r="C5175" s="44">
        <v>0</v>
      </c>
      <c r="D5175" s="269">
        <v>0</v>
      </c>
      <c r="E5175" s="269">
        <v>0</v>
      </c>
      <c r="F5175" s="269">
        <v>0</v>
      </c>
      <c r="G5175" s="269">
        <v>0</v>
      </c>
      <c r="H5175" s="269">
        <v>0</v>
      </c>
      <c r="I5175" s="269">
        <v>0</v>
      </c>
      <c r="J5175" s="269">
        <v>0</v>
      </c>
      <c r="K5175" s="269">
        <v>0</v>
      </c>
      <c r="L5175" s="269">
        <v>0</v>
      </c>
      <c r="M5175" s="269">
        <v>0</v>
      </c>
      <c r="N5175" s="269">
        <v>0</v>
      </c>
      <c r="O5175" s="279">
        <v>0</v>
      </c>
    </row>
    <row r="5176" ht="14.25" spans="1:15">
      <c r="A5176" s="270" t="s">
        <v>26</v>
      </c>
      <c r="B5176" s="271" t="s">
        <v>64</v>
      </c>
      <c r="C5176" s="53" t="e">
        <v>#DIV/0!</v>
      </c>
      <c r="D5176" s="19" t="e">
        <v>#DIV/0!</v>
      </c>
      <c r="E5176" s="19" t="e">
        <v>#DIV/0!</v>
      </c>
      <c r="F5176" s="19" t="e">
        <v>#DIV/0!</v>
      </c>
      <c r="G5176" s="19" t="e">
        <v>#DIV/0!</v>
      </c>
      <c r="H5176" s="19" t="e">
        <v>#DIV/0!</v>
      </c>
      <c r="I5176" s="19" t="e">
        <v>#DIV/0!</v>
      </c>
      <c r="J5176" s="19" t="e">
        <v>#DIV/0!</v>
      </c>
      <c r="K5176" s="19" t="e">
        <v>#DIV/0!</v>
      </c>
      <c r="L5176" s="19" t="e">
        <v>#DIV/0!</v>
      </c>
      <c r="M5176" s="19" t="e">
        <v>#DIV/0!</v>
      </c>
      <c r="N5176" s="19" t="e">
        <v>#DIV/0!</v>
      </c>
      <c r="O5176" s="19" t="e">
        <v>#DIV/0!</v>
      </c>
    </row>
    <row r="5177" spans="1:15">
      <c r="A5177" s="263" t="s">
        <v>71</v>
      </c>
      <c r="B5177" s="264" t="s">
        <v>55</v>
      </c>
      <c r="C5177" s="284">
        <v>313.333333333333</v>
      </c>
      <c r="D5177" s="265" t="e">
        <v>#DIV/0!</v>
      </c>
      <c r="E5177" s="265" t="e">
        <v>#DIV/0!</v>
      </c>
      <c r="F5177" s="265">
        <v>49</v>
      </c>
      <c r="G5177" s="265" t="e">
        <v>#DIV/0!</v>
      </c>
      <c r="H5177" s="265" t="e">
        <v>#DIV/0!</v>
      </c>
      <c r="I5177" s="265" t="e">
        <v>#DIV/0!</v>
      </c>
      <c r="J5177" s="265" t="e">
        <v>#DIV/0!</v>
      </c>
      <c r="K5177" s="265">
        <v>108</v>
      </c>
      <c r="L5177" s="265">
        <v>73</v>
      </c>
      <c r="M5177" s="265" t="e">
        <v>#DIV/0!</v>
      </c>
      <c r="N5177" s="265" t="e">
        <v>#DIV/0!</v>
      </c>
      <c r="O5177" s="265" t="e">
        <v>#DIV/0!</v>
      </c>
    </row>
    <row r="5178" spans="1:15">
      <c r="A5178" s="266" t="s">
        <v>71</v>
      </c>
      <c r="B5178" s="267" t="s">
        <v>57</v>
      </c>
      <c r="C5178" s="44">
        <v>3</v>
      </c>
      <c r="D5178" s="268">
        <v>0</v>
      </c>
      <c r="E5178" s="268">
        <v>0</v>
      </c>
      <c r="F5178" s="268">
        <v>1</v>
      </c>
      <c r="G5178" s="268">
        <v>0</v>
      </c>
      <c r="H5178" s="268">
        <v>0</v>
      </c>
      <c r="I5178" s="268">
        <v>0</v>
      </c>
      <c r="J5178" s="268">
        <v>0</v>
      </c>
      <c r="K5178" s="268">
        <v>1</v>
      </c>
      <c r="L5178" s="268">
        <v>1</v>
      </c>
      <c r="M5178" s="268">
        <v>0</v>
      </c>
      <c r="N5178" s="268">
        <v>0</v>
      </c>
      <c r="O5178" s="278">
        <v>0</v>
      </c>
    </row>
    <row r="5179" spans="1:15">
      <c r="A5179" s="263" t="s">
        <v>71</v>
      </c>
      <c r="B5179" s="264" t="s">
        <v>59</v>
      </c>
      <c r="C5179" s="44">
        <v>940</v>
      </c>
      <c r="D5179" s="268">
        <v>92</v>
      </c>
      <c r="E5179" s="268">
        <v>44</v>
      </c>
      <c r="F5179" s="268">
        <v>49</v>
      </c>
      <c r="G5179" s="268">
        <v>49</v>
      </c>
      <c r="H5179" s="268">
        <v>59</v>
      </c>
      <c r="I5179" s="268">
        <v>67</v>
      </c>
      <c r="J5179" s="268">
        <v>75</v>
      </c>
      <c r="K5179" s="268">
        <v>108</v>
      </c>
      <c r="L5179" s="268">
        <v>73</v>
      </c>
      <c r="M5179" s="268">
        <v>88</v>
      </c>
      <c r="N5179" s="268">
        <v>116</v>
      </c>
      <c r="O5179" s="278">
        <v>120</v>
      </c>
    </row>
    <row r="5180" spans="1:15">
      <c r="A5180" s="266" t="s">
        <v>71</v>
      </c>
      <c r="B5180" s="267" t="s">
        <v>4</v>
      </c>
      <c r="C5180" s="44">
        <v>44</v>
      </c>
      <c r="D5180" s="269">
        <v>9</v>
      </c>
      <c r="E5180" s="269">
        <v>0</v>
      </c>
      <c r="F5180" s="269">
        <v>1</v>
      </c>
      <c r="G5180" s="269">
        <v>1</v>
      </c>
      <c r="H5180" s="269">
        <v>1</v>
      </c>
      <c r="I5180" s="269">
        <v>5</v>
      </c>
      <c r="J5180" s="269">
        <v>5</v>
      </c>
      <c r="K5180" s="269">
        <v>3</v>
      </c>
      <c r="L5180" s="269">
        <v>1</v>
      </c>
      <c r="M5180" s="269">
        <v>1</v>
      </c>
      <c r="N5180" s="269">
        <v>6</v>
      </c>
      <c r="O5180" s="279">
        <v>11</v>
      </c>
    </row>
    <row r="5181" spans="1:15">
      <c r="A5181" s="263" t="s">
        <v>71</v>
      </c>
      <c r="B5181" s="264" t="s">
        <v>5</v>
      </c>
      <c r="C5181" s="285">
        <v>0.0468085106382979</v>
      </c>
      <c r="D5181" s="265">
        <v>0.0978260869565217</v>
      </c>
      <c r="E5181" s="265">
        <v>0</v>
      </c>
      <c r="F5181" s="265">
        <v>0.0204081632653061</v>
      </c>
      <c r="G5181" s="265">
        <v>0.0204081632653061</v>
      </c>
      <c r="H5181" s="265">
        <v>0.0169491525423729</v>
      </c>
      <c r="I5181" s="265">
        <v>0.0746268656716418</v>
      </c>
      <c r="J5181" s="265">
        <v>0.0666666666666667</v>
      </c>
      <c r="K5181" s="265">
        <v>0.0277777777777778</v>
      </c>
      <c r="L5181" s="265">
        <v>0.0136986301369863</v>
      </c>
      <c r="M5181" s="265">
        <v>0.0113636363636364</v>
      </c>
      <c r="N5181" s="265">
        <v>0.0517241379310345</v>
      </c>
      <c r="O5181" s="277">
        <v>0.0916666666666667</v>
      </c>
    </row>
    <row r="5182" spans="1:15">
      <c r="A5182" s="266" t="s">
        <v>71</v>
      </c>
      <c r="B5182" s="267" t="s">
        <v>6</v>
      </c>
      <c r="C5182" s="44">
        <v>9</v>
      </c>
      <c r="D5182" s="269">
        <v>4</v>
      </c>
      <c r="E5182" s="269">
        <v>0</v>
      </c>
      <c r="F5182" s="269">
        <v>1</v>
      </c>
      <c r="G5182" s="269">
        <v>1</v>
      </c>
      <c r="H5182" s="269">
        <v>0</v>
      </c>
      <c r="I5182" s="269">
        <v>1</v>
      </c>
      <c r="J5182" s="269">
        <v>0</v>
      </c>
      <c r="K5182" s="269">
        <v>0</v>
      </c>
      <c r="L5182" s="269">
        <v>0</v>
      </c>
      <c r="M5182" s="269">
        <v>1</v>
      </c>
      <c r="N5182" s="269">
        <v>0</v>
      </c>
      <c r="O5182" s="279">
        <v>1</v>
      </c>
    </row>
    <row r="5183" ht="14.25" spans="1:15">
      <c r="A5183" s="270" t="s">
        <v>71</v>
      </c>
      <c r="B5183" s="271" t="s">
        <v>64</v>
      </c>
      <c r="C5183" s="53">
        <v>0.204545454545455</v>
      </c>
      <c r="D5183" s="19">
        <v>0.444444444444444</v>
      </c>
      <c r="E5183" s="19" t="e">
        <v>#DIV/0!</v>
      </c>
      <c r="F5183" s="19">
        <v>1</v>
      </c>
      <c r="G5183" s="19">
        <v>1</v>
      </c>
      <c r="H5183" s="19">
        <v>0</v>
      </c>
      <c r="I5183" s="19">
        <v>0.2</v>
      </c>
      <c r="J5183" s="19">
        <v>0</v>
      </c>
      <c r="K5183" s="19">
        <v>0</v>
      </c>
      <c r="L5183" s="19">
        <v>0</v>
      </c>
      <c r="M5183" s="19">
        <v>1</v>
      </c>
      <c r="N5183" s="19">
        <v>0</v>
      </c>
      <c r="O5183" s="19">
        <v>0.0909090909090909</v>
      </c>
    </row>
    <row r="5184" spans="1:15">
      <c r="A5184" s="263" t="s">
        <v>72</v>
      </c>
      <c r="B5184" s="264" t="s">
        <v>55</v>
      </c>
      <c r="C5184" s="49">
        <v>0.173809523809524</v>
      </c>
      <c r="D5184" s="265">
        <v>0.237341772151899</v>
      </c>
      <c r="E5184" s="265">
        <v>0.19496855345912</v>
      </c>
      <c r="F5184" s="265">
        <v>0.196261682242991</v>
      </c>
      <c r="G5184" s="265">
        <v>0.172185430463576</v>
      </c>
      <c r="H5184" s="265">
        <v>0.157894736842105</v>
      </c>
      <c r="I5184" s="265">
        <v>0.128318584070796</v>
      </c>
      <c r="J5184" s="265">
        <v>0.212765957446809</v>
      </c>
      <c r="K5184" s="265">
        <v>0.158227848101266</v>
      </c>
      <c r="L5184" s="265">
        <v>0.182926829268293</v>
      </c>
      <c r="M5184" s="265">
        <v>0.211320754716981</v>
      </c>
      <c r="N5184" s="265">
        <v>0.147945205479452</v>
      </c>
      <c r="O5184" s="277">
        <v>0.118840579710145</v>
      </c>
    </row>
    <row r="5185" spans="1:15">
      <c r="A5185" s="266" t="s">
        <v>72</v>
      </c>
      <c r="B5185" s="267" t="s">
        <v>57</v>
      </c>
      <c r="C5185" s="44">
        <v>2940</v>
      </c>
      <c r="D5185" s="268">
        <v>316</v>
      </c>
      <c r="E5185" s="268">
        <v>159</v>
      </c>
      <c r="F5185" s="268">
        <v>107</v>
      </c>
      <c r="G5185" s="268">
        <v>151</v>
      </c>
      <c r="H5185" s="268">
        <v>209</v>
      </c>
      <c r="I5185" s="268">
        <v>226</v>
      </c>
      <c r="J5185" s="268">
        <v>235</v>
      </c>
      <c r="K5185" s="268">
        <v>316</v>
      </c>
      <c r="L5185" s="268">
        <v>246</v>
      </c>
      <c r="M5185" s="268">
        <v>265</v>
      </c>
      <c r="N5185" s="268">
        <v>365</v>
      </c>
      <c r="O5185" s="278">
        <v>345</v>
      </c>
    </row>
    <row r="5186" spans="1:15">
      <c r="A5186" s="263" t="s">
        <v>72</v>
      </c>
      <c r="B5186" s="264" t="s">
        <v>59</v>
      </c>
      <c r="C5186" s="44">
        <v>511</v>
      </c>
      <c r="D5186" s="268">
        <v>75</v>
      </c>
      <c r="E5186" s="268">
        <v>31</v>
      </c>
      <c r="F5186" s="268">
        <v>21</v>
      </c>
      <c r="G5186" s="268">
        <v>26</v>
      </c>
      <c r="H5186" s="268">
        <v>33</v>
      </c>
      <c r="I5186" s="268">
        <v>29</v>
      </c>
      <c r="J5186" s="268">
        <v>50</v>
      </c>
      <c r="K5186" s="268">
        <v>50</v>
      </c>
      <c r="L5186" s="268">
        <v>45</v>
      </c>
      <c r="M5186" s="268">
        <v>56</v>
      </c>
      <c r="N5186" s="268">
        <v>54</v>
      </c>
      <c r="O5186" s="278">
        <v>41</v>
      </c>
    </row>
    <row r="5187" spans="1:15">
      <c r="A5187" s="266" t="s">
        <v>72</v>
      </c>
      <c r="B5187" s="267" t="s">
        <v>4</v>
      </c>
      <c r="C5187" s="44">
        <v>39</v>
      </c>
      <c r="D5187" s="269">
        <v>4</v>
      </c>
      <c r="E5187" s="269">
        <v>4</v>
      </c>
      <c r="F5187" s="269">
        <v>2</v>
      </c>
      <c r="G5187" s="269">
        <v>1</v>
      </c>
      <c r="H5187" s="269">
        <v>3</v>
      </c>
      <c r="I5187" s="269">
        <v>2</v>
      </c>
      <c r="J5187" s="269">
        <v>2</v>
      </c>
      <c r="K5187" s="269">
        <v>4</v>
      </c>
      <c r="L5187" s="269">
        <v>5</v>
      </c>
      <c r="M5187" s="269">
        <v>4</v>
      </c>
      <c r="N5187" s="269">
        <v>5</v>
      </c>
      <c r="O5187" s="279">
        <v>3</v>
      </c>
    </row>
    <row r="5188" spans="1:15">
      <c r="A5188" s="263" t="s">
        <v>72</v>
      </c>
      <c r="B5188" s="264" t="s">
        <v>5</v>
      </c>
      <c r="C5188" s="49">
        <v>0.076320939334638</v>
      </c>
      <c r="D5188" s="265">
        <v>0.0533333333333333</v>
      </c>
      <c r="E5188" s="265">
        <v>0.129032258064516</v>
      </c>
      <c r="F5188" s="265">
        <v>0.0952380952380952</v>
      </c>
      <c r="G5188" s="265">
        <v>0.0384615384615385</v>
      </c>
      <c r="H5188" s="265">
        <v>0.0909090909090909</v>
      </c>
      <c r="I5188" s="265">
        <v>0.0689655172413793</v>
      </c>
      <c r="J5188" s="265">
        <v>0.04</v>
      </c>
      <c r="K5188" s="265">
        <v>0.08</v>
      </c>
      <c r="L5188" s="265">
        <v>0.111111111111111</v>
      </c>
      <c r="M5188" s="265">
        <v>0.0714285714285714</v>
      </c>
      <c r="N5188" s="265">
        <v>0.0925925925925926</v>
      </c>
      <c r="O5188" s="277">
        <v>0.0731707317073171</v>
      </c>
    </row>
    <row r="5189" spans="1:15">
      <c r="A5189" s="266" t="s">
        <v>72</v>
      </c>
      <c r="B5189" s="267" t="s">
        <v>6</v>
      </c>
      <c r="C5189" s="44">
        <v>12</v>
      </c>
      <c r="D5189" s="269">
        <v>2</v>
      </c>
      <c r="E5189" s="269">
        <v>2</v>
      </c>
      <c r="F5189" s="269">
        <v>0</v>
      </c>
      <c r="G5189" s="269">
        <v>0</v>
      </c>
      <c r="H5189" s="269">
        <v>1</v>
      </c>
      <c r="I5189" s="269">
        <v>0</v>
      </c>
      <c r="J5189" s="269">
        <v>1</v>
      </c>
      <c r="K5189" s="269">
        <v>1</v>
      </c>
      <c r="L5189" s="269">
        <v>1</v>
      </c>
      <c r="M5189" s="269">
        <v>2</v>
      </c>
      <c r="N5189" s="269">
        <v>2</v>
      </c>
      <c r="O5189" s="279">
        <v>0</v>
      </c>
    </row>
    <row r="5190" ht="14.25" spans="1:15">
      <c r="A5190" s="270" t="s">
        <v>72</v>
      </c>
      <c r="B5190" s="271" t="s">
        <v>64</v>
      </c>
      <c r="C5190" s="53">
        <v>0.307692307692308</v>
      </c>
      <c r="D5190" s="19">
        <v>0.5</v>
      </c>
      <c r="E5190" s="19">
        <v>0.5</v>
      </c>
      <c r="F5190" s="19">
        <v>0</v>
      </c>
      <c r="G5190" s="19">
        <v>0</v>
      </c>
      <c r="H5190" s="19">
        <v>0.333333333333333</v>
      </c>
      <c r="I5190" s="19">
        <v>0</v>
      </c>
      <c r="J5190" s="19">
        <v>0.5</v>
      </c>
      <c r="K5190" s="19">
        <v>0.25</v>
      </c>
      <c r="L5190" s="19">
        <v>0.2</v>
      </c>
      <c r="M5190" s="19">
        <v>0.5</v>
      </c>
      <c r="N5190" s="19">
        <v>0.4</v>
      </c>
      <c r="O5190" s="19">
        <v>0</v>
      </c>
    </row>
    <row r="5191" ht="14.25" spans="1:15">
      <c r="A5191" s="259">
        <v>45099</v>
      </c>
      <c r="B5191" s="259"/>
      <c r="C5191" s="259"/>
      <c r="D5191" s="259"/>
      <c r="E5191" s="259"/>
      <c r="F5191" s="259"/>
      <c r="G5191" s="259"/>
      <c r="H5191" s="259"/>
      <c r="I5191" s="259"/>
      <c r="J5191" s="259"/>
      <c r="K5191" s="259"/>
      <c r="L5191" s="259"/>
      <c r="M5191" s="259"/>
      <c r="N5191" s="259"/>
      <c r="O5191" s="259"/>
    </row>
    <row r="5192" spans="1:15">
      <c r="A5192" s="260" t="s">
        <v>1</v>
      </c>
      <c r="B5192" s="261"/>
      <c r="C5192" s="39" t="s">
        <v>42</v>
      </c>
      <c r="D5192" s="262" t="s">
        <v>43</v>
      </c>
      <c r="E5192" s="262" t="s">
        <v>44</v>
      </c>
      <c r="F5192" s="262" t="s">
        <v>45</v>
      </c>
      <c r="G5192" s="262" t="s">
        <v>46</v>
      </c>
      <c r="H5192" s="262" t="s">
        <v>47</v>
      </c>
      <c r="I5192" s="262" t="s">
        <v>48</v>
      </c>
      <c r="J5192" s="262" t="s">
        <v>49</v>
      </c>
      <c r="K5192" s="262" t="s">
        <v>50</v>
      </c>
      <c r="L5192" s="262" t="s">
        <v>51</v>
      </c>
      <c r="M5192" s="262" t="s">
        <v>52</v>
      </c>
      <c r="N5192" s="262" t="s">
        <v>53</v>
      </c>
      <c r="O5192" s="276" t="s">
        <v>54</v>
      </c>
    </row>
    <row r="5193" spans="1:15">
      <c r="A5193" s="263" t="s">
        <v>22</v>
      </c>
      <c r="B5193" s="264" t="s">
        <v>55</v>
      </c>
      <c r="C5193" s="49">
        <v>0.86892797319933</v>
      </c>
      <c r="D5193" s="265">
        <v>0.915824915824916</v>
      </c>
      <c r="E5193" s="265">
        <v>0.824817518248175</v>
      </c>
      <c r="F5193" s="265">
        <v>0.876404494382023</v>
      </c>
      <c r="G5193" s="265">
        <v>0.922413793103448</v>
      </c>
      <c r="H5193" s="265">
        <v>0.955801104972376</v>
      </c>
      <c r="I5193" s="265">
        <v>0.921875</v>
      </c>
      <c r="J5193" s="265">
        <v>0.842342342342342</v>
      </c>
      <c r="K5193" s="265">
        <v>0.836431226765799</v>
      </c>
      <c r="L5193" s="265">
        <v>0.896907216494845</v>
      </c>
      <c r="M5193" s="265">
        <v>0.850746268656716</v>
      </c>
      <c r="N5193" s="265">
        <v>0.819444444444444</v>
      </c>
      <c r="O5193" s="277">
        <v>0.806569343065693</v>
      </c>
    </row>
    <row r="5194" spans="1:15">
      <c r="A5194" s="266" t="s">
        <v>22</v>
      </c>
      <c r="B5194" s="267" t="s">
        <v>57</v>
      </c>
      <c r="C5194" s="44">
        <v>2388</v>
      </c>
      <c r="D5194" s="268">
        <v>297</v>
      </c>
      <c r="E5194" s="268">
        <v>137</v>
      </c>
      <c r="F5194" s="268">
        <v>89</v>
      </c>
      <c r="G5194" s="268">
        <v>116</v>
      </c>
      <c r="H5194" s="268">
        <v>181</v>
      </c>
      <c r="I5194" s="268">
        <v>192</v>
      </c>
      <c r="J5194" s="268">
        <v>222</v>
      </c>
      <c r="K5194" s="268">
        <v>269</v>
      </c>
      <c r="L5194" s="268">
        <v>194</v>
      </c>
      <c r="M5194" s="268">
        <v>201</v>
      </c>
      <c r="N5194" s="268">
        <v>216</v>
      </c>
      <c r="O5194" s="278">
        <v>274</v>
      </c>
    </row>
    <row r="5195" spans="1:15">
      <c r="A5195" s="263" t="s">
        <v>22</v>
      </c>
      <c r="B5195" s="264" t="s">
        <v>59</v>
      </c>
      <c r="C5195" s="44">
        <v>2075</v>
      </c>
      <c r="D5195" s="268">
        <v>272</v>
      </c>
      <c r="E5195" s="268">
        <v>113</v>
      </c>
      <c r="F5195" s="268">
        <v>78</v>
      </c>
      <c r="G5195" s="268">
        <v>107</v>
      </c>
      <c r="H5195" s="268">
        <v>173</v>
      </c>
      <c r="I5195" s="268">
        <v>177</v>
      </c>
      <c r="J5195" s="268">
        <v>187</v>
      </c>
      <c r="K5195" s="268">
        <v>225</v>
      </c>
      <c r="L5195" s="268">
        <v>174</v>
      </c>
      <c r="M5195" s="268">
        <v>171</v>
      </c>
      <c r="N5195" s="268">
        <v>177</v>
      </c>
      <c r="O5195" s="278">
        <v>221</v>
      </c>
    </row>
    <row r="5196" spans="1:15">
      <c r="A5196" s="266" t="s">
        <v>22</v>
      </c>
      <c r="B5196" s="267" t="s">
        <v>4</v>
      </c>
      <c r="C5196" s="44">
        <v>42</v>
      </c>
      <c r="D5196" s="269">
        <v>8</v>
      </c>
      <c r="E5196" s="269">
        <v>4</v>
      </c>
      <c r="F5196" s="269">
        <v>2</v>
      </c>
      <c r="G5196" s="269">
        <v>1</v>
      </c>
      <c r="H5196" s="269">
        <v>1</v>
      </c>
      <c r="I5196" s="269">
        <v>2</v>
      </c>
      <c r="J5196" s="269">
        <v>4</v>
      </c>
      <c r="K5196" s="269">
        <v>8</v>
      </c>
      <c r="L5196" s="269">
        <v>2</v>
      </c>
      <c r="M5196" s="269">
        <v>2</v>
      </c>
      <c r="N5196" s="269">
        <v>4</v>
      </c>
      <c r="O5196" s="279">
        <v>4</v>
      </c>
    </row>
    <row r="5197" spans="1:15">
      <c r="A5197" s="263" t="s">
        <v>22</v>
      </c>
      <c r="B5197" s="264" t="s">
        <v>5</v>
      </c>
      <c r="C5197" s="49">
        <v>0.0202409638554217</v>
      </c>
      <c r="D5197" s="265">
        <v>0.0294117647058824</v>
      </c>
      <c r="E5197" s="265">
        <v>0.0353982300884956</v>
      </c>
      <c r="F5197" s="265">
        <v>0.0256410256410256</v>
      </c>
      <c r="G5197" s="265">
        <v>0.00934579439252336</v>
      </c>
      <c r="H5197" s="265">
        <v>0.00578034682080925</v>
      </c>
      <c r="I5197" s="265">
        <v>0.0112994350282486</v>
      </c>
      <c r="J5197" s="265">
        <v>0.0213903743315508</v>
      </c>
      <c r="K5197" s="265">
        <v>0.0355555555555556</v>
      </c>
      <c r="L5197" s="265">
        <v>0.0114942528735632</v>
      </c>
      <c r="M5197" s="265">
        <v>0.0116959064327485</v>
      </c>
      <c r="N5197" s="265">
        <v>0.0225988700564972</v>
      </c>
      <c r="O5197" s="277">
        <v>0.0180995475113122</v>
      </c>
    </row>
    <row r="5198" spans="1:15">
      <c r="A5198" s="266" t="s">
        <v>22</v>
      </c>
      <c r="B5198" s="267" t="s">
        <v>6</v>
      </c>
      <c r="C5198" s="44">
        <v>18</v>
      </c>
      <c r="D5198" s="269">
        <v>4</v>
      </c>
      <c r="E5198" s="269">
        <v>1</v>
      </c>
      <c r="F5198" s="269">
        <v>2</v>
      </c>
      <c r="G5198" s="269">
        <v>0</v>
      </c>
      <c r="H5198" s="269">
        <v>1</v>
      </c>
      <c r="I5198" s="269">
        <v>0</v>
      </c>
      <c r="J5198" s="269">
        <v>1</v>
      </c>
      <c r="K5198" s="269">
        <v>4</v>
      </c>
      <c r="L5198" s="269">
        <v>3</v>
      </c>
      <c r="M5198" s="269">
        <v>0</v>
      </c>
      <c r="N5198" s="269">
        <v>2</v>
      </c>
      <c r="O5198" s="279">
        <v>0</v>
      </c>
    </row>
    <row r="5199" ht="14.25" spans="1:15">
      <c r="A5199" s="270" t="s">
        <v>22</v>
      </c>
      <c r="B5199" s="271" t="s">
        <v>64</v>
      </c>
      <c r="C5199" s="53">
        <v>0.428571428571429</v>
      </c>
      <c r="D5199" s="272">
        <v>0.5</v>
      </c>
      <c r="E5199" s="272">
        <v>0.25</v>
      </c>
      <c r="F5199" s="272">
        <v>1</v>
      </c>
      <c r="G5199" s="272">
        <v>0</v>
      </c>
      <c r="H5199" s="272">
        <v>1</v>
      </c>
      <c r="I5199" s="272">
        <v>0</v>
      </c>
      <c r="J5199" s="272">
        <v>0.25</v>
      </c>
      <c r="K5199" s="272">
        <v>0.5</v>
      </c>
      <c r="L5199" s="272">
        <v>1.5</v>
      </c>
      <c r="M5199" s="272">
        <v>0</v>
      </c>
      <c r="N5199" s="272">
        <v>0.5</v>
      </c>
      <c r="O5199" s="280">
        <v>0</v>
      </c>
    </row>
    <row r="5200" spans="1:15">
      <c r="A5200" s="273" t="s">
        <v>66</v>
      </c>
      <c r="B5200" s="274" t="s">
        <v>55</v>
      </c>
      <c r="C5200" s="49">
        <v>0.0877561744613768</v>
      </c>
      <c r="D5200" s="275">
        <v>0.0841584158415842</v>
      </c>
      <c r="E5200" s="275">
        <v>0.0873362445414847</v>
      </c>
      <c r="F5200" s="275">
        <v>0.0437158469945355</v>
      </c>
      <c r="G5200" s="275">
        <v>0.0445859872611465</v>
      </c>
      <c r="H5200" s="275">
        <v>0.0308641975308642</v>
      </c>
      <c r="I5200" s="275">
        <v>0.104166666666667</v>
      </c>
      <c r="J5200" s="275">
        <v>0.075187969924812</v>
      </c>
      <c r="K5200" s="275">
        <v>0.0987654320987654</v>
      </c>
      <c r="L5200" s="275">
        <v>0.0958904109589041</v>
      </c>
      <c r="M5200" s="275">
        <v>0.087719298245614</v>
      </c>
      <c r="N5200" s="275">
        <v>0.155737704918033</v>
      </c>
      <c r="O5200" s="281">
        <v>0.174496644295302</v>
      </c>
    </row>
    <row r="5201" spans="1:15">
      <c r="A5201" s="266" t="s">
        <v>66</v>
      </c>
      <c r="B5201" s="267" t="s">
        <v>57</v>
      </c>
      <c r="C5201" s="44">
        <v>1903</v>
      </c>
      <c r="D5201" s="268">
        <v>202</v>
      </c>
      <c r="E5201" s="268">
        <v>229</v>
      </c>
      <c r="F5201" s="268">
        <v>183</v>
      </c>
      <c r="G5201" s="268">
        <v>157</v>
      </c>
      <c r="H5201" s="268">
        <v>162</v>
      </c>
      <c r="I5201" s="268">
        <v>144</v>
      </c>
      <c r="J5201" s="268">
        <v>133</v>
      </c>
      <c r="K5201" s="268">
        <v>162</v>
      </c>
      <c r="L5201" s="268">
        <v>146</v>
      </c>
      <c r="M5201" s="268">
        <v>114</v>
      </c>
      <c r="N5201" s="268">
        <v>122</v>
      </c>
      <c r="O5201" s="278">
        <v>149</v>
      </c>
    </row>
    <row r="5202" spans="1:15">
      <c r="A5202" s="263" t="s">
        <v>66</v>
      </c>
      <c r="B5202" s="264" t="s">
        <v>59</v>
      </c>
      <c r="C5202" s="44">
        <v>167</v>
      </c>
      <c r="D5202" s="268">
        <v>17</v>
      </c>
      <c r="E5202" s="268">
        <v>20</v>
      </c>
      <c r="F5202" s="268">
        <v>8</v>
      </c>
      <c r="G5202" s="268">
        <v>7</v>
      </c>
      <c r="H5202" s="268">
        <v>5</v>
      </c>
      <c r="I5202" s="268">
        <v>15</v>
      </c>
      <c r="J5202" s="268">
        <v>10</v>
      </c>
      <c r="K5202" s="268">
        <v>16</v>
      </c>
      <c r="L5202" s="268">
        <v>14</v>
      </c>
      <c r="M5202" s="268">
        <v>10</v>
      </c>
      <c r="N5202" s="268">
        <v>19</v>
      </c>
      <c r="O5202" s="278">
        <v>26</v>
      </c>
    </row>
    <row r="5203" spans="1:15">
      <c r="A5203" s="266" t="s">
        <v>66</v>
      </c>
      <c r="B5203" s="267" t="s">
        <v>4</v>
      </c>
      <c r="C5203" s="44">
        <v>3</v>
      </c>
      <c r="D5203" s="269">
        <v>1</v>
      </c>
      <c r="E5203" s="269">
        <v>1</v>
      </c>
      <c r="F5203" s="269">
        <v>0</v>
      </c>
      <c r="G5203" s="269">
        <v>0</v>
      </c>
      <c r="H5203" s="269">
        <v>0</v>
      </c>
      <c r="I5203" s="269">
        <v>0</v>
      </c>
      <c r="J5203" s="269">
        <v>0</v>
      </c>
      <c r="K5203" s="269">
        <v>1</v>
      </c>
      <c r="L5203" s="269">
        <v>0</v>
      </c>
      <c r="M5203" s="269">
        <v>0</v>
      </c>
      <c r="N5203" s="269">
        <v>0</v>
      </c>
      <c r="O5203" s="279">
        <v>0</v>
      </c>
    </row>
    <row r="5204" spans="1:15">
      <c r="A5204" s="263" t="s">
        <v>66</v>
      </c>
      <c r="B5204" s="264" t="s">
        <v>5</v>
      </c>
      <c r="C5204" s="49">
        <v>0.0179640718562874</v>
      </c>
      <c r="D5204" s="265">
        <v>0.0588235294117647</v>
      </c>
      <c r="E5204" s="265">
        <v>0.05</v>
      </c>
      <c r="F5204" s="265">
        <v>0</v>
      </c>
      <c r="G5204" s="265">
        <v>0</v>
      </c>
      <c r="H5204" s="265">
        <v>0</v>
      </c>
      <c r="I5204" s="265">
        <v>0</v>
      </c>
      <c r="J5204" s="265">
        <v>0</v>
      </c>
      <c r="K5204" s="265">
        <v>0.0625</v>
      </c>
      <c r="L5204" s="265">
        <v>0</v>
      </c>
      <c r="M5204" s="265">
        <v>0</v>
      </c>
      <c r="N5204" s="265">
        <v>0</v>
      </c>
      <c r="O5204" s="277">
        <v>0</v>
      </c>
    </row>
    <row r="5205" spans="1:15">
      <c r="A5205" s="266" t="s">
        <v>66</v>
      </c>
      <c r="B5205" s="267" t="s">
        <v>6</v>
      </c>
      <c r="C5205" s="44">
        <v>6</v>
      </c>
      <c r="D5205" s="269">
        <v>2</v>
      </c>
      <c r="E5205" s="269">
        <v>2</v>
      </c>
      <c r="F5205" s="269">
        <v>0</v>
      </c>
      <c r="G5205" s="269">
        <v>0</v>
      </c>
      <c r="H5205" s="269">
        <v>0</v>
      </c>
      <c r="I5205" s="269">
        <v>1</v>
      </c>
      <c r="J5205" s="269">
        <v>0</v>
      </c>
      <c r="K5205" s="269">
        <v>1</v>
      </c>
      <c r="L5205" s="269">
        <v>0</v>
      </c>
      <c r="M5205" s="269">
        <v>0</v>
      </c>
      <c r="N5205" s="269">
        <v>0</v>
      </c>
      <c r="O5205" s="279">
        <v>0</v>
      </c>
    </row>
    <row r="5206" ht="14.25" spans="1:15">
      <c r="A5206" s="270" t="s">
        <v>66</v>
      </c>
      <c r="B5206" s="271" t="s">
        <v>64</v>
      </c>
      <c r="C5206" s="53">
        <v>2</v>
      </c>
      <c r="D5206" s="272">
        <v>2</v>
      </c>
      <c r="E5206" s="272">
        <v>2</v>
      </c>
      <c r="F5206" s="272">
        <v>0</v>
      </c>
      <c r="G5206" s="272">
        <v>0</v>
      </c>
      <c r="H5206" s="272">
        <v>0</v>
      </c>
      <c r="I5206" s="272">
        <v>0</v>
      </c>
      <c r="J5206" s="272">
        <v>0</v>
      </c>
      <c r="K5206" s="272">
        <v>1</v>
      </c>
      <c r="L5206" s="272">
        <v>0</v>
      </c>
      <c r="M5206" s="272">
        <v>0</v>
      </c>
      <c r="N5206" s="272">
        <v>0</v>
      </c>
      <c r="O5206" s="280">
        <v>0</v>
      </c>
    </row>
    <row r="5207" spans="1:15">
      <c r="A5207" s="263" t="s">
        <v>67</v>
      </c>
      <c r="B5207" s="264" t="s">
        <v>55</v>
      </c>
      <c r="C5207" s="49">
        <v>0.516324062877872</v>
      </c>
      <c r="D5207" s="265">
        <v>0.628205128205128</v>
      </c>
      <c r="E5207" s="265">
        <v>0.517857142857143</v>
      </c>
      <c r="F5207" s="265">
        <v>0.372549019607843</v>
      </c>
      <c r="G5207" s="265">
        <v>0.534883720930233</v>
      </c>
      <c r="H5207" s="265">
        <v>0.537313432835821</v>
      </c>
      <c r="I5207" s="265">
        <v>0.372881355932203</v>
      </c>
      <c r="J5207" s="265">
        <v>0.65</v>
      </c>
      <c r="K5207" s="265">
        <v>0.5</v>
      </c>
      <c r="L5207" s="265">
        <v>0.625</v>
      </c>
      <c r="M5207" s="265">
        <v>0.5</v>
      </c>
      <c r="N5207" s="265">
        <v>0.461538461538462</v>
      </c>
      <c r="O5207" s="277">
        <v>0.478260869565217</v>
      </c>
    </row>
    <row r="5208" spans="1:15">
      <c r="A5208" s="266" t="s">
        <v>67</v>
      </c>
      <c r="B5208" s="267" t="s">
        <v>57</v>
      </c>
      <c r="C5208" s="44">
        <v>827</v>
      </c>
      <c r="D5208" s="268">
        <v>78</v>
      </c>
      <c r="E5208" s="268">
        <v>56</v>
      </c>
      <c r="F5208" s="268">
        <v>51</v>
      </c>
      <c r="G5208" s="268">
        <v>43</v>
      </c>
      <c r="H5208" s="268">
        <v>67</v>
      </c>
      <c r="I5208" s="268">
        <v>59</v>
      </c>
      <c r="J5208" s="268">
        <v>60</v>
      </c>
      <c r="K5208" s="268">
        <v>92</v>
      </c>
      <c r="L5208" s="268">
        <v>64</v>
      </c>
      <c r="M5208" s="268">
        <v>100</v>
      </c>
      <c r="N5208" s="268">
        <v>65</v>
      </c>
      <c r="O5208" s="278">
        <v>92</v>
      </c>
    </row>
    <row r="5209" spans="1:15">
      <c r="A5209" s="263" t="s">
        <v>67</v>
      </c>
      <c r="B5209" s="264" t="s">
        <v>59</v>
      </c>
      <c r="C5209" s="44">
        <v>427</v>
      </c>
      <c r="D5209" s="268">
        <v>49</v>
      </c>
      <c r="E5209" s="268">
        <v>29</v>
      </c>
      <c r="F5209" s="268">
        <v>19</v>
      </c>
      <c r="G5209" s="268">
        <v>23</v>
      </c>
      <c r="H5209" s="268">
        <v>36</v>
      </c>
      <c r="I5209" s="268">
        <v>22</v>
      </c>
      <c r="J5209" s="268">
        <v>39</v>
      </c>
      <c r="K5209" s="268">
        <v>46</v>
      </c>
      <c r="L5209" s="268">
        <v>40</v>
      </c>
      <c r="M5209" s="268">
        <v>50</v>
      </c>
      <c r="N5209" s="268">
        <v>30</v>
      </c>
      <c r="O5209" s="278">
        <v>44</v>
      </c>
    </row>
    <row r="5210" spans="1:15">
      <c r="A5210" s="266" t="s">
        <v>67</v>
      </c>
      <c r="B5210" s="267" t="s">
        <v>4</v>
      </c>
      <c r="C5210" s="44">
        <v>13</v>
      </c>
      <c r="D5210" s="269">
        <v>2</v>
      </c>
      <c r="E5210" s="269">
        <v>1</v>
      </c>
      <c r="F5210" s="269">
        <v>0</v>
      </c>
      <c r="G5210" s="269">
        <v>1</v>
      </c>
      <c r="H5210" s="269">
        <v>0</v>
      </c>
      <c r="I5210" s="269">
        <v>0</v>
      </c>
      <c r="J5210" s="269">
        <v>0</v>
      </c>
      <c r="K5210" s="269">
        <v>1</v>
      </c>
      <c r="L5210" s="269">
        <v>1</v>
      </c>
      <c r="M5210" s="269">
        <v>1</v>
      </c>
      <c r="N5210" s="269">
        <v>3</v>
      </c>
      <c r="O5210" s="279">
        <v>3</v>
      </c>
    </row>
    <row r="5211" spans="1:15">
      <c r="A5211" s="263" t="s">
        <v>67</v>
      </c>
      <c r="B5211" s="264" t="s">
        <v>5</v>
      </c>
      <c r="C5211" s="49">
        <v>0.0304449648711944</v>
      </c>
      <c r="D5211" s="265">
        <v>0.0408163265306122</v>
      </c>
      <c r="E5211" s="265">
        <v>0.0344827586206897</v>
      </c>
      <c r="F5211" s="265">
        <v>0</v>
      </c>
      <c r="G5211" s="265">
        <v>0.0434782608695652</v>
      </c>
      <c r="H5211" s="265">
        <v>0</v>
      </c>
      <c r="I5211" s="265">
        <v>0</v>
      </c>
      <c r="J5211" s="265">
        <v>0</v>
      </c>
      <c r="K5211" s="265">
        <v>0.0217391304347826</v>
      </c>
      <c r="L5211" s="265">
        <v>0.025</v>
      </c>
      <c r="M5211" s="265">
        <v>0.02</v>
      </c>
      <c r="N5211" s="265">
        <v>0.1</v>
      </c>
      <c r="O5211" s="277">
        <v>0.0681818181818182</v>
      </c>
    </row>
    <row r="5212" spans="1:15">
      <c r="A5212" s="266" t="s">
        <v>67</v>
      </c>
      <c r="B5212" s="267" t="s">
        <v>6</v>
      </c>
      <c r="C5212" s="44">
        <v>2</v>
      </c>
      <c r="D5212" s="269">
        <v>0</v>
      </c>
      <c r="E5212" s="269">
        <v>1</v>
      </c>
      <c r="F5212" s="269">
        <v>0</v>
      </c>
      <c r="G5212" s="269">
        <v>0</v>
      </c>
      <c r="H5212" s="269">
        <v>0</v>
      </c>
      <c r="I5212" s="269">
        <v>0</v>
      </c>
      <c r="J5212" s="269">
        <v>0</v>
      </c>
      <c r="K5212" s="269">
        <v>1</v>
      </c>
      <c r="L5212" s="269">
        <v>0</v>
      </c>
      <c r="M5212" s="269">
        <v>0</v>
      </c>
      <c r="N5212" s="269">
        <v>0</v>
      </c>
      <c r="O5212" s="279">
        <v>0</v>
      </c>
    </row>
    <row r="5213" ht="14.25" spans="1:15">
      <c r="A5213" s="270" t="s">
        <v>67</v>
      </c>
      <c r="B5213" s="271" t="s">
        <v>64</v>
      </c>
      <c r="C5213" s="53">
        <v>0.153846153846154</v>
      </c>
      <c r="D5213" s="272">
        <v>0</v>
      </c>
      <c r="E5213" s="272">
        <v>1</v>
      </c>
      <c r="F5213" s="272">
        <v>0</v>
      </c>
      <c r="G5213" s="272">
        <v>0</v>
      </c>
      <c r="H5213" s="272">
        <v>0</v>
      </c>
      <c r="I5213" s="272">
        <v>0</v>
      </c>
      <c r="J5213" s="272">
        <v>0</v>
      </c>
      <c r="K5213" s="272">
        <v>1</v>
      </c>
      <c r="L5213" s="272">
        <v>0</v>
      </c>
      <c r="M5213" s="272">
        <v>0</v>
      </c>
      <c r="N5213" s="272">
        <v>0</v>
      </c>
      <c r="O5213" s="280">
        <v>0</v>
      </c>
    </row>
    <row r="5214" spans="1:15">
      <c r="A5214" s="263" t="s">
        <v>68</v>
      </c>
      <c r="B5214" s="264" t="s">
        <v>55</v>
      </c>
      <c r="C5214" s="49">
        <v>0.210224768620538</v>
      </c>
      <c r="D5214" s="265">
        <v>0.219679633867277</v>
      </c>
      <c r="E5214" s="265">
        <v>0.294545454545455</v>
      </c>
      <c r="F5214" s="265">
        <v>0.3125</v>
      </c>
      <c r="G5214" s="265">
        <v>0.275862068965517</v>
      </c>
      <c r="H5214" s="265">
        <v>0.247058823529412</v>
      </c>
      <c r="I5214" s="265">
        <v>0.208955223880597</v>
      </c>
      <c r="J5214" s="265">
        <v>0.19647355163728</v>
      </c>
      <c r="K5214" s="265">
        <v>0.2</v>
      </c>
      <c r="L5214" s="265">
        <v>0.182481751824818</v>
      </c>
      <c r="M5214" s="265">
        <v>0.220588235294118</v>
      </c>
      <c r="N5214" s="265">
        <v>0.154566744730679</v>
      </c>
      <c r="O5214" s="277">
        <v>0.145315487571702</v>
      </c>
    </row>
    <row r="5215" spans="1:15">
      <c r="A5215" s="266" t="s">
        <v>68</v>
      </c>
      <c r="B5215" s="267" t="s">
        <v>57</v>
      </c>
      <c r="C5215" s="44">
        <v>4538</v>
      </c>
      <c r="D5215" s="268">
        <v>437</v>
      </c>
      <c r="E5215" s="268">
        <v>275</v>
      </c>
      <c r="F5215" s="268">
        <v>208</v>
      </c>
      <c r="G5215" s="268">
        <v>232</v>
      </c>
      <c r="H5215" s="268">
        <v>340</v>
      </c>
      <c r="I5215" s="268">
        <v>335</v>
      </c>
      <c r="J5215" s="268">
        <v>397</v>
      </c>
      <c r="K5215" s="268">
        <v>545</v>
      </c>
      <c r="L5215" s="268">
        <v>411</v>
      </c>
      <c r="M5215" s="268">
        <v>408</v>
      </c>
      <c r="N5215" s="268">
        <v>427</v>
      </c>
      <c r="O5215" s="278">
        <v>523</v>
      </c>
    </row>
    <row r="5216" spans="1:15">
      <c r="A5216" s="263" t="s">
        <v>68</v>
      </c>
      <c r="B5216" s="264" t="s">
        <v>59</v>
      </c>
      <c r="C5216" s="44">
        <v>954</v>
      </c>
      <c r="D5216" s="268">
        <v>96</v>
      </c>
      <c r="E5216" s="268">
        <v>81</v>
      </c>
      <c r="F5216" s="268">
        <v>65</v>
      </c>
      <c r="G5216" s="268">
        <v>64</v>
      </c>
      <c r="H5216" s="268">
        <v>84</v>
      </c>
      <c r="I5216" s="268">
        <v>70</v>
      </c>
      <c r="J5216" s="268">
        <v>78</v>
      </c>
      <c r="K5216" s="268">
        <v>109</v>
      </c>
      <c r="L5216" s="268">
        <v>75</v>
      </c>
      <c r="M5216" s="268">
        <v>90</v>
      </c>
      <c r="N5216" s="268">
        <v>66</v>
      </c>
      <c r="O5216" s="278">
        <v>76</v>
      </c>
    </row>
    <row r="5217" spans="1:15">
      <c r="A5217" s="266" t="s">
        <v>68</v>
      </c>
      <c r="B5217" s="267" t="s">
        <v>4</v>
      </c>
      <c r="C5217" s="44">
        <v>50</v>
      </c>
      <c r="D5217" s="269">
        <v>5</v>
      </c>
      <c r="E5217" s="269">
        <v>0</v>
      </c>
      <c r="F5217" s="269">
        <v>6</v>
      </c>
      <c r="G5217" s="269">
        <v>3</v>
      </c>
      <c r="H5217" s="269">
        <v>2</v>
      </c>
      <c r="I5217" s="269">
        <v>2</v>
      </c>
      <c r="J5217" s="269">
        <v>3</v>
      </c>
      <c r="K5217" s="269">
        <v>6</v>
      </c>
      <c r="L5217" s="269">
        <v>6</v>
      </c>
      <c r="M5217" s="269">
        <v>5</v>
      </c>
      <c r="N5217" s="269">
        <v>5</v>
      </c>
      <c r="O5217" s="279">
        <v>7</v>
      </c>
    </row>
    <row r="5218" spans="1:15">
      <c r="A5218" s="263" t="s">
        <v>68</v>
      </c>
      <c r="B5218" s="264" t="s">
        <v>5</v>
      </c>
      <c r="C5218" s="49">
        <v>0.0524109014675052</v>
      </c>
      <c r="D5218" s="265">
        <v>0.0520833333333333</v>
      </c>
      <c r="E5218" s="265">
        <v>0</v>
      </c>
      <c r="F5218" s="265">
        <v>0.0923076923076923</v>
      </c>
      <c r="G5218" s="265">
        <v>0.046875</v>
      </c>
      <c r="H5218" s="265">
        <v>0.0238095238095238</v>
      </c>
      <c r="I5218" s="265">
        <v>0.0285714285714286</v>
      </c>
      <c r="J5218" s="265">
        <v>0.0384615384615385</v>
      </c>
      <c r="K5218" s="265">
        <v>0.055045871559633</v>
      </c>
      <c r="L5218" s="265">
        <v>0.08</v>
      </c>
      <c r="M5218" s="265">
        <v>0.0555555555555556</v>
      </c>
      <c r="N5218" s="265">
        <v>0.0757575757575758</v>
      </c>
      <c r="O5218" s="277">
        <v>0.0921052631578947</v>
      </c>
    </row>
    <row r="5219" spans="1:15">
      <c r="A5219" s="266" t="s">
        <v>68</v>
      </c>
      <c r="B5219" s="267" t="s">
        <v>6</v>
      </c>
      <c r="C5219" s="44">
        <v>16</v>
      </c>
      <c r="D5219" s="269">
        <v>2</v>
      </c>
      <c r="E5219" s="269">
        <v>1</v>
      </c>
      <c r="F5219" s="269">
        <v>0</v>
      </c>
      <c r="G5219" s="269">
        <v>0</v>
      </c>
      <c r="H5219" s="269">
        <v>1</v>
      </c>
      <c r="I5219" s="269">
        <v>0</v>
      </c>
      <c r="J5219" s="269">
        <v>0</v>
      </c>
      <c r="K5219" s="269">
        <v>5</v>
      </c>
      <c r="L5219" s="269">
        <v>3</v>
      </c>
      <c r="M5219" s="269">
        <v>1</v>
      </c>
      <c r="N5219" s="269">
        <v>2</v>
      </c>
      <c r="O5219" s="279">
        <v>1</v>
      </c>
    </row>
    <row r="5220" ht="14.25" spans="1:15">
      <c r="A5220" s="270" t="s">
        <v>68</v>
      </c>
      <c r="B5220" s="271" t="s">
        <v>64</v>
      </c>
      <c r="C5220" s="53">
        <v>0.32</v>
      </c>
      <c r="D5220" s="272">
        <v>0.4</v>
      </c>
      <c r="E5220" s="272">
        <v>0</v>
      </c>
      <c r="F5220" s="272">
        <v>0</v>
      </c>
      <c r="G5220" s="272">
        <v>0</v>
      </c>
      <c r="H5220" s="272">
        <v>0.5</v>
      </c>
      <c r="I5220" s="272">
        <v>0</v>
      </c>
      <c r="J5220" s="272">
        <v>0</v>
      </c>
      <c r="K5220" s="272">
        <v>0.833333333333333</v>
      </c>
      <c r="L5220" s="272">
        <v>0.5</v>
      </c>
      <c r="M5220" s="272">
        <v>0.2</v>
      </c>
      <c r="N5220" s="272">
        <v>0.4</v>
      </c>
      <c r="O5220" s="280">
        <v>0.142857142857143</v>
      </c>
    </row>
    <row r="5221" spans="1:15">
      <c r="A5221" s="263" t="s">
        <v>69</v>
      </c>
      <c r="B5221" s="264" t="s">
        <v>55</v>
      </c>
      <c r="C5221" s="49">
        <v>1.28488372093023</v>
      </c>
      <c r="D5221" s="265">
        <v>1.51219512195122</v>
      </c>
      <c r="E5221" s="265">
        <v>1.58823529411765</v>
      </c>
      <c r="F5221" s="265">
        <v>1.90909090909091</v>
      </c>
      <c r="G5221" s="265">
        <v>1.15384615384615</v>
      </c>
      <c r="H5221" s="265">
        <v>1.3448275862069</v>
      </c>
      <c r="I5221" s="265">
        <v>1.32258064516129</v>
      </c>
      <c r="J5221" s="265">
        <v>1.36</v>
      </c>
      <c r="K5221" s="265">
        <v>0.973684210526316</v>
      </c>
      <c r="L5221" s="265">
        <v>1.26666666666667</v>
      </c>
      <c r="M5221" s="265">
        <v>1.05263157894737</v>
      </c>
      <c r="N5221" s="265">
        <v>1.15789473684211</v>
      </c>
      <c r="O5221" s="277">
        <v>1.33333333333333</v>
      </c>
    </row>
    <row r="5222" spans="1:15">
      <c r="A5222" s="266" t="s">
        <v>69</v>
      </c>
      <c r="B5222" s="267" t="s">
        <v>57</v>
      </c>
      <c r="C5222" s="44">
        <v>344</v>
      </c>
      <c r="D5222" s="268">
        <v>41</v>
      </c>
      <c r="E5222" s="268">
        <v>17</v>
      </c>
      <c r="F5222" s="268">
        <v>11</v>
      </c>
      <c r="G5222" s="268">
        <v>13</v>
      </c>
      <c r="H5222" s="268">
        <v>29</v>
      </c>
      <c r="I5222" s="268">
        <v>31</v>
      </c>
      <c r="J5222" s="268">
        <v>25</v>
      </c>
      <c r="K5222" s="268">
        <v>38</v>
      </c>
      <c r="L5222" s="268">
        <v>30</v>
      </c>
      <c r="M5222" s="268">
        <v>38</v>
      </c>
      <c r="N5222" s="268">
        <v>38</v>
      </c>
      <c r="O5222" s="278">
        <v>33</v>
      </c>
    </row>
    <row r="5223" spans="1:15">
      <c r="A5223" s="263" t="s">
        <v>69</v>
      </c>
      <c r="B5223" s="264" t="s">
        <v>59</v>
      </c>
      <c r="C5223" s="44">
        <v>442</v>
      </c>
      <c r="D5223" s="268">
        <v>62</v>
      </c>
      <c r="E5223" s="268">
        <v>27</v>
      </c>
      <c r="F5223" s="268">
        <v>21</v>
      </c>
      <c r="G5223" s="268">
        <v>15</v>
      </c>
      <c r="H5223" s="268">
        <v>39</v>
      </c>
      <c r="I5223" s="268">
        <v>41</v>
      </c>
      <c r="J5223" s="268">
        <v>34</v>
      </c>
      <c r="K5223" s="268">
        <v>37</v>
      </c>
      <c r="L5223" s="268">
        <v>38</v>
      </c>
      <c r="M5223" s="268">
        <v>40</v>
      </c>
      <c r="N5223" s="268">
        <v>44</v>
      </c>
      <c r="O5223" s="278">
        <v>44</v>
      </c>
    </row>
    <row r="5224" spans="1:15">
      <c r="A5224" s="266" t="s">
        <v>69</v>
      </c>
      <c r="B5224" s="267" t="s">
        <v>4</v>
      </c>
      <c r="C5224" s="44">
        <v>3</v>
      </c>
      <c r="D5224" s="269">
        <v>0</v>
      </c>
      <c r="E5224" s="269">
        <v>0</v>
      </c>
      <c r="F5224" s="269">
        <v>0</v>
      </c>
      <c r="G5224" s="269">
        <v>0</v>
      </c>
      <c r="H5224" s="269">
        <v>0</v>
      </c>
      <c r="I5224" s="269">
        <v>1</v>
      </c>
      <c r="J5224" s="269">
        <v>0</v>
      </c>
      <c r="K5224" s="269">
        <v>0</v>
      </c>
      <c r="L5224" s="269">
        <v>0</v>
      </c>
      <c r="M5224" s="269">
        <v>1</v>
      </c>
      <c r="N5224" s="269">
        <v>0</v>
      </c>
      <c r="O5224" s="279">
        <v>1</v>
      </c>
    </row>
    <row r="5225" spans="1:15">
      <c r="A5225" s="263" t="s">
        <v>69</v>
      </c>
      <c r="B5225" s="264" t="s">
        <v>5</v>
      </c>
      <c r="C5225" s="49">
        <v>0.00678733031674208</v>
      </c>
      <c r="D5225" s="265">
        <v>0</v>
      </c>
      <c r="E5225" s="265">
        <v>0</v>
      </c>
      <c r="F5225" s="265">
        <v>0</v>
      </c>
      <c r="G5225" s="265">
        <v>0</v>
      </c>
      <c r="H5225" s="265">
        <v>0</v>
      </c>
      <c r="I5225" s="265">
        <v>0.024390243902439</v>
      </c>
      <c r="J5225" s="265">
        <v>0</v>
      </c>
      <c r="K5225" s="265">
        <v>0</v>
      </c>
      <c r="L5225" s="265">
        <v>0</v>
      </c>
      <c r="M5225" s="265">
        <v>0.025</v>
      </c>
      <c r="N5225" s="265">
        <v>0</v>
      </c>
      <c r="O5225" s="277">
        <v>0.0227272727272727</v>
      </c>
    </row>
    <row r="5226" spans="1:15">
      <c r="A5226" s="266" t="s">
        <v>69</v>
      </c>
      <c r="B5226" s="267" t="s">
        <v>6</v>
      </c>
      <c r="C5226" s="44">
        <v>2</v>
      </c>
      <c r="D5226" s="269">
        <v>0</v>
      </c>
      <c r="E5226" s="269">
        <v>0</v>
      </c>
      <c r="F5226" s="269">
        <v>0</v>
      </c>
      <c r="G5226" s="269">
        <v>1</v>
      </c>
      <c r="H5226" s="269">
        <v>0</v>
      </c>
      <c r="I5226" s="269">
        <v>0</v>
      </c>
      <c r="J5226" s="269">
        <v>0</v>
      </c>
      <c r="K5226" s="269">
        <v>0</v>
      </c>
      <c r="L5226" s="269">
        <v>0</v>
      </c>
      <c r="M5226" s="269">
        <v>1</v>
      </c>
      <c r="N5226" s="269">
        <v>0</v>
      </c>
      <c r="O5226" s="279">
        <v>0</v>
      </c>
    </row>
    <row r="5227" ht="14.25" spans="1:15">
      <c r="A5227" s="270" t="s">
        <v>69</v>
      </c>
      <c r="B5227" s="271" t="s">
        <v>64</v>
      </c>
      <c r="C5227" s="53">
        <v>0.666666666666667</v>
      </c>
      <c r="D5227" s="272">
        <v>0</v>
      </c>
      <c r="E5227" s="272">
        <v>0</v>
      </c>
      <c r="F5227" s="272">
        <v>0</v>
      </c>
      <c r="G5227" s="272">
        <v>0</v>
      </c>
      <c r="H5227" s="272">
        <v>0</v>
      </c>
      <c r="I5227" s="272">
        <v>0</v>
      </c>
      <c r="J5227" s="272">
        <v>0</v>
      </c>
      <c r="K5227" s="272">
        <v>0</v>
      </c>
      <c r="L5227" s="272">
        <v>0</v>
      </c>
      <c r="M5227" s="272">
        <v>1</v>
      </c>
      <c r="N5227" s="272">
        <v>0</v>
      </c>
      <c r="O5227" s="280">
        <v>0</v>
      </c>
    </row>
    <row r="5228" spans="1:15">
      <c r="A5228" s="263" t="s">
        <v>70</v>
      </c>
      <c r="B5228" s="264" t="s">
        <v>55</v>
      </c>
      <c r="C5228" s="49">
        <v>0.379422718808194</v>
      </c>
      <c r="D5228" s="265">
        <v>0.447368421052632</v>
      </c>
      <c r="E5228" s="265">
        <v>0.495327102803738</v>
      </c>
      <c r="F5228" s="265">
        <v>0.453333333333333</v>
      </c>
      <c r="G5228" s="265">
        <v>0.505050505050505</v>
      </c>
      <c r="H5228" s="265">
        <v>0.366666666666667</v>
      </c>
      <c r="I5228" s="265">
        <v>0.430167597765363</v>
      </c>
      <c r="J5228" s="265">
        <v>0.34</v>
      </c>
      <c r="K5228" s="265">
        <v>0.321875</v>
      </c>
      <c r="L5228" s="265">
        <v>0.351219512195122</v>
      </c>
      <c r="M5228" s="265">
        <v>0.392857142857143</v>
      </c>
      <c r="N5228" s="265">
        <v>0.331521739130435</v>
      </c>
      <c r="O5228" s="277">
        <v>0.334841628959276</v>
      </c>
    </row>
    <row r="5229" spans="1:15">
      <c r="A5229" s="266" t="s">
        <v>70</v>
      </c>
      <c r="B5229" s="267" t="s">
        <v>57</v>
      </c>
      <c r="C5229" s="44">
        <v>2148</v>
      </c>
      <c r="D5229" s="268">
        <v>190</v>
      </c>
      <c r="E5229" s="268">
        <v>107</v>
      </c>
      <c r="F5229" s="268">
        <v>75</v>
      </c>
      <c r="G5229" s="268">
        <v>99</v>
      </c>
      <c r="H5229" s="268">
        <v>150</v>
      </c>
      <c r="I5229" s="268">
        <v>179</v>
      </c>
      <c r="J5229" s="268">
        <v>250</v>
      </c>
      <c r="K5229" s="268">
        <v>320</v>
      </c>
      <c r="L5229" s="268">
        <v>205</v>
      </c>
      <c r="M5229" s="268">
        <v>168</v>
      </c>
      <c r="N5229" s="268">
        <v>184</v>
      </c>
      <c r="O5229" s="278">
        <v>221</v>
      </c>
    </row>
    <row r="5230" spans="1:15">
      <c r="A5230" s="263" t="s">
        <v>70</v>
      </c>
      <c r="B5230" s="264" t="s">
        <v>59</v>
      </c>
      <c r="C5230" s="44">
        <v>815</v>
      </c>
      <c r="D5230" s="268">
        <v>85</v>
      </c>
      <c r="E5230" s="268">
        <v>53</v>
      </c>
      <c r="F5230" s="268">
        <v>34</v>
      </c>
      <c r="G5230" s="268">
        <v>50</v>
      </c>
      <c r="H5230" s="268">
        <v>55</v>
      </c>
      <c r="I5230" s="268">
        <v>77</v>
      </c>
      <c r="J5230" s="268">
        <v>85</v>
      </c>
      <c r="K5230" s="268">
        <v>103</v>
      </c>
      <c r="L5230" s="268">
        <v>72</v>
      </c>
      <c r="M5230" s="268">
        <v>66</v>
      </c>
      <c r="N5230" s="268">
        <v>61</v>
      </c>
      <c r="O5230" s="278">
        <v>74</v>
      </c>
    </row>
    <row r="5231" spans="1:15">
      <c r="A5231" s="266" t="s">
        <v>70</v>
      </c>
      <c r="B5231" s="267" t="s">
        <v>4</v>
      </c>
      <c r="C5231" s="44">
        <v>70</v>
      </c>
      <c r="D5231" s="269">
        <v>3</v>
      </c>
      <c r="E5231" s="269">
        <v>1</v>
      </c>
      <c r="F5231" s="269">
        <v>4</v>
      </c>
      <c r="G5231" s="269">
        <v>5</v>
      </c>
      <c r="H5231" s="269">
        <v>4</v>
      </c>
      <c r="I5231" s="269">
        <v>5</v>
      </c>
      <c r="J5231" s="269">
        <v>5</v>
      </c>
      <c r="K5231" s="269">
        <v>16</v>
      </c>
      <c r="L5231" s="269">
        <v>6</v>
      </c>
      <c r="M5231" s="269">
        <v>7</v>
      </c>
      <c r="N5231" s="269">
        <v>6</v>
      </c>
      <c r="O5231" s="279">
        <v>8</v>
      </c>
    </row>
    <row r="5232" spans="1:15">
      <c r="A5232" s="263" t="s">
        <v>70</v>
      </c>
      <c r="B5232" s="264" t="s">
        <v>5</v>
      </c>
      <c r="C5232" s="49">
        <v>0.0858895705521472</v>
      </c>
      <c r="D5232" s="265">
        <v>0.0352941176470588</v>
      </c>
      <c r="E5232" s="265">
        <v>0.0188679245283019</v>
      </c>
      <c r="F5232" s="265">
        <v>0.117647058823529</v>
      </c>
      <c r="G5232" s="265">
        <v>0.1</v>
      </c>
      <c r="H5232" s="265">
        <v>0.0727272727272727</v>
      </c>
      <c r="I5232" s="265">
        <v>0.0649350649350649</v>
      </c>
      <c r="J5232" s="265">
        <v>0.0588235294117647</v>
      </c>
      <c r="K5232" s="265">
        <v>0.155339805825243</v>
      </c>
      <c r="L5232" s="265">
        <v>0.0833333333333333</v>
      </c>
      <c r="M5232" s="265">
        <v>0.106060606060606</v>
      </c>
      <c r="N5232" s="265">
        <v>0.0983606557377049</v>
      </c>
      <c r="O5232" s="277">
        <v>0.108108108108108</v>
      </c>
    </row>
    <row r="5233" spans="1:15">
      <c r="A5233" s="266" t="s">
        <v>70</v>
      </c>
      <c r="B5233" s="267" t="s">
        <v>6</v>
      </c>
      <c r="C5233" s="44">
        <v>13</v>
      </c>
      <c r="D5233" s="269">
        <v>0</v>
      </c>
      <c r="E5233" s="269">
        <v>0</v>
      </c>
      <c r="F5233" s="269">
        <v>1</v>
      </c>
      <c r="G5233" s="269">
        <v>0</v>
      </c>
      <c r="H5233" s="269">
        <v>0</v>
      </c>
      <c r="I5233" s="269">
        <v>3</v>
      </c>
      <c r="J5233" s="269">
        <v>1</v>
      </c>
      <c r="K5233" s="269">
        <v>5</v>
      </c>
      <c r="L5233" s="269">
        <v>0</v>
      </c>
      <c r="M5233" s="269">
        <v>3</v>
      </c>
      <c r="N5233" s="269">
        <v>0</v>
      </c>
      <c r="O5233" s="279">
        <v>0</v>
      </c>
    </row>
    <row r="5234" ht="14.25" spans="1:15">
      <c r="A5234" s="270" t="s">
        <v>70</v>
      </c>
      <c r="B5234" s="271" t="s">
        <v>64</v>
      </c>
      <c r="C5234" s="53">
        <v>0.185714285714286</v>
      </c>
      <c r="D5234" s="272">
        <v>0</v>
      </c>
      <c r="E5234" s="272">
        <v>0</v>
      </c>
      <c r="F5234" s="272">
        <v>0.25</v>
      </c>
      <c r="G5234" s="272">
        <v>0</v>
      </c>
      <c r="H5234" s="272">
        <v>0</v>
      </c>
      <c r="I5234" s="272">
        <v>0.6</v>
      </c>
      <c r="J5234" s="272">
        <v>0.2</v>
      </c>
      <c r="K5234" s="272">
        <v>0.3125</v>
      </c>
      <c r="L5234" s="272">
        <v>0</v>
      </c>
      <c r="M5234" s="272">
        <v>0.428571428571429</v>
      </c>
      <c r="N5234" s="272">
        <v>0</v>
      </c>
      <c r="O5234" s="280">
        <v>0</v>
      </c>
    </row>
    <row r="5235" spans="1:15">
      <c r="A5235" s="263" t="s">
        <v>26</v>
      </c>
      <c r="B5235" s="264" t="s">
        <v>55</v>
      </c>
      <c r="C5235" s="49">
        <v>202</v>
      </c>
      <c r="D5235" s="265" t="e">
        <v>#DIV/0!</v>
      </c>
      <c r="E5235" s="265">
        <v>7</v>
      </c>
      <c r="F5235" s="265" t="e">
        <v>#DIV/0!</v>
      </c>
      <c r="G5235" s="265" t="e">
        <v>#DIV/0!</v>
      </c>
      <c r="H5235" s="265" t="e">
        <v>#DIV/0!</v>
      </c>
      <c r="I5235" s="265" t="e">
        <v>#DIV/0!</v>
      </c>
      <c r="J5235" s="265" t="e">
        <v>#DIV/0!</v>
      </c>
      <c r="K5235" s="265" t="e">
        <v>#DIV/0!</v>
      </c>
      <c r="L5235" s="265" t="e">
        <v>#DIV/0!</v>
      </c>
      <c r="M5235" s="265" t="e">
        <v>#DIV/0!</v>
      </c>
      <c r="N5235" s="265" t="e">
        <v>#DIV/0!</v>
      </c>
      <c r="O5235" s="277" t="e">
        <v>#DIV/0!</v>
      </c>
    </row>
    <row r="5236" spans="1:15">
      <c r="A5236" s="266" t="s">
        <v>26</v>
      </c>
      <c r="B5236" s="267" t="s">
        <v>57</v>
      </c>
      <c r="C5236" s="44">
        <v>1</v>
      </c>
      <c r="D5236" s="268">
        <v>0</v>
      </c>
      <c r="E5236" s="268">
        <v>1</v>
      </c>
      <c r="F5236" s="268">
        <v>0</v>
      </c>
      <c r="G5236" s="268">
        <v>0</v>
      </c>
      <c r="H5236" s="268">
        <v>0</v>
      </c>
      <c r="I5236" s="268">
        <v>0</v>
      </c>
      <c r="J5236" s="268">
        <v>0</v>
      </c>
      <c r="K5236" s="268">
        <v>0</v>
      </c>
      <c r="L5236" s="268">
        <v>0</v>
      </c>
      <c r="M5236" s="268">
        <v>0</v>
      </c>
      <c r="N5236" s="268">
        <v>0</v>
      </c>
      <c r="O5236" s="278">
        <v>0</v>
      </c>
    </row>
    <row r="5237" spans="1:15">
      <c r="A5237" s="263" t="s">
        <v>26</v>
      </c>
      <c r="B5237" s="264" t="s">
        <v>59</v>
      </c>
      <c r="C5237" s="44">
        <v>202</v>
      </c>
      <c r="D5237" s="268">
        <v>13</v>
      </c>
      <c r="E5237" s="268">
        <v>7</v>
      </c>
      <c r="F5237" s="268">
        <v>3</v>
      </c>
      <c r="G5237" s="268">
        <v>9</v>
      </c>
      <c r="H5237" s="268">
        <v>12</v>
      </c>
      <c r="I5237" s="268">
        <v>7</v>
      </c>
      <c r="J5237" s="268">
        <v>11</v>
      </c>
      <c r="K5237" s="268">
        <v>11</v>
      </c>
      <c r="L5237" s="268">
        <v>12</v>
      </c>
      <c r="M5237" s="268">
        <v>14</v>
      </c>
      <c r="N5237" s="268">
        <v>43</v>
      </c>
      <c r="O5237" s="278">
        <v>60</v>
      </c>
    </row>
    <row r="5238" spans="1:15">
      <c r="A5238" s="266" t="s">
        <v>26</v>
      </c>
      <c r="B5238" s="267" t="s">
        <v>4</v>
      </c>
      <c r="C5238" s="44">
        <v>0</v>
      </c>
      <c r="D5238" s="269">
        <v>0</v>
      </c>
      <c r="E5238" s="269">
        <v>0</v>
      </c>
      <c r="F5238" s="269">
        <v>0</v>
      </c>
      <c r="G5238" s="269">
        <v>0</v>
      </c>
      <c r="H5238" s="269">
        <v>0</v>
      </c>
      <c r="I5238" s="269">
        <v>0</v>
      </c>
      <c r="J5238" s="269">
        <v>0</v>
      </c>
      <c r="K5238" s="269">
        <v>0</v>
      </c>
      <c r="L5238" s="269">
        <v>0</v>
      </c>
      <c r="M5238" s="269">
        <v>0</v>
      </c>
      <c r="N5238" s="269">
        <v>0</v>
      </c>
      <c r="O5238" s="279">
        <v>0</v>
      </c>
    </row>
    <row r="5239" spans="1:15">
      <c r="A5239" s="263" t="s">
        <v>26</v>
      </c>
      <c r="B5239" s="264" t="s">
        <v>5</v>
      </c>
      <c r="C5239" s="49">
        <v>0</v>
      </c>
      <c r="D5239" s="265">
        <v>0</v>
      </c>
      <c r="E5239" s="265">
        <v>0</v>
      </c>
      <c r="F5239" s="265">
        <v>0</v>
      </c>
      <c r="G5239" s="265">
        <v>0</v>
      </c>
      <c r="H5239" s="265">
        <v>0</v>
      </c>
      <c r="I5239" s="265">
        <v>0</v>
      </c>
      <c r="J5239" s="265">
        <v>0</v>
      </c>
      <c r="K5239" s="265">
        <v>0</v>
      </c>
      <c r="L5239" s="265">
        <v>0</v>
      </c>
      <c r="M5239" s="265">
        <v>0</v>
      </c>
      <c r="N5239" s="265">
        <v>0</v>
      </c>
      <c r="O5239" s="277">
        <v>0</v>
      </c>
    </row>
    <row r="5240" spans="1:15">
      <c r="A5240" s="266" t="s">
        <v>26</v>
      </c>
      <c r="B5240" s="267" t="s">
        <v>6</v>
      </c>
      <c r="C5240" s="44">
        <v>3</v>
      </c>
      <c r="D5240" s="269">
        <v>1</v>
      </c>
      <c r="E5240" s="269">
        <v>0</v>
      </c>
      <c r="F5240" s="269">
        <v>0</v>
      </c>
      <c r="G5240" s="269">
        <v>1</v>
      </c>
      <c r="H5240" s="269">
        <v>0</v>
      </c>
      <c r="I5240" s="269">
        <v>0</v>
      </c>
      <c r="J5240" s="269">
        <v>0</v>
      </c>
      <c r="K5240" s="269">
        <v>1</v>
      </c>
      <c r="L5240" s="269">
        <v>0</v>
      </c>
      <c r="M5240" s="269">
        <v>0</v>
      </c>
      <c r="N5240" s="269">
        <v>0</v>
      </c>
      <c r="O5240" s="279">
        <v>0</v>
      </c>
    </row>
    <row r="5241" ht="14.25" spans="1:15">
      <c r="A5241" s="270" t="s">
        <v>26</v>
      </c>
      <c r="B5241" s="271" t="s">
        <v>64</v>
      </c>
      <c r="C5241" s="53">
        <v>0</v>
      </c>
      <c r="D5241" s="53">
        <v>0</v>
      </c>
      <c r="E5241" s="53">
        <v>0</v>
      </c>
      <c r="F5241" s="53">
        <v>0</v>
      </c>
      <c r="G5241" s="53">
        <v>0</v>
      </c>
      <c r="H5241" s="53">
        <v>0</v>
      </c>
      <c r="I5241" s="53">
        <v>0</v>
      </c>
      <c r="J5241" s="53">
        <v>0</v>
      </c>
      <c r="K5241" s="53">
        <v>0</v>
      </c>
      <c r="L5241" s="53">
        <v>0</v>
      </c>
      <c r="M5241" s="53">
        <v>0</v>
      </c>
      <c r="N5241" s="53">
        <v>0</v>
      </c>
      <c r="O5241" s="53">
        <v>0</v>
      </c>
    </row>
    <row r="5242" spans="1:15">
      <c r="A5242" s="263" t="s">
        <v>71</v>
      </c>
      <c r="B5242" s="264" t="s">
        <v>55</v>
      </c>
      <c r="C5242" s="284">
        <v>318.666666666667</v>
      </c>
      <c r="D5242" s="265" t="e">
        <v>#DIV/0!</v>
      </c>
      <c r="E5242" s="265" t="e">
        <v>#DIV/0!</v>
      </c>
      <c r="F5242" s="265">
        <v>13</v>
      </c>
      <c r="G5242" s="265" t="e">
        <v>#DIV/0!</v>
      </c>
      <c r="H5242" s="265" t="e">
        <v>#DIV/0!</v>
      </c>
      <c r="I5242" s="265" t="e">
        <v>#DIV/0!</v>
      </c>
      <c r="J5242" s="265" t="e">
        <v>#DIV/0!</v>
      </c>
      <c r="K5242" s="265" t="e">
        <v>#DIV/0!</v>
      </c>
      <c r="L5242" s="265" t="e">
        <v>#DIV/0!</v>
      </c>
      <c r="M5242" s="265" t="e">
        <v>#DIV/0!</v>
      </c>
      <c r="N5242" s="265" t="e">
        <v>#DIV/0!</v>
      </c>
      <c r="O5242" s="265" t="e">
        <v>#DIV/0!</v>
      </c>
    </row>
    <row r="5243" spans="1:15">
      <c r="A5243" s="266" t="s">
        <v>71</v>
      </c>
      <c r="B5243" s="267" t="s">
        <v>57</v>
      </c>
      <c r="C5243" s="44">
        <v>3</v>
      </c>
      <c r="D5243" s="268">
        <v>0</v>
      </c>
      <c r="E5243" s="268">
        <v>0</v>
      </c>
      <c r="F5243" s="268">
        <v>3</v>
      </c>
      <c r="G5243" s="268">
        <v>0</v>
      </c>
      <c r="H5243" s="268">
        <v>0</v>
      </c>
      <c r="I5243" s="268">
        <v>0</v>
      </c>
      <c r="J5243" s="268">
        <v>0</v>
      </c>
      <c r="K5243" s="268">
        <v>0</v>
      </c>
      <c r="L5243" s="268">
        <v>0</v>
      </c>
      <c r="M5243" s="268">
        <v>0</v>
      </c>
      <c r="N5243" s="268">
        <v>0</v>
      </c>
      <c r="O5243" s="278">
        <v>0</v>
      </c>
    </row>
    <row r="5244" spans="1:15">
      <c r="A5244" s="263" t="s">
        <v>71</v>
      </c>
      <c r="B5244" s="264" t="s">
        <v>59</v>
      </c>
      <c r="C5244" s="44">
        <v>956</v>
      </c>
      <c r="D5244" s="268">
        <v>129</v>
      </c>
      <c r="E5244" s="268">
        <v>65</v>
      </c>
      <c r="F5244" s="268">
        <v>39</v>
      </c>
      <c r="G5244" s="268">
        <v>47</v>
      </c>
      <c r="H5244" s="268">
        <v>64</v>
      </c>
      <c r="I5244" s="268">
        <v>65</v>
      </c>
      <c r="J5244" s="268">
        <v>77</v>
      </c>
      <c r="K5244" s="268">
        <v>95</v>
      </c>
      <c r="L5244" s="268">
        <v>84</v>
      </c>
      <c r="M5244" s="268">
        <v>66</v>
      </c>
      <c r="N5244" s="268">
        <v>94</v>
      </c>
      <c r="O5244" s="278">
        <v>131</v>
      </c>
    </row>
    <row r="5245" spans="1:15">
      <c r="A5245" s="266" t="s">
        <v>71</v>
      </c>
      <c r="B5245" s="267" t="s">
        <v>4</v>
      </c>
      <c r="C5245" s="44">
        <v>48</v>
      </c>
      <c r="D5245" s="269">
        <v>6</v>
      </c>
      <c r="E5245" s="269">
        <v>4</v>
      </c>
      <c r="F5245" s="269">
        <v>2</v>
      </c>
      <c r="G5245" s="269">
        <v>4</v>
      </c>
      <c r="H5245" s="269">
        <v>4</v>
      </c>
      <c r="I5245" s="269">
        <v>0</v>
      </c>
      <c r="J5245" s="269">
        <v>4</v>
      </c>
      <c r="K5245" s="269">
        <v>2</v>
      </c>
      <c r="L5245" s="269">
        <v>4</v>
      </c>
      <c r="M5245" s="269">
        <v>2</v>
      </c>
      <c r="N5245" s="269">
        <v>4</v>
      </c>
      <c r="O5245" s="279">
        <v>12</v>
      </c>
    </row>
    <row r="5246" spans="1:15">
      <c r="A5246" s="263" t="s">
        <v>71</v>
      </c>
      <c r="B5246" s="264" t="s">
        <v>5</v>
      </c>
      <c r="C5246" s="285">
        <v>0.0502092050209205</v>
      </c>
      <c r="D5246" s="265">
        <v>0.0465116279069767</v>
      </c>
      <c r="E5246" s="265">
        <v>0.0615384615384615</v>
      </c>
      <c r="F5246" s="265">
        <v>0.0512820512820513</v>
      </c>
      <c r="G5246" s="265">
        <v>0.0851063829787234</v>
      </c>
      <c r="H5246" s="265">
        <v>0.0625</v>
      </c>
      <c r="I5246" s="265">
        <v>0</v>
      </c>
      <c r="J5246" s="265">
        <v>0.051948051948052</v>
      </c>
      <c r="K5246" s="265">
        <v>0.0210526315789474</v>
      </c>
      <c r="L5246" s="265">
        <v>0.0476190476190476</v>
      </c>
      <c r="M5246" s="265">
        <v>0.0303030303030303</v>
      </c>
      <c r="N5246" s="265">
        <v>0.0425531914893617</v>
      </c>
      <c r="O5246" s="277">
        <v>0.0916030534351145</v>
      </c>
    </row>
    <row r="5247" spans="1:15">
      <c r="A5247" s="266" t="s">
        <v>71</v>
      </c>
      <c r="B5247" s="267" t="s">
        <v>6</v>
      </c>
      <c r="C5247" s="44">
        <v>12</v>
      </c>
      <c r="D5247" s="269">
        <v>2</v>
      </c>
      <c r="E5247" s="269">
        <v>3</v>
      </c>
      <c r="F5247" s="269">
        <v>0</v>
      </c>
      <c r="G5247" s="269">
        <v>1</v>
      </c>
      <c r="H5247" s="269">
        <v>0</v>
      </c>
      <c r="I5247" s="269">
        <v>1</v>
      </c>
      <c r="J5247" s="269">
        <v>1</v>
      </c>
      <c r="K5247" s="269">
        <v>0</v>
      </c>
      <c r="L5247" s="269">
        <v>0</v>
      </c>
      <c r="M5247" s="269">
        <v>1</v>
      </c>
      <c r="N5247" s="269">
        <v>2</v>
      </c>
      <c r="O5247" s="279">
        <v>1</v>
      </c>
    </row>
    <row r="5248" ht="14.25" spans="1:15">
      <c r="A5248" s="270" t="s">
        <v>71</v>
      </c>
      <c r="B5248" s="271" t="s">
        <v>64</v>
      </c>
      <c r="C5248" s="53">
        <v>0.25</v>
      </c>
      <c r="D5248" s="19">
        <v>0.333333333333333</v>
      </c>
      <c r="E5248" s="19">
        <v>0.75</v>
      </c>
      <c r="F5248" s="19">
        <v>0</v>
      </c>
      <c r="G5248" s="19">
        <v>0.25</v>
      </c>
      <c r="H5248" s="19">
        <v>0</v>
      </c>
      <c r="I5248" s="19" t="e">
        <v>#DIV/0!</v>
      </c>
      <c r="J5248" s="19">
        <v>0.25</v>
      </c>
      <c r="K5248" s="19">
        <v>0</v>
      </c>
      <c r="L5248" s="19">
        <v>0</v>
      </c>
      <c r="M5248" s="19">
        <v>0.5</v>
      </c>
      <c r="N5248" s="19">
        <v>0.5</v>
      </c>
      <c r="O5248" s="19">
        <v>0.0833333333333333</v>
      </c>
    </row>
    <row r="5249" spans="1:15">
      <c r="A5249" s="263" t="s">
        <v>72</v>
      </c>
      <c r="B5249" s="264" t="s">
        <v>55</v>
      </c>
      <c r="C5249" s="49">
        <v>0.16817033561891</v>
      </c>
      <c r="D5249" s="265">
        <v>0.216911764705882</v>
      </c>
      <c r="E5249" s="265">
        <v>0.206451612903226</v>
      </c>
      <c r="F5249" s="265">
        <v>0.211764705882353</v>
      </c>
      <c r="G5249" s="265">
        <v>0.183673469387755</v>
      </c>
      <c r="H5249" s="265">
        <v>0.152542372881356</v>
      </c>
      <c r="I5249" s="265">
        <v>0.19047619047619</v>
      </c>
      <c r="J5249" s="265">
        <v>0.204347826086957</v>
      </c>
      <c r="K5249" s="265">
        <v>0.143835616438356</v>
      </c>
      <c r="L5249" s="265">
        <v>0.145522388059701</v>
      </c>
      <c r="M5249" s="265">
        <v>0.180672268907563</v>
      </c>
      <c r="N5249" s="265">
        <v>0.117302052785924</v>
      </c>
      <c r="O5249" s="277">
        <v>0.146067415730337</v>
      </c>
    </row>
    <row r="5250" spans="1:15">
      <c r="A5250" s="266" t="s">
        <v>72</v>
      </c>
      <c r="B5250" s="267" t="s">
        <v>57</v>
      </c>
      <c r="C5250" s="44">
        <v>2771</v>
      </c>
      <c r="D5250" s="268">
        <v>272</v>
      </c>
      <c r="E5250" s="268">
        <v>155</v>
      </c>
      <c r="F5250" s="268">
        <v>85</v>
      </c>
      <c r="G5250" s="268">
        <v>147</v>
      </c>
      <c r="H5250" s="268">
        <v>177</v>
      </c>
      <c r="I5250" s="268">
        <v>210</v>
      </c>
      <c r="J5250" s="268">
        <v>230</v>
      </c>
      <c r="K5250" s="268">
        <v>292</v>
      </c>
      <c r="L5250" s="268">
        <v>268</v>
      </c>
      <c r="M5250" s="268">
        <v>238</v>
      </c>
      <c r="N5250" s="268">
        <v>341</v>
      </c>
      <c r="O5250" s="278">
        <v>356</v>
      </c>
    </row>
    <row r="5251" spans="1:15">
      <c r="A5251" s="263" t="s">
        <v>72</v>
      </c>
      <c r="B5251" s="264" t="s">
        <v>59</v>
      </c>
      <c r="C5251" s="44">
        <v>466</v>
      </c>
      <c r="D5251" s="268">
        <v>59</v>
      </c>
      <c r="E5251" s="268">
        <v>32</v>
      </c>
      <c r="F5251" s="268">
        <v>18</v>
      </c>
      <c r="G5251" s="268">
        <v>27</v>
      </c>
      <c r="H5251" s="268">
        <v>27</v>
      </c>
      <c r="I5251" s="268">
        <v>40</v>
      </c>
      <c r="J5251" s="268">
        <v>47</v>
      </c>
      <c r="K5251" s="268">
        <v>42</v>
      </c>
      <c r="L5251" s="268">
        <v>39</v>
      </c>
      <c r="M5251" s="268">
        <v>43</v>
      </c>
      <c r="N5251" s="268">
        <v>40</v>
      </c>
      <c r="O5251" s="278">
        <v>52</v>
      </c>
    </row>
    <row r="5252" spans="1:15">
      <c r="A5252" s="266" t="s">
        <v>72</v>
      </c>
      <c r="B5252" s="267" t="s">
        <v>4</v>
      </c>
      <c r="C5252" s="44">
        <v>30</v>
      </c>
      <c r="D5252" s="269">
        <v>3</v>
      </c>
      <c r="E5252" s="269">
        <v>2</v>
      </c>
      <c r="F5252" s="269">
        <v>1</v>
      </c>
      <c r="G5252" s="269">
        <v>3</v>
      </c>
      <c r="H5252" s="269">
        <v>0</v>
      </c>
      <c r="I5252" s="269">
        <v>5</v>
      </c>
      <c r="J5252" s="269">
        <v>1</v>
      </c>
      <c r="K5252" s="269">
        <v>3</v>
      </c>
      <c r="L5252" s="269">
        <v>3</v>
      </c>
      <c r="M5252" s="269">
        <v>0</v>
      </c>
      <c r="N5252" s="269">
        <v>4</v>
      </c>
      <c r="O5252" s="279">
        <v>5</v>
      </c>
    </row>
    <row r="5253" spans="1:15">
      <c r="A5253" s="263" t="s">
        <v>72</v>
      </c>
      <c r="B5253" s="264" t="s">
        <v>5</v>
      </c>
      <c r="C5253" s="49">
        <v>0.0643776824034335</v>
      </c>
      <c r="D5253" s="265">
        <v>0.0508474576271186</v>
      </c>
      <c r="E5253" s="265">
        <v>0.0625</v>
      </c>
      <c r="F5253" s="265">
        <v>0.0555555555555556</v>
      </c>
      <c r="G5253" s="265">
        <v>0.111111111111111</v>
      </c>
      <c r="H5253" s="265">
        <v>0</v>
      </c>
      <c r="I5253" s="265">
        <v>0.125</v>
      </c>
      <c r="J5253" s="265">
        <v>0.0212765957446809</v>
      </c>
      <c r="K5253" s="265">
        <v>0.0714285714285714</v>
      </c>
      <c r="L5253" s="265">
        <v>0.0769230769230769</v>
      </c>
      <c r="M5253" s="265">
        <v>0</v>
      </c>
      <c r="N5253" s="265">
        <v>0.1</v>
      </c>
      <c r="O5253" s="277">
        <v>0.0961538461538462</v>
      </c>
    </row>
    <row r="5254" spans="1:15">
      <c r="A5254" s="266" t="s">
        <v>72</v>
      </c>
      <c r="B5254" s="267" t="s">
        <v>6</v>
      </c>
      <c r="C5254" s="44">
        <v>5</v>
      </c>
      <c r="D5254" s="269">
        <v>0</v>
      </c>
      <c r="E5254" s="269">
        <v>0</v>
      </c>
      <c r="F5254" s="269">
        <v>0</v>
      </c>
      <c r="G5254" s="269">
        <v>1</v>
      </c>
      <c r="H5254" s="269">
        <v>0</v>
      </c>
      <c r="I5254" s="269">
        <v>0</v>
      </c>
      <c r="J5254" s="269">
        <v>1</v>
      </c>
      <c r="K5254" s="269">
        <v>0</v>
      </c>
      <c r="L5254" s="269">
        <v>0</v>
      </c>
      <c r="M5254" s="269">
        <v>0</v>
      </c>
      <c r="N5254" s="269">
        <v>1</v>
      </c>
      <c r="O5254" s="279">
        <v>2</v>
      </c>
    </row>
    <row r="5255" ht="14.25" spans="1:15">
      <c r="A5255" s="270" t="s">
        <v>72</v>
      </c>
      <c r="B5255" s="271" t="s">
        <v>64</v>
      </c>
      <c r="C5255" s="53">
        <v>0.166666666666667</v>
      </c>
      <c r="D5255" s="19">
        <v>0</v>
      </c>
      <c r="E5255" s="19">
        <v>0</v>
      </c>
      <c r="F5255" s="19">
        <v>0</v>
      </c>
      <c r="G5255" s="19">
        <v>0.333333333333333</v>
      </c>
      <c r="H5255" s="19" t="e">
        <v>#DIV/0!</v>
      </c>
      <c r="I5255" s="19">
        <v>0</v>
      </c>
      <c r="J5255" s="19">
        <v>1</v>
      </c>
      <c r="K5255" s="19">
        <v>0</v>
      </c>
      <c r="L5255" s="19">
        <v>0</v>
      </c>
      <c r="M5255" s="19" t="e">
        <v>#DIV/0!</v>
      </c>
      <c r="N5255" s="19">
        <v>0.25</v>
      </c>
      <c r="O5255" s="19">
        <v>0.4</v>
      </c>
    </row>
    <row r="5256" ht="14.25" spans="1:15">
      <c r="A5256" s="237">
        <v>45100</v>
      </c>
      <c r="B5256" s="237"/>
      <c r="C5256" s="237"/>
      <c r="D5256" s="237"/>
      <c r="E5256" s="237"/>
      <c r="F5256" s="237"/>
      <c r="G5256" s="237"/>
      <c r="H5256" s="237"/>
      <c r="I5256" s="237"/>
      <c r="J5256" s="237"/>
      <c r="K5256" s="237"/>
      <c r="L5256" s="237"/>
      <c r="M5256" s="237"/>
      <c r="N5256" s="237"/>
      <c r="O5256" s="237"/>
    </row>
    <row r="5257" spans="1:15">
      <c r="A5257" s="56" t="s">
        <v>1</v>
      </c>
      <c r="B5257" s="238"/>
      <c r="C5257" s="8" t="s">
        <v>42</v>
      </c>
      <c r="D5257" s="239" t="s">
        <v>43</v>
      </c>
      <c r="E5257" s="239" t="s">
        <v>44</v>
      </c>
      <c r="F5257" s="239" t="s">
        <v>45</v>
      </c>
      <c r="G5257" s="239" t="s">
        <v>46</v>
      </c>
      <c r="H5257" s="239" t="s">
        <v>47</v>
      </c>
      <c r="I5257" s="239" t="s">
        <v>48</v>
      </c>
      <c r="J5257" s="239" t="s">
        <v>49</v>
      </c>
      <c r="K5257" s="239" t="s">
        <v>50</v>
      </c>
      <c r="L5257" s="239" t="s">
        <v>51</v>
      </c>
      <c r="M5257" s="239" t="s">
        <v>52</v>
      </c>
      <c r="N5257" s="239" t="s">
        <v>53</v>
      </c>
      <c r="O5257" s="251" t="s">
        <v>54</v>
      </c>
    </row>
    <row r="5258" spans="1:15">
      <c r="A5258" s="240" t="s">
        <v>22</v>
      </c>
      <c r="B5258" s="47" t="s">
        <v>55</v>
      </c>
      <c r="C5258" s="12">
        <v>0.889921722113503</v>
      </c>
      <c r="D5258" s="241">
        <v>0.944664031620553</v>
      </c>
      <c r="E5258" s="241">
        <v>0.858490566037736</v>
      </c>
      <c r="F5258" s="241">
        <v>1.01428571428571</v>
      </c>
      <c r="G5258" s="241">
        <v>1.02380952380952</v>
      </c>
      <c r="H5258" s="241">
        <v>0.966887417218543</v>
      </c>
      <c r="I5258" s="241">
        <v>0.976878612716763</v>
      </c>
      <c r="J5258" s="241">
        <v>0.822966507177033</v>
      </c>
      <c r="K5258" s="241">
        <v>0.828828828828829</v>
      </c>
      <c r="L5258" s="241">
        <v>0.834146341463415</v>
      </c>
      <c r="M5258" s="241">
        <v>0.852112676056338</v>
      </c>
      <c r="N5258" s="241">
        <v>0.83756345177665</v>
      </c>
      <c r="O5258" s="252">
        <v>0.879310344827586</v>
      </c>
    </row>
    <row r="5259" spans="1:15">
      <c r="A5259" s="242" t="s">
        <v>22</v>
      </c>
      <c r="B5259" s="43" t="s">
        <v>57</v>
      </c>
      <c r="C5259" s="15">
        <v>2044</v>
      </c>
      <c r="D5259" s="243">
        <v>253</v>
      </c>
      <c r="E5259" s="243">
        <v>106</v>
      </c>
      <c r="F5259" s="243">
        <v>70</v>
      </c>
      <c r="G5259" s="243">
        <v>84</v>
      </c>
      <c r="H5259" s="243">
        <v>151</v>
      </c>
      <c r="I5259" s="243">
        <v>173</v>
      </c>
      <c r="J5259" s="243">
        <v>209</v>
      </c>
      <c r="K5259" s="243">
        <v>222</v>
      </c>
      <c r="L5259" s="243">
        <v>205</v>
      </c>
      <c r="M5259" s="243">
        <v>142</v>
      </c>
      <c r="N5259" s="243">
        <v>197</v>
      </c>
      <c r="O5259" s="253">
        <v>232</v>
      </c>
    </row>
    <row r="5260" spans="1:15">
      <c r="A5260" s="240" t="s">
        <v>22</v>
      </c>
      <c r="B5260" s="47" t="s">
        <v>59</v>
      </c>
      <c r="C5260" s="15">
        <v>1819</v>
      </c>
      <c r="D5260" s="243">
        <v>239</v>
      </c>
      <c r="E5260" s="243">
        <v>91</v>
      </c>
      <c r="F5260" s="243">
        <v>71</v>
      </c>
      <c r="G5260" s="243">
        <v>86</v>
      </c>
      <c r="H5260" s="243">
        <v>146</v>
      </c>
      <c r="I5260" s="243">
        <v>169</v>
      </c>
      <c r="J5260" s="243">
        <v>172</v>
      </c>
      <c r="K5260" s="243">
        <v>184</v>
      </c>
      <c r="L5260" s="243">
        <v>171</v>
      </c>
      <c r="M5260" s="243">
        <v>121</v>
      </c>
      <c r="N5260" s="243">
        <v>165</v>
      </c>
      <c r="O5260" s="253">
        <v>204</v>
      </c>
    </row>
    <row r="5261" spans="1:15">
      <c r="A5261" s="242" t="s">
        <v>22</v>
      </c>
      <c r="B5261" s="43" t="s">
        <v>4</v>
      </c>
      <c r="C5261" s="15">
        <v>34</v>
      </c>
      <c r="D5261" s="244">
        <v>4</v>
      </c>
      <c r="E5261" s="244">
        <v>0</v>
      </c>
      <c r="F5261" s="244">
        <v>1</v>
      </c>
      <c r="G5261" s="244">
        <v>1</v>
      </c>
      <c r="H5261" s="244">
        <v>4</v>
      </c>
      <c r="I5261" s="244">
        <v>5</v>
      </c>
      <c r="J5261" s="244">
        <v>2</v>
      </c>
      <c r="K5261" s="244">
        <v>1</v>
      </c>
      <c r="L5261" s="244">
        <v>7</v>
      </c>
      <c r="M5261" s="244">
        <v>3</v>
      </c>
      <c r="N5261" s="244">
        <v>2</v>
      </c>
      <c r="O5261" s="254">
        <v>4</v>
      </c>
    </row>
    <row r="5262" spans="1:15">
      <c r="A5262" s="240" t="s">
        <v>22</v>
      </c>
      <c r="B5262" s="47" t="s">
        <v>5</v>
      </c>
      <c r="C5262" s="12">
        <v>0.0186915887850467</v>
      </c>
      <c r="D5262" s="241">
        <v>0.0167364016736402</v>
      </c>
      <c r="E5262" s="241">
        <v>0</v>
      </c>
      <c r="F5262" s="241">
        <v>0.0140845070422535</v>
      </c>
      <c r="G5262" s="241">
        <v>0.0116279069767442</v>
      </c>
      <c r="H5262" s="241">
        <v>0.0273972602739726</v>
      </c>
      <c r="I5262" s="241">
        <v>0.029585798816568</v>
      </c>
      <c r="J5262" s="241">
        <v>0.0116279069767442</v>
      </c>
      <c r="K5262" s="241">
        <v>0.00543478260869565</v>
      </c>
      <c r="L5262" s="241">
        <v>0.0409356725146199</v>
      </c>
      <c r="M5262" s="241">
        <v>0.0247933884297521</v>
      </c>
      <c r="N5262" s="241">
        <v>0.0121212121212121</v>
      </c>
      <c r="O5262" s="252">
        <v>0.0196078431372549</v>
      </c>
    </row>
    <row r="5263" spans="1:15">
      <c r="A5263" s="242" t="s">
        <v>22</v>
      </c>
      <c r="B5263" s="43" t="s">
        <v>6</v>
      </c>
      <c r="C5263" s="15">
        <v>8</v>
      </c>
      <c r="D5263" s="244">
        <v>2</v>
      </c>
      <c r="E5263" s="244">
        <v>1</v>
      </c>
      <c r="F5263" s="244">
        <v>0</v>
      </c>
      <c r="G5263" s="244">
        <v>0</v>
      </c>
      <c r="H5263" s="244">
        <v>1</v>
      </c>
      <c r="I5263" s="244">
        <v>0</v>
      </c>
      <c r="J5263" s="244">
        <v>1</v>
      </c>
      <c r="K5263" s="244">
        <v>0</v>
      </c>
      <c r="L5263" s="244">
        <v>0</v>
      </c>
      <c r="M5263" s="244">
        <v>1</v>
      </c>
      <c r="N5263" s="244">
        <v>1</v>
      </c>
      <c r="O5263" s="254">
        <v>1</v>
      </c>
    </row>
    <row r="5264" ht="14.25" spans="1:15">
      <c r="A5264" s="245" t="s">
        <v>22</v>
      </c>
      <c r="B5264" s="52" t="s">
        <v>64</v>
      </c>
      <c r="C5264" s="19">
        <v>0.235294117647059</v>
      </c>
      <c r="D5264" s="246">
        <v>0.5</v>
      </c>
      <c r="E5264" s="246">
        <v>0</v>
      </c>
      <c r="F5264" s="246">
        <v>0</v>
      </c>
      <c r="G5264" s="246">
        <v>0</v>
      </c>
      <c r="H5264" s="246">
        <v>0.25</v>
      </c>
      <c r="I5264" s="246">
        <v>0</v>
      </c>
      <c r="J5264" s="246">
        <v>0.5</v>
      </c>
      <c r="K5264" s="246">
        <v>0</v>
      </c>
      <c r="L5264" s="246">
        <v>0</v>
      </c>
      <c r="M5264" s="246">
        <v>0.333333333333333</v>
      </c>
      <c r="N5264" s="246">
        <v>0.5</v>
      </c>
      <c r="O5264" s="255">
        <v>0.25</v>
      </c>
    </row>
    <row r="5265" spans="1:15">
      <c r="A5265" s="247" t="s">
        <v>66</v>
      </c>
      <c r="B5265" s="248" t="s">
        <v>55</v>
      </c>
      <c r="C5265" s="12">
        <v>0.079624134520277</v>
      </c>
      <c r="D5265" s="249">
        <v>0.0776255707762557</v>
      </c>
      <c r="E5265" s="249">
        <v>0.0744186046511628</v>
      </c>
      <c r="F5265" s="249">
        <v>0.0104712041884817</v>
      </c>
      <c r="G5265" s="249">
        <v>0.0346820809248555</v>
      </c>
      <c r="H5265" s="249">
        <v>0.0494505494505494</v>
      </c>
      <c r="I5265" s="249">
        <v>0.0909090909090909</v>
      </c>
      <c r="J5265" s="249">
        <v>0.0802469135802469</v>
      </c>
      <c r="K5265" s="249">
        <v>0.145251396648045</v>
      </c>
      <c r="L5265" s="249">
        <v>0.0967741935483871</v>
      </c>
      <c r="M5265" s="249">
        <v>0.0761904761904762</v>
      </c>
      <c r="N5265" s="249">
        <v>0.123287671232877</v>
      </c>
      <c r="O5265" s="256">
        <v>0.122302158273381</v>
      </c>
    </row>
    <row r="5266" spans="1:15">
      <c r="A5266" s="242" t="s">
        <v>66</v>
      </c>
      <c r="B5266" s="43" t="s">
        <v>57</v>
      </c>
      <c r="C5266" s="15">
        <v>2022</v>
      </c>
      <c r="D5266" s="243">
        <v>219</v>
      </c>
      <c r="E5266" s="243">
        <v>215</v>
      </c>
      <c r="F5266" s="243">
        <v>191</v>
      </c>
      <c r="G5266" s="243">
        <v>173</v>
      </c>
      <c r="H5266" s="243">
        <v>182</v>
      </c>
      <c r="I5266" s="243">
        <v>187</v>
      </c>
      <c r="J5266" s="243">
        <v>162</v>
      </c>
      <c r="K5266" s="243">
        <v>179</v>
      </c>
      <c r="L5266" s="243">
        <v>124</v>
      </c>
      <c r="M5266" s="243">
        <v>105</v>
      </c>
      <c r="N5266" s="243">
        <v>146</v>
      </c>
      <c r="O5266" s="253">
        <v>139</v>
      </c>
    </row>
    <row r="5267" spans="1:15">
      <c r="A5267" s="240" t="s">
        <v>66</v>
      </c>
      <c r="B5267" s="47" t="s">
        <v>59</v>
      </c>
      <c r="C5267" s="15">
        <v>161</v>
      </c>
      <c r="D5267" s="243">
        <v>17</v>
      </c>
      <c r="E5267" s="243">
        <v>16</v>
      </c>
      <c r="F5267" s="243">
        <v>2</v>
      </c>
      <c r="G5267" s="243">
        <v>6</v>
      </c>
      <c r="H5267" s="243">
        <v>9</v>
      </c>
      <c r="I5267" s="243">
        <v>17</v>
      </c>
      <c r="J5267" s="243">
        <v>13</v>
      </c>
      <c r="K5267" s="243">
        <v>26</v>
      </c>
      <c r="L5267" s="243">
        <v>12</v>
      </c>
      <c r="M5267" s="243">
        <v>8</v>
      </c>
      <c r="N5267" s="243">
        <v>18</v>
      </c>
      <c r="O5267" s="253">
        <v>17</v>
      </c>
    </row>
    <row r="5268" spans="1:15">
      <c r="A5268" s="242" t="s">
        <v>66</v>
      </c>
      <c r="B5268" s="43" t="s">
        <v>4</v>
      </c>
      <c r="C5268" s="15">
        <v>7</v>
      </c>
      <c r="D5268" s="244">
        <v>1</v>
      </c>
      <c r="E5268" s="244">
        <v>0</v>
      </c>
      <c r="F5268" s="244">
        <v>0</v>
      </c>
      <c r="G5268" s="244">
        <v>0</v>
      </c>
      <c r="H5268" s="244">
        <v>0</v>
      </c>
      <c r="I5268" s="244">
        <v>1</v>
      </c>
      <c r="J5268" s="244">
        <v>0</v>
      </c>
      <c r="K5268" s="244">
        <v>1</v>
      </c>
      <c r="L5268" s="244">
        <v>0</v>
      </c>
      <c r="M5268" s="244">
        <v>0</v>
      </c>
      <c r="N5268" s="244">
        <v>0</v>
      </c>
      <c r="O5268" s="254">
        <v>4</v>
      </c>
    </row>
    <row r="5269" spans="1:15">
      <c r="A5269" s="240" t="s">
        <v>66</v>
      </c>
      <c r="B5269" s="47" t="s">
        <v>5</v>
      </c>
      <c r="C5269" s="12">
        <v>0.0434782608695652</v>
      </c>
      <c r="D5269" s="241">
        <v>0.0588235294117647</v>
      </c>
      <c r="E5269" s="241">
        <v>0</v>
      </c>
      <c r="F5269" s="241">
        <v>0</v>
      </c>
      <c r="G5269" s="241">
        <v>0</v>
      </c>
      <c r="H5269" s="241">
        <v>0</v>
      </c>
      <c r="I5269" s="241">
        <v>0.0588235294117647</v>
      </c>
      <c r="J5269" s="241">
        <v>0</v>
      </c>
      <c r="K5269" s="241">
        <v>0.0384615384615385</v>
      </c>
      <c r="L5269" s="241">
        <v>0</v>
      </c>
      <c r="M5269" s="241">
        <v>0</v>
      </c>
      <c r="N5269" s="241">
        <v>0</v>
      </c>
      <c r="O5269" s="252">
        <v>0.235294117647059</v>
      </c>
    </row>
    <row r="5270" spans="1:15">
      <c r="A5270" s="242" t="s">
        <v>66</v>
      </c>
      <c r="B5270" s="43" t="s">
        <v>6</v>
      </c>
      <c r="C5270" s="15">
        <v>2</v>
      </c>
      <c r="D5270" s="244">
        <v>1</v>
      </c>
      <c r="E5270" s="244">
        <v>0</v>
      </c>
      <c r="F5270" s="244">
        <v>0</v>
      </c>
      <c r="G5270" s="244">
        <v>0</v>
      </c>
      <c r="H5270" s="244">
        <v>0</v>
      </c>
      <c r="I5270" s="244">
        <v>0</v>
      </c>
      <c r="J5270" s="244">
        <v>0</v>
      </c>
      <c r="K5270" s="244">
        <v>0</v>
      </c>
      <c r="L5270" s="244">
        <v>1</v>
      </c>
      <c r="M5270" s="244">
        <v>0</v>
      </c>
      <c r="N5270" s="244">
        <v>0</v>
      </c>
      <c r="O5270" s="254">
        <v>0</v>
      </c>
    </row>
    <row r="5271" ht="14.25" spans="1:15">
      <c r="A5271" s="245" t="s">
        <v>66</v>
      </c>
      <c r="B5271" s="52" t="s">
        <v>64</v>
      </c>
      <c r="C5271" s="19">
        <v>0.285714285714286</v>
      </c>
      <c r="D5271" s="246">
        <v>1</v>
      </c>
      <c r="E5271" s="246">
        <v>0</v>
      </c>
      <c r="F5271" s="246">
        <v>0</v>
      </c>
      <c r="G5271" s="246">
        <v>0</v>
      </c>
      <c r="H5271" s="246">
        <v>0</v>
      </c>
      <c r="I5271" s="246">
        <v>0</v>
      </c>
      <c r="J5271" s="246">
        <v>0</v>
      </c>
      <c r="K5271" s="246">
        <v>0</v>
      </c>
      <c r="L5271" s="246">
        <v>0</v>
      </c>
      <c r="M5271" s="246">
        <v>0</v>
      </c>
      <c r="N5271" s="246">
        <v>0</v>
      </c>
      <c r="O5271" s="255">
        <v>0</v>
      </c>
    </row>
    <row r="5272" spans="1:15">
      <c r="A5272" s="240" t="s">
        <v>67</v>
      </c>
      <c r="B5272" s="47" t="s">
        <v>55</v>
      </c>
      <c r="C5272" s="12">
        <v>0.513196480938416</v>
      </c>
      <c r="D5272" s="241">
        <v>0.465909090909091</v>
      </c>
      <c r="E5272" s="241">
        <v>0.370967741935484</v>
      </c>
      <c r="F5272" s="241">
        <v>0.421875</v>
      </c>
      <c r="G5272" s="241">
        <v>0.486111111111111</v>
      </c>
      <c r="H5272" s="241">
        <v>0.673076923076923</v>
      </c>
      <c r="I5272" s="241">
        <v>0.518987341772152</v>
      </c>
      <c r="J5272" s="241">
        <v>0.556818181818182</v>
      </c>
      <c r="K5272" s="241">
        <v>0.523364485981308</v>
      </c>
      <c r="L5272" s="241">
        <v>0.638297872340426</v>
      </c>
      <c r="M5272" s="241">
        <v>0.468085106382979</v>
      </c>
      <c r="N5272" s="241">
        <v>0.447619047619048</v>
      </c>
      <c r="O5272" s="252">
        <v>0.567796610169492</v>
      </c>
    </row>
    <row r="5273" spans="1:15">
      <c r="A5273" s="242" t="s">
        <v>67</v>
      </c>
      <c r="B5273" s="43" t="s">
        <v>57</v>
      </c>
      <c r="C5273" s="15">
        <v>1023</v>
      </c>
      <c r="D5273" s="243">
        <v>88</v>
      </c>
      <c r="E5273" s="243">
        <v>62</v>
      </c>
      <c r="F5273" s="243">
        <v>64</v>
      </c>
      <c r="G5273" s="243">
        <v>72</v>
      </c>
      <c r="H5273" s="243">
        <v>52</v>
      </c>
      <c r="I5273" s="243">
        <v>79</v>
      </c>
      <c r="J5273" s="243">
        <v>88</v>
      </c>
      <c r="K5273" s="243">
        <v>107</v>
      </c>
      <c r="L5273" s="243">
        <v>94</v>
      </c>
      <c r="M5273" s="243">
        <v>94</v>
      </c>
      <c r="N5273" s="243">
        <v>105</v>
      </c>
      <c r="O5273" s="253">
        <v>118</v>
      </c>
    </row>
    <row r="5274" spans="1:15">
      <c r="A5274" s="240" t="s">
        <v>67</v>
      </c>
      <c r="B5274" s="47" t="s">
        <v>59</v>
      </c>
      <c r="C5274" s="15">
        <v>525</v>
      </c>
      <c r="D5274" s="243">
        <v>41</v>
      </c>
      <c r="E5274" s="243">
        <v>23</v>
      </c>
      <c r="F5274" s="243">
        <v>27</v>
      </c>
      <c r="G5274" s="243">
        <v>35</v>
      </c>
      <c r="H5274" s="243">
        <v>35</v>
      </c>
      <c r="I5274" s="243">
        <v>41</v>
      </c>
      <c r="J5274" s="243">
        <v>49</v>
      </c>
      <c r="K5274" s="243">
        <v>56</v>
      </c>
      <c r="L5274" s="243">
        <v>60</v>
      </c>
      <c r="M5274" s="243">
        <v>44</v>
      </c>
      <c r="N5274" s="243">
        <v>47</v>
      </c>
      <c r="O5274" s="253">
        <v>67</v>
      </c>
    </row>
    <row r="5275" spans="1:15">
      <c r="A5275" s="242" t="s">
        <v>67</v>
      </c>
      <c r="B5275" s="43" t="s">
        <v>4</v>
      </c>
      <c r="C5275" s="15">
        <v>17</v>
      </c>
      <c r="D5275" s="244">
        <v>2</v>
      </c>
      <c r="E5275" s="244">
        <v>1</v>
      </c>
      <c r="F5275" s="244">
        <v>2</v>
      </c>
      <c r="G5275" s="244">
        <v>0</v>
      </c>
      <c r="H5275" s="244">
        <v>1</v>
      </c>
      <c r="I5275" s="244">
        <v>1</v>
      </c>
      <c r="J5275" s="244">
        <v>4</v>
      </c>
      <c r="K5275" s="244">
        <v>1</v>
      </c>
      <c r="L5275" s="244">
        <v>3</v>
      </c>
      <c r="M5275" s="244">
        <v>1</v>
      </c>
      <c r="N5275" s="244">
        <v>0</v>
      </c>
      <c r="O5275" s="254">
        <v>1</v>
      </c>
    </row>
    <row r="5276" spans="1:15">
      <c r="A5276" s="240" t="s">
        <v>67</v>
      </c>
      <c r="B5276" s="47" t="s">
        <v>5</v>
      </c>
      <c r="C5276" s="12">
        <v>0.0323809523809524</v>
      </c>
      <c r="D5276" s="241">
        <v>0.0487804878048781</v>
      </c>
      <c r="E5276" s="241">
        <v>0.0434782608695652</v>
      </c>
      <c r="F5276" s="241">
        <v>0.0740740740740741</v>
      </c>
      <c r="G5276" s="241">
        <v>0</v>
      </c>
      <c r="H5276" s="241">
        <v>0.0285714285714286</v>
      </c>
      <c r="I5276" s="241">
        <v>0.024390243902439</v>
      </c>
      <c r="J5276" s="241">
        <v>0.0816326530612245</v>
      </c>
      <c r="K5276" s="241">
        <v>0.0178571428571429</v>
      </c>
      <c r="L5276" s="241">
        <v>0.05</v>
      </c>
      <c r="M5276" s="241">
        <v>0.0227272727272727</v>
      </c>
      <c r="N5276" s="241">
        <v>0</v>
      </c>
      <c r="O5276" s="252">
        <v>0.0149253731343284</v>
      </c>
    </row>
    <row r="5277" spans="1:15">
      <c r="A5277" s="242" t="s">
        <v>67</v>
      </c>
      <c r="B5277" s="43" t="s">
        <v>6</v>
      </c>
      <c r="C5277" s="15">
        <v>8</v>
      </c>
      <c r="D5277" s="244">
        <v>0</v>
      </c>
      <c r="E5277" s="244">
        <v>1</v>
      </c>
      <c r="F5277" s="244">
        <v>1</v>
      </c>
      <c r="G5277" s="244">
        <v>0</v>
      </c>
      <c r="H5277" s="244">
        <v>0</v>
      </c>
      <c r="I5277" s="244">
        <v>0</v>
      </c>
      <c r="J5277" s="244">
        <v>1</v>
      </c>
      <c r="K5277" s="244">
        <v>1</v>
      </c>
      <c r="L5277" s="244">
        <v>0</v>
      </c>
      <c r="M5277" s="244">
        <v>2</v>
      </c>
      <c r="N5277" s="244">
        <v>1</v>
      </c>
      <c r="O5277" s="254">
        <v>1</v>
      </c>
    </row>
    <row r="5278" ht="14.25" spans="1:15">
      <c r="A5278" s="245" t="s">
        <v>67</v>
      </c>
      <c r="B5278" s="52" t="s">
        <v>64</v>
      </c>
      <c r="C5278" s="19">
        <v>0.470588235294118</v>
      </c>
      <c r="D5278" s="246">
        <v>0</v>
      </c>
      <c r="E5278" s="246">
        <v>1</v>
      </c>
      <c r="F5278" s="246">
        <v>0.5</v>
      </c>
      <c r="G5278" s="246">
        <v>0</v>
      </c>
      <c r="H5278" s="246">
        <v>0</v>
      </c>
      <c r="I5278" s="246">
        <v>0</v>
      </c>
      <c r="J5278" s="246">
        <v>0.25</v>
      </c>
      <c r="K5278" s="246">
        <v>1</v>
      </c>
      <c r="L5278" s="246">
        <v>0</v>
      </c>
      <c r="M5278" s="246">
        <v>2</v>
      </c>
      <c r="N5278" s="246">
        <v>0</v>
      </c>
      <c r="O5278" s="255">
        <v>1</v>
      </c>
    </row>
    <row r="5279" spans="1:15">
      <c r="A5279" s="240" t="s">
        <v>68</v>
      </c>
      <c r="B5279" s="47" t="s">
        <v>55</v>
      </c>
      <c r="C5279" s="12">
        <v>0.211542633977002</v>
      </c>
      <c r="D5279" s="241">
        <v>0.236139630390144</v>
      </c>
      <c r="E5279" s="241">
        <v>0.293617021276596</v>
      </c>
      <c r="F5279" s="241">
        <v>0.309677419354839</v>
      </c>
      <c r="G5279" s="241">
        <v>0.317073170731707</v>
      </c>
      <c r="H5279" s="241">
        <v>0.258566978193146</v>
      </c>
      <c r="I5279" s="241">
        <v>0.148936170212766</v>
      </c>
      <c r="J5279" s="241">
        <v>0.208333333333333</v>
      </c>
      <c r="K5279" s="241">
        <v>0.176136363636364</v>
      </c>
      <c r="L5279" s="241">
        <v>0.220843672456576</v>
      </c>
      <c r="M5279" s="241">
        <v>0.19672131147541</v>
      </c>
      <c r="N5279" s="241">
        <v>0.184579439252336</v>
      </c>
      <c r="O5279" s="252">
        <v>0.170055452865065</v>
      </c>
    </row>
    <row r="5280" spans="1:15">
      <c r="A5280" s="242" t="s">
        <v>68</v>
      </c>
      <c r="B5280" s="43" t="s">
        <v>57</v>
      </c>
      <c r="C5280" s="15">
        <v>4609</v>
      </c>
      <c r="D5280" s="243">
        <v>487</v>
      </c>
      <c r="E5280" s="243">
        <v>235</v>
      </c>
      <c r="F5280" s="243">
        <v>155</v>
      </c>
      <c r="G5280" s="243">
        <v>205</v>
      </c>
      <c r="H5280" s="243">
        <v>321</v>
      </c>
      <c r="I5280" s="243">
        <v>423</v>
      </c>
      <c r="J5280" s="243">
        <v>456</v>
      </c>
      <c r="K5280" s="243">
        <v>528</v>
      </c>
      <c r="L5280" s="243">
        <v>403</v>
      </c>
      <c r="M5280" s="243">
        <v>427</v>
      </c>
      <c r="N5280" s="243">
        <v>428</v>
      </c>
      <c r="O5280" s="253">
        <v>541</v>
      </c>
    </row>
    <row r="5281" spans="1:15">
      <c r="A5281" s="240" t="s">
        <v>68</v>
      </c>
      <c r="B5281" s="47" t="s">
        <v>59</v>
      </c>
      <c r="C5281" s="15">
        <v>975</v>
      </c>
      <c r="D5281" s="243">
        <v>115</v>
      </c>
      <c r="E5281" s="243">
        <v>69</v>
      </c>
      <c r="F5281" s="243">
        <v>48</v>
      </c>
      <c r="G5281" s="243">
        <v>65</v>
      </c>
      <c r="H5281" s="243">
        <v>83</v>
      </c>
      <c r="I5281" s="243">
        <v>63</v>
      </c>
      <c r="J5281" s="243">
        <v>95</v>
      </c>
      <c r="K5281" s="243">
        <v>93</v>
      </c>
      <c r="L5281" s="243">
        <v>89</v>
      </c>
      <c r="M5281" s="243">
        <v>84</v>
      </c>
      <c r="N5281" s="243">
        <v>79</v>
      </c>
      <c r="O5281" s="253">
        <v>92</v>
      </c>
    </row>
    <row r="5282" spans="1:15">
      <c r="A5282" s="242" t="s">
        <v>68</v>
      </c>
      <c r="B5282" s="43" t="s">
        <v>4</v>
      </c>
      <c r="C5282" s="15">
        <v>54</v>
      </c>
      <c r="D5282" s="244">
        <v>8</v>
      </c>
      <c r="E5282" s="244">
        <v>7</v>
      </c>
      <c r="F5282" s="244">
        <v>3</v>
      </c>
      <c r="G5282" s="244">
        <v>2</v>
      </c>
      <c r="H5282" s="244">
        <v>1</v>
      </c>
      <c r="I5282" s="244">
        <v>2</v>
      </c>
      <c r="J5282" s="244">
        <v>5</v>
      </c>
      <c r="K5282" s="244">
        <v>5</v>
      </c>
      <c r="L5282" s="244">
        <v>1</v>
      </c>
      <c r="M5282" s="244">
        <v>5</v>
      </c>
      <c r="N5282" s="244">
        <v>8</v>
      </c>
      <c r="O5282" s="254">
        <v>7</v>
      </c>
    </row>
    <row r="5283" spans="1:15">
      <c r="A5283" s="240" t="s">
        <v>68</v>
      </c>
      <c r="B5283" s="47" t="s">
        <v>5</v>
      </c>
      <c r="C5283" s="12">
        <v>0.0553846153846154</v>
      </c>
      <c r="D5283" s="241">
        <v>0.0695652173913043</v>
      </c>
      <c r="E5283" s="241">
        <v>0.101449275362319</v>
      </c>
      <c r="F5283" s="241">
        <v>0.0625</v>
      </c>
      <c r="G5283" s="241">
        <v>0.0307692307692308</v>
      </c>
      <c r="H5283" s="241">
        <v>0.0120481927710843</v>
      </c>
      <c r="I5283" s="241">
        <v>0.0317460317460317</v>
      </c>
      <c r="J5283" s="241">
        <v>0.0526315789473684</v>
      </c>
      <c r="K5283" s="241">
        <v>0.0537634408602151</v>
      </c>
      <c r="L5283" s="241">
        <v>0.0112359550561798</v>
      </c>
      <c r="M5283" s="241">
        <v>0.0595238095238095</v>
      </c>
      <c r="N5283" s="241">
        <v>0.10126582278481</v>
      </c>
      <c r="O5283" s="252">
        <v>0.0760869565217391</v>
      </c>
    </row>
    <row r="5284" spans="1:15">
      <c r="A5284" s="242" t="s">
        <v>68</v>
      </c>
      <c r="B5284" s="43" t="s">
        <v>6</v>
      </c>
      <c r="C5284" s="15">
        <v>17</v>
      </c>
      <c r="D5284" s="244">
        <v>2</v>
      </c>
      <c r="E5284" s="244">
        <v>0</v>
      </c>
      <c r="F5284" s="244">
        <v>1</v>
      </c>
      <c r="G5284" s="244">
        <v>1</v>
      </c>
      <c r="H5284" s="244">
        <v>1</v>
      </c>
      <c r="I5284" s="244">
        <v>1</v>
      </c>
      <c r="J5284" s="244">
        <v>2</v>
      </c>
      <c r="K5284" s="244">
        <v>1</v>
      </c>
      <c r="L5284" s="244">
        <v>2</v>
      </c>
      <c r="M5284" s="244">
        <v>1</v>
      </c>
      <c r="N5284" s="244">
        <v>2</v>
      </c>
      <c r="O5284" s="254">
        <v>3</v>
      </c>
    </row>
    <row r="5285" ht="14.25" spans="1:15">
      <c r="A5285" s="245" t="s">
        <v>68</v>
      </c>
      <c r="B5285" s="52" t="s">
        <v>64</v>
      </c>
      <c r="C5285" s="19">
        <v>0.314814814814815</v>
      </c>
      <c r="D5285" s="246">
        <v>0.25</v>
      </c>
      <c r="E5285" s="246">
        <v>0</v>
      </c>
      <c r="F5285" s="246">
        <v>0.333333333333333</v>
      </c>
      <c r="G5285" s="246">
        <v>0.5</v>
      </c>
      <c r="H5285" s="246">
        <v>1</v>
      </c>
      <c r="I5285" s="246">
        <v>0.5</v>
      </c>
      <c r="J5285" s="246">
        <v>0.4</v>
      </c>
      <c r="K5285" s="246">
        <v>0.2</v>
      </c>
      <c r="L5285" s="246">
        <v>2</v>
      </c>
      <c r="M5285" s="246">
        <v>0.2</v>
      </c>
      <c r="N5285" s="246">
        <v>0.25</v>
      </c>
      <c r="O5285" s="255">
        <v>0.428571428571429</v>
      </c>
    </row>
    <row r="5286" spans="1:15">
      <c r="A5286" s="240" t="s">
        <v>69</v>
      </c>
      <c r="B5286" s="47" t="s">
        <v>55</v>
      </c>
      <c r="C5286" s="12">
        <v>1.25490196078431</v>
      </c>
      <c r="D5286" s="241">
        <v>1.11764705882353</v>
      </c>
      <c r="E5286" s="241">
        <v>1.33333333333333</v>
      </c>
      <c r="F5286" s="241">
        <v>1.125</v>
      </c>
      <c r="G5286" s="241">
        <v>1.41666666666667</v>
      </c>
      <c r="H5286" s="241">
        <v>1.625</v>
      </c>
      <c r="I5286" s="241">
        <v>1.46153846153846</v>
      </c>
      <c r="J5286" s="241">
        <v>1.26086956521739</v>
      </c>
      <c r="K5286" s="241">
        <v>1.29166666666667</v>
      </c>
      <c r="L5286" s="241">
        <v>1.72222222222222</v>
      </c>
      <c r="M5286" s="241">
        <v>0.928571428571429</v>
      </c>
      <c r="N5286" s="241">
        <v>1.25</v>
      </c>
      <c r="O5286" s="252">
        <v>1.0625</v>
      </c>
    </row>
    <row r="5287" spans="1:15">
      <c r="A5287" s="242" t="s">
        <v>69</v>
      </c>
      <c r="B5287" s="43" t="s">
        <v>57</v>
      </c>
      <c r="C5287" s="15">
        <v>255</v>
      </c>
      <c r="D5287" s="243">
        <v>34</v>
      </c>
      <c r="E5287" s="243">
        <v>15</v>
      </c>
      <c r="F5287" s="243">
        <v>8</v>
      </c>
      <c r="G5287" s="243">
        <v>12</v>
      </c>
      <c r="H5287" s="243">
        <v>16</v>
      </c>
      <c r="I5287" s="243">
        <v>13</v>
      </c>
      <c r="J5287" s="243">
        <v>23</v>
      </c>
      <c r="K5287" s="243">
        <v>24</v>
      </c>
      <c r="L5287" s="243">
        <v>18</v>
      </c>
      <c r="M5287" s="243">
        <v>28</v>
      </c>
      <c r="N5287" s="243">
        <v>32</v>
      </c>
      <c r="O5287" s="253">
        <v>32</v>
      </c>
    </row>
    <row r="5288" spans="1:15">
      <c r="A5288" s="240" t="s">
        <v>69</v>
      </c>
      <c r="B5288" s="47" t="s">
        <v>59</v>
      </c>
      <c r="C5288" s="15">
        <v>320</v>
      </c>
      <c r="D5288" s="243">
        <v>38</v>
      </c>
      <c r="E5288" s="243">
        <v>20</v>
      </c>
      <c r="F5288" s="243">
        <v>9</v>
      </c>
      <c r="G5288" s="243">
        <v>17</v>
      </c>
      <c r="H5288" s="243">
        <v>26</v>
      </c>
      <c r="I5288" s="243">
        <v>19</v>
      </c>
      <c r="J5288" s="243">
        <v>29</v>
      </c>
      <c r="K5288" s="243">
        <v>31</v>
      </c>
      <c r="L5288" s="243">
        <v>31</v>
      </c>
      <c r="M5288" s="243">
        <v>26</v>
      </c>
      <c r="N5288" s="243">
        <v>40</v>
      </c>
      <c r="O5288" s="253">
        <v>34</v>
      </c>
    </row>
    <row r="5289" spans="1:15">
      <c r="A5289" s="242" t="s">
        <v>69</v>
      </c>
      <c r="B5289" s="43" t="s">
        <v>4</v>
      </c>
      <c r="C5289" s="15">
        <v>3</v>
      </c>
      <c r="D5289" s="244">
        <v>1</v>
      </c>
      <c r="E5289" s="244">
        <v>0</v>
      </c>
      <c r="F5289" s="244">
        <v>0</v>
      </c>
      <c r="G5289" s="244">
        <v>0</v>
      </c>
      <c r="H5289" s="244">
        <v>0</v>
      </c>
      <c r="I5289" s="244">
        <v>0</v>
      </c>
      <c r="J5289" s="244">
        <v>1</v>
      </c>
      <c r="K5289" s="244">
        <v>1</v>
      </c>
      <c r="L5289" s="244">
        <v>0</v>
      </c>
      <c r="M5289" s="244">
        <v>0</v>
      </c>
      <c r="N5289" s="244">
        <v>0</v>
      </c>
      <c r="O5289" s="254">
        <v>0</v>
      </c>
    </row>
    <row r="5290" spans="1:15">
      <c r="A5290" s="240" t="s">
        <v>69</v>
      </c>
      <c r="B5290" s="47" t="s">
        <v>5</v>
      </c>
      <c r="C5290" s="12">
        <v>0.009375</v>
      </c>
      <c r="D5290" s="241">
        <v>0.0263157894736842</v>
      </c>
      <c r="E5290" s="241">
        <v>0</v>
      </c>
      <c r="F5290" s="241">
        <v>0</v>
      </c>
      <c r="G5290" s="241">
        <v>0</v>
      </c>
      <c r="H5290" s="241">
        <v>0</v>
      </c>
      <c r="I5290" s="241">
        <v>0</v>
      </c>
      <c r="J5290" s="241">
        <v>0.0344827586206897</v>
      </c>
      <c r="K5290" s="241">
        <v>0.032258064516129</v>
      </c>
      <c r="L5290" s="241">
        <v>0</v>
      </c>
      <c r="M5290" s="241">
        <v>0</v>
      </c>
      <c r="N5290" s="241">
        <v>0</v>
      </c>
      <c r="O5290" s="252">
        <v>0</v>
      </c>
    </row>
    <row r="5291" spans="1:15">
      <c r="A5291" s="242" t="s">
        <v>69</v>
      </c>
      <c r="B5291" s="43" t="s">
        <v>6</v>
      </c>
      <c r="C5291" s="15">
        <v>2</v>
      </c>
      <c r="D5291" s="244">
        <v>0</v>
      </c>
      <c r="E5291" s="244">
        <v>0</v>
      </c>
      <c r="F5291" s="244">
        <v>0</v>
      </c>
      <c r="G5291" s="244">
        <v>0</v>
      </c>
      <c r="H5291" s="244">
        <v>0</v>
      </c>
      <c r="I5291" s="244">
        <v>1</v>
      </c>
      <c r="J5291" s="244">
        <v>0</v>
      </c>
      <c r="K5291" s="244">
        <v>0</v>
      </c>
      <c r="L5291" s="244">
        <v>1</v>
      </c>
      <c r="M5291" s="244">
        <v>0</v>
      </c>
      <c r="N5291" s="244">
        <v>0</v>
      </c>
      <c r="O5291" s="254">
        <v>0</v>
      </c>
    </row>
    <row r="5292" ht="14.25" spans="1:15">
      <c r="A5292" s="245" t="s">
        <v>69</v>
      </c>
      <c r="B5292" s="52" t="s">
        <v>64</v>
      </c>
      <c r="C5292" s="19">
        <v>0.666666666666667</v>
      </c>
      <c r="D5292" s="246">
        <v>0</v>
      </c>
      <c r="E5292" s="246">
        <v>0</v>
      </c>
      <c r="F5292" s="246">
        <v>0</v>
      </c>
      <c r="G5292" s="246">
        <v>0</v>
      </c>
      <c r="H5292" s="246">
        <v>0</v>
      </c>
      <c r="I5292" s="246">
        <v>0</v>
      </c>
      <c r="J5292" s="246">
        <v>0</v>
      </c>
      <c r="K5292" s="246">
        <v>0</v>
      </c>
      <c r="L5292" s="246">
        <v>0</v>
      </c>
      <c r="M5292" s="246">
        <v>0</v>
      </c>
      <c r="N5292" s="246">
        <v>0</v>
      </c>
      <c r="O5292" s="255">
        <v>0</v>
      </c>
    </row>
    <row r="5293" spans="1:15">
      <c r="A5293" s="240" t="s">
        <v>70</v>
      </c>
      <c r="B5293" s="47" t="s">
        <v>55</v>
      </c>
      <c r="C5293" s="12">
        <v>0.399453551912568</v>
      </c>
      <c r="D5293" s="241">
        <v>0.422222222222222</v>
      </c>
      <c r="E5293" s="241">
        <v>0.391304347826087</v>
      </c>
      <c r="F5293" s="241">
        <v>0.51219512195122</v>
      </c>
      <c r="G5293" s="241">
        <v>0.6</v>
      </c>
      <c r="H5293" s="241">
        <v>0.55</v>
      </c>
      <c r="I5293" s="241">
        <v>0.433962264150943</v>
      </c>
      <c r="J5293" s="241">
        <v>0.348837209302326</v>
      </c>
      <c r="K5293" s="241">
        <v>0.290909090909091</v>
      </c>
      <c r="L5293" s="241">
        <v>0.375722543352601</v>
      </c>
      <c r="M5293" s="241">
        <v>0.379518072289157</v>
      </c>
      <c r="N5293" s="241">
        <v>0.393063583815029</v>
      </c>
      <c r="O5293" s="252">
        <v>0.302564102564103</v>
      </c>
    </row>
    <row r="5294" spans="1:15">
      <c r="A5294" s="242" t="s">
        <v>70</v>
      </c>
      <c r="B5294" s="43" t="s">
        <v>57</v>
      </c>
      <c r="C5294" s="15">
        <v>1830</v>
      </c>
      <c r="D5294" s="243">
        <v>225</v>
      </c>
      <c r="E5294" s="243">
        <v>115</v>
      </c>
      <c r="F5294" s="243">
        <v>82</v>
      </c>
      <c r="G5294" s="243">
        <v>85</v>
      </c>
      <c r="H5294" s="243">
        <v>120</v>
      </c>
      <c r="I5294" s="243">
        <v>159</v>
      </c>
      <c r="J5294" s="243">
        <v>172</v>
      </c>
      <c r="K5294" s="243">
        <v>165</v>
      </c>
      <c r="L5294" s="243">
        <v>173</v>
      </c>
      <c r="M5294" s="243">
        <v>166</v>
      </c>
      <c r="N5294" s="243">
        <v>173</v>
      </c>
      <c r="O5294" s="253">
        <v>195</v>
      </c>
    </row>
    <row r="5295" spans="1:15">
      <c r="A5295" s="240" t="s">
        <v>70</v>
      </c>
      <c r="B5295" s="47" t="s">
        <v>59</v>
      </c>
      <c r="C5295" s="15">
        <v>731</v>
      </c>
      <c r="D5295" s="243">
        <v>95</v>
      </c>
      <c r="E5295" s="243">
        <v>45</v>
      </c>
      <c r="F5295" s="243">
        <v>42</v>
      </c>
      <c r="G5295" s="243">
        <v>51</v>
      </c>
      <c r="H5295" s="243">
        <v>66</v>
      </c>
      <c r="I5295" s="243">
        <v>69</v>
      </c>
      <c r="J5295" s="243">
        <v>60</v>
      </c>
      <c r="K5295" s="243">
        <v>48</v>
      </c>
      <c r="L5295" s="243">
        <v>65</v>
      </c>
      <c r="M5295" s="243">
        <v>63</v>
      </c>
      <c r="N5295" s="243">
        <v>68</v>
      </c>
      <c r="O5295" s="253">
        <v>59</v>
      </c>
    </row>
    <row r="5296" spans="1:15">
      <c r="A5296" s="242" t="s">
        <v>70</v>
      </c>
      <c r="B5296" s="43" t="s">
        <v>4</v>
      </c>
      <c r="C5296" s="15">
        <v>52</v>
      </c>
      <c r="D5296" s="244">
        <v>5</v>
      </c>
      <c r="E5296" s="244">
        <v>10</v>
      </c>
      <c r="F5296" s="244">
        <v>4</v>
      </c>
      <c r="G5296" s="244">
        <v>3</v>
      </c>
      <c r="H5296" s="244">
        <v>5</v>
      </c>
      <c r="I5296" s="244">
        <v>5</v>
      </c>
      <c r="J5296" s="244">
        <v>0</v>
      </c>
      <c r="K5296" s="244">
        <v>4</v>
      </c>
      <c r="L5296" s="244">
        <v>5</v>
      </c>
      <c r="M5296" s="244">
        <v>3</v>
      </c>
      <c r="N5296" s="244">
        <v>2</v>
      </c>
      <c r="O5296" s="254">
        <v>6</v>
      </c>
    </row>
    <row r="5297" spans="1:15">
      <c r="A5297" s="240" t="s">
        <v>70</v>
      </c>
      <c r="B5297" s="47" t="s">
        <v>5</v>
      </c>
      <c r="C5297" s="12">
        <v>0.0711354309165527</v>
      </c>
      <c r="D5297" s="241">
        <v>0.0526315789473684</v>
      </c>
      <c r="E5297" s="241">
        <v>0.222222222222222</v>
      </c>
      <c r="F5297" s="241">
        <v>0.0952380952380952</v>
      </c>
      <c r="G5297" s="241">
        <v>0.0588235294117647</v>
      </c>
      <c r="H5297" s="241">
        <v>0.0757575757575758</v>
      </c>
      <c r="I5297" s="241">
        <v>0.072463768115942</v>
      </c>
      <c r="J5297" s="241">
        <v>0</v>
      </c>
      <c r="K5297" s="241">
        <v>0.0833333333333333</v>
      </c>
      <c r="L5297" s="241">
        <v>0.0769230769230769</v>
      </c>
      <c r="M5297" s="241">
        <v>0.0476190476190476</v>
      </c>
      <c r="N5297" s="241">
        <v>0.0294117647058824</v>
      </c>
      <c r="O5297" s="252">
        <v>0.101694915254237</v>
      </c>
    </row>
    <row r="5298" spans="1:15">
      <c r="A5298" s="242" t="s">
        <v>70</v>
      </c>
      <c r="B5298" s="43" t="s">
        <v>6</v>
      </c>
      <c r="C5298" s="15">
        <v>14</v>
      </c>
      <c r="D5298" s="244">
        <v>1</v>
      </c>
      <c r="E5298" s="244">
        <v>3</v>
      </c>
      <c r="F5298" s="244">
        <v>2</v>
      </c>
      <c r="G5298" s="244">
        <v>1</v>
      </c>
      <c r="H5298" s="244">
        <v>3</v>
      </c>
      <c r="I5298" s="244">
        <v>1</v>
      </c>
      <c r="J5298" s="244">
        <v>0</v>
      </c>
      <c r="K5298" s="244">
        <v>0</v>
      </c>
      <c r="L5298" s="244">
        <v>1</v>
      </c>
      <c r="M5298" s="244">
        <v>1</v>
      </c>
      <c r="N5298" s="244">
        <v>1</v>
      </c>
      <c r="O5298" s="254">
        <v>0</v>
      </c>
    </row>
    <row r="5299" ht="14.25" spans="1:15">
      <c r="A5299" s="245" t="s">
        <v>70</v>
      </c>
      <c r="B5299" s="52" t="s">
        <v>64</v>
      </c>
      <c r="C5299" s="19">
        <v>0.269230769230769</v>
      </c>
      <c r="D5299" s="246">
        <v>0.2</v>
      </c>
      <c r="E5299" s="246">
        <v>0.3</v>
      </c>
      <c r="F5299" s="246">
        <v>0.5</v>
      </c>
      <c r="G5299" s="246">
        <v>0.333333333333333</v>
      </c>
      <c r="H5299" s="246">
        <v>0.6</v>
      </c>
      <c r="I5299" s="246">
        <v>0.2</v>
      </c>
      <c r="J5299" s="246">
        <v>0</v>
      </c>
      <c r="K5299" s="246">
        <v>0</v>
      </c>
      <c r="L5299" s="246">
        <v>0.2</v>
      </c>
      <c r="M5299" s="246">
        <v>0.333333333333333</v>
      </c>
      <c r="N5299" s="246">
        <v>0.5</v>
      </c>
      <c r="O5299" s="255">
        <v>0</v>
      </c>
    </row>
    <row r="5300" ht="14.25" spans="1:15">
      <c r="A5300" s="240" t="s">
        <v>26</v>
      </c>
      <c r="B5300" s="47" t="s">
        <v>55</v>
      </c>
      <c r="C5300" s="12">
        <v>304.5</v>
      </c>
      <c r="D5300" s="246">
        <v>0</v>
      </c>
      <c r="E5300" s="246">
        <v>0</v>
      </c>
      <c r="F5300" s="246">
        <v>0</v>
      </c>
      <c r="G5300" s="246">
        <v>0</v>
      </c>
      <c r="H5300" s="241">
        <v>22.5</v>
      </c>
      <c r="I5300" s="246">
        <v>0</v>
      </c>
      <c r="J5300" s="246">
        <v>0</v>
      </c>
      <c r="K5300" s="246">
        <v>0</v>
      </c>
      <c r="L5300" s="246">
        <v>0</v>
      </c>
      <c r="M5300" s="246">
        <v>0</v>
      </c>
      <c r="N5300" s="246">
        <v>0</v>
      </c>
      <c r="O5300" s="246">
        <v>0</v>
      </c>
    </row>
    <row r="5301" spans="1:15">
      <c r="A5301" s="242" t="s">
        <v>26</v>
      </c>
      <c r="B5301" s="43" t="s">
        <v>57</v>
      </c>
      <c r="C5301" s="15">
        <v>2</v>
      </c>
      <c r="D5301" s="243">
        <v>0</v>
      </c>
      <c r="E5301" s="243">
        <v>0</v>
      </c>
      <c r="F5301" s="243">
        <v>0</v>
      </c>
      <c r="G5301" s="243">
        <v>0</v>
      </c>
      <c r="H5301" s="243">
        <v>2</v>
      </c>
      <c r="I5301" s="243">
        <v>0</v>
      </c>
      <c r="J5301" s="243">
        <v>0</v>
      </c>
      <c r="K5301" s="243">
        <v>0</v>
      </c>
      <c r="L5301" s="243">
        <v>0</v>
      </c>
      <c r="M5301" s="243">
        <v>0</v>
      </c>
      <c r="N5301" s="243">
        <v>0</v>
      </c>
      <c r="O5301" s="253">
        <v>0</v>
      </c>
    </row>
    <row r="5302" spans="1:15">
      <c r="A5302" s="240" t="s">
        <v>26</v>
      </c>
      <c r="B5302" s="47" t="s">
        <v>59</v>
      </c>
      <c r="C5302" s="15">
        <v>609</v>
      </c>
      <c r="D5302" s="243">
        <v>45</v>
      </c>
      <c r="E5302" s="243">
        <v>10</v>
      </c>
      <c r="F5302" s="243">
        <v>14</v>
      </c>
      <c r="G5302" s="243">
        <v>21</v>
      </c>
      <c r="H5302" s="243">
        <v>45</v>
      </c>
      <c r="I5302" s="243">
        <v>56</v>
      </c>
      <c r="J5302" s="243">
        <v>55</v>
      </c>
      <c r="K5302" s="243">
        <v>69</v>
      </c>
      <c r="L5302" s="243">
        <v>67</v>
      </c>
      <c r="M5302" s="243">
        <v>65</v>
      </c>
      <c r="N5302" s="243">
        <v>94</v>
      </c>
      <c r="O5302" s="253">
        <v>68</v>
      </c>
    </row>
    <row r="5303" spans="1:15">
      <c r="A5303" s="242" t="s">
        <v>26</v>
      </c>
      <c r="B5303" s="43" t="s">
        <v>4</v>
      </c>
      <c r="C5303" s="15">
        <v>2</v>
      </c>
      <c r="D5303" s="244">
        <v>0</v>
      </c>
      <c r="E5303" s="244">
        <v>1</v>
      </c>
      <c r="F5303" s="244">
        <v>0</v>
      </c>
      <c r="G5303" s="244">
        <v>0</v>
      </c>
      <c r="H5303" s="244">
        <v>0</v>
      </c>
      <c r="I5303" s="244">
        <v>0</v>
      </c>
      <c r="J5303" s="244">
        <v>0</v>
      </c>
      <c r="K5303" s="244">
        <v>0</v>
      </c>
      <c r="L5303" s="244">
        <v>0</v>
      </c>
      <c r="M5303" s="244">
        <v>0</v>
      </c>
      <c r="N5303" s="244">
        <v>0</v>
      </c>
      <c r="O5303" s="254">
        <v>1</v>
      </c>
    </row>
    <row r="5304" spans="1:15">
      <c r="A5304" s="240" t="s">
        <v>26</v>
      </c>
      <c r="B5304" s="47" t="s">
        <v>5</v>
      </c>
      <c r="C5304" s="12">
        <v>0.00328407224958949</v>
      </c>
      <c r="D5304" s="241">
        <v>0</v>
      </c>
      <c r="E5304" s="241">
        <v>0.1</v>
      </c>
      <c r="F5304" s="241">
        <v>0</v>
      </c>
      <c r="G5304" s="241">
        <v>0</v>
      </c>
      <c r="H5304" s="241">
        <v>0</v>
      </c>
      <c r="I5304" s="241">
        <v>0</v>
      </c>
      <c r="J5304" s="241">
        <v>0</v>
      </c>
      <c r="K5304" s="241">
        <v>0</v>
      </c>
      <c r="L5304" s="241">
        <v>0</v>
      </c>
      <c r="M5304" s="241">
        <v>0</v>
      </c>
      <c r="N5304" s="241">
        <v>0</v>
      </c>
      <c r="O5304" s="252">
        <v>0.0147058823529412</v>
      </c>
    </row>
    <row r="5305" spans="1:15">
      <c r="A5305" s="242" t="s">
        <v>26</v>
      </c>
      <c r="B5305" s="43" t="s">
        <v>6</v>
      </c>
      <c r="C5305" s="15">
        <v>3</v>
      </c>
      <c r="D5305" s="244">
        <v>0</v>
      </c>
      <c r="E5305" s="244">
        <v>1</v>
      </c>
      <c r="F5305" s="244">
        <v>0</v>
      </c>
      <c r="G5305" s="244">
        <v>0</v>
      </c>
      <c r="H5305" s="244">
        <v>0</v>
      </c>
      <c r="I5305" s="244">
        <v>0</v>
      </c>
      <c r="J5305" s="244">
        <v>0</v>
      </c>
      <c r="K5305" s="244">
        <v>0</v>
      </c>
      <c r="L5305" s="244">
        <v>0</v>
      </c>
      <c r="M5305" s="244">
        <v>1</v>
      </c>
      <c r="N5305" s="244">
        <v>0</v>
      </c>
      <c r="O5305" s="254">
        <v>1</v>
      </c>
    </row>
    <row r="5306" ht="14.25" spans="1:15">
      <c r="A5306" s="245" t="s">
        <v>26</v>
      </c>
      <c r="B5306" s="52" t="s">
        <v>64</v>
      </c>
      <c r="C5306" s="19">
        <v>1.5</v>
      </c>
      <c r="D5306" s="19">
        <v>0</v>
      </c>
      <c r="E5306" s="19">
        <v>1</v>
      </c>
      <c r="F5306" s="19">
        <v>0</v>
      </c>
      <c r="G5306" s="19">
        <v>0</v>
      </c>
      <c r="H5306" s="19">
        <v>0</v>
      </c>
      <c r="I5306" s="19">
        <v>0</v>
      </c>
      <c r="J5306" s="19">
        <v>0</v>
      </c>
      <c r="K5306" s="19">
        <v>0</v>
      </c>
      <c r="L5306" s="19">
        <v>0</v>
      </c>
      <c r="M5306" s="19">
        <v>0</v>
      </c>
      <c r="N5306" s="19">
        <v>0</v>
      </c>
      <c r="O5306" s="19">
        <v>1</v>
      </c>
    </row>
    <row r="5307" ht="14.25" spans="1:15">
      <c r="A5307" s="240" t="s">
        <v>71</v>
      </c>
      <c r="B5307" s="47" t="s">
        <v>55</v>
      </c>
      <c r="C5307" s="12">
        <v>1143</v>
      </c>
      <c r="D5307" s="246">
        <v>0</v>
      </c>
      <c r="E5307" s="246">
        <v>0</v>
      </c>
      <c r="F5307" s="241">
        <v>57</v>
      </c>
      <c r="G5307" s="246">
        <v>0</v>
      </c>
      <c r="H5307" s="246">
        <v>0</v>
      </c>
      <c r="I5307" s="246">
        <v>0</v>
      </c>
      <c r="J5307" s="246">
        <v>0</v>
      </c>
      <c r="K5307" s="246">
        <v>0</v>
      </c>
      <c r="L5307" s="246">
        <v>0</v>
      </c>
      <c r="M5307" s="246">
        <v>0</v>
      </c>
      <c r="N5307" s="246">
        <v>0</v>
      </c>
      <c r="O5307" s="246">
        <v>0</v>
      </c>
    </row>
    <row r="5308" spans="1:15">
      <c r="A5308" s="242" t="s">
        <v>71</v>
      </c>
      <c r="B5308" s="43" t="s">
        <v>57</v>
      </c>
      <c r="C5308" s="15">
        <v>1</v>
      </c>
      <c r="D5308" s="243">
        <v>0</v>
      </c>
      <c r="E5308" s="243">
        <v>0</v>
      </c>
      <c r="F5308" s="243">
        <v>1</v>
      </c>
      <c r="G5308" s="243">
        <v>0</v>
      </c>
      <c r="H5308" s="243">
        <v>0</v>
      </c>
      <c r="I5308" s="243">
        <v>0</v>
      </c>
      <c r="J5308" s="243">
        <v>0</v>
      </c>
      <c r="K5308" s="243">
        <v>0</v>
      </c>
      <c r="L5308" s="243">
        <v>0</v>
      </c>
      <c r="M5308" s="243">
        <v>0</v>
      </c>
      <c r="N5308" s="243">
        <v>0</v>
      </c>
      <c r="O5308" s="253">
        <v>0</v>
      </c>
    </row>
    <row r="5309" spans="1:15">
      <c r="A5309" s="240" t="s">
        <v>71</v>
      </c>
      <c r="B5309" s="47" t="s">
        <v>59</v>
      </c>
      <c r="C5309" s="15">
        <v>1143</v>
      </c>
      <c r="D5309" s="243">
        <v>119</v>
      </c>
      <c r="E5309" s="243">
        <v>64</v>
      </c>
      <c r="F5309" s="243">
        <v>57</v>
      </c>
      <c r="G5309" s="243">
        <v>58</v>
      </c>
      <c r="H5309" s="243">
        <v>74</v>
      </c>
      <c r="I5309" s="243">
        <v>80</v>
      </c>
      <c r="J5309" s="243">
        <v>97</v>
      </c>
      <c r="K5309" s="243">
        <v>104</v>
      </c>
      <c r="L5309" s="243">
        <v>112</v>
      </c>
      <c r="M5309" s="243">
        <v>83</v>
      </c>
      <c r="N5309" s="243">
        <v>157</v>
      </c>
      <c r="O5309" s="253">
        <v>138</v>
      </c>
    </row>
    <row r="5310" spans="1:15">
      <c r="A5310" s="242" t="s">
        <v>71</v>
      </c>
      <c r="B5310" s="43" t="s">
        <v>4</v>
      </c>
      <c r="C5310" s="15">
        <v>58</v>
      </c>
      <c r="D5310" s="244">
        <v>9</v>
      </c>
      <c r="E5310" s="244">
        <v>3</v>
      </c>
      <c r="F5310" s="244">
        <v>6</v>
      </c>
      <c r="G5310" s="244">
        <v>1</v>
      </c>
      <c r="H5310" s="244">
        <v>3</v>
      </c>
      <c r="I5310" s="244">
        <v>1</v>
      </c>
      <c r="J5310" s="244">
        <v>4</v>
      </c>
      <c r="K5310" s="244">
        <v>5</v>
      </c>
      <c r="L5310" s="244">
        <v>7</v>
      </c>
      <c r="M5310" s="244">
        <v>4</v>
      </c>
      <c r="N5310" s="244">
        <v>4</v>
      </c>
      <c r="O5310" s="254">
        <v>11</v>
      </c>
    </row>
    <row r="5311" spans="1:15">
      <c r="A5311" s="240" t="s">
        <v>71</v>
      </c>
      <c r="B5311" s="47" t="s">
        <v>5</v>
      </c>
      <c r="C5311" s="286">
        <v>0.0507436570428696</v>
      </c>
      <c r="D5311" s="241">
        <v>0.0756302521008403</v>
      </c>
      <c r="E5311" s="241">
        <v>0.046875</v>
      </c>
      <c r="F5311" s="241">
        <v>0.105263157894737</v>
      </c>
      <c r="G5311" s="241">
        <v>0.0172413793103448</v>
      </c>
      <c r="H5311" s="241">
        <v>0.0405405405405405</v>
      </c>
      <c r="I5311" s="241">
        <v>0.0125</v>
      </c>
      <c r="J5311" s="241">
        <v>0.0412371134020619</v>
      </c>
      <c r="K5311" s="241">
        <v>0.0480769230769231</v>
      </c>
      <c r="L5311" s="241">
        <v>0.0625</v>
      </c>
      <c r="M5311" s="241">
        <v>0.0481927710843374</v>
      </c>
      <c r="N5311" s="241">
        <v>0.0254777070063694</v>
      </c>
      <c r="O5311" s="252">
        <v>0.0797101449275362</v>
      </c>
    </row>
    <row r="5312" spans="1:15">
      <c r="A5312" s="242" t="s">
        <v>71</v>
      </c>
      <c r="B5312" s="43" t="s">
        <v>6</v>
      </c>
      <c r="C5312" s="15">
        <v>13</v>
      </c>
      <c r="D5312" s="244">
        <v>4</v>
      </c>
      <c r="E5312" s="244">
        <v>0</v>
      </c>
      <c r="F5312" s="244">
        <v>0</v>
      </c>
      <c r="G5312" s="244">
        <v>0</v>
      </c>
      <c r="H5312" s="244">
        <v>0</v>
      </c>
      <c r="I5312" s="244">
        <v>1</v>
      </c>
      <c r="J5312" s="244">
        <v>2</v>
      </c>
      <c r="K5312" s="244">
        <v>3</v>
      </c>
      <c r="L5312" s="244">
        <v>0</v>
      </c>
      <c r="M5312" s="244">
        <v>1</v>
      </c>
      <c r="N5312" s="244">
        <v>1</v>
      </c>
      <c r="O5312" s="254">
        <v>1</v>
      </c>
    </row>
    <row r="5313" ht="14.25" spans="1:15">
      <c r="A5313" s="245" t="s">
        <v>71</v>
      </c>
      <c r="B5313" s="52" t="s">
        <v>64</v>
      </c>
      <c r="C5313" s="19">
        <v>0.224137931034483</v>
      </c>
      <c r="D5313" s="19">
        <v>0.444444444444444</v>
      </c>
      <c r="E5313" s="19">
        <v>0</v>
      </c>
      <c r="F5313" s="19">
        <v>0</v>
      </c>
      <c r="G5313" s="19">
        <v>0</v>
      </c>
      <c r="H5313" s="19">
        <v>0</v>
      </c>
      <c r="I5313" s="19">
        <v>1</v>
      </c>
      <c r="J5313" s="19">
        <v>0.5</v>
      </c>
      <c r="K5313" s="19">
        <v>0.6</v>
      </c>
      <c r="L5313" s="19">
        <v>0</v>
      </c>
      <c r="M5313" s="19">
        <v>0.25</v>
      </c>
      <c r="N5313" s="19">
        <v>0.25</v>
      </c>
      <c r="O5313" s="19">
        <v>0.0909090909090909</v>
      </c>
    </row>
    <row r="5314" spans="1:15">
      <c r="A5314" s="240" t="s">
        <v>72</v>
      </c>
      <c r="B5314" s="47" t="s">
        <v>55</v>
      </c>
      <c r="C5314" s="12">
        <v>0.146466370775009</v>
      </c>
      <c r="D5314" s="241">
        <v>0.187755102040816</v>
      </c>
      <c r="E5314" s="241">
        <v>0.194915254237288</v>
      </c>
      <c r="F5314" s="241">
        <v>0.163461538461538</v>
      </c>
      <c r="G5314" s="241">
        <v>0.178571428571429</v>
      </c>
      <c r="H5314" s="241">
        <v>0.190217391304348</v>
      </c>
      <c r="I5314" s="241">
        <v>0.122047244094488</v>
      </c>
      <c r="J5314" s="241">
        <v>0.135458167330677</v>
      </c>
      <c r="K5314" s="241">
        <v>0.13125</v>
      </c>
      <c r="L5314" s="241">
        <v>0.163763066202091</v>
      </c>
      <c r="M5314" s="241">
        <v>0.145922746781116</v>
      </c>
      <c r="N5314" s="241">
        <v>0.12621359223301</v>
      </c>
      <c r="O5314" s="252">
        <v>0.117359413202934</v>
      </c>
    </row>
    <row r="5315" spans="1:15">
      <c r="A5315" s="242" t="s">
        <v>72</v>
      </c>
      <c r="B5315" s="43" t="s">
        <v>57</v>
      </c>
      <c r="C5315" s="15">
        <v>2929</v>
      </c>
      <c r="D5315" s="243">
        <v>245</v>
      </c>
      <c r="E5315" s="243">
        <v>118</v>
      </c>
      <c r="F5315" s="243">
        <v>104</v>
      </c>
      <c r="G5315" s="243">
        <v>112</v>
      </c>
      <c r="H5315" s="243">
        <v>184</v>
      </c>
      <c r="I5315" s="243">
        <v>254</v>
      </c>
      <c r="J5315" s="243">
        <v>251</v>
      </c>
      <c r="K5315" s="243">
        <v>320</v>
      </c>
      <c r="L5315" s="243">
        <v>287</v>
      </c>
      <c r="M5315" s="243">
        <v>233</v>
      </c>
      <c r="N5315" s="243">
        <v>412</v>
      </c>
      <c r="O5315" s="253">
        <v>409</v>
      </c>
    </row>
    <row r="5316" spans="1:15">
      <c r="A5316" s="240" t="s">
        <v>72</v>
      </c>
      <c r="B5316" s="47" t="s">
        <v>59</v>
      </c>
      <c r="C5316" s="15">
        <v>429</v>
      </c>
      <c r="D5316" s="243">
        <v>46</v>
      </c>
      <c r="E5316" s="243">
        <v>23</v>
      </c>
      <c r="F5316" s="243">
        <v>17</v>
      </c>
      <c r="G5316" s="243">
        <v>20</v>
      </c>
      <c r="H5316" s="243">
        <v>35</v>
      </c>
      <c r="I5316" s="243">
        <v>31</v>
      </c>
      <c r="J5316" s="243">
        <v>34</v>
      </c>
      <c r="K5316" s="243">
        <v>42</v>
      </c>
      <c r="L5316" s="243">
        <v>47</v>
      </c>
      <c r="M5316" s="243">
        <v>34</v>
      </c>
      <c r="N5316" s="243">
        <v>52</v>
      </c>
      <c r="O5316" s="253">
        <v>48</v>
      </c>
    </row>
    <row r="5317" spans="1:15">
      <c r="A5317" s="242" t="s">
        <v>72</v>
      </c>
      <c r="B5317" s="43" t="s">
        <v>4</v>
      </c>
      <c r="C5317" s="15">
        <v>27</v>
      </c>
      <c r="D5317" s="244">
        <v>3</v>
      </c>
      <c r="E5317" s="244">
        <v>1</v>
      </c>
      <c r="F5317" s="244">
        <v>1</v>
      </c>
      <c r="G5317" s="244">
        <v>2</v>
      </c>
      <c r="H5317" s="244">
        <v>3</v>
      </c>
      <c r="I5317" s="244">
        <v>1</v>
      </c>
      <c r="J5317" s="244">
        <v>2</v>
      </c>
      <c r="K5317" s="244">
        <v>4</v>
      </c>
      <c r="L5317" s="244">
        <v>2</v>
      </c>
      <c r="M5317" s="244">
        <v>0</v>
      </c>
      <c r="N5317" s="244">
        <v>5</v>
      </c>
      <c r="O5317" s="254">
        <v>3</v>
      </c>
    </row>
    <row r="5318" spans="1:15">
      <c r="A5318" s="240" t="s">
        <v>72</v>
      </c>
      <c r="B5318" s="47" t="s">
        <v>5</v>
      </c>
      <c r="C5318" s="12">
        <v>0.0629370629370629</v>
      </c>
      <c r="D5318" s="241">
        <v>0.0652173913043478</v>
      </c>
      <c r="E5318" s="241">
        <v>0.0434782608695652</v>
      </c>
      <c r="F5318" s="241">
        <v>0.0588235294117647</v>
      </c>
      <c r="G5318" s="241">
        <v>0.1</v>
      </c>
      <c r="H5318" s="241">
        <v>0.0857142857142857</v>
      </c>
      <c r="I5318" s="241">
        <v>0.032258064516129</v>
      </c>
      <c r="J5318" s="241">
        <v>0.0588235294117647</v>
      </c>
      <c r="K5318" s="241">
        <v>0.0952380952380952</v>
      </c>
      <c r="L5318" s="241">
        <v>0.0425531914893617</v>
      </c>
      <c r="M5318" s="241">
        <v>0</v>
      </c>
      <c r="N5318" s="241">
        <v>0.0961538461538462</v>
      </c>
      <c r="O5318" s="252">
        <v>0.0625</v>
      </c>
    </row>
    <row r="5319" spans="1:15">
      <c r="A5319" s="242" t="s">
        <v>72</v>
      </c>
      <c r="B5319" s="43" t="s">
        <v>6</v>
      </c>
      <c r="C5319" s="15">
        <v>7</v>
      </c>
      <c r="D5319" s="244">
        <v>0</v>
      </c>
      <c r="E5319" s="244">
        <v>1</v>
      </c>
      <c r="F5319" s="244">
        <v>0</v>
      </c>
      <c r="G5319" s="244">
        <v>0</v>
      </c>
      <c r="H5319" s="244">
        <v>0</v>
      </c>
      <c r="I5319" s="244">
        <v>0</v>
      </c>
      <c r="J5319" s="244">
        <v>0</v>
      </c>
      <c r="K5319" s="244">
        <v>2</v>
      </c>
      <c r="L5319" s="244">
        <v>2</v>
      </c>
      <c r="M5319" s="244">
        <v>0</v>
      </c>
      <c r="N5319" s="244">
        <v>1</v>
      </c>
      <c r="O5319" s="254">
        <v>1</v>
      </c>
    </row>
    <row r="5320" ht="14.25" spans="1:15">
      <c r="A5320" s="245" t="s">
        <v>72</v>
      </c>
      <c r="B5320" s="52" t="s">
        <v>64</v>
      </c>
      <c r="C5320" s="19">
        <v>0.259259259259259</v>
      </c>
      <c r="D5320" s="19">
        <v>0</v>
      </c>
      <c r="E5320" s="19">
        <v>1</v>
      </c>
      <c r="F5320" s="19">
        <v>0</v>
      </c>
      <c r="G5320" s="19">
        <v>0</v>
      </c>
      <c r="H5320" s="19">
        <v>0</v>
      </c>
      <c r="I5320" s="19">
        <v>0</v>
      </c>
      <c r="J5320" s="19">
        <v>0</v>
      </c>
      <c r="K5320" s="19">
        <v>0.5</v>
      </c>
      <c r="L5320" s="19">
        <v>1</v>
      </c>
      <c r="M5320" s="19">
        <v>0</v>
      </c>
      <c r="N5320" s="19">
        <v>0.2</v>
      </c>
      <c r="O5320" s="19">
        <v>0.333333333333333</v>
      </c>
    </row>
    <row r="5321" ht="14.25" spans="1:15">
      <c r="A5321" s="259">
        <v>45101</v>
      </c>
      <c r="B5321" s="259"/>
      <c r="C5321" s="259"/>
      <c r="D5321" s="259"/>
      <c r="E5321" s="259"/>
      <c r="F5321" s="259"/>
      <c r="G5321" s="259"/>
      <c r="H5321" s="259"/>
      <c r="I5321" s="259"/>
      <c r="J5321" s="259"/>
      <c r="K5321" s="259"/>
      <c r="L5321" s="259"/>
      <c r="M5321" s="259"/>
      <c r="N5321" s="259"/>
      <c r="O5321" s="259"/>
    </row>
    <row r="5322" spans="1:15">
      <c r="A5322" s="260" t="s">
        <v>1</v>
      </c>
      <c r="B5322" s="261"/>
      <c r="C5322" s="8" t="s">
        <v>42</v>
      </c>
      <c r="D5322" s="262" t="s">
        <v>43</v>
      </c>
      <c r="E5322" s="262" t="s">
        <v>44</v>
      </c>
      <c r="F5322" s="262" t="s">
        <v>45</v>
      </c>
      <c r="G5322" s="262" t="s">
        <v>46</v>
      </c>
      <c r="H5322" s="262" t="s">
        <v>47</v>
      </c>
      <c r="I5322" s="262" t="s">
        <v>48</v>
      </c>
      <c r="J5322" s="262" t="s">
        <v>49</v>
      </c>
      <c r="K5322" s="262" t="s">
        <v>50</v>
      </c>
      <c r="L5322" s="262" t="s">
        <v>51</v>
      </c>
      <c r="M5322" s="262" t="s">
        <v>52</v>
      </c>
      <c r="N5322" s="262" t="s">
        <v>53</v>
      </c>
      <c r="O5322" s="276" t="s">
        <v>54</v>
      </c>
    </row>
    <row r="5323" spans="1:15">
      <c r="A5323" s="263" t="s">
        <v>22</v>
      </c>
      <c r="B5323" s="264" t="s">
        <v>55</v>
      </c>
      <c r="C5323" s="12">
        <v>0.922386483632524</v>
      </c>
      <c r="D5323" s="265">
        <v>0.884210526315789</v>
      </c>
      <c r="E5323" s="265">
        <v>0.979381443298969</v>
      </c>
      <c r="F5323" s="265">
        <v>0.914285714285714</v>
      </c>
      <c r="G5323" s="265">
        <v>0.96875</v>
      </c>
      <c r="H5323" s="265">
        <v>1</v>
      </c>
      <c r="I5323" s="265">
        <v>0.883870967741936</v>
      </c>
      <c r="J5323" s="265">
        <v>0.965</v>
      </c>
      <c r="K5323" s="265">
        <v>0.897142857142857</v>
      </c>
      <c r="L5323" s="265">
        <v>0.95360824742268</v>
      </c>
      <c r="M5323" s="265">
        <v>0.951515151515152</v>
      </c>
      <c r="N5323" s="265">
        <v>0.867021276595745</v>
      </c>
      <c r="O5323" s="277">
        <v>0.884920634920635</v>
      </c>
    </row>
    <row r="5324" spans="1:15">
      <c r="A5324" s="266" t="s">
        <v>22</v>
      </c>
      <c r="B5324" s="267" t="s">
        <v>57</v>
      </c>
      <c r="C5324" s="15">
        <v>1894</v>
      </c>
      <c r="D5324" s="268">
        <v>190</v>
      </c>
      <c r="E5324" s="268">
        <v>97</v>
      </c>
      <c r="F5324" s="268">
        <v>70</v>
      </c>
      <c r="G5324" s="268">
        <v>96</v>
      </c>
      <c r="H5324" s="268">
        <v>112</v>
      </c>
      <c r="I5324" s="268">
        <v>155</v>
      </c>
      <c r="J5324" s="268">
        <v>200</v>
      </c>
      <c r="K5324" s="268">
        <v>175</v>
      </c>
      <c r="L5324" s="268">
        <v>194</v>
      </c>
      <c r="M5324" s="268">
        <v>165</v>
      </c>
      <c r="N5324" s="268">
        <v>188</v>
      </c>
      <c r="O5324" s="278">
        <v>252</v>
      </c>
    </row>
    <row r="5325" spans="1:15">
      <c r="A5325" s="263" t="s">
        <v>22</v>
      </c>
      <c r="B5325" s="264" t="s">
        <v>59</v>
      </c>
      <c r="C5325" s="15">
        <v>1747</v>
      </c>
      <c r="D5325" s="268">
        <v>168</v>
      </c>
      <c r="E5325" s="268">
        <v>95</v>
      </c>
      <c r="F5325" s="268">
        <v>64</v>
      </c>
      <c r="G5325" s="268">
        <v>93</v>
      </c>
      <c r="H5325" s="268">
        <v>112</v>
      </c>
      <c r="I5325" s="268">
        <v>137</v>
      </c>
      <c r="J5325" s="268">
        <v>193</v>
      </c>
      <c r="K5325" s="268">
        <v>157</v>
      </c>
      <c r="L5325" s="268">
        <v>185</v>
      </c>
      <c r="M5325" s="268">
        <v>157</v>
      </c>
      <c r="N5325" s="268">
        <v>163</v>
      </c>
      <c r="O5325" s="278">
        <v>223</v>
      </c>
    </row>
    <row r="5326" spans="1:15">
      <c r="A5326" s="266" t="s">
        <v>22</v>
      </c>
      <c r="B5326" s="267" t="s">
        <v>4</v>
      </c>
      <c r="C5326" s="15">
        <v>31</v>
      </c>
      <c r="D5326" s="269">
        <v>8</v>
      </c>
      <c r="E5326" s="269">
        <v>2</v>
      </c>
      <c r="F5326" s="269">
        <v>1</v>
      </c>
      <c r="G5326" s="269">
        <v>2</v>
      </c>
      <c r="H5326" s="269">
        <v>2</v>
      </c>
      <c r="I5326" s="269">
        <v>0</v>
      </c>
      <c r="J5326" s="269">
        <v>1</v>
      </c>
      <c r="K5326" s="269">
        <v>2</v>
      </c>
      <c r="L5326" s="269">
        <v>4</v>
      </c>
      <c r="M5326" s="269">
        <v>3</v>
      </c>
      <c r="N5326" s="269">
        <v>2</v>
      </c>
      <c r="O5326" s="279">
        <v>4</v>
      </c>
    </row>
    <row r="5327" spans="1:15">
      <c r="A5327" s="263" t="s">
        <v>22</v>
      </c>
      <c r="B5327" s="264" t="s">
        <v>5</v>
      </c>
      <c r="C5327" s="12">
        <v>0.0177447052089296</v>
      </c>
      <c r="D5327" s="265">
        <v>0.0476190476190476</v>
      </c>
      <c r="E5327" s="265">
        <v>0.0210526315789474</v>
      </c>
      <c r="F5327" s="265">
        <v>0.015625</v>
      </c>
      <c r="G5327" s="265">
        <v>0.021505376344086</v>
      </c>
      <c r="H5327" s="265">
        <v>0.0178571428571429</v>
      </c>
      <c r="I5327" s="265">
        <v>0</v>
      </c>
      <c r="J5327" s="265">
        <v>0.00518134715025907</v>
      </c>
      <c r="K5327" s="265">
        <v>0.0127388535031847</v>
      </c>
      <c r="L5327" s="265">
        <v>0.0216216216216216</v>
      </c>
      <c r="M5327" s="265">
        <v>0.0191082802547771</v>
      </c>
      <c r="N5327" s="265">
        <v>0.0122699386503067</v>
      </c>
      <c r="O5327" s="277">
        <v>0.0179372197309417</v>
      </c>
    </row>
    <row r="5328" spans="1:15">
      <c r="A5328" s="266" t="s">
        <v>22</v>
      </c>
      <c r="B5328" s="267" t="s">
        <v>6</v>
      </c>
      <c r="C5328" s="15">
        <v>16</v>
      </c>
      <c r="D5328" s="269">
        <v>1</v>
      </c>
      <c r="E5328" s="269">
        <v>1</v>
      </c>
      <c r="F5328" s="269">
        <v>1</v>
      </c>
      <c r="G5328" s="269">
        <v>1</v>
      </c>
      <c r="H5328" s="269">
        <v>1</v>
      </c>
      <c r="I5328" s="269">
        <v>1</v>
      </c>
      <c r="J5328" s="269">
        <v>1</v>
      </c>
      <c r="K5328" s="269">
        <v>0</v>
      </c>
      <c r="L5328" s="269">
        <v>3</v>
      </c>
      <c r="M5328" s="269">
        <v>1</v>
      </c>
      <c r="N5328" s="269">
        <v>5</v>
      </c>
      <c r="O5328" s="279">
        <v>0</v>
      </c>
    </row>
    <row r="5329" ht="14.25" spans="1:15">
      <c r="A5329" s="270" t="s">
        <v>22</v>
      </c>
      <c r="B5329" s="271" t="s">
        <v>64</v>
      </c>
      <c r="C5329" s="19">
        <v>0.516129032258065</v>
      </c>
      <c r="D5329" s="272">
        <v>0.125</v>
      </c>
      <c r="E5329" s="272">
        <v>0.5</v>
      </c>
      <c r="F5329" s="272">
        <v>1</v>
      </c>
      <c r="G5329" s="272">
        <v>0.5</v>
      </c>
      <c r="H5329" s="272">
        <v>0.5</v>
      </c>
      <c r="I5329" s="272">
        <v>0</v>
      </c>
      <c r="J5329" s="272">
        <v>1</v>
      </c>
      <c r="K5329" s="272">
        <v>0</v>
      </c>
      <c r="L5329" s="272">
        <v>0.75</v>
      </c>
      <c r="M5329" s="272">
        <v>0.333333333333333</v>
      </c>
      <c r="N5329" s="272">
        <v>2.5</v>
      </c>
      <c r="O5329" s="280">
        <v>0</v>
      </c>
    </row>
    <row r="5330" spans="1:15">
      <c r="A5330" s="273" t="s">
        <v>66</v>
      </c>
      <c r="B5330" s="274" t="s">
        <v>55</v>
      </c>
      <c r="C5330" s="12">
        <v>0.0716999050332384</v>
      </c>
      <c r="D5330" s="275">
        <v>0.0568181818181818</v>
      </c>
      <c r="E5330" s="275">
        <v>0.05</v>
      </c>
      <c r="F5330" s="275">
        <v>0.0531914893617021</v>
      </c>
      <c r="G5330" s="275">
        <v>0.063953488372093</v>
      </c>
      <c r="H5330" s="275">
        <v>0.0625</v>
      </c>
      <c r="I5330" s="275">
        <v>0.0374331550802139</v>
      </c>
      <c r="J5330" s="275">
        <v>0.101694915254237</v>
      </c>
      <c r="K5330" s="275">
        <v>0.0923076923076923</v>
      </c>
      <c r="L5330" s="275">
        <v>0.0909090909090909</v>
      </c>
      <c r="M5330" s="275">
        <v>0.12396694214876</v>
      </c>
      <c r="N5330" s="275">
        <v>0.114754098360656</v>
      </c>
      <c r="O5330" s="281">
        <v>0.0564971751412429</v>
      </c>
    </row>
    <row r="5331" spans="1:15">
      <c r="A5331" s="266" t="s">
        <v>66</v>
      </c>
      <c r="B5331" s="267" t="s">
        <v>57</v>
      </c>
      <c r="C5331" s="15">
        <v>2106</v>
      </c>
      <c r="D5331" s="268">
        <v>176</v>
      </c>
      <c r="E5331" s="268">
        <v>240</v>
      </c>
      <c r="F5331" s="268">
        <v>188</v>
      </c>
      <c r="G5331" s="268">
        <v>172</v>
      </c>
      <c r="H5331" s="268">
        <v>208</v>
      </c>
      <c r="I5331" s="268">
        <v>187</v>
      </c>
      <c r="J5331" s="268">
        <v>177</v>
      </c>
      <c r="K5331" s="268">
        <v>195</v>
      </c>
      <c r="L5331" s="268">
        <v>143</v>
      </c>
      <c r="M5331" s="268">
        <v>121</v>
      </c>
      <c r="N5331" s="268">
        <v>122</v>
      </c>
      <c r="O5331" s="278">
        <v>177</v>
      </c>
    </row>
    <row r="5332" spans="1:15">
      <c r="A5332" s="263" t="s">
        <v>66</v>
      </c>
      <c r="B5332" s="264" t="s">
        <v>59</v>
      </c>
      <c r="C5332" s="15">
        <v>151</v>
      </c>
      <c r="D5332" s="268">
        <v>10</v>
      </c>
      <c r="E5332" s="268">
        <v>12</v>
      </c>
      <c r="F5332" s="268">
        <v>10</v>
      </c>
      <c r="G5332" s="268">
        <v>11</v>
      </c>
      <c r="H5332" s="268">
        <v>13</v>
      </c>
      <c r="I5332" s="268">
        <v>7</v>
      </c>
      <c r="J5332" s="268">
        <v>18</v>
      </c>
      <c r="K5332" s="268">
        <v>18</v>
      </c>
      <c r="L5332" s="268">
        <v>13</v>
      </c>
      <c r="M5332" s="268">
        <v>15</v>
      </c>
      <c r="N5332" s="268">
        <v>14</v>
      </c>
      <c r="O5332" s="278">
        <v>10</v>
      </c>
    </row>
    <row r="5333" spans="1:15">
      <c r="A5333" s="266" t="s">
        <v>66</v>
      </c>
      <c r="B5333" s="267" t="s">
        <v>4</v>
      </c>
      <c r="C5333" s="15">
        <v>4</v>
      </c>
      <c r="D5333" s="269">
        <v>0</v>
      </c>
      <c r="E5333" s="269">
        <v>0</v>
      </c>
      <c r="F5333" s="269">
        <v>0</v>
      </c>
      <c r="G5333" s="269">
        <v>1</v>
      </c>
      <c r="H5333" s="269">
        <v>2</v>
      </c>
      <c r="I5333" s="269">
        <v>0</v>
      </c>
      <c r="J5333" s="269">
        <v>0</v>
      </c>
      <c r="K5333" s="269">
        <v>0</v>
      </c>
      <c r="L5333" s="269">
        <v>0</v>
      </c>
      <c r="M5333" s="269">
        <v>1</v>
      </c>
      <c r="N5333" s="269">
        <v>0</v>
      </c>
      <c r="O5333" s="279">
        <v>0</v>
      </c>
    </row>
    <row r="5334" spans="1:15">
      <c r="A5334" s="263" t="s">
        <v>66</v>
      </c>
      <c r="B5334" s="264" t="s">
        <v>5</v>
      </c>
      <c r="C5334" s="12">
        <v>0.0264900662251656</v>
      </c>
      <c r="D5334" s="265">
        <v>0</v>
      </c>
      <c r="E5334" s="265">
        <v>0</v>
      </c>
      <c r="F5334" s="265">
        <v>0</v>
      </c>
      <c r="G5334" s="265">
        <v>0.0909090909090909</v>
      </c>
      <c r="H5334" s="265">
        <v>0.153846153846154</v>
      </c>
      <c r="I5334" s="265">
        <v>0</v>
      </c>
      <c r="J5334" s="265">
        <v>0</v>
      </c>
      <c r="K5334" s="265">
        <v>0</v>
      </c>
      <c r="L5334" s="265">
        <v>0</v>
      </c>
      <c r="M5334" s="265">
        <v>0.0666666666666667</v>
      </c>
      <c r="N5334" s="265">
        <v>0</v>
      </c>
      <c r="O5334" s="277">
        <v>0</v>
      </c>
    </row>
    <row r="5335" spans="1:15">
      <c r="A5335" s="266" t="s">
        <v>66</v>
      </c>
      <c r="B5335" s="267" t="s">
        <v>6</v>
      </c>
      <c r="C5335" s="15">
        <v>3</v>
      </c>
      <c r="D5335" s="269">
        <v>0</v>
      </c>
      <c r="E5335" s="269">
        <v>0</v>
      </c>
      <c r="F5335" s="269">
        <v>0</v>
      </c>
      <c r="G5335" s="269">
        <v>1</v>
      </c>
      <c r="H5335" s="269">
        <v>1</v>
      </c>
      <c r="I5335" s="269">
        <v>0</v>
      </c>
      <c r="J5335" s="269">
        <v>0</v>
      </c>
      <c r="K5335" s="269">
        <v>1</v>
      </c>
      <c r="L5335" s="269">
        <v>0</v>
      </c>
      <c r="M5335" s="269">
        <v>0</v>
      </c>
      <c r="N5335" s="269">
        <v>0</v>
      </c>
      <c r="O5335" s="279">
        <v>0</v>
      </c>
    </row>
    <row r="5336" ht="14.25" spans="1:15">
      <c r="A5336" s="270" t="s">
        <v>66</v>
      </c>
      <c r="B5336" s="271" t="s">
        <v>64</v>
      </c>
      <c r="C5336" s="19">
        <v>0.75</v>
      </c>
      <c r="D5336" s="272">
        <v>0</v>
      </c>
      <c r="E5336" s="272">
        <v>0</v>
      </c>
      <c r="F5336" s="272">
        <v>0</v>
      </c>
      <c r="G5336" s="272">
        <v>1</v>
      </c>
      <c r="H5336" s="272">
        <v>0.5</v>
      </c>
      <c r="I5336" s="272">
        <v>0</v>
      </c>
      <c r="J5336" s="272">
        <v>0</v>
      </c>
      <c r="K5336" s="272">
        <v>0</v>
      </c>
      <c r="L5336" s="272">
        <v>0</v>
      </c>
      <c r="M5336" s="272">
        <v>0</v>
      </c>
      <c r="N5336" s="272">
        <v>0</v>
      </c>
      <c r="O5336" s="280">
        <v>0</v>
      </c>
    </row>
    <row r="5337" spans="1:15">
      <c r="A5337" s="263" t="s">
        <v>67</v>
      </c>
      <c r="B5337" s="264" t="s">
        <v>55</v>
      </c>
      <c r="C5337" s="12">
        <v>0.515355086372361</v>
      </c>
      <c r="D5337" s="265">
        <v>0.532894736842105</v>
      </c>
      <c r="E5337" s="265">
        <v>0.550724637681159</v>
      </c>
      <c r="F5337" s="265">
        <v>0.309090909090909</v>
      </c>
      <c r="G5337" s="265">
        <v>0.5</v>
      </c>
      <c r="H5337" s="265">
        <v>0.545454545454545</v>
      </c>
      <c r="I5337" s="265">
        <v>0.507246376811594</v>
      </c>
      <c r="J5337" s="265">
        <v>0.617977528089888</v>
      </c>
      <c r="K5337" s="265">
        <v>0.440677966101695</v>
      </c>
      <c r="L5337" s="265">
        <v>0.517241379310345</v>
      </c>
      <c r="M5337" s="265">
        <v>0.573170731707317</v>
      </c>
      <c r="N5337" s="265">
        <v>0.522727272727273</v>
      </c>
      <c r="O5337" s="277">
        <v>0.508196721311475</v>
      </c>
    </row>
    <row r="5338" spans="1:15">
      <c r="A5338" s="266" t="s">
        <v>67</v>
      </c>
      <c r="B5338" s="267" t="s">
        <v>57</v>
      </c>
      <c r="C5338" s="15">
        <v>1042</v>
      </c>
      <c r="D5338" s="268">
        <v>152</v>
      </c>
      <c r="E5338" s="268">
        <v>69</v>
      </c>
      <c r="F5338" s="268">
        <v>55</v>
      </c>
      <c r="G5338" s="268">
        <v>34</v>
      </c>
      <c r="H5338" s="268">
        <v>77</v>
      </c>
      <c r="I5338" s="268">
        <v>69</v>
      </c>
      <c r="J5338" s="268">
        <v>89</v>
      </c>
      <c r="K5338" s="268">
        <v>118</v>
      </c>
      <c r="L5338" s="268">
        <v>87</v>
      </c>
      <c r="M5338" s="268">
        <v>82</v>
      </c>
      <c r="N5338" s="268">
        <v>88</v>
      </c>
      <c r="O5338" s="278">
        <v>122</v>
      </c>
    </row>
    <row r="5339" spans="1:15">
      <c r="A5339" s="263" t="s">
        <v>67</v>
      </c>
      <c r="B5339" s="264" t="s">
        <v>59</v>
      </c>
      <c r="C5339" s="15">
        <v>537</v>
      </c>
      <c r="D5339" s="268">
        <v>81</v>
      </c>
      <c r="E5339" s="268">
        <v>38</v>
      </c>
      <c r="F5339" s="268">
        <v>17</v>
      </c>
      <c r="G5339" s="268">
        <v>17</v>
      </c>
      <c r="H5339" s="268">
        <v>42</v>
      </c>
      <c r="I5339" s="268">
        <v>35</v>
      </c>
      <c r="J5339" s="268">
        <v>55</v>
      </c>
      <c r="K5339" s="268">
        <v>52</v>
      </c>
      <c r="L5339" s="268">
        <v>45</v>
      </c>
      <c r="M5339" s="268">
        <v>47</v>
      </c>
      <c r="N5339" s="268">
        <v>46</v>
      </c>
      <c r="O5339" s="278">
        <v>62</v>
      </c>
    </row>
    <row r="5340" spans="1:15">
      <c r="A5340" s="266" t="s">
        <v>67</v>
      </c>
      <c r="B5340" s="267" t="s">
        <v>4</v>
      </c>
      <c r="C5340" s="15">
        <v>15</v>
      </c>
      <c r="D5340" s="269">
        <v>2</v>
      </c>
      <c r="E5340" s="269">
        <v>1</v>
      </c>
      <c r="F5340" s="269">
        <v>0</v>
      </c>
      <c r="G5340" s="269">
        <v>0</v>
      </c>
      <c r="H5340" s="269">
        <v>1</v>
      </c>
      <c r="I5340" s="269">
        <v>1</v>
      </c>
      <c r="J5340" s="269">
        <v>5</v>
      </c>
      <c r="K5340" s="269">
        <v>3</v>
      </c>
      <c r="L5340" s="269">
        <v>0</v>
      </c>
      <c r="M5340" s="269">
        <v>0</v>
      </c>
      <c r="N5340" s="269">
        <v>0</v>
      </c>
      <c r="O5340" s="279">
        <v>2</v>
      </c>
    </row>
    <row r="5341" spans="1:15">
      <c r="A5341" s="263" t="s">
        <v>67</v>
      </c>
      <c r="B5341" s="264" t="s">
        <v>5</v>
      </c>
      <c r="C5341" s="12">
        <v>0.0279329608938547</v>
      </c>
      <c r="D5341" s="265">
        <v>0.0246913580246914</v>
      </c>
      <c r="E5341" s="265">
        <v>0.0263157894736842</v>
      </c>
      <c r="F5341" s="265">
        <v>0</v>
      </c>
      <c r="G5341" s="265">
        <v>0</v>
      </c>
      <c r="H5341" s="265">
        <v>0.0238095238095238</v>
      </c>
      <c r="I5341" s="265">
        <v>0.0285714285714286</v>
      </c>
      <c r="J5341" s="265">
        <v>0.0909090909090909</v>
      </c>
      <c r="K5341" s="265">
        <v>0.0576923076923077</v>
      </c>
      <c r="L5341" s="265">
        <v>0</v>
      </c>
      <c r="M5341" s="265">
        <v>0</v>
      </c>
      <c r="N5341" s="265">
        <v>0</v>
      </c>
      <c r="O5341" s="277">
        <v>0.032258064516129</v>
      </c>
    </row>
    <row r="5342" spans="1:15">
      <c r="A5342" s="266" t="s">
        <v>67</v>
      </c>
      <c r="B5342" s="267" t="s">
        <v>6</v>
      </c>
      <c r="C5342" s="15">
        <v>8</v>
      </c>
      <c r="D5342" s="269">
        <v>1</v>
      </c>
      <c r="E5342" s="269">
        <v>0</v>
      </c>
      <c r="F5342" s="269">
        <v>0</v>
      </c>
      <c r="G5342" s="269">
        <v>0</v>
      </c>
      <c r="H5342" s="269">
        <v>1</v>
      </c>
      <c r="I5342" s="269">
        <v>0</v>
      </c>
      <c r="J5342" s="269">
        <v>0</v>
      </c>
      <c r="K5342" s="269">
        <v>1</v>
      </c>
      <c r="L5342" s="269">
        <v>1</v>
      </c>
      <c r="M5342" s="269">
        <v>2</v>
      </c>
      <c r="N5342" s="269">
        <v>1</v>
      </c>
      <c r="O5342" s="279">
        <v>1</v>
      </c>
    </row>
    <row r="5343" ht="14.25" spans="1:15">
      <c r="A5343" s="270" t="s">
        <v>67</v>
      </c>
      <c r="B5343" s="271" t="s">
        <v>64</v>
      </c>
      <c r="C5343" s="19">
        <v>0.533333333333333</v>
      </c>
      <c r="D5343" s="272">
        <v>0.5</v>
      </c>
      <c r="E5343" s="272">
        <v>0</v>
      </c>
      <c r="F5343" s="272">
        <v>0</v>
      </c>
      <c r="G5343" s="272">
        <v>0</v>
      </c>
      <c r="H5343" s="272">
        <v>1</v>
      </c>
      <c r="I5343" s="272">
        <v>0</v>
      </c>
      <c r="J5343" s="272">
        <v>0</v>
      </c>
      <c r="K5343" s="272">
        <v>0.333333333333333</v>
      </c>
      <c r="L5343" s="272">
        <v>0</v>
      </c>
      <c r="M5343" s="272">
        <v>0</v>
      </c>
      <c r="N5343" s="272">
        <v>0</v>
      </c>
      <c r="O5343" s="280">
        <v>0.5</v>
      </c>
    </row>
    <row r="5344" spans="1:15">
      <c r="A5344" s="263" t="s">
        <v>68</v>
      </c>
      <c r="B5344" s="264" t="s">
        <v>55</v>
      </c>
      <c r="C5344" s="12">
        <v>0.213352340223331</v>
      </c>
      <c r="D5344" s="265">
        <v>0.219839142091153</v>
      </c>
      <c r="E5344" s="265">
        <v>0.181818181818182</v>
      </c>
      <c r="F5344" s="265">
        <v>0.328671328671329</v>
      </c>
      <c r="G5344" s="265">
        <v>0.267123287671233</v>
      </c>
      <c r="H5344" s="265">
        <v>0.211038961038961</v>
      </c>
      <c r="I5344" s="265">
        <v>0.225274725274725</v>
      </c>
      <c r="J5344" s="265">
        <v>0.254498714652956</v>
      </c>
      <c r="K5344" s="265">
        <v>0.162878787878788</v>
      </c>
      <c r="L5344" s="265">
        <v>0.222943722943723</v>
      </c>
      <c r="M5344" s="265">
        <v>0.215025906735751</v>
      </c>
      <c r="N5344" s="265">
        <v>0.224537037037037</v>
      </c>
      <c r="O5344" s="277">
        <v>0.164583333333333</v>
      </c>
    </row>
    <row r="5345" spans="1:15">
      <c r="A5345" s="266" t="s">
        <v>68</v>
      </c>
      <c r="B5345" s="267" t="s">
        <v>57</v>
      </c>
      <c r="C5345" s="15">
        <v>4209</v>
      </c>
      <c r="D5345" s="268">
        <v>373</v>
      </c>
      <c r="E5345" s="268">
        <v>198</v>
      </c>
      <c r="F5345" s="268">
        <v>143</v>
      </c>
      <c r="G5345" s="268">
        <v>146</v>
      </c>
      <c r="H5345" s="268">
        <v>308</v>
      </c>
      <c r="I5345" s="268">
        <v>364</v>
      </c>
      <c r="J5345" s="268">
        <v>389</v>
      </c>
      <c r="K5345" s="268">
        <v>528</v>
      </c>
      <c r="L5345" s="268">
        <v>462</v>
      </c>
      <c r="M5345" s="268">
        <v>386</v>
      </c>
      <c r="N5345" s="268">
        <v>432</v>
      </c>
      <c r="O5345" s="278">
        <v>480</v>
      </c>
    </row>
    <row r="5346" spans="1:15">
      <c r="A5346" s="263" t="s">
        <v>68</v>
      </c>
      <c r="B5346" s="264" t="s">
        <v>59</v>
      </c>
      <c r="C5346" s="15">
        <v>898</v>
      </c>
      <c r="D5346" s="268">
        <v>82</v>
      </c>
      <c r="E5346" s="268">
        <v>36</v>
      </c>
      <c r="F5346" s="268">
        <v>47</v>
      </c>
      <c r="G5346" s="268">
        <v>39</v>
      </c>
      <c r="H5346" s="268">
        <v>65</v>
      </c>
      <c r="I5346" s="268">
        <v>82</v>
      </c>
      <c r="J5346" s="268">
        <v>99</v>
      </c>
      <c r="K5346" s="268">
        <v>86</v>
      </c>
      <c r="L5346" s="268">
        <v>103</v>
      </c>
      <c r="M5346" s="268">
        <v>83</v>
      </c>
      <c r="N5346" s="268">
        <v>97</v>
      </c>
      <c r="O5346" s="278">
        <v>79</v>
      </c>
    </row>
    <row r="5347" spans="1:15">
      <c r="A5347" s="266" t="s">
        <v>68</v>
      </c>
      <c r="B5347" s="267" t="s">
        <v>4</v>
      </c>
      <c r="C5347" s="15">
        <v>60</v>
      </c>
      <c r="D5347" s="269">
        <v>3</v>
      </c>
      <c r="E5347" s="269">
        <v>5</v>
      </c>
      <c r="F5347" s="269">
        <v>2</v>
      </c>
      <c r="G5347" s="269">
        <v>2</v>
      </c>
      <c r="H5347" s="269">
        <v>2</v>
      </c>
      <c r="I5347" s="269">
        <v>6</v>
      </c>
      <c r="J5347" s="269">
        <v>4</v>
      </c>
      <c r="K5347" s="269">
        <v>5</v>
      </c>
      <c r="L5347" s="269">
        <v>7</v>
      </c>
      <c r="M5347" s="269">
        <v>6</v>
      </c>
      <c r="N5347" s="269">
        <v>9</v>
      </c>
      <c r="O5347" s="279">
        <v>9</v>
      </c>
    </row>
    <row r="5348" spans="1:15">
      <c r="A5348" s="263" t="s">
        <v>68</v>
      </c>
      <c r="B5348" s="264" t="s">
        <v>5</v>
      </c>
      <c r="C5348" s="12">
        <v>0.066815144766147</v>
      </c>
      <c r="D5348" s="265">
        <v>0.0365853658536585</v>
      </c>
      <c r="E5348" s="265">
        <v>0.138888888888889</v>
      </c>
      <c r="F5348" s="265">
        <v>0.0425531914893617</v>
      </c>
      <c r="G5348" s="265">
        <v>0.0512820512820513</v>
      </c>
      <c r="H5348" s="265">
        <v>0.0307692307692308</v>
      </c>
      <c r="I5348" s="265">
        <v>0.0731707317073171</v>
      </c>
      <c r="J5348" s="265">
        <v>0.0404040404040404</v>
      </c>
      <c r="K5348" s="265">
        <v>0.0581395348837209</v>
      </c>
      <c r="L5348" s="265">
        <v>0.0679611650485437</v>
      </c>
      <c r="M5348" s="265">
        <v>0.072289156626506</v>
      </c>
      <c r="N5348" s="265">
        <v>0.0927835051546392</v>
      </c>
      <c r="O5348" s="277">
        <v>0.113924050632911</v>
      </c>
    </row>
    <row r="5349" spans="1:15">
      <c r="A5349" s="266" t="s">
        <v>68</v>
      </c>
      <c r="B5349" s="267" t="s">
        <v>6</v>
      </c>
      <c r="C5349" s="15">
        <v>22</v>
      </c>
      <c r="D5349" s="269">
        <v>1</v>
      </c>
      <c r="E5349" s="269">
        <v>1</v>
      </c>
      <c r="F5349" s="269">
        <v>0</v>
      </c>
      <c r="G5349" s="269">
        <v>0</v>
      </c>
      <c r="H5349" s="269">
        <v>1</v>
      </c>
      <c r="I5349" s="269">
        <v>1</v>
      </c>
      <c r="J5349" s="269">
        <v>1</v>
      </c>
      <c r="K5349" s="269">
        <v>3</v>
      </c>
      <c r="L5349" s="269">
        <v>5</v>
      </c>
      <c r="M5349" s="269">
        <v>1</v>
      </c>
      <c r="N5349" s="269">
        <v>2</v>
      </c>
      <c r="O5349" s="279">
        <v>6</v>
      </c>
    </row>
    <row r="5350" ht="14.25" spans="1:15">
      <c r="A5350" s="270" t="s">
        <v>68</v>
      </c>
      <c r="B5350" s="271" t="s">
        <v>64</v>
      </c>
      <c r="C5350" s="19">
        <v>0.366666666666667</v>
      </c>
      <c r="D5350" s="272">
        <v>0.333333333333333</v>
      </c>
      <c r="E5350" s="272">
        <v>0.2</v>
      </c>
      <c r="F5350" s="272">
        <v>0</v>
      </c>
      <c r="G5350" s="272">
        <v>0</v>
      </c>
      <c r="H5350" s="272">
        <v>0.5</v>
      </c>
      <c r="I5350" s="272">
        <v>0.166666666666667</v>
      </c>
      <c r="J5350" s="272">
        <v>0.25</v>
      </c>
      <c r="K5350" s="272">
        <v>0.6</v>
      </c>
      <c r="L5350" s="272">
        <v>0.714285714285714</v>
      </c>
      <c r="M5350" s="272">
        <v>0.166666666666667</v>
      </c>
      <c r="N5350" s="272">
        <v>0.222222222222222</v>
      </c>
      <c r="O5350" s="280">
        <v>0.666666666666667</v>
      </c>
    </row>
    <row r="5351" spans="1:15">
      <c r="A5351" s="263" t="s">
        <v>69</v>
      </c>
      <c r="B5351" s="264" t="s">
        <v>55</v>
      </c>
      <c r="C5351" s="12">
        <v>1.22295081967213</v>
      </c>
      <c r="D5351" s="265">
        <v>1.2</v>
      </c>
      <c r="E5351" s="265">
        <v>2.5</v>
      </c>
      <c r="F5351" s="265">
        <v>2</v>
      </c>
      <c r="G5351" s="265">
        <v>1.70588235294118</v>
      </c>
      <c r="H5351" s="265">
        <v>1.31034482758621</v>
      </c>
      <c r="I5351" s="265">
        <v>1.08571428571429</v>
      </c>
      <c r="J5351" s="265">
        <v>1.4</v>
      </c>
      <c r="K5351" s="265">
        <v>1.08108108108108</v>
      </c>
      <c r="L5351" s="265">
        <v>1</v>
      </c>
      <c r="M5351" s="265">
        <v>1.06451612903226</v>
      </c>
      <c r="N5351" s="265">
        <v>1.02083333333333</v>
      </c>
      <c r="O5351" s="277">
        <v>1.35483870967742</v>
      </c>
    </row>
    <row r="5352" spans="1:15">
      <c r="A5352" s="266" t="s">
        <v>69</v>
      </c>
      <c r="B5352" s="267" t="s">
        <v>57</v>
      </c>
      <c r="C5352" s="15">
        <v>305</v>
      </c>
      <c r="D5352" s="268">
        <v>25</v>
      </c>
      <c r="E5352" s="268">
        <v>6</v>
      </c>
      <c r="F5352" s="268">
        <v>5</v>
      </c>
      <c r="G5352" s="268">
        <v>17</v>
      </c>
      <c r="H5352" s="268">
        <v>29</v>
      </c>
      <c r="I5352" s="268">
        <v>35</v>
      </c>
      <c r="J5352" s="268">
        <v>20</v>
      </c>
      <c r="K5352" s="268">
        <v>37</v>
      </c>
      <c r="L5352" s="268">
        <v>21</v>
      </c>
      <c r="M5352" s="268">
        <v>31</v>
      </c>
      <c r="N5352" s="268">
        <v>48</v>
      </c>
      <c r="O5352" s="278">
        <v>31</v>
      </c>
    </row>
    <row r="5353" spans="1:15">
      <c r="A5353" s="263" t="s">
        <v>69</v>
      </c>
      <c r="B5353" s="264" t="s">
        <v>59</v>
      </c>
      <c r="C5353" s="15">
        <v>373</v>
      </c>
      <c r="D5353" s="268">
        <v>30</v>
      </c>
      <c r="E5353" s="268">
        <v>15</v>
      </c>
      <c r="F5353" s="268">
        <v>10</v>
      </c>
      <c r="G5353" s="268">
        <v>29</v>
      </c>
      <c r="H5353" s="268">
        <v>38</v>
      </c>
      <c r="I5353" s="268">
        <v>38</v>
      </c>
      <c r="J5353" s="268">
        <v>28</v>
      </c>
      <c r="K5353" s="268">
        <v>40</v>
      </c>
      <c r="L5353" s="268">
        <v>21</v>
      </c>
      <c r="M5353" s="268">
        <v>33</v>
      </c>
      <c r="N5353" s="268">
        <v>49</v>
      </c>
      <c r="O5353" s="278">
        <v>42</v>
      </c>
    </row>
    <row r="5354" spans="1:15">
      <c r="A5354" s="266" t="s">
        <v>69</v>
      </c>
      <c r="B5354" s="267" t="s">
        <v>4</v>
      </c>
      <c r="C5354" s="15">
        <v>5</v>
      </c>
      <c r="D5354" s="269">
        <v>0</v>
      </c>
      <c r="E5354" s="269">
        <v>0</v>
      </c>
      <c r="F5354" s="269">
        <v>0</v>
      </c>
      <c r="G5354" s="269">
        <v>1</v>
      </c>
      <c r="H5354" s="269">
        <v>0</v>
      </c>
      <c r="I5354" s="269">
        <v>0</v>
      </c>
      <c r="J5354" s="269">
        <v>0</v>
      </c>
      <c r="K5354" s="269">
        <v>1</v>
      </c>
      <c r="L5354" s="269">
        <v>0</v>
      </c>
      <c r="M5354" s="269">
        <v>2</v>
      </c>
      <c r="N5354" s="269">
        <v>0</v>
      </c>
      <c r="O5354" s="279">
        <v>1</v>
      </c>
    </row>
    <row r="5355" spans="1:15">
      <c r="A5355" s="263" t="s">
        <v>69</v>
      </c>
      <c r="B5355" s="264" t="s">
        <v>5</v>
      </c>
      <c r="C5355" s="12">
        <v>0.0134048257372654</v>
      </c>
      <c r="D5355" s="265">
        <v>0</v>
      </c>
      <c r="E5355" s="265">
        <v>0</v>
      </c>
      <c r="F5355" s="265">
        <v>0</v>
      </c>
      <c r="G5355" s="265">
        <v>0.0344827586206897</v>
      </c>
      <c r="H5355" s="265">
        <v>0</v>
      </c>
      <c r="I5355" s="265">
        <v>0</v>
      </c>
      <c r="J5355" s="265">
        <v>0</v>
      </c>
      <c r="K5355" s="265">
        <v>0.025</v>
      </c>
      <c r="L5355" s="265">
        <v>0</v>
      </c>
      <c r="M5355" s="265">
        <v>0.0606060606060606</v>
      </c>
      <c r="N5355" s="265">
        <v>0</v>
      </c>
      <c r="O5355" s="277">
        <v>0.0238095238095238</v>
      </c>
    </row>
    <row r="5356" spans="1:15">
      <c r="A5356" s="266" t="s">
        <v>69</v>
      </c>
      <c r="B5356" s="267" t="s">
        <v>6</v>
      </c>
      <c r="C5356" s="15">
        <v>2</v>
      </c>
      <c r="D5356" s="269">
        <v>1</v>
      </c>
      <c r="E5356" s="269">
        <v>0</v>
      </c>
      <c r="F5356" s="269">
        <v>0</v>
      </c>
      <c r="G5356" s="269">
        <v>0</v>
      </c>
      <c r="H5356" s="269">
        <v>0</v>
      </c>
      <c r="I5356" s="269">
        <v>0</v>
      </c>
      <c r="J5356" s="269">
        <v>0</v>
      </c>
      <c r="K5356" s="269">
        <v>0</v>
      </c>
      <c r="L5356" s="269">
        <v>1</v>
      </c>
      <c r="M5356" s="269">
        <v>0</v>
      </c>
      <c r="N5356" s="269">
        <v>0</v>
      </c>
      <c r="O5356" s="279">
        <v>0</v>
      </c>
    </row>
    <row r="5357" ht="14.25" spans="1:15">
      <c r="A5357" s="270" t="s">
        <v>69</v>
      </c>
      <c r="B5357" s="271" t="s">
        <v>64</v>
      </c>
      <c r="C5357" s="19">
        <v>0.4</v>
      </c>
      <c r="D5357" s="272">
        <v>0</v>
      </c>
      <c r="E5357" s="272">
        <v>0</v>
      </c>
      <c r="F5357" s="272">
        <v>0</v>
      </c>
      <c r="G5357" s="272">
        <v>0</v>
      </c>
      <c r="H5357" s="272">
        <v>0</v>
      </c>
      <c r="I5357" s="272">
        <v>0</v>
      </c>
      <c r="J5357" s="272">
        <v>0</v>
      </c>
      <c r="K5357" s="272">
        <v>0</v>
      </c>
      <c r="L5357" s="272">
        <v>0</v>
      </c>
      <c r="M5357" s="272">
        <v>0</v>
      </c>
      <c r="N5357" s="272">
        <v>0</v>
      </c>
      <c r="O5357" s="280">
        <v>0</v>
      </c>
    </row>
    <row r="5358" spans="1:15">
      <c r="A5358" s="263" t="s">
        <v>70</v>
      </c>
      <c r="B5358" s="264" t="s">
        <v>55</v>
      </c>
      <c r="C5358" s="12">
        <v>0.452841973766396</v>
      </c>
      <c r="D5358" s="265">
        <v>0.458064516129032</v>
      </c>
      <c r="E5358" s="265">
        <v>0.493827160493827</v>
      </c>
      <c r="F5358" s="265">
        <v>0.767123287671233</v>
      </c>
      <c r="G5358" s="265">
        <v>0.716049382716049</v>
      </c>
      <c r="H5358" s="265">
        <v>0.393162393162393</v>
      </c>
      <c r="I5358" s="265">
        <v>0.584507042253521</v>
      </c>
      <c r="J5358" s="265">
        <v>0.537414965986395</v>
      </c>
      <c r="K5358" s="265">
        <v>0.461538461538462</v>
      </c>
      <c r="L5358" s="265">
        <v>0.41566265060241</v>
      </c>
      <c r="M5358" s="265">
        <v>0.391608391608392</v>
      </c>
      <c r="N5358" s="265">
        <v>0.251572327044025</v>
      </c>
      <c r="O5358" s="277">
        <v>0.291666666666667</v>
      </c>
    </row>
    <row r="5359" spans="1:15">
      <c r="A5359" s="266" t="s">
        <v>70</v>
      </c>
      <c r="B5359" s="267" t="s">
        <v>57</v>
      </c>
      <c r="C5359" s="15">
        <v>1601</v>
      </c>
      <c r="D5359" s="268">
        <v>155</v>
      </c>
      <c r="E5359" s="268">
        <v>81</v>
      </c>
      <c r="F5359" s="268">
        <v>73</v>
      </c>
      <c r="G5359" s="268">
        <v>81</v>
      </c>
      <c r="H5359" s="268">
        <v>117</v>
      </c>
      <c r="I5359" s="268">
        <v>142</v>
      </c>
      <c r="J5359" s="268">
        <v>147</v>
      </c>
      <c r="K5359" s="268">
        <v>169</v>
      </c>
      <c r="L5359" s="268">
        <v>166</v>
      </c>
      <c r="M5359" s="268">
        <v>143</v>
      </c>
      <c r="N5359" s="268">
        <v>159</v>
      </c>
      <c r="O5359" s="278">
        <v>168</v>
      </c>
    </row>
    <row r="5360" spans="1:15">
      <c r="A5360" s="263" t="s">
        <v>70</v>
      </c>
      <c r="B5360" s="264" t="s">
        <v>59</v>
      </c>
      <c r="C5360" s="15">
        <v>725</v>
      </c>
      <c r="D5360" s="268">
        <v>71</v>
      </c>
      <c r="E5360" s="268">
        <v>40</v>
      </c>
      <c r="F5360" s="268">
        <v>56</v>
      </c>
      <c r="G5360" s="268">
        <v>58</v>
      </c>
      <c r="H5360" s="268">
        <v>46</v>
      </c>
      <c r="I5360" s="268">
        <v>83</v>
      </c>
      <c r="J5360" s="268">
        <v>79</v>
      </c>
      <c r="K5360" s="268">
        <v>78</v>
      </c>
      <c r="L5360" s="268">
        <v>69</v>
      </c>
      <c r="M5360" s="268">
        <v>56</v>
      </c>
      <c r="N5360" s="268">
        <v>40</v>
      </c>
      <c r="O5360" s="278">
        <v>49</v>
      </c>
    </row>
    <row r="5361" spans="1:15">
      <c r="A5361" s="266" t="s">
        <v>70</v>
      </c>
      <c r="B5361" s="267" t="s">
        <v>4</v>
      </c>
      <c r="C5361" s="15">
        <v>47</v>
      </c>
      <c r="D5361" s="269">
        <v>2</v>
      </c>
      <c r="E5361" s="269">
        <v>5</v>
      </c>
      <c r="F5361" s="269">
        <v>2</v>
      </c>
      <c r="G5361" s="269">
        <v>2</v>
      </c>
      <c r="H5361" s="269">
        <v>4</v>
      </c>
      <c r="I5361" s="269">
        <v>3</v>
      </c>
      <c r="J5361" s="269">
        <v>8</v>
      </c>
      <c r="K5361" s="269">
        <v>5</v>
      </c>
      <c r="L5361" s="269">
        <v>5</v>
      </c>
      <c r="M5361" s="269">
        <v>1</v>
      </c>
      <c r="N5361" s="269">
        <v>3</v>
      </c>
      <c r="O5361" s="279">
        <v>7</v>
      </c>
    </row>
    <row r="5362" spans="1:15">
      <c r="A5362" s="263" t="s">
        <v>70</v>
      </c>
      <c r="B5362" s="264" t="s">
        <v>5</v>
      </c>
      <c r="C5362" s="12">
        <v>0.0648275862068965</v>
      </c>
      <c r="D5362" s="265">
        <v>0.028169014084507</v>
      </c>
      <c r="E5362" s="265">
        <v>0.125</v>
      </c>
      <c r="F5362" s="265">
        <v>0.0357142857142857</v>
      </c>
      <c r="G5362" s="265">
        <v>0.0344827586206897</v>
      </c>
      <c r="H5362" s="265">
        <v>0.0869565217391304</v>
      </c>
      <c r="I5362" s="265">
        <v>0.036144578313253</v>
      </c>
      <c r="J5362" s="265">
        <v>0.10126582278481</v>
      </c>
      <c r="K5362" s="265">
        <v>0.0641025641025641</v>
      </c>
      <c r="L5362" s="265">
        <v>0.072463768115942</v>
      </c>
      <c r="M5362" s="265">
        <v>0.0178571428571429</v>
      </c>
      <c r="N5362" s="265">
        <v>0.075</v>
      </c>
      <c r="O5362" s="277">
        <v>0.142857142857143</v>
      </c>
    </row>
    <row r="5363" spans="1:15">
      <c r="A5363" s="266" t="s">
        <v>70</v>
      </c>
      <c r="B5363" s="267" t="s">
        <v>6</v>
      </c>
      <c r="C5363" s="15">
        <v>18</v>
      </c>
      <c r="D5363" s="269">
        <v>0</v>
      </c>
      <c r="E5363" s="269">
        <v>1</v>
      </c>
      <c r="F5363" s="269">
        <v>1</v>
      </c>
      <c r="G5363" s="269">
        <v>0</v>
      </c>
      <c r="H5363" s="269">
        <v>1</v>
      </c>
      <c r="I5363" s="269">
        <v>0</v>
      </c>
      <c r="J5363" s="269">
        <v>4</v>
      </c>
      <c r="K5363" s="269">
        <v>4</v>
      </c>
      <c r="L5363" s="269">
        <v>3</v>
      </c>
      <c r="M5363" s="269">
        <v>1</v>
      </c>
      <c r="N5363" s="269">
        <v>0</v>
      </c>
      <c r="O5363" s="279">
        <v>3</v>
      </c>
    </row>
    <row r="5364" ht="14.25" spans="1:15">
      <c r="A5364" s="270" t="s">
        <v>70</v>
      </c>
      <c r="B5364" s="271" t="s">
        <v>64</v>
      </c>
      <c r="C5364" s="19">
        <v>0.382978723404255</v>
      </c>
      <c r="D5364" s="272">
        <v>0</v>
      </c>
      <c r="E5364" s="272">
        <v>0.2</v>
      </c>
      <c r="F5364" s="272">
        <v>0.5</v>
      </c>
      <c r="G5364" s="272">
        <v>0</v>
      </c>
      <c r="H5364" s="272">
        <v>0.25</v>
      </c>
      <c r="I5364" s="272">
        <v>0</v>
      </c>
      <c r="J5364" s="272">
        <v>0.5</v>
      </c>
      <c r="K5364" s="272">
        <v>0.8</v>
      </c>
      <c r="L5364" s="272">
        <v>0.6</v>
      </c>
      <c r="M5364" s="272">
        <v>1</v>
      </c>
      <c r="N5364" s="272">
        <v>0</v>
      </c>
      <c r="O5364" s="280">
        <v>0.428571428571429</v>
      </c>
    </row>
    <row r="5365" spans="1:15">
      <c r="A5365" s="263" t="s">
        <v>26</v>
      </c>
      <c r="B5365" s="264" t="s">
        <v>55</v>
      </c>
      <c r="C5365" s="12">
        <v>236.75</v>
      </c>
      <c r="D5365" s="265" t="e">
        <v>#DIV/0!</v>
      </c>
      <c r="E5365" s="265" t="e">
        <v>#DIV/0!</v>
      </c>
      <c r="F5365" s="265" t="e">
        <v>#DIV/0!</v>
      </c>
      <c r="G5365" s="265">
        <v>25</v>
      </c>
      <c r="H5365" s="265" t="e">
        <v>#DIV/0!</v>
      </c>
      <c r="I5365" s="265">
        <v>43.5</v>
      </c>
      <c r="J5365" s="265" t="e">
        <v>#DIV/0!</v>
      </c>
      <c r="K5365" s="265" t="e">
        <v>#DIV/0!</v>
      </c>
      <c r="L5365" s="265" t="e">
        <v>#DIV/0!</v>
      </c>
      <c r="M5365" s="265">
        <v>122</v>
      </c>
      <c r="N5365" s="265" t="e">
        <v>#DIV/0!</v>
      </c>
      <c r="O5365" s="277" t="e">
        <v>#DIV/0!</v>
      </c>
    </row>
    <row r="5366" spans="1:15">
      <c r="A5366" s="266" t="s">
        <v>26</v>
      </c>
      <c r="B5366" s="267" t="s">
        <v>57</v>
      </c>
      <c r="C5366" s="15">
        <v>4</v>
      </c>
      <c r="D5366" s="268">
        <v>0</v>
      </c>
      <c r="E5366" s="268">
        <v>0</v>
      </c>
      <c r="F5366" s="268">
        <v>0</v>
      </c>
      <c r="G5366" s="268">
        <v>1</v>
      </c>
      <c r="H5366" s="268">
        <v>0</v>
      </c>
      <c r="I5366" s="268">
        <v>2</v>
      </c>
      <c r="J5366" s="268">
        <v>0</v>
      </c>
      <c r="K5366" s="268">
        <v>0</v>
      </c>
      <c r="L5366" s="268">
        <v>0</v>
      </c>
      <c r="M5366" s="268">
        <v>1</v>
      </c>
      <c r="N5366" s="268">
        <v>0</v>
      </c>
      <c r="O5366" s="278">
        <v>0</v>
      </c>
    </row>
    <row r="5367" spans="1:15">
      <c r="A5367" s="263" t="s">
        <v>26</v>
      </c>
      <c r="B5367" s="264" t="s">
        <v>59</v>
      </c>
      <c r="C5367" s="15">
        <v>947</v>
      </c>
      <c r="D5367" s="268">
        <v>59</v>
      </c>
      <c r="E5367" s="268">
        <v>16</v>
      </c>
      <c r="F5367" s="268">
        <v>14</v>
      </c>
      <c r="G5367" s="268">
        <v>25</v>
      </c>
      <c r="H5367" s="268">
        <v>55</v>
      </c>
      <c r="I5367" s="268">
        <v>87</v>
      </c>
      <c r="J5367" s="268">
        <v>97</v>
      </c>
      <c r="K5367" s="268">
        <v>104</v>
      </c>
      <c r="L5367" s="268">
        <v>152</v>
      </c>
      <c r="M5367" s="268">
        <v>122</v>
      </c>
      <c r="N5367" s="268">
        <v>120</v>
      </c>
      <c r="O5367" s="278">
        <v>96</v>
      </c>
    </row>
    <row r="5368" spans="1:15">
      <c r="A5368" s="266" t="s">
        <v>26</v>
      </c>
      <c r="B5368" s="267" t="s">
        <v>4</v>
      </c>
      <c r="C5368" s="15">
        <v>3</v>
      </c>
      <c r="D5368" s="269">
        <v>0</v>
      </c>
      <c r="E5368" s="269">
        <v>0</v>
      </c>
      <c r="F5368" s="269">
        <v>0</v>
      </c>
      <c r="G5368" s="269">
        <v>0</v>
      </c>
      <c r="H5368" s="269">
        <v>0</v>
      </c>
      <c r="I5368" s="269">
        <v>1</v>
      </c>
      <c r="J5368" s="269">
        <v>0</v>
      </c>
      <c r="K5368" s="269">
        <v>0</v>
      </c>
      <c r="L5368" s="269">
        <v>1</v>
      </c>
      <c r="M5368" s="269">
        <v>0</v>
      </c>
      <c r="N5368" s="269">
        <v>1</v>
      </c>
      <c r="O5368" s="279">
        <v>0</v>
      </c>
    </row>
    <row r="5369" spans="1:15">
      <c r="A5369" s="263" t="s">
        <v>26</v>
      </c>
      <c r="B5369" s="264" t="s">
        <v>5</v>
      </c>
      <c r="C5369" s="12">
        <v>0.00316789862724393</v>
      </c>
      <c r="D5369" s="265">
        <v>0</v>
      </c>
      <c r="E5369" s="265">
        <v>0</v>
      </c>
      <c r="F5369" s="265">
        <v>0</v>
      </c>
      <c r="G5369" s="265">
        <v>0</v>
      </c>
      <c r="H5369" s="265">
        <v>0</v>
      </c>
      <c r="I5369" s="265">
        <v>0.0114942528735632</v>
      </c>
      <c r="J5369" s="265">
        <v>0</v>
      </c>
      <c r="K5369" s="265">
        <v>0</v>
      </c>
      <c r="L5369" s="265">
        <v>0.00657894736842105</v>
      </c>
      <c r="M5369" s="265">
        <v>0</v>
      </c>
      <c r="N5369" s="265">
        <v>0.00833333333333333</v>
      </c>
      <c r="O5369" s="277">
        <v>0</v>
      </c>
    </row>
    <row r="5370" spans="1:15">
      <c r="A5370" s="266" t="s">
        <v>26</v>
      </c>
      <c r="B5370" s="267" t="s">
        <v>6</v>
      </c>
      <c r="C5370" s="15">
        <v>3</v>
      </c>
      <c r="D5370" s="269">
        <v>0</v>
      </c>
      <c r="E5370" s="269">
        <v>0</v>
      </c>
      <c r="F5370" s="269">
        <v>0</v>
      </c>
      <c r="G5370" s="269">
        <v>0</v>
      </c>
      <c r="H5370" s="269">
        <v>0</v>
      </c>
      <c r="I5370" s="269">
        <v>0</v>
      </c>
      <c r="J5370" s="269">
        <v>1</v>
      </c>
      <c r="K5370" s="269">
        <v>0</v>
      </c>
      <c r="L5370" s="269">
        <v>1</v>
      </c>
      <c r="M5370" s="269">
        <v>1</v>
      </c>
      <c r="N5370" s="269">
        <v>0</v>
      </c>
      <c r="O5370" s="279">
        <v>0</v>
      </c>
    </row>
    <row r="5371" ht="14.25" spans="1:15">
      <c r="A5371" s="270" t="s">
        <v>26</v>
      </c>
      <c r="B5371" s="271" t="s">
        <v>64</v>
      </c>
      <c r="C5371" s="19">
        <v>1</v>
      </c>
      <c r="D5371" s="19" t="e">
        <v>#DIV/0!</v>
      </c>
      <c r="E5371" s="19" t="e">
        <v>#DIV/0!</v>
      </c>
      <c r="F5371" s="19" t="e">
        <v>#DIV/0!</v>
      </c>
      <c r="G5371" s="19" t="e">
        <v>#DIV/0!</v>
      </c>
      <c r="H5371" s="19" t="e">
        <v>#DIV/0!</v>
      </c>
      <c r="I5371" s="19">
        <v>0</v>
      </c>
      <c r="J5371" s="19" t="e">
        <v>#DIV/0!</v>
      </c>
      <c r="K5371" s="19" t="e">
        <v>#DIV/0!</v>
      </c>
      <c r="L5371" s="19">
        <v>1</v>
      </c>
      <c r="M5371" s="19" t="e">
        <v>#DIV/0!</v>
      </c>
      <c r="N5371" s="19">
        <v>0</v>
      </c>
      <c r="O5371" s="19" t="e">
        <v>#DIV/0!</v>
      </c>
    </row>
    <row r="5372" spans="1:15">
      <c r="A5372" s="263" t="s">
        <v>71</v>
      </c>
      <c r="B5372" s="264" t="s">
        <v>55</v>
      </c>
      <c r="C5372" s="12">
        <v>1188</v>
      </c>
      <c r="D5372" s="265" t="e">
        <v>#DIV/0!</v>
      </c>
      <c r="E5372" s="265" t="e">
        <v>#DIV/0!</v>
      </c>
      <c r="F5372" s="265">
        <v>58</v>
      </c>
      <c r="G5372" s="265" t="e">
        <v>#DIV/0!</v>
      </c>
      <c r="H5372" s="265" t="e">
        <v>#DIV/0!</v>
      </c>
      <c r="I5372" s="265" t="e">
        <v>#DIV/0!</v>
      </c>
      <c r="J5372" s="265" t="e">
        <v>#DIV/0!</v>
      </c>
      <c r="K5372" s="265" t="e">
        <v>#DIV/0!</v>
      </c>
      <c r="L5372" s="265" t="e">
        <v>#DIV/0!</v>
      </c>
      <c r="M5372" s="265" t="e">
        <v>#DIV/0!</v>
      </c>
      <c r="N5372" s="265" t="e">
        <v>#DIV/0!</v>
      </c>
      <c r="O5372" s="277" t="e">
        <v>#DIV/0!</v>
      </c>
    </row>
    <row r="5373" spans="1:15">
      <c r="A5373" s="266" t="s">
        <v>71</v>
      </c>
      <c r="B5373" s="267" t="s">
        <v>57</v>
      </c>
      <c r="C5373" s="15">
        <v>1</v>
      </c>
      <c r="D5373" s="268">
        <v>0</v>
      </c>
      <c r="E5373" s="268">
        <v>0</v>
      </c>
      <c r="F5373" s="268">
        <v>1</v>
      </c>
      <c r="G5373" s="268">
        <v>0</v>
      </c>
      <c r="H5373" s="268">
        <v>0</v>
      </c>
      <c r="I5373" s="268">
        <v>0</v>
      </c>
      <c r="J5373" s="268">
        <v>0</v>
      </c>
      <c r="K5373" s="268">
        <v>0</v>
      </c>
      <c r="L5373" s="268">
        <v>0</v>
      </c>
      <c r="M5373" s="268">
        <v>0</v>
      </c>
      <c r="N5373" s="268">
        <v>0</v>
      </c>
      <c r="O5373" s="278">
        <v>0</v>
      </c>
    </row>
    <row r="5374" spans="1:15">
      <c r="A5374" s="263" t="s">
        <v>71</v>
      </c>
      <c r="B5374" s="264" t="s">
        <v>59</v>
      </c>
      <c r="C5374" s="15">
        <v>1188</v>
      </c>
      <c r="D5374" s="268">
        <v>112</v>
      </c>
      <c r="E5374" s="268">
        <v>70</v>
      </c>
      <c r="F5374" s="268">
        <v>58</v>
      </c>
      <c r="G5374" s="268">
        <v>56</v>
      </c>
      <c r="H5374" s="268">
        <v>85</v>
      </c>
      <c r="I5374" s="268">
        <v>97</v>
      </c>
      <c r="J5374" s="268">
        <v>98</v>
      </c>
      <c r="K5374" s="268">
        <v>135</v>
      </c>
      <c r="L5374" s="268">
        <v>118</v>
      </c>
      <c r="M5374" s="268">
        <v>93</v>
      </c>
      <c r="N5374" s="268">
        <v>138</v>
      </c>
      <c r="O5374" s="278">
        <v>128</v>
      </c>
    </row>
    <row r="5375" spans="1:15">
      <c r="A5375" s="266" t="s">
        <v>71</v>
      </c>
      <c r="B5375" s="267" t="s">
        <v>4</v>
      </c>
      <c r="C5375" s="15">
        <v>61</v>
      </c>
      <c r="D5375" s="269">
        <v>4</v>
      </c>
      <c r="E5375" s="269">
        <v>4</v>
      </c>
      <c r="F5375" s="269">
        <v>4</v>
      </c>
      <c r="G5375" s="269">
        <v>1</v>
      </c>
      <c r="H5375" s="269">
        <v>3</v>
      </c>
      <c r="I5375" s="269">
        <v>8</v>
      </c>
      <c r="J5375" s="269">
        <v>4</v>
      </c>
      <c r="K5375" s="269">
        <v>6</v>
      </c>
      <c r="L5375" s="269">
        <v>4</v>
      </c>
      <c r="M5375" s="269">
        <v>5</v>
      </c>
      <c r="N5375" s="269">
        <v>7</v>
      </c>
      <c r="O5375" s="279">
        <v>11</v>
      </c>
    </row>
    <row r="5376" spans="1:15">
      <c r="A5376" s="263" t="s">
        <v>71</v>
      </c>
      <c r="B5376" s="264" t="s">
        <v>5</v>
      </c>
      <c r="C5376" s="265">
        <v>0.0513468013468013</v>
      </c>
      <c r="D5376" s="265">
        <v>0.0357142857142857</v>
      </c>
      <c r="E5376" s="265">
        <v>0.0571428571428571</v>
      </c>
      <c r="F5376" s="265">
        <v>0.0689655172413793</v>
      </c>
      <c r="G5376" s="265">
        <v>0.0178571428571429</v>
      </c>
      <c r="H5376" s="265">
        <v>0.0352941176470588</v>
      </c>
      <c r="I5376" s="265">
        <v>0.0824742268041237</v>
      </c>
      <c r="J5376" s="265">
        <v>0.0408163265306122</v>
      </c>
      <c r="K5376" s="265">
        <v>0.0444444444444444</v>
      </c>
      <c r="L5376" s="265">
        <v>0.0338983050847458</v>
      </c>
      <c r="M5376" s="265">
        <v>0.0537634408602151</v>
      </c>
      <c r="N5376" s="265">
        <v>0.0507246376811594</v>
      </c>
      <c r="O5376" s="277">
        <v>0.0859375</v>
      </c>
    </row>
    <row r="5377" spans="1:15">
      <c r="A5377" s="266" t="s">
        <v>71</v>
      </c>
      <c r="B5377" s="267" t="s">
        <v>6</v>
      </c>
      <c r="C5377" s="15">
        <v>11</v>
      </c>
      <c r="D5377" s="269">
        <v>0</v>
      </c>
      <c r="E5377" s="269">
        <v>0</v>
      </c>
      <c r="F5377" s="269">
        <v>0</v>
      </c>
      <c r="G5377" s="269">
        <v>1</v>
      </c>
      <c r="H5377" s="269">
        <v>0</v>
      </c>
      <c r="I5377" s="269">
        <v>1</v>
      </c>
      <c r="J5377" s="269">
        <v>0</v>
      </c>
      <c r="K5377" s="269">
        <v>3</v>
      </c>
      <c r="L5377" s="269">
        <v>3</v>
      </c>
      <c r="M5377" s="269">
        <v>1</v>
      </c>
      <c r="N5377" s="269">
        <v>1</v>
      </c>
      <c r="O5377" s="279">
        <v>1</v>
      </c>
    </row>
    <row r="5378" ht="14.25" spans="1:15">
      <c r="A5378" s="270" t="s">
        <v>71</v>
      </c>
      <c r="B5378" s="271" t="s">
        <v>64</v>
      </c>
      <c r="C5378" s="19">
        <v>0.180327868852459</v>
      </c>
      <c r="D5378" s="19">
        <v>0</v>
      </c>
      <c r="E5378" s="19">
        <v>0</v>
      </c>
      <c r="F5378" s="19">
        <v>0</v>
      </c>
      <c r="G5378" s="19">
        <v>1</v>
      </c>
      <c r="H5378" s="19">
        <v>0</v>
      </c>
      <c r="I5378" s="19">
        <v>0.125</v>
      </c>
      <c r="J5378" s="19">
        <v>0</v>
      </c>
      <c r="K5378" s="19">
        <v>0.5</v>
      </c>
      <c r="L5378" s="19">
        <v>0.75</v>
      </c>
      <c r="M5378" s="19">
        <v>0.2</v>
      </c>
      <c r="N5378" s="19">
        <v>0.142857142857143</v>
      </c>
      <c r="O5378" s="19">
        <v>0.0909090909090909</v>
      </c>
    </row>
    <row r="5379" spans="1:15">
      <c r="A5379" s="263" t="s">
        <v>72</v>
      </c>
      <c r="B5379" s="264" t="s">
        <v>55</v>
      </c>
      <c r="C5379" s="12">
        <v>0.150626336694164</v>
      </c>
      <c r="D5379" s="265">
        <v>0.165540540540541</v>
      </c>
      <c r="E5379" s="265">
        <v>0.201550387596899</v>
      </c>
      <c r="F5379" s="265">
        <v>0.155963302752294</v>
      </c>
      <c r="G5379" s="265">
        <v>0.192</v>
      </c>
      <c r="H5379" s="265">
        <v>0.189189189189189</v>
      </c>
      <c r="I5379" s="265">
        <v>0.12396694214876</v>
      </c>
      <c r="J5379" s="265">
        <v>0.170731707317073</v>
      </c>
      <c r="K5379" s="265">
        <v>0.145454545454545</v>
      </c>
      <c r="L5379" s="265">
        <v>0.117469879518072</v>
      </c>
      <c r="M5379" s="265">
        <v>0.115894039735099</v>
      </c>
      <c r="N5379" s="265">
        <v>0.136363636363636</v>
      </c>
      <c r="O5379" s="277">
        <v>0.15970515970516</v>
      </c>
    </row>
    <row r="5380" spans="1:15">
      <c r="A5380" s="266" t="s">
        <v>72</v>
      </c>
      <c r="B5380" s="267" t="s">
        <v>57</v>
      </c>
      <c r="C5380" s="15">
        <v>3273</v>
      </c>
      <c r="D5380" s="268">
        <v>296</v>
      </c>
      <c r="E5380" s="268">
        <v>129</v>
      </c>
      <c r="F5380" s="268">
        <v>109</v>
      </c>
      <c r="G5380" s="268">
        <v>125</v>
      </c>
      <c r="H5380" s="268">
        <v>222</v>
      </c>
      <c r="I5380" s="268">
        <v>242</v>
      </c>
      <c r="J5380" s="268">
        <v>328</v>
      </c>
      <c r="K5380" s="268">
        <v>385</v>
      </c>
      <c r="L5380" s="268">
        <v>332</v>
      </c>
      <c r="M5380" s="268">
        <v>302</v>
      </c>
      <c r="N5380" s="268">
        <v>396</v>
      </c>
      <c r="O5380" s="278">
        <v>407</v>
      </c>
    </row>
    <row r="5381" spans="1:15">
      <c r="A5381" s="263" t="s">
        <v>72</v>
      </c>
      <c r="B5381" s="264" t="s">
        <v>59</v>
      </c>
      <c r="C5381" s="15">
        <v>493</v>
      </c>
      <c r="D5381" s="268">
        <v>49</v>
      </c>
      <c r="E5381" s="268">
        <v>26</v>
      </c>
      <c r="F5381" s="268">
        <v>17</v>
      </c>
      <c r="G5381" s="268">
        <v>24</v>
      </c>
      <c r="H5381" s="268">
        <v>42</v>
      </c>
      <c r="I5381" s="268">
        <v>30</v>
      </c>
      <c r="J5381" s="268">
        <v>56</v>
      </c>
      <c r="K5381" s="268">
        <v>56</v>
      </c>
      <c r="L5381" s="268">
        <v>39</v>
      </c>
      <c r="M5381" s="268">
        <v>35</v>
      </c>
      <c r="N5381" s="268">
        <v>54</v>
      </c>
      <c r="O5381" s="278">
        <v>65</v>
      </c>
    </row>
    <row r="5382" spans="1:15">
      <c r="A5382" s="266" t="s">
        <v>72</v>
      </c>
      <c r="B5382" s="267" t="s">
        <v>4</v>
      </c>
      <c r="C5382" s="15">
        <v>32</v>
      </c>
      <c r="D5382" s="269">
        <v>5</v>
      </c>
      <c r="E5382" s="269">
        <v>4</v>
      </c>
      <c r="F5382" s="269">
        <v>0</v>
      </c>
      <c r="G5382" s="269">
        <v>1</v>
      </c>
      <c r="H5382" s="269">
        <v>1</v>
      </c>
      <c r="I5382" s="269">
        <v>0</v>
      </c>
      <c r="J5382" s="269">
        <v>2</v>
      </c>
      <c r="K5382" s="269">
        <v>3</v>
      </c>
      <c r="L5382" s="269">
        <v>5</v>
      </c>
      <c r="M5382" s="269">
        <v>2</v>
      </c>
      <c r="N5382" s="269">
        <v>5</v>
      </c>
      <c r="O5382" s="279">
        <v>4</v>
      </c>
    </row>
    <row r="5383" spans="1:15">
      <c r="A5383" s="263" t="s">
        <v>72</v>
      </c>
      <c r="B5383" s="264" t="s">
        <v>5</v>
      </c>
      <c r="C5383" s="12">
        <v>0.0649087221095335</v>
      </c>
      <c r="D5383" s="265">
        <v>0.102040816326531</v>
      </c>
      <c r="E5383" s="265">
        <v>0.153846153846154</v>
      </c>
      <c r="F5383" s="265">
        <v>0</v>
      </c>
      <c r="G5383" s="265">
        <v>0.0416666666666667</v>
      </c>
      <c r="H5383" s="265">
        <v>0.0238095238095238</v>
      </c>
      <c r="I5383" s="265">
        <v>0</v>
      </c>
      <c r="J5383" s="265">
        <v>0.0357142857142857</v>
      </c>
      <c r="K5383" s="265">
        <v>0.0535714285714286</v>
      </c>
      <c r="L5383" s="265">
        <v>0.128205128205128</v>
      </c>
      <c r="M5383" s="265">
        <v>0.0571428571428571</v>
      </c>
      <c r="N5383" s="265">
        <v>0.0925925925925926</v>
      </c>
      <c r="O5383" s="277">
        <v>0.0615384615384615</v>
      </c>
    </row>
    <row r="5384" spans="1:15">
      <c r="A5384" s="266" t="s">
        <v>72</v>
      </c>
      <c r="B5384" s="267" t="s">
        <v>6</v>
      </c>
      <c r="C5384" s="15">
        <v>2</v>
      </c>
      <c r="D5384" s="269">
        <v>1</v>
      </c>
      <c r="E5384" s="269">
        <v>0</v>
      </c>
      <c r="F5384" s="269">
        <v>0</v>
      </c>
      <c r="G5384" s="269">
        <v>1</v>
      </c>
      <c r="H5384" s="269">
        <v>0</v>
      </c>
      <c r="I5384" s="269">
        <v>0</v>
      </c>
      <c r="J5384" s="269">
        <v>0</v>
      </c>
      <c r="K5384" s="269">
        <v>0</v>
      </c>
      <c r="L5384" s="269">
        <v>0</v>
      </c>
      <c r="M5384" s="269">
        <v>0</v>
      </c>
      <c r="N5384" s="269">
        <v>0</v>
      </c>
      <c r="O5384" s="279">
        <v>0</v>
      </c>
    </row>
    <row r="5385" ht="14.25" spans="1:15">
      <c r="A5385" s="270" t="s">
        <v>72</v>
      </c>
      <c r="B5385" s="271" t="s">
        <v>64</v>
      </c>
      <c r="C5385" s="19">
        <v>0.0625</v>
      </c>
      <c r="D5385" s="19">
        <v>0.2</v>
      </c>
      <c r="E5385" s="19">
        <v>0</v>
      </c>
      <c r="F5385" s="19" t="e">
        <v>#DIV/0!</v>
      </c>
      <c r="G5385" s="19">
        <v>1</v>
      </c>
      <c r="H5385" s="19">
        <v>0</v>
      </c>
      <c r="I5385" s="19" t="e">
        <v>#DIV/0!</v>
      </c>
      <c r="J5385" s="19">
        <v>0</v>
      </c>
      <c r="K5385" s="19">
        <v>0</v>
      </c>
      <c r="L5385" s="19">
        <v>0</v>
      </c>
      <c r="M5385" s="19">
        <v>0</v>
      </c>
      <c r="N5385" s="19">
        <v>0</v>
      </c>
      <c r="O5385" s="19">
        <v>0</v>
      </c>
    </row>
    <row r="5386" ht="14.25" spans="1:15">
      <c r="A5386" s="237">
        <v>45102</v>
      </c>
      <c r="B5386" s="237"/>
      <c r="C5386" s="237"/>
      <c r="D5386" s="237"/>
      <c r="E5386" s="237"/>
      <c r="F5386" s="237"/>
      <c r="G5386" s="237"/>
      <c r="H5386" s="237"/>
      <c r="I5386" s="237"/>
      <c r="J5386" s="237"/>
      <c r="K5386" s="237"/>
      <c r="L5386" s="237"/>
      <c r="M5386" s="237"/>
      <c r="N5386" s="237"/>
      <c r="O5386" s="237"/>
    </row>
    <row r="5387" spans="1:15">
      <c r="A5387" s="56" t="s">
        <v>1</v>
      </c>
      <c r="B5387" s="238"/>
      <c r="C5387" s="8" t="s">
        <v>42</v>
      </c>
      <c r="D5387" s="239" t="s">
        <v>43</v>
      </c>
      <c r="E5387" s="239" t="s">
        <v>44</v>
      </c>
      <c r="F5387" s="239" t="s">
        <v>45</v>
      </c>
      <c r="G5387" s="239" t="s">
        <v>46</v>
      </c>
      <c r="H5387" s="239" t="s">
        <v>47</v>
      </c>
      <c r="I5387" s="239" t="s">
        <v>48</v>
      </c>
      <c r="J5387" s="239" t="s">
        <v>49</v>
      </c>
      <c r="K5387" s="239" t="s">
        <v>50</v>
      </c>
      <c r="L5387" s="239" t="s">
        <v>51</v>
      </c>
      <c r="M5387" s="239" t="s">
        <v>52</v>
      </c>
      <c r="N5387" s="239" t="s">
        <v>53</v>
      </c>
      <c r="O5387" s="251" t="s">
        <v>54</v>
      </c>
    </row>
    <row r="5388" spans="1:15">
      <c r="A5388" s="240" t="s">
        <v>22</v>
      </c>
      <c r="B5388" s="47" t="s">
        <v>55</v>
      </c>
      <c r="C5388" s="12">
        <v>0.909186906019007</v>
      </c>
      <c r="D5388" s="241">
        <v>1.17977528089888</v>
      </c>
      <c r="E5388" s="241">
        <v>0.919642857142857</v>
      </c>
      <c r="F5388" s="241">
        <v>0.96551724137931</v>
      </c>
      <c r="G5388" s="241">
        <v>0.965116279069767</v>
      </c>
      <c r="H5388" s="241">
        <v>0.959459459459459</v>
      </c>
      <c r="I5388" s="241">
        <v>0.811688311688312</v>
      </c>
      <c r="J5388" s="241">
        <v>0.896373056994819</v>
      </c>
      <c r="K5388" s="241">
        <v>0.894736842105263</v>
      </c>
      <c r="L5388" s="241">
        <v>0.897297297297297</v>
      </c>
      <c r="M5388" s="241">
        <v>0.845161290322581</v>
      </c>
      <c r="N5388" s="241">
        <v>0.793103448275862</v>
      </c>
      <c r="O5388" s="252">
        <v>0.868544600938967</v>
      </c>
    </row>
    <row r="5389" spans="1:15">
      <c r="A5389" s="242" t="s">
        <v>22</v>
      </c>
      <c r="B5389" s="43" t="s">
        <v>57</v>
      </c>
      <c r="C5389" s="15">
        <v>1894</v>
      </c>
      <c r="D5389" s="243">
        <v>178</v>
      </c>
      <c r="E5389" s="243">
        <v>112</v>
      </c>
      <c r="F5389" s="243">
        <v>58</v>
      </c>
      <c r="G5389" s="243">
        <v>86</v>
      </c>
      <c r="H5389" s="243">
        <v>148</v>
      </c>
      <c r="I5389" s="243">
        <v>154</v>
      </c>
      <c r="J5389" s="243">
        <v>193</v>
      </c>
      <c r="K5389" s="243">
        <v>209</v>
      </c>
      <c r="L5389" s="243">
        <v>185</v>
      </c>
      <c r="M5389" s="243">
        <v>155</v>
      </c>
      <c r="N5389" s="243">
        <v>203</v>
      </c>
      <c r="O5389" s="253">
        <v>213</v>
      </c>
    </row>
    <row r="5390" spans="1:15">
      <c r="A5390" s="240" t="s">
        <v>22</v>
      </c>
      <c r="B5390" s="47" t="s">
        <v>59</v>
      </c>
      <c r="C5390" s="15">
        <v>1722</v>
      </c>
      <c r="D5390" s="243">
        <v>210</v>
      </c>
      <c r="E5390" s="243">
        <v>103</v>
      </c>
      <c r="F5390" s="243">
        <v>56</v>
      </c>
      <c r="G5390" s="243">
        <v>83</v>
      </c>
      <c r="H5390" s="243">
        <v>142</v>
      </c>
      <c r="I5390" s="243">
        <v>125</v>
      </c>
      <c r="J5390" s="243">
        <v>173</v>
      </c>
      <c r="K5390" s="243">
        <v>187</v>
      </c>
      <c r="L5390" s="243">
        <v>166</v>
      </c>
      <c r="M5390" s="243">
        <v>131</v>
      </c>
      <c r="N5390" s="243">
        <v>161</v>
      </c>
      <c r="O5390" s="253">
        <v>185</v>
      </c>
    </row>
    <row r="5391" spans="1:15">
      <c r="A5391" s="242" t="s">
        <v>22</v>
      </c>
      <c r="B5391" s="43" t="s">
        <v>4</v>
      </c>
      <c r="C5391" s="15">
        <v>41</v>
      </c>
      <c r="D5391" s="244">
        <v>4</v>
      </c>
      <c r="E5391" s="244">
        <v>3</v>
      </c>
      <c r="F5391" s="244">
        <v>1</v>
      </c>
      <c r="G5391" s="244">
        <v>0</v>
      </c>
      <c r="H5391" s="244">
        <v>3</v>
      </c>
      <c r="I5391" s="244">
        <v>3</v>
      </c>
      <c r="J5391" s="244">
        <v>5</v>
      </c>
      <c r="K5391" s="244">
        <v>1</v>
      </c>
      <c r="L5391" s="244">
        <v>3</v>
      </c>
      <c r="M5391" s="244">
        <v>3</v>
      </c>
      <c r="N5391" s="244">
        <v>8</v>
      </c>
      <c r="O5391" s="254">
        <v>7</v>
      </c>
    </row>
    <row r="5392" spans="1:15">
      <c r="A5392" s="240" t="s">
        <v>22</v>
      </c>
      <c r="B5392" s="47" t="s">
        <v>5</v>
      </c>
      <c r="C5392" s="12">
        <v>0.0238095238095238</v>
      </c>
      <c r="D5392" s="241">
        <v>0.019047619047619</v>
      </c>
      <c r="E5392" s="241">
        <v>0.029126213592233</v>
      </c>
      <c r="F5392" s="241">
        <v>0.0178571428571429</v>
      </c>
      <c r="G5392" s="241">
        <v>0</v>
      </c>
      <c r="H5392" s="241">
        <v>0.0211267605633803</v>
      </c>
      <c r="I5392" s="241">
        <v>0.024</v>
      </c>
      <c r="J5392" s="241">
        <v>0.0289017341040462</v>
      </c>
      <c r="K5392" s="241">
        <v>0.0053475935828877</v>
      </c>
      <c r="L5392" s="241">
        <v>0.0180722891566265</v>
      </c>
      <c r="M5392" s="241">
        <v>0.0229007633587786</v>
      </c>
      <c r="N5392" s="241">
        <v>0.0496894409937888</v>
      </c>
      <c r="O5392" s="252">
        <v>0.0378378378378378</v>
      </c>
    </row>
    <row r="5393" spans="1:15">
      <c r="A5393" s="242" t="s">
        <v>22</v>
      </c>
      <c r="B5393" s="43" t="s">
        <v>6</v>
      </c>
      <c r="C5393" s="15">
        <v>21</v>
      </c>
      <c r="D5393" s="244">
        <v>3</v>
      </c>
      <c r="E5393" s="244">
        <v>1</v>
      </c>
      <c r="F5393" s="244">
        <v>0</v>
      </c>
      <c r="G5393" s="244">
        <v>0</v>
      </c>
      <c r="H5393" s="244">
        <v>2</v>
      </c>
      <c r="I5393" s="244">
        <v>1</v>
      </c>
      <c r="J5393" s="244">
        <v>5</v>
      </c>
      <c r="K5393" s="244">
        <v>2</v>
      </c>
      <c r="L5393" s="244">
        <v>2</v>
      </c>
      <c r="M5393" s="244">
        <v>1</v>
      </c>
      <c r="N5393" s="244">
        <v>3</v>
      </c>
      <c r="O5393" s="254">
        <v>1</v>
      </c>
    </row>
    <row r="5394" ht="14.25" spans="1:15">
      <c r="A5394" s="245" t="s">
        <v>22</v>
      </c>
      <c r="B5394" s="52" t="s">
        <v>64</v>
      </c>
      <c r="C5394" s="19">
        <v>0.51219512195122</v>
      </c>
      <c r="D5394" s="246">
        <v>0.75</v>
      </c>
      <c r="E5394" s="246">
        <v>0.333333333333333</v>
      </c>
      <c r="F5394" s="246">
        <v>0</v>
      </c>
      <c r="G5394" s="246">
        <v>0</v>
      </c>
      <c r="H5394" s="246">
        <v>0.666666666666667</v>
      </c>
      <c r="I5394" s="246">
        <v>0.333333333333333</v>
      </c>
      <c r="J5394" s="246">
        <v>1</v>
      </c>
      <c r="K5394" s="246">
        <v>2</v>
      </c>
      <c r="L5394" s="246">
        <v>0.666666666666667</v>
      </c>
      <c r="M5394" s="246">
        <v>0.333333333333333</v>
      </c>
      <c r="N5394" s="246">
        <v>0.375</v>
      </c>
      <c r="O5394" s="255">
        <v>0.142857142857143</v>
      </c>
    </row>
    <row r="5395" spans="1:15">
      <c r="A5395" s="247" t="s">
        <v>66</v>
      </c>
      <c r="B5395" s="248" t="s">
        <v>55</v>
      </c>
      <c r="C5395" s="12">
        <v>0.0655042412818096</v>
      </c>
      <c r="D5395" s="249">
        <v>0.0725806451612903</v>
      </c>
      <c r="E5395" s="249">
        <v>0.0238095238095238</v>
      </c>
      <c r="F5395" s="249">
        <v>0.0357142857142857</v>
      </c>
      <c r="G5395" s="249">
        <v>0.0285714285714286</v>
      </c>
      <c r="H5395" s="249">
        <v>0.0923913043478261</v>
      </c>
      <c r="I5395" s="249">
        <v>0.0857142857142857</v>
      </c>
      <c r="J5395" s="249">
        <v>0.0941176470588235</v>
      </c>
      <c r="K5395" s="249">
        <v>0.0730337078651685</v>
      </c>
      <c r="L5395" s="249">
        <v>0.0373134328358209</v>
      </c>
      <c r="M5395" s="249">
        <v>0.0701754385964912</v>
      </c>
      <c r="N5395" s="249">
        <v>0.105263157894737</v>
      </c>
      <c r="O5395" s="256">
        <v>0.0920245398773006</v>
      </c>
    </row>
    <row r="5396" spans="1:15">
      <c r="A5396" s="242" t="s">
        <v>66</v>
      </c>
      <c r="B5396" s="43" t="s">
        <v>57</v>
      </c>
      <c r="C5396" s="15">
        <v>2122</v>
      </c>
      <c r="D5396" s="243">
        <v>248</v>
      </c>
      <c r="E5396" s="243">
        <v>252</v>
      </c>
      <c r="F5396" s="243">
        <v>196</v>
      </c>
      <c r="G5396" s="243">
        <v>175</v>
      </c>
      <c r="H5396" s="243">
        <v>184</v>
      </c>
      <c r="I5396" s="243">
        <v>175</v>
      </c>
      <c r="J5396" s="243">
        <v>170</v>
      </c>
      <c r="K5396" s="243">
        <v>178</v>
      </c>
      <c r="L5396" s="243">
        <v>134</v>
      </c>
      <c r="M5396" s="243">
        <v>114</v>
      </c>
      <c r="N5396" s="243">
        <v>133</v>
      </c>
      <c r="O5396" s="253">
        <v>163</v>
      </c>
    </row>
    <row r="5397" spans="1:15">
      <c r="A5397" s="240" t="s">
        <v>66</v>
      </c>
      <c r="B5397" s="47" t="s">
        <v>59</v>
      </c>
      <c r="C5397" s="15">
        <v>139</v>
      </c>
      <c r="D5397" s="243">
        <v>18</v>
      </c>
      <c r="E5397" s="243">
        <v>6</v>
      </c>
      <c r="F5397" s="243">
        <v>7</v>
      </c>
      <c r="G5397" s="243">
        <v>5</v>
      </c>
      <c r="H5397" s="243">
        <v>17</v>
      </c>
      <c r="I5397" s="243">
        <v>15</v>
      </c>
      <c r="J5397" s="243">
        <v>16</v>
      </c>
      <c r="K5397" s="243">
        <v>13</v>
      </c>
      <c r="L5397" s="243">
        <v>5</v>
      </c>
      <c r="M5397" s="243">
        <v>8</v>
      </c>
      <c r="N5397" s="243">
        <v>14</v>
      </c>
      <c r="O5397" s="253">
        <v>15</v>
      </c>
    </row>
    <row r="5398" spans="1:15">
      <c r="A5398" s="242" t="s">
        <v>66</v>
      </c>
      <c r="B5398" s="43" t="s">
        <v>4</v>
      </c>
      <c r="C5398" s="15">
        <v>4</v>
      </c>
      <c r="D5398" s="244">
        <v>1</v>
      </c>
      <c r="E5398" s="244">
        <v>1</v>
      </c>
      <c r="F5398" s="244">
        <v>0</v>
      </c>
      <c r="G5398" s="244">
        <v>0</v>
      </c>
      <c r="H5398" s="244">
        <v>0</v>
      </c>
      <c r="I5398" s="244">
        <v>0</v>
      </c>
      <c r="J5398" s="244">
        <v>0</v>
      </c>
      <c r="K5398" s="244">
        <v>0</v>
      </c>
      <c r="L5398" s="244">
        <v>0</v>
      </c>
      <c r="M5398" s="244">
        <v>0</v>
      </c>
      <c r="N5398" s="244">
        <v>1</v>
      </c>
      <c r="O5398" s="254">
        <v>1</v>
      </c>
    </row>
    <row r="5399" spans="1:15">
      <c r="A5399" s="240" t="s">
        <v>66</v>
      </c>
      <c r="B5399" s="47" t="s">
        <v>5</v>
      </c>
      <c r="C5399" s="12">
        <v>0.0287769784172662</v>
      </c>
      <c r="D5399" s="241">
        <v>0.0555555555555556</v>
      </c>
      <c r="E5399" s="241">
        <v>0.166666666666667</v>
      </c>
      <c r="F5399" s="241">
        <v>0</v>
      </c>
      <c r="G5399" s="241">
        <v>0</v>
      </c>
      <c r="H5399" s="241">
        <v>0</v>
      </c>
      <c r="I5399" s="241">
        <v>0</v>
      </c>
      <c r="J5399" s="241">
        <v>0</v>
      </c>
      <c r="K5399" s="241">
        <v>0</v>
      </c>
      <c r="L5399" s="241">
        <v>0</v>
      </c>
      <c r="M5399" s="241">
        <v>0</v>
      </c>
      <c r="N5399" s="241">
        <v>0.0714285714285714</v>
      </c>
      <c r="O5399" s="252">
        <v>0.0666666666666667</v>
      </c>
    </row>
    <row r="5400" spans="1:15">
      <c r="A5400" s="242" t="s">
        <v>66</v>
      </c>
      <c r="B5400" s="43" t="s">
        <v>6</v>
      </c>
      <c r="C5400" s="15">
        <v>2</v>
      </c>
      <c r="D5400" s="244">
        <v>0</v>
      </c>
      <c r="E5400" s="244">
        <v>0</v>
      </c>
      <c r="F5400" s="244">
        <v>0</v>
      </c>
      <c r="G5400" s="244">
        <v>1</v>
      </c>
      <c r="H5400" s="244">
        <v>1</v>
      </c>
      <c r="I5400" s="244">
        <v>0</v>
      </c>
      <c r="J5400" s="244">
        <v>0</v>
      </c>
      <c r="K5400" s="244">
        <v>0</v>
      </c>
      <c r="L5400" s="244">
        <v>0</v>
      </c>
      <c r="M5400" s="244">
        <v>0</v>
      </c>
      <c r="N5400" s="244">
        <v>0</v>
      </c>
      <c r="O5400" s="254">
        <v>0</v>
      </c>
    </row>
    <row r="5401" ht="14.25" spans="1:15">
      <c r="A5401" s="245" t="s">
        <v>66</v>
      </c>
      <c r="B5401" s="52" t="s">
        <v>64</v>
      </c>
      <c r="C5401" s="19">
        <v>0.5</v>
      </c>
      <c r="D5401" s="246">
        <v>0</v>
      </c>
      <c r="E5401" s="246">
        <v>0</v>
      </c>
      <c r="F5401" s="246">
        <v>0</v>
      </c>
      <c r="G5401" s="246">
        <v>0</v>
      </c>
      <c r="H5401" s="246">
        <v>0</v>
      </c>
      <c r="I5401" s="246">
        <v>0</v>
      </c>
      <c r="J5401" s="246">
        <v>0</v>
      </c>
      <c r="K5401" s="246">
        <v>0</v>
      </c>
      <c r="L5401" s="246">
        <v>0</v>
      </c>
      <c r="M5401" s="246">
        <v>0</v>
      </c>
      <c r="N5401" s="246">
        <v>0</v>
      </c>
      <c r="O5401" s="255">
        <v>0</v>
      </c>
    </row>
    <row r="5402" spans="1:15">
      <c r="A5402" s="240" t="s">
        <v>67</v>
      </c>
      <c r="B5402" s="47" t="s">
        <v>55</v>
      </c>
      <c r="C5402" s="12">
        <v>0.518617021276596</v>
      </c>
      <c r="D5402" s="241">
        <v>0.57843137254902</v>
      </c>
      <c r="E5402" s="241">
        <v>0.439024390243902</v>
      </c>
      <c r="F5402" s="241">
        <v>0.6</v>
      </c>
      <c r="G5402" s="241">
        <v>0.344262295081967</v>
      </c>
      <c r="H5402" s="241">
        <v>0.530864197530864</v>
      </c>
      <c r="I5402" s="241">
        <v>0.546511627906977</v>
      </c>
      <c r="J5402" s="241">
        <v>0.59375</v>
      </c>
      <c r="K5402" s="241">
        <v>0.567164179104478</v>
      </c>
      <c r="L5402" s="241">
        <v>0.51</v>
      </c>
      <c r="M5402" s="241">
        <v>0.382022471910112</v>
      </c>
      <c r="N5402" s="241">
        <v>0.520547945205479</v>
      </c>
      <c r="O5402" s="252">
        <v>0.517857142857143</v>
      </c>
    </row>
    <row r="5403" spans="1:15">
      <c r="A5403" s="242" t="s">
        <v>67</v>
      </c>
      <c r="B5403" s="43" t="s">
        <v>57</v>
      </c>
      <c r="C5403" s="15">
        <v>1128</v>
      </c>
      <c r="D5403" s="243">
        <v>102</v>
      </c>
      <c r="E5403" s="243">
        <v>82</v>
      </c>
      <c r="F5403" s="243">
        <v>45</v>
      </c>
      <c r="G5403" s="243">
        <v>61</v>
      </c>
      <c r="H5403" s="243">
        <v>81</v>
      </c>
      <c r="I5403" s="243">
        <v>86</v>
      </c>
      <c r="J5403" s="243">
        <v>96</v>
      </c>
      <c r="K5403" s="243">
        <v>201</v>
      </c>
      <c r="L5403" s="243">
        <v>100</v>
      </c>
      <c r="M5403" s="243">
        <v>89</v>
      </c>
      <c r="N5403" s="243">
        <v>73</v>
      </c>
      <c r="O5403" s="253">
        <v>112</v>
      </c>
    </row>
    <row r="5404" spans="1:15">
      <c r="A5404" s="240" t="s">
        <v>67</v>
      </c>
      <c r="B5404" s="47" t="s">
        <v>59</v>
      </c>
      <c r="C5404" s="15">
        <v>585</v>
      </c>
      <c r="D5404" s="243">
        <v>59</v>
      </c>
      <c r="E5404" s="243">
        <v>36</v>
      </c>
      <c r="F5404" s="243">
        <v>27</v>
      </c>
      <c r="G5404" s="243">
        <v>21</v>
      </c>
      <c r="H5404" s="243">
        <v>43</v>
      </c>
      <c r="I5404" s="243">
        <v>47</v>
      </c>
      <c r="J5404" s="243">
        <v>57</v>
      </c>
      <c r="K5404" s="243">
        <v>114</v>
      </c>
      <c r="L5404" s="243">
        <v>51</v>
      </c>
      <c r="M5404" s="243">
        <v>34</v>
      </c>
      <c r="N5404" s="243">
        <v>38</v>
      </c>
      <c r="O5404" s="253">
        <v>58</v>
      </c>
    </row>
    <row r="5405" spans="1:15">
      <c r="A5405" s="242" t="s">
        <v>67</v>
      </c>
      <c r="B5405" s="43" t="s">
        <v>4</v>
      </c>
      <c r="C5405" s="15">
        <v>15</v>
      </c>
      <c r="D5405" s="244">
        <v>2</v>
      </c>
      <c r="E5405" s="244">
        <v>0</v>
      </c>
      <c r="F5405" s="244">
        <v>3</v>
      </c>
      <c r="G5405" s="244">
        <v>0</v>
      </c>
      <c r="H5405" s="244">
        <v>2</v>
      </c>
      <c r="I5405" s="244">
        <v>0</v>
      </c>
      <c r="J5405" s="244">
        <v>1</v>
      </c>
      <c r="K5405" s="244">
        <v>3</v>
      </c>
      <c r="L5405" s="244">
        <v>1</v>
      </c>
      <c r="M5405" s="244">
        <v>3</v>
      </c>
      <c r="N5405" s="244">
        <v>0</v>
      </c>
      <c r="O5405" s="254">
        <v>0</v>
      </c>
    </row>
    <row r="5406" spans="1:15">
      <c r="A5406" s="240" t="s">
        <v>67</v>
      </c>
      <c r="B5406" s="47" t="s">
        <v>5</v>
      </c>
      <c r="C5406" s="12">
        <v>0.0256410256410256</v>
      </c>
      <c r="D5406" s="241">
        <v>0.0338983050847458</v>
      </c>
      <c r="E5406" s="241">
        <v>0</v>
      </c>
      <c r="F5406" s="241">
        <v>0.111111111111111</v>
      </c>
      <c r="G5406" s="241">
        <v>0</v>
      </c>
      <c r="H5406" s="241">
        <v>0.0465116279069767</v>
      </c>
      <c r="I5406" s="241">
        <v>0</v>
      </c>
      <c r="J5406" s="241">
        <v>0.0175438596491228</v>
      </c>
      <c r="K5406" s="241">
        <v>0.0263157894736842</v>
      </c>
      <c r="L5406" s="241">
        <v>0.0196078431372549</v>
      </c>
      <c r="M5406" s="241">
        <v>0.0882352941176471</v>
      </c>
      <c r="N5406" s="241">
        <v>0</v>
      </c>
      <c r="O5406" s="252">
        <v>0</v>
      </c>
    </row>
    <row r="5407" spans="1:15">
      <c r="A5407" s="242" t="s">
        <v>67</v>
      </c>
      <c r="B5407" s="43" t="s">
        <v>6</v>
      </c>
      <c r="C5407" s="15">
        <v>4</v>
      </c>
      <c r="D5407" s="244">
        <v>0</v>
      </c>
      <c r="E5407" s="244">
        <v>0</v>
      </c>
      <c r="F5407" s="244">
        <v>0</v>
      </c>
      <c r="G5407" s="244">
        <v>0</v>
      </c>
      <c r="H5407" s="244">
        <v>2</v>
      </c>
      <c r="I5407" s="244">
        <v>1</v>
      </c>
      <c r="J5407" s="244">
        <v>1</v>
      </c>
      <c r="K5407" s="244">
        <v>0</v>
      </c>
      <c r="L5407" s="244">
        <v>0</v>
      </c>
      <c r="M5407" s="244">
        <v>0</v>
      </c>
      <c r="N5407" s="244">
        <v>0</v>
      </c>
      <c r="O5407" s="254">
        <v>0</v>
      </c>
    </row>
    <row r="5408" ht="14.25" spans="1:15">
      <c r="A5408" s="245" t="s">
        <v>67</v>
      </c>
      <c r="B5408" s="52" t="s">
        <v>64</v>
      </c>
      <c r="C5408" s="19">
        <v>0.266666666666667</v>
      </c>
      <c r="D5408" s="246">
        <v>0</v>
      </c>
      <c r="E5408" s="246">
        <v>0</v>
      </c>
      <c r="F5408" s="246">
        <v>0</v>
      </c>
      <c r="G5408" s="246">
        <v>0</v>
      </c>
      <c r="H5408" s="246">
        <v>1</v>
      </c>
      <c r="I5408" s="246">
        <v>0</v>
      </c>
      <c r="J5408" s="246">
        <v>1</v>
      </c>
      <c r="K5408" s="246">
        <v>0</v>
      </c>
      <c r="L5408" s="246">
        <v>0</v>
      </c>
      <c r="M5408" s="246">
        <v>0</v>
      </c>
      <c r="N5408" s="246">
        <v>0</v>
      </c>
      <c r="O5408" s="255">
        <v>0</v>
      </c>
    </row>
    <row r="5409" spans="1:15">
      <c r="A5409" s="240" t="s">
        <v>68</v>
      </c>
      <c r="B5409" s="47" t="s">
        <v>55</v>
      </c>
      <c r="C5409" s="12">
        <v>0.237230121116377</v>
      </c>
      <c r="D5409" s="241">
        <v>0.29874213836478</v>
      </c>
      <c r="E5409" s="241">
        <v>0.244897959183673</v>
      </c>
      <c r="F5409" s="241">
        <v>0.238095238095238</v>
      </c>
      <c r="G5409" s="241">
        <v>0.298013245033113</v>
      </c>
      <c r="H5409" s="241">
        <v>0.274914089347079</v>
      </c>
      <c r="I5409" s="241">
        <v>0.208791208791209</v>
      </c>
      <c r="J5409" s="241">
        <v>0.228915662650602</v>
      </c>
      <c r="K5409" s="241">
        <v>0.220183486238532</v>
      </c>
      <c r="L5409" s="241">
        <v>0.238482384823848</v>
      </c>
      <c r="M5409" s="241">
        <v>0.211805555555556</v>
      </c>
      <c r="N5409" s="241">
        <v>0.197297297297297</v>
      </c>
      <c r="O5409" s="252">
        <v>0.240740740740741</v>
      </c>
    </row>
    <row r="5410" spans="1:15">
      <c r="A5410" s="242" t="s">
        <v>68</v>
      </c>
      <c r="B5410" s="43" t="s">
        <v>57</v>
      </c>
      <c r="C5410" s="15">
        <v>3798</v>
      </c>
      <c r="D5410" s="243">
        <v>318</v>
      </c>
      <c r="E5410" s="243">
        <v>196</v>
      </c>
      <c r="F5410" s="243">
        <v>168</v>
      </c>
      <c r="G5410" s="243">
        <v>151</v>
      </c>
      <c r="H5410" s="243">
        <v>291</v>
      </c>
      <c r="I5410" s="243">
        <v>364</v>
      </c>
      <c r="J5410" s="243">
        <v>415</v>
      </c>
      <c r="K5410" s="243">
        <v>436</v>
      </c>
      <c r="L5410" s="243">
        <v>369</v>
      </c>
      <c r="M5410" s="243">
        <v>288</v>
      </c>
      <c r="N5410" s="243">
        <v>370</v>
      </c>
      <c r="O5410" s="253">
        <v>432</v>
      </c>
    </row>
    <row r="5411" spans="1:15">
      <c r="A5411" s="240" t="s">
        <v>68</v>
      </c>
      <c r="B5411" s="47" t="s">
        <v>59</v>
      </c>
      <c r="C5411" s="15">
        <v>901</v>
      </c>
      <c r="D5411" s="243">
        <v>95</v>
      </c>
      <c r="E5411" s="243">
        <v>48</v>
      </c>
      <c r="F5411" s="243">
        <v>40</v>
      </c>
      <c r="G5411" s="243">
        <v>45</v>
      </c>
      <c r="H5411" s="243">
        <v>80</v>
      </c>
      <c r="I5411" s="243">
        <v>76</v>
      </c>
      <c r="J5411" s="243">
        <v>95</v>
      </c>
      <c r="K5411" s="243">
        <v>96</v>
      </c>
      <c r="L5411" s="243">
        <v>88</v>
      </c>
      <c r="M5411" s="243">
        <v>61</v>
      </c>
      <c r="N5411" s="243">
        <v>73</v>
      </c>
      <c r="O5411" s="253">
        <v>104</v>
      </c>
    </row>
    <row r="5412" spans="1:15">
      <c r="A5412" s="242" t="s">
        <v>68</v>
      </c>
      <c r="B5412" s="43" t="s">
        <v>4</v>
      </c>
      <c r="C5412" s="15">
        <v>58</v>
      </c>
      <c r="D5412" s="244">
        <v>5</v>
      </c>
      <c r="E5412" s="244">
        <v>4</v>
      </c>
      <c r="F5412" s="244">
        <v>2</v>
      </c>
      <c r="G5412" s="244">
        <v>3</v>
      </c>
      <c r="H5412" s="244">
        <v>7</v>
      </c>
      <c r="I5412" s="244">
        <v>7</v>
      </c>
      <c r="J5412" s="244">
        <v>2</v>
      </c>
      <c r="K5412" s="244">
        <v>7</v>
      </c>
      <c r="L5412" s="244">
        <v>4</v>
      </c>
      <c r="M5412" s="244">
        <v>1</v>
      </c>
      <c r="N5412" s="244">
        <v>7</v>
      </c>
      <c r="O5412" s="254">
        <v>9</v>
      </c>
    </row>
    <row r="5413" spans="1:15">
      <c r="A5413" s="240" t="s">
        <v>68</v>
      </c>
      <c r="B5413" s="47" t="s">
        <v>5</v>
      </c>
      <c r="C5413" s="12">
        <v>0.0643729189789123</v>
      </c>
      <c r="D5413" s="241">
        <v>0.0526315789473684</v>
      </c>
      <c r="E5413" s="241">
        <v>0.0833333333333333</v>
      </c>
      <c r="F5413" s="241">
        <v>0.05</v>
      </c>
      <c r="G5413" s="241">
        <v>0.0666666666666667</v>
      </c>
      <c r="H5413" s="241">
        <v>0.0875</v>
      </c>
      <c r="I5413" s="241">
        <v>0.0921052631578947</v>
      </c>
      <c r="J5413" s="241">
        <v>0.0210526315789474</v>
      </c>
      <c r="K5413" s="241">
        <v>0.0729166666666667</v>
      </c>
      <c r="L5413" s="241">
        <v>0.0454545454545455</v>
      </c>
      <c r="M5413" s="241">
        <v>0.0163934426229508</v>
      </c>
      <c r="N5413" s="241">
        <v>0.0958904109589041</v>
      </c>
      <c r="O5413" s="252">
        <v>0.0865384615384615</v>
      </c>
    </row>
    <row r="5414" spans="1:15">
      <c r="A5414" s="242" t="s">
        <v>68</v>
      </c>
      <c r="B5414" s="43" t="s">
        <v>6</v>
      </c>
      <c r="C5414" s="15">
        <v>23</v>
      </c>
      <c r="D5414" s="244">
        <v>0</v>
      </c>
      <c r="E5414" s="244">
        <v>3</v>
      </c>
      <c r="F5414" s="244">
        <v>0</v>
      </c>
      <c r="G5414" s="244">
        <v>0</v>
      </c>
      <c r="H5414" s="244">
        <v>6</v>
      </c>
      <c r="I5414" s="244">
        <v>5</v>
      </c>
      <c r="J5414" s="244">
        <v>2</v>
      </c>
      <c r="K5414" s="244">
        <v>0</v>
      </c>
      <c r="L5414" s="244">
        <v>1</v>
      </c>
      <c r="M5414" s="244">
        <v>2</v>
      </c>
      <c r="N5414" s="244">
        <v>2</v>
      </c>
      <c r="O5414" s="254">
        <v>2</v>
      </c>
    </row>
    <row r="5415" ht="14.25" spans="1:15">
      <c r="A5415" s="245" t="s">
        <v>68</v>
      </c>
      <c r="B5415" s="52" t="s">
        <v>64</v>
      </c>
      <c r="C5415" s="19">
        <v>0.396551724137931</v>
      </c>
      <c r="D5415" s="246">
        <v>0</v>
      </c>
      <c r="E5415" s="246">
        <v>0.75</v>
      </c>
      <c r="F5415" s="246">
        <v>0</v>
      </c>
      <c r="G5415" s="246">
        <v>0</v>
      </c>
      <c r="H5415" s="246">
        <v>0.857142857142857</v>
      </c>
      <c r="I5415" s="246">
        <v>0.714285714285714</v>
      </c>
      <c r="J5415" s="246">
        <v>1</v>
      </c>
      <c r="K5415" s="246">
        <v>0</v>
      </c>
      <c r="L5415" s="246">
        <v>0.25</v>
      </c>
      <c r="M5415" s="246">
        <v>2</v>
      </c>
      <c r="N5415" s="246">
        <v>0.285714285714286</v>
      </c>
      <c r="O5415" s="255">
        <v>0.222222222222222</v>
      </c>
    </row>
    <row r="5416" spans="1:15">
      <c r="A5416" s="240" t="s">
        <v>69</v>
      </c>
      <c r="B5416" s="47" t="s">
        <v>55</v>
      </c>
      <c r="C5416" s="12">
        <v>1.27397260273973</v>
      </c>
      <c r="D5416" s="241">
        <v>1.92</v>
      </c>
      <c r="E5416" s="241">
        <v>1.33333333333333</v>
      </c>
      <c r="F5416" s="241">
        <v>1.5</v>
      </c>
      <c r="G5416" s="241">
        <v>2.33333333333333</v>
      </c>
      <c r="H5416" s="241">
        <v>1.64285714285714</v>
      </c>
      <c r="I5416" s="241">
        <v>1.28</v>
      </c>
      <c r="J5416" s="241">
        <v>1.18518518518519</v>
      </c>
      <c r="K5416" s="241">
        <v>1.06451612903226</v>
      </c>
      <c r="L5416" s="241">
        <v>1.125</v>
      </c>
      <c r="M5416" s="241">
        <v>1.11538461538462</v>
      </c>
      <c r="N5416" s="241">
        <v>1.16981132075472</v>
      </c>
      <c r="O5416" s="252">
        <v>1.08571428571429</v>
      </c>
    </row>
    <row r="5417" spans="1:15">
      <c r="A5417" s="242" t="s">
        <v>69</v>
      </c>
      <c r="B5417" s="43" t="s">
        <v>57</v>
      </c>
      <c r="C5417" s="15">
        <v>292</v>
      </c>
      <c r="D5417" s="243">
        <v>25</v>
      </c>
      <c r="E5417" s="243">
        <v>12</v>
      </c>
      <c r="F5417" s="243">
        <v>6</v>
      </c>
      <c r="G5417" s="243">
        <v>6</v>
      </c>
      <c r="H5417" s="243">
        <v>14</v>
      </c>
      <c r="I5417" s="243">
        <v>25</v>
      </c>
      <c r="J5417" s="243">
        <v>27</v>
      </c>
      <c r="K5417" s="243">
        <v>31</v>
      </c>
      <c r="L5417" s="243">
        <v>32</v>
      </c>
      <c r="M5417" s="243">
        <v>26</v>
      </c>
      <c r="N5417" s="243">
        <v>53</v>
      </c>
      <c r="O5417" s="253">
        <v>35</v>
      </c>
    </row>
    <row r="5418" spans="1:15">
      <c r="A5418" s="240" t="s">
        <v>69</v>
      </c>
      <c r="B5418" s="47" t="s">
        <v>59</v>
      </c>
      <c r="C5418" s="15">
        <v>372</v>
      </c>
      <c r="D5418" s="243">
        <v>48</v>
      </c>
      <c r="E5418" s="243">
        <v>16</v>
      </c>
      <c r="F5418" s="243">
        <v>9</v>
      </c>
      <c r="G5418" s="243">
        <v>14</v>
      </c>
      <c r="H5418" s="243">
        <v>23</v>
      </c>
      <c r="I5418" s="243">
        <v>32</v>
      </c>
      <c r="J5418" s="243">
        <v>32</v>
      </c>
      <c r="K5418" s="243">
        <v>33</v>
      </c>
      <c r="L5418" s="243">
        <v>36</v>
      </c>
      <c r="M5418" s="243">
        <v>29</v>
      </c>
      <c r="N5418" s="243">
        <v>62</v>
      </c>
      <c r="O5418" s="253">
        <v>38</v>
      </c>
    </row>
    <row r="5419" spans="1:15">
      <c r="A5419" s="242" t="s">
        <v>69</v>
      </c>
      <c r="B5419" s="43" t="s">
        <v>4</v>
      </c>
      <c r="C5419" s="15">
        <v>5</v>
      </c>
      <c r="D5419" s="244">
        <v>0</v>
      </c>
      <c r="E5419" s="244">
        <v>0</v>
      </c>
      <c r="F5419" s="244">
        <v>0</v>
      </c>
      <c r="G5419" s="244">
        <v>0</v>
      </c>
      <c r="H5419" s="244">
        <v>1</v>
      </c>
      <c r="I5419" s="244">
        <v>1</v>
      </c>
      <c r="J5419" s="244">
        <v>0</v>
      </c>
      <c r="K5419" s="244">
        <v>2</v>
      </c>
      <c r="L5419" s="244">
        <v>0</v>
      </c>
      <c r="M5419" s="244">
        <v>0</v>
      </c>
      <c r="N5419" s="244">
        <v>1</v>
      </c>
      <c r="O5419" s="254">
        <v>0</v>
      </c>
    </row>
    <row r="5420" spans="1:15">
      <c r="A5420" s="240" t="s">
        <v>69</v>
      </c>
      <c r="B5420" s="47" t="s">
        <v>5</v>
      </c>
      <c r="C5420" s="12">
        <v>0.0134408602150538</v>
      </c>
      <c r="D5420" s="241">
        <v>0</v>
      </c>
      <c r="E5420" s="241">
        <v>0</v>
      </c>
      <c r="F5420" s="241">
        <v>0</v>
      </c>
      <c r="G5420" s="241">
        <v>0</v>
      </c>
      <c r="H5420" s="241">
        <v>0.0434782608695652</v>
      </c>
      <c r="I5420" s="241">
        <v>0.03125</v>
      </c>
      <c r="J5420" s="241">
        <v>0</v>
      </c>
      <c r="K5420" s="241">
        <v>0.0606060606060606</v>
      </c>
      <c r="L5420" s="241">
        <v>0</v>
      </c>
      <c r="M5420" s="241">
        <v>0</v>
      </c>
      <c r="N5420" s="241">
        <v>0.0161290322580645</v>
      </c>
      <c r="O5420" s="252">
        <v>0</v>
      </c>
    </row>
    <row r="5421" spans="1:15">
      <c r="A5421" s="242" t="s">
        <v>69</v>
      </c>
      <c r="B5421" s="43" t="s">
        <v>6</v>
      </c>
      <c r="C5421" s="15">
        <v>2</v>
      </c>
      <c r="D5421" s="244">
        <v>0</v>
      </c>
      <c r="E5421" s="244">
        <v>0</v>
      </c>
      <c r="F5421" s="244">
        <v>0</v>
      </c>
      <c r="G5421" s="244">
        <v>0</v>
      </c>
      <c r="H5421" s="244">
        <v>0</v>
      </c>
      <c r="I5421" s="244">
        <v>1</v>
      </c>
      <c r="J5421" s="244">
        <v>0</v>
      </c>
      <c r="K5421" s="244">
        <v>0</v>
      </c>
      <c r="L5421" s="244">
        <v>0</v>
      </c>
      <c r="M5421" s="244">
        <v>0</v>
      </c>
      <c r="N5421" s="244">
        <v>1</v>
      </c>
      <c r="O5421" s="254">
        <v>0</v>
      </c>
    </row>
    <row r="5422" ht="14.25" spans="1:15">
      <c r="A5422" s="245" t="s">
        <v>69</v>
      </c>
      <c r="B5422" s="52" t="s">
        <v>64</v>
      </c>
      <c r="C5422" s="19">
        <v>0.4</v>
      </c>
      <c r="D5422" s="246">
        <v>0</v>
      </c>
      <c r="E5422" s="246">
        <v>0</v>
      </c>
      <c r="F5422" s="246">
        <v>0</v>
      </c>
      <c r="G5422" s="246">
        <v>0</v>
      </c>
      <c r="H5422" s="246">
        <v>0</v>
      </c>
      <c r="I5422" s="246">
        <v>1</v>
      </c>
      <c r="J5422" s="246">
        <v>0</v>
      </c>
      <c r="K5422" s="246">
        <v>0</v>
      </c>
      <c r="L5422" s="246">
        <v>0</v>
      </c>
      <c r="M5422" s="246">
        <v>0</v>
      </c>
      <c r="N5422" s="246">
        <v>1</v>
      </c>
      <c r="O5422" s="255">
        <v>0</v>
      </c>
    </row>
    <row r="5423" spans="1:15">
      <c r="A5423" s="240" t="s">
        <v>70</v>
      </c>
      <c r="B5423" s="47" t="s">
        <v>55</v>
      </c>
      <c r="C5423" s="12">
        <v>0.526777875329236</v>
      </c>
      <c r="D5423" s="241">
        <v>0.510489510489511</v>
      </c>
      <c r="E5423" s="241">
        <v>0.524271844660194</v>
      </c>
      <c r="F5423" s="241">
        <v>0.523076923076923</v>
      </c>
      <c r="G5423" s="241">
        <v>0.679245283018868</v>
      </c>
      <c r="H5423" s="241">
        <v>0.725</v>
      </c>
      <c r="I5423" s="241">
        <v>0.563106796116505</v>
      </c>
      <c r="J5423" s="241">
        <v>0.485714285714286</v>
      </c>
      <c r="K5423" s="241">
        <v>0.453703703703704</v>
      </c>
      <c r="L5423" s="241">
        <v>0.591836734693878</v>
      </c>
      <c r="M5423" s="241">
        <v>0.461538461538462</v>
      </c>
      <c r="N5423" s="241">
        <v>0.494623655913978</v>
      </c>
      <c r="O5423" s="252">
        <v>0.427272727272727</v>
      </c>
    </row>
    <row r="5424" spans="1:15">
      <c r="A5424" s="242" t="s">
        <v>70</v>
      </c>
      <c r="B5424" s="43" t="s">
        <v>57</v>
      </c>
      <c r="C5424" s="15">
        <v>1139</v>
      </c>
      <c r="D5424" s="243">
        <v>143</v>
      </c>
      <c r="E5424" s="243">
        <v>103</v>
      </c>
      <c r="F5424" s="243">
        <v>65</v>
      </c>
      <c r="G5424" s="243">
        <v>53</v>
      </c>
      <c r="H5424" s="243">
        <v>80</v>
      </c>
      <c r="I5424" s="243">
        <v>103</v>
      </c>
      <c r="J5424" s="243">
        <v>105</v>
      </c>
      <c r="K5424" s="243">
        <v>108</v>
      </c>
      <c r="L5424" s="243">
        <v>98</v>
      </c>
      <c r="M5424" s="243">
        <v>78</v>
      </c>
      <c r="N5424" s="243">
        <v>93</v>
      </c>
      <c r="O5424" s="253">
        <v>110</v>
      </c>
    </row>
    <row r="5425" spans="1:15">
      <c r="A5425" s="240" t="s">
        <v>70</v>
      </c>
      <c r="B5425" s="47" t="s">
        <v>59</v>
      </c>
      <c r="C5425" s="15">
        <v>600</v>
      </c>
      <c r="D5425" s="243">
        <v>73</v>
      </c>
      <c r="E5425" s="243">
        <v>54</v>
      </c>
      <c r="F5425" s="243">
        <v>34</v>
      </c>
      <c r="G5425" s="243">
        <v>36</v>
      </c>
      <c r="H5425" s="243">
        <v>58</v>
      </c>
      <c r="I5425" s="243">
        <v>58</v>
      </c>
      <c r="J5425" s="243">
        <v>51</v>
      </c>
      <c r="K5425" s="243">
        <v>49</v>
      </c>
      <c r="L5425" s="243">
        <v>58</v>
      </c>
      <c r="M5425" s="243">
        <v>36</v>
      </c>
      <c r="N5425" s="243">
        <v>46</v>
      </c>
      <c r="O5425" s="253">
        <v>47</v>
      </c>
    </row>
    <row r="5426" spans="1:15">
      <c r="A5426" s="242" t="s">
        <v>70</v>
      </c>
      <c r="B5426" s="43" t="s">
        <v>4</v>
      </c>
      <c r="C5426" s="15">
        <v>32</v>
      </c>
      <c r="D5426" s="244">
        <v>4</v>
      </c>
      <c r="E5426" s="244">
        <v>4</v>
      </c>
      <c r="F5426" s="244">
        <v>2</v>
      </c>
      <c r="G5426" s="244">
        <v>1</v>
      </c>
      <c r="H5426" s="244">
        <v>0</v>
      </c>
      <c r="I5426" s="244">
        <v>4</v>
      </c>
      <c r="J5426" s="244">
        <v>4</v>
      </c>
      <c r="K5426" s="244">
        <v>2</v>
      </c>
      <c r="L5426" s="244">
        <v>3</v>
      </c>
      <c r="M5426" s="244">
        <v>0</v>
      </c>
      <c r="N5426" s="244">
        <v>4</v>
      </c>
      <c r="O5426" s="254">
        <v>4</v>
      </c>
    </row>
    <row r="5427" spans="1:15">
      <c r="A5427" s="240" t="s">
        <v>70</v>
      </c>
      <c r="B5427" s="47" t="s">
        <v>5</v>
      </c>
      <c r="C5427" s="12">
        <v>0.0533333333333333</v>
      </c>
      <c r="D5427" s="241">
        <v>0.0547945205479452</v>
      </c>
      <c r="E5427" s="241">
        <v>0.0740740740740741</v>
      </c>
      <c r="F5427" s="241">
        <v>0.0588235294117647</v>
      </c>
      <c r="G5427" s="241">
        <v>0.0277777777777778</v>
      </c>
      <c r="H5427" s="241">
        <v>0</v>
      </c>
      <c r="I5427" s="241">
        <v>0.0689655172413793</v>
      </c>
      <c r="J5427" s="241">
        <v>0.0784313725490196</v>
      </c>
      <c r="K5427" s="241">
        <v>0.0408163265306122</v>
      </c>
      <c r="L5427" s="241">
        <v>0.0517241379310345</v>
      </c>
      <c r="M5427" s="241">
        <v>0</v>
      </c>
      <c r="N5427" s="241">
        <v>0.0869565217391304</v>
      </c>
      <c r="O5427" s="252">
        <v>0.0851063829787234</v>
      </c>
    </row>
    <row r="5428" spans="1:15">
      <c r="A5428" s="242" t="s">
        <v>70</v>
      </c>
      <c r="B5428" s="43" t="s">
        <v>6</v>
      </c>
      <c r="C5428" s="15">
        <v>11</v>
      </c>
      <c r="D5428" s="244">
        <v>0</v>
      </c>
      <c r="E5428" s="244">
        <v>1</v>
      </c>
      <c r="F5428" s="244">
        <v>0</v>
      </c>
      <c r="G5428" s="244">
        <v>0</v>
      </c>
      <c r="H5428" s="244">
        <v>1</v>
      </c>
      <c r="I5428" s="244">
        <v>1</v>
      </c>
      <c r="J5428" s="244">
        <v>0</v>
      </c>
      <c r="K5428" s="244">
        <v>1</v>
      </c>
      <c r="L5428" s="244">
        <v>6</v>
      </c>
      <c r="M5428" s="244">
        <v>0</v>
      </c>
      <c r="N5428" s="244">
        <v>1</v>
      </c>
      <c r="O5428" s="254">
        <v>0</v>
      </c>
    </row>
    <row r="5429" ht="14.25" spans="1:15">
      <c r="A5429" s="245" t="s">
        <v>70</v>
      </c>
      <c r="B5429" s="52" t="s">
        <v>64</v>
      </c>
      <c r="C5429" s="19">
        <v>0.34375</v>
      </c>
      <c r="D5429" s="246">
        <v>0</v>
      </c>
      <c r="E5429" s="246">
        <v>0.25</v>
      </c>
      <c r="F5429" s="246">
        <v>0</v>
      </c>
      <c r="G5429" s="246">
        <v>0</v>
      </c>
      <c r="H5429" s="246">
        <v>0</v>
      </c>
      <c r="I5429" s="246">
        <v>0.25</v>
      </c>
      <c r="J5429" s="246">
        <v>0</v>
      </c>
      <c r="K5429" s="246">
        <v>0.5</v>
      </c>
      <c r="L5429" s="246">
        <v>2</v>
      </c>
      <c r="M5429" s="246">
        <v>0</v>
      </c>
      <c r="N5429" s="246">
        <v>0.25</v>
      </c>
      <c r="O5429" s="255">
        <v>0</v>
      </c>
    </row>
    <row r="5430" spans="1:15">
      <c r="A5430" s="240" t="s">
        <v>26</v>
      </c>
      <c r="B5430" s="47" t="s">
        <v>55</v>
      </c>
      <c r="C5430" s="12">
        <v>427.333333333333</v>
      </c>
      <c r="D5430" s="241" t="e">
        <v>#DIV/0!</v>
      </c>
      <c r="E5430" s="241" t="e">
        <v>#DIV/0!</v>
      </c>
      <c r="F5430" s="241" t="e">
        <v>#DIV/0!</v>
      </c>
      <c r="G5430" s="241" t="e">
        <v>#DIV/0!</v>
      </c>
      <c r="H5430" s="241" t="e">
        <v>#DIV/0!</v>
      </c>
      <c r="I5430" s="241" t="e">
        <v>#DIV/0!</v>
      </c>
      <c r="J5430" s="241" t="e">
        <v>#DIV/0!</v>
      </c>
      <c r="K5430" s="241" t="e">
        <v>#DIV/0!</v>
      </c>
      <c r="L5430" s="241">
        <v>44.6666666666667</v>
      </c>
      <c r="M5430" s="241" t="e">
        <v>#DIV/0!</v>
      </c>
      <c r="N5430" s="241" t="e">
        <v>#DIV/0!</v>
      </c>
      <c r="O5430" s="252" t="e">
        <v>#DIV/0!</v>
      </c>
    </row>
    <row r="5431" spans="1:15">
      <c r="A5431" s="242" t="s">
        <v>26</v>
      </c>
      <c r="B5431" s="43" t="s">
        <v>57</v>
      </c>
      <c r="C5431" s="15">
        <v>3</v>
      </c>
      <c r="D5431" s="243">
        <v>0</v>
      </c>
      <c r="E5431" s="243">
        <v>0</v>
      </c>
      <c r="F5431" s="243">
        <v>0</v>
      </c>
      <c r="G5431" s="243">
        <v>0</v>
      </c>
      <c r="H5431" s="243">
        <v>0</v>
      </c>
      <c r="I5431" s="243">
        <v>0</v>
      </c>
      <c r="J5431" s="243">
        <v>0</v>
      </c>
      <c r="K5431" s="243">
        <v>0</v>
      </c>
      <c r="L5431" s="243">
        <v>3</v>
      </c>
      <c r="M5431" s="243">
        <v>0</v>
      </c>
      <c r="N5431" s="243">
        <v>0</v>
      </c>
      <c r="O5431" s="253">
        <v>0</v>
      </c>
    </row>
    <row r="5432" spans="1:15">
      <c r="A5432" s="240" t="s">
        <v>26</v>
      </c>
      <c r="B5432" s="47" t="s">
        <v>59</v>
      </c>
      <c r="C5432" s="15">
        <v>1282</v>
      </c>
      <c r="D5432" s="243">
        <v>50</v>
      </c>
      <c r="E5432" s="243">
        <v>22</v>
      </c>
      <c r="F5432" s="243">
        <v>17</v>
      </c>
      <c r="G5432" s="243">
        <v>29</v>
      </c>
      <c r="H5432" s="243">
        <v>162</v>
      </c>
      <c r="I5432" s="243">
        <v>157</v>
      </c>
      <c r="J5432" s="243">
        <v>166</v>
      </c>
      <c r="K5432" s="243">
        <v>188</v>
      </c>
      <c r="L5432" s="243">
        <v>134</v>
      </c>
      <c r="M5432" s="243">
        <v>99</v>
      </c>
      <c r="N5432" s="243">
        <v>143</v>
      </c>
      <c r="O5432" s="253">
        <v>115</v>
      </c>
    </row>
    <row r="5433" spans="1:15">
      <c r="A5433" s="242" t="s">
        <v>26</v>
      </c>
      <c r="B5433" s="43" t="s">
        <v>4</v>
      </c>
      <c r="C5433" s="15">
        <v>3</v>
      </c>
      <c r="D5433" s="244">
        <v>0</v>
      </c>
      <c r="E5433" s="244">
        <v>0</v>
      </c>
      <c r="F5433" s="244">
        <v>1</v>
      </c>
      <c r="G5433" s="244">
        <v>0</v>
      </c>
      <c r="H5433" s="244">
        <v>0</v>
      </c>
      <c r="I5433" s="244">
        <v>0</v>
      </c>
      <c r="J5433" s="244">
        <v>0</v>
      </c>
      <c r="K5433" s="244">
        <v>0</v>
      </c>
      <c r="L5433" s="244">
        <v>1</v>
      </c>
      <c r="M5433" s="244">
        <v>0</v>
      </c>
      <c r="N5433" s="244">
        <v>0</v>
      </c>
      <c r="O5433" s="254">
        <v>1</v>
      </c>
    </row>
    <row r="5434" spans="1:15">
      <c r="A5434" s="240" t="s">
        <v>26</v>
      </c>
      <c r="B5434" s="47" t="s">
        <v>5</v>
      </c>
      <c r="C5434" s="12">
        <v>0.00234009360374415</v>
      </c>
      <c r="D5434" s="241">
        <v>0</v>
      </c>
      <c r="E5434" s="241">
        <v>0</v>
      </c>
      <c r="F5434" s="241">
        <v>0.0588235294117647</v>
      </c>
      <c r="G5434" s="241">
        <v>0</v>
      </c>
      <c r="H5434" s="241">
        <v>0</v>
      </c>
      <c r="I5434" s="241">
        <v>0</v>
      </c>
      <c r="J5434" s="241">
        <v>0</v>
      </c>
      <c r="K5434" s="241">
        <v>0</v>
      </c>
      <c r="L5434" s="241">
        <v>0.00746268656716418</v>
      </c>
      <c r="M5434" s="241">
        <v>0</v>
      </c>
      <c r="N5434" s="241">
        <v>0</v>
      </c>
      <c r="O5434" s="252">
        <v>0.00869565217391304</v>
      </c>
    </row>
    <row r="5435" spans="1:15">
      <c r="A5435" s="242" t="s">
        <v>26</v>
      </c>
      <c r="B5435" s="43" t="s">
        <v>6</v>
      </c>
      <c r="C5435" s="15">
        <v>4</v>
      </c>
      <c r="D5435" s="244">
        <v>1</v>
      </c>
      <c r="E5435" s="244">
        <v>0</v>
      </c>
      <c r="F5435" s="244">
        <v>0</v>
      </c>
      <c r="G5435" s="244">
        <v>0</v>
      </c>
      <c r="H5435" s="244">
        <v>0</v>
      </c>
      <c r="I5435" s="244">
        <v>0</v>
      </c>
      <c r="J5435" s="244">
        <v>1</v>
      </c>
      <c r="K5435" s="244">
        <v>0</v>
      </c>
      <c r="L5435" s="244">
        <v>0</v>
      </c>
      <c r="M5435" s="244">
        <v>2</v>
      </c>
      <c r="N5435" s="244">
        <v>0</v>
      </c>
      <c r="O5435" s="254">
        <v>0</v>
      </c>
    </row>
    <row r="5436" ht="14.25" spans="1:15">
      <c r="A5436" s="245" t="s">
        <v>26</v>
      </c>
      <c r="B5436" s="52" t="s">
        <v>64</v>
      </c>
      <c r="C5436" s="19">
        <v>1.33333333333333</v>
      </c>
      <c r="D5436" s="19" t="e">
        <v>#DIV/0!</v>
      </c>
      <c r="E5436" s="19" t="e">
        <v>#DIV/0!</v>
      </c>
      <c r="F5436" s="19">
        <v>0</v>
      </c>
      <c r="G5436" s="19" t="e">
        <v>#DIV/0!</v>
      </c>
      <c r="H5436" s="19" t="e">
        <v>#DIV/0!</v>
      </c>
      <c r="I5436" s="19" t="e">
        <v>#DIV/0!</v>
      </c>
      <c r="J5436" s="19" t="e">
        <v>#DIV/0!</v>
      </c>
      <c r="K5436" s="19" t="e">
        <v>#DIV/0!</v>
      </c>
      <c r="L5436" s="19">
        <v>0</v>
      </c>
      <c r="M5436" s="19" t="e">
        <v>#DIV/0!</v>
      </c>
      <c r="N5436" s="19" t="e">
        <v>#DIV/0!</v>
      </c>
      <c r="O5436" s="19">
        <v>0</v>
      </c>
    </row>
    <row r="5437" spans="1:15">
      <c r="A5437" s="240" t="s">
        <v>71</v>
      </c>
      <c r="B5437" s="47" t="s">
        <v>55</v>
      </c>
      <c r="C5437" s="12">
        <v>595.5</v>
      </c>
      <c r="D5437" s="241" t="e">
        <v>#DIV/0!</v>
      </c>
      <c r="E5437" s="241" t="e">
        <v>#DIV/0!</v>
      </c>
      <c r="F5437" s="241">
        <v>30</v>
      </c>
      <c r="G5437" s="241" t="e">
        <v>#DIV/0!</v>
      </c>
      <c r="H5437" s="241" t="e">
        <v>#DIV/0!</v>
      </c>
      <c r="I5437" s="241" t="e">
        <v>#DIV/0!</v>
      </c>
      <c r="J5437" s="241" t="e">
        <v>#DIV/0!</v>
      </c>
      <c r="K5437" s="241" t="e">
        <v>#DIV/0!</v>
      </c>
      <c r="L5437" s="241" t="e">
        <v>#DIV/0!</v>
      </c>
      <c r="M5437" s="241" t="e">
        <v>#DIV/0!</v>
      </c>
      <c r="N5437" s="241" t="e">
        <v>#DIV/0!</v>
      </c>
      <c r="O5437" s="252" t="e">
        <v>#DIV/0!</v>
      </c>
    </row>
    <row r="5438" spans="1:15">
      <c r="A5438" s="242" t="s">
        <v>71</v>
      </c>
      <c r="B5438" s="43" t="s">
        <v>57</v>
      </c>
      <c r="C5438" s="15">
        <v>2</v>
      </c>
      <c r="D5438" s="243">
        <v>0</v>
      </c>
      <c r="E5438" s="243">
        <v>0</v>
      </c>
      <c r="F5438" s="243">
        <v>2</v>
      </c>
      <c r="G5438" s="243">
        <v>0</v>
      </c>
      <c r="H5438" s="243">
        <v>0</v>
      </c>
      <c r="I5438" s="243">
        <v>0</v>
      </c>
      <c r="J5438" s="243">
        <v>0</v>
      </c>
      <c r="K5438" s="243">
        <v>0</v>
      </c>
      <c r="L5438" s="243">
        <v>0</v>
      </c>
      <c r="M5438" s="243">
        <v>0</v>
      </c>
      <c r="N5438" s="243">
        <v>0</v>
      </c>
      <c r="O5438" s="253">
        <v>0</v>
      </c>
    </row>
    <row r="5439" spans="1:15">
      <c r="A5439" s="240" t="s">
        <v>71</v>
      </c>
      <c r="B5439" s="47" t="s">
        <v>59</v>
      </c>
      <c r="C5439" s="15">
        <v>1191</v>
      </c>
      <c r="D5439" s="243">
        <v>120</v>
      </c>
      <c r="E5439" s="243">
        <v>65</v>
      </c>
      <c r="F5439" s="243">
        <v>60</v>
      </c>
      <c r="G5439" s="243">
        <v>52</v>
      </c>
      <c r="H5439" s="243">
        <v>76</v>
      </c>
      <c r="I5439" s="243">
        <v>88</v>
      </c>
      <c r="J5439" s="243">
        <v>103</v>
      </c>
      <c r="K5439" s="243">
        <v>116</v>
      </c>
      <c r="L5439" s="243">
        <v>103</v>
      </c>
      <c r="M5439" s="243">
        <v>106</v>
      </c>
      <c r="N5439" s="243">
        <v>154</v>
      </c>
      <c r="O5439" s="253">
        <v>148</v>
      </c>
    </row>
    <row r="5440" spans="1:15">
      <c r="A5440" s="242" t="s">
        <v>71</v>
      </c>
      <c r="B5440" s="43" t="s">
        <v>4</v>
      </c>
      <c r="C5440" s="15">
        <v>70</v>
      </c>
      <c r="D5440" s="244">
        <v>10</v>
      </c>
      <c r="E5440" s="244">
        <v>7</v>
      </c>
      <c r="F5440" s="244">
        <v>5</v>
      </c>
      <c r="G5440" s="244">
        <v>2</v>
      </c>
      <c r="H5440" s="244">
        <v>4</v>
      </c>
      <c r="I5440" s="244">
        <v>3</v>
      </c>
      <c r="J5440" s="244">
        <v>4</v>
      </c>
      <c r="K5440" s="244">
        <v>11</v>
      </c>
      <c r="L5440" s="244">
        <v>2</v>
      </c>
      <c r="M5440" s="244">
        <v>9</v>
      </c>
      <c r="N5440" s="244">
        <v>8</v>
      </c>
      <c r="O5440" s="254">
        <v>5</v>
      </c>
    </row>
    <row r="5441" spans="1:15">
      <c r="A5441" s="240" t="s">
        <v>71</v>
      </c>
      <c r="B5441" s="47" t="s">
        <v>5</v>
      </c>
      <c r="C5441" s="241">
        <v>0.0587741393786734</v>
      </c>
      <c r="D5441" s="241">
        <v>0.0833333333333333</v>
      </c>
      <c r="E5441" s="241">
        <v>0.107692307692308</v>
      </c>
      <c r="F5441" s="241">
        <v>0.0833333333333333</v>
      </c>
      <c r="G5441" s="241">
        <v>0.0384615384615385</v>
      </c>
      <c r="H5441" s="241">
        <v>0.0526315789473684</v>
      </c>
      <c r="I5441" s="241">
        <v>0.0340909090909091</v>
      </c>
      <c r="J5441" s="241">
        <v>0.0388349514563107</v>
      </c>
      <c r="K5441" s="241">
        <v>0.0948275862068965</v>
      </c>
      <c r="L5441" s="241">
        <v>0.0194174757281553</v>
      </c>
      <c r="M5441" s="241">
        <v>0.0849056603773585</v>
      </c>
      <c r="N5441" s="241">
        <v>0.051948051948052</v>
      </c>
      <c r="O5441" s="252">
        <v>0.0337837837837838</v>
      </c>
    </row>
    <row r="5442" spans="1:15">
      <c r="A5442" s="242" t="s">
        <v>71</v>
      </c>
      <c r="B5442" s="43" t="s">
        <v>6</v>
      </c>
      <c r="C5442" s="15">
        <v>15</v>
      </c>
      <c r="D5442" s="244">
        <v>1</v>
      </c>
      <c r="E5442" s="244">
        <v>2</v>
      </c>
      <c r="F5442" s="244">
        <v>1</v>
      </c>
      <c r="G5442" s="244">
        <v>0</v>
      </c>
      <c r="H5442" s="244">
        <v>1</v>
      </c>
      <c r="I5442" s="244">
        <v>0</v>
      </c>
      <c r="J5442" s="244">
        <v>3</v>
      </c>
      <c r="K5442" s="244">
        <v>1</v>
      </c>
      <c r="L5442" s="244">
        <v>2</v>
      </c>
      <c r="M5442" s="244">
        <v>2</v>
      </c>
      <c r="N5442" s="244">
        <v>0</v>
      </c>
      <c r="O5442" s="254">
        <v>2</v>
      </c>
    </row>
    <row r="5443" ht="14.25" spans="1:15">
      <c r="A5443" s="245" t="s">
        <v>71</v>
      </c>
      <c r="B5443" s="52" t="s">
        <v>64</v>
      </c>
      <c r="C5443" s="19">
        <v>0.214285714285714</v>
      </c>
      <c r="D5443" s="19">
        <v>0.1</v>
      </c>
      <c r="E5443" s="19">
        <v>0.285714285714286</v>
      </c>
      <c r="F5443" s="19">
        <v>0.2</v>
      </c>
      <c r="G5443" s="19">
        <v>0</v>
      </c>
      <c r="H5443" s="19">
        <v>0.25</v>
      </c>
      <c r="I5443" s="19">
        <v>0</v>
      </c>
      <c r="J5443" s="19">
        <v>0.75</v>
      </c>
      <c r="K5443" s="19">
        <v>0.0909090909090909</v>
      </c>
      <c r="L5443" s="19">
        <v>1</v>
      </c>
      <c r="M5443" s="19">
        <v>0.222222222222222</v>
      </c>
      <c r="N5443" s="19">
        <v>0</v>
      </c>
      <c r="O5443" s="19">
        <v>0.4</v>
      </c>
    </row>
    <row r="5444" spans="1:15">
      <c r="A5444" s="240" t="s">
        <v>72</v>
      </c>
      <c r="B5444" s="47" t="s">
        <v>55</v>
      </c>
      <c r="C5444" s="12">
        <v>0.145776566757493</v>
      </c>
      <c r="D5444" s="241">
        <v>0.187096774193548</v>
      </c>
      <c r="E5444" s="241">
        <v>0.12280701754386</v>
      </c>
      <c r="F5444" s="241">
        <v>0.152671755725191</v>
      </c>
      <c r="G5444" s="241">
        <v>0.154929577464789</v>
      </c>
      <c r="H5444" s="241">
        <v>0.172413793103448</v>
      </c>
      <c r="I5444" s="241">
        <v>0.182222222222222</v>
      </c>
      <c r="J5444" s="241">
        <v>0.134751773049645</v>
      </c>
      <c r="K5444" s="241">
        <v>0.125348189415042</v>
      </c>
      <c r="L5444" s="241">
        <v>0.107438016528926</v>
      </c>
      <c r="M5444" s="241">
        <v>0.160975609756098</v>
      </c>
      <c r="N5444" s="241">
        <v>0.145118733509235</v>
      </c>
      <c r="O5444" s="252">
        <v>0.119186046511628</v>
      </c>
    </row>
    <row r="5445" spans="1:15">
      <c r="A5445" s="242" t="s">
        <v>72</v>
      </c>
      <c r="B5445" s="43" t="s">
        <v>57</v>
      </c>
      <c r="C5445" s="15">
        <v>2936</v>
      </c>
      <c r="D5445" s="243">
        <v>310</v>
      </c>
      <c r="E5445" s="243">
        <v>114</v>
      </c>
      <c r="F5445" s="243">
        <v>131</v>
      </c>
      <c r="G5445" s="243">
        <v>142</v>
      </c>
      <c r="H5445" s="243">
        <v>203</v>
      </c>
      <c r="I5445" s="243">
        <v>225</v>
      </c>
      <c r="J5445" s="243">
        <v>282</v>
      </c>
      <c r="K5445" s="243">
        <v>359</v>
      </c>
      <c r="L5445" s="243">
        <v>242</v>
      </c>
      <c r="M5445" s="243">
        <v>205</v>
      </c>
      <c r="N5445" s="243">
        <v>379</v>
      </c>
      <c r="O5445" s="253">
        <v>344</v>
      </c>
    </row>
    <row r="5446" spans="1:15">
      <c r="A5446" s="240" t="s">
        <v>72</v>
      </c>
      <c r="B5446" s="47" t="s">
        <v>59</v>
      </c>
      <c r="C5446" s="15">
        <v>428</v>
      </c>
      <c r="D5446" s="243">
        <v>58</v>
      </c>
      <c r="E5446" s="243">
        <v>14</v>
      </c>
      <c r="F5446" s="243">
        <v>20</v>
      </c>
      <c r="G5446" s="243">
        <v>22</v>
      </c>
      <c r="H5446" s="243">
        <v>35</v>
      </c>
      <c r="I5446" s="243">
        <v>41</v>
      </c>
      <c r="J5446" s="243">
        <v>38</v>
      </c>
      <c r="K5446" s="243">
        <v>45</v>
      </c>
      <c r="L5446" s="243">
        <v>26</v>
      </c>
      <c r="M5446" s="243">
        <v>33</v>
      </c>
      <c r="N5446" s="243">
        <v>55</v>
      </c>
      <c r="O5446" s="253">
        <v>41</v>
      </c>
    </row>
    <row r="5447" spans="1:15">
      <c r="A5447" s="242" t="s">
        <v>72</v>
      </c>
      <c r="B5447" s="43" t="s">
        <v>4</v>
      </c>
      <c r="C5447" s="15">
        <v>27</v>
      </c>
      <c r="D5447" s="244">
        <v>1</v>
      </c>
      <c r="E5447" s="244">
        <v>1</v>
      </c>
      <c r="F5447" s="244">
        <v>3</v>
      </c>
      <c r="G5447" s="244">
        <v>1</v>
      </c>
      <c r="H5447" s="244">
        <v>2</v>
      </c>
      <c r="I5447" s="244">
        <v>2</v>
      </c>
      <c r="J5447" s="244">
        <v>5</v>
      </c>
      <c r="K5447" s="244">
        <v>5</v>
      </c>
      <c r="L5447" s="244">
        <v>2</v>
      </c>
      <c r="M5447" s="244">
        <v>1</v>
      </c>
      <c r="N5447" s="244">
        <v>2</v>
      </c>
      <c r="O5447" s="254">
        <v>2</v>
      </c>
    </row>
    <row r="5448" spans="1:15">
      <c r="A5448" s="240" t="s">
        <v>72</v>
      </c>
      <c r="B5448" s="47" t="s">
        <v>5</v>
      </c>
      <c r="C5448" s="12">
        <v>0.0630841121495327</v>
      </c>
      <c r="D5448" s="241">
        <v>0.0172413793103448</v>
      </c>
      <c r="E5448" s="241">
        <v>0.0714285714285714</v>
      </c>
      <c r="F5448" s="241">
        <v>0.15</v>
      </c>
      <c r="G5448" s="241">
        <v>0.0454545454545455</v>
      </c>
      <c r="H5448" s="241">
        <v>0.0571428571428571</v>
      </c>
      <c r="I5448" s="241">
        <v>0.0487804878048781</v>
      </c>
      <c r="J5448" s="241">
        <v>0.131578947368421</v>
      </c>
      <c r="K5448" s="241">
        <v>0.111111111111111</v>
      </c>
      <c r="L5448" s="241">
        <v>0.0769230769230769</v>
      </c>
      <c r="M5448" s="241">
        <v>0.0303030303030303</v>
      </c>
      <c r="N5448" s="241">
        <v>0.0363636363636364</v>
      </c>
      <c r="O5448" s="252">
        <v>0.0487804878048781</v>
      </c>
    </row>
    <row r="5449" spans="1:15">
      <c r="A5449" s="242" t="s">
        <v>72</v>
      </c>
      <c r="B5449" s="43" t="s">
        <v>6</v>
      </c>
      <c r="C5449" s="15">
        <v>5</v>
      </c>
      <c r="D5449" s="244">
        <v>0</v>
      </c>
      <c r="E5449" s="244">
        <v>0</v>
      </c>
      <c r="F5449" s="244">
        <v>0</v>
      </c>
      <c r="G5449" s="244">
        <v>1</v>
      </c>
      <c r="H5449" s="244">
        <v>0</v>
      </c>
      <c r="I5449" s="244">
        <v>0</v>
      </c>
      <c r="J5449" s="244">
        <v>1</v>
      </c>
      <c r="K5449" s="244">
        <v>2</v>
      </c>
      <c r="L5449" s="244">
        <v>1</v>
      </c>
      <c r="M5449" s="244">
        <v>0</v>
      </c>
      <c r="N5449" s="244">
        <v>0</v>
      </c>
      <c r="O5449" s="254">
        <v>0</v>
      </c>
    </row>
    <row r="5450" ht="14.25" spans="1:15">
      <c r="A5450" s="245" t="s">
        <v>72</v>
      </c>
      <c r="B5450" s="52" t="s">
        <v>64</v>
      </c>
      <c r="C5450" s="19">
        <v>0.185185185185185</v>
      </c>
      <c r="D5450" s="19">
        <v>0</v>
      </c>
      <c r="E5450" s="19">
        <v>0</v>
      </c>
      <c r="F5450" s="19">
        <v>0</v>
      </c>
      <c r="G5450" s="19">
        <v>1</v>
      </c>
      <c r="H5450" s="19">
        <v>0</v>
      </c>
      <c r="I5450" s="19">
        <v>0</v>
      </c>
      <c r="J5450" s="19">
        <v>0.2</v>
      </c>
      <c r="K5450" s="19">
        <v>0.4</v>
      </c>
      <c r="L5450" s="19">
        <v>0.5</v>
      </c>
      <c r="M5450" s="19">
        <v>0</v>
      </c>
      <c r="N5450" s="19">
        <v>0</v>
      </c>
      <c r="O5450" s="19">
        <v>0</v>
      </c>
    </row>
    <row r="5451" ht="14.25" spans="1:15">
      <c r="A5451" s="237">
        <v>45103</v>
      </c>
      <c r="B5451" s="237"/>
      <c r="C5451" s="237"/>
      <c r="D5451" s="237"/>
      <c r="E5451" s="237"/>
      <c r="F5451" s="237"/>
      <c r="G5451" s="237"/>
      <c r="H5451" s="237"/>
      <c r="I5451" s="237"/>
      <c r="J5451" s="237"/>
      <c r="K5451" s="237"/>
      <c r="L5451" s="237"/>
      <c r="M5451" s="237"/>
      <c r="N5451" s="237"/>
      <c r="O5451" s="237"/>
    </row>
    <row r="5452" spans="1:15">
      <c r="A5452" s="56" t="s">
        <v>1</v>
      </c>
      <c r="B5452" s="238"/>
      <c r="C5452" s="8" t="s">
        <v>42</v>
      </c>
      <c r="D5452" s="239" t="s">
        <v>43</v>
      </c>
      <c r="E5452" s="239" t="s">
        <v>44</v>
      </c>
      <c r="F5452" s="239" t="s">
        <v>45</v>
      </c>
      <c r="G5452" s="239" t="s">
        <v>46</v>
      </c>
      <c r="H5452" s="239" t="s">
        <v>47</v>
      </c>
      <c r="I5452" s="239" t="s">
        <v>48</v>
      </c>
      <c r="J5452" s="239" t="s">
        <v>49</v>
      </c>
      <c r="K5452" s="239" t="s">
        <v>50</v>
      </c>
      <c r="L5452" s="239" t="s">
        <v>51</v>
      </c>
      <c r="M5452" s="239" t="s">
        <v>52</v>
      </c>
      <c r="N5452" s="239" t="s">
        <v>53</v>
      </c>
      <c r="O5452" s="251" t="s">
        <v>54</v>
      </c>
    </row>
    <row r="5453" spans="1:15">
      <c r="A5453" s="240" t="s">
        <v>22</v>
      </c>
      <c r="B5453" s="47" t="s">
        <v>55</v>
      </c>
      <c r="C5453" s="12">
        <v>0.862674238513165</v>
      </c>
      <c r="D5453" s="241">
        <v>1.07368421052632</v>
      </c>
      <c r="E5453" s="241">
        <v>0.8671875</v>
      </c>
      <c r="F5453" s="241">
        <v>0.96875</v>
      </c>
      <c r="G5453" s="241">
        <v>1.14102564102564</v>
      </c>
      <c r="H5453" s="241">
        <v>0.869918699186992</v>
      </c>
      <c r="I5453" s="241">
        <v>0.895348837209302</v>
      </c>
      <c r="J5453" s="241">
        <v>0.823529411764706</v>
      </c>
      <c r="K5453" s="241">
        <v>0.758139534883721</v>
      </c>
      <c r="L5453" s="241">
        <v>0.842696629213483</v>
      </c>
      <c r="M5453" s="241">
        <v>0.811764705882353</v>
      </c>
      <c r="N5453" s="241">
        <v>0.798029556650246</v>
      </c>
      <c r="O5453" s="252">
        <v>0.77292576419214</v>
      </c>
    </row>
    <row r="5454" spans="1:15">
      <c r="A5454" s="242" t="s">
        <v>22</v>
      </c>
      <c r="B5454" s="43" t="s">
        <v>57</v>
      </c>
      <c r="C5454" s="15">
        <v>1937</v>
      </c>
      <c r="D5454" s="243">
        <v>190</v>
      </c>
      <c r="E5454" s="243">
        <v>128</v>
      </c>
      <c r="F5454" s="243">
        <v>64</v>
      </c>
      <c r="G5454" s="243">
        <v>78</v>
      </c>
      <c r="H5454" s="243">
        <v>123</v>
      </c>
      <c r="I5454" s="243">
        <v>172</v>
      </c>
      <c r="J5454" s="243">
        <v>187</v>
      </c>
      <c r="K5454" s="243">
        <v>215</v>
      </c>
      <c r="L5454" s="243">
        <v>178</v>
      </c>
      <c r="M5454" s="243">
        <v>170</v>
      </c>
      <c r="N5454" s="243">
        <v>203</v>
      </c>
      <c r="O5454" s="253">
        <v>229</v>
      </c>
    </row>
    <row r="5455" spans="1:15">
      <c r="A5455" s="240" t="s">
        <v>22</v>
      </c>
      <c r="B5455" s="47" t="s">
        <v>59</v>
      </c>
      <c r="C5455" s="15">
        <v>1671</v>
      </c>
      <c r="D5455" s="243">
        <v>204</v>
      </c>
      <c r="E5455" s="243">
        <v>111</v>
      </c>
      <c r="F5455" s="243">
        <v>62</v>
      </c>
      <c r="G5455" s="243">
        <v>89</v>
      </c>
      <c r="H5455" s="243">
        <v>107</v>
      </c>
      <c r="I5455" s="243">
        <v>154</v>
      </c>
      <c r="J5455" s="243">
        <v>154</v>
      </c>
      <c r="K5455" s="243">
        <v>163</v>
      </c>
      <c r="L5455" s="243">
        <v>150</v>
      </c>
      <c r="M5455" s="243">
        <v>138</v>
      </c>
      <c r="N5455" s="243">
        <v>162</v>
      </c>
      <c r="O5455" s="253">
        <v>177</v>
      </c>
    </row>
    <row r="5456" spans="1:15">
      <c r="A5456" s="242" t="s">
        <v>22</v>
      </c>
      <c r="B5456" s="43" t="s">
        <v>4</v>
      </c>
      <c r="C5456" s="15">
        <v>42</v>
      </c>
      <c r="D5456" s="244">
        <v>9</v>
      </c>
      <c r="E5456" s="244">
        <v>3</v>
      </c>
      <c r="F5456" s="244">
        <v>0</v>
      </c>
      <c r="G5456" s="244">
        <v>3</v>
      </c>
      <c r="H5456" s="244">
        <v>2</v>
      </c>
      <c r="I5456" s="244">
        <v>0</v>
      </c>
      <c r="J5456" s="244">
        <v>2</v>
      </c>
      <c r="K5456" s="244">
        <v>5</v>
      </c>
      <c r="L5456" s="244">
        <v>6</v>
      </c>
      <c r="M5456" s="244">
        <v>5</v>
      </c>
      <c r="N5456" s="244">
        <v>2</v>
      </c>
      <c r="O5456" s="254">
        <v>5</v>
      </c>
    </row>
    <row r="5457" spans="1:15">
      <c r="A5457" s="240" t="s">
        <v>22</v>
      </c>
      <c r="B5457" s="47" t="s">
        <v>5</v>
      </c>
      <c r="C5457" s="12">
        <v>0.0251346499102334</v>
      </c>
      <c r="D5457" s="241">
        <v>0.0441176470588235</v>
      </c>
      <c r="E5457" s="241">
        <v>0.027027027027027</v>
      </c>
      <c r="F5457" s="241">
        <v>0</v>
      </c>
      <c r="G5457" s="241">
        <v>0.0337078651685393</v>
      </c>
      <c r="H5457" s="241">
        <v>0.0186915887850467</v>
      </c>
      <c r="I5457" s="241">
        <v>0</v>
      </c>
      <c r="J5457" s="241">
        <v>0.012987012987013</v>
      </c>
      <c r="K5457" s="241">
        <v>0.0306748466257669</v>
      </c>
      <c r="L5457" s="241">
        <v>0.04</v>
      </c>
      <c r="M5457" s="241">
        <v>0.036231884057971</v>
      </c>
      <c r="N5457" s="241">
        <v>0.0123456790123457</v>
      </c>
      <c r="O5457" s="252">
        <v>0.0282485875706215</v>
      </c>
    </row>
    <row r="5458" spans="1:15">
      <c r="A5458" s="242" t="s">
        <v>22</v>
      </c>
      <c r="B5458" s="43" t="s">
        <v>6</v>
      </c>
      <c r="C5458" s="15">
        <v>18</v>
      </c>
      <c r="D5458" s="244">
        <v>2</v>
      </c>
      <c r="E5458" s="244">
        <v>2</v>
      </c>
      <c r="F5458" s="244">
        <v>1</v>
      </c>
      <c r="G5458" s="244">
        <v>0</v>
      </c>
      <c r="H5458" s="244">
        <v>2</v>
      </c>
      <c r="I5458" s="244">
        <v>0</v>
      </c>
      <c r="J5458" s="244">
        <v>1</v>
      </c>
      <c r="K5458" s="244">
        <v>0</v>
      </c>
      <c r="L5458" s="244">
        <v>1</v>
      </c>
      <c r="M5458" s="244">
        <v>3</v>
      </c>
      <c r="N5458" s="244">
        <v>3</v>
      </c>
      <c r="O5458" s="254">
        <v>3</v>
      </c>
    </row>
    <row r="5459" ht="14.25" spans="1:15">
      <c r="A5459" s="245" t="s">
        <v>22</v>
      </c>
      <c r="B5459" s="52" t="s">
        <v>64</v>
      </c>
      <c r="C5459" s="19">
        <v>0.428571428571429</v>
      </c>
      <c r="D5459" s="246">
        <v>0.222222222222222</v>
      </c>
      <c r="E5459" s="246">
        <v>0.666666666666667</v>
      </c>
      <c r="F5459" s="246">
        <v>0</v>
      </c>
      <c r="G5459" s="246">
        <v>0</v>
      </c>
      <c r="H5459" s="246">
        <v>1</v>
      </c>
      <c r="I5459" s="246">
        <v>0</v>
      </c>
      <c r="J5459" s="246">
        <v>0.5</v>
      </c>
      <c r="K5459" s="246">
        <v>0</v>
      </c>
      <c r="L5459" s="246">
        <v>0.166666666666667</v>
      </c>
      <c r="M5459" s="246">
        <v>0.6</v>
      </c>
      <c r="N5459" s="246">
        <v>1.5</v>
      </c>
      <c r="O5459" s="255">
        <v>0.6</v>
      </c>
    </row>
    <row r="5460" spans="1:15">
      <c r="A5460" s="247" t="s">
        <v>66</v>
      </c>
      <c r="B5460" s="248" t="s">
        <v>55</v>
      </c>
      <c r="C5460" s="12">
        <v>0.0729792147806005</v>
      </c>
      <c r="D5460" s="249">
        <v>0.0646551724137931</v>
      </c>
      <c r="E5460" s="249">
        <v>0.036</v>
      </c>
      <c r="F5460" s="249">
        <v>0.019047619047619</v>
      </c>
      <c r="G5460" s="249">
        <v>0.0222222222222222</v>
      </c>
      <c r="H5460" s="249">
        <v>0.0568181818181818</v>
      </c>
      <c r="I5460" s="249">
        <v>0.0893854748603352</v>
      </c>
      <c r="J5460" s="249">
        <v>0.0949720670391061</v>
      </c>
      <c r="K5460" s="249">
        <v>0.0994152046783626</v>
      </c>
      <c r="L5460" s="249">
        <v>0.0972222222222222</v>
      </c>
      <c r="M5460" s="249">
        <v>0.0597014925373134</v>
      </c>
      <c r="N5460" s="249">
        <v>0.119718309859155</v>
      </c>
      <c r="O5460" s="256">
        <v>0.160714285714286</v>
      </c>
    </row>
    <row r="5461" spans="1:15">
      <c r="A5461" s="242" t="s">
        <v>66</v>
      </c>
      <c r="B5461" s="43" t="s">
        <v>57</v>
      </c>
      <c r="C5461" s="15">
        <v>2165</v>
      </c>
      <c r="D5461" s="243">
        <v>232</v>
      </c>
      <c r="E5461" s="243">
        <v>250</v>
      </c>
      <c r="F5461" s="243">
        <v>210</v>
      </c>
      <c r="G5461" s="243">
        <v>180</v>
      </c>
      <c r="H5461" s="243">
        <v>176</v>
      </c>
      <c r="I5461" s="243">
        <v>179</v>
      </c>
      <c r="J5461" s="243">
        <v>179</v>
      </c>
      <c r="K5461" s="243">
        <v>171</v>
      </c>
      <c r="L5461" s="243">
        <v>144</v>
      </c>
      <c r="M5461" s="243">
        <v>134</v>
      </c>
      <c r="N5461" s="243">
        <v>142</v>
      </c>
      <c r="O5461" s="253">
        <v>168</v>
      </c>
    </row>
    <row r="5462" spans="1:15">
      <c r="A5462" s="240" t="s">
        <v>66</v>
      </c>
      <c r="B5462" s="47" t="s">
        <v>59</v>
      </c>
      <c r="C5462" s="15">
        <v>158</v>
      </c>
      <c r="D5462" s="243">
        <v>15</v>
      </c>
      <c r="E5462" s="243">
        <v>9</v>
      </c>
      <c r="F5462" s="243">
        <v>4</v>
      </c>
      <c r="G5462" s="243">
        <v>4</v>
      </c>
      <c r="H5462" s="243">
        <v>10</v>
      </c>
      <c r="I5462" s="243">
        <v>16</v>
      </c>
      <c r="J5462" s="243">
        <v>17</v>
      </c>
      <c r="K5462" s="243">
        <v>17</v>
      </c>
      <c r="L5462" s="243">
        <v>14</v>
      </c>
      <c r="M5462" s="243">
        <v>8</v>
      </c>
      <c r="N5462" s="243">
        <v>17</v>
      </c>
      <c r="O5462" s="253">
        <v>27</v>
      </c>
    </row>
    <row r="5463" spans="1:15">
      <c r="A5463" s="242" t="s">
        <v>66</v>
      </c>
      <c r="B5463" s="43" t="s">
        <v>4</v>
      </c>
      <c r="C5463" s="15">
        <v>9</v>
      </c>
      <c r="D5463" s="244">
        <v>0</v>
      </c>
      <c r="E5463" s="244">
        <v>0</v>
      </c>
      <c r="F5463" s="244">
        <v>0</v>
      </c>
      <c r="G5463" s="244">
        <v>0</v>
      </c>
      <c r="H5463" s="244">
        <v>1</v>
      </c>
      <c r="I5463" s="244">
        <v>0</v>
      </c>
      <c r="J5463" s="244">
        <v>0</v>
      </c>
      <c r="K5463" s="244">
        <v>2</v>
      </c>
      <c r="L5463" s="244">
        <v>1</v>
      </c>
      <c r="M5463" s="244">
        <v>1</v>
      </c>
      <c r="N5463" s="244">
        <v>2</v>
      </c>
      <c r="O5463" s="254">
        <v>2</v>
      </c>
    </row>
    <row r="5464" spans="1:15">
      <c r="A5464" s="240" t="s">
        <v>66</v>
      </c>
      <c r="B5464" s="47" t="s">
        <v>5</v>
      </c>
      <c r="C5464" s="12">
        <v>0.0569620253164557</v>
      </c>
      <c r="D5464" s="241">
        <v>0</v>
      </c>
      <c r="E5464" s="241">
        <v>0</v>
      </c>
      <c r="F5464" s="241">
        <v>0</v>
      </c>
      <c r="G5464" s="241">
        <v>0</v>
      </c>
      <c r="H5464" s="241">
        <v>0.1</v>
      </c>
      <c r="I5464" s="241">
        <v>0</v>
      </c>
      <c r="J5464" s="241">
        <v>0</v>
      </c>
      <c r="K5464" s="241">
        <v>0.117647058823529</v>
      </c>
      <c r="L5464" s="241">
        <v>0.0714285714285714</v>
      </c>
      <c r="M5464" s="241">
        <v>0.125</v>
      </c>
      <c r="N5464" s="241">
        <v>0.117647058823529</v>
      </c>
      <c r="O5464" s="252">
        <v>0.0740740740740741</v>
      </c>
    </row>
    <row r="5465" spans="1:15">
      <c r="A5465" s="242" t="s">
        <v>66</v>
      </c>
      <c r="B5465" s="43" t="s">
        <v>6</v>
      </c>
      <c r="C5465" s="15">
        <v>1</v>
      </c>
      <c r="D5465" s="244">
        <v>0</v>
      </c>
      <c r="E5465" s="244">
        <v>0</v>
      </c>
      <c r="F5465" s="244">
        <v>0</v>
      </c>
      <c r="G5465" s="244">
        <v>0</v>
      </c>
      <c r="H5465" s="244">
        <v>0</v>
      </c>
      <c r="I5465" s="244">
        <v>0</v>
      </c>
      <c r="J5465" s="244">
        <v>0</v>
      </c>
      <c r="K5465" s="244">
        <v>0</v>
      </c>
      <c r="L5465" s="244">
        <v>0</v>
      </c>
      <c r="M5465" s="244">
        <v>0</v>
      </c>
      <c r="N5465" s="244">
        <v>0</v>
      </c>
      <c r="O5465" s="254">
        <v>1</v>
      </c>
    </row>
    <row r="5466" ht="14.25" spans="1:15">
      <c r="A5466" s="245" t="s">
        <v>66</v>
      </c>
      <c r="B5466" s="52" t="s">
        <v>64</v>
      </c>
      <c r="C5466" s="19">
        <v>0.111111111111111</v>
      </c>
      <c r="D5466" s="246">
        <v>0</v>
      </c>
      <c r="E5466" s="246">
        <v>0</v>
      </c>
      <c r="F5466" s="246">
        <v>0</v>
      </c>
      <c r="G5466" s="246">
        <v>0</v>
      </c>
      <c r="H5466" s="246">
        <v>0</v>
      </c>
      <c r="I5466" s="246">
        <v>0</v>
      </c>
      <c r="J5466" s="246">
        <v>0</v>
      </c>
      <c r="K5466" s="246">
        <v>0</v>
      </c>
      <c r="L5466" s="246">
        <v>0</v>
      </c>
      <c r="M5466" s="246">
        <v>0</v>
      </c>
      <c r="N5466" s="246">
        <v>0</v>
      </c>
      <c r="O5466" s="255">
        <v>0.5</v>
      </c>
    </row>
    <row r="5467" spans="1:15">
      <c r="A5467" s="240" t="s">
        <v>67</v>
      </c>
      <c r="B5467" s="47" t="s">
        <v>55</v>
      </c>
      <c r="C5467" s="12">
        <v>0.536934950385888</v>
      </c>
      <c r="D5467" s="241">
        <v>0.505263157894737</v>
      </c>
      <c r="E5467" s="241">
        <v>0.520833333333333</v>
      </c>
      <c r="F5467" s="241">
        <v>0.555555555555556</v>
      </c>
      <c r="G5467" s="241">
        <v>0.545454545454545</v>
      </c>
      <c r="H5467" s="241">
        <v>0.854166666666667</v>
      </c>
      <c r="I5467" s="241">
        <v>0.540540540540541</v>
      </c>
      <c r="J5467" s="241">
        <v>0.523255813953488</v>
      </c>
      <c r="K5467" s="241">
        <v>0.571428571428571</v>
      </c>
      <c r="L5467" s="241">
        <v>0.440366972477064</v>
      </c>
      <c r="M5467" s="241">
        <v>0.389473684210526</v>
      </c>
      <c r="N5467" s="241">
        <v>0.567164179104478</v>
      </c>
      <c r="O5467" s="252">
        <v>0.601626016260163</v>
      </c>
    </row>
    <row r="5468" spans="1:15">
      <c r="A5468" s="242" t="s">
        <v>67</v>
      </c>
      <c r="B5468" s="43" t="s">
        <v>57</v>
      </c>
      <c r="C5468" s="15">
        <v>907</v>
      </c>
      <c r="D5468" s="243">
        <v>95</v>
      </c>
      <c r="E5468" s="243">
        <v>48</v>
      </c>
      <c r="F5468" s="243">
        <v>27</v>
      </c>
      <c r="G5468" s="243">
        <v>44</v>
      </c>
      <c r="H5468" s="243">
        <v>48</v>
      </c>
      <c r="I5468" s="243">
        <v>74</v>
      </c>
      <c r="J5468" s="243">
        <v>86</v>
      </c>
      <c r="K5468" s="243">
        <v>91</v>
      </c>
      <c r="L5468" s="243">
        <v>109</v>
      </c>
      <c r="M5468" s="243">
        <v>95</v>
      </c>
      <c r="N5468" s="243">
        <v>67</v>
      </c>
      <c r="O5468" s="253">
        <v>123</v>
      </c>
    </row>
    <row r="5469" spans="1:15">
      <c r="A5469" s="240" t="s">
        <v>67</v>
      </c>
      <c r="B5469" s="47" t="s">
        <v>59</v>
      </c>
      <c r="C5469" s="15">
        <v>487</v>
      </c>
      <c r="D5469" s="243">
        <v>48</v>
      </c>
      <c r="E5469" s="243">
        <v>25</v>
      </c>
      <c r="F5469" s="243">
        <v>15</v>
      </c>
      <c r="G5469" s="243">
        <v>24</v>
      </c>
      <c r="H5469" s="243">
        <v>41</v>
      </c>
      <c r="I5469" s="243">
        <v>40</v>
      </c>
      <c r="J5469" s="243">
        <v>45</v>
      </c>
      <c r="K5469" s="243">
        <v>52</v>
      </c>
      <c r="L5469" s="243">
        <v>48</v>
      </c>
      <c r="M5469" s="243">
        <v>37</v>
      </c>
      <c r="N5469" s="243">
        <v>38</v>
      </c>
      <c r="O5469" s="253">
        <v>74</v>
      </c>
    </row>
    <row r="5470" spans="1:15">
      <c r="A5470" s="242" t="s">
        <v>67</v>
      </c>
      <c r="B5470" s="43" t="s">
        <v>4</v>
      </c>
      <c r="C5470" s="15">
        <v>18</v>
      </c>
      <c r="D5470" s="244">
        <v>2</v>
      </c>
      <c r="E5470" s="244">
        <v>3</v>
      </c>
      <c r="F5470" s="244">
        <v>2</v>
      </c>
      <c r="G5470" s="244">
        <v>1</v>
      </c>
      <c r="H5470" s="244">
        <v>0</v>
      </c>
      <c r="I5470" s="244">
        <v>2</v>
      </c>
      <c r="J5470" s="244">
        <v>2</v>
      </c>
      <c r="K5470" s="244">
        <v>1</v>
      </c>
      <c r="L5470" s="244">
        <v>3</v>
      </c>
      <c r="M5470" s="244">
        <v>0</v>
      </c>
      <c r="N5470" s="244">
        <v>1</v>
      </c>
      <c r="O5470" s="254">
        <v>1</v>
      </c>
    </row>
    <row r="5471" spans="1:15">
      <c r="A5471" s="240" t="s">
        <v>67</v>
      </c>
      <c r="B5471" s="47" t="s">
        <v>5</v>
      </c>
      <c r="C5471" s="12">
        <v>0.0369609856262834</v>
      </c>
      <c r="D5471" s="241">
        <v>0.0416666666666667</v>
      </c>
      <c r="E5471" s="241">
        <v>0.12</v>
      </c>
      <c r="F5471" s="241">
        <v>0.133333333333333</v>
      </c>
      <c r="G5471" s="241">
        <v>0.0416666666666667</v>
      </c>
      <c r="H5471" s="241">
        <v>0</v>
      </c>
      <c r="I5471" s="241">
        <v>0.05</v>
      </c>
      <c r="J5471" s="241">
        <v>0.0444444444444444</v>
      </c>
      <c r="K5471" s="241">
        <v>0.0192307692307692</v>
      </c>
      <c r="L5471" s="241">
        <v>0.0625</v>
      </c>
      <c r="M5471" s="241">
        <v>0</v>
      </c>
      <c r="N5471" s="241">
        <v>0.0263157894736842</v>
      </c>
      <c r="O5471" s="252">
        <v>0.0135135135135135</v>
      </c>
    </row>
    <row r="5472" spans="1:15">
      <c r="A5472" s="242" t="s">
        <v>67</v>
      </c>
      <c r="B5472" s="43" t="s">
        <v>6</v>
      </c>
      <c r="C5472" s="15">
        <v>8</v>
      </c>
      <c r="D5472" s="244">
        <v>0</v>
      </c>
      <c r="E5472" s="244">
        <v>1</v>
      </c>
      <c r="F5472" s="244">
        <v>0</v>
      </c>
      <c r="G5472" s="244">
        <v>0</v>
      </c>
      <c r="H5472" s="244">
        <v>0</v>
      </c>
      <c r="I5472" s="244">
        <v>1</v>
      </c>
      <c r="J5472" s="244">
        <v>0</v>
      </c>
      <c r="K5472" s="244">
        <v>2</v>
      </c>
      <c r="L5472" s="244">
        <v>2</v>
      </c>
      <c r="M5472" s="244">
        <v>1</v>
      </c>
      <c r="N5472" s="244">
        <v>0</v>
      </c>
      <c r="O5472" s="254">
        <v>1</v>
      </c>
    </row>
    <row r="5473" ht="14.25" spans="1:15">
      <c r="A5473" s="245" t="s">
        <v>67</v>
      </c>
      <c r="B5473" s="52" t="s">
        <v>64</v>
      </c>
      <c r="C5473" s="19">
        <v>0.444444444444444</v>
      </c>
      <c r="D5473" s="246">
        <v>0</v>
      </c>
      <c r="E5473" s="246">
        <v>0.333333333333333</v>
      </c>
      <c r="F5473" s="246">
        <v>0</v>
      </c>
      <c r="G5473" s="246">
        <v>0</v>
      </c>
      <c r="H5473" s="246">
        <v>0</v>
      </c>
      <c r="I5473" s="246">
        <v>0.5</v>
      </c>
      <c r="J5473" s="246">
        <v>0</v>
      </c>
      <c r="K5473" s="246">
        <v>2</v>
      </c>
      <c r="L5473" s="246">
        <v>0.666666666666667</v>
      </c>
      <c r="M5473" s="246">
        <v>0</v>
      </c>
      <c r="N5473" s="246">
        <v>0</v>
      </c>
      <c r="O5473" s="255">
        <v>1</v>
      </c>
    </row>
    <row r="5474" spans="1:15">
      <c r="A5474" s="240" t="s">
        <v>68</v>
      </c>
      <c r="B5474" s="47" t="s">
        <v>55</v>
      </c>
      <c r="C5474" s="12">
        <v>0.247569669475049</v>
      </c>
      <c r="D5474" s="241">
        <v>0.379790940766551</v>
      </c>
      <c r="E5474" s="241">
        <v>0.23728813559322</v>
      </c>
      <c r="F5474" s="241">
        <v>0.352941176470588</v>
      </c>
      <c r="G5474" s="241">
        <v>0.434343434343434</v>
      </c>
      <c r="H5474" s="241">
        <v>0.314285714285714</v>
      </c>
      <c r="I5474" s="241">
        <v>0.233009708737864</v>
      </c>
      <c r="J5474" s="241">
        <v>0.179153094462541</v>
      </c>
      <c r="K5474" s="241">
        <v>0.205992509363296</v>
      </c>
      <c r="L5474" s="241">
        <v>0.255192878338279</v>
      </c>
      <c r="M5474" s="241">
        <v>0.213559322033898</v>
      </c>
      <c r="N5474" s="241">
        <v>0.219047619047619</v>
      </c>
      <c r="O5474" s="252">
        <v>0.182957393483709</v>
      </c>
    </row>
    <row r="5475" spans="1:15">
      <c r="A5475" s="242" t="s">
        <v>68</v>
      </c>
      <c r="B5475" s="43" t="s">
        <v>57</v>
      </c>
      <c r="C5475" s="15">
        <v>3086</v>
      </c>
      <c r="D5475" s="243">
        <v>287</v>
      </c>
      <c r="E5475" s="243">
        <v>177</v>
      </c>
      <c r="F5475" s="243">
        <v>119</v>
      </c>
      <c r="G5475" s="243">
        <v>99</v>
      </c>
      <c r="H5475" s="243">
        <v>175</v>
      </c>
      <c r="I5475" s="243">
        <v>309</v>
      </c>
      <c r="J5475" s="243">
        <v>307</v>
      </c>
      <c r="K5475" s="243">
        <v>267</v>
      </c>
      <c r="L5475" s="243">
        <v>337</v>
      </c>
      <c r="M5475" s="243">
        <v>295</v>
      </c>
      <c r="N5475" s="243">
        <v>315</v>
      </c>
      <c r="O5475" s="253">
        <v>399</v>
      </c>
    </row>
    <row r="5476" spans="1:15">
      <c r="A5476" s="240" t="s">
        <v>68</v>
      </c>
      <c r="B5476" s="47" t="s">
        <v>59</v>
      </c>
      <c r="C5476" s="15">
        <v>764</v>
      </c>
      <c r="D5476" s="243">
        <v>109</v>
      </c>
      <c r="E5476" s="243">
        <v>42</v>
      </c>
      <c r="F5476" s="243">
        <v>42</v>
      </c>
      <c r="G5476" s="243">
        <v>43</v>
      </c>
      <c r="H5476" s="243">
        <v>55</v>
      </c>
      <c r="I5476" s="243">
        <v>72</v>
      </c>
      <c r="J5476" s="243">
        <v>55</v>
      </c>
      <c r="K5476" s="243">
        <v>55</v>
      </c>
      <c r="L5476" s="243">
        <v>86</v>
      </c>
      <c r="M5476" s="243">
        <v>63</v>
      </c>
      <c r="N5476" s="243">
        <v>69</v>
      </c>
      <c r="O5476" s="253">
        <v>73</v>
      </c>
    </row>
    <row r="5477" spans="1:15">
      <c r="A5477" s="242" t="s">
        <v>68</v>
      </c>
      <c r="B5477" s="43" t="s">
        <v>4</v>
      </c>
      <c r="C5477" s="15">
        <v>34</v>
      </c>
      <c r="D5477" s="244">
        <v>7</v>
      </c>
      <c r="E5477" s="244">
        <v>2</v>
      </c>
      <c r="F5477" s="244">
        <v>4</v>
      </c>
      <c r="G5477" s="244">
        <v>1</v>
      </c>
      <c r="H5477" s="244">
        <v>1</v>
      </c>
      <c r="I5477" s="244">
        <v>2</v>
      </c>
      <c r="J5477" s="244">
        <v>2</v>
      </c>
      <c r="K5477" s="244">
        <v>3</v>
      </c>
      <c r="L5477" s="244">
        <v>3</v>
      </c>
      <c r="M5477" s="244">
        <v>3</v>
      </c>
      <c r="N5477" s="244">
        <v>1</v>
      </c>
      <c r="O5477" s="254">
        <v>5</v>
      </c>
    </row>
    <row r="5478" spans="1:15">
      <c r="A5478" s="240" t="s">
        <v>68</v>
      </c>
      <c r="B5478" s="47" t="s">
        <v>5</v>
      </c>
      <c r="C5478" s="12">
        <v>0.0445026178010471</v>
      </c>
      <c r="D5478" s="241">
        <v>0.0642201834862385</v>
      </c>
      <c r="E5478" s="241">
        <v>0.0476190476190476</v>
      </c>
      <c r="F5478" s="241">
        <v>0.0952380952380952</v>
      </c>
      <c r="G5478" s="241">
        <v>0.0232558139534884</v>
      </c>
      <c r="H5478" s="241">
        <v>0.0181818181818182</v>
      </c>
      <c r="I5478" s="241">
        <v>0.0277777777777778</v>
      </c>
      <c r="J5478" s="241">
        <v>0.0363636363636364</v>
      </c>
      <c r="K5478" s="241">
        <v>0.0545454545454545</v>
      </c>
      <c r="L5478" s="241">
        <v>0.0348837209302326</v>
      </c>
      <c r="M5478" s="241">
        <v>0.0476190476190476</v>
      </c>
      <c r="N5478" s="241">
        <v>0.0144927536231884</v>
      </c>
      <c r="O5478" s="252">
        <v>0.0684931506849315</v>
      </c>
    </row>
    <row r="5479" spans="1:15">
      <c r="A5479" s="242" t="s">
        <v>68</v>
      </c>
      <c r="B5479" s="43" t="s">
        <v>6</v>
      </c>
      <c r="C5479" s="15">
        <v>14</v>
      </c>
      <c r="D5479" s="244">
        <v>5</v>
      </c>
      <c r="E5479" s="244">
        <v>0</v>
      </c>
      <c r="F5479" s="244">
        <v>0</v>
      </c>
      <c r="G5479" s="244">
        <v>0</v>
      </c>
      <c r="H5479" s="244">
        <v>1</v>
      </c>
      <c r="I5479" s="244">
        <v>2</v>
      </c>
      <c r="J5479" s="244">
        <v>1</v>
      </c>
      <c r="K5479" s="244">
        <v>0</v>
      </c>
      <c r="L5479" s="244">
        <v>1</v>
      </c>
      <c r="M5479" s="244">
        <v>2</v>
      </c>
      <c r="N5479" s="244">
        <v>0</v>
      </c>
      <c r="O5479" s="254">
        <v>2</v>
      </c>
    </row>
    <row r="5480" ht="14.25" spans="1:15">
      <c r="A5480" s="245" t="s">
        <v>68</v>
      </c>
      <c r="B5480" s="52" t="s">
        <v>64</v>
      </c>
      <c r="C5480" s="19">
        <v>0.411764705882353</v>
      </c>
      <c r="D5480" s="246">
        <v>0.714285714285714</v>
      </c>
      <c r="E5480" s="246">
        <v>0</v>
      </c>
      <c r="F5480" s="246">
        <v>0</v>
      </c>
      <c r="G5480" s="246">
        <v>0</v>
      </c>
      <c r="H5480" s="246">
        <v>1</v>
      </c>
      <c r="I5480" s="246">
        <v>1</v>
      </c>
      <c r="J5480" s="246">
        <v>0.5</v>
      </c>
      <c r="K5480" s="246">
        <v>0</v>
      </c>
      <c r="L5480" s="246">
        <v>0.333333333333333</v>
      </c>
      <c r="M5480" s="246">
        <v>0.666666666666667</v>
      </c>
      <c r="N5480" s="246">
        <v>0</v>
      </c>
      <c r="O5480" s="255">
        <v>0.4</v>
      </c>
    </row>
    <row r="5481" spans="1:15">
      <c r="A5481" s="240" t="s">
        <v>69</v>
      </c>
      <c r="B5481" s="47" t="s">
        <v>55</v>
      </c>
      <c r="C5481" s="12">
        <v>1.31759656652361</v>
      </c>
      <c r="D5481" s="241">
        <v>1.5625</v>
      </c>
      <c r="E5481" s="241">
        <v>1.5</v>
      </c>
      <c r="F5481" s="241">
        <v>0.8</v>
      </c>
      <c r="G5481" s="241">
        <v>2.33333333333333</v>
      </c>
      <c r="H5481" s="241">
        <v>1.19047619047619</v>
      </c>
      <c r="I5481" s="241">
        <v>1.4</v>
      </c>
      <c r="J5481" s="241">
        <v>1.52941176470588</v>
      </c>
      <c r="K5481" s="241">
        <v>1.05263157894737</v>
      </c>
      <c r="L5481" s="241">
        <v>1.3</v>
      </c>
      <c r="M5481" s="241">
        <v>1.4</v>
      </c>
      <c r="N5481" s="241">
        <v>1.23076923076923</v>
      </c>
      <c r="O5481" s="252">
        <v>1.075</v>
      </c>
    </row>
    <row r="5482" spans="1:15">
      <c r="A5482" s="242" t="s">
        <v>69</v>
      </c>
      <c r="B5482" s="43" t="s">
        <v>57</v>
      </c>
      <c r="C5482" s="15">
        <v>233</v>
      </c>
      <c r="D5482" s="243">
        <v>32</v>
      </c>
      <c r="E5482" s="243">
        <v>12</v>
      </c>
      <c r="F5482" s="243">
        <v>5</v>
      </c>
      <c r="G5482" s="243">
        <v>6</v>
      </c>
      <c r="H5482" s="243">
        <v>21</v>
      </c>
      <c r="I5482" s="243">
        <v>15</v>
      </c>
      <c r="J5482" s="243">
        <v>17</v>
      </c>
      <c r="K5482" s="243">
        <v>19</v>
      </c>
      <c r="L5482" s="243">
        <v>20</v>
      </c>
      <c r="M5482" s="243">
        <v>20</v>
      </c>
      <c r="N5482" s="243">
        <v>26</v>
      </c>
      <c r="O5482" s="253">
        <v>40</v>
      </c>
    </row>
    <row r="5483" spans="1:15">
      <c r="A5483" s="240" t="s">
        <v>69</v>
      </c>
      <c r="B5483" s="47" t="s">
        <v>59</v>
      </c>
      <c r="C5483" s="15">
        <v>307</v>
      </c>
      <c r="D5483" s="243">
        <v>50</v>
      </c>
      <c r="E5483" s="243">
        <v>18</v>
      </c>
      <c r="F5483" s="243">
        <v>4</v>
      </c>
      <c r="G5483" s="243">
        <v>14</v>
      </c>
      <c r="H5483" s="243">
        <v>25</v>
      </c>
      <c r="I5483" s="243">
        <v>21</v>
      </c>
      <c r="J5483" s="243">
        <v>26</v>
      </c>
      <c r="K5483" s="243">
        <v>20</v>
      </c>
      <c r="L5483" s="243">
        <v>26</v>
      </c>
      <c r="M5483" s="243">
        <v>28</v>
      </c>
      <c r="N5483" s="243">
        <v>32</v>
      </c>
      <c r="O5483" s="253">
        <v>43</v>
      </c>
    </row>
    <row r="5484" spans="1:15">
      <c r="A5484" s="242" t="s">
        <v>69</v>
      </c>
      <c r="B5484" s="43" t="s">
        <v>4</v>
      </c>
      <c r="C5484" s="15">
        <v>2</v>
      </c>
      <c r="D5484" s="244">
        <v>0</v>
      </c>
      <c r="E5484" s="244">
        <v>0</v>
      </c>
      <c r="F5484" s="244">
        <v>0</v>
      </c>
      <c r="G5484" s="244">
        <v>1</v>
      </c>
      <c r="H5484" s="244">
        <v>0</v>
      </c>
      <c r="I5484" s="244">
        <v>0</v>
      </c>
      <c r="J5484" s="244">
        <v>0</v>
      </c>
      <c r="K5484" s="244">
        <v>0</v>
      </c>
      <c r="L5484" s="244">
        <v>0</v>
      </c>
      <c r="M5484" s="244">
        <v>1</v>
      </c>
      <c r="N5484" s="244">
        <v>0</v>
      </c>
      <c r="O5484" s="254">
        <v>0</v>
      </c>
    </row>
    <row r="5485" spans="1:15">
      <c r="A5485" s="240" t="s">
        <v>69</v>
      </c>
      <c r="B5485" s="47" t="s">
        <v>5</v>
      </c>
      <c r="C5485" s="12">
        <v>0.00651465798045603</v>
      </c>
      <c r="D5485" s="241">
        <v>0</v>
      </c>
      <c r="E5485" s="241">
        <v>0</v>
      </c>
      <c r="F5485" s="241">
        <v>0</v>
      </c>
      <c r="G5485" s="241">
        <v>0.0714285714285714</v>
      </c>
      <c r="H5485" s="241">
        <v>0</v>
      </c>
      <c r="I5485" s="241">
        <v>0</v>
      </c>
      <c r="J5485" s="241">
        <v>0</v>
      </c>
      <c r="K5485" s="241">
        <v>0</v>
      </c>
      <c r="L5485" s="241">
        <v>0</v>
      </c>
      <c r="M5485" s="241">
        <v>0.0357142857142857</v>
      </c>
      <c r="N5485" s="241">
        <v>0</v>
      </c>
      <c r="O5485" s="252">
        <v>0</v>
      </c>
    </row>
    <row r="5486" spans="1:15">
      <c r="A5486" s="242" t="s">
        <v>69</v>
      </c>
      <c r="B5486" s="43" t="s">
        <v>6</v>
      </c>
      <c r="C5486" s="15">
        <v>0</v>
      </c>
      <c r="D5486" s="244">
        <v>0</v>
      </c>
      <c r="E5486" s="244">
        <v>0</v>
      </c>
      <c r="F5486" s="244">
        <v>0</v>
      </c>
      <c r="G5486" s="244">
        <v>0</v>
      </c>
      <c r="H5486" s="244">
        <v>0</v>
      </c>
      <c r="I5486" s="244">
        <v>0</v>
      </c>
      <c r="J5486" s="244">
        <v>0</v>
      </c>
      <c r="K5486" s="244">
        <v>0</v>
      </c>
      <c r="L5486" s="244">
        <v>0</v>
      </c>
      <c r="M5486" s="244">
        <v>0</v>
      </c>
      <c r="N5486" s="244">
        <v>0</v>
      </c>
      <c r="O5486" s="254">
        <v>0</v>
      </c>
    </row>
    <row r="5487" ht="14.25" spans="1:15">
      <c r="A5487" s="245" t="s">
        <v>69</v>
      </c>
      <c r="B5487" s="52" t="s">
        <v>64</v>
      </c>
      <c r="C5487" s="19">
        <v>0</v>
      </c>
      <c r="D5487" s="246">
        <v>0</v>
      </c>
      <c r="E5487" s="246">
        <v>0</v>
      </c>
      <c r="F5487" s="246">
        <v>0</v>
      </c>
      <c r="G5487" s="246">
        <v>0</v>
      </c>
      <c r="H5487" s="246">
        <v>0</v>
      </c>
      <c r="I5487" s="246">
        <v>0</v>
      </c>
      <c r="J5487" s="246">
        <v>0</v>
      </c>
      <c r="K5487" s="246">
        <v>0</v>
      </c>
      <c r="L5487" s="246">
        <v>0</v>
      </c>
      <c r="M5487" s="246">
        <v>0</v>
      </c>
      <c r="N5487" s="246">
        <v>0</v>
      </c>
      <c r="O5487" s="255">
        <v>0</v>
      </c>
    </row>
    <row r="5488" spans="1:15">
      <c r="A5488" s="240" t="s">
        <v>70</v>
      </c>
      <c r="B5488" s="47" t="s">
        <v>55</v>
      </c>
      <c r="C5488" s="12">
        <v>0.726907630522088</v>
      </c>
      <c r="D5488" s="241">
        <v>0.827586206896552</v>
      </c>
      <c r="E5488" s="241">
        <v>0.679245283018868</v>
      </c>
      <c r="F5488" s="241">
        <v>0.675</v>
      </c>
      <c r="G5488" s="241">
        <v>1.03125</v>
      </c>
      <c r="H5488" s="241">
        <v>0.851851851851852</v>
      </c>
      <c r="I5488" s="241">
        <v>0.796875</v>
      </c>
      <c r="J5488" s="241">
        <v>0.827586206896552</v>
      </c>
      <c r="K5488" s="241">
        <v>0.571428571428571</v>
      </c>
      <c r="L5488" s="241">
        <v>0.728571428571429</v>
      </c>
      <c r="M5488" s="241">
        <v>0.698412698412698</v>
      </c>
      <c r="N5488" s="241">
        <v>0.644736842105263</v>
      </c>
      <c r="O5488" s="252">
        <v>0.575</v>
      </c>
    </row>
    <row r="5489" spans="1:15">
      <c r="A5489" s="242" t="s">
        <v>70</v>
      </c>
      <c r="B5489" s="43" t="s">
        <v>57</v>
      </c>
      <c r="C5489" s="15">
        <v>747</v>
      </c>
      <c r="D5489" s="243">
        <v>87</v>
      </c>
      <c r="E5489" s="243">
        <v>53</v>
      </c>
      <c r="F5489" s="243">
        <v>40</v>
      </c>
      <c r="G5489" s="243">
        <v>32</v>
      </c>
      <c r="H5489" s="243">
        <v>54</v>
      </c>
      <c r="I5489" s="243">
        <v>64</v>
      </c>
      <c r="J5489" s="243">
        <v>58</v>
      </c>
      <c r="K5489" s="243">
        <v>70</v>
      </c>
      <c r="L5489" s="243">
        <v>70</v>
      </c>
      <c r="M5489" s="243">
        <v>63</v>
      </c>
      <c r="N5489" s="243">
        <v>76</v>
      </c>
      <c r="O5489" s="253">
        <v>80</v>
      </c>
    </row>
    <row r="5490" spans="1:15">
      <c r="A5490" s="240" t="s">
        <v>70</v>
      </c>
      <c r="B5490" s="47" t="s">
        <v>59</v>
      </c>
      <c r="C5490" s="15">
        <v>543</v>
      </c>
      <c r="D5490" s="243">
        <v>72</v>
      </c>
      <c r="E5490" s="243">
        <v>36</v>
      </c>
      <c r="F5490" s="243">
        <v>27</v>
      </c>
      <c r="G5490" s="243">
        <v>33</v>
      </c>
      <c r="H5490" s="243">
        <v>46</v>
      </c>
      <c r="I5490" s="243">
        <v>51</v>
      </c>
      <c r="J5490" s="243">
        <v>48</v>
      </c>
      <c r="K5490" s="243">
        <v>40</v>
      </c>
      <c r="L5490" s="243">
        <v>51</v>
      </c>
      <c r="M5490" s="243">
        <v>44</v>
      </c>
      <c r="N5490" s="243">
        <v>49</v>
      </c>
      <c r="O5490" s="253">
        <v>46</v>
      </c>
    </row>
    <row r="5491" spans="1:15">
      <c r="A5491" s="242" t="s">
        <v>70</v>
      </c>
      <c r="B5491" s="43" t="s">
        <v>4</v>
      </c>
      <c r="C5491" s="15">
        <v>17</v>
      </c>
      <c r="D5491" s="244">
        <v>0</v>
      </c>
      <c r="E5491" s="244">
        <v>3</v>
      </c>
      <c r="F5491" s="244">
        <v>0</v>
      </c>
      <c r="G5491" s="244">
        <v>0</v>
      </c>
      <c r="H5491" s="244">
        <v>3</v>
      </c>
      <c r="I5491" s="244">
        <v>0</v>
      </c>
      <c r="J5491" s="244">
        <v>2</v>
      </c>
      <c r="K5491" s="244">
        <v>2</v>
      </c>
      <c r="L5491" s="244">
        <v>0</v>
      </c>
      <c r="M5491" s="244">
        <v>1</v>
      </c>
      <c r="N5491" s="244">
        <v>2</v>
      </c>
      <c r="O5491" s="254">
        <v>4</v>
      </c>
    </row>
    <row r="5492" spans="1:15">
      <c r="A5492" s="240" t="s">
        <v>70</v>
      </c>
      <c r="B5492" s="47" t="s">
        <v>5</v>
      </c>
      <c r="C5492" s="12">
        <v>0.0313075506445672</v>
      </c>
      <c r="D5492" s="241">
        <v>0</v>
      </c>
      <c r="E5492" s="241">
        <v>0.0833333333333333</v>
      </c>
      <c r="F5492" s="241">
        <v>0</v>
      </c>
      <c r="G5492" s="241">
        <v>0</v>
      </c>
      <c r="H5492" s="241">
        <v>0.0652173913043478</v>
      </c>
      <c r="I5492" s="241">
        <v>0</v>
      </c>
      <c r="J5492" s="241">
        <v>0.0416666666666667</v>
      </c>
      <c r="K5492" s="241">
        <v>0.05</v>
      </c>
      <c r="L5492" s="241">
        <v>0</v>
      </c>
      <c r="M5492" s="241">
        <v>0.0227272727272727</v>
      </c>
      <c r="N5492" s="241">
        <v>0.0408163265306122</v>
      </c>
      <c r="O5492" s="252">
        <v>0.0869565217391304</v>
      </c>
    </row>
    <row r="5493" spans="1:15">
      <c r="A5493" s="242" t="s">
        <v>70</v>
      </c>
      <c r="B5493" s="43" t="s">
        <v>6</v>
      </c>
      <c r="C5493" s="15">
        <v>5</v>
      </c>
      <c r="D5493" s="244">
        <v>0</v>
      </c>
      <c r="E5493" s="244">
        <v>1</v>
      </c>
      <c r="F5493" s="244">
        <v>0</v>
      </c>
      <c r="G5493" s="244">
        <v>1</v>
      </c>
      <c r="H5493" s="244">
        <v>0</v>
      </c>
      <c r="I5493" s="244">
        <v>0</v>
      </c>
      <c r="J5493" s="244">
        <v>1</v>
      </c>
      <c r="K5493" s="244">
        <v>1</v>
      </c>
      <c r="L5493" s="244">
        <v>1</v>
      </c>
      <c r="M5493" s="244">
        <v>0</v>
      </c>
      <c r="N5493" s="244">
        <v>0</v>
      </c>
      <c r="O5493" s="254">
        <v>0</v>
      </c>
    </row>
    <row r="5494" ht="14.25" spans="1:15">
      <c r="A5494" s="245" t="s">
        <v>70</v>
      </c>
      <c r="B5494" s="52" t="s">
        <v>64</v>
      </c>
      <c r="C5494" s="19">
        <v>0.294117647058824</v>
      </c>
      <c r="D5494" s="246">
        <v>0</v>
      </c>
      <c r="E5494" s="246">
        <v>0.333333333333333</v>
      </c>
      <c r="F5494" s="246">
        <v>0</v>
      </c>
      <c r="G5494" s="246">
        <v>0</v>
      </c>
      <c r="H5494" s="246">
        <v>0</v>
      </c>
      <c r="I5494" s="246">
        <v>0</v>
      </c>
      <c r="J5494" s="246">
        <v>0.5</v>
      </c>
      <c r="K5494" s="246">
        <v>0.5</v>
      </c>
      <c r="L5494" s="246">
        <v>0</v>
      </c>
      <c r="M5494" s="246">
        <v>0</v>
      </c>
      <c r="N5494" s="246">
        <v>0</v>
      </c>
      <c r="O5494" s="255">
        <v>0</v>
      </c>
    </row>
    <row r="5495" spans="1:15">
      <c r="A5495" s="240" t="s">
        <v>26</v>
      </c>
      <c r="B5495" s="47" t="s">
        <v>55</v>
      </c>
      <c r="C5495" s="12">
        <v>596.5</v>
      </c>
      <c r="D5495" s="241" t="e">
        <v>#DIV/0!</v>
      </c>
      <c r="E5495" s="241" t="e">
        <v>#DIV/0!</v>
      </c>
      <c r="F5495" s="241" t="e">
        <v>#DIV/0!</v>
      </c>
      <c r="G5495" s="241" t="e">
        <v>#DIV/0!</v>
      </c>
      <c r="H5495" s="241" t="e">
        <v>#DIV/0!</v>
      </c>
      <c r="I5495" s="241" t="e">
        <v>#DIV/0!</v>
      </c>
      <c r="J5495" s="241" t="e">
        <v>#DIV/0!</v>
      </c>
      <c r="K5495" s="241" t="e">
        <v>#DIV/0!</v>
      </c>
      <c r="L5495" s="241" t="e">
        <v>#DIV/0!</v>
      </c>
      <c r="M5495" s="241" t="e">
        <v>#DIV/0!</v>
      </c>
      <c r="N5495" s="241">
        <v>117</v>
      </c>
      <c r="O5495" s="252">
        <v>92</v>
      </c>
    </row>
    <row r="5496" spans="1:15">
      <c r="A5496" s="242" t="s">
        <v>26</v>
      </c>
      <c r="B5496" s="43" t="s">
        <v>57</v>
      </c>
      <c r="C5496" s="15">
        <v>2</v>
      </c>
      <c r="D5496" s="243">
        <v>0</v>
      </c>
      <c r="E5496" s="243">
        <v>0</v>
      </c>
      <c r="F5496" s="243">
        <v>0</v>
      </c>
      <c r="G5496" s="243">
        <v>0</v>
      </c>
      <c r="H5496" s="243">
        <v>0</v>
      </c>
      <c r="I5496" s="243">
        <v>0</v>
      </c>
      <c r="J5496" s="243">
        <v>0</v>
      </c>
      <c r="K5496" s="243">
        <v>0</v>
      </c>
      <c r="L5496" s="243">
        <v>0</v>
      </c>
      <c r="M5496" s="243">
        <v>0</v>
      </c>
      <c r="N5496" s="243">
        <v>1</v>
      </c>
      <c r="O5496" s="253">
        <v>1</v>
      </c>
    </row>
    <row r="5497" spans="1:15">
      <c r="A5497" s="240" t="s">
        <v>26</v>
      </c>
      <c r="B5497" s="47" t="s">
        <v>59</v>
      </c>
      <c r="C5497" s="15">
        <v>1193</v>
      </c>
      <c r="D5497" s="243">
        <v>61</v>
      </c>
      <c r="E5497" s="243">
        <v>27</v>
      </c>
      <c r="F5497" s="243">
        <v>18</v>
      </c>
      <c r="G5497" s="243">
        <v>42</v>
      </c>
      <c r="H5497" s="243">
        <v>151</v>
      </c>
      <c r="I5497" s="243">
        <v>145</v>
      </c>
      <c r="J5497" s="243">
        <v>181</v>
      </c>
      <c r="K5497" s="243">
        <v>151</v>
      </c>
      <c r="L5497" s="243">
        <v>117</v>
      </c>
      <c r="M5497" s="243">
        <v>91</v>
      </c>
      <c r="N5497" s="243">
        <v>117</v>
      </c>
      <c r="O5497" s="253">
        <v>92</v>
      </c>
    </row>
    <row r="5498" spans="1:15">
      <c r="A5498" s="242" t="s">
        <v>26</v>
      </c>
      <c r="B5498" s="43" t="s">
        <v>4</v>
      </c>
      <c r="C5498" s="15">
        <v>9</v>
      </c>
      <c r="D5498" s="244">
        <v>1</v>
      </c>
      <c r="E5498" s="244">
        <v>1</v>
      </c>
      <c r="F5498" s="244">
        <v>1</v>
      </c>
      <c r="G5498" s="244">
        <v>0</v>
      </c>
      <c r="H5498" s="244">
        <v>0</v>
      </c>
      <c r="I5498" s="244">
        <v>1</v>
      </c>
      <c r="J5498" s="244">
        <v>1</v>
      </c>
      <c r="K5498" s="244">
        <v>1</v>
      </c>
      <c r="L5498" s="244">
        <v>2</v>
      </c>
      <c r="M5498" s="244">
        <v>1</v>
      </c>
      <c r="N5498" s="244">
        <v>0</v>
      </c>
      <c r="O5498" s="254">
        <v>0</v>
      </c>
    </row>
    <row r="5499" spans="1:15">
      <c r="A5499" s="240" t="s">
        <v>26</v>
      </c>
      <c r="B5499" s="47" t="s">
        <v>5</v>
      </c>
      <c r="C5499" s="12">
        <v>0.00754400670578374</v>
      </c>
      <c r="D5499" s="241">
        <v>0.0163934426229508</v>
      </c>
      <c r="E5499" s="241">
        <v>0.037037037037037</v>
      </c>
      <c r="F5499" s="241">
        <v>0.0555555555555556</v>
      </c>
      <c r="G5499" s="241">
        <v>0</v>
      </c>
      <c r="H5499" s="241">
        <v>0</v>
      </c>
      <c r="I5499" s="241">
        <v>0.00689655172413793</v>
      </c>
      <c r="J5499" s="241">
        <v>0.00552486187845304</v>
      </c>
      <c r="K5499" s="241">
        <v>0.00662251655629139</v>
      </c>
      <c r="L5499" s="241">
        <v>0.0170940170940171</v>
      </c>
      <c r="M5499" s="241">
        <v>0.010989010989011</v>
      </c>
      <c r="N5499" s="241">
        <v>0</v>
      </c>
      <c r="O5499" s="252">
        <v>0</v>
      </c>
    </row>
    <row r="5500" spans="1:15">
      <c r="A5500" s="242" t="s">
        <v>26</v>
      </c>
      <c r="B5500" s="43" t="s">
        <v>6</v>
      </c>
      <c r="C5500" s="15">
        <v>3</v>
      </c>
      <c r="D5500" s="244">
        <v>0</v>
      </c>
      <c r="E5500" s="244">
        <v>0</v>
      </c>
      <c r="F5500" s="244">
        <v>0</v>
      </c>
      <c r="G5500" s="244">
        <v>0</v>
      </c>
      <c r="H5500" s="244">
        <v>0</v>
      </c>
      <c r="I5500" s="244">
        <v>0</v>
      </c>
      <c r="J5500" s="244">
        <v>0</v>
      </c>
      <c r="K5500" s="244">
        <v>1</v>
      </c>
      <c r="L5500" s="244">
        <v>0</v>
      </c>
      <c r="M5500" s="244">
        <v>2</v>
      </c>
      <c r="N5500" s="244">
        <v>0</v>
      </c>
      <c r="O5500" s="254">
        <v>0</v>
      </c>
    </row>
    <row r="5501" ht="14.25" spans="1:15">
      <c r="A5501" s="245" t="s">
        <v>26</v>
      </c>
      <c r="B5501" s="52" t="s">
        <v>64</v>
      </c>
      <c r="C5501" s="19">
        <v>0.333333333333333</v>
      </c>
      <c r="D5501" s="19">
        <v>0</v>
      </c>
      <c r="E5501" s="19">
        <v>0</v>
      </c>
      <c r="F5501" s="19">
        <v>0</v>
      </c>
      <c r="G5501" s="19" t="e">
        <v>#DIV/0!</v>
      </c>
      <c r="H5501" s="19" t="e">
        <v>#DIV/0!</v>
      </c>
      <c r="I5501" s="19">
        <v>0</v>
      </c>
      <c r="J5501" s="19">
        <v>0</v>
      </c>
      <c r="K5501" s="19">
        <v>1</v>
      </c>
      <c r="L5501" s="19">
        <v>0</v>
      </c>
      <c r="M5501" s="19">
        <v>2</v>
      </c>
      <c r="N5501" s="19" t="e">
        <v>#DIV/0!</v>
      </c>
      <c r="O5501" s="19" t="e">
        <v>#DIV/0!</v>
      </c>
    </row>
    <row r="5502" spans="1:15">
      <c r="A5502" s="240" t="s">
        <v>71</v>
      </c>
      <c r="B5502" s="47" t="s">
        <v>55</v>
      </c>
      <c r="C5502" s="12">
        <v>612.5</v>
      </c>
      <c r="D5502" s="241" t="e">
        <v>#DIV/0!</v>
      </c>
      <c r="E5502" s="241" t="e">
        <v>#DIV/0!</v>
      </c>
      <c r="F5502" s="241">
        <v>56</v>
      </c>
      <c r="G5502" s="241" t="e">
        <v>#DIV/0!</v>
      </c>
      <c r="H5502" s="241" t="e">
        <v>#DIV/0!</v>
      </c>
      <c r="I5502" s="241" t="e">
        <v>#DIV/0!</v>
      </c>
      <c r="J5502" s="241" t="e">
        <v>#DIV/0!</v>
      </c>
      <c r="K5502" s="241">
        <v>116</v>
      </c>
      <c r="L5502" s="241" t="e">
        <v>#DIV/0!</v>
      </c>
      <c r="M5502" s="241" t="e">
        <v>#DIV/0!</v>
      </c>
      <c r="N5502" s="241" t="e">
        <v>#DIV/0!</v>
      </c>
      <c r="O5502" s="252" t="e">
        <v>#DIV/0!</v>
      </c>
    </row>
    <row r="5503" spans="1:15">
      <c r="A5503" s="242" t="s">
        <v>71</v>
      </c>
      <c r="B5503" s="43" t="s">
        <v>57</v>
      </c>
      <c r="C5503" s="15">
        <v>2</v>
      </c>
      <c r="D5503" s="243">
        <v>0</v>
      </c>
      <c r="E5503" s="243">
        <v>0</v>
      </c>
      <c r="F5503" s="243">
        <v>1</v>
      </c>
      <c r="G5503" s="243">
        <v>0</v>
      </c>
      <c r="H5503" s="243">
        <v>0</v>
      </c>
      <c r="I5503" s="243">
        <v>0</v>
      </c>
      <c r="J5503" s="243">
        <v>0</v>
      </c>
      <c r="K5503" s="243">
        <v>1</v>
      </c>
      <c r="L5503" s="243">
        <v>0</v>
      </c>
      <c r="M5503" s="243">
        <v>0</v>
      </c>
      <c r="N5503" s="243">
        <v>0</v>
      </c>
      <c r="O5503" s="253">
        <v>0</v>
      </c>
    </row>
    <row r="5504" spans="1:15">
      <c r="A5504" s="240" t="s">
        <v>71</v>
      </c>
      <c r="B5504" s="47" t="s">
        <v>59</v>
      </c>
      <c r="C5504" s="15">
        <v>1225</v>
      </c>
      <c r="D5504" s="243">
        <v>138</v>
      </c>
      <c r="E5504" s="243">
        <v>61</v>
      </c>
      <c r="F5504" s="243">
        <v>56</v>
      </c>
      <c r="G5504" s="243">
        <v>56</v>
      </c>
      <c r="H5504" s="243">
        <v>80</v>
      </c>
      <c r="I5504" s="243">
        <v>112</v>
      </c>
      <c r="J5504" s="243">
        <v>86</v>
      </c>
      <c r="K5504" s="243">
        <v>116</v>
      </c>
      <c r="L5504" s="243">
        <v>95</v>
      </c>
      <c r="M5504" s="243">
        <v>114</v>
      </c>
      <c r="N5504" s="243">
        <v>158</v>
      </c>
      <c r="O5504" s="253">
        <v>153</v>
      </c>
    </row>
    <row r="5505" spans="1:15">
      <c r="A5505" s="242" t="s">
        <v>71</v>
      </c>
      <c r="B5505" s="43" t="s">
        <v>4</v>
      </c>
      <c r="C5505" s="15">
        <v>60</v>
      </c>
      <c r="D5505" s="244">
        <v>9</v>
      </c>
      <c r="E5505" s="244">
        <v>8</v>
      </c>
      <c r="F5505" s="244">
        <v>0</v>
      </c>
      <c r="G5505" s="244">
        <v>2</v>
      </c>
      <c r="H5505" s="244">
        <v>1</v>
      </c>
      <c r="I5505" s="244">
        <v>7</v>
      </c>
      <c r="J5505" s="244">
        <v>3</v>
      </c>
      <c r="K5505" s="244">
        <v>5</v>
      </c>
      <c r="L5505" s="244">
        <v>7</v>
      </c>
      <c r="M5505" s="244">
        <v>5</v>
      </c>
      <c r="N5505" s="244">
        <v>8</v>
      </c>
      <c r="O5505" s="254">
        <v>5</v>
      </c>
    </row>
    <row r="5506" spans="1:15">
      <c r="A5506" s="240" t="s">
        <v>71</v>
      </c>
      <c r="B5506" s="47" t="s">
        <v>5</v>
      </c>
      <c r="C5506" s="241">
        <v>0.0489795918367347</v>
      </c>
      <c r="D5506" s="241">
        <v>0.0652173913043478</v>
      </c>
      <c r="E5506" s="241">
        <v>0.131147540983607</v>
      </c>
      <c r="F5506" s="241">
        <v>0</v>
      </c>
      <c r="G5506" s="241">
        <v>0.0357142857142857</v>
      </c>
      <c r="H5506" s="241">
        <v>0.0125</v>
      </c>
      <c r="I5506" s="241">
        <v>0.0625</v>
      </c>
      <c r="J5506" s="241">
        <v>0.0348837209302326</v>
      </c>
      <c r="K5506" s="241">
        <v>0.0431034482758621</v>
      </c>
      <c r="L5506" s="241">
        <v>0.0736842105263158</v>
      </c>
      <c r="M5506" s="241">
        <v>0.043859649122807</v>
      </c>
      <c r="N5506" s="241">
        <v>0.0506329113924051</v>
      </c>
      <c r="O5506" s="252">
        <v>0.0326797385620915</v>
      </c>
    </row>
    <row r="5507" spans="1:15">
      <c r="A5507" s="242" t="s">
        <v>71</v>
      </c>
      <c r="B5507" s="43" t="s">
        <v>6</v>
      </c>
      <c r="C5507" s="15">
        <v>16</v>
      </c>
      <c r="D5507" s="244">
        <v>3</v>
      </c>
      <c r="E5507" s="244">
        <v>2</v>
      </c>
      <c r="F5507" s="244">
        <v>1</v>
      </c>
      <c r="G5507" s="244">
        <v>1</v>
      </c>
      <c r="H5507" s="244">
        <v>0</v>
      </c>
      <c r="I5507" s="244">
        <v>2</v>
      </c>
      <c r="J5507" s="244">
        <v>1</v>
      </c>
      <c r="K5507" s="244">
        <v>1</v>
      </c>
      <c r="L5507" s="244">
        <v>0</v>
      </c>
      <c r="M5507" s="244">
        <v>0</v>
      </c>
      <c r="N5507" s="244">
        <v>3</v>
      </c>
      <c r="O5507" s="254">
        <v>2</v>
      </c>
    </row>
    <row r="5508" ht="14.25" spans="1:15">
      <c r="A5508" s="245" t="s">
        <v>71</v>
      </c>
      <c r="B5508" s="52" t="s">
        <v>64</v>
      </c>
      <c r="C5508" s="19">
        <v>0.266666666666667</v>
      </c>
      <c r="D5508" s="19">
        <v>0.333333333333333</v>
      </c>
      <c r="E5508" s="19">
        <v>0.25</v>
      </c>
      <c r="F5508" s="19" t="e">
        <v>#DIV/0!</v>
      </c>
      <c r="G5508" s="19">
        <v>0.5</v>
      </c>
      <c r="H5508" s="19">
        <v>0</v>
      </c>
      <c r="I5508" s="19">
        <v>0.285714285714286</v>
      </c>
      <c r="J5508" s="19">
        <v>0.333333333333333</v>
      </c>
      <c r="K5508" s="19">
        <v>0.2</v>
      </c>
      <c r="L5508" s="19">
        <v>0</v>
      </c>
      <c r="M5508" s="19">
        <v>0</v>
      </c>
      <c r="N5508" s="19">
        <v>0.375</v>
      </c>
      <c r="O5508" s="19">
        <v>0.4</v>
      </c>
    </row>
    <row r="5509" spans="1:15">
      <c r="A5509" s="240" t="s">
        <v>72</v>
      </c>
      <c r="B5509" s="47" t="s">
        <v>55</v>
      </c>
      <c r="C5509" s="12">
        <v>0.165675782798256</v>
      </c>
      <c r="D5509" s="241">
        <v>0.229437229437229</v>
      </c>
      <c r="E5509" s="241">
        <v>0.204081632653061</v>
      </c>
      <c r="F5509" s="241">
        <v>0.1625</v>
      </c>
      <c r="G5509" s="241">
        <v>0.186440677966102</v>
      </c>
      <c r="H5509" s="241">
        <v>0.171270718232044</v>
      </c>
      <c r="I5509" s="241">
        <v>0.142857142857143</v>
      </c>
      <c r="J5509" s="241">
        <v>0.161764705882353</v>
      </c>
      <c r="K5509" s="241">
        <v>0.14859437751004</v>
      </c>
      <c r="L5509" s="241">
        <v>0.128318584070796</v>
      </c>
      <c r="M5509" s="241">
        <v>0.137651821862348</v>
      </c>
      <c r="N5509" s="241">
        <v>0.166666666666667</v>
      </c>
      <c r="O5509" s="252">
        <v>0.177215189873418</v>
      </c>
    </row>
    <row r="5510" spans="1:15">
      <c r="A5510" s="242" t="s">
        <v>72</v>
      </c>
      <c r="B5510" s="43" t="s">
        <v>57</v>
      </c>
      <c r="C5510" s="15">
        <v>2523</v>
      </c>
      <c r="D5510" s="243">
        <v>231</v>
      </c>
      <c r="E5510" s="243">
        <v>98</v>
      </c>
      <c r="F5510" s="243">
        <v>80</v>
      </c>
      <c r="G5510" s="243">
        <v>118</v>
      </c>
      <c r="H5510" s="243">
        <v>181</v>
      </c>
      <c r="I5510" s="243">
        <v>231</v>
      </c>
      <c r="J5510" s="243">
        <v>204</v>
      </c>
      <c r="K5510" s="243">
        <v>249</v>
      </c>
      <c r="L5510" s="243">
        <v>226</v>
      </c>
      <c r="M5510" s="243">
        <v>247</v>
      </c>
      <c r="N5510" s="243">
        <v>342</v>
      </c>
      <c r="O5510" s="253">
        <v>316</v>
      </c>
    </row>
    <row r="5511" spans="1:15">
      <c r="A5511" s="240" t="s">
        <v>72</v>
      </c>
      <c r="B5511" s="47" t="s">
        <v>59</v>
      </c>
      <c r="C5511" s="15">
        <v>418</v>
      </c>
      <c r="D5511" s="243">
        <v>53</v>
      </c>
      <c r="E5511" s="243">
        <v>20</v>
      </c>
      <c r="F5511" s="243">
        <v>13</v>
      </c>
      <c r="G5511" s="243">
        <v>22</v>
      </c>
      <c r="H5511" s="243">
        <v>31</v>
      </c>
      <c r="I5511" s="243">
        <v>33</v>
      </c>
      <c r="J5511" s="243">
        <v>33</v>
      </c>
      <c r="K5511" s="243">
        <v>37</v>
      </c>
      <c r="L5511" s="243">
        <v>29</v>
      </c>
      <c r="M5511" s="243">
        <v>34</v>
      </c>
      <c r="N5511" s="243">
        <v>57</v>
      </c>
      <c r="O5511" s="253">
        <v>56</v>
      </c>
    </row>
    <row r="5512" spans="1:15">
      <c r="A5512" s="242" t="s">
        <v>72</v>
      </c>
      <c r="B5512" s="43" t="s">
        <v>4</v>
      </c>
      <c r="C5512" s="15">
        <v>21</v>
      </c>
      <c r="D5512" s="244">
        <v>2</v>
      </c>
      <c r="E5512" s="244">
        <v>1</v>
      </c>
      <c r="F5512" s="244">
        <v>0</v>
      </c>
      <c r="G5512" s="244">
        <v>3</v>
      </c>
      <c r="H5512" s="244">
        <v>2</v>
      </c>
      <c r="I5512" s="244">
        <v>2</v>
      </c>
      <c r="J5512" s="244">
        <v>3</v>
      </c>
      <c r="K5512" s="244">
        <v>0</v>
      </c>
      <c r="L5512" s="244">
        <v>2</v>
      </c>
      <c r="M5512" s="244">
        <v>2</v>
      </c>
      <c r="N5512" s="244">
        <v>1</v>
      </c>
      <c r="O5512" s="254">
        <v>3</v>
      </c>
    </row>
    <row r="5513" spans="1:15">
      <c r="A5513" s="240" t="s">
        <v>72</v>
      </c>
      <c r="B5513" s="47" t="s">
        <v>5</v>
      </c>
      <c r="C5513" s="12">
        <v>0.0502392344497608</v>
      </c>
      <c r="D5513" s="241">
        <v>0.0377358490566038</v>
      </c>
      <c r="E5513" s="241">
        <v>0.05</v>
      </c>
      <c r="F5513" s="241">
        <v>0</v>
      </c>
      <c r="G5513" s="241">
        <v>0.136363636363636</v>
      </c>
      <c r="H5513" s="241">
        <v>0.0645161290322581</v>
      </c>
      <c r="I5513" s="241">
        <v>0.0606060606060606</v>
      </c>
      <c r="J5513" s="241">
        <v>0.0909090909090909</v>
      </c>
      <c r="K5513" s="241">
        <v>0</v>
      </c>
      <c r="L5513" s="241">
        <v>0.0689655172413793</v>
      </c>
      <c r="M5513" s="241">
        <v>0.0588235294117647</v>
      </c>
      <c r="N5513" s="241">
        <v>0.0175438596491228</v>
      </c>
      <c r="O5513" s="252">
        <v>0.0535714285714286</v>
      </c>
    </row>
    <row r="5514" spans="1:15">
      <c r="A5514" s="242" t="s">
        <v>72</v>
      </c>
      <c r="B5514" s="43" t="s">
        <v>6</v>
      </c>
      <c r="C5514" s="15">
        <v>6</v>
      </c>
      <c r="D5514" s="244">
        <v>0</v>
      </c>
      <c r="E5514" s="244">
        <v>1</v>
      </c>
      <c r="F5514" s="244">
        <v>0</v>
      </c>
      <c r="G5514" s="244">
        <v>0</v>
      </c>
      <c r="H5514" s="244">
        <v>2</v>
      </c>
      <c r="I5514" s="244">
        <v>1</v>
      </c>
      <c r="J5514" s="244">
        <v>0</v>
      </c>
      <c r="K5514" s="244">
        <v>1</v>
      </c>
      <c r="L5514" s="244">
        <v>1</v>
      </c>
      <c r="M5514" s="244">
        <v>0</v>
      </c>
      <c r="N5514" s="244">
        <v>0</v>
      </c>
      <c r="O5514" s="254">
        <v>0</v>
      </c>
    </row>
    <row r="5515" ht="14.25" spans="1:15">
      <c r="A5515" s="245" t="s">
        <v>72</v>
      </c>
      <c r="B5515" s="52" t="s">
        <v>64</v>
      </c>
      <c r="C5515" s="19">
        <v>0.285714285714286</v>
      </c>
      <c r="D5515" s="19">
        <v>0</v>
      </c>
      <c r="E5515" s="19">
        <v>1</v>
      </c>
      <c r="F5515" s="19" t="e">
        <v>#DIV/0!</v>
      </c>
      <c r="G5515" s="19">
        <v>0</v>
      </c>
      <c r="H5515" s="19">
        <v>1</v>
      </c>
      <c r="I5515" s="19">
        <v>0.5</v>
      </c>
      <c r="J5515" s="19">
        <v>0</v>
      </c>
      <c r="K5515" s="19" t="e">
        <v>#DIV/0!</v>
      </c>
      <c r="L5515" s="19">
        <v>0.5</v>
      </c>
      <c r="M5515" s="19">
        <v>0</v>
      </c>
      <c r="N5515" s="19">
        <v>0</v>
      </c>
      <c r="O5515" s="19">
        <v>0</v>
      </c>
    </row>
    <row r="5516" ht="14.25" spans="1:15">
      <c r="A5516" s="237">
        <v>45104</v>
      </c>
      <c r="B5516" s="237"/>
      <c r="C5516" s="237"/>
      <c r="D5516" s="237"/>
      <c r="E5516" s="237"/>
      <c r="F5516" s="237"/>
      <c r="G5516" s="237"/>
      <c r="H5516" s="237"/>
      <c r="I5516" s="237"/>
      <c r="J5516" s="237"/>
      <c r="K5516" s="237"/>
      <c r="L5516" s="237"/>
      <c r="M5516" s="237"/>
      <c r="N5516" s="237"/>
      <c r="O5516" s="237"/>
    </row>
    <row r="5517" spans="1:15">
      <c r="A5517" s="56" t="s">
        <v>1</v>
      </c>
      <c r="B5517" s="238"/>
      <c r="C5517" s="8" t="s">
        <v>42</v>
      </c>
      <c r="D5517" s="239" t="s">
        <v>43</v>
      </c>
      <c r="E5517" s="239" t="s">
        <v>44</v>
      </c>
      <c r="F5517" s="239" t="s">
        <v>45</v>
      </c>
      <c r="G5517" s="239" t="s">
        <v>46</v>
      </c>
      <c r="H5517" s="239" t="s">
        <v>47</v>
      </c>
      <c r="I5517" s="239" t="s">
        <v>48</v>
      </c>
      <c r="J5517" s="239" t="s">
        <v>49</v>
      </c>
      <c r="K5517" s="239" t="s">
        <v>50</v>
      </c>
      <c r="L5517" s="239" t="s">
        <v>51</v>
      </c>
      <c r="M5517" s="239" t="s">
        <v>52</v>
      </c>
      <c r="N5517" s="239" t="s">
        <v>53</v>
      </c>
      <c r="O5517" s="251" t="s">
        <v>54</v>
      </c>
    </row>
    <row r="5518" spans="1:15">
      <c r="A5518" s="240" t="s">
        <v>22</v>
      </c>
      <c r="B5518" s="47" t="s">
        <v>55</v>
      </c>
      <c r="C5518" s="12">
        <v>0.845192829983704</v>
      </c>
      <c r="D5518" s="241">
        <v>1</v>
      </c>
      <c r="E5518" s="241">
        <v>0.974358974358974</v>
      </c>
      <c r="F5518" s="241">
        <v>0.474358974358974</v>
      </c>
      <c r="G5518" s="241">
        <v>1.17857142857143</v>
      </c>
      <c r="H5518" s="241">
        <v>0.886524822695035</v>
      </c>
      <c r="I5518" s="241">
        <v>0.766666666666667</v>
      </c>
      <c r="J5518" s="241">
        <v>0.856287425149701</v>
      </c>
      <c r="K5518" s="241">
        <v>0.757281553398058</v>
      </c>
      <c r="L5518" s="241">
        <v>0.935672514619883</v>
      </c>
      <c r="M5518" s="241">
        <v>0.8</v>
      </c>
      <c r="N5518" s="241">
        <v>0.78804347826087</v>
      </c>
      <c r="O5518" s="252">
        <v>0.777777777777778</v>
      </c>
    </row>
    <row r="5519" spans="1:15">
      <c r="A5519" s="242" t="s">
        <v>22</v>
      </c>
      <c r="B5519" s="43" t="s">
        <v>57</v>
      </c>
      <c r="C5519" s="15">
        <v>1841</v>
      </c>
      <c r="D5519" s="243">
        <v>162</v>
      </c>
      <c r="E5519" s="243">
        <v>117</v>
      </c>
      <c r="F5519" s="243">
        <v>78</v>
      </c>
      <c r="G5519" s="243">
        <v>84</v>
      </c>
      <c r="H5519" s="243">
        <v>141</v>
      </c>
      <c r="I5519" s="243">
        <v>150</v>
      </c>
      <c r="J5519" s="243">
        <v>167</v>
      </c>
      <c r="K5519" s="243">
        <v>206</v>
      </c>
      <c r="L5519" s="243">
        <v>171</v>
      </c>
      <c r="M5519" s="243">
        <v>165</v>
      </c>
      <c r="N5519" s="243">
        <v>184</v>
      </c>
      <c r="O5519" s="253">
        <v>216</v>
      </c>
    </row>
    <row r="5520" spans="1:15">
      <c r="A5520" s="240" t="s">
        <v>22</v>
      </c>
      <c r="B5520" s="47" t="s">
        <v>59</v>
      </c>
      <c r="C5520" s="15">
        <v>1556</v>
      </c>
      <c r="D5520" s="243">
        <v>162</v>
      </c>
      <c r="E5520" s="243">
        <v>114</v>
      </c>
      <c r="F5520" s="243">
        <v>37</v>
      </c>
      <c r="G5520" s="243">
        <v>99</v>
      </c>
      <c r="H5520" s="243">
        <v>125</v>
      </c>
      <c r="I5520" s="243">
        <v>115</v>
      </c>
      <c r="J5520" s="243">
        <v>143</v>
      </c>
      <c r="K5520" s="243">
        <v>156</v>
      </c>
      <c r="L5520" s="243">
        <v>160</v>
      </c>
      <c r="M5520" s="243">
        <v>132</v>
      </c>
      <c r="N5520" s="243">
        <v>145</v>
      </c>
      <c r="O5520" s="253">
        <v>168</v>
      </c>
    </row>
    <row r="5521" spans="1:15">
      <c r="A5521" s="242" t="s">
        <v>22</v>
      </c>
      <c r="B5521" s="43" t="s">
        <v>4</v>
      </c>
      <c r="C5521" s="15">
        <v>29</v>
      </c>
      <c r="D5521" s="244">
        <v>4</v>
      </c>
      <c r="E5521" s="244">
        <v>2</v>
      </c>
      <c r="F5521" s="244">
        <v>0</v>
      </c>
      <c r="G5521" s="244">
        <v>0</v>
      </c>
      <c r="H5521" s="244">
        <v>2</v>
      </c>
      <c r="I5521" s="244">
        <v>0</v>
      </c>
      <c r="J5521" s="244">
        <v>3</v>
      </c>
      <c r="K5521" s="244">
        <v>2</v>
      </c>
      <c r="L5521" s="244">
        <v>5</v>
      </c>
      <c r="M5521" s="244">
        <v>2</v>
      </c>
      <c r="N5521" s="244">
        <v>2</v>
      </c>
      <c r="O5521" s="254">
        <v>7</v>
      </c>
    </row>
    <row r="5522" spans="1:15">
      <c r="A5522" s="240" t="s">
        <v>22</v>
      </c>
      <c r="B5522" s="47" t="s">
        <v>5</v>
      </c>
      <c r="C5522" s="12">
        <v>0.0186375321336761</v>
      </c>
      <c r="D5522" s="241">
        <v>0.0246913580246914</v>
      </c>
      <c r="E5522" s="241">
        <v>0.0175438596491228</v>
      </c>
      <c r="F5522" s="241">
        <v>0</v>
      </c>
      <c r="G5522" s="241">
        <v>0</v>
      </c>
      <c r="H5522" s="241">
        <v>0.016</v>
      </c>
      <c r="I5522" s="241">
        <v>0</v>
      </c>
      <c r="J5522" s="241">
        <v>0.020979020979021</v>
      </c>
      <c r="K5522" s="241">
        <v>0.0128205128205128</v>
      </c>
      <c r="L5522" s="241">
        <v>0.03125</v>
      </c>
      <c r="M5522" s="241">
        <v>0.0151515151515152</v>
      </c>
      <c r="N5522" s="241">
        <v>0.0137931034482759</v>
      </c>
      <c r="O5522" s="252">
        <v>0.0416666666666667</v>
      </c>
    </row>
    <row r="5523" spans="1:15">
      <c r="A5523" s="242" t="s">
        <v>22</v>
      </c>
      <c r="B5523" s="43" t="s">
        <v>6</v>
      </c>
      <c r="C5523" s="15">
        <v>10</v>
      </c>
      <c r="D5523" s="244">
        <v>3</v>
      </c>
      <c r="E5523" s="244">
        <v>3</v>
      </c>
      <c r="F5523" s="244">
        <v>0</v>
      </c>
      <c r="G5523" s="244">
        <v>0</v>
      </c>
      <c r="H5523" s="244">
        <v>1</v>
      </c>
      <c r="I5523" s="244">
        <v>0</v>
      </c>
      <c r="J5523" s="244">
        <v>0</v>
      </c>
      <c r="K5523" s="244">
        <v>0</v>
      </c>
      <c r="L5523" s="244">
        <v>1</v>
      </c>
      <c r="M5523" s="244">
        <v>0</v>
      </c>
      <c r="N5523" s="244">
        <v>0</v>
      </c>
      <c r="O5523" s="254">
        <v>2</v>
      </c>
    </row>
    <row r="5524" ht="14.25" spans="1:15">
      <c r="A5524" s="245" t="s">
        <v>22</v>
      </c>
      <c r="B5524" s="52" t="s">
        <v>64</v>
      </c>
      <c r="C5524" s="19">
        <v>0.344827586206897</v>
      </c>
      <c r="D5524" s="246">
        <v>0.75</v>
      </c>
      <c r="E5524" s="246">
        <v>1.5</v>
      </c>
      <c r="F5524" s="246">
        <v>0</v>
      </c>
      <c r="G5524" s="246">
        <v>0</v>
      </c>
      <c r="H5524" s="246">
        <v>0.5</v>
      </c>
      <c r="I5524" s="246">
        <v>0</v>
      </c>
      <c r="J5524" s="246">
        <v>0</v>
      </c>
      <c r="K5524" s="246">
        <v>0</v>
      </c>
      <c r="L5524" s="246">
        <v>0.2</v>
      </c>
      <c r="M5524" s="246">
        <v>0</v>
      </c>
      <c r="N5524" s="246">
        <v>0</v>
      </c>
      <c r="O5524" s="255">
        <v>0.285714285714286</v>
      </c>
    </row>
    <row r="5525" spans="1:15">
      <c r="A5525" s="247" t="s">
        <v>66</v>
      </c>
      <c r="B5525" s="248" t="s">
        <v>55</v>
      </c>
      <c r="C5525" s="12">
        <v>0.0692969145169449</v>
      </c>
      <c r="D5525" s="249">
        <v>0.0798479087452472</v>
      </c>
      <c r="E5525" s="249">
        <v>0.0237154150197628</v>
      </c>
      <c r="F5525" s="249">
        <v>0.0144927536231884</v>
      </c>
      <c r="G5525" s="249">
        <v>0.051948051948052</v>
      </c>
      <c r="H5525" s="249">
        <v>0.102409638554217</v>
      </c>
      <c r="I5525" s="249">
        <v>0.10752688172043</v>
      </c>
      <c r="J5525" s="249">
        <v>0.0625</v>
      </c>
      <c r="K5525" s="249">
        <v>0.087378640776699</v>
      </c>
      <c r="L5525" s="249">
        <v>0.117647058823529</v>
      </c>
      <c r="M5525" s="249">
        <v>0.0707964601769911</v>
      </c>
      <c r="N5525" s="249">
        <v>0.072992700729927</v>
      </c>
      <c r="O5525" s="256">
        <v>0.107913669064748</v>
      </c>
    </row>
    <row r="5526" spans="1:15">
      <c r="A5526" s="242" t="s">
        <v>66</v>
      </c>
      <c r="B5526" s="43" t="s">
        <v>57</v>
      </c>
      <c r="C5526" s="15">
        <v>1977</v>
      </c>
      <c r="D5526" s="243">
        <v>263</v>
      </c>
      <c r="E5526" s="243">
        <v>253</v>
      </c>
      <c r="F5526" s="243">
        <v>207</v>
      </c>
      <c r="G5526" s="243">
        <v>154</v>
      </c>
      <c r="H5526" s="243">
        <v>166</v>
      </c>
      <c r="I5526" s="243">
        <v>93</v>
      </c>
      <c r="J5526" s="243">
        <v>144</v>
      </c>
      <c r="K5526" s="243">
        <v>206</v>
      </c>
      <c r="L5526" s="243">
        <v>102</v>
      </c>
      <c r="M5526" s="243">
        <v>113</v>
      </c>
      <c r="N5526" s="243">
        <v>137</v>
      </c>
      <c r="O5526" s="253">
        <v>139</v>
      </c>
    </row>
    <row r="5527" spans="1:15">
      <c r="A5527" s="240" t="s">
        <v>66</v>
      </c>
      <c r="B5527" s="47" t="s">
        <v>59</v>
      </c>
      <c r="C5527" s="15">
        <v>137</v>
      </c>
      <c r="D5527" s="243">
        <v>21</v>
      </c>
      <c r="E5527" s="243">
        <v>6</v>
      </c>
      <c r="F5527" s="243">
        <v>3</v>
      </c>
      <c r="G5527" s="243">
        <v>8</v>
      </c>
      <c r="H5527" s="243">
        <v>17</v>
      </c>
      <c r="I5527" s="243">
        <v>10</v>
      </c>
      <c r="J5527" s="243">
        <v>9</v>
      </c>
      <c r="K5527" s="243">
        <v>18</v>
      </c>
      <c r="L5527" s="243">
        <v>12</v>
      </c>
      <c r="M5527" s="243">
        <v>8</v>
      </c>
      <c r="N5527" s="243">
        <v>10</v>
      </c>
      <c r="O5527" s="253">
        <v>15</v>
      </c>
    </row>
    <row r="5528" spans="1:15">
      <c r="A5528" s="242" t="s">
        <v>66</v>
      </c>
      <c r="B5528" s="43" t="s">
        <v>4</v>
      </c>
      <c r="C5528" s="15">
        <v>7</v>
      </c>
      <c r="D5528" s="244">
        <v>1</v>
      </c>
      <c r="E5528" s="244">
        <v>0</v>
      </c>
      <c r="F5528" s="244">
        <v>0</v>
      </c>
      <c r="G5528" s="244">
        <v>0</v>
      </c>
      <c r="H5528" s="244">
        <v>1</v>
      </c>
      <c r="I5528" s="244">
        <v>0</v>
      </c>
      <c r="J5528" s="244">
        <v>0</v>
      </c>
      <c r="K5528" s="244">
        <v>1</v>
      </c>
      <c r="L5528" s="244">
        <v>0</v>
      </c>
      <c r="M5528" s="244">
        <v>2</v>
      </c>
      <c r="N5528" s="244">
        <v>1</v>
      </c>
      <c r="O5528" s="254">
        <v>1</v>
      </c>
    </row>
    <row r="5529" spans="1:15">
      <c r="A5529" s="240" t="s">
        <v>66</v>
      </c>
      <c r="B5529" s="47" t="s">
        <v>5</v>
      </c>
      <c r="C5529" s="12">
        <v>0.0510948905109489</v>
      </c>
      <c r="D5529" s="241">
        <v>0.0476190476190476</v>
      </c>
      <c r="E5529" s="241">
        <v>0</v>
      </c>
      <c r="F5529" s="241">
        <v>0</v>
      </c>
      <c r="G5529" s="241">
        <v>0</v>
      </c>
      <c r="H5529" s="241">
        <v>0.0588235294117647</v>
      </c>
      <c r="I5529" s="241">
        <v>0</v>
      </c>
      <c r="J5529" s="241">
        <v>0</v>
      </c>
      <c r="K5529" s="241">
        <v>0.0555555555555556</v>
      </c>
      <c r="L5529" s="241">
        <v>0</v>
      </c>
      <c r="M5529" s="241">
        <v>0.25</v>
      </c>
      <c r="N5529" s="241">
        <v>0.1</v>
      </c>
      <c r="O5529" s="252">
        <v>0.0666666666666667</v>
      </c>
    </row>
    <row r="5530" spans="1:15">
      <c r="A5530" s="242" t="s">
        <v>66</v>
      </c>
      <c r="B5530" s="43" t="s">
        <v>6</v>
      </c>
      <c r="C5530" s="15">
        <v>3</v>
      </c>
      <c r="D5530" s="244">
        <v>0</v>
      </c>
      <c r="E5530" s="244">
        <v>1</v>
      </c>
      <c r="F5530" s="244">
        <v>0</v>
      </c>
      <c r="G5530" s="244">
        <v>0</v>
      </c>
      <c r="H5530" s="244">
        <v>0</v>
      </c>
      <c r="I5530" s="244">
        <v>0</v>
      </c>
      <c r="J5530" s="244">
        <v>0</v>
      </c>
      <c r="K5530" s="244">
        <v>0</v>
      </c>
      <c r="L5530" s="244">
        <v>0</v>
      </c>
      <c r="M5530" s="244">
        <v>1</v>
      </c>
      <c r="N5530" s="244">
        <v>0</v>
      </c>
      <c r="O5530" s="254">
        <v>1</v>
      </c>
    </row>
    <row r="5531" ht="14.25" spans="1:15">
      <c r="A5531" s="245" t="s">
        <v>66</v>
      </c>
      <c r="B5531" s="52" t="s">
        <v>64</v>
      </c>
      <c r="C5531" s="19">
        <v>0.428571428571429</v>
      </c>
      <c r="D5531" s="246">
        <v>0</v>
      </c>
      <c r="E5531" s="246">
        <v>0</v>
      </c>
      <c r="F5531" s="246">
        <v>0</v>
      </c>
      <c r="G5531" s="246">
        <v>0</v>
      </c>
      <c r="H5531" s="246">
        <v>0</v>
      </c>
      <c r="I5531" s="246">
        <v>0</v>
      </c>
      <c r="J5531" s="246">
        <v>0</v>
      </c>
      <c r="K5531" s="246">
        <v>0</v>
      </c>
      <c r="L5531" s="246">
        <v>0</v>
      </c>
      <c r="M5531" s="246">
        <v>0.5</v>
      </c>
      <c r="N5531" s="246">
        <v>0</v>
      </c>
      <c r="O5531" s="255">
        <v>1</v>
      </c>
    </row>
    <row r="5532" spans="1:15">
      <c r="A5532" s="240" t="s">
        <v>67</v>
      </c>
      <c r="B5532" s="47" t="s">
        <v>55</v>
      </c>
      <c r="C5532" s="12">
        <v>0.448837209302326</v>
      </c>
      <c r="D5532" s="241">
        <v>0.526881720430108</v>
      </c>
      <c r="E5532" s="241">
        <v>0.408163265306122</v>
      </c>
      <c r="F5532" s="241">
        <v>0.390243902439024</v>
      </c>
      <c r="G5532" s="241">
        <v>0.483870967741935</v>
      </c>
      <c r="H5532" s="241">
        <v>0.481481481481481</v>
      </c>
      <c r="I5532" s="241">
        <v>0.367088607594937</v>
      </c>
      <c r="J5532" s="241">
        <v>0.534246575342466</v>
      </c>
      <c r="K5532" s="241">
        <v>0.367816091954023</v>
      </c>
      <c r="L5532" s="241">
        <v>0.285714285714286</v>
      </c>
      <c r="M5532" s="241">
        <v>0.472222222222222</v>
      </c>
      <c r="N5532" s="241">
        <v>0.604651162790698</v>
      </c>
      <c r="O5532" s="252">
        <v>0.44047619047619</v>
      </c>
    </row>
    <row r="5533" spans="1:15">
      <c r="A5533" s="242" t="s">
        <v>67</v>
      </c>
      <c r="B5533" s="43" t="s">
        <v>57</v>
      </c>
      <c r="C5533" s="15">
        <v>860</v>
      </c>
      <c r="D5533" s="243">
        <v>93</v>
      </c>
      <c r="E5533" s="243">
        <v>49</v>
      </c>
      <c r="F5533" s="243">
        <v>41</v>
      </c>
      <c r="G5533" s="243">
        <v>31</v>
      </c>
      <c r="H5533" s="243">
        <v>81</v>
      </c>
      <c r="I5533" s="243">
        <v>79</v>
      </c>
      <c r="J5533" s="243">
        <v>73</v>
      </c>
      <c r="K5533" s="243">
        <v>87</v>
      </c>
      <c r="L5533" s="243">
        <v>84</v>
      </c>
      <c r="M5533" s="243">
        <v>72</v>
      </c>
      <c r="N5533" s="243">
        <v>86</v>
      </c>
      <c r="O5533" s="253">
        <v>84</v>
      </c>
    </row>
    <row r="5534" spans="1:15">
      <c r="A5534" s="240" t="s">
        <v>67</v>
      </c>
      <c r="B5534" s="47" t="s">
        <v>59</v>
      </c>
      <c r="C5534" s="15">
        <v>386</v>
      </c>
      <c r="D5534" s="243">
        <v>49</v>
      </c>
      <c r="E5534" s="243">
        <v>20</v>
      </c>
      <c r="F5534" s="243">
        <v>16</v>
      </c>
      <c r="G5534" s="243">
        <v>15</v>
      </c>
      <c r="H5534" s="243">
        <v>39</v>
      </c>
      <c r="I5534" s="243">
        <v>29</v>
      </c>
      <c r="J5534" s="243">
        <v>39</v>
      </c>
      <c r="K5534" s="243">
        <v>32</v>
      </c>
      <c r="L5534" s="243">
        <v>24</v>
      </c>
      <c r="M5534" s="243">
        <v>34</v>
      </c>
      <c r="N5534" s="243">
        <v>52</v>
      </c>
      <c r="O5534" s="253">
        <v>37</v>
      </c>
    </row>
    <row r="5535" spans="1:15">
      <c r="A5535" s="242" t="s">
        <v>67</v>
      </c>
      <c r="B5535" s="43" t="s">
        <v>4</v>
      </c>
      <c r="C5535" s="15">
        <v>11</v>
      </c>
      <c r="D5535" s="244">
        <v>1</v>
      </c>
      <c r="E5535" s="244">
        <v>0</v>
      </c>
      <c r="F5535" s="244">
        <v>0</v>
      </c>
      <c r="G5535" s="244">
        <v>0</v>
      </c>
      <c r="H5535" s="244">
        <v>0</v>
      </c>
      <c r="I5535" s="244">
        <v>1</v>
      </c>
      <c r="J5535" s="244">
        <v>0</v>
      </c>
      <c r="K5535" s="244">
        <v>1</v>
      </c>
      <c r="L5535" s="244">
        <v>1</v>
      </c>
      <c r="M5535" s="244">
        <v>1</v>
      </c>
      <c r="N5535" s="244">
        <v>3</v>
      </c>
      <c r="O5535" s="254">
        <v>3</v>
      </c>
    </row>
    <row r="5536" spans="1:15">
      <c r="A5536" s="240" t="s">
        <v>67</v>
      </c>
      <c r="B5536" s="47" t="s">
        <v>5</v>
      </c>
      <c r="C5536" s="12">
        <v>0.0284974093264249</v>
      </c>
      <c r="D5536" s="241">
        <v>0.0204081632653061</v>
      </c>
      <c r="E5536" s="241">
        <v>0</v>
      </c>
      <c r="F5536" s="241">
        <v>0</v>
      </c>
      <c r="G5536" s="241">
        <v>0</v>
      </c>
      <c r="H5536" s="241">
        <v>0</v>
      </c>
      <c r="I5536" s="241">
        <v>0.0344827586206897</v>
      </c>
      <c r="J5536" s="241">
        <v>0</v>
      </c>
      <c r="K5536" s="241">
        <v>0.03125</v>
      </c>
      <c r="L5536" s="241">
        <v>0.0416666666666667</v>
      </c>
      <c r="M5536" s="241">
        <v>0.0294117647058824</v>
      </c>
      <c r="N5536" s="241">
        <v>0.0576923076923077</v>
      </c>
      <c r="O5536" s="252">
        <v>0.0810810810810811</v>
      </c>
    </row>
    <row r="5537" spans="1:15">
      <c r="A5537" s="242" t="s">
        <v>67</v>
      </c>
      <c r="B5537" s="43" t="s">
        <v>6</v>
      </c>
      <c r="C5537" s="15">
        <v>4</v>
      </c>
      <c r="D5537" s="244">
        <v>1</v>
      </c>
      <c r="E5537" s="244">
        <v>0</v>
      </c>
      <c r="F5537" s="244">
        <v>0</v>
      </c>
      <c r="G5537" s="244">
        <v>0</v>
      </c>
      <c r="H5537" s="244">
        <v>0</v>
      </c>
      <c r="I5537" s="244">
        <v>0</v>
      </c>
      <c r="J5537" s="244">
        <v>2</v>
      </c>
      <c r="K5537" s="244">
        <v>0</v>
      </c>
      <c r="L5537" s="244">
        <v>0</v>
      </c>
      <c r="M5537" s="244">
        <v>0</v>
      </c>
      <c r="N5537" s="244">
        <v>1</v>
      </c>
      <c r="O5537" s="254">
        <v>0</v>
      </c>
    </row>
    <row r="5538" ht="14.25" spans="1:15">
      <c r="A5538" s="245" t="s">
        <v>67</v>
      </c>
      <c r="B5538" s="52" t="s">
        <v>64</v>
      </c>
      <c r="C5538" s="19">
        <v>0.363636363636364</v>
      </c>
      <c r="D5538" s="246">
        <v>1</v>
      </c>
      <c r="E5538" s="246">
        <v>0</v>
      </c>
      <c r="F5538" s="246">
        <v>0</v>
      </c>
      <c r="G5538" s="246">
        <v>0</v>
      </c>
      <c r="H5538" s="246">
        <v>0</v>
      </c>
      <c r="I5538" s="246">
        <v>0</v>
      </c>
      <c r="J5538" s="246">
        <v>0</v>
      </c>
      <c r="K5538" s="246">
        <v>0</v>
      </c>
      <c r="L5538" s="246">
        <v>0</v>
      </c>
      <c r="M5538" s="246">
        <v>0</v>
      </c>
      <c r="N5538" s="246">
        <v>0.333333333333333</v>
      </c>
      <c r="O5538" s="255">
        <v>0</v>
      </c>
    </row>
    <row r="5539" spans="1:15">
      <c r="A5539" s="240" t="s">
        <v>68</v>
      </c>
      <c r="B5539" s="47" t="s">
        <v>55</v>
      </c>
      <c r="C5539" s="12">
        <v>0.233623749596644</v>
      </c>
      <c r="D5539" s="241">
        <v>0.293650793650794</v>
      </c>
      <c r="E5539" s="241">
        <v>0.308823529411765</v>
      </c>
      <c r="F5539" s="241">
        <v>0.247311827956989</v>
      </c>
      <c r="G5539" s="241">
        <v>0.330708661417323</v>
      </c>
      <c r="H5539" s="241">
        <v>0.32</v>
      </c>
      <c r="I5539" s="241">
        <v>0.174603174603175</v>
      </c>
      <c r="J5539" s="241">
        <v>0.179245283018868</v>
      </c>
      <c r="K5539" s="241">
        <v>0.234782608695652</v>
      </c>
      <c r="L5539" s="241">
        <v>0.222222222222222</v>
      </c>
      <c r="M5539" s="241">
        <v>0.204633204633205</v>
      </c>
      <c r="N5539" s="241">
        <v>0.1875</v>
      </c>
      <c r="O5539" s="252">
        <v>0.233766233766234</v>
      </c>
    </row>
    <row r="5540" spans="1:15">
      <c r="A5540" s="242" t="s">
        <v>68</v>
      </c>
      <c r="B5540" s="43" t="s">
        <v>57</v>
      </c>
      <c r="C5540" s="15">
        <v>3099</v>
      </c>
      <c r="D5540" s="243">
        <v>252</v>
      </c>
      <c r="E5540" s="243">
        <v>136</v>
      </c>
      <c r="F5540" s="243">
        <v>93</v>
      </c>
      <c r="G5540" s="243">
        <v>127</v>
      </c>
      <c r="H5540" s="243">
        <v>250</v>
      </c>
      <c r="I5540" s="243">
        <v>315</v>
      </c>
      <c r="J5540" s="243">
        <v>318</v>
      </c>
      <c r="K5540" s="243">
        <v>345</v>
      </c>
      <c r="L5540" s="243">
        <v>315</v>
      </c>
      <c r="M5540" s="243">
        <v>259</v>
      </c>
      <c r="N5540" s="243">
        <v>304</v>
      </c>
      <c r="O5540" s="253">
        <v>385</v>
      </c>
    </row>
    <row r="5541" spans="1:15">
      <c r="A5541" s="240" t="s">
        <v>68</v>
      </c>
      <c r="B5541" s="47" t="s">
        <v>59</v>
      </c>
      <c r="C5541" s="15">
        <v>724</v>
      </c>
      <c r="D5541" s="243">
        <v>74</v>
      </c>
      <c r="E5541" s="243">
        <v>42</v>
      </c>
      <c r="F5541" s="243">
        <v>23</v>
      </c>
      <c r="G5541" s="243">
        <v>42</v>
      </c>
      <c r="H5541" s="243">
        <v>80</v>
      </c>
      <c r="I5541" s="243">
        <v>55</v>
      </c>
      <c r="J5541" s="243">
        <v>57</v>
      </c>
      <c r="K5541" s="243">
        <v>81</v>
      </c>
      <c r="L5541" s="243">
        <v>70</v>
      </c>
      <c r="M5541" s="243">
        <v>53</v>
      </c>
      <c r="N5541" s="243">
        <v>57</v>
      </c>
      <c r="O5541" s="253">
        <v>90</v>
      </c>
    </row>
    <row r="5542" spans="1:15">
      <c r="A5542" s="242" t="s">
        <v>68</v>
      </c>
      <c r="B5542" s="43" t="s">
        <v>4</v>
      </c>
      <c r="C5542" s="15">
        <v>20</v>
      </c>
      <c r="D5542" s="244">
        <v>6</v>
      </c>
      <c r="E5542" s="244">
        <v>1</v>
      </c>
      <c r="F5542" s="244">
        <v>0</v>
      </c>
      <c r="G5542" s="244">
        <v>0</v>
      </c>
      <c r="H5542" s="244">
        <v>0</v>
      </c>
      <c r="I5542" s="244">
        <v>1</v>
      </c>
      <c r="J5542" s="244">
        <v>2</v>
      </c>
      <c r="K5542" s="244">
        <v>2</v>
      </c>
      <c r="L5542" s="244">
        <v>2</v>
      </c>
      <c r="M5542" s="244">
        <v>1</v>
      </c>
      <c r="N5542" s="244">
        <v>1</v>
      </c>
      <c r="O5542" s="254">
        <v>4</v>
      </c>
    </row>
    <row r="5543" spans="1:15">
      <c r="A5543" s="240" t="s">
        <v>68</v>
      </c>
      <c r="B5543" s="47" t="s">
        <v>5</v>
      </c>
      <c r="C5543" s="12">
        <v>0.0276243093922652</v>
      </c>
      <c r="D5543" s="241">
        <v>0.0810810810810811</v>
      </c>
      <c r="E5543" s="241">
        <v>0.0238095238095238</v>
      </c>
      <c r="F5543" s="241">
        <v>0</v>
      </c>
      <c r="G5543" s="241">
        <v>0</v>
      </c>
      <c r="H5543" s="241">
        <v>0</v>
      </c>
      <c r="I5543" s="241">
        <v>0.0181818181818182</v>
      </c>
      <c r="J5543" s="241">
        <v>0.0350877192982456</v>
      </c>
      <c r="K5543" s="241">
        <v>0.0246913580246914</v>
      </c>
      <c r="L5543" s="241">
        <v>0.0285714285714286</v>
      </c>
      <c r="M5543" s="241">
        <v>0.0188679245283019</v>
      </c>
      <c r="N5543" s="241">
        <v>0.0175438596491228</v>
      </c>
      <c r="O5543" s="252">
        <v>0.0444444444444444</v>
      </c>
    </row>
    <row r="5544" spans="1:15">
      <c r="A5544" s="242" t="s">
        <v>68</v>
      </c>
      <c r="B5544" s="43" t="s">
        <v>6</v>
      </c>
      <c r="C5544" s="15">
        <v>4</v>
      </c>
      <c r="D5544" s="244">
        <v>0</v>
      </c>
      <c r="E5544" s="244">
        <v>1</v>
      </c>
      <c r="F5544" s="244">
        <v>0</v>
      </c>
      <c r="G5544" s="244">
        <v>0</v>
      </c>
      <c r="H5544" s="244">
        <v>0</v>
      </c>
      <c r="I5544" s="244">
        <v>0</v>
      </c>
      <c r="J5544" s="244">
        <v>1</v>
      </c>
      <c r="K5544" s="244">
        <v>1</v>
      </c>
      <c r="L5544" s="244">
        <v>0</v>
      </c>
      <c r="M5544" s="244">
        <v>0</v>
      </c>
      <c r="N5544" s="244">
        <v>1</v>
      </c>
      <c r="O5544" s="254">
        <v>0</v>
      </c>
    </row>
    <row r="5545" ht="14.25" spans="1:15">
      <c r="A5545" s="245" t="s">
        <v>68</v>
      </c>
      <c r="B5545" s="52" t="s">
        <v>64</v>
      </c>
      <c r="C5545" s="19">
        <v>0.2</v>
      </c>
      <c r="D5545" s="246">
        <v>0</v>
      </c>
      <c r="E5545" s="246">
        <v>1</v>
      </c>
      <c r="F5545" s="246">
        <v>0</v>
      </c>
      <c r="G5545" s="246">
        <v>0</v>
      </c>
      <c r="H5545" s="246">
        <v>0</v>
      </c>
      <c r="I5545" s="246">
        <v>0</v>
      </c>
      <c r="J5545" s="246">
        <v>0.5</v>
      </c>
      <c r="K5545" s="246">
        <v>0.5</v>
      </c>
      <c r="L5545" s="246">
        <v>0</v>
      </c>
      <c r="M5545" s="246">
        <v>0</v>
      </c>
      <c r="N5545" s="246">
        <v>1</v>
      </c>
      <c r="O5545" s="255">
        <v>0</v>
      </c>
    </row>
    <row r="5546" spans="1:15">
      <c r="A5546" s="240" t="s">
        <v>69</v>
      </c>
      <c r="B5546" s="47" t="s">
        <v>55</v>
      </c>
      <c r="C5546" s="12">
        <v>1.3304347826087</v>
      </c>
      <c r="D5546" s="241">
        <v>1.45</v>
      </c>
      <c r="E5546" s="241">
        <v>1.08333333333333</v>
      </c>
      <c r="F5546" s="241">
        <v>1.66666666666667</v>
      </c>
      <c r="G5546" s="241">
        <v>3</v>
      </c>
      <c r="H5546" s="241">
        <v>1.6875</v>
      </c>
      <c r="I5546" s="241">
        <v>1.9</v>
      </c>
      <c r="J5546" s="241">
        <v>1.35</v>
      </c>
      <c r="K5546" s="241">
        <v>1.33333333333333</v>
      </c>
      <c r="L5546" s="241">
        <v>1.19230769230769</v>
      </c>
      <c r="M5546" s="241">
        <v>0.928571428571429</v>
      </c>
      <c r="N5546" s="241">
        <v>1.15625</v>
      </c>
      <c r="O5546" s="252">
        <v>1.14814814814815</v>
      </c>
    </row>
    <row r="5547" spans="1:15">
      <c r="A5547" s="242" t="s">
        <v>69</v>
      </c>
      <c r="B5547" s="43" t="s">
        <v>57</v>
      </c>
      <c r="C5547" s="15">
        <v>230</v>
      </c>
      <c r="D5547" s="243">
        <v>20</v>
      </c>
      <c r="E5547" s="243">
        <v>12</v>
      </c>
      <c r="F5547" s="243">
        <v>12</v>
      </c>
      <c r="G5547" s="243">
        <v>6</v>
      </c>
      <c r="H5547" s="243">
        <v>16</v>
      </c>
      <c r="I5547" s="243">
        <v>10</v>
      </c>
      <c r="J5547" s="243">
        <v>20</v>
      </c>
      <c r="K5547" s="243">
        <v>21</v>
      </c>
      <c r="L5547" s="243">
        <v>26</v>
      </c>
      <c r="M5547" s="243">
        <v>28</v>
      </c>
      <c r="N5547" s="243">
        <v>32</v>
      </c>
      <c r="O5547" s="253">
        <v>27</v>
      </c>
    </row>
    <row r="5548" spans="1:15">
      <c r="A5548" s="240" t="s">
        <v>69</v>
      </c>
      <c r="B5548" s="47" t="s">
        <v>59</v>
      </c>
      <c r="C5548" s="15">
        <v>306</v>
      </c>
      <c r="D5548" s="243">
        <v>29</v>
      </c>
      <c r="E5548" s="243">
        <v>13</v>
      </c>
      <c r="F5548" s="243">
        <v>20</v>
      </c>
      <c r="G5548" s="243">
        <v>18</v>
      </c>
      <c r="H5548" s="243">
        <v>27</v>
      </c>
      <c r="I5548" s="243">
        <v>19</v>
      </c>
      <c r="J5548" s="243">
        <v>27</v>
      </c>
      <c r="K5548" s="243">
        <v>28</v>
      </c>
      <c r="L5548" s="243">
        <v>31</v>
      </c>
      <c r="M5548" s="243">
        <v>26</v>
      </c>
      <c r="N5548" s="243">
        <v>37</v>
      </c>
      <c r="O5548" s="253">
        <v>31</v>
      </c>
    </row>
    <row r="5549" spans="1:15">
      <c r="A5549" s="242" t="s">
        <v>69</v>
      </c>
      <c r="B5549" s="43" t="s">
        <v>4</v>
      </c>
      <c r="C5549" s="15">
        <v>1</v>
      </c>
      <c r="D5549" s="244">
        <v>1</v>
      </c>
      <c r="E5549" s="244">
        <v>0</v>
      </c>
      <c r="F5549" s="244">
        <v>0</v>
      </c>
      <c r="G5549" s="244">
        <v>0</v>
      </c>
      <c r="H5549" s="244">
        <v>0</v>
      </c>
      <c r="I5549" s="244">
        <v>0</v>
      </c>
      <c r="J5549" s="244">
        <v>0</v>
      </c>
      <c r="K5549" s="244">
        <v>0</v>
      </c>
      <c r="L5549" s="244">
        <v>0</v>
      </c>
      <c r="M5549" s="244">
        <v>0</v>
      </c>
      <c r="N5549" s="244">
        <v>0</v>
      </c>
      <c r="O5549" s="254">
        <v>0</v>
      </c>
    </row>
    <row r="5550" spans="1:15">
      <c r="A5550" s="240" t="s">
        <v>69</v>
      </c>
      <c r="B5550" s="47" t="s">
        <v>5</v>
      </c>
      <c r="C5550" s="12">
        <v>0.00326797385620915</v>
      </c>
      <c r="D5550" s="241">
        <v>0.0344827586206897</v>
      </c>
      <c r="E5550" s="241">
        <v>0</v>
      </c>
      <c r="F5550" s="241">
        <v>0</v>
      </c>
      <c r="G5550" s="241">
        <v>0</v>
      </c>
      <c r="H5550" s="241">
        <v>0</v>
      </c>
      <c r="I5550" s="241">
        <v>0</v>
      </c>
      <c r="J5550" s="241">
        <v>0</v>
      </c>
      <c r="K5550" s="241">
        <v>0</v>
      </c>
      <c r="L5550" s="241">
        <v>0</v>
      </c>
      <c r="M5550" s="241">
        <v>0</v>
      </c>
      <c r="N5550" s="241">
        <v>0</v>
      </c>
      <c r="O5550" s="252">
        <v>0</v>
      </c>
    </row>
    <row r="5551" spans="1:15">
      <c r="A5551" s="242" t="s">
        <v>69</v>
      </c>
      <c r="B5551" s="43" t="s">
        <v>6</v>
      </c>
      <c r="C5551" s="15">
        <v>1</v>
      </c>
      <c r="D5551" s="244">
        <v>0</v>
      </c>
      <c r="E5551" s="244">
        <v>0</v>
      </c>
      <c r="F5551" s="244">
        <v>0</v>
      </c>
      <c r="G5551" s="244">
        <v>0</v>
      </c>
      <c r="H5551" s="244">
        <v>0</v>
      </c>
      <c r="I5551" s="244">
        <v>0</v>
      </c>
      <c r="J5551" s="244">
        <v>0</v>
      </c>
      <c r="K5551" s="244">
        <v>1</v>
      </c>
      <c r="L5551" s="244">
        <v>0</v>
      </c>
      <c r="M5551" s="244">
        <v>0</v>
      </c>
      <c r="N5551" s="244">
        <v>0</v>
      </c>
      <c r="O5551" s="254">
        <v>0</v>
      </c>
    </row>
    <row r="5552" ht="14.25" spans="1:15">
      <c r="A5552" s="245" t="s">
        <v>69</v>
      </c>
      <c r="B5552" s="52" t="s">
        <v>64</v>
      </c>
      <c r="C5552" s="19">
        <v>1</v>
      </c>
      <c r="D5552" s="246">
        <v>0</v>
      </c>
      <c r="E5552" s="246">
        <v>0</v>
      </c>
      <c r="F5552" s="246">
        <v>0</v>
      </c>
      <c r="G5552" s="246">
        <v>0</v>
      </c>
      <c r="H5552" s="246">
        <v>0</v>
      </c>
      <c r="I5552" s="246">
        <v>0</v>
      </c>
      <c r="J5552" s="246">
        <v>0</v>
      </c>
      <c r="K5552" s="246">
        <v>0</v>
      </c>
      <c r="L5552" s="246">
        <v>0</v>
      </c>
      <c r="M5552" s="246">
        <v>0</v>
      </c>
      <c r="N5552" s="246">
        <v>0</v>
      </c>
      <c r="O5552" s="255">
        <v>0</v>
      </c>
    </row>
    <row r="5553" spans="1:15">
      <c r="A5553" s="240" t="s">
        <v>70</v>
      </c>
      <c r="B5553" s="47" t="s">
        <v>55</v>
      </c>
      <c r="C5553" s="12">
        <v>0.827225130890052</v>
      </c>
      <c r="D5553" s="241">
        <v>0.967741935483871</v>
      </c>
      <c r="E5553" s="241">
        <v>0.5625</v>
      </c>
      <c r="F5553" s="241">
        <v>0.714285714285714</v>
      </c>
      <c r="G5553" s="241">
        <v>1.17857142857143</v>
      </c>
      <c r="H5553" s="241">
        <v>1.22222222222222</v>
      </c>
      <c r="I5553" s="241">
        <v>0.84</v>
      </c>
      <c r="J5553" s="241">
        <v>0.782608695652174</v>
      </c>
      <c r="K5553" s="241">
        <v>0.857142857142857</v>
      </c>
      <c r="L5553" s="241">
        <v>0.827586206896552</v>
      </c>
      <c r="M5553" s="241">
        <v>0.638297872340426</v>
      </c>
      <c r="N5553" s="241">
        <v>0.7</v>
      </c>
      <c r="O5553" s="252">
        <v>0.792452830188679</v>
      </c>
    </row>
    <row r="5554" spans="1:15">
      <c r="A5554" s="242" t="s">
        <v>70</v>
      </c>
      <c r="B5554" s="43" t="s">
        <v>57</v>
      </c>
      <c r="C5554" s="15">
        <v>573</v>
      </c>
      <c r="D5554" s="243">
        <v>62</v>
      </c>
      <c r="E5554" s="243">
        <v>32</v>
      </c>
      <c r="F5554" s="243">
        <v>42</v>
      </c>
      <c r="G5554" s="243">
        <v>28</v>
      </c>
      <c r="H5554" s="243">
        <v>36</v>
      </c>
      <c r="I5554" s="243">
        <v>50</v>
      </c>
      <c r="J5554" s="243">
        <v>46</v>
      </c>
      <c r="K5554" s="243">
        <v>49</v>
      </c>
      <c r="L5554" s="243">
        <v>58</v>
      </c>
      <c r="M5554" s="243">
        <v>47</v>
      </c>
      <c r="N5554" s="243">
        <v>70</v>
      </c>
      <c r="O5554" s="253">
        <v>53</v>
      </c>
    </row>
    <row r="5555" spans="1:15">
      <c r="A5555" s="240" t="s">
        <v>70</v>
      </c>
      <c r="B5555" s="47" t="s">
        <v>59</v>
      </c>
      <c r="C5555" s="15">
        <v>474</v>
      </c>
      <c r="D5555" s="243">
        <v>60</v>
      </c>
      <c r="E5555" s="243">
        <v>18</v>
      </c>
      <c r="F5555" s="243">
        <v>30</v>
      </c>
      <c r="G5555" s="243">
        <v>33</v>
      </c>
      <c r="H5555" s="243">
        <v>44</v>
      </c>
      <c r="I5555" s="243">
        <v>42</v>
      </c>
      <c r="J5555" s="243">
        <v>36</v>
      </c>
      <c r="K5555" s="243">
        <v>42</v>
      </c>
      <c r="L5555" s="243">
        <v>48</v>
      </c>
      <c r="M5555" s="243">
        <v>30</v>
      </c>
      <c r="N5555" s="243">
        <v>49</v>
      </c>
      <c r="O5555" s="253">
        <v>42</v>
      </c>
    </row>
    <row r="5556" spans="1:15">
      <c r="A5556" s="242" t="s">
        <v>70</v>
      </c>
      <c r="B5556" s="43" t="s">
        <v>4</v>
      </c>
      <c r="C5556" s="15">
        <v>6</v>
      </c>
      <c r="D5556" s="244">
        <v>1</v>
      </c>
      <c r="E5556" s="244">
        <v>0</v>
      </c>
      <c r="F5556" s="244">
        <v>0</v>
      </c>
      <c r="G5556" s="244">
        <v>0</v>
      </c>
      <c r="H5556" s="244">
        <v>0</v>
      </c>
      <c r="I5556" s="244">
        <v>2</v>
      </c>
      <c r="J5556" s="244">
        <v>1</v>
      </c>
      <c r="K5556" s="244">
        <v>0</v>
      </c>
      <c r="L5556" s="244">
        <v>1</v>
      </c>
      <c r="M5556" s="244">
        <v>0</v>
      </c>
      <c r="N5556" s="244">
        <v>0</v>
      </c>
      <c r="O5556" s="254">
        <v>1</v>
      </c>
    </row>
    <row r="5557" spans="1:15">
      <c r="A5557" s="240" t="s">
        <v>70</v>
      </c>
      <c r="B5557" s="47" t="s">
        <v>5</v>
      </c>
      <c r="C5557" s="12">
        <v>0.0126582278481013</v>
      </c>
      <c r="D5557" s="241">
        <v>0.0166666666666667</v>
      </c>
      <c r="E5557" s="241">
        <v>0</v>
      </c>
      <c r="F5557" s="241">
        <v>0</v>
      </c>
      <c r="G5557" s="241">
        <v>0</v>
      </c>
      <c r="H5557" s="241">
        <v>0</v>
      </c>
      <c r="I5557" s="241">
        <v>0.0476190476190476</v>
      </c>
      <c r="J5557" s="241">
        <v>0.0277777777777778</v>
      </c>
      <c r="K5557" s="241">
        <v>0</v>
      </c>
      <c r="L5557" s="241">
        <v>0.0208333333333333</v>
      </c>
      <c r="M5557" s="241">
        <v>0</v>
      </c>
      <c r="N5557" s="241">
        <v>0</v>
      </c>
      <c r="O5557" s="252">
        <v>0.0238095238095238</v>
      </c>
    </row>
    <row r="5558" spans="1:15">
      <c r="A5558" s="242" t="s">
        <v>70</v>
      </c>
      <c r="B5558" s="43" t="s">
        <v>6</v>
      </c>
      <c r="C5558" s="15">
        <v>6</v>
      </c>
      <c r="D5558" s="244">
        <v>0</v>
      </c>
      <c r="E5558" s="244">
        <v>0</v>
      </c>
      <c r="F5558" s="244">
        <v>1</v>
      </c>
      <c r="G5558" s="244">
        <v>0</v>
      </c>
      <c r="H5558" s="244">
        <v>1</v>
      </c>
      <c r="I5558" s="244">
        <v>2</v>
      </c>
      <c r="J5558" s="244">
        <v>2</v>
      </c>
      <c r="K5558" s="244">
        <v>0</v>
      </c>
      <c r="L5558" s="244">
        <v>0</v>
      </c>
      <c r="M5558" s="244">
        <v>0</v>
      </c>
      <c r="N5558" s="244">
        <v>0</v>
      </c>
      <c r="O5558" s="254">
        <v>0</v>
      </c>
    </row>
    <row r="5559" ht="14.25" spans="1:15">
      <c r="A5559" s="245" t="s">
        <v>70</v>
      </c>
      <c r="B5559" s="52" t="s">
        <v>64</v>
      </c>
      <c r="C5559" s="19">
        <v>1</v>
      </c>
      <c r="D5559" s="246">
        <v>0</v>
      </c>
      <c r="E5559" s="246">
        <v>0</v>
      </c>
      <c r="F5559" s="246">
        <v>0</v>
      </c>
      <c r="G5559" s="246">
        <v>0</v>
      </c>
      <c r="H5559" s="246">
        <v>0</v>
      </c>
      <c r="I5559" s="246">
        <v>1</v>
      </c>
      <c r="J5559" s="246">
        <v>2</v>
      </c>
      <c r="K5559" s="246">
        <v>0</v>
      </c>
      <c r="L5559" s="246">
        <v>0</v>
      </c>
      <c r="M5559" s="246">
        <v>0</v>
      </c>
      <c r="N5559" s="246">
        <v>0</v>
      </c>
      <c r="O5559" s="255">
        <v>0</v>
      </c>
    </row>
    <row r="5560" spans="1:15">
      <c r="A5560" s="240" t="s">
        <v>26</v>
      </c>
      <c r="B5560" s="47" t="s">
        <v>55</v>
      </c>
      <c r="C5560" s="12">
        <v>541.5</v>
      </c>
      <c r="D5560" s="241" t="e">
        <v>#DIV/0!</v>
      </c>
      <c r="E5560" s="241" t="e">
        <v>#DIV/0!</v>
      </c>
      <c r="F5560" s="241" t="e">
        <v>#DIV/0!</v>
      </c>
      <c r="G5560" s="241" t="e">
        <v>#DIV/0!</v>
      </c>
      <c r="H5560" s="241" t="e">
        <v>#DIV/0!</v>
      </c>
      <c r="I5560" s="241" t="e">
        <v>#DIV/0!</v>
      </c>
      <c r="J5560" s="241" t="e">
        <v>#DIV/0!</v>
      </c>
      <c r="K5560" s="241" t="e">
        <v>#DIV/0!</v>
      </c>
      <c r="L5560" s="241" t="e">
        <v>#DIV/0!</v>
      </c>
      <c r="M5560" s="241" t="e">
        <v>#DIV/0!</v>
      </c>
      <c r="N5560" s="241">
        <v>57</v>
      </c>
      <c r="O5560" s="252" t="e">
        <v>#DIV/0!</v>
      </c>
    </row>
    <row r="5561" spans="1:15">
      <c r="A5561" s="242" t="s">
        <v>26</v>
      </c>
      <c r="B5561" s="43" t="s">
        <v>57</v>
      </c>
      <c r="C5561" s="15">
        <v>2</v>
      </c>
      <c r="D5561" s="243">
        <v>0</v>
      </c>
      <c r="E5561" s="243">
        <v>0</v>
      </c>
      <c r="F5561" s="243">
        <v>0</v>
      </c>
      <c r="G5561" s="243">
        <v>0</v>
      </c>
      <c r="H5561" s="243">
        <v>0</v>
      </c>
      <c r="I5561" s="243">
        <v>0</v>
      </c>
      <c r="J5561" s="243">
        <v>0</v>
      </c>
      <c r="K5561" s="243">
        <v>0</v>
      </c>
      <c r="L5561" s="243">
        <v>0</v>
      </c>
      <c r="M5561" s="243">
        <v>0</v>
      </c>
      <c r="N5561" s="243">
        <v>2</v>
      </c>
      <c r="O5561" s="253">
        <v>0</v>
      </c>
    </row>
    <row r="5562" spans="1:15">
      <c r="A5562" s="240" t="s">
        <v>26</v>
      </c>
      <c r="B5562" s="47" t="s">
        <v>59</v>
      </c>
      <c r="C5562" s="15">
        <v>1083</v>
      </c>
      <c r="D5562" s="243">
        <v>58</v>
      </c>
      <c r="E5562" s="243">
        <v>21</v>
      </c>
      <c r="F5562" s="243">
        <v>13</v>
      </c>
      <c r="G5562" s="243">
        <v>44</v>
      </c>
      <c r="H5562" s="243">
        <v>117</v>
      </c>
      <c r="I5562" s="243">
        <v>122</v>
      </c>
      <c r="J5562" s="243">
        <v>161</v>
      </c>
      <c r="K5562" s="243">
        <v>135</v>
      </c>
      <c r="L5562" s="243">
        <v>127</v>
      </c>
      <c r="M5562" s="243">
        <v>101</v>
      </c>
      <c r="N5562" s="243">
        <v>114</v>
      </c>
      <c r="O5562" s="253">
        <v>70</v>
      </c>
    </row>
    <row r="5563" spans="1:15">
      <c r="A5563" s="242" t="s">
        <v>26</v>
      </c>
      <c r="B5563" s="43" t="s">
        <v>4</v>
      </c>
      <c r="C5563" s="15">
        <v>2</v>
      </c>
      <c r="D5563" s="244">
        <v>1</v>
      </c>
      <c r="E5563" s="244">
        <v>0</v>
      </c>
      <c r="F5563" s="244">
        <v>0</v>
      </c>
      <c r="G5563" s="244">
        <v>0</v>
      </c>
      <c r="H5563" s="244">
        <v>0</v>
      </c>
      <c r="I5563" s="244">
        <v>0</v>
      </c>
      <c r="J5563" s="244">
        <v>0</v>
      </c>
      <c r="K5563" s="244">
        <v>0</v>
      </c>
      <c r="L5563" s="244">
        <v>0</v>
      </c>
      <c r="M5563" s="244">
        <v>0</v>
      </c>
      <c r="N5563" s="244">
        <v>0</v>
      </c>
      <c r="O5563" s="254">
        <v>1</v>
      </c>
    </row>
    <row r="5564" spans="1:15">
      <c r="A5564" s="240" t="s">
        <v>26</v>
      </c>
      <c r="B5564" s="47" t="s">
        <v>5</v>
      </c>
      <c r="C5564" s="12">
        <v>0.00184672206832872</v>
      </c>
      <c r="D5564" s="241">
        <v>0.0172413793103448</v>
      </c>
      <c r="E5564" s="241">
        <v>0</v>
      </c>
      <c r="F5564" s="241">
        <v>0</v>
      </c>
      <c r="G5564" s="241">
        <v>0</v>
      </c>
      <c r="H5564" s="241">
        <v>0</v>
      </c>
      <c r="I5564" s="241">
        <v>0</v>
      </c>
      <c r="J5564" s="241">
        <v>0</v>
      </c>
      <c r="K5564" s="241">
        <v>0</v>
      </c>
      <c r="L5564" s="241">
        <v>0</v>
      </c>
      <c r="M5564" s="241">
        <v>0</v>
      </c>
      <c r="N5564" s="241">
        <v>0</v>
      </c>
      <c r="O5564" s="252">
        <v>0.0142857142857143</v>
      </c>
    </row>
    <row r="5565" spans="1:15">
      <c r="A5565" s="242" t="s">
        <v>26</v>
      </c>
      <c r="B5565" s="43" t="s">
        <v>6</v>
      </c>
      <c r="C5565" s="15">
        <v>2</v>
      </c>
      <c r="D5565" s="244">
        <v>1</v>
      </c>
      <c r="E5565" s="244">
        <v>0</v>
      </c>
      <c r="F5565" s="244">
        <v>0</v>
      </c>
      <c r="G5565" s="244">
        <v>0</v>
      </c>
      <c r="H5565" s="244">
        <v>0</v>
      </c>
      <c r="I5565" s="244">
        <v>0</v>
      </c>
      <c r="J5565" s="244">
        <v>0</v>
      </c>
      <c r="K5565" s="244">
        <v>0</v>
      </c>
      <c r="L5565" s="244">
        <v>0</v>
      </c>
      <c r="M5565" s="244">
        <v>0</v>
      </c>
      <c r="N5565" s="244">
        <v>0</v>
      </c>
      <c r="O5565" s="254">
        <v>1</v>
      </c>
    </row>
    <row r="5566" ht="36" customHeight="1" spans="1:15">
      <c r="A5566" s="245" t="s">
        <v>26</v>
      </c>
      <c r="B5566" s="52" t="s">
        <v>64</v>
      </c>
      <c r="C5566" s="19">
        <v>1</v>
      </c>
      <c r="D5566" s="19">
        <v>1</v>
      </c>
      <c r="E5566" s="19" t="e">
        <v>#DIV/0!</v>
      </c>
      <c r="F5566" s="19" t="e">
        <v>#DIV/0!</v>
      </c>
      <c r="G5566" s="19" t="e">
        <v>#DIV/0!</v>
      </c>
      <c r="H5566" s="19" t="e">
        <v>#DIV/0!</v>
      </c>
      <c r="I5566" s="19" t="e">
        <v>#DIV/0!</v>
      </c>
      <c r="J5566" s="19" t="e">
        <v>#DIV/0!</v>
      </c>
      <c r="K5566" s="19" t="e">
        <v>#DIV/0!</v>
      </c>
      <c r="L5566" s="19" t="e">
        <v>#DIV/0!</v>
      </c>
      <c r="M5566" s="19" t="e">
        <v>#DIV/0!</v>
      </c>
      <c r="N5566" s="19" t="e">
        <v>#DIV/0!</v>
      </c>
      <c r="O5566" s="19">
        <v>1</v>
      </c>
    </row>
    <row r="5567" spans="1:15">
      <c r="A5567" s="240" t="s">
        <v>71</v>
      </c>
      <c r="B5567" s="47" t="s">
        <v>55</v>
      </c>
      <c r="C5567" s="12">
        <v>602</v>
      </c>
      <c r="D5567" s="241" t="e">
        <v>#DIV/0!</v>
      </c>
      <c r="E5567" s="241" t="e">
        <v>#DIV/0!</v>
      </c>
      <c r="F5567" s="241">
        <v>25.5</v>
      </c>
      <c r="G5567" s="241" t="e">
        <v>#DIV/0!</v>
      </c>
      <c r="H5567" s="241" t="e">
        <v>#DIV/0!</v>
      </c>
      <c r="I5567" s="241" t="e">
        <v>#DIV/0!</v>
      </c>
      <c r="J5567" s="241" t="e">
        <v>#DIV/0!</v>
      </c>
      <c r="K5567" s="241" t="e">
        <v>#DIV/0!</v>
      </c>
      <c r="L5567" s="241" t="e">
        <v>#DIV/0!</v>
      </c>
      <c r="M5567" s="241" t="e">
        <v>#DIV/0!</v>
      </c>
      <c r="N5567" s="241" t="e">
        <v>#DIV/0!</v>
      </c>
      <c r="O5567" s="252" t="e">
        <v>#DIV/0!</v>
      </c>
    </row>
    <row r="5568" spans="1:15">
      <c r="A5568" s="242" t="s">
        <v>71</v>
      </c>
      <c r="B5568" s="43" t="s">
        <v>57</v>
      </c>
      <c r="C5568" s="15">
        <v>2</v>
      </c>
      <c r="D5568" s="243">
        <v>0</v>
      </c>
      <c r="E5568" s="243">
        <v>0</v>
      </c>
      <c r="F5568" s="243">
        <v>2</v>
      </c>
      <c r="G5568" s="243">
        <v>0</v>
      </c>
      <c r="H5568" s="243">
        <v>0</v>
      </c>
      <c r="I5568" s="243">
        <v>0</v>
      </c>
      <c r="J5568" s="243">
        <v>0</v>
      </c>
      <c r="K5568" s="243">
        <v>0</v>
      </c>
      <c r="L5568" s="243">
        <v>0</v>
      </c>
      <c r="M5568" s="243">
        <v>0</v>
      </c>
      <c r="N5568" s="243">
        <v>0</v>
      </c>
      <c r="O5568" s="253">
        <v>0</v>
      </c>
    </row>
    <row r="5569" spans="1:15">
      <c r="A5569" s="240" t="s">
        <v>71</v>
      </c>
      <c r="B5569" s="47" t="s">
        <v>59</v>
      </c>
      <c r="C5569" s="15">
        <v>1204</v>
      </c>
      <c r="D5569" s="243">
        <v>123</v>
      </c>
      <c r="E5569" s="243">
        <v>67</v>
      </c>
      <c r="F5569" s="243">
        <v>51</v>
      </c>
      <c r="G5569" s="243">
        <v>65</v>
      </c>
      <c r="H5569" s="243">
        <v>73</v>
      </c>
      <c r="I5569" s="243">
        <v>101</v>
      </c>
      <c r="J5569" s="243">
        <v>107</v>
      </c>
      <c r="K5569" s="243">
        <v>103</v>
      </c>
      <c r="L5569" s="243">
        <v>128</v>
      </c>
      <c r="M5569" s="243">
        <v>129</v>
      </c>
      <c r="N5569" s="243">
        <v>124</v>
      </c>
      <c r="O5569" s="253">
        <v>133</v>
      </c>
    </row>
    <row r="5570" spans="1:15">
      <c r="A5570" s="242" t="s">
        <v>71</v>
      </c>
      <c r="B5570" s="43" t="s">
        <v>4</v>
      </c>
      <c r="C5570" s="15">
        <v>55</v>
      </c>
      <c r="D5570" s="244">
        <v>6</v>
      </c>
      <c r="E5570" s="244">
        <v>5</v>
      </c>
      <c r="F5570" s="244">
        <v>3</v>
      </c>
      <c r="G5570" s="244">
        <v>1</v>
      </c>
      <c r="H5570" s="244">
        <v>4</v>
      </c>
      <c r="I5570" s="244">
        <v>3</v>
      </c>
      <c r="J5570" s="244">
        <v>6</v>
      </c>
      <c r="K5570" s="244">
        <v>7</v>
      </c>
      <c r="L5570" s="244">
        <v>6</v>
      </c>
      <c r="M5570" s="244">
        <v>4</v>
      </c>
      <c r="N5570" s="244">
        <v>7</v>
      </c>
      <c r="O5570" s="254">
        <v>3</v>
      </c>
    </row>
    <row r="5571" spans="1:15">
      <c r="A5571" s="240" t="s">
        <v>71</v>
      </c>
      <c r="B5571" s="47" t="s">
        <v>5</v>
      </c>
      <c r="C5571" s="241">
        <v>0.0456810631229236</v>
      </c>
      <c r="D5571" s="241">
        <v>0.0487804878048781</v>
      </c>
      <c r="E5571" s="241">
        <v>0.0746268656716418</v>
      </c>
      <c r="F5571" s="241">
        <v>0.0588235294117647</v>
      </c>
      <c r="G5571" s="241">
        <v>0.0153846153846154</v>
      </c>
      <c r="H5571" s="241">
        <v>0.0547945205479452</v>
      </c>
      <c r="I5571" s="241">
        <v>0.0297029702970297</v>
      </c>
      <c r="J5571" s="241">
        <v>0.0560747663551402</v>
      </c>
      <c r="K5571" s="241">
        <v>0.0679611650485437</v>
      </c>
      <c r="L5571" s="241">
        <v>0.046875</v>
      </c>
      <c r="M5571" s="241">
        <v>0.0310077519379845</v>
      </c>
      <c r="N5571" s="241">
        <v>0.0564516129032258</v>
      </c>
      <c r="O5571" s="252">
        <v>0.0225563909774436</v>
      </c>
    </row>
    <row r="5572" spans="1:15">
      <c r="A5572" s="242" t="s">
        <v>71</v>
      </c>
      <c r="B5572" s="43" t="s">
        <v>6</v>
      </c>
      <c r="C5572" s="15">
        <v>15</v>
      </c>
      <c r="D5572" s="244">
        <v>1</v>
      </c>
      <c r="E5572" s="244">
        <v>3</v>
      </c>
      <c r="F5572" s="244">
        <v>2</v>
      </c>
      <c r="G5572" s="244">
        <v>0</v>
      </c>
      <c r="H5572" s="244">
        <v>1</v>
      </c>
      <c r="I5572" s="244">
        <v>1</v>
      </c>
      <c r="J5572" s="244">
        <v>0</v>
      </c>
      <c r="K5572" s="244">
        <v>1</v>
      </c>
      <c r="L5572" s="244">
        <v>2</v>
      </c>
      <c r="M5572" s="244">
        <v>1</v>
      </c>
      <c r="N5572" s="244">
        <v>3</v>
      </c>
      <c r="O5572" s="254">
        <v>0</v>
      </c>
    </row>
    <row r="5573" ht="14.25" spans="1:15">
      <c r="A5573" s="245" t="s">
        <v>71</v>
      </c>
      <c r="B5573" s="52" t="s">
        <v>64</v>
      </c>
      <c r="C5573" s="19">
        <v>0.272727272727273</v>
      </c>
      <c r="D5573" s="19">
        <v>0.166666666666667</v>
      </c>
      <c r="E5573" s="19">
        <v>0.6</v>
      </c>
      <c r="F5573" s="19">
        <v>0.666666666666667</v>
      </c>
      <c r="G5573" s="19">
        <v>0</v>
      </c>
      <c r="H5573" s="19">
        <v>0.25</v>
      </c>
      <c r="I5573" s="19">
        <v>0.333333333333333</v>
      </c>
      <c r="J5573" s="19">
        <v>0</v>
      </c>
      <c r="K5573" s="19">
        <v>0.142857142857143</v>
      </c>
      <c r="L5573" s="19">
        <v>0.333333333333333</v>
      </c>
      <c r="M5573" s="19">
        <v>0.25</v>
      </c>
      <c r="N5573" s="19">
        <v>0.428571428571429</v>
      </c>
      <c r="O5573" s="19">
        <v>0</v>
      </c>
    </row>
    <row r="5574" spans="1:15">
      <c r="A5574" s="240" t="s">
        <v>72</v>
      </c>
      <c r="B5574" s="47" t="s">
        <v>55</v>
      </c>
      <c r="C5574" s="12">
        <v>0.163102725366876</v>
      </c>
      <c r="D5574" s="241">
        <v>0.173913043478261</v>
      </c>
      <c r="E5574" s="241">
        <v>0.22463768115942</v>
      </c>
      <c r="F5574" s="241">
        <v>0.197368421052632</v>
      </c>
      <c r="G5574" s="241">
        <v>0.220779220779221</v>
      </c>
      <c r="H5574" s="241">
        <v>0.222972972972973</v>
      </c>
      <c r="I5574" s="241">
        <v>0.119205298013245</v>
      </c>
      <c r="J5574" s="241">
        <v>0.180232558139535</v>
      </c>
      <c r="K5574" s="241">
        <v>0.147482014388489</v>
      </c>
      <c r="L5574" s="241">
        <v>0.133858267716535</v>
      </c>
      <c r="M5574" s="241">
        <v>0.153488372093023</v>
      </c>
      <c r="N5574" s="241">
        <v>0.153409090909091</v>
      </c>
      <c r="O5574" s="252">
        <v>0.140221402214022</v>
      </c>
    </row>
    <row r="5575" spans="1:15">
      <c r="A5575" s="242" t="s">
        <v>72</v>
      </c>
      <c r="B5575" s="43" t="s">
        <v>57</v>
      </c>
      <c r="C5575" s="15">
        <v>2385</v>
      </c>
      <c r="D5575" s="243">
        <v>253</v>
      </c>
      <c r="E5575" s="243">
        <v>138</v>
      </c>
      <c r="F5575" s="243">
        <v>76</v>
      </c>
      <c r="G5575" s="243">
        <v>77</v>
      </c>
      <c r="H5575" s="243">
        <v>148</v>
      </c>
      <c r="I5575" s="243">
        <v>151</v>
      </c>
      <c r="J5575" s="243">
        <v>172</v>
      </c>
      <c r="K5575" s="243">
        <v>278</v>
      </c>
      <c r="L5575" s="243">
        <v>254</v>
      </c>
      <c r="M5575" s="243">
        <v>215</v>
      </c>
      <c r="N5575" s="243">
        <v>352</v>
      </c>
      <c r="O5575" s="253">
        <v>271</v>
      </c>
    </row>
    <row r="5576" spans="1:15">
      <c r="A5576" s="240" t="s">
        <v>72</v>
      </c>
      <c r="B5576" s="47" t="s">
        <v>59</v>
      </c>
      <c r="C5576" s="15">
        <v>389</v>
      </c>
      <c r="D5576" s="243">
        <v>44</v>
      </c>
      <c r="E5576" s="243">
        <v>31</v>
      </c>
      <c r="F5576" s="243">
        <v>15</v>
      </c>
      <c r="G5576" s="243">
        <v>17</v>
      </c>
      <c r="H5576" s="243">
        <v>33</v>
      </c>
      <c r="I5576" s="243">
        <v>18</v>
      </c>
      <c r="J5576" s="243">
        <v>31</v>
      </c>
      <c r="K5576" s="243">
        <v>41</v>
      </c>
      <c r="L5576" s="243">
        <v>34</v>
      </c>
      <c r="M5576" s="243">
        <v>33</v>
      </c>
      <c r="N5576" s="243">
        <v>54</v>
      </c>
      <c r="O5576" s="253">
        <v>38</v>
      </c>
    </row>
    <row r="5577" spans="1:15">
      <c r="A5577" s="242" t="s">
        <v>72</v>
      </c>
      <c r="B5577" s="43" t="s">
        <v>4</v>
      </c>
      <c r="C5577" s="15">
        <v>18</v>
      </c>
      <c r="D5577" s="244">
        <v>3</v>
      </c>
      <c r="E5577" s="244">
        <v>1</v>
      </c>
      <c r="F5577" s="244">
        <v>1</v>
      </c>
      <c r="G5577" s="244">
        <v>1</v>
      </c>
      <c r="H5577" s="244">
        <v>0</v>
      </c>
      <c r="I5577" s="244">
        <v>1</v>
      </c>
      <c r="J5577" s="244">
        <v>2</v>
      </c>
      <c r="K5577" s="244">
        <v>2</v>
      </c>
      <c r="L5577" s="244">
        <v>3</v>
      </c>
      <c r="M5577" s="244">
        <v>4</v>
      </c>
      <c r="N5577" s="244">
        <v>0</v>
      </c>
      <c r="O5577" s="254">
        <v>0</v>
      </c>
    </row>
    <row r="5578" spans="1:15">
      <c r="A5578" s="240" t="s">
        <v>72</v>
      </c>
      <c r="B5578" s="47" t="s">
        <v>5</v>
      </c>
      <c r="C5578" s="12">
        <v>0.0462724935732648</v>
      </c>
      <c r="D5578" s="241">
        <v>0.0681818181818182</v>
      </c>
      <c r="E5578" s="241">
        <v>0.032258064516129</v>
      </c>
      <c r="F5578" s="241">
        <v>0.0666666666666667</v>
      </c>
      <c r="G5578" s="241">
        <v>0.0588235294117647</v>
      </c>
      <c r="H5578" s="241">
        <v>0</v>
      </c>
      <c r="I5578" s="241">
        <v>0.0555555555555556</v>
      </c>
      <c r="J5578" s="241">
        <v>0.0645161290322581</v>
      </c>
      <c r="K5578" s="241">
        <v>0.0487804878048781</v>
      </c>
      <c r="L5578" s="241">
        <v>0.0882352941176471</v>
      </c>
      <c r="M5578" s="241">
        <v>0.121212121212121</v>
      </c>
      <c r="N5578" s="241">
        <v>0</v>
      </c>
      <c r="O5578" s="252">
        <v>0</v>
      </c>
    </row>
    <row r="5579" spans="1:15">
      <c r="A5579" s="242" t="s">
        <v>72</v>
      </c>
      <c r="B5579" s="43" t="s">
        <v>6</v>
      </c>
      <c r="C5579" s="15">
        <v>2</v>
      </c>
      <c r="D5579" s="244">
        <v>1</v>
      </c>
      <c r="E5579" s="244">
        <v>0</v>
      </c>
      <c r="F5579" s="244">
        <v>0</v>
      </c>
      <c r="G5579" s="244">
        <v>0</v>
      </c>
      <c r="H5579" s="244">
        <v>0</v>
      </c>
      <c r="I5579" s="244">
        <v>1</v>
      </c>
      <c r="J5579" s="244">
        <v>0</v>
      </c>
      <c r="K5579" s="244">
        <v>0</v>
      </c>
      <c r="L5579" s="244">
        <v>0</v>
      </c>
      <c r="M5579" s="244">
        <v>0</v>
      </c>
      <c r="N5579" s="244">
        <v>0</v>
      </c>
      <c r="O5579" s="254">
        <v>0</v>
      </c>
    </row>
    <row r="5580" ht="14.25" spans="1:15">
      <c r="A5580" s="245" t="s">
        <v>72</v>
      </c>
      <c r="B5580" s="52" t="s">
        <v>64</v>
      </c>
      <c r="C5580" s="19">
        <v>0.111111111111111</v>
      </c>
      <c r="D5580" s="19">
        <v>0.333333333333333</v>
      </c>
      <c r="E5580" s="19">
        <v>0</v>
      </c>
      <c r="F5580" s="19">
        <v>0</v>
      </c>
      <c r="G5580" s="19">
        <v>0</v>
      </c>
      <c r="H5580" s="19" t="e">
        <v>#DIV/0!</v>
      </c>
      <c r="I5580" s="19">
        <v>1</v>
      </c>
      <c r="J5580" s="19">
        <v>0</v>
      </c>
      <c r="K5580" s="19">
        <v>0</v>
      </c>
      <c r="L5580" s="19">
        <v>0</v>
      </c>
      <c r="M5580" s="19">
        <v>0</v>
      </c>
      <c r="N5580" s="19" t="e">
        <v>#DIV/0!</v>
      </c>
      <c r="O5580" s="19" t="e">
        <v>#DIV/0!</v>
      </c>
    </row>
    <row r="5581" ht="14.25" spans="1:15">
      <c r="A5581" s="237">
        <v>45105</v>
      </c>
      <c r="B5581" s="237"/>
      <c r="C5581" s="237"/>
      <c r="D5581" s="237"/>
      <c r="E5581" s="237"/>
      <c r="F5581" s="237"/>
      <c r="G5581" s="237"/>
      <c r="H5581" s="237"/>
      <c r="I5581" s="237"/>
      <c r="J5581" s="237"/>
      <c r="K5581" s="237"/>
      <c r="L5581" s="237"/>
      <c r="M5581" s="237"/>
      <c r="N5581" s="237"/>
      <c r="O5581" s="237"/>
    </row>
    <row r="5582" spans="1:15">
      <c r="A5582" s="56" t="s">
        <v>1</v>
      </c>
      <c r="B5582" s="238"/>
      <c r="C5582" s="8" t="s">
        <v>42</v>
      </c>
      <c r="D5582" s="239" t="s">
        <v>43</v>
      </c>
      <c r="E5582" s="239" t="s">
        <v>44</v>
      </c>
      <c r="F5582" s="239" t="s">
        <v>45</v>
      </c>
      <c r="G5582" s="239" t="s">
        <v>46</v>
      </c>
      <c r="H5582" s="239" t="s">
        <v>47</v>
      </c>
      <c r="I5582" s="239" t="s">
        <v>48</v>
      </c>
      <c r="J5582" s="239" t="s">
        <v>49</v>
      </c>
      <c r="K5582" s="239" t="s">
        <v>50</v>
      </c>
      <c r="L5582" s="239" t="s">
        <v>51</v>
      </c>
      <c r="M5582" s="239" t="s">
        <v>52</v>
      </c>
      <c r="N5582" s="239" t="s">
        <v>53</v>
      </c>
      <c r="O5582" s="251" t="s">
        <v>54</v>
      </c>
    </row>
    <row r="5583" spans="1:15">
      <c r="A5583" s="240" t="s">
        <v>22</v>
      </c>
      <c r="B5583" s="47" t="s">
        <v>55</v>
      </c>
      <c r="C5583" s="12">
        <v>0.528778913394298</v>
      </c>
      <c r="D5583" s="241">
        <v>0.959459459459459</v>
      </c>
      <c r="E5583" s="241">
        <v>0.741573033707865</v>
      </c>
      <c r="F5583" s="241">
        <v>0.521739130434783</v>
      </c>
      <c r="G5583" s="241">
        <v>0.714285714285714</v>
      </c>
      <c r="H5583" s="241">
        <v>0.511111111111111</v>
      </c>
      <c r="I5583" s="241">
        <v>0.390728476821192</v>
      </c>
      <c r="J5583" s="241">
        <v>0.613636363636364</v>
      </c>
      <c r="K5583" s="241">
        <v>0.483870967741935</v>
      </c>
      <c r="L5583" s="241">
        <v>0.467455621301775</v>
      </c>
      <c r="M5583" s="241">
        <v>0.491017964071856</v>
      </c>
      <c r="N5583" s="241">
        <v>0.415384615384615</v>
      </c>
      <c r="O5583" s="252">
        <v>0.379699248120301</v>
      </c>
    </row>
    <row r="5584" spans="1:15">
      <c r="A5584" s="242" t="s">
        <v>22</v>
      </c>
      <c r="B5584" s="43" t="s">
        <v>57</v>
      </c>
      <c r="C5584" s="15">
        <v>1859</v>
      </c>
      <c r="D5584" s="243">
        <v>148</v>
      </c>
      <c r="E5584" s="243">
        <v>89</v>
      </c>
      <c r="F5584" s="243">
        <v>69</v>
      </c>
      <c r="G5584" s="243">
        <v>77</v>
      </c>
      <c r="H5584" s="243">
        <v>135</v>
      </c>
      <c r="I5584" s="243">
        <v>151</v>
      </c>
      <c r="J5584" s="243">
        <v>176</v>
      </c>
      <c r="K5584" s="243">
        <v>217</v>
      </c>
      <c r="L5584" s="243">
        <v>169</v>
      </c>
      <c r="M5584" s="243">
        <v>167</v>
      </c>
      <c r="N5584" s="243">
        <v>195</v>
      </c>
      <c r="O5584" s="253">
        <v>266</v>
      </c>
    </row>
    <row r="5585" spans="1:15">
      <c r="A5585" s="240" t="s">
        <v>22</v>
      </c>
      <c r="B5585" s="47" t="s">
        <v>59</v>
      </c>
      <c r="C5585" s="15">
        <v>983</v>
      </c>
      <c r="D5585" s="243">
        <v>142</v>
      </c>
      <c r="E5585" s="243">
        <v>66</v>
      </c>
      <c r="F5585" s="243">
        <v>36</v>
      </c>
      <c r="G5585" s="243">
        <v>55</v>
      </c>
      <c r="H5585" s="243">
        <v>69</v>
      </c>
      <c r="I5585" s="243">
        <v>59</v>
      </c>
      <c r="J5585" s="243">
        <v>108</v>
      </c>
      <c r="K5585" s="243">
        <v>105</v>
      </c>
      <c r="L5585" s="243">
        <v>79</v>
      </c>
      <c r="M5585" s="243">
        <v>82</v>
      </c>
      <c r="N5585" s="243">
        <v>81</v>
      </c>
      <c r="O5585" s="253">
        <v>101</v>
      </c>
    </row>
    <row r="5586" spans="1:15">
      <c r="A5586" s="242" t="s">
        <v>22</v>
      </c>
      <c r="B5586" s="43" t="s">
        <v>4</v>
      </c>
      <c r="C5586" s="15">
        <v>36</v>
      </c>
      <c r="D5586" s="244">
        <v>3</v>
      </c>
      <c r="E5586" s="244">
        <v>3</v>
      </c>
      <c r="F5586" s="244">
        <v>2</v>
      </c>
      <c r="G5586" s="244">
        <v>1</v>
      </c>
      <c r="H5586" s="244">
        <v>0</v>
      </c>
      <c r="I5586" s="244">
        <v>3</v>
      </c>
      <c r="J5586" s="244">
        <v>3</v>
      </c>
      <c r="K5586" s="244">
        <v>3</v>
      </c>
      <c r="L5586" s="244">
        <v>5</v>
      </c>
      <c r="M5586" s="244">
        <v>6</v>
      </c>
      <c r="N5586" s="244">
        <v>3</v>
      </c>
      <c r="O5586" s="254">
        <v>4</v>
      </c>
    </row>
    <row r="5587" spans="1:15">
      <c r="A5587" s="240" t="s">
        <v>22</v>
      </c>
      <c r="B5587" s="47" t="s">
        <v>5</v>
      </c>
      <c r="C5587" s="12">
        <v>0.0366225839267548</v>
      </c>
      <c r="D5587" s="241">
        <v>0.0211267605633803</v>
      </c>
      <c r="E5587" s="241">
        <v>0.0454545454545455</v>
      </c>
      <c r="F5587" s="241">
        <v>0.0555555555555556</v>
      </c>
      <c r="G5587" s="241">
        <v>0.0181818181818182</v>
      </c>
      <c r="H5587" s="241">
        <v>0</v>
      </c>
      <c r="I5587" s="241">
        <v>0.0508474576271186</v>
      </c>
      <c r="J5587" s="241">
        <v>0.0277777777777778</v>
      </c>
      <c r="K5587" s="241">
        <v>0.0285714285714286</v>
      </c>
      <c r="L5587" s="241">
        <v>0.0632911392405063</v>
      </c>
      <c r="M5587" s="241">
        <v>0.0731707317073171</v>
      </c>
      <c r="N5587" s="241">
        <v>0.037037037037037</v>
      </c>
      <c r="O5587" s="252">
        <v>0.0396039603960396</v>
      </c>
    </row>
    <row r="5588" spans="1:15">
      <c r="A5588" s="242" t="s">
        <v>22</v>
      </c>
      <c r="B5588" s="43" t="s">
        <v>6</v>
      </c>
      <c r="C5588" s="15">
        <v>11</v>
      </c>
      <c r="D5588" s="244">
        <v>2</v>
      </c>
      <c r="E5588" s="244">
        <v>2</v>
      </c>
      <c r="F5588" s="244">
        <v>0</v>
      </c>
      <c r="G5588" s="244">
        <v>0</v>
      </c>
      <c r="H5588" s="244">
        <v>1</v>
      </c>
      <c r="I5588" s="244">
        <v>0</v>
      </c>
      <c r="J5588" s="244">
        <v>1</v>
      </c>
      <c r="K5588" s="244">
        <v>1</v>
      </c>
      <c r="L5588" s="244">
        <v>1</v>
      </c>
      <c r="M5588" s="244">
        <v>1</v>
      </c>
      <c r="N5588" s="244">
        <v>0</v>
      </c>
      <c r="O5588" s="254">
        <v>2</v>
      </c>
    </row>
    <row r="5589" ht="14.25" spans="1:15">
      <c r="A5589" s="245" t="s">
        <v>22</v>
      </c>
      <c r="B5589" s="52" t="s">
        <v>64</v>
      </c>
      <c r="C5589" s="19">
        <v>0.305555555555556</v>
      </c>
      <c r="D5589" s="246">
        <v>0.666666666666667</v>
      </c>
      <c r="E5589" s="246">
        <v>0.666666666666667</v>
      </c>
      <c r="F5589" s="246">
        <v>0</v>
      </c>
      <c r="G5589" s="246">
        <v>0</v>
      </c>
      <c r="H5589" s="246">
        <v>0</v>
      </c>
      <c r="I5589" s="246">
        <v>0</v>
      </c>
      <c r="J5589" s="246">
        <v>0.333333333333333</v>
      </c>
      <c r="K5589" s="246">
        <v>0.333333333333333</v>
      </c>
      <c r="L5589" s="246">
        <v>0.2</v>
      </c>
      <c r="M5589" s="246">
        <v>0.166666666666667</v>
      </c>
      <c r="N5589" s="246">
        <v>0</v>
      </c>
      <c r="O5589" s="255">
        <v>0.5</v>
      </c>
    </row>
    <row r="5590" spans="1:15">
      <c r="A5590" s="247" t="s">
        <v>66</v>
      </c>
      <c r="B5590" s="248" t="s">
        <v>55</v>
      </c>
      <c r="C5590" s="12">
        <v>0.0696827873114925</v>
      </c>
      <c r="D5590" s="249">
        <v>0.0805687203791469</v>
      </c>
      <c r="E5590" s="249">
        <v>0.0426356589147287</v>
      </c>
      <c r="F5590" s="249">
        <v>0.0261780104712042</v>
      </c>
      <c r="G5590" s="249">
        <v>0.0363636363636364</v>
      </c>
      <c r="H5590" s="249">
        <v>0.0457516339869281</v>
      </c>
      <c r="I5590" s="249">
        <v>0.0542635658914729</v>
      </c>
      <c r="J5590" s="249">
        <v>0.112903225806452</v>
      </c>
      <c r="K5590" s="249">
        <v>0.11038961038961</v>
      </c>
      <c r="L5590" s="249">
        <v>0.106060606060606</v>
      </c>
      <c r="M5590" s="249">
        <v>0.0782608695652174</v>
      </c>
      <c r="N5590" s="249">
        <v>0.0671641791044776</v>
      </c>
      <c r="O5590" s="256">
        <v>0.114649681528662</v>
      </c>
    </row>
    <row r="5591" spans="1:15">
      <c r="A5591" s="242" t="s">
        <v>66</v>
      </c>
      <c r="B5591" s="43" t="s">
        <v>57</v>
      </c>
      <c r="C5591" s="15">
        <v>1923</v>
      </c>
      <c r="D5591" s="243">
        <v>211</v>
      </c>
      <c r="E5591" s="243">
        <v>258</v>
      </c>
      <c r="F5591" s="243">
        <v>191</v>
      </c>
      <c r="G5591" s="243">
        <v>165</v>
      </c>
      <c r="H5591" s="243">
        <v>153</v>
      </c>
      <c r="I5591" s="243">
        <v>129</v>
      </c>
      <c r="J5591" s="243">
        <v>124</v>
      </c>
      <c r="K5591" s="243">
        <v>154</v>
      </c>
      <c r="L5591" s="243">
        <v>132</v>
      </c>
      <c r="M5591" s="243">
        <v>115</v>
      </c>
      <c r="N5591" s="243">
        <v>134</v>
      </c>
      <c r="O5591" s="253">
        <v>157</v>
      </c>
    </row>
    <row r="5592" spans="1:15">
      <c r="A5592" s="240" t="s">
        <v>66</v>
      </c>
      <c r="B5592" s="47" t="s">
        <v>59</v>
      </c>
      <c r="C5592" s="15">
        <v>134</v>
      </c>
      <c r="D5592" s="243">
        <v>17</v>
      </c>
      <c r="E5592" s="243">
        <v>11</v>
      </c>
      <c r="F5592" s="243">
        <v>5</v>
      </c>
      <c r="G5592" s="243">
        <v>6</v>
      </c>
      <c r="H5592" s="243">
        <v>7</v>
      </c>
      <c r="I5592" s="243">
        <v>7</v>
      </c>
      <c r="J5592" s="243">
        <v>14</v>
      </c>
      <c r="K5592" s="243">
        <v>17</v>
      </c>
      <c r="L5592" s="243">
        <v>14</v>
      </c>
      <c r="M5592" s="243">
        <v>9</v>
      </c>
      <c r="N5592" s="243">
        <v>9</v>
      </c>
      <c r="O5592" s="253">
        <v>18</v>
      </c>
    </row>
    <row r="5593" spans="1:15">
      <c r="A5593" s="242" t="s">
        <v>66</v>
      </c>
      <c r="B5593" s="43" t="s">
        <v>4</v>
      </c>
      <c r="C5593" s="15">
        <v>5</v>
      </c>
      <c r="D5593" s="244">
        <v>0</v>
      </c>
      <c r="E5593" s="244">
        <v>0</v>
      </c>
      <c r="F5593" s="244">
        <v>1</v>
      </c>
      <c r="G5593" s="244">
        <v>0</v>
      </c>
      <c r="H5593" s="244">
        <v>1</v>
      </c>
      <c r="I5593" s="244">
        <v>0</v>
      </c>
      <c r="J5593" s="244">
        <v>1</v>
      </c>
      <c r="K5593" s="244">
        <v>0</v>
      </c>
      <c r="L5593" s="244">
        <v>0</v>
      </c>
      <c r="M5593" s="244">
        <v>1</v>
      </c>
      <c r="N5593" s="244">
        <v>0</v>
      </c>
      <c r="O5593" s="254">
        <v>1</v>
      </c>
    </row>
    <row r="5594" spans="1:15">
      <c r="A5594" s="240" t="s">
        <v>66</v>
      </c>
      <c r="B5594" s="47" t="s">
        <v>5</v>
      </c>
      <c r="C5594" s="12">
        <v>0.0373134328358209</v>
      </c>
      <c r="D5594" s="241">
        <v>0</v>
      </c>
      <c r="E5594" s="241">
        <v>0</v>
      </c>
      <c r="F5594" s="241">
        <v>0.2</v>
      </c>
      <c r="G5594" s="241">
        <v>0</v>
      </c>
      <c r="H5594" s="241">
        <v>0.142857142857143</v>
      </c>
      <c r="I5594" s="241">
        <v>0</v>
      </c>
      <c r="J5594" s="241">
        <v>0.0714285714285714</v>
      </c>
      <c r="K5594" s="241">
        <v>0</v>
      </c>
      <c r="L5594" s="241">
        <v>0</v>
      </c>
      <c r="M5594" s="241">
        <v>0.111111111111111</v>
      </c>
      <c r="N5594" s="241">
        <v>0</v>
      </c>
      <c r="O5594" s="252">
        <v>0.0555555555555556</v>
      </c>
    </row>
    <row r="5595" spans="1:15">
      <c r="A5595" s="242" t="s">
        <v>66</v>
      </c>
      <c r="B5595" s="43" t="s">
        <v>6</v>
      </c>
      <c r="C5595" s="15">
        <v>3</v>
      </c>
      <c r="D5595" s="244">
        <v>1</v>
      </c>
      <c r="E5595" s="244">
        <v>0</v>
      </c>
      <c r="F5595" s="244">
        <v>0</v>
      </c>
      <c r="G5595" s="244">
        <v>0</v>
      </c>
      <c r="H5595" s="244">
        <v>0</v>
      </c>
      <c r="I5595" s="244">
        <v>0</v>
      </c>
      <c r="J5595" s="244">
        <v>0</v>
      </c>
      <c r="K5595" s="244">
        <v>0</v>
      </c>
      <c r="L5595" s="244">
        <v>0</v>
      </c>
      <c r="M5595" s="244">
        <v>0</v>
      </c>
      <c r="N5595" s="244">
        <v>0</v>
      </c>
      <c r="O5595" s="254">
        <v>2</v>
      </c>
    </row>
    <row r="5596" ht="14.25" spans="1:15">
      <c r="A5596" s="245" t="s">
        <v>66</v>
      </c>
      <c r="B5596" s="52" t="s">
        <v>64</v>
      </c>
      <c r="C5596" s="19">
        <v>0.6</v>
      </c>
      <c r="D5596" s="246">
        <v>0</v>
      </c>
      <c r="E5596" s="246">
        <v>0</v>
      </c>
      <c r="F5596" s="246">
        <v>0</v>
      </c>
      <c r="G5596" s="246">
        <v>0</v>
      </c>
      <c r="H5596" s="246">
        <v>0</v>
      </c>
      <c r="I5596" s="246">
        <v>0</v>
      </c>
      <c r="J5596" s="246">
        <v>0</v>
      </c>
      <c r="K5596" s="246">
        <v>0</v>
      </c>
      <c r="L5596" s="246">
        <v>0</v>
      </c>
      <c r="M5596" s="246">
        <v>0</v>
      </c>
      <c r="N5596" s="246">
        <v>0</v>
      </c>
      <c r="O5596" s="255">
        <v>2</v>
      </c>
    </row>
    <row r="5597" spans="1:15">
      <c r="A5597" s="240" t="s">
        <v>67</v>
      </c>
      <c r="B5597" s="47" t="s">
        <v>55</v>
      </c>
      <c r="C5597" s="12">
        <v>0.422564102564103</v>
      </c>
      <c r="D5597" s="241">
        <v>0.438202247191011</v>
      </c>
      <c r="E5597" s="241">
        <v>0.327586206896552</v>
      </c>
      <c r="F5597" s="241">
        <v>0.342857142857143</v>
      </c>
      <c r="G5597" s="241">
        <v>0.478260869565217</v>
      </c>
      <c r="H5597" s="241">
        <v>0.513513513513513</v>
      </c>
      <c r="I5597" s="241">
        <v>0.433333333333333</v>
      </c>
      <c r="J5597" s="241">
        <v>0.349397590361446</v>
      </c>
      <c r="K5597" s="241">
        <v>0.435643564356436</v>
      </c>
      <c r="L5597" s="241">
        <v>0.442477876106195</v>
      </c>
      <c r="M5597" s="241">
        <v>0.385416666666667</v>
      </c>
      <c r="N5597" s="241">
        <v>0.43956043956044</v>
      </c>
      <c r="O5597" s="252">
        <v>0.434343434343434</v>
      </c>
    </row>
    <row r="5598" spans="1:15">
      <c r="A5598" s="242" t="s">
        <v>67</v>
      </c>
      <c r="B5598" s="43" t="s">
        <v>57</v>
      </c>
      <c r="C5598" s="15">
        <v>975</v>
      </c>
      <c r="D5598" s="243">
        <v>89</v>
      </c>
      <c r="E5598" s="243">
        <v>58</v>
      </c>
      <c r="F5598" s="243">
        <v>35</v>
      </c>
      <c r="G5598" s="243">
        <v>46</v>
      </c>
      <c r="H5598" s="243">
        <v>74</v>
      </c>
      <c r="I5598" s="243">
        <v>90</v>
      </c>
      <c r="J5598" s="243">
        <v>83</v>
      </c>
      <c r="K5598" s="243">
        <v>101</v>
      </c>
      <c r="L5598" s="243">
        <v>113</v>
      </c>
      <c r="M5598" s="243">
        <v>96</v>
      </c>
      <c r="N5598" s="243">
        <v>91</v>
      </c>
      <c r="O5598" s="253">
        <v>99</v>
      </c>
    </row>
    <row r="5599" spans="1:15">
      <c r="A5599" s="240" t="s">
        <v>67</v>
      </c>
      <c r="B5599" s="47" t="s">
        <v>59</v>
      </c>
      <c r="C5599" s="15">
        <v>412</v>
      </c>
      <c r="D5599" s="243">
        <v>39</v>
      </c>
      <c r="E5599" s="243">
        <v>19</v>
      </c>
      <c r="F5599" s="243">
        <v>12</v>
      </c>
      <c r="G5599" s="243">
        <v>22</v>
      </c>
      <c r="H5599" s="243">
        <v>38</v>
      </c>
      <c r="I5599" s="243">
        <v>39</v>
      </c>
      <c r="J5599" s="243">
        <v>29</v>
      </c>
      <c r="K5599" s="243">
        <v>44</v>
      </c>
      <c r="L5599" s="243">
        <v>50</v>
      </c>
      <c r="M5599" s="243">
        <v>37</v>
      </c>
      <c r="N5599" s="243">
        <v>40</v>
      </c>
      <c r="O5599" s="253">
        <v>43</v>
      </c>
    </row>
    <row r="5600" spans="1:15">
      <c r="A5600" s="242" t="s">
        <v>67</v>
      </c>
      <c r="B5600" s="43" t="s">
        <v>4</v>
      </c>
      <c r="C5600" s="15">
        <v>19</v>
      </c>
      <c r="D5600" s="244">
        <v>3</v>
      </c>
      <c r="E5600" s="244">
        <v>0</v>
      </c>
      <c r="F5600" s="244">
        <v>1</v>
      </c>
      <c r="G5600" s="244">
        <v>0</v>
      </c>
      <c r="H5600" s="244">
        <v>0</v>
      </c>
      <c r="I5600" s="244">
        <v>0</v>
      </c>
      <c r="J5600" s="244">
        <v>2</v>
      </c>
      <c r="K5600" s="244">
        <v>3</v>
      </c>
      <c r="L5600" s="244">
        <v>2</v>
      </c>
      <c r="M5600" s="244">
        <v>4</v>
      </c>
      <c r="N5600" s="244">
        <v>1</v>
      </c>
      <c r="O5600" s="254">
        <v>3</v>
      </c>
    </row>
    <row r="5601" spans="1:15">
      <c r="A5601" s="240" t="s">
        <v>67</v>
      </c>
      <c r="B5601" s="47" t="s">
        <v>5</v>
      </c>
      <c r="C5601" s="12">
        <v>0.0461165048543689</v>
      </c>
      <c r="D5601" s="241">
        <v>0.0769230769230769</v>
      </c>
      <c r="E5601" s="241">
        <v>0</v>
      </c>
      <c r="F5601" s="241">
        <v>0.0833333333333333</v>
      </c>
      <c r="G5601" s="241">
        <v>0</v>
      </c>
      <c r="H5601" s="241">
        <v>0</v>
      </c>
      <c r="I5601" s="241">
        <v>0</v>
      </c>
      <c r="J5601" s="241">
        <v>0.0689655172413793</v>
      </c>
      <c r="K5601" s="241">
        <v>0.0681818181818182</v>
      </c>
      <c r="L5601" s="241">
        <v>0.04</v>
      </c>
      <c r="M5601" s="241">
        <v>0.108108108108108</v>
      </c>
      <c r="N5601" s="241">
        <v>0.025</v>
      </c>
      <c r="O5601" s="252">
        <v>0.0697674418604651</v>
      </c>
    </row>
    <row r="5602" spans="1:15">
      <c r="A5602" s="242" t="s">
        <v>67</v>
      </c>
      <c r="B5602" s="43" t="s">
        <v>6</v>
      </c>
      <c r="C5602" s="15">
        <v>7</v>
      </c>
      <c r="D5602" s="244">
        <v>1</v>
      </c>
      <c r="E5602" s="244">
        <v>0</v>
      </c>
      <c r="F5602" s="244">
        <v>0</v>
      </c>
      <c r="G5602" s="244">
        <v>0</v>
      </c>
      <c r="H5602" s="244">
        <v>1</v>
      </c>
      <c r="I5602" s="244">
        <v>0</v>
      </c>
      <c r="J5602" s="244">
        <v>1</v>
      </c>
      <c r="K5602" s="244">
        <v>2</v>
      </c>
      <c r="L5602" s="244">
        <v>0</v>
      </c>
      <c r="M5602" s="244">
        <v>0</v>
      </c>
      <c r="N5602" s="244">
        <v>2</v>
      </c>
      <c r="O5602" s="254">
        <v>0</v>
      </c>
    </row>
    <row r="5603" ht="14.25" spans="1:15">
      <c r="A5603" s="245" t="s">
        <v>67</v>
      </c>
      <c r="B5603" s="52" t="s">
        <v>64</v>
      </c>
      <c r="C5603" s="19">
        <v>0.368421052631579</v>
      </c>
      <c r="D5603" s="246">
        <v>0.333333333333333</v>
      </c>
      <c r="E5603" s="246">
        <v>0</v>
      </c>
      <c r="F5603" s="246">
        <v>0</v>
      </c>
      <c r="G5603" s="246">
        <v>0</v>
      </c>
      <c r="H5603" s="246">
        <v>0</v>
      </c>
      <c r="I5603" s="246">
        <v>0</v>
      </c>
      <c r="J5603" s="246">
        <v>0.5</v>
      </c>
      <c r="K5603" s="246">
        <v>0.666666666666667</v>
      </c>
      <c r="L5603" s="246">
        <v>0</v>
      </c>
      <c r="M5603" s="246">
        <v>0</v>
      </c>
      <c r="N5603" s="246">
        <v>2</v>
      </c>
      <c r="O5603" s="255">
        <v>0</v>
      </c>
    </row>
    <row r="5604" spans="1:15">
      <c r="A5604" s="240" t="s">
        <v>68</v>
      </c>
      <c r="B5604" s="47" t="s">
        <v>55</v>
      </c>
      <c r="C5604" s="12">
        <v>0.154891824621865</v>
      </c>
      <c r="D5604" s="241">
        <v>0.302816901408451</v>
      </c>
      <c r="E5604" s="241">
        <v>0.265151515151515</v>
      </c>
      <c r="F5604" s="241">
        <v>0.354166666666667</v>
      </c>
      <c r="G5604" s="241">
        <v>0.299319727891156</v>
      </c>
      <c r="H5604" s="241">
        <v>0.242152466367713</v>
      </c>
      <c r="I5604" s="241">
        <v>0.203030303030303</v>
      </c>
      <c r="J5604" s="241">
        <v>0.148861646234676</v>
      </c>
      <c r="K5604" s="241">
        <v>0.11025641025641</v>
      </c>
      <c r="L5604" s="241">
        <v>0.111111111111111</v>
      </c>
      <c r="M5604" s="241">
        <v>0.130573248407643</v>
      </c>
      <c r="N5604" s="241">
        <v>0.107361963190184</v>
      </c>
      <c r="O5604" s="252">
        <v>0.112633181126332</v>
      </c>
    </row>
    <row r="5605" spans="1:15">
      <c r="A5605" s="242" t="s">
        <v>68</v>
      </c>
      <c r="B5605" s="43" t="s">
        <v>57</v>
      </c>
      <c r="C5605" s="15">
        <v>5223</v>
      </c>
      <c r="D5605" s="243">
        <v>284</v>
      </c>
      <c r="E5605" s="243">
        <v>132</v>
      </c>
      <c r="F5605" s="243">
        <v>144</v>
      </c>
      <c r="G5605" s="243">
        <v>147</v>
      </c>
      <c r="H5605" s="243">
        <v>223</v>
      </c>
      <c r="I5605" s="243">
        <v>330</v>
      </c>
      <c r="J5605" s="243">
        <v>571</v>
      </c>
      <c r="K5605" s="243">
        <v>780</v>
      </c>
      <c r="L5605" s="243">
        <v>675</v>
      </c>
      <c r="M5605" s="243">
        <v>628</v>
      </c>
      <c r="N5605" s="243">
        <v>652</v>
      </c>
      <c r="O5605" s="253">
        <v>657</v>
      </c>
    </row>
    <row r="5606" spans="1:15">
      <c r="A5606" s="240" t="s">
        <v>68</v>
      </c>
      <c r="B5606" s="47" t="s">
        <v>59</v>
      </c>
      <c r="C5606" s="15">
        <v>809</v>
      </c>
      <c r="D5606" s="243">
        <v>86</v>
      </c>
      <c r="E5606" s="243">
        <v>35</v>
      </c>
      <c r="F5606" s="243">
        <v>51</v>
      </c>
      <c r="G5606" s="243">
        <v>44</v>
      </c>
      <c r="H5606" s="243">
        <v>54</v>
      </c>
      <c r="I5606" s="243">
        <v>67</v>
      </c>
      <c r="J5606" s="243">
        <v>85</v>
      </c>
      <c r="K5606" s="243">
        <v>86</v>
      </c>
      <c r="L5606" s="243">
        <v>75</v>
      </c>
      <c r="M5606" s="243">
        <v>82</v>
      </c>
      <c r="N5606" s="243">
        <v>70</v>
      </c>
      <c r="O5606" s="253">
        <v>74</v>
      </c>
    </row>
    <row r="5607" spans="1:15">
      <c r="A5607" s="242" t="s">
        <v>68</v>
      </c>
      <c r="B5607" s="43" t="s">
        <v>4</v>
      </c>
      <c r="C5607" s="15">
        <v>42</v>
      </c>
      <c r="D5607" s="244">
        <v>2</v>
      </c>
      <c r="E5607" s="244">
        <v>2</v>
      </c>
      <c r="F5607" s="244">
        <v>5</v>
      </c>
      <c r="G5607" s="244">
        <v>4</v>
      </c>
      <c r="H5607" s="244">
        <v>1</v>
      </c>
      <c r="I5607" s="244">
        <v>3</v>
      </c>
      <c r="J5607" s="244">
        <v>5</v>
      </c>
      <c r="K5607" s="244">
        <v>6</v>
      </c>
      <c r="L5607" s="244">
        <v>1</v>
      </c>
      <c r="M5607" s="244">
        <v>5</v>
      </c>
      <c r="N5607" s="244">
        <v>3</v>
      </c>
      <c r="O5607" s="254">
        <v>5</v>
      </c>
    </row>
    <row r="5608" spans="1:15">
      <c r="A5608" s="240" t="s">
        <v>68</v>
      </c>
      <c r="B5608" s="47" t="s">
        <v>5</v>
      </c>
      <c r="C5608" s="12">
        <v>0.0519159456118665</v>
      </c>
      <c r="D5608" s="241">
        <v>0.0232558139534884</v>
      </c>
      <c r="E5608" s="241">
        <v>0.0571428571428571</v>
      </c>
      <c r="F5608" s="241">
        <v>0.0980392156862745</v>
      </c>
      <c r="G5608" s="241">
        <v>0.0909090909090909</v>
      </c>
      <c r="H5608" s="241">
        <v>0.0185185185185185</v>
      </c>
      <c r="I5608" s="241">
        <v>0.0447761194029851</v>
      </c>
      <c r="J5608" s="241">
        <v>0.0588235294117647</v>
      </c>
      <c r="K5608" s="241">
        <v>0.0697674418604651</v>
      </c>
      <c r="L5608" s="241">
        <v>0.0133333333333333</v>
      </c>
      <c r="M5608" s="241">
        <v>0.0609756097560976</v>
      </c>
      <c r="N5608" s="241">
        <v>0.0428571428571429</v>
      </c>
      <c r="O5608" s="252">
        <v>0.0675675675675676</v>
      </c>
    </row>
    <row r="5609" spans="1:15">
      <c r="A5609" s="242" t="s">
        <v>68</v>
      </c>
      <c r="B5609" s="43" t="s">
        <v>6</v>
      </c>
      <c r="C5609" s="15">
        <v>20</v>
      </c>
      <c r="D5609" s="244">
        <v>3</v>
      </c>
      <c r="E5609" s="244">
        <v>1</v>
      </c>
      <c r="F5609" s="244">
        <v>3</v>
      </c>
      <c r="G5609" s="244">
        <v>1</v>
      </c>
      <c r="H5609" s="244">
        <v>1</v>
      </c>
      <c r="I5609" s="244">
        <v>1</v>
      </c>
      <c r="J5609" s="244">
        <v>3</v>
      </c>
      <c r="K5609" s="244">
        <v>3</v>
      </c>
      <c r="L5609" s="244">
        <v>3</v>
      </c>
      <c r="M5609" s="244">
        <v>1</v>
      </c>
      <c r="N5609" s="244">
        <v>0</v>
      </c>
      <c r="O5609" s="254">
        <v>0</v>
      </c>
    </row>
    <row r="5610" ht="14.25" spans="1:15">
      <c r="A5610" s="245" t="s">
        <v>68</v>
      </c>
      <c r="B5610" s="52" t="s">
        <v>64</v>
      </c>
      <c r="C5610" s="19">
        <v>0.476190476190476</v>
      </c>
      <c r="D5610" s="246">
        <v>1.5</v>
      </c>
      <c r="E5610" s="246">
        <v>0.5</v>
      </c>
      <c r="F5610" s="246">
        <v>0.6</v>
      </c>
      <c r="G5610" s="246">
        <v>0.25</v>
      </c>
      <c r="H5610" s="246">
        <v>1</v>
      </c>
      <c r="I5610" s="246">
        <v>0.333333333333333</v>
      </c>
      <c r="J5610" s="246">
        <v>0.6</v>
      </c>
      <c r="K5610" s="246">
        <v>0.5</v>
      </c>
      <c r="L5610" s="246">
        <v>3</v>
      </c>
      <c r="M5610" s="246">
        <v>0.2</v>
      </c>
      <c r="N5610" s="246">
        <v>0</v>
      </c>
      <c r="O5610" s="255">
        <v>0</v>
      </c>
    </row>
    <row r="5611" spans="1:15">
      <c r="A5611" s="240" t="s">
        <v>69</v>
      </c>
      <c r="B5611" s="47" t="s">
        <v>55</v>
      </c>
      <c r="C5611" s="12">
        <v>1.66145833333333</v>
      </c>
      <c r="D5611" s="241">
        <v>2.35294117647059</v>
      </c>
      <c r="E5611" s="241">
        <v>1.41666666666667</v>
      </c>
      <c r="F5611" s="241">
        <v>1.33333333333333</v>
      </c>
      <c r="G5611" s="241">
        <v>1.2</v>
      </c>
      <c r="H5611" s="241">
        <v>1.52941176470588</v>
      </c>
      <c r="I5611" s="241">
        <v>2</v>
      </c>
      <c r="J5611" s="241">
        <v>1.86363636363636</v>
      </c>
      <c r="K5611" s="241">
        <v>2.0625</v>
      </c>
      <c r="L5611" s="241">
        <v>1.91666666666667</v>
      </c>
      <c r="M5611" s="241">
        <v>1.9375</v>
      </c>
      <c r="N5611" s="241">
        <v>1.27272727272727</v>
      </c>
      <c r="O5611" s="252">
        <v>1.2258064516129</v>
      </c>
    </row>
    <row r="5612" spans="1:15">
      <c r="A5612" s="242" t="s">
        <v>69</v>
      </c>
      <c r="B5612" s="43" t="s">
        <v>57</v>
      </c>
      <c r="C5612" s="15">
        <v>192</v>
      </c>
      <c r="D5612" s="243">
        <v>17</v>
      </c>
      <c r="E5612" s="243">
        <v>12</v>
      </c>
      <c r="F5612" s="243">
        <v>6</v>
      </c>
      <c r="G5612" s="243">
        <v>10</v>
      </c>
      <c r="H5612" s="243">
        <v>17</v>
      </c>
      <c r="I5612" s="243">
        <v>11</v>
      </c>
      <c r="J5612" s="243">
        <v>22</v>
      </c>
      <c r="K5612" s="243">
        <v>16</v>
      </c>
      <c r="L5612" s="243">
        <v>12</v>
      </c>
      <c r="M5612" s="243">
        <v>16</v>
      </c>
      <c r="N5612" s="243">
        <v>22</v>
      </c>
      <c r="O5612" s="253">
        <v>31</v>
      </c>
    </row>
    <row r="5613" spans="1:15">
      <c r="A5613" s="240" t="s">
        <v>69</v>
      </c>
      <c r="B5613" s="47" t="s">
        <v>59</v>
      </c>
      <c r="C5613" s="15">
        <v>319</v>
      </c>
      <c r="D5613" s="243">
        <v>40</v>
      </c>
      <c r="E5613" s="243">
        <v>17</v>
      </c>
      <c r="F5613" s="243">
        <v>8</v>
      </c>
      <c r="G5613" s="243">
        <v>12</v>
      </c>
      <c r="H5613" s="243">
        <v>26</v>
      </c>
      <c r="I5613" s="243">
        <v>22</v>
      </c>
      <c r="J5613" s="243">
        <v>41</v>
      </c>
      <c r="K5613" s="243">
        <v>33</v>
      </c>
      <c r="L5613" s="243">
        <v>23</v>
      </c>
      <c r="M5613" s="243">
        <v>31</v>
      </c>
      <c r="N5613" s="243">
        <v>28</v>
      </c>
      <c r="O5613" s="253">
        <v>38</v>
      </c>
    </row>
    <row r="5614" spans="1:15">
      <c r="A5614" s="242" t="s">
        <v>69</v>
      </c>
      <c r="B5614" s="43" t="s">
        <v>4</v>
      </c>
      <c r="C5614" s="15">
        <v>3</v>
      </c>
      <c r="D5614" s="244">
        <v>0</v>
      </c>
      <c r="E5614" s="244">
        <v>0</v>
      </c>
      <c r="F5614" s="244">
        <v>0</v>
      </c>
      <c r="G5614" s="244">
        <v>0</v>
      </c>
      <c r="H5614" s="244">
        <v>0</v>
      </c>
      <c r="I5614" s="244">
        <v>0</v>
      </c>
      <c r="J5614" s="244">
        <v>0</v>
      </c>
      <c r="K5614" s="244">
        <v>0</v>
      </c>
      <c r="L5614" s="244">
        <v>0</v>
      </c>
      <c r="M5614" s="244">
        <v>1</v>
      </c>
      <c r="N5614" s="244">
        <v>1</v>
      </c>
      <c r="O5614" s="254">
        <v>1</v>
      </c>
    </row>
    <row r="5615" spans="1:15">
      <c r="A5615" s="240" t="s">
        <v>69</v>
      </c>
      <c r="B5615" s="47" t="s">
        <v>5</v>
      </c>
      <c r="C5615" s="12">
        <v>0.00940438871473354</v>
      </c>
      <c r="D5615" s="241">
        <v>0</v>
      </c>
      <c r="E5615" s="241">
        <v>0</v>
      </c>
      <c r="F5615" s="241">
        <v>0</v>
      </c>
      <c r="G5615" s="241">
        <v>0</v>
      </c>
      <c r="H5615" s="241">
        <v>0</v>
      </c>
      <c r="I5615" s="241">
        <v>0</v>
      </c>
      <c r="J5615" s="241">
        <v>0</v>
      </c>
      <c r="K5615" s="241">
        <v>0</v>
      </c>
      <c r="L5615" s="241">
        <v>0</v>
      </c>
      <c r="M5615" s="241">
        <v>0.032258064516129</v>
      </c>
      <c r="N5615" s="241">
        <v>0.0357142857142857</v>
      </c>
      <c r="O5615" s="252">
        <v>0.0263157894736842</v>
      </c>
    </row>
    <row r="5616" spans="1:15">
      <c r="A5616" s="242" t="s">
        <v>69</v>
      </c>
      <c r="B5616" s="43" t="s">
        <v>6</v>
      </c>
      <c r="C5616" s="15">
        <v>0</v>
      </c>
      <c r="D5616" s="244">
        <v>0</v>
      </c>
      <c r="E5616" s="244">
        <v>0</v>
      </c>
      <c r="F5616" s="244">
        <v>0</v>
      </c>
      <c r="G5616" s="244">
        <v>0</v>
      </c>
      <c r="H5616" s="244">
        <v>0</v>
      </c>
      <c r="I5616" s="244">
        <v>0</v>
      </c>
      <c r="J5616" s="244">
        <v>0</v>
      </c>
      <c r="K5616" s="244">
        <v>0</v>
      </c>
      <c r="L5616" s="244">
        <v>0</v>
      </c>
      <c r="M5616" s="244">
        <v>0</v>
      </c>
      <c r="N5616" s="244">
        <v>0</v>
      </c>
      <c r="O5616" s="254">
        <v>0</v>
      </c>
    </row>
    <row r="5617" ht="14.25" spans="1:15">
      <c r="A5617" s="245" t="s">
        <v>69</v>
      </c>
      <c r="B5617" s="52" t="s">
        <v>64</v>
      </c>
      <c r="C5617" s="19">
        <v>0</v>
      </c>
      <c r="D5617" s="246">
        <v>0</v>
      </c>
      <c r="E5617" s="246">
        <v>0</v>
      </c>
      <c r="F5617" s="246">
        <v>0</v>
      </c>
      <c r="G5617" s="246">
        <v>0</v>
      </c>
      <c r="H5617" s="246">
        <v>0</v>
      </c>
      <c r="I5617" s="246">
        <v>0</v>
      </c>
      <c r="J5617" s="246">
        <v>0</v>
      </c>
      <c r="K5617" s="246">
        <v>0</v>
      </c>
      <c r="L5617" s="246">
        <v>0</v>
      </c>
      <c r="M5617" s="246">
        <v>0</v>
      </c>
      <c r="N5617" s="246">
        <v>0</v>
      </c>
      <c r="O5617" s="255">
        <v>0</v>
      </c>
    </row>
    <row r="5618" spans="1:15">
      <c r="A5618" s="240" t="s">
        <v>70</v>
      </c>
      <c r="B5618" s="47" t="s">
        <v>55</v>
      </c>
      <c r="C5618" s="12">
        <v>0.889908256880734</v>
      </c>
      <c r="D5618" s="241">
        <v>1.06122448979592</v>
      </c>
      <c r="E5618" s="241">
        <v>1.02564102564103</v>
      </c>
      <c r="F5618" s="241">
        <v>0.787878787878788</v>
      </c>
      <c r="G5618" s="241">
        <v>0.794117647058823</v>
      </c>
      <c r="H5618" s="241">
        <v>1</v>
      </c>
      <c r="I5618" s="241">
        <v>0.886792452830189</v>
      </c>
      <c r="J5618" s="241">
        <v>0.973684210526316</v>
      </c>
      <c r="K5618" s="241">
        <v>1.02</v>
      </c>
      <c r="L5618" s="241">
        <v>0.928571428571429</v>
      </c>
      <c r="M5618" s="241">
        <v>0.714285714285714</v>
      </c>
      <c r="N5618" s="241">
        <v>0.785714285714286</v>
      </c>
      <c r="O5618" s="252">
        <v>0.716981132075472</v>
      </c>
    </row>
    <row r="5619" spans="1:15">
      <c r="A5619" s="242" t="s">
        <v>70</v>
      </c>
      <c r="B5619" s="43" t="s">
        <v>57</v>
      </c>
      <c r="C5619" s="15">
        <v>545</v>
      </c>
      <c r="D5619" s="243">
        <v>49</v>
      </c>
      <c r="E5619" s="243">
        <v>39</v>
      </c>
      <c r="F5619" s="243">
        <v>33</v>
      </c>
      <c r="G5619" s="243">
        <v>34</v>
      </c>
      <c r="H5619" s="243">
        <v>42</v>
      </c>
      <c r="I5619" s="243">
        <v>53</v>
      </c>
      <c r="J5619" s="243">
        <v>38</v>
      </c>
      <c r="K5619" s="243">
        <v>50</v>
      </c>
      <c r="L5619" s="243">
        <v>56</v>
      </c>
      <c r="M5619" s="243">
        <v>56</v>
      </c>
      <c r="N5619" s="243">
        <v>42</v>
      </c>
      <c r="O5619" s="253">
        <v>53</v>
      </c>
    </row>
    <row r="5620" spans="1:15">
      <c r="A5620" s="240" t="s">
        <v>70</v>
      </c>
      <c r="B5620" s="47" t="s">
        <v>59</v>
      </c>
      <c r="C5620" s="15">
        <v>485</v>
      </c>
      <c r="D5620" s="243">
        <v>52</v>
      </c>
      <c r="E5620" s="243">
        <v>40</v>
      </c>
      <c r="F5620" s="243">
        <v>26</v>
      </c>
      <c r="G5620" s="243">
        <v>27</v>
      </c>
      <c r="H5620" s="243">
        <v>42</v>
      </c>
      <c r="I5620" s="243">
        <v>47</v>
      </c>
      <c r="J5620" s="243">
        <v>37</v>
      </c>
      <c r="K5620" s="243">
        <v>51</v>
      </c>
      <c r="L5620" s="243">
        <v>52</v>
      </c>
      <c r="M5620" s="243">
        <v>40</v>
      </c>
      <c r="N5620" s="243">
        <v>33</v>
      </c>
      <c r="O5620" s="253">
        <v>38</v>
      </c>
    </row>
    <row r="5621" spans="1:15">
      <c r="A5621" s="242" t="s">
        <v>70</v>
      </c>
      <c r="B5621" s="43" t="s">
        <v>4</v>
      </c>
      <c r="C5621" s="15">
        <v>11</v>
      </c>
      <c r="D5621" s="244">
        <v>0</v>
      </c>
      <c r="E5621" s="244">
        <v>1</v>
      </c>
      <c r="F5621" s="244">
        <v>1</v>
      </c>
      <c r="G5621" s="244">
        <v>1</v>
      </c>
      <c r="H5621" s="244">
        <v>0</v>
      </c>
      <c r="I5621" s="244">
        <v>0</v>
      </c>
      <c r="J5621" s="244">
        <v>1</v>
      </c>
      <c r="K5621" s="244">
        <v>1</v>
      </c>
      <c r="L5621" s="244">
        <v>1</v>
      </c>
      <c r="M5621" s="244">
        <v>1</v>
      </c>
      <c r="N5621" s="244">
        <v>2</v>
      </c>
      <c r="O5621" s="254">
        <v>2</v>
      </c>
    </row>
    <row r="5622" spans="1:15">
      <c r="A5622" s="240" t="s">
        <v>70</v>
      </c>
      <c r="B5622" s="47" t="s">
        <v>5</v>
      </c>
      <c r="C5622" s="12">
        <v>0.022680412371134</v>
      </c>
      <c r="D5622" s="241">
        <v>0</v>
      </c>
      <c r="E5622" s="241">
        <v>0.025</v>
      </c>
      <c r="F5622" s="241">
        <v>0.0384615384615385</v>
      </c>
      <c r="G5622" s="241">
        <v>0.037037037037037</v>
      </c>
      <c r="H5622" s="241">
        <v>0</v>
      </c>
      <c r="I5622" s="241">
        <v>0</v>
      </c>
      <c r="J5622" s="241">
        <v>0.027027027027027</v>
      </c>
      <c r="K5622" s="241">
        <v>0.0196078431372549</v>
      </c>
      <c r="L5622" s="241">
        <v>0.0192307692307692</v>
      </c>
      <c r="M5622" s="241">
        <v>0.025</v>
      </c>
      <c r="N5622" s="241">
        <v>0.0606060606060606</v>
      </c>
      <c r="O5622" s="252">
        <v>0.0526315789473684</v>
      </c>
    </row>
    <row r="5623" spans="1:15">
      <c r="A5623" s="242" t="s">
        <v>70</v>
      </c>
      <c r="B5623" s="43" t="s">
        <v>6</v>
      </c>
      <c r="C5623" s="15">
        <v>5</v>
      </c>
      <c r="D5623" s="244">
        <v>0</v>
      </c>
      <c r="E5623" s="244">
        <v>1</v>
      </c>
      <c r="F5623" s="244">
        <v>0</v>
      </c>
      <c r="G5623" s="244">
        <v>1</v>
      </c>
      <c r="H5623" s="244">
        <v>0</v>
      </c>
      <c r="I5623" s="244">
        <v>0</v>
      </c>
      <c r="J5623" s="244">
        <v>0</v>
      </c>
      <c r="K5623" s="244">
        <v>0</v>
      </c>
      <c r="L5623" s="244">
        <v>0</v>
      </c>
      <c r="M5623" s="244">
        <v>1</v>
      </c>
      <c r="N5623" s="244">
        <v>1</v>
      </c>
      <c r="O5623" s="254">
        <v>1</v>
      </c>
    </row>
    <row r="5624" ht="14.25" spans="1:15">
      <c r="A5624" s="245" t="s">
        <v>70</v>
      </c>
      <c r="B5624" s="52" t="s">
        <v>64</v>
      </c>
      <c r="C5624" s="19">
        <v>0.454545454545455</v>
      </c>
      <c r="D5624" s="246">
        <v>0</v>
      </c>
      <c r="E5624" s="246">
        <v>1</v>
      </c>
      <c r="F5624" s="246">
        <v>0</v>
      </c>
      <c r="G5624" s="246">
        <v>1</v>
      </c>
      <c r="H5624" s="246">
        <v>0</v>
      </c>
      <c r="I5624" s="246">
        <v>0</v>
      </c>
      <c r="J5624" s="246">
        <v>0</v>
      </c>
      <c r="K5624" s="246">
        <v>0</v>
      </c>
      <c r="L5624" s="246">
        <v>0</v>
      </c>
      <c r="M5624" s="246">
        <v>1</v>
      </c>
      <c r="N5624" s="246">
        <v>0.5</v>
      </c>
      <c r="O5624" s="255">
        <v>0.5</v>
      </c>
    </row>
    <row r="5625" spans="1:15">
      <c r="A5625" s="240" t="s">
        <v>26</v>
      </c>
      <c r="B5625" s="47" t="s">
        <v>55</v>
      </c>
      <c r="C5625" s="12">
        <v>1101</v>
      </c>
      <c r="D5625" s="241" t="e">
        <v>#DIV/0!</v>
      </c>
      <c r="E5625" s="241" t="e">
        <v>#DIV/0!</v>
      </c>
      <c r="F5625" s="241" t="e">
        <v>#DIV/0!</v>
      </c>
      <c r="G5625" s="241" t="e">
        <v>#DIV/0!</v>
      </c>
      <c r="H5625" s="241" t="e">
        <v>#DIV/0!</v>
      </c>
      <c r="I5625" s="241" t="e">
        <v>#DIV/0!</v>
      </c>
      <c r="J5625" s="241" t="e">
        <v>#DIV/0!</v>
      </c>
      <c r="K5625" s="241" t="e">
        <v>#DIV/0!</v>
      </c>
      <c r="L5625" s="241" t="e">
        <v>#DIV/0!</v>
      </c>
      <c r="M5625" s="241" t="e">
        <v>#DIV/0!</v>
      </c>
      <c r="N5625" s="241" t="e">
        <v>#DIV/0!</v>
      </c>
      <c r="O5625" s="252">
        <v>88</v>
      </c>
    </row>
    <row r="5626" spans="1:15">
      <c r="A5626" s="242" t="s">
        <v>26</v>
      </c>
      <c r="B5626" s="43" t="s">
        <v>57</v>
      </c>
      <c r="C5626" s="15">
        <v>1</v>
      </c>
      <c r="D5626" s="243">
        <v>0</v>
      </c>
      <c r="E5626" s="243">
        <v>0</v>
      </c>
      <c r="F5626" s="243">
        <v>0</v>
      </c>
      <c r="G5626" s="243">
        <v>0</v>
      </c>
      <c r="H5626" s="243">
        <v>0</v>
      </c>
      <c r="I5626" s="243">
        <v>0</v>
      </c>
      <c r="J5626" s="243">
        <v>0</v>
      </c>
      <c r="K5626" s="243">
        <v>0</v>
      </c>
      <c r="L5626" s="243">
        <v>0</v>
      </c>
      <c r="M5626" s="243">
        <v>0</v>
      </c>
      <c r="N5626" s="243">
        <v>0</v>
      </c>
      <c r="O5626" s="253">
        <v>1</v>
      </c>
    </row>
    <row r="5627" spans="1:15">
      <c r="A5627" s="240" t="s">
        <v>26</v>
      </c>
      <c r="B5627" s="47" t="s">
        <v>59</v>
      </c>
      <c r="C5627" s="15">
        <v>1101</v>
      </c>
      <c r="D5627" s="243">
        <v>67</v>
      </c>
      <c r="E5627" s="243">
        <v>23</v>
      </c>
      <c r="F5627" s="243">
        <v>13</v>
      </c>
      <c r="G5627" s="243">
        <v>32</v>
      </c>
      <c r="H5627" s="243">
        <v>116</v>
      </c>
      <c r="I5627" s="243">
        <v>140</v>
      </c>
      <c r="J5627" s="243">
        <v>176</v>
      </c>
      <c r="K5627" s="243">
        <v>143</v>
      </c>
      <c r="L5627" s="243">
        <v>108</v>
      </c>
      <c r="M5627" s="243">
        <v>98</v>
      </c>
      <c r="N5627" s="243">
        <v>97</v>
      </c>
      <c r="O5627" s="253">
        <v>88</v>
      </c>
    </row>
    <row r="5628" spans="1:15">
      <c r="A5628" s="242" t="s">
        <v>26</v>
      </c>
      <c r="B5628" s="43" t="s">
        <v>4</v>
      </c>
      <c r="C5628" s="15">
        <v>5</v>
      </c>
      <c r="D5628" s="244">
        <v>2</v>
      </c>
      <c r="E5628" s="244">
        <v>0</v>
      </c>
      <c r="F5628" s="244">
        <v>0</v>
      </c>
      <c r="G5628" s="244">
        <v>0</v>
      </c>
      <c r="H5628" s="244">
        <v>0</v>
      </c>
      <c r="I5628" s="244">
        <v>0</v>
      </c>
      <c r="J5628" s="244">
        <v>0</v>
      </c>
      <c r="K5628" s="244">
        <v>0</v>
      </c>
      <c r="L5628" s="244">
        <v>2</v>
      </c>
      <c r="M5628" s="244">
        <v>0</v>
      </c>
      <c r="N5628" s="244">
        <v>0</v>
      </c>
      <c r="O5628" s="254">
        <v>1</v>
      </c>
    </row>
    <row r="5629" spans="1:15">
      <c r="A5629" s="240" t="s">
        <v>26</v>
      </c>
      <c r="B5629" s="47" t="s">
        <v>5</v>
      </c>
      <c r="C5629" s="12">
        <v>0.00454132606721163</v>
      </c>
      <c r="D5629" s="241">
        <v>0.0298507462686567</v>
      </c>
      <c r="E5629" s="241">
        <v>0</v>
      </c>
      <c r="F5629" s="241">
        <v>0</v>
      </c>
      <c r="G5629" s="241">
        <v>0</v>
      </c>
      <c r="H5629" s="241">
        <v>0</v>
      </c>
      <c r="I5629" s="241">
        <v>0</v>
      </c>
      <c r="J5629" s="241">
        <v>0</v>
      </c>
      <c r="K5629" s="241">
        <v>0</v>
      </c>
      <c r="L5629" s="241">
        <v>0.0185185185185185</v>
      </c>
      <c r="M5629" s="241">
        <v>0</v>
      </c>
      <c r="N5629" s="241">
        <v>0</v>
      </c>
      <c r="O5629" s="252">
        <v>0.0113636363636364</v>
      </c>
    </row>
    <row r="5630" spans="1:15">
      <c r="A5630" s="242" t="s">
        <v>26</v>
      </c>
      <c r="B5630" s="43" t="s">
        <v>6</v>
      </c>
      <c r="C5630" s="15">
        <v>2</v>
      </c>
      <c r="D5630" s="244">
        <v>0</v>
      </c>
      <c r="E5630" s="244">
        <v>1</v>
      </c>
      <c r="F5630" s="244">
        <v>0</v>
      </c>
      <c r="G5630" s="244">
        <v>0</v>
      </c>
      <c r="H5630" s="244">
        <v>0</v>
      </c>
      <c r="I5630" s="244">
        <v>0</v>
      </c>
      <c r="J5630" s="244">
        <v>0</v>
      </c>
      <c r="K5630" s="244">
        <v>0</v>
      </c>
      <c r="L5630" s="244">
        <v>1</v>
      </c>
      <c r="M5630" s="244">
        <v>0</v>
      </c>
      <c r="N5630" s="244">
        <v>0</v>
      </c>
      <c r="O5630" s="254">
        <v>0</v>
      </c>
    </row>
    <row r="5631" ht="14.25" spans="1:15">
      <c r="A5631" s="245" t="s">
        <v>26</v>
      </c>
      <c r="B5631" s="52" t="s">
        <v>64</v>
      </c>
      <c r="C5631" s="19">
        <v>0.4</v>
      </c>
      <c r="D5631" s="19">
        <v>0</v>
      </c>
      <c r="E5631" s="19" t="e">
        <v>#DIV/0!</v>
      </c>
      <c r="F5631" s="19" t="e">
        <v>#DIV/0!</v>
      </c>
      <c r="G5631" s="19" t="e">
        <v>#DIV/0!</v>
      </c>
      <c r="H5631" s="19" t="e">
        <v>#DIV/0!</v>
      </c>
      <c r="I5631" s="19" t="e">
        <v>#DIV/0!</v>
      </c>
      <c r="J5631" s="19" t="e">
        <v>#DIV/0!</v>
      </c>
      <c r="K5631" s="19" t="e">
        <v>#DIV/0!</v>
      </c>
      <c r="L5631" s="19">
        <v>0.5</v>
      </c>
      <c r="M5631" s="19" t="e">
        <v>#DIV/0!</v>
      </c>
      <c r="N5631" s="19" t="e">
        <v>#DIV/0!</v>
      </c>
      <c r="O5631" s="19">
        <v>0</v>
      </c>
    </row>
    <row r="5632" spans="1:15">
      <c r="A5632" s="240" t="s">
        <v>71</v>
      </c>
      <c r="B5632" s="47" t="s">
        <v>55</v>
      </c>
      <c r="C5632" s="12">
        <v>526.5</v>
      </c>
      <c r="D5632" s="241" t="e">
        <v>#DIV/0!</v>
      </c>
      <c r="E5632" s="241" t="e">
        <v>#DIV/0!</v>
      </c>
      <c r="F5632" s="241">
        <v>26</v>
      </c>
      <c r="G5632" s="241" t="e">
        <v>#DIV/0!</v>
      </c>
      <c r="H5632" s="241" t="e">
        <v>#DIV/0!</v>
      </c>
      <c r="I5632" s="241" t="e">
        <v>#DIV/0!</v>
      </c>
      <c r="J5632" s="241" t="e">
        <v>#DIV/0!</v>
      </c>
      <c r="K5632" s="241" t="e">
        <v>#DIV/0!</v>
      </c>
      <c r="L5632" s="241" t="e">
        <v>#DIV/0!</v>
      </c>
      <c r="M5632" s="241" t="e">
        <v>#DIV/0!</v>
      </c>
      <c r="N5632" s="241" t="e">
        <v>#DIV/0!</v>
      </c>
      <c r="O5632" s="252" t="e">
        <v>#DIV/0!</v>
      </c>
    </row>
    <row r="5633" spans="1:15">
      <c r="A5633" s="242" t="s">
        <v>71</v>
      </c>
      <c r="B5633" s="43" t="s">
        <v>57</v>
      </c>
      <c r="C5633" s="15">
        <v>2</v>
      </c>
      <c r="D5633" s="243">
        <v>0</v>
      </c>
      <c r="E5633" s="243">
        <v>0</v>
      </c>
      <c r="F5633" s="243">
        <v>2</v>
      </c>
      <c r="G5633" s="243">
        <v>0</v>
      </c>
      <c r="H5633" s="243">
        <v>0</v>
      </c>
      <c r="I5633" s="243">
        <v>0</v>
      </c>
      <c r="J5633" s="243">
        <v>0</v>
      </c>
      <c r="K5633" s="243">
        <v>0</v>
      </c>
      <c r="L5633" s="243">
        <v>0</v>
      </c>
      <c r="M5633" s="243">
        <v>0</v>
      </c>
      <c r="N5633" s="243">
        <v>0</v>
      </c>
      <c r="O5633" s="253">
        <v>0</v>
      </c>
    </row>
    <row r="5634" spans="1:15">
      <c r="A5634" s="240" t="s">
        <v>71</v>
      </c>
      <c r="B5634" s="47" t="s">
        <v>59</v>
      </c>
      <c r="C5634" s="15">
        <v>1053</v>
      </c>
      <c r="D5634" s="243">
        <v>118</v>
      </c>
      <c r="E5634" s="243">
        <v>69</v>
      </c>
      <c r="F5634" s="243">
        <v>52</v>
      </c>
      <c r="G5634" s="243">
        <v>65</v>
      </c>
      <c r="H5634" s="243">
        <v>81</v>
      </c>
      <c r="I5634" s="243">
        <v>87</v>
      </c>
      <c r="J5634" s="243">
        <v>111</v>
      </c>
      <c r="K5634" s="243">
        <v>103</v>
      </c>
      <c r="L5634" s="243">
        <v>74</v>
      </c>
      <c r="M5634" s="243">
        <v>101</v>
      </c>
      <c r="N5634" s="243">
        <v>99</v>
      </c>
      <c r="O5634" s="253">
        <v>93</v>
      </c>
    </row>
    <row r="5635" spans="1:15">
      <c r="A5635" s="242" t="s">
        <v>71</v>
      </c>
      <c r="B5635" s="43" t="s">
        <v>4</v>
      </c>
      <c r="C5635" s="15">
        <v>45</v>
      </c>
      <c r="D5635" s="244">
        <v>5</v>
      </c>
      <c r="E5635" s="244">
        <v>2</v>
      </c>
      <c r="F5635" s="244">
        <v>4</v>
      </c>
      <c r="G5635" s="244">
        <v>5</v>
      </c>
      <c r="H5635" s="244">
        <v>3</v>
      </c>
      <c r="I5635" s="244">
        <v>6</v>
      </c>
      <c r="J5635" s="244">
        <v>5</v>
      </c>
      <c r="K5635" s="244">
        <v>1</v>
      </c>
      <c r="L5635" s="244">
        <v>6</v>
      </c>
      <c r="M5635" s="244">
        <v>1</v>
      </c>
      <c r="N5635" s="244">
        <v>2</v>
      </c>
      <c r="O5635" s="254">
        <v>5</v>
      </c>
    </row>
    <row r="5636" spans="1:15">
      <c r="A5636" s="240" t="s">
        <v>71</v>
      </c>
      <c r="B5636" s="47" t="s">
        <v>5</v>
      </c>
      <c r="C5636" s="241">
        <v>0.0427350427350427</v>
      </c>
      <c r="D5636" s="241">
        <v>0.0423728813559322</v>
      </c>
      <c r="E5636" s="241">
        <v>0.0289855072463768</v>
      </c>
      <c r="F5636" s="241">
        <v>0.0769230769230769</v>
      </c>
      <c r="G5636" s="241">
        <v>0.0769230769230769</v>
      </c>
      <c r="H5636" s="241">
        <v>0.037037037037037</v>
      </c>
      <c r="I5636" s="241">
        <v>0.0689655172413793</v>
      </c>
      <c r="J5636" s="241">
        <v>0.045045045045045</v>
      </c>
      <c r="K5636" s="241">
        <v>0.00970873786407767</v>
      </c>
      <c r="L5636" s="241">
        <v>0.0810810810810811</v>
      </c>
      <c r="M5636" s="241">
        <v>0.0099009900990099</v>
      </c>
      <c r="N5636" s="241">
        <v>0.0202020202020202</v>
      </c>
      <c r="O5636" s="252">
        <v>0.0537634408602151</v>
      </c>
    </row>
    <row r="5637" spans="1:15">
      <c r="A5637" s="242" t="s">
        <v>71</v>
      </c>
      <c r="B5637" s="43" t="s">
        <v>6</v>
      </c>
      <c r="C5637" s="15">
        <v>12</v>
      </c>
      <c r="D5637" s="244">
        <v>1</v>
      </c>
      <c r="E5637" s="244">
        <v>0</v>
      </c>
      <c r="F5637" s="244">
        <v>3</v>
      </c>
      <c r="G5637" s="244">
        <v>0</v>
      </c>
      <c r="H5637" s="244">
        <v>0</v>
      </c>
      <c r="I5637" s="244">
        <v>2</v>
      </c>
      <c r="J5637" s="244">
        <v>1</v>
      </c>
      <c r="K5637" s="244">
        <v>1</v>
      </c>
      <c r="L5637" s="244">
        <v>2</v>
      </c>
      <c r="M5637" s="244">
        <v>0</v>
      </c>
      <c r="N5637" s="244">
        <v>1</v>
      </c>
      <c r="O5637" s="254">
        <v>1</v>
      </c>
    </row>
    <row r="5638" ht="14.25" spans="1:15">
      <c r="A5638" s="245" t="s">
        <v>71</v>
      </c>
      <c r="B5638" s="52" t="s">
        <v>64</v>
      </c>
      <c r="C5638" s="19">
        <v>0.266666666666667</v>
      </c>
      <c r="D5638" s="19">
        <v>0.2</v>
      </c>
      <c r="E5638" s="19">
        <v>0</v>
      </c>
      <c r="F5638" s="19">
        <v>0.75</v>
      </c>
      <c r="G5638" s="19">
        <v>0</v>
      </c>
      <c r="H5638" s="19">
        <v>0</v>
      </c>
      <c r="I5638" s="19">
        <v>0.333333333333333</v>
      </c>
      <c r="J5638" s="19">
        <v>0.2</v>
      </c>
      <c r="K5638" s="19">
        <v>1</v>
      </c>
      <c r="L5638" s="19">
        <v>0.333333333333333</v>
      </c>
      <c r="M5638" s="19">
        <v>0</v>
      </c>
      <c r="N5638" s="19">
        <v>0.5</v>
      </c>
      <c r="O5638" s="19">
        <v>0.2</v>
      </c>
    </row>
    <row r="5639" spans="1:15">
      <c r="A5639" s="240" t="s">
        <v>72</v>
      </c>
      <c r="B5639" s="47" t="s">
        <v>55</v>
      </c>
      <c r="C5639" s="12">
        <v>0.169410515135422</v>
      </c>
      <c r="D5639" s="241">
        <v>0.206185567010309</v>
      </c>
      <c r="E5639" s="241">
        <v>0.183908045977011</v>
      </c>
      <c r="F5639" s="241">
        <v>0.131147540983607</v>
      </c>
      <c r="G5639" s="241">
        <v>0.191780821917808</v>
      </c>
      <c r="H5639" s="241">
        <v>0.247706422018349</v>
      </c>
      <c r="I5639" s="241">
        <v>0.248</v>
      </c>
      <c r="J5639" s="241">
        <v>0.147239263803681</v>
      </c>
      <c r="K5639" s="241">
        <v>0.121212121212121</v>
      </c>
      <c r="L5639" s="241">
        <v>0.15606936416185</v>
      </c>
      <c r="M5639" s="241">
        <v>0.198717948717949</v>
      </c>
      <c r="N5639" s="241">
        <v>0.133093525179856</v>
      </c>
      <c r="O5639" s="252">
        <v>0.147157190635452</v>
      </c>
    </row>
    <row r="5640" spans="1:15">
      <c r="A5640" s="242" t="s">
        <v>72</v>
      </c>
      <c r="B5640" s="43" t="s">
        <v>57</v>
      </c>
      <c r="C5640" s="15">
        <v>1883</v>
      </c>
      <c r="D5640" s="243">
        <v>194</v>
      </c>
      <c r="E5640" s="243">
        <v>87</v>
      </c>
      <c r="F5640" s="243">
        <v>61</v>
      </c>
      <c r="G5640" s="243">
        <v>73</v>
      </c>
      <c r="H5640" s="243">
        <v>109</v>
      </c>
      <c r="I5640" s="243">
        <v>125</v>
      </c>
      <c r="J5640" s="243">
        <v>163</v>
      </c>
      <c r="K5640" s="243">
        <v>165</v>
      </c>
      <c r="L5640" s="243">
        <v>173</v>
      </c>
      <c r="M5640" s="243">
        <v>156</v>
      </c>
      <c r="N5640" s="243">
        <v>278</v>
      </c>
      <c r="O5640" s="253">
        <v>299</v>
      </c>
    </row>
    <row r="5641" spans="1:15">
      <c r="A5641" s="240" t="s">
        <v>72</v>
      </c>
      <c r="B5641" s="47" t="s">
        <v>59</v>
      </c>
      <c r="C5641" s="15">
        <v>319</v>
      </c>
      <c r="D5641" s="243">
        <v>40</v>
      </c>
      <c r="E5641" s="243">
        <v>16</v>
      </c>
      <c r="F5641" s="243">
        <v>8</v>
      </c>
      <c r="G5641" s="243">
        <v>14</v>
      </c>
      <c r="H5641" s="243">
        <v>27</v>
      </c>
      <c r="I5641" s="243">
        <v>31</v>
      </c>
      <c r="J5641" s="243">
        <v>24</v>
      </c>
      <c r="K5641" s="243">
        <v>20</v>
      </c>
      <c r="L5641" s="243">
        <v>27</v>
      </c>
      <c r="M5641" s="243">
        <v>31</v>
      </c>
      <c r="N5641" s="243">
        <v>37</v>
      </c>
      <c r="O5641" s="253">
        <v>44</v>
      </c>
    </row>
    <row r="5642" spans="1:15">
      <c r="A5642" s="242" t="s">
        <v>72</v>
      </c>
      <c r="B5642" s="43" t="s">
        <v>4</v>
      </c>
      <c r="C5642" s="15">
        <v>9</v>
      </c>
      <c r="D5642" s="244">
        <v>1</v>
      </c>
      <c r="E5642" s="244">
        <v>1</v>
      </c>
      <c r="F5642" s="244">
        <v>0</v>
      </c>
      <c r="G5642" s="244">
        <v>0</v>
      </c>
      <c r="H5642" s="244">
        <v>1</v>
      </c>
      <c r="I5642" s="244">
        <v>1</v>
      </c>
      <c r="J5642" s="244">
        <v>1</v>
      </c>
      <c r="K5642" s="244">
        <v>0</v>
      </c>
      <c r="L5642" s="244">
        <v>0</v>
      </c>
      <c r="M5642" s="244">
        <v>2</v>
      </c>
      <c r="N5642" s="244">
        <v>1</v>
      </c>
      <c r="O5642" s="254">
        <v>1</v>
      </c>
    </row>
    <row r="5643" spans="1:15">
      <c r="A5643" s="240" t="s">
        <v>72</v>
      </c>
      <c r="B5643" s="47" t="s">
        <v>5</v>
      </c>
      <c r="C5643" s="12">
        <v>0.0282131661442006</v>
      </c>
      <c r="D5643" s="241">
        <v>0.025</v>
      </c>
      <c r="E5643" s="241">
        <v>0.0625</v>
      </c>
      <c r="F5643" s="241">
        <v>0</v>
      </c>
      <c r="G5643" s="241">
        <v>0</v>
      </c>
      <c r="H5643" s="241">
        <v>0.037037037037037</v>
      </c>
      <c r="I5643" s="241">
        <v>0.032258064516129</v>
      </c>
      <c r="J5643" s="241">
        <v>0.0416666666666667</v>
      </c>
      <c r="K5643" s="241">
        <v>0</v>
      </c>
      <c r="L5643" s="241">
        <v>0</v>
      </c>
      <c r="M5643" s="241">
        <v>0.0645161290322581</v>
      </c>
      <c r="N5643" s="241">
        <v>0.027027027027027</v>
      </c>
      <c r="O5643" s="252">
        <v>0.0227272727272727</v>
      </c>
    </row>
    <row r="5644" spans="1:15">
      <c r="A5644" s="242" t="s">
        <v>72</v>
      </c>
      <c r="B5644" s="43" t="s">
        <v>6</v>
      </c>
      <c r="C5644" s="15">
        <v>1</v>
      </c>
      <c r="D5644" s="244">
        <v>0</v>
      </c>
      <c r="E5644" s="244">
        <v>0</v>
      </c>
      <c r="F5644" s="244">
        <v>0</v>
      </c>
      <c r="G5644" s="244">
        <v>0</v>
      </c>
      <c r="H5644" s="244">
        <v>1</v>
      </c>
      <c r="I5644" s="244">
        <v>0</v>
      </c>
      <c r="J5644" s="244">
        <v>0</v>
      </c>
      <c r="K5644" s="244">
        <v>0</v>
      </c>
      <c r="L5644" s="244">
        <v>0</v>
      </c>
      <c r="M5644" s="244">
        <v>0</v>
      </c>
      <c r="N5644" s="244">
        <v>0</v>
      </c>
      <c r="O5644" s="254">
        <v>0</v>
      </c>
    </row>
    <row r="5645" ht="14.25" spans="1:15">
      <c r="A5645" s="245" t="s">
        <v>72</v>
      </c>
      <c r="B5645" s="52" t="s">
        <v>64</v>
      </c>
      <c r="C5645" s="19">
        <v>0.111111111111111</v>
      </c>
      <c r="D5645" s="19">
        <v>0</v>
      </c>
      <c r="E5645" s="19">
        <v>0</v>
      </c>
      <c r="F5645" s="19" t="e">
        <v>#DIV/0!</v>
      </c>
      <c r="G5645" s="19" t="e">
        <v>#DIV/0!</v>
      </c>
      <c r="H5645" s="19">
        <v>1</v>
      </c>
      <c r="I5645" s="19">
        <v>0</v>
      </c>
      <c r="J5645" s="19">
        <v>0</v>
      </c>
      <c r="K5645" s="19" t="e">
        <v>#DIV/0!</v>
      </c>
      <c r="L5645" s="19" t="e">
        <v>#DIV/0!</v>
      </c>
      <c r="M5645" s="19">
        <v>0</v>
      </c>
      <c r="N5645" s="19">
        <v>0</v>
      </c>
      <c r="O5645" s="19">
        <v>0</v>
      </c>
    </row>
    <row r="5646" ht="14.25" spans="1:15">
      <c r="A5646" s="237">
        <v>45106</v>
      </c>
      <c r="B5646" s="237"/>
      <c r="C5646" s="237"/>
      <c r="D5646" s="237"/>
      <c r="E5646" s="237"/>
      <c r="F5646" s="237"/>
      <c r="G5646" s="237"/>
      <c r="H5646" s="237"/>
      <c r="I5646" s="237"/>
      <c r="J5646" s="237"/>
      <c r="K5646" s="237"/>
      <c r="L5646" s="237"/>
      <c r="M5646" s="237"/>
      <c r="N5646" s="237"/>
      <c r="O5646" s="237"/>
    </row>
    <row r="5647" spans="1:15">
      <c r="A5647" s="56" t="s">
        <v>1</v>
      </c>
      <c r="B5647" s="238"/>
      <c r="C5647" s="8" t="s">
        <v>42</v>
      </c>
      <c r="D5647" s="239" t="s">
        <v>43</v>
      </c>
      <c r="E5647" s="239" t="s">
        <v>44</v>
      </c>
      <c r="F5647" s="239" t="s">
        <v>45</v>
      </c>
      <c r="G5647" s="239" t="s">
        <v>46</v>
      </c>
      <c r="H5647" s="239" t="s">
        <v>47</v>
      </c>
      <c r="I5647" s="239" t="s">
        <v>48</v>
      </c>
      <c r="J5647" s="239" t="s">
        <v>49</v>
      </c>
      <c r="K5647" s="239" t="s">
        <v>50</v>
      </c>
      <c r="L5647" s="239" t="s">
        <v>51</v>
      </c>
      <c r="M5647" s="239" t="s">
        <v>52</v>
      </c>
      <c r="N5647" s="239" t="s">
        <v>53</v>
      </c>
      <c r="O5647" s="251" t="s">
        <v>54</v>
      </c>
    </row>
    <row r="5648" spans="1:15">
      <c r="A5648" s="240" t="s">
        <v>22</v>
      </c>
      <c r="B5648" s="47" t="s">
        <v>55</v>
      </c>
      <c r="C5648" s="12">
        <v>0.497368421052632</v>
      </c>
      <c r="D5648" s="241">
        <v>0.580310880829015</v>
      </c>
      <c r="E5648" s="241">
        <v>0.573033707865168</v>
      </c>
      <c r="F5648" s="241">
        <v>0.704225352112676</v>
      </c>
      <c r="G5648" s="241">
        <v>0.845238095238095</v>
      </c>
      <c r="H5648" s="241">
        <v>0.445205479452055</v>
      </c>
      <c r="I5648" s="241">
        <v>0.452702702702703</v>
      </c>
      <c r="J5648" s="241">
        <v>0.50561797752809</v>
      </c>
      <c r="K5648" s="241">
        <v>0.381395348837209</v>
      </c>
      <c r="L5648" s="241">
        <v>0.348958333333333</v>
      </c>
      <c r="M5648" s="241">
        <v>0.592105263157895</v>
      </c>
      <c r="N5648" s="241">
        <v>0.526315789473684</v>
      </c>
      <c r="O5648" s="252">
        <v>0.403587443946188</v>
      </c>
    </row>
    <row r="5649" spans="1:15">
      <c r="A5649" s="242" t="s">
        <v>22</v>
      </c>
      <c r="B5649" s="43" t="s">
        <v>57</v>
      </c>
      <c r="C5649" s="15">
        <v>1900</v>
      </c>
      <c r="D5649" s="243">
        <v>193</v>
      </c>
      <c r="E5649" s="243">
        <v>89</v>
      </c>
      <c r="F5649" s="243">
        <v>71</v>
      </c>
      <c r="G5649" s="243">
        <v>84</v>
      </c>
      <c r="H5649" s="243">
        <v>146</v>
      </c>
      <c r="I5649" s="243">
        <v>148</v>
      </c>
      <c r="J5649" s="243">
        <v>178</v>
      </c>
      <c r="K5649" s="243">
        <v>215</v>
      </c>
      <c r="L5649" s="243">
        <v>192</v>
      </c>
      <c r="M5649" s="243">
        <v>152</v>
      </c>
      <c r="N5649" s="243">
        <v>209</v>
      </c>
      <c r="O5649" s="253">
        <v>223</v>
      </c>
    </row>
    <row r="5650" spans="1:15">
      <c r="A5650" s="240" t="s">
        <v>22</v>
      </c>
      <c r="B5650" s="47" t="s">
        <v>59</v>
      </c>
      <c r="C5650" s="15">
        <v>945</v>
      </c>
      <c r="D5650" s="243">
        <v>112</v>
      </c>
      <c r="E5650" s="243">
        <v>51</v>
      </c>
      <c r="F5650" s="243">
        <v>50</v>
      </c>
      <c r="G5650" s="243">
        <v>71</v>
      </c>
      <c r="H5650" s="243">
        <v>65</v>
      </c>
      <c r="I5650" s="243">
        <v>67</v>
      </c>
      <c r="J5650" s="243">
        <v>90</v>
      </c>
      <c r="K5650" s="243">
        <v>82</v>
      </c>
      <c r="L5650" s="243">
        <v>67</v>
      </c>
      <c r="M5650" s="243">
        <v>90</v>
      </c>
      <c r="N5650" s="243">
        <v>110</v>
      </c>
      <c r="O5650" s="253">
        <v>90</v>
      </c>
    </row>
    <row r="5651" spans="1:15">
      <c r="A5651" s="242" t="s">
        <v>22</v>
      </c>
      <c r="B5651" s="43" t="s">
        <v>4</v>
      </c>
      <c r="C5651" s="15">
        <v>45</v>
      </c>
      <c r="D5651" s="244">
        <v>9</v>
      </c>
      <c r="E5651" s="244">
        <v>0</v>
      </c>
      <c r="F5651" s="244">
        <v>1</v>
      </c>
      <c r="G5651" s="244">
        <v>3</v>
      </c>
      <c r="H5651" s="244">
        <v>5</v>
      </c>
      <c r="I5651" s="244">
        <v>0</v>
      </c>
      <c r="J5651" s="244">
        <v>3</v>
      </c>
      <c r="K5651" s="244">
        <v>2</v>
      </c>
      <c r="L5651" s="244">
        <v>7</v>
      </c>
      <c r="M5651" s="244">
        <v>6</v>
      </c>
      <c r="N5651" s="244">
        <v>1</v>
      </c>
      <c r="O5651" s="254">
        <v>8</v>
      </c>
    </row>
    <row r="5652" spans="1:15">
      <c r="A5652" s="240" t="s">
        <v>22</v>
      </c>
      <c r="B5652" s="47" t="s">
        <v>5</v>
      </c>
      <c r="C5652" s="12">
        <v>0.0476190476190476</v>
      </c>
      <c r="D5652" s="241">
        <v>0.0803571428571429</v>
      </c>
      <c r="E5652" s="241">
        <v>0</v>
      </c>
      <c r="F5652" s="241">
        <v>0.02</v>
      </c>
      <c r="G5652" s="241">
        <v>0.0422535211267606</v>
      </c>
      <c r="H5652" s="241">
        <v>0.0769230769230769</v>
      </c>
      <c r="I5652" s="241">
        <v>0</v>
      </c>
      <c r="J5652" s="241">
        <v>0.0333333333333333</v>
      </c>
      <c r="K5652" s="241">
        <v>0.024390243902439</v>
      </c>
      <c r="L5652" s="241">
        <v>0.104477611940299</v>
      </c>
      <c r="M5652" s="241">
        <v>0.0666666666666667</v>
      </c>
      <c r="N5652" s="241">
        <v>0.00909090909090909</v>
      </c>
      <c r="O5652" s="252">
        <v>0.0888888888888889</v>
      </c>
    </row>
    <row r="5653" spans="1:15">
      <c r="A5653" s="242" t="s">
        <v>22</v>
      </c>
      <c r="B5653" s="43" t="s">
        <v>6</v>
      </c>
      <c r="C5653" s="15">
        <v>19</v>
      </c>
      <c r="D5653" s="244">
        <v>2</v>
      </c>
      <c r="E5653" s="244">
        <v>0</v>
      </c>
      <c r="F5653" s="244">
        <v>0</v>
      </c>
      <c r="G5653" s="244">
        <v>3</v>
      </c>
      <c r="H5653" s="244">
        <v>3</v>
      </c>
      <c r="I5653" s="244">
        <v>1</v>
      </c>
      <c r="J5653" s="244">
        <v>0</v>
      </c>
      <c r="K5653" s="244">
        <v>3</v>
      </c>
      <c r="L5653" s="244">
        <v>1</v>
      </c>
      <c r="M5653" s="244">
        <v>3</v>
      </c>
      <c r="N5653" s="244">
        <v>2</v>
      </c>
      <c r="O5653" s="254">
        <v>1</v>
      </c>
    </row>
    <row r="5654" ht="14.25" spans="1:15">
      <c r="A5654" s="245" t="s">
        <v>22</v>
      </c>
      <c r="B5654" s="52" t="s">
        <v>64</v>
      </c>
      <c r="C5654" s="19">
        <v>0.422222222222222</v>
      </c>
      <c r="D5654" s="246">
        <v>0.222222222222222</v>
      </c>
      <c r="E5654" s="246">
        <v>0</v>
      </c>
      <c r="F5654" s="246">
        <v>0</v>
      </c>
      <c r="G5654" s="246">
        <v>1</v>
      </c>
      <c r="H5654" s="246">
        <v>0.6</v>
      </c>
      <c r="I5654" s="246">
        <v>0</v>
      </c>
      <c r="J5654" s="246">
        <v>0</v>
      </c>
      <c r="K5654" s="246">
        <v>1.5</v>
      </c>
      <c r="L5654" s="246">
        <v>0.142857142857143</v>
      </c>
      <c r="M5654" s="246">
        <v>0.5</v>
      </c>
      <c r="N5654" s="246">
        <v>2</v>
      </c>
      <c r="O5654" s="255">
        <v>0.125</v>
      </c>
    </row>
    <row r="5655" spans="1:15">
      <c r="A5655" s="247" t="s">
        <v>66</v>
      </c>
      <c r="B5655" s="248" t="s">
        <v>55</v>
      </c>
      <c r="C5655" s="12">
        <v>0.0684007707129094</v>
      </c>
      <c r="D5655" s="249">
        <v>0.0612244897959184</v>
      </c>
      <c r="E5655" s="249">
        <v>0.0292207792207792</v>
      </c>
      <c r="F5655" s="249">
        <v>0.0471204188481675</v>
      </c>
      <c r="G5655" s="249">
        <v>0.0372093023255814</v>
      </c>
      <c r="H5655" s="249">
        <v>0.0903954802259887</v>
      </c>
      <c r="I5655" s="249">
        <v>0.069620253164557</v>
      </c>
      <c r="J5655" s="249">
        <v>0.0604026845637584</v>
      </c>
      <c r="K5655" s="249">
        <v>0.0764331210191083</v>
      </c>
      <c r="L5655" s="249">
        <v>0.0915492957746479</v>
      </c>
      <c r="M5655" s="249">
        <v>0.164948453608247</v>
      </c>
      <c r="N5655" s="249">
        <v>0.0825688073394495</v>
      </c>
      <c r="O5655" s="256">
        <v>0.1171875</v>
      </c>
    </row>
    <row r="5656" spans="1:15">
      <c r="A5656" s="242" t="s">
        <v>66</v>
      </c>
      <c r="B5656" s="43" t="s">
        <v>57</v>
      </c>
      <c r="C5656" s="15">
        <v>2076</v>
      </c>
      <c r="D5656" s="243">
        <v>245</v>
      </c>
      <c r="E5656" s="243">
        <v>308</v>
      </c>
      <c r="F5656" s="243">
        <v>191</v>
      </c>
      <c r="G5656" s="243">
        <v>215</v>
      </c>
      <c r="H5656" s="243">
        <v>177</v>
      </c>
      <c r="I5656" s="243">
        <v>158</v>
      </c>
      <c r="J5656" s="243">
        <v>149</v>
      </c>
      <c r="K5656" s="243">
        <v>157</v>
      </c>
      <c r="L5656" s="243">
        <v>142</v>
      </c>
      <c r="M5656" s="243">
        <v>97</v>
      </c>
      <c r="N5656" s="243">
        <v>109</v>
      </c>
      <c r="O5656" s="253">
        <v>128</v>
      </c>
    </row>
    <row r="5657" spans="1:15">
      <c r="A5657" s="240" t="s">
        <v>66</v>
      </c>
      <c r="B5657" s="47" t="s">
        <v>59</v>
      </c>
      <c r="C5657" s="15">
        <v>142</v>
      </c>
      <c r="D5657" s="243">
        <v>15</v>
      </c>
      <c r="E5657" s="243">
        <v>9</v>
      </c>
      <c r="F5657" s="243">
        <v>9</v>
      </c>
      <c r="G5657" s="243">
        <v>8</v>
      </c>
      <c r="H5657" s="243">
        <v>16</v>
      </c>
      <c r="I5657" s="243">
        <v>11</v>
      </c>
      <c r="J5657" s="243">
        <v>9</v>
      </c>
      <c r="K5657" s="243">
        <v>12</v>
      </c>
      <c r="L5657" s="243">
        <v>13</v>
      </c>
      <c r="M5657" s="243">
        <v>16</v>
      </c>
      <c r="N5657" s="243">
        <v>9</v>
      </c>
      <c r="O5657" s="253">
        <v>15</v>
      </c>
    </row>
    <row r="5658" spans="1:15">
      <c r="A5658" s="242" t="s">
        <v>66</v>
      </c>
      <c r="B5658" s="43" t="s">
        <v>4</v>
      </c>
      <c r="C5658" s="15">
        <v>7</v>
      </c>
      <c r="D5658" s="244">
        <v>0</v>
      </c>
      <c r="E5658" s="244">
        <v>2</v>
      </c>
      <c r="F5658" s="244">
        <v>0</v>
      </c>
      <c r="G5658" s="244">
        <v>0</v>
      </c>
      <c r="H5658" s="244">
        <v>0</v>
      </c>
      <c r="I5658" s="244">
        <v>2</v>
      </c>
      <c r="J5658" s="244">
        <v>2</v>
      </c>
      <c r="K5658" s="244">
        <v>0</v>
      </c>
      <c r="L5658" s="244">
        <v>0</v>
      </c>
      <c r="M5658" s="244">
        <v>0</v>
      </c>
      <c r="N5658" s="244">
        <v>0</v>
      </c>
      <c r="O5658" s="254">
        <v>1</v>
      </c>
    </row>
    <row r="5659" spans="1:15">
      <c r="A5659" s="240" t="s">
        <v>66</v>
      </c>
      <c r="B5659" s="47" t="s">
        <v>5</v>
      </c>
      <c r="C5659" s="12">
        <v>0.0492957746478873</v>
      </c>
      <c r="D5659" s="241">
        <v>0</v>
      </c>
      <c r="E5659" s="241">
        <v>0.222222222222222</v>
      </c>
      <c r="F5659" s="241">
        <v>0</v>
      </c>
      <c r="G5659" s="241">
        <v>0</v>
      </c>
      <c r="H5659" s="241">
        <v>0</v>
      </c>
      <c r="I5659" s="241">
        <v>0.181818181818182</v>
      </c>
      <c r="J5659" s="241">
        <v>0.222222222222222</v>
      </c>
      <c r="K5659" s="241">
        <v>0</v>
      </c>
      <c r="L5659" s="241">
        <v>0</v>
      </c>
      <c r="M5659" s="241">
        <v>0</v>
      </c>
      <c r="N5659" s="241">
        <v>0</v>
      </c>
      <c r="O5659" s="252">
        <v>0.0666666666666667</v>
      </c>
    </row>
    <row r="5660" spans="1:15">
      <c r="A5660" s="242" t="s">
        <v>66</v>
      </c>
      <c r="B5660" s="43" t="s">
        <v>6</v>
      </c>
      <c r="C5660" s="15">
        <v>4</v>
      </c>
      <c r="D5660" s="244">
        <v>0</v>
      </c>
      <c r="E5660" s="244">
        <v>1</v>
      </c>
      <c r="F5660" s="244">
        <v>0</v>
      </c>
      <c r="G5660" s="244">
        <v>0</v>
      </c>
      <c r="H5660" s="244">
        <v>0</v>
      </c>
      <c r="I5660" s="244">
        <v>0</v>
      </c>
      <c r="J5660" s="244">
        <v>1</v>
      </c>
      <c r="K5660" s="244">
        <v>1</v>
      </c>
      <c r="L5660" s="244">
        <v>0</v>
      </c>
      <c r="M5660" s="244">
        <v>0</v>
      </c>
      <c r="N5660" s="244">
        <v>0</v>
      </c>
      <c r="O5660" s="254">
        <v>1</v>
      </c>
    </row>
    <row r="5661" ht="14.25" spans="1:15">
      <c r="A5661" s="245" t="s">
        <v>66</v>
      </c>
      <c r="B5661" s="52" t="s">
        <v>64</v>
      </c>
      <c r="C5661" s="19">
        <v>0.571428571428571</v>
      </c>
      <c r="D5661" s="246">
        <v>0</v>
      </c>
      <c r="E5661" s="246">
        <v>0.5</v>
      </c>
      <c r="F5661" s="246">
        <v>0</v>
      </c>
      <c r="G5661" s="246">
        <v>0</v>
      </c>
      <c r="H5661" s="246">
        <v>0</v>
      </c>
      <c r="I5661" s="246">
        <v>0</v>
      </c>
      <c r="J5661" s="246">
        <v>0.5</v>
      </c>
      <c r="K5661" s="246">
        <v>0</v>
      </c>
      <c r="L5661" s="246">
        <v>0</v>
      </c>
      <c r="M5661" s="246">
        <v>0</v>
      </c>
      <c r="N5661" s="246">
        <v>0</v>
      </c>
      <c r="O5661" s="255">
        <v>1</v>
      </c>
    </row>
    <row r="5662" spans="1:15">
      <c r="A5662" s="240" t="s">
        <v>67</v>
      </c>
      <c r="B5662" s="47" t="s">
        <v>55</v>
      </c>
      <c r="C5662" s="12">
        <v>0.376770538243626</v>
      </c>
      <c r="D5662" s="241">
        <v>0.4</v>
      </c>
      <c r="E5662" s="241">
        <v>0.425531914893617</v>
      </c>
      <c r="F5662" s="241">
        <v>0.394736842105263</v>
      </c>
      <c r="G5662" s="241">
        <v>0.428571428571429</v>
      </c>
      <c r="H5662" s="241">
        <v>0.390804597701149</v>
      </c>
      <c r="I5662" s="241">
        <v>0.390243902439024</v>
      </c>
      <c r="J5662" s="241">
        <v>0.377551020408163</v>
      </c>
      <c r="K5662" s="241">
        <v>0.308510638297872</v>
      </c>
      <c r="L5662" s="241">
        <v>0.378048780487805</v>
      </c>
      <c r="M5662" s="241">
        <v>0.40952380952381</v>
      </c>
      <c r="N5662" s="241">
        <v>0.37037037037037</v>
      </c>
      <c r="O5662" s="252">
        <v>0.307692307692308</v>
      </c>
    </row>
    <row r="5663" spans="1:15">
      <c r="A5663" s="242" t="s">
        <v>67</v>
      </c>
      <c r="B5663" s="43" t="s">
        <v>57</v>
      </c>
      <c r="C5663" s="15">
        <v>1059</v>
      </c>
      <c r="D5663" s="243">
        <v>145</v>
      </c>
      <c r="E5663" s="243">
        <v>47</v>
      </c>
      <c r="F5663" s="243">
        <v>38</v>
      </c>
      <c r="G5663" s="243">
        <v>56</v>
      </c>
      <c r="H5663" s="243">
        <v>87</v>
      </c>
      <c r="I5663" s="243">
        <v>82</v>
      </c>
      <c r="J5663" s="243">
        <v>98</v>
      </c>
      <c r="K5663" s="243">
        <v>94</v>
      </c>
      <c r="L5663" s="243">
        <v>82</v>
      </c>
      <c r="M5663" s="243">
        <v>105</v>
      </c>
      <c r="N5663" s="243">
        <v>108</v>
      </c>
      <c r="O5663" s="253">
        <v>117</v>
      </c>
    </row>
    <row r="5664" spans="1:15">
      <c r="A5664" s="240" t="s">
        <v>67</v>
      </c>
      <c r="B5664" s="47" t="s">
        <v>59</v>
      </c>
      <c r="C5664" s="15">
        <v>399</v>
      </c>
      <c r="D5664" s="243">
        <v>58</v>
      </c>
      <c r="E5664" s="243">
        <v>20</v>
      </c>
      <c r="F5664" s="243">
        <v>15</v>
      </c>
      <c r="G5664" s="243">
        <v>24</v>
      </c>
      <c r="H5664" s="243">
        <v>34</v>
      </c>
      <c r="I5664" s="243">
        <v>32</v>
      </c>
      <c r="J5664" s="243">
        <v>37</v>
      </c>
      <c r="K5664" s="243">
        <v>29</v>
      </c>
      <c r="L5664" s="243">
        <v>31</v>
      </c>
      <c r="M5664" s="243">
        <v>43</v>
      </c>
      <c r="N5664" s="243">
        <v>40</v>
      </c>
      <c r="O5664" s="253">
        <v>36</v>
      </c>
    </row>
    <row r="5665" spans="1:15">
      <c r="A5665" s="242" t="s">
        <v>67</v>
      </c>
      <c r="B5665" s="43" t="s">
        <v>4</v>
      </c>
      <c r="C5665" s="15">
        <v>16</v>
      </c>
      <c r="D5665" s="244">
        <v>1</v>
      </c>
      <c r="E5665" s="244">
        <v>3</v>
      </c>
      <c r="F5665" s="244">
        <v>1</v>
      </c>
      <c r="G5665" s="244">
        <v>1</v>
      </c>
      <c r="H5665" s="244">
        <v>1</v>
      </c>
      <c r="I5665" s="244">
        <v>1</v>
      </c>
      <c r="J5665" s="244">
        <v>1</v>
      </c>
      <c r="K5665" s="244">
        <v>1</v>
      </c>
      <c r="L5665" s="244">
        <v>1</v>
      </c>
      <c r="M5665" s="244">
        <v>3</v>
      </c>
      <c r="N5665" s="244">
        <v>2</v>
      </c>
      <c r="O5665" s="254">
        <v>0</v>
      </c>
    </row>
    <row r="5666" spans="1:15">
      <c r="A5666" s="240" t="s">
        <v>67</v>
      </c>
      <c r="B5666" s="47" t="s">
        <v>5</v>
      </c>
      <c r="C5666" s="12">
        <v>0.0401002506265664</v>
      </c>
      <c r="D5666" s="241">
        <v>0.0172413793103448</v>
      </c>
      <c r="E5666" s="241">
        <v>0.15</v>
      </c>
      <c r="F5666" s="241">
        <v>0.0666666666666667</v>
      </c>
      <c r="G5666" s="241">
        <v>0.0416666666666667</v>
      </c>
      <c r="H5666" s="241">
        <v>0.0294117647058824</v>
      </c>
      <c r="I5666" s="241">
        <v>0.03125</v>
      </c>
      <c r="J5666" s="241">
        <v>0.027027027027027</v>
      </c>
      <c r="K5666" s="241">
        <v>0.0344827586206897</v>
      </c>
      <c r="L5666" s="241">
        <v>0.032258064516129</v>
      </c>
      <c r="M5666" s="241">
        <v>0.0697674418604651</v>
      </c>
      <c r="N5666" s="241">
        <v>0.05</v>
      </c>
      <c r="O5666" s="252">
        <v>0</v>
      </c>
    </row>
    <row r="5667" spans="1:15">
      <c r="A5667" s="242" t="s">
        <v>67</v>
      </c>
      <c r="B5667" s="43" t="s">
        <v>6</v>
      </c>
      <c r="C5667" s="15">
        <v>9</v>
      </c>
      <c r="D5667" s="244">
        <v>1</v>
      </c>
      <c r="E5667" s="244">
        <v>2</v>
      </c>
      <c r="F5667" s="244">
        <v>1</v>
      </c>
      <c r="G5667" s="244">
        <v>0</v>
      </c>
      <c r="H5667" s="244">
        <v>2</v>
      </c>
      <c r="I5667" s="244">
        <v>1</v>
      </c>
      <c r="J5667" s="244">
        <v>1</v>
      </c>
      <c r="K5667" s="244">
        <v>0</v>
      </c>
      <c r="L5667" s="244">
        <v>0</v>
      </c>
      <c r="M5667" s="244">
        <v>0</v>
      </c>
      <c r="N5667" s="244">
        <v>0</v>
      </c>
      <c r="O5667" s="254">
        <v>1</v>
      </c>
    </row>
    <row r="5668" ht="14.25" spans="1:15">
      <c r="A5668" s="245" t="s">
        <v>67</v>
      </c>
      <c r="B5668" s="52" t="s">
        <v>64</v>
      </c>
      <c r="C5668" s="19">
        <v>0.5625</v>
      </c>
      <c r="D5668" s="246">
        <v>1</v>
      </c>
      <c r="E5668" s="246">
        <v>0.666666666666667</v>
      </c>
      <c r="F5668" s="246">
        <v>1</v>
      </c>
      <c r="G5668" s="246">
        <v>0</v>
      </c>
      <c r="H5668" s="246">
        <v>2</v>
      </c>
      <c r="I5668" s="246">
        <v>1</v>
      </c>
      <c r="J5668" s="246">
        <v>1</v>
      </c>
      <c r="K5668" s="246">
        <v>0</v>
      </c>
      <c r="L5668" s="246">
        <v>0</v>
      </c>
      <c r="M5668" s="246">
        <v>0</v>
      </c>
      <c r="N5668" s="246">
        <v>0</v>
      </c>
      <c r="O5668" s="255">
        <v>0</v>
      </c>
    </row>
    <row r="5669" spans="1:15">
      <c r="A5669" s="240" t="s">
        <v>68</v>
      </c>
      <c r="B5669" s="47" t="s">
        <v>55</v>
      </c>
      <c r="C5669" s="12">
        <v>0.126607891313774</v>
      </c>
      <c r="D5669" s="241">
        <v>0.237980769230769</v>
      </c>
      <c r="E5669" s="241">
        <v>0.219512195121951</v>
      </c>
      <c r="F5669" s="241">
        <v>0.246575342465753</v>
      </c>
      <c r="G5669" s="241">
        <v>0.151685393258427</v>
      </c>
      <c r="H5669" s="241">
        <v>0.133448873483536</v>
      </c>
      <c r="I5669" s="241">
        <v>0.096514745308311</v>
      </c>
      <c r="J5669" s="241">
        <v>0.11734693877551</v>
      </c>
      <c r="K5669" s="241">
        <v>0.0846394984326019</v>
      </c>
      <c r="L5669" s="241">
        <v>0.111656441717791</v>
      </c>
      <c r="M5669" s="241">
        <v>0.143572621035058</v>
      </c>
      <c r="N5669" s="241">
        <v>0.107962213225371</v>
      </c>
      <c r="O5669" s="252">
        <v>0.119205298013245</v>
      </c>
    </row>
    <row r="5670" spans="1:15">
      <c r="A5670" s="242" t="s">
        <v>68</v>
      </c>
      <c r="B5670" s="43" t="s">
        <v>57</v>
      </c>
      <c r="C5670" s="15">
        <v>6919</v>
      </c>
      <c r="D5670" s="243">
        <v>416</v>
      </c>
      <c r="E5670" s="243">
        <v>205</v>
      </c>
      <c r="F5670" s="243">
        <v>146</v>
      </c>
      <c r="G5670" s="243">
        <v>178</v>
      </c>
      <c r="H5670" s="243">
        <v>577</v>
      </c>
      <c r="I5670" s="243">
        <v>746</v>
      </c>
      <c r="J5670" s="243">
        <v>784</v>
      </c>
      <c r="K5670" s="243">
        <v>957</v>
      </c>
      <c r="L5670" s="243">
        <v>815</v>
      </c>
      <c r="M5670" s="243">
        <v>599</v>
      </c>
      <c r="N5670" s="243">
        <v>741</v>
      </c>
      <c r="O5670" s="253">
        <v>755</v>
      </c>
    </row>
    <row r="5671" spans="1:15">
      <c r="A5671" s="240" t="s">
        <v>68</v>
      </c>
      <c r="B5671" s="47" t="s">
        <v>59</v>
      </c>
      <c r="C5671" s="15">
        <v>876</v>
      </c>
      <c r="D5671" s="243">
        <v>99</v>
      </c>
      <c r="E5671" s="243">
        <v>45</v>
      </c>
      <c r="F5671" s="243">
        <v>36</v>
      </c>
      <c r="G5671" s="243">
        <v>27</v>
      </c>
      <c r="H5671" s="243">
        <v>77</v>
      </c>
      <c r="I5671" s="243">
        <v>72</v>
      </c>
      <c r="J5671" s="243">
        <v>92</v>
      </c>
      <c r="K5671" s="243">
        <v>81</v>
      </c>
      <c r="L5671" s="243">
        <v>91</v>
      </c>
      <c r="M5671" s="243">
        <v>86</v>
      </c>
      <c r="N5671" s="243">
        <v>80</v>
      </c>
      <c r="O5671" s="253">
        <v>90</v>
      </c>
    </row>
    <row r="5672" spans="1:15">
      <c r="A5672" s="242" t="s">
        <v>68</v>
      </c>
      <c r="B5672" s="43" t="s">
        <v>4</v>
      </c>
      <c r="C5672" s="15">
        <v>40</v>
      </c>
      <c r="D5672" s="244">
        <v>2</v>
      </c>
      <c r="E5672" s="244">
        <v>5</v>
      </c>
      <c r="F5672" s="244">
        <v>2</v>
      </c>
      <c r="G5672" s="244">
        <v>0</v>
      </c>
      <c r="H5672" s="244">
        <v>3</v>
      </c>
      <c r="I5672" s="244">
        <v>3</v>
      </c>
      <c r="J5672" s="244">
        <v>3</v>
      </c>
      <c r="K5672" s="244">
        <v>2</v>
      </c>
      <c r="L5672" s="244">
        <v>4</v>
      </c>
      <c r="M5672" s="244">
        <v>5</v>
      </c>
      <c r="N5672" s="244">
        <v>2</v>
      </c>
      <c r="O5672" s="254">
        <v>9</v>
      </c>
    </row>
    <row r="5673" spans="1:15">
      <c r="A5673" s="240" t="s">
        <v>68</v>
      </c>
      <c r="B5673" s="47" t="s">
        <v>5</v>
      </c>
      <c r="C5673" s="12">
        <v>0.045662100456621</v>
      </c>
      <c r="D5673" s="241">
        <v>0.0202020202020202</v>
      </c>
      <c r="E5673" s="241">
        <v>0.111111111111111</v>
      </c>
      <c r="F5673" s="241">
        <v>0.0555555555555556</v>
      </c>
      <c r="G5673" s="241">
        <v>0</v>
      </c>
      <c r="H5673" s="241">
        <v>0.038961038961039</v>
      </c>
      <c r="I5673" s="241">
        <v>0.0416666666666667</v>
      </c>
      <c r="J5673" s="241">
        <v>0.0326086956521739</v>
      </c>
      <c r="K5673" s="241">
        <v>0.0246913580246914</v>
      </c>
      <c r="L5673" s="241">
        <v>0.043956043956044</v>
      </c>
      <c r="M5673" s="241">
        <v>0.0581395348837209</v>
      </c>
      <c r="N5673" s="241">
        <v>0.025</v>
      </c>
      <c r="O5673" s="252">
        <v>0.1</v>
      </c>
    </row>
    <row r="5674" spans="1:15">
      <c r="A5674" s="242" t="s">
        <v>68</v>
      </c>
      <c r="B5674" s="43" t="s">
        <v>6</v>
      </c>
      <c r="C5674" s="15">
        <v>15</v>
      </c>
      <c r="D5674" s="244">
        <v>0</v>
      </c>
      <c r="E5674" s="244">
        <v>3</v>
      </c>
      <c r="F5674" s="244">
        <v>0</v>
      </c>
      <c r="G5674" s="244">
        <v>0</v>
      </c>
      <c r="H5674" s="244">
        <v>1</v>
      </c>
      <c r="I5674" s="244">
        <v>2</v>
      </c>
      <c r="J5674" s="244">
        <v>1</v>
      </c>
      <c r="K5674" s="244">
        <v>3</v>
      </c>
      <c r="L5674" s="244">
        <v>0</v>
      </c>
      <c r="M5674" s="244">
        <v>4</v>
      </c>
      <c r="N5674" s="244">
        <v>1</v>
      </c>
      <c r="O5674" s="254">
        <v>0</v>
      </c>
    </row>
    <row r="5675" ht="14.25" spans="1:15">
      <c r="A5675" s="245" t="s">
        <v>68</v>
      </c>
      <c r="B5675" s="52" t="s">
        <v>64</v>
      </c>
      <c r="C5675" s="19">
        <v>0.375</v>
      </c>
      <c r="D5675" s="246">
        <v>0</v>
      </c>
      <c r="E5675" s="246">
        <v>0.6</v>
      </c>
      <c r="F5675" s="246">
        <v>0</v>
      </c>
      <c r="G5675" s="246">
        <v>0</v>
      </c>
      <c r="H5675" s="246">
        <v>0.333333333333333</v>
      </c>
      <c r="I5675" s="246">
        <v>0.666666666666667</v>
      </c>
      <c r="J5675" s="246">
        <v>0.333333333333333</v>
      </c>
      <c r="K5675" s="246">
        <v>1.5</v>
      </c>
      <c r="L5675" s="246">
        <v>0</v>
      </c>
      <c r="M5675" s="246">
        <v>0.8</v>
      </c>
      <c r="N5675" s="246">
        <v>0.5</v>
      </c>
      <c r="O5675" s="255">
        <v>0</v>
      </c>
    </row>
    <row r="5676" spans="1:15">
      <c r="A5676" s="240" t="s">
        <v>69</v>
      </c>
      <c r="B5676" s="47" t="s">
        <v>55</v>
      </c>
      <c r="C5676" s="12">
        <v>1.37810945273632</v>
      </c>
      <c r="D5676" s="241">
        <v>1.52941176470588</v>
      </c>
      <c r="E5676" s="241">
        <v>2</v>
      </c>
      <c r="F5676" s="241">
        <v>1.66666666666667</v>
      </c>
      <c r="G5676" s="241">
        <v>2.33333333333333</v>
      </c>
      <c r="H5676" s="241">
        <v>2.09090909090909</v>
      </c>
      <c r="I5676" s="241">
        <v>2.75</v>
      </c>
      <c r="J5676" s="241">
        <v>1.33333333333333</v>
      </c>
      <c r="K5676" s="241">
        <v>1.14285714285714</v>
      </c>
      <c r="L5676" s="241">
        <v>1.04</v>
      </c>
      <c r="M5676" s="241">
        <v>2.06666666666667</v>
      </c>
      <c r="N5676" s="241">
        <v>1</v>
      </c>
      <c r="O5676" s="252">
        <v>1</v>
      </c>
    </row>
    <row r="5677" spans="1:15">
      <c r="A5677" s="242" t="s">
        <v>69</v>
      </c>
      <c r="B5677" s="43" t="s">
        <v>57</v>
      </c>
      <c r="C5677" s="15">
        <v>201</v>
      </c>
      <c r="D5677" s="243">
        <v>17</v>
      </c>
      <c r="E5677" s="243">
        <v>7</v>
      </c>
      <c r="F5677" s="243">
        <v>3</v>
      </c>
      <c r="G5677" s="243">
        <v>9</v>
      </c>
      <c r="H5677" s="243">
        <v>11</v>
      </c>
      <c r="I5677" s="243">
        <v>4</v>
      </c>
      <c r="J5677" s="243">
        <v>21</v>
      </c>
      <c r="K5677" s="243">
        <v>21</v>
      </c>
      <c r="L5677" s="243">
        <v>25</v>
      </c>
      <c r="M5677" s="243">
        <v>15</v>
      </c>
      <c r="N5677" s="243">
        <v>35</v>
      </c>
      <c r="O5677" s="253">
        <v>33</v>
      </c>
    </row>
    <row r="5678" spans="1:15">
      <c r="A5678" s="240" t="s">
        <v>69</v>
      </c>
      <c r="B5678" s="47" t="s">
        <v>59</v>
      </c>
      <c r="C5678" s="15">
        <v>277</v>
      </c>
      <c r="D5678" s="243">
        <v>26</v>
      </c>
      <c r="E5678" s="243">
        <v>14</v>
      </c>
      <c r="F5678" s="243">
        <v>5</v>
      </c>
      <c r="G5678" s="243">
        <v>21</v>
      </c>
      <c r="H5678" s="243">
        <v>23</v>
      </c>
      <c r="I5678" s="243">
        <v>11</v>
      </c>
      <c r="J5678" s="243">
        <v>28</v>
      </c>
      <c r="K5678" s="243">
        <v>24</v>
      </c>
      <c r="L5678" s="243">
        <v>26</v>
      </c>
      <c r="M5678" s="243">
        <v>31</v>
      </c>
      <c r="N5678" s="243">
        <v>35</v>
      </c>
      <c r="O5678" s="253">
        <v>33</v>
      </c>
    </row>
    <row r="5679" spans="1:15">
      <c r="A5679" s="242" t="s">
        <v>69</v>
      </c>
      <c r="B5679" s="43" t="s">
        <v>4</v>
      </c>
      <c r="C5679" s="15">
        <v>3</v>
      </c>
      <c r="D5679" s="244">
        <v>0</v>
      </c>
      <c r="E5679" s="244">
        <v>0</v>
      </c>
      <c r="F5679" s="244">
        <v>0</v>
      </c>
      <c r="G5679" s="244">
        <v>0</v>
      </c>
      <c r="H5679" s="244">
        <v>0</v>
      </c>
      <c r="I5679" s="244">
        <v>1</v>
      </c>
      <c r="J5679" s="244">
        <v>0</v>
      </c>
      <c r="K5679" s="244">
        <v>0</v>
      </c>
      <c r="L5679" s="244">
        <v>2</v>
      </c>
      <c r="M5679" s="244">
        <v>0</v>
      </c>
      <c r="N5679" s="244">
        <v>0</v>
      </c>
      <c r="O5679" s="254">
        <v>0</v>
      </c>
    </row>
    <row r="5680" spans="1:15">
      <c r="A5680" s="240" t="s">
        <v>69</v>
      </c>
      <c r="B5680" s="47" t="s">
        <v>5</v>
      </c>
      <c r="C5680" s="12">
        <v>0.0108303249097473</v>
      </c>
      <c r="D5680" s="241">
        <v>0</v>
      </c>
      <c r="E5680" s="241">
        <v>0</v>
      </c>
      <c r="F5680" s="241">
        <v>0</v>
      </c>
      <c r="G5680" s="241">
        <v>0</v>
      </c>
      <c r="H5680" s="241">
        <v>0</v>
      </c>
      <c r="I5680" s="241">
        <v>0.0909090909090909</v>
      </c>
      <c r="J5680" s="241">
        <v>0</v>
      </c>
      <c r="K5680" s="241">
        <v>0</v>
      </c>
      <c r="L5680" s="241">
        <v>0.0769230769230769</v>
      </c>
      <c r="M5680" s="241">
        <v>0</v>
      </c>
      <c r="N5680" s="241">
        <v>0</v>
      </c>
      <c r="O5680" s="252">
        <v>0</v>
      </c>
    </row>
    <row r="5681" spans="1:15">
      <c r="A5681" s="242" t="s">
        <v>69</v>
      </c>
      <c r="B5681" s="43" t="s">
        <v>6</v>
      </c>
      <c r="C5681" s="15">
        <v>2</v>
      </c>
      <c r="D5681" s="244">
        <v>0</v>
      </c>
      <c r="E5681" s="244">
        <v>0</v>
      </c>
      <c r="F5681" s="244">
        <v>0</v>
      </c>
      <c r="G5681" s="244">
        <v>0</v>
      </c>
      <c r="H5681" s="244">
        <v>0</v>
      </c>
      <c r="I5681" s="244">
        <v>0</v>
      </c>
      <c r="J5681" s="244">
        <v>0</v>
      </c>
      <c r="K5681" s="244">
        <v>1</v>
      </c>
      <c r="L5681" s="244">
        <v>1</v>
      </c>
      <c r="M5681" s="244">
        <v>0</v>
      </c>
      <c r="N5681" s="244">
        <v>0</v>
      </c>
      <c r="O5681" s="254">
        <v>0</v>
      </c>
    </row>
    <row r="5682" ht="14.25" spans="1:15">
      <c r="A5682" s="245" t="s">
        <v>69</v>
      </c>
      <c r="B5682" s="52" t="s">
        <v>64</v>
      </c>
      <c r="C5682" s="19">
        <v>0.666666666666667</v>
      </c>
      <c r="D5682" s="246">
        <v>0</v>
      </c>
      <c r="E5682" s="246">
        <v>0</v>
      </c>
      <c r="F5682" s="246">
        <v>0</v>
      </c>
      <c r="G5682" s="246">
        <v>0</v>
      </c>
      <c r="H5682" s="246">
        <v>0</v>
      </c>
      <c r="I5682" s="246">
        <v>0</v>
      </c>
      <c r="J5682" s="246">
        <v>0</v>
      </c>
      <c r="K5682" s="246">
        <v>0</v>
      </c>
      <c r="L5682" s="246">
        <v>0.5</v>
      </c>
      <c r="M5682" s="246">
        <v>0</v>
      </c>
      <c r="N5682" s="246">
        <v>0</v>
      </c>
      <c r="O5682" s="255">
        <v>0</v>
      </c>
    </row>
    <row r="5683" spans="1:15">
      <c r="A5683" s="240" t="s">
        <v>70</v>
      </c>
      <c r="B5683" s="47" t="s">
        <v>55</v>
      </c>
      <c r="C5683" s="12">
        <v>1.08746355685131</v>
      </c>
      <c r="D5683" s="241">
        <v>1.77777777777778</v>
      </c>
      <c r="E5683" s="241">
        <v>1</v>
      </c>
      <c r="F5683" s="241">
        <v>1.3125</v>
      </c>
      <c r="G5683" s="241">
        <v>1.0952380952381</v>
      </c>
      <c r="H5683" s="241">
        <v>1.53571428571429</v>
      </c>
      <c r="I5683" s="241">
        <v>1.1</v>
      </c>
      <c r="J5683" s="241">
        <v>0.916666666666667</v>
      </c>
      <c r="K5683" s="241">
        <v>0.973684210526316</v>
      </c>
      <c r="L5683" s="241">
        <v>1.06060606060606</v>
      </c>
      <c r="M5683" s="241">
        <v>0.870967741935484</v>
      </c>
      <c r="N5683" s="241">
        <v>0.903225806451613</v>
      </c>
      <c r="O5683" s="252">
        <v>0.72</v>
      </c>
    </row>
    <row r="5684" spans="1:15">
      <c r="A5684" s="242" t="s">
        <v>70</v>
      </c>
      <c r="B5684" s="43" t="s">
        <v>57</v>
      </c>
      <c r="C5684" s="15">
        <v>343</v>
      </c>
      <c r="D5684" s="243">
        <v>27</v>
      </c>
      <c r="E5684" s="243">
        <v>27</v>
      </c>
      <c r="F5684" s="243">
        <v>16</v>
      </c>
      <c r="G5684" s="243">
        <v>21</v>
      </c>
      <c r="H5684" s="243">
        <v>28</v>
      </c>
      <c r="I5684" s="243">
        <v>30</v>
      </c>
      <c r="J5684" s="243">
        <v>36</v>
      </c>
      <c r="K5684" s="243">
        <v>38</v>
      </c>
      <c r="L5684" s="243">
        <v>33</v>
      </c>
      <c r="M5684" s="243">
        <v>31</v>
      </c>
      <c r="N5684" s="243">
        <v>31</v>
      </c>
      <c r="O5684" s="253">
        <v>25</v>
      </c>
    </row>
    <row r="5685" spans="1:15">
      <c r="A5685" s="240" t="s">
        <v>70</v>
      </c>
      <c r="B5685" s="47" t="s">
        <v>59</v>
      </c>
      <c r="C5685" s="15">
        <v>373</v>
      </c>
      <c r="D5685" s="243">
        <v>48</v>
      </c>
      <c r="E5685" s="243">
        <v>27</v>
      </c>
      <c r="F5685" s="243">
        <v>21</v>
      </c>
      <c r="G5685" s="243">
        <v>23</v>
      </c>
      <c r="H5685" s="243">
        <v>43</v>
      </c>
      <c r="I5685" s="243">
        <v>33</v>
      </c>
      <c r="J5685" s="243">
        <v>33</v>
      </c>
      <c r="K5685" s="243">
        <v>37</v>
      </c>
      <c r="L5685" s="243">
        <v>35</v>
      </c>
      <c r="M5685" s="243">
        <v>27</v>
      </c>
      <c r="N5685" s="243">
        <v>28</v>
      </c>
      <c r="O5685" s="253">
        <v>18</v>
      </c>
    </row>
    <row r="5686" spans="1:15">
      <c r="A5686" s="242" t="s">
        <v>70</v>
      </c>
      <c r="B5686" s="43" t="s">
        <v>4</v>
      </c>
      <c r="C5686" s="15">
        <v>6</v>
      </c>
      <c r="D5686" s="244">
        <v>1</v>
      </c>
      <c r="E5686" s="244">
        <v>1</v>
      </c>
      <c r="F5686" s="244">
        <v>0</v>
      </c>
      <c r="G5686" s="244">
        <v>1</v>
      </c>
      <c r="H5686" s="244">
        <v>0</v>
      </c>
      <c r="I5686" s="244">
        <v>0</v>
      </c>
      <c r="J5686" s="244">
        <v>1</v>
      </c>
      <c r="K5686" s="244">
        <v>0</v>
      </c>
      <c r="L5686" s="244">
        <v>0</v>
      </c>
      <c r="M5686" s="244">
        <v>1</v>
      </c>
      <c r="N5686" s="244">
        <v>1</v>
      </c>
      <c r="O5686" s="254">
        <v>0</v>
      </c>
    </row>
    <row r="5687" spans="1:15">
      <c r="A5687" s="240" t="s">
        <v>70</v>
      </c>
      <c r="B5687" s="47" t="s">
        <v>5</v>
      </c>
      <c r="C5687" s="12">
        <v>0.0160857908847185</v>
      </c>
      <c r="D5687" s="241">
        <v>0.0208333333333333</v>
      </c>
      <c r="E5687" s="241">
        <v>0.037037037037037</v>
      </c>
      <c r="F5687" s="241">
        <v>0</v>
      </c>
      <c r="G5687" s="241">
        <v>0.0434782608695652</v>
      </c>
      <c r="H5687" s="241">
        <v>0</v>
      </c>
      <c r="I5687" s="241">
        <v>0</v>
      </c>
      <c r="J5687" s="241">
        <v>0.0303030303030303</v>
      </c>
      <c r="K5687" s="241">
        <v>0</v>
      </c>
      <c r="L5687" s="241">
        <v>0</v>
      </c>
      <c r="M5687" s="241">
        <v>0.037037037037037</v>
      </c>
      <c r="N5687" s="241">
        <v>0.0357142857142857</v>
      </c>
      <c r="O5687" s="252">
        <v>0</v>
      </c>
    </row>
    <row r="5688" spans="1:15">
      <c r="A5688" s="242" t="s">
        <v>70</v>
      </c>
      <c r="B5688" s="43" t="s">
        <v>6</v>
      </c>
      <c r="C5688" s="15">
        <v>8</v>
      </c>
      <c r="D5688" s="244">
        <v>1</v>
      </c>
      <c r="E5688" s="244">
        <v>0</v>
      </c>
      <c r="F5688" s="244">
        <v>0</v>
      </c>
      <c r="G5688" s="244">
        <v>1</v>
      </c>
      <c r="H5688" s="244">
        <v>1</v>
      </c>
      <c r="I5688" s="244">
        <v>0</v>
      </c>
      <c r="J5688" s="244">
        <v>2</v>
      </c>
      <c r="K5688" s="244">
        <v>0</v>
      </c>
      <c r="L5688" s="244">
        <v>0</v>
      </c>
      <c r="M5688" s="244">
        <v>1</v>
      </c>
      <c r="N5688" s="244">
        <v>2</v>
      </c>
      <c r="O5688" s="254">
        <v>0</v>
      </c>
    </row>
    <row r="5689" ht="14.25" spans="1:15">
      <c r="A5689" s="245" t="s">
        <v>70</v>
      </c>
      <c r="B5689" s="52" t="s">
        <v>64</v>
      </c>
      <c r="C5689" s="19">
        <v>1.33333333333333</v>
      </c>
      <c r="D5689" s="246">
        <v>1</v>
      </c>
      <c r="E5689" s="246">
        <v>0</v>
      </c>
      <c r="F5689" s="246">
        <v>0</v>
      </c>
      <c r="G5689" s="246">
        <v>1</v>
      </c>
      <c r="H5689" s="246">
        <v>0</v>
      </c>
      <c r="I5689" s="246">
        <v>0</v>
      </c>
      <c r="J5689" s="246">
        <v>2</v>
      </c>
      <c r="K5689" s="246">
        <v>0</v>
      </c>
      <c r="L5689" s="246">
        <v>0</v>
      </c>
      <c r="M5689" s="246">
        <v>1</v>
      </c>
      <c r="N5689" s="246">
        <v>2</v>
      </c>
      <c r="O5689" s="255">
        <v>0</v>
      </c>
    </row>
    <row r="5690" spans="1:15">
      <c r="A5690" s="240" t="s">
        <v>26</v>
      </c>
      <c r="B5690" s="47" t="s">
        <v>55</v>
      </c>
      <c r="C5690" s="12">
        <v>611.5</v>
      </c>
      <c r="D5690" s="241" t="e">
        <v>#DIV/0!</v>
      </c>
      <c r="E5690" s="241" t="e">
        <v>#DIV/0!</v>
      </c>
      <c r="F5690" s="241" t="e">
        <v>#DIV/0!</v>
      </c>
      <c r="G5690" s="241" t="e">
        <v>#DIV/0!</v>
      </c>
      <c r="H5690" s="241">
        <v>66</v>
      </c>
      <c r="I5690" s="241" t="e">
        <v>#DIV/0!</v>
      </c>
      <c r="J5690" s="241" t="e">
        <v>#DIV/0!</v>
      </c>
      <c r="K5690" s="241" t="e">
        <v>#DIV/0!</v>
      </c>
      <c r="L5690" s="241" t="e">
        <v>#DIV/0!</v>
      </c>
      <c r="M5690" s="241" t="e">
        <v>#DIV/0!</v>
      </c>
      <c r="N5690" s="241" t="e">
        <v>#DIV/0!</v>
      </c>
      <c r="O5690" s="252" t="e">
        <v>#DIV/0!</v>
      </c>
    </row>
    <row r="5691" spans="1:15">
      <c r="A5691" s="242" t="s">
        <v>26</v>
      </c>
      <c r="B5691" s="43" t="s">
        <v>57</v>
      </c>
      <c r="C5691" s="15">
        <v>2</v>
      </c>
      <c r="D5691" s="243">
        <v>0</v>
      </c>
      <c r="E5691" s="243">
        <v>0</v>
      </c>
      <c r="F5691" s="243">
        <v>0</v>
      </c>
      <c r="G5691" s="243">
        <v>0</v>
      </c>
      <c r="H5691" s="243">
        <v>2</v>
      </c>
      <c r="I5691" s="243">
        <v>0</v>
      </c>
      <c r="J5691" s="243">
        <v>0</v>
      </c>
      <c r="K5691" s="243">
        <v>0</v>
      </c>
      <c r="L5691" s="243">
        <v>0</v>
      </c>
      <c r="M5691" s="243">
        <v>0</v>
      </c>
      <c r="N5691" s="243">
        <v>0</v>
      </c>
      <c r="O5691" s="253">
        <v>0</v>
      </c>
    </row>
    <row r="5692" spans="1:15">
      <c r="A5692" s="240" t="s">
        <v>26</v>
      </c>
      <c r="B5692" s="47" t="s">
        <v>59</v>
      </c>
      <c r="C5692" s="15">
        <v>1223</v>
      </c>
      <c r="D5692" s="243">
        <v>66</v>
      </c>
      <c r="E5692" s="243">
        <v>23</v>
      </c>
      <c r="F5692" s="243">
        <v>20</v>
      </c>
      <c r="G5692" s="243">
        <v>49</v>
      </c>
      <c r="H5692" s="243">
        <v>132</v>
      </c>
      <c r="I5692" s="243">
        <v>130</v>
      </c>
      <c r="J5692" s="243">
        <v>158</v>
      </c>
      <c r="K5692" s="243">
        <v>163</v>
      </c>
      <c r="L5692" s="243">
        <v>117</v>
      </c>
      <c r="M5692" s="243">
        <v>109</v>
      </c>
      <c r="N5692" s="243">
        <v>121</v>
      </c>
      <c r="O5692" s="253">
        <v>135</v>
      </c>
    </row>
    <row r="5693" spans="1:15">
      <c r="A5693" s="242" t="s">
        <v>26</v>
      </c>
      <c r="B5693" s="43" t="s">
        <v>4</v>
      </c>
      <c r="C5693" s="15">
        <v>8</v>
      </c>
      <c r="D5693" s="244">
        <v>0</v>
      </c>
      <c r="E5693" s="244">
        <v>0</v>
      </c>
      <c r="F5693" s="244">
        <v>0</v>
      </c>
      <c r="G5693" s="244">
        <v>0</v>
      </c>
      <c r="H5693" s="244">
        <v>0</v>
      </c>
      <c r="I5693" s="244">
        <v>0</v>
      </c>
      <c r="J5693" s="244">
        <v>1</v>
      </c>
      <c r="K5693" s="244">
        <v>2</v>
      </c>
      <c r="L5693" s="244">
        <v>1</v>
      </c>
      <c r="M5693" s="244">
        <v>0</v>
      </c>
      <c r="N5693" s="244">
        <v>0</v>
      </c>
      <c r="O5693" s="254">
        <v>4</v>
      </c>
    </row>
    <row r="5694" spans="1:15">
      <c r="A5694" s="240" t="s">
        <v>26</v>
      </c>
      <c r="B5694" s="47" t="s">
        <v>5</v>
      </c>
      <c r="C5694" s="12">
        <v>0.00654129190515127</v>
      </c>
      <c r="D5694" s="241">
        <v>0</v>
      </c>
      <c r="E5694" s="241">
        <v>0</v>
      </c>
      <c r="F5694" s="241">
        <v>0</v>
      </c>
      <c r="G5694" s="241">
        <v>0</v>
      </c>
      <c r="H5694" s="241">
        <v>0</v>
      </c>
      <c r="I5694" s="241">
        <v>0</v>
      </c>
      <c r="J5694" s="241">
        <v>0.00632911392405063</v>
      </c>
      <c r="K5694" s="241">
        <v>0.0122699386503067</v>
      </c>
      <c r="L5694" s="241">
        <v>0.00854700854700855</v>
      </c>
      <c r="M5694" s="241">
        <v>0</v>
      </c>
      <c r="N5694" s="241">
        <v>0</v>
      </c>
      <c r="O5694" s="252">
        <v>0.0296296296296296</v>
      </c>
    </row>
    <row r="5695" spans="1:15">
      <c r="A5695" s="242" t="s">
        <v>26</v>
      </c>
      <c r="B5695" s="43" t="s">
        <v>6</v>
      </c>
      <c r="C5695" s="15">
        <v>2</v>
      </c>
      <c r="D5695" s="244">
        <v>0</v>
      </c>
      <c r="E5695" s="244">
        <v>0</v>
      </c>
      <c r="F5695" s="244">
        <v>0</v>
      </c>
      <c r="G5695" s="244">
        <v>0</v>
      </c>
      <c r="H5695" s="244">
        <v>0</v>
      </c>
      <c r="I5695" s="244">
        <v>0</v>
      </c>
      <c r="J5695" s="244">
        <v>0</v>
      </c>
      <c r="K5695" s="244">
        <v>0</v>
      </c>
      <c r="L5695" s="244">
        <v>2</v>
      </c>
      <c r="M5695" s="244">
        <v>0</v>
      </c>
      <c r="N5695" s="244">
        <v>0</v>
      </c>
      <c r="O5695" s="254">
        <v>0</v>
      </c>
    </row>
    <row r="5696" ht="14.25" spans="1:15">
      <c r="A5696" s="245" t="s">
        <v>26</v>
      </c>
      <c r="B5696" s="52" t="s">
        <v>64</v>
      </c>
      <c r="C5696" s="19">
        <v>0.25</v>
      </c>
      <c r="D5696" s="19" t="e">
        <v>#DIV/0!</v>
      </c>
      <c r="E5696" s="19" t="e">
        <v>#DIV/0!</v>
      </c>
      <c r="F5696" s="19" t="e">
        <v>#DIV/0!</v>
      </c>
      <c r="G5696" s="19" t="e">
        <v>#DIV/0!</v>
      </c>
      <c r="H5696" s="19" t="e">
        <v>#DIV/0!</v>
      </c>
      <c r="I5696" s="19" t="e">
        <v>#DIV/0!</v>
      </c>
      <c r="J5696" s="19">
        <v>0</v>
      </c>
      <c r="K5696" s="19">
        <v>0</v>
      </c>
      <c r="L5696" s="19">
        <v>2</v>
      </c>
      <c r="M5696" s="19" t="e">
        <v>#DIV/0!</v>
      </c>
      <c r="N5696" s="19" t="e">
        <v>#DIV/0!</v>
      </c>
      <c r="O5696" s="19">
        <v>0</v>
      </c>
    </row>
    <row r="5697" spans="1:15">
      <c r="A5697" s="240" t="s">
        <v>71</v>
      </c>
      <c r="B5697" s="47" t="s">
        <v>55</v>
      </c>
      <c r="C5697" s="12">
        <v>186.333333333333</v>
      </c>
      <c r="D5697" s="241" t="e">
        <v>#DIV/0!</v>
      </c>
      <c r="E5697" s="241" t="e">
        <v>#DIV/0!</v>
      </c>
      <c r="F5697" s="241" t="e">
        <v>#DIV/0!</v>
      </c>
      <c r="G5697" s="241" t="e">
        <v>#DIV/0!</v>
      </c>
      <c r="H5697" s="241">
        <v>28.5</v>
      </c>
      <c r="I5697" s="241" t="e">
        <v>#DIV/0!</v>
      </c>
      <c r="J5697" s="241" t="e">
        <v>#DIV/0!</v>
      </c>
      <c r="K5697" s="241">
        <v>30</v>
      </c>
      <c r="L5697" s="241" t="e">
        <v>#DIV/0!</v>
      </c>
      <c r="M5697" s="241" t="e">
        <v>#DIV/0!</v>
      </c>
      <c r="N5697" s="241" t="e">
        <v>#DIV/0!</v>
      </c>
      <c r="O5697" s="252" t="e">
        <v>#DIV/0!</v>
      </c>
    </row>
    <row r="5698" spans="1:15">
      <c r="A5698" s="242" t="s">
        <v>71</v>
      </c>
      <c r="B5698" s="43" t="s">
        <v>57</v>
      </c>
      <c r="C5698" s="15">
        <v>3</v>
      </c>
      <c r="D5698" s="243">
        <v>0</v>
      </c>
      <c r="E5698" s="243">
        <v>0</v>
      </c>
      <c r="F5698" s="243">
        <v>0</v>
      </c>
      <c r="G5698" s="243">
        <v>0</v>
      </c>
      <c r="H5698" s="243">
        <v>2</v>
      </c>
      <c r="I5698" s="243">
        <v>0</v>
      </c>
      <c r="J5698" s="243">
        <v>0</v>
      </c>
      <c r="K5698" s="243">
        <v>1</v>
      </c>
      <c r="L5698" s="243">
        <v>0</v>
      </c>
      <c r="M5698" s="243">
        <v>0</v>
      </c>
      <c r="N5698" s="243">
        <v>0</v>
      </c>
      <c r="O5698" s="253">
        <v>0</v>
      </c>
    </row>
    <row r="5699" spans="1:15">
      <c r="A5699" s="240" t="s">
        <v>71</v>
      </c>
      <c r="B5699" s="47" t="s">
        <v>59</v>
      </c>
      <c r="C5699" s="15">
        <v>559</v>
      </c>
      <c r="D5699" s="243">
        <v>113</v>
      </c>
      <c r="E5699" s="243">
        <v>76</v>
      </c>
      <c r="F5699" s="243">
        <v>39</v>
      </c>
      <c r="G5699" s="243">
        <v>54</v>
      </c>
      <c r="H5699" s="243">
        <v>57</v>
      </c>
      <c r="I5699" s="243">
        <v>21</v>
      </c>
      <c r="J5699" s="243">
        <v>68</v>
      </c>
      <c r="K5699" s="243">
        <v>30</v>
      </c>
      <c r="L5699" s="243">
        <v>24</v>
      </c>
      <c r="M5699" s="243">
        <v>19</v>
      </c>
      <c r="N5699" s="243">
        <v>26</v>
      </c>
      <c r="O5699" s="253">
        <v>32</v>
      </c>
    </row>
    <row r="5700" spans="1:15">
      <c r="A5700" s="242" t="s">
        <v>71</v>
      </c>
      <c r="B5700" s="43" t="s">
        <v>4</v>
      </c>
      <c r="C5700" s="15">
        <v>35</v>
      </c>
      <c r="D5700" s="244">
        <v>7</v>
      </c>
      <c r="E5700" s="244">
        <v>2</v>
      </c>
      <c r="F5700" s="244">
        <v>2</v>
      </c>
      <c r="G5700" s="244">
        <v>0</v>
      </c>
      <c r="H5700" s="244">
        <v>1</v>
      </c>
      <c r="I5700" s="244">
        <v>4</v>
      </c>
      <c r="J5700" s="244">
        <v>2</v>
      </c>
      <c r="K5700" s="244">
        <v>3</v>
      </c>
      <c r="L5700" s="244">
        <v>2</v>
      </c>
      <c r="M5700" s="244">
        <v>2</v>
      </c>
      <c r="N5700" s="244">
        <v>4</v>
      </c>
      <c r="O5700" s="254">
        <v>6</v>
      </c>
    </row>
    <row r="5701" spans="1:15">
      <c r="A5701" s="240" t="s">
        <v>71</v>
      </c>
      <c r="B5701" s="47" t="s">
        <v>5</v>
      </c>
      <c r="C5701" s="241">
        <v>0.0626118067978533</v>
      </c>
      <c r="D5701" s="241">
        <v>0.0619469026548673</v>
      </c>
      <c r="E5701" s="241">
        <v>0.0263157894736842</v>
      </c>
      <c r="F5701" s="241">
        <v>0.0512820512820513</v>
      </c>
      <c r="G5701" s="241">
        <v>0</v>
      </c>
      <c r="H5701" s="241">
        <v>0.0175438596491228</v>
      </c>
      <c r="I5701" s="241">
        <v>0.19047619047619</v>
      </c>
      <c r="J5701" s="241">
        <v>0.0294117647058824</v>
      </c>
      <c r="K5701" s="241">
        <v>0.1</v>
      </c>
      <c r="L5701" s="241">
        <v>0.0833333333333333</v>
      </c>
      <c r="M5701" s="241">
        <v>0.105263157894737</v>
      </c>
      <c r="N5701" s="241">
        <v>0.153846153846154</v>
      </c>
      <c r="O5701" s="252">
        <v>0.1875</v>
      </c>
    </row>
    <row r="5702" spans="1:15">
      <c r="A5702" s="242" t="s">
        <v>71</v>
      </c>
      <c r="B5702" s="43" t="s">
        <v>6</v>
      </c>
      <c r="C5702" s="15">
        <v>11</v>
      </c>
      <c r="D5702" s="244">
        <v>3</v>
      </c>
      <c r="E5702" s="244">
        <v>1</v>
      </c>
      <c r="F5702" s="244">
        <v>2</v>
      </c>
      <c r="G5702" s="244">
        <v>0</v>
      </c>
      <c r="H5702" s="244">
        <v>1</v>
      </c>
      <c r="I5702" s="244">
        <v>1</v>
      </c>
      <c r="J5702" s="244">
        <v>0</v>
      </c>
      <c r="K5702" s="244">
        <v>0</v>
      </c>
      <c r="L5702" s="244">
        <v>2</v>
      </c>
      <c r="M5702" s="244">
        <v>0</v>
      </c>
      <c r="N5702" s="244">
        <v>1</v>
      </c>
      <c r="O5702" s="254">
        <v>0</v>
      </c>
    </row>
    <row r="5703" ht="14.25" spans="1:15">
      <c r="A5703" s="245" t="s">
        <v>71</v>
      </c>
      <c r="B5703" s="52" t="s">
        <v>64</v>
      </c>
      <c r="C5703" s="19">
        <v>0.314285714285714</v>
      </c>
      <c r="D5703" s="19">
        <v>0.428571428571429</v>
      </c>
      <c r="E5703" s="19">
        <v>0.5</v>
      </c>
      <c r="F5703" s="19">
        <v>1</v>
      </c>
      <c r="G5703" s="19" t="e">
        <v>#DIV/0!</v>
      </c>
      <c r="H5703" s="19">
        <v>1</v>
      </c>
      <c r="I5703" s="19">
        <v>0.25</v>
      </c>
      <c r="J5703" s="19">
        <v>0</v>
      </c>
      <c r="K5703" s="19">
        <v>0</v>
      </c>
      <c r="L5703" s="19">
        <v>1</v>
      </c>
      <c r="M5703" s="19">
        <v>0</v>
      </c>
      <c r="N5703" s="19">
        <v>0.25</v>
      </c>
      <c r="O5703" s="19">
        <v>0</v>
      </c>
    </row>
    <row r="5704" spans="1:15">
      <c r="A5704" s="240" t="s">
        <v>72</v>
      </c>
      <c r="B5704" s="47" t="s">
        <v>55</v>
      </c>
      <c r="C5704" s="12">
        <v>0.14436248682824</v>
      </c>
      <c r="D5704" s="241">
        <v>0.167464114832536</v>
      </c>
      <c r="E5704" s="241">
        <v>0.173076923076923</v>
      </c>
      <c r="F5704" s="241">
        <v>0.173333333333333</v>
      </c>
      <c r="G5704" s="241">
        <v>0.118421052631579</v>
      </c>
      <c r="H5704" s="241">
        <v>0.22680412371134</v>
      </c>
      <c r="I5704" s="241">
        <v>0.0714285714285714</v>
      </c>
      <c r="J5704" s="241">
        <v>0.162962962962963</v>
      </c>
      <c r="K5704" s="241">
        <v>0.124401913875598</v>
      </c>
      <c r="L5704" s="241">
        <v>0.183006535947712</v>
      </c>
      <c r="M5704" s="241">
        <v>0.183431952662722</v>
      </c>
      <c r="N5704" s="241">
        <v>0.12015503875969</v>
      </c>
      <c r="O5704" s="252">
        <v>0.106227106227106</v>
      </c>
    </row>
    <row r="5705" spans="1:15">
      <c r="A5705" s="242" t="s">
        <v>72</v>
      </c>
      <c r="B5705" s="43" t="s">
        <v>57</v>
      </c>
      <c r="C5705" s="15">
        <v>1898</v>
      </c>
      <c r="D5705" s="243">
        <v>209</v>
      </c>
      <c r="E5705" s="243">
        <v>104</v>
      </c>
      <c r="F5705" s="243">
        <v>75</v>
      </c>
      <c r="G5705" s="243">
        <v>76</v>
      </c>
      <c r="H5705" s="243">
        <v>97</v>
      </c>
      <c r="I5705" s="243">
        <v>140</v>
      </c>
      <c r="J5705" s="243">
        <v>135</v>
      </c>
      <c r="K5705" s="243">
        <v>209</v>
      </c>
      <c r="L5705" s="243">
        <v>153</v>
      </c>
      <c r="M5705" s="243">
        <v>169</v>
      </c>
      <c r="N5705" s="243">
        <v>258</v>
      </c>
      <c r="O5705" s="253">
        <v>273</v>
      </c>
    </row>
    <row r="5706" spans="1:15">
      <c r="A5706" s="240" t="s">
        <v>72</v>
      </c>
      <c r="B5706" s="47" t="s">
        <v>59</v>
      </c>
      <c r="C5706" s="15">
        <v>274</v>
      </c>
      <c r="D5706" s="243">
        <v>35</v>
      </c>
      <c r="E5706" s="243">
        <v>18</v>
      </c>
      <c r="F5706" s="243">
        <v>13</v>
      </c>
      <c r="G5706" s="243">
        <v>9</v>
      </c>
      <c r="H5706" s="243">
        <v>22</v>
      </c>
      <c r="I5706" s="243">
        <v>10</v>
      </c>
      <c r="J5706" s="243">
        <v>22</v>
      </c>
      <c r="K5706" s="243">
        <v>26</v>
      </c>
      <c r="L5706" s="243">
        <v>28</v>
      </c>
      <c r="M5706" s="243">
        <v>31</v>
      </c>
      <c r="N5706" s="243">
        <v>31</v>
      </c>
      <c r="O5706" s="253">
        <v>29</v>
      </c>
    </row>
    <row r="5707" spans="1:15">
      <c r="A5707" s="242" t="s">
        <v>72</v>
      </c>
      <c r="B5707" s="43" t="s">
        <v>4</v>
      </c>
      <c r="C5707" s="15">
        <v>12</v>
      </c>
      <c r="D5707" s="244">
        <v>1</v>
      </c>
      <c r="E5707" s="244">
        <v>1</v>
      </c>
      <c r="F5707" s="244">
        <v>0</v>
      </c>
      <c r="G5707" s="244">
        <v>0</v>
      </c>
      <c r="H5707" s="244">
        <v>2</v>
      </c>
      <c r="I5707" s="244">
        <v>1</v>
      </c>
      <c r="J5707" s="244">
        <v>2</v>
      </c>
      <c r="K5707" s="244">
        <v>1</v>
      </c>
      <c r="L5707" s="244">
        <v>1</v>
      </c>
      <c r="M5707" s="244">
        <v>1</v>
      </c>
      <c r="N5707" s="244">
        <v>2</v>
      </c>
      <c r="O5707" s="254">
        <v>0</v>
      </c>
    </row>
    <row r="5708" spans="1:15">
      <c r="A5708" s="240" t="s">
        <v>72</v>
      </c>
      <c r="B5708" s="47" t="s">
        <v>5</v>
      </c>
      <c r="C5708" s="12">
        <v>0.0437956204379562</v>
      </c>
      <c r="D5708" s="241">
        <v>0.0285714285714286</v>
      </c>
      <c r="E5708" s="241">
        <v>0.0555555555555556</v>
      </c>
      <c r="F5708" s="241">
        <v>0</v>
      </c>
      <c r="G5708" s="241">
        <v>0</v>
      </c>
      <c r="H5708" s="241">
        <v>0.0909090909090909</v>
      </c>
      <c r="I5708" s="241">
        <v>0.1</v>
      </c>
      <c r="J5708" s="241">
        <v>0.0909090909090909</v>
      </c>
      <c r="K5708" s="241">
        <v>0.0384615384615385</v>
      </c>
      <c r="L5708" s="241">
        <v>0.0357142857142857</v>
      </c>
      <c r="M5708" s="241">
        <v>0.032258064516129</v>
      </c>
      <c r="N5708" s="241">
        <v>0.0645161290322581</v>
      </c>
      <c r="O5708" s="252">
        <v>0</v>
      </c>
    </row>
    <row r="5709" spans="1:15">
      <c r="A5709" s="242" t="s">
        <v>72</v>
      </c>
      <c r="B5709" s="43" t="s">
        <v>6</v>
      </c>
      <c r="C5709" s="15">
        <v>3</v>
      </c>
      <c r="D5709" s="244">
        <v>0</v>
      </c>
      <c r="E5709" s="244">
        <v>2</v>
      </c>
      <c r="F5709" s="244">
        <v>0</v>
      </c>
      <c r="G5709" s="244">
        <v>0</v>
      </c>
      <c r="H5709" s="244">
        <v>0</v>
      </c>
      <c r="I5709" s="244">
        <v>0</v>
      </c>
      <c r="J5709" s="244">
        <v>0</v>
      </c>
      <c r="K5709" s="244">
        <v>0</v>
      </c>
      <c r="L5709" s="244">
        <v>1</v>
      </c>
      <c r="M5709" s="244">
        <v>0</v>
      </c>
      <c r="N5709" s="244">
        <v>0</v>
      </c>
      <c r="O5709" s="254">
        <v>0</v>
      </c>
    </row>
    <row r="5710" ht="14.25" spans="1:15">
      <c r="A5710" s="245" t="s">
        <v>72</v>
      </c>
      <c r="B5710" s="52" t="s">
        <v>64</v>
      </c>
      <c r="C5710" s="19">
        <v>0.25</v>
      </c>
      <c r="D5710" s="19">
        <v>0</v>
      </c>
      <c r="E5710" s="19">
        <v>2</v>
      </c>
      <c r="F5710" s="19" t="e">
        <v>#DIV/0!</v>
      </c>
      <c r="G5710" s="19" t="e">
        <v>#DIV/0!</v>
      </c>
      <c r="H5710" s="19">
        <v>0</v>
      </c>
      <c r="I5710" s="19">
        <v>0</v>
      </c>
      <c r="J5710" s="19">
        <v>0</v>
      </c>
      <c r="K5710" s="19">
        <v>0</v>
      </c>
      <c r="L5710" s="19">
        <v>1</v>
      </c>
      <c r="M5710" s="19">
        <v>0</v>
      </c>
      <c r="N5710" s="19">
        <v>0</v>
      </c>
      <c r="O5710" s="19" t="e">
        <v>#DIV/0!</v>
      </c>
    </row>
    <row r="5711" ht="14.25" spans="1:15">
      <c r="A5711" s="259">
        <v>45107</v>
      </c>
      <c r="B5711" s="259"/>
      <c r="C5711" s="259"/>
      <c r="D5711" s="259"/>
      <c r="E5711" s="259"/>
      <c r="F5711" s="259"/>
      <c r="G5711" s="259"/>
      <c r="H5711" s="259"/>
      <c r="I5711" s="259"/>
      <c r="J5711" s="259"/>
      <c r="K5711" s="259"/>
      <c r="L5711" s="259"/>
      <c r="M5711" s="259"/>
      <c r="N5711" s="259"/>
      <c r="O5711" s="259"/>
    </row>
    <row r="5712" spans="1:15">
      <c r="A5712" s="260" t="s">
        <v>1</v>
      </c>
      <c r="B5712" s="261"/>
      <c r="C5712" s="8" t="s">
        <v>42</v>
      </c>
      <c r="D5712" s="262" t="s">
        <v>43</v>
      </c>
      <c r="E5712" s="262" t="s">
        <v>44</v>
      </c>
      <c r="F5712" s="262" t="s">
        <v>45</v>
      </c>
      <c r="G5712" s="262" t="s">
        <v>46</v>
      </c>
      <c r="H5712" s="262" t="s">
        <v>47</v>
      </c>
      <c r="I5712" s="262" t="s">
        <v>48</v>
      </c>
      <c r="J5712" s="262" t="s">
        <v>49</v>
      </c>
      <c r="K5712" s="262" t="s">
        <v>50</v>
      </c>
      <c r="L5712" s="262" t="s">
        <v>51</v>
      </c>
      <c r="M5712" s="262" t="s">
        <v>52</v>
      </c>
      <c r="N5712" s="262" t="s">
        <v>53</v>
      </c>
      <c r="O5712" s="276" t="s">
        <v>54</v>
      </c>
    </row>
    <row r="5713" spans="1:15">
      <c r="A5713" s="263" t="s">
        <v>22</v>
      </c>
      <c r="B5713" s="264" t="s">
        <v>55</v>
      </c>
      <c r="C5713" s="12">
        <v>0.502651113467656</v>
      </c>
      <c r="D5713" s="265">
        <v>0.553299492385787</v>
      </c>
      <c r="E5713" s="265">
        <v>0.564705882352941</v>
      </c>
      <c r="F5713" s="265">
        <v>0.613636363636364</v>
      </c>
      <c r="G5713" s="265">
        <v>0.782051282051282</v>
      </c>
      <c r="H5713" s="265">
        <v>0.493589743589744</v>
      </c>
      <c r="I5713" s="265">
        <v>0.36551724137931</v>
      </c>
      <c r="J5713" s="265">
        <v>0.521739130434783</v>
      </c>
      <c r="K5713" s="265">
        <v>0.419753086419753</v>
      </c>
      <c r="L5713" s="265">
        <v>0.542105263157895</v>
      </c>
      <c r="M5713" s="265">
        <v>0.461538461538462</v>
      </c>
      <c r="N5713" s="265">
        <v>0.452830188679245</v>
      </c>
      <c r="O5713" s="277">
        <v>0.525862068965517</v>
      </c>
    </row>
    <row r="5714" spans="1:15">
      <c r="A5714" s="266" t="s">
        <v>22</v>
      </c>
      <c r="B5714" s="267" t="s">
        <v>57</v>
      </c>
      <c r="C5714" s="15">
        <v>1886</v>
      </c>
      <c r="D5714" s="268">
        <v>197</v>
      </c>
      <c r="E5714" s="268">
        <v>85</v>
      </c>
      <c r="F5714" s="268">
        <v>44</v>
      </c>
      <c r="G5714" s="268">
        <v>78</v>
      </c>
      <c r="H5714" s="268">
        <v>156</v>
      </c>
      <c r="I5714" s="268">
        <v>145</v>
      </c>
      <c r="J5714" s="268">
        <v>161</v>
      </c>
      <c r="K5714" s="268">
        <v>243</v>
      </c>
      <c r="L5714" s="268">
        <v>190</v>
      </c>
      <c r="M5714" s="268">
        <v>143</v>
      </c>
      <c r="N5714" s="268">
        <v>212</v>
      </c>
      <c r="O5714" s="278">
        <v>232</v>
      </c>
    </row>
    <row r="5715" spans="1:15">
      <c r="A5715" s="263" t="s">
        <v>22</v>
      </c>
      <c r="B5715" s="264" t="s">
        <v>59</v>
      </c>
      <c r="C5715" s="15">
        <v>948</v>
      </c>
      <c r="D5715" s="268">
        <v>109</v>
      </c>
      <c r="E5715" s="268">
        <v>48</v>
      </c>
      <c r="F5715" s="268">
        <v>27</v>
      </c>
      <c r="G5715" s="268">
        <v>61</v>
      </c>
      <c r="H5715" s="268">
        <v>77</v>
      </c>
      <c r="I5715" s="268">
        <v>53</v>
      </c>
      <c r="J5715" s="268">
        <v>84</v>
      </c>
      <c r="K5715" s="268">
        <v>102</v>
      </c>
      <c r="L5715" s="268">
        <v>103</v>
      </c>
      <c r="M5715" s="268">
        <v>66</v>
      </c>
      <c r="N5715" s="268">
        <v>96</v>
      </c>
      <c r="O5715" s="278">
        <v>122</v>
      </c>
    </row>
    <row r="5716" spans="1:15">
      <c r="A5716" s="266" t="s">
        <v>22</v>
      </c>
      <c r="B5716" s="267" t="s">
        <v>4</v>
      </c>
      <c r="C5716" s="15">
        <v>48</v>
      </c>
      <c r="D5716" s="269">
        <v>6</v>
      </c>
      <c r="E5716" s="269">
        <v>3</v>
      </c>
      <c r="F5716" s="269">
        <v>2</v>
      </c>
      <c r="G5716" s="269">
        <v>0</v>
      </c>
      <c r="H5716" s="269">
        <v>3</v>
      </c>
      <c r="I5716" s="269">
        <v>4</v>
      </c>
      <c r="J5716" s="269">
        <v>1</v>
      </c>
      <c r="K5716" s="269">
        <v>8</v>
      </c>
      <c r="L5716" s="269">
        <v>3</v>
      </c>
      <c r="M5716" s="269">
        <v>5</v>
      </c>
      <c r="N5716" s="269">
        <v>3</v>
      </c>
      <c r="O5716" s="279">
        <v>10</v>
      </c>
    </row>
    <row r="5717" spans="1:15">
      <c r="A5717" s="263" t="s">
        <v>22</v>
      </c>
      <c r="B5717" s="264" t="s">
        <v>5</v>
      </c>
      <c r="C5717" s="12">
        <v>0.0506329113924051</v>
      </c>
      <c r="D5717" s="265">
        <v>0.055045871559633</v>
      </c>
      <c r="E5717" s="265">
        <v>0.0625</v>
      </c>
      <c r="F5717" s="265">
        <v>0.0740740740740741</v>
      </c>
      <c r="G5717" s="265">
        <v>0</v>
      </c>
      <c r="H5717" s="265">
        <v>0.038961038961039</v>
      </c>
      <c r="I5717" s="265">
        <v>0.0754716981132075</v>
      </c>
      <c r="J5717" s="265">
        <v>0.0119047619047619</v>
      </c>
      <c r="K5717" s="265">
        <v>0.0784313725490196</v>
      </c>
      <c r="L5717" s="265">
        <v>0.029126213592233</v>
      </c>
      <c r="M5717" s="265">
        <v>0.0757575757575758</v>
      </c>
      <c r="N5717" s="265">
        <v>0.03125</v>
      </c>
      <c r="O5717" s="277">
        <v>0.0819672131147541</v>
      </c>
    </row>
    <row r="5718" spans="1:15">
      <c r="A5718" s="266" t="s">
        <v>22</v>
      </c>
      <c r="B5718" s="267" t="s">
        <v>6</v>
      </c>
      <c r="C5718" s="15">
        <v>15</v>
      </c>
      <c r="D5718" s="269">
        <v>3</v>
      </c>
      <c r="E5718" s="269">
        <v>2</v>
      </c>
      <c r="F5718" s="269">
        <v>0</v>
      </c>
      <c r="G5718" s="269">
        <v>1</v>
      </c>
      <c r="H5718" s="269">
        <v>1</v>
      </c>
      <c r="I5718" s="269">
        <v>2</v>
      </c>
      <c r="J5718" s="269">
        <v>1</v>
      </c>
      <c r="K5718" s="269">
        <v>3</v>
      </c>
      <c r="L5718" s="269">
        <v>0</v>
      </c>
      <c r="M5718" s="269">
        <v>2</v>
      </c>
      <c r="N5718" s="269">
        <v>0</v>
      </c>
      <c r="O5718" s="279">
        <v>0</v>
      </c>
    </row>
    <row r="5719" ht="14.25" spans="1:15">
      <c r="A5719" s="270" t="s">
        <v>22</v>
      </c>
      <c r="B5719" s="271" t="s">
        <v>64</v>
      </c>
      <c r="C5719" s="19">
        <v>0.3125</v>
      </c>
      <c r="D5719" s="272">
        <v>0.5</v>
      </c>
      <c r="E5719" s="272">
        <v>0.666666666666667</v>
      </c>
      <c r="F5719" s="272">
        <v>0</v>
      </c>
      <c r="G5719" s="272">
        <v>0</v>
      </c>
      <c r="H5719" s="272">
        <v>0.333333333333333</v>
      </c>
      <c r="I5719" s="272">
        <v>0.5</v>
      </c>
      <c r="J5719" s="272">
        <v>1</v>
      </c>
      <c r="K5719" s="272">
        <v>0.375</v>
      </c>
      <c r="L5719" s="272">
        <v>0</v>
      </c>
      <c r="M5719" s="272">
        <v>0.4</v>
      </c>
      <c r="N5719" s="272">
        <v>0</v>
      </c>
      <c r="O5719" s="280">
        <v>0</v>
      </c>
    </row>
    <row r="5720" spans="1:15">
      <c r="A5720" s="273" t="s">
        <v>66</v>
      </c>
      <c r="B5720" s="274" t="s">
        <v>55</v>
      </c>
      <c r="C5720" s="12">
        <v>0.063212927756654</v>
      </c>
      <c r="D5720" s="275">
        <v>0.0516605166051661</v>
      </c>
      <c r="E5720" s="275">
        <v>0.0283018867924528</v>
      </c>
      <c r="F5720" s="275">
        <v>0.0291666666666667</v>
      </c>
      <c r="G5720" s="275">
        <v>0.0414507772020725</v>
      </c>
      <c r="H5720" s="275">
        <v>0.0857142857142857</v>
      </c>
      <c r="I5720" s="275">
        <v>0.0915492957746479</v>
      </c>
      <c r="J5720" s="275">
        <v>0.0642857142857143</v>
      </c>
      <c r="K5720" s="275">
        <v>0.0783132530120482</v>
      </c>
      <c r="L5720" s="275">
        <v>0.111111111111111</v>
      </c>
      <c r="M5720" s="275">
        <v>0.075</v>
      </c>
      <c r="N5720" s="275">
        <v>0.0803571428571429</v>
      </c>
      <c r="O5720" s="281">
        <v>0.113207547169811</v>
      </c>
    </row>
    <row r="5721" spans="1:15">
      <c r="A5721" s="266" t="s">
        <v>66</v>
      </c>
      <c r="B5721" s="267" t="s">
        <v>57</v>
      </c>
      <c r="C5721" s="15">
        <v>2104</v>
      </c>
      <c r="D5721" s="268">
        <v>271</v>
      </c>
      <c r="E5721" s="268">
        <v>318</v>
      </c>
      <c r="F5721" s="268">
        <v>240</v>
      </c>
      <c r="G5721" s="268">
        <v>193</v>
      </c>
      <c r="H5721" s="268">
        <v>175</v>
      </c>
      <c r="I5721" s="268">
        <v>142</v>
      </c>
      <c r="J5721" s="268">
        <v>140</v>
      </c>
      <c r="K5721" s="268">
        <v>166</v>
      </c>
      <c r="L5721" s="268">
        <v>108</v>
      </c>
      <c r="M5721" s="268">
        <v>80</v>
      </c>
      <c r="N5721" s="268">
        <v>112</v>
      </c>
      <c r="O5721" s="278">
        <v>159</v>
      </c>
    </row>
    <row r="5722" spans="1:15">
      <c r="A5722" s="263" t="s">
        <v>66</v>
      </c>
      <c r="B5722" s="264" t="s">
        <v>59</v>
      </c>
      <c r="C5722" s="15">
        <v>133</v>
      </c>
      <c r="D5722" s="268">
        <v>14</v>
      </c>
      <c r="E5722" s="268">
        <v>9</v>
      </c>
      <c r="F5722" s="268">
        <v>7</v>
      </c>
      <c r="G5722" s="268">
        <v>8</v>
      </c>
      <c r="H5722" s="268">
        <v>15</v>
      </c>
      <c r="I5722" s="268">
        <v>13</v>
      </c>
      <c r="J5722" s="268">
        <v>9</v>
      </c>
      <c r="K5722" s="268">
        <v>13</v>
      </c>
      <c r="L5722" s="268">
        <v>12</v>
      </c>
      <c r="M5722" s="268">
        <v>6</v>
      </c>
      <c r="N5722" s="268">
        <v>9</v>
      </c>
      <c r="O5722" s="278">
        <v>18</v>
      </c>
    </row>
    <row r="5723" spans="1:15">
      <c r="A5723" s="266" t="s">
        <v>66</v>
      </c>
      <c r="B5723" s="267" t="s">
        <v>4</v>
      </c>
      <c r="C5723" s="15">
        <v>7</v>
      </c>
      <c r="D5723" s="269">
        <v>0</v>
      </c>
      <c r="E5723" s="269">
        <v>1</v>
      </c>
      <c r="F5723" s="269">
        <v>1</v>
      </c>
      <c r="G5723" s="269">
        <v>0</v>
      </c>
      <c r="H5723" s="269">
        <v>0</v>
      </c>
      <c r="I5723" s="269">
        <v>1</v>
      </c>
      <c r="J5723" s="269">
        <v>1</v>
      </c>
      <c r="K5723" s="269">
        <v>1</v>
      </c>
      <c r="L5723" s="269">
        <v>1</v>
      </c>
      <c r="M5723" s="269">
        <v>0</v>
      </c>
      <c r="N5723" s="269">
        <v>0</v>
      </c>
      <c r="O5723" s="279">
        <v>1</v>
      </c>
    </row>
    <row r="5724" spans="1:15">
      <c r="A5724" s="263" t="s">
        <v>66</v>
      </c>
      <c r="B5724" s="264" t="s">
        <v>5</v>
      </c>
      <c r="C5724" s="12">
        <v>0.0526315789473684</v>
      </c>
      <c r="D5724" s="265">
        <v>0</v>
      </c>
      <c r="E5724" s="265">
        <v>0.111111111111111</v>
      </c>
      <c r="F5724" s="265">
        <v>0.142857142857143</v>
      </c>
      <c r="G5724" s="265">
        <v>0</v>
      </c>
      <c r="H5724" s="265">
        <v>0</v>
      </c>
      <c r="I5724" s="265">
        <v>0.0769230769230769</v>
      </c>
      <c r="J5724" s="265">
        <v>0.111111111111111</v>
      </c>
      <c r="K5724" s="265">
        <v>0.0769230769230769</v>
      </c>
      <c r="L5724" s="265">
        <v>0.0833333333333333</v>
      </c>
      <c r="M5724" s="265">
        <v>0</v>
      </c>
      <c r="N5724" s="265">
        <v>0</v>
      </c>
      <c r="O5724" s="277">
        <v>0.0555555555555556</v>
      </c>
    </row>
    <row r="5725" spans="1:15">
      <c r="A5725" s="266" t="s">
        <v>66</v>
      </c>
      <c r="B5725" s="267" t="s">
        <v>6</v>
      </c>
      <c r="C5725" s="15">
        <v>3</v>
      </c>
      <c r="D5725" s="269">
        <v>1</v>
      </c>
      <c r="E5725" s="269">
        <v>0</v>
      </c>
      <c r="F5725" s="269">
        <v>0</v>
      </c>
      <c r="G5725" s="269">
        <v>0</v>
      </c>
      <c r="H5725" s="269">
        <v>0</v>
      </c>
      <c r="I5725" s="269">
        <v>0</v>
      </c>
      <c r="J5725" s="269">
        <v>0</v>
      </c>
      <c r="K5725" s="269">
        <v>0</v>
      </c>
      <c r="L5725" s="269">
        <v>1</v>
      </c>
      <c r="M5725" s="269">
        <v>0</v>
      </c>
      <c r="N5725" s="269">
        <v>0</v>
      </c>
      <c r="O5725" s="279">
        <v>1</v>
      </c>
    </row>
    <row r="5726" ht="14.25" spans="1:15">
      <c r="A5726" s="270" t="s">
        <v>66</v>
      </c>
      <c r="B5726" s="271" t="s">
        <v>64</v>
      </c>
      <c r="C5726" s="19">
        <v>0.428571428571429</v>
      </c>
      <c r="D5726" s="272">
        <v>0</v>
      </c>
      <c r="E5726" s="272">
        <v>0</v>
      </c>
      <c r="F5726" s="272">
        <v>0</v>
      </c>
      <c r="G5726" s="272">
        <v>0</v>
      </c>
      <c r="H5726" s="272">
        <v>0</v>
      </c>
      <c r="I5726" s="272">
        <v>0</v>
      </c>
      <c r="J5726" s="272">
        <v>0</v>
      </c>
      <c r="K5726" s="272">
        <v>0</v>
      </c>
      <c r="L5726" s="272">
        <v>1</v>
      </c>
      <c r="M5726" s="272">
        <v>0</v>
      </c>
      <c r="N5726" s="272">
        <v>0</v>
      </c>
      <c r="O5726" s="280">
        <v>1</v>
      </c>
    </row>
    <row r="5727" spans="1:15">
      <c r="A5727" s="263" t="s">
        <v>67</v>
      </c>
      <c r="B5727" s="264" t="s">
        <v>55</v>
      </c>
      <c r="C5727" s="12">
        <v>0.401601830663616</v>
      </c>
      <c r="D5727" s="265">
        <v>0.464285714285714</v>
      </c>
      <c r="E5727" s="265">
        <v>0.318840579710145</v>
      </c>
      <c r="F5727" s="265">
        <v>0.612903225806452</v>
      </c>
      <c r="G5727" s="265">
        <v>0.4</v>
      </c>
      <c r="H5727" s="265">
        <v>0.423076923076923</v>
      </c>
      <c r="I5727" s="265">
        <v>0.364864864864865</v>
      </c>
      <c r="J5727" s="265">
        <v>0.466666666666667</v>
      </c>
      <c r="K5727" s="265">
        <v>0.398305084745763</v>
      </c>
      <c r="L5727" s="265">
        <v>0.296296296296296</v>
      </c>
      <c r="M5727" s="265">
        <v>0.385416666666667</v>
      </c>
      <c r="N5727" s="265">
        <v>0.388888888888889</v>
      </c>
      <c r="O5727" s="277">
        <v>0.434782608695652</v>
      </c>
    </row>
    <row r="5728" spans="1:15">
      <c r="A5728" s="266" t="s">
        <v>67</v>
      </c>
      <c r="B5728" s="267" t="s">
        <v>57</v>
      </c>
      <c r="C5728" s="15">
        <v>874</v>
      </c>
      <c r="D5728" s="268">
        <v>84</v>
      </c>
      <c r="E5728" s="268">
        <v>69</v>
      </c>
      <c r="F5728" s="268">
        <v>31</v>
      </c>
      <c r="G5728" s="268">
        <v>35</v>
      </c>
      <c r="H5728" s="268">
        <v>52</v>
      </c>
      <c r="I5728" s="268">
        <v>74</v>
      </c>
      <c r="J5728" s="268">
        <v>75</v>
      </c>
      <c r="K5728" s="268">
        <v>118</v>
      </c>
      <c r="L5728" s="268">
        <v>81</v>
      </c>
      <c r="M5728" s="268">
        <v>96</v>
      </c>
      <c r="N5728" s="268">
        <v>90</v>
      </c>
      <c r="O5728" s="278">
        <v>69</v>
      </c>
    </row>
    <row r="5729" spans="1:15">
      <c r="A5729" s="263" t="s">
        <v>67</v>
      </c>
      <c r="B5729" s="264" t="s">
        <v>59</v>
      </c>
      <c r="C5729" s="15">
        <v>351</v>
      </c>
      <c r="D5729" s="268">
        <v>39</v>
      </c>
      <c r="E5729" s="268">
        <v>22</v>
      </c>
      <c r="F5729" s="268">
        <v>19</v>
      </c>
      <c r="G5729" s="268">
        <v>14</v>
      </c>
      <c r="H5729" s="268">
        <v>22</v>
      </c>
      <c r="I5729" s="268">
        <v>27</v>
      </c>
      <c r="J5729" s="268">
        <v>35</v>
      </c>
      <c r="K5729" s="268">
        <v>47</v>
      </c>
      <c r="L5729" s="268">
        <v>24</v>
      </c>
      <c r="M5729" s="268">
        <v>37</v>
      </c>
      <c r="N5729" s="268">
        <v>35</v>
      </c>
      <c r="O5729" s="278">
        <v>30</v>
      </c>
    </row>
    <row r="5730" spans="1:15">
      <c r="A5730" s="266" t="s">
        <v>67</v>
      </c>
      <c r="B5730" s="267" t="s">
        <v>4</v>
      </c>
      <c r="C5730" s="15">
        <v>15</v>
      </c>
      <c r="D5730" s="269">
        <v>0</v>
      </c>
      <c r="E5730" s="269">
        <v>1</v>
      </c>
      <c r="F5730" s="269">
        <v>1</v>
      </c>
      <c r="G5730" s="269">
        <v>1</v>
      </c>
      <c r="H5730" s="269">
        <v>0</v>
      </c>
      <c r="I5730" s="269">
        <v>0</v>
      </c>
      <c r="J5730" s="269">
        <v>1</v>
      </c>
      <c r="K5730" s="269">
        <v>2</v>
      </c>
      <c r="L5730" s="269">
        <v>1</v>
      </c>
      <c r="M5730" s="269">
        <v>3</v>
      </c>
      <c r="N5730" s="269">
        <v>3</v>
      </c>
      <c r="O5730" s="279">
        <v>2</v>
      </c>
    </row>
    <row r="5731" spans="1:15">
      <c r="A5731" s="263" t="s">
        <v>67</v>
      </c>
      <c r="B5731" s="264" t="s">
        <v>5</v>
      </c>
      <c r="C5731" s="12">
        <v>0.0427350427350427</v>
      </c>
      <c r="D5731" s="265">
        <v>0</v>
      </c>
      <c r="E5731" s="265">
        <v>0.0454545454545455</v>
      </c>
      <c r="F5731" s="265">
        <v>0.0526315789473684</v>
      </c>
      <c r="G5731" s="265">
        <v>0.0714285714285714</v>
      </c>
      <c r="H5731" s="265">
        <v>0</v>
      </c>
      <c r="I5731" s="265">
        <v>0</v>
      </c>
      <c r="J5731" s="265">
        <v>0.0285714285714286</v>
      </c>
      <c r="K5731" s="265">
        <v>0.0425531914893617</v>
      </c>
      <c r="L5731" s="265">
        <v>0.0416666666666667</v>
      </c>
      <c r="M5731" s="265">
        <v>0.0810810810810811</v>
      </c>
      <c r="N5731" s="265">
        <v>0.0857142857142857</v>
      </c>
      <c r="O5731" s="277">
        <v>0.0666666666666667</v>
      </c>
    </row>
    <row r="5732" spans="1:15">
      <c r="A5732" s="266" t="s">
        <v>67</v>
      </c>
      <c r="B5732" s="267" t="s">
        <v>6</v>
      </c>
      <c r="C5732" s="15">
        <v>5</v>
      </c>
      <c r="D5732" s="269">
        <v>1</v>
      </c>
      <c r="E5732" s="269">
        <v>1</v>
      </c>
      <c r="F5732" s="269">
        <v>1</v>
      </c>
      <c r="G5732" s="269">
        <v>0</v>
      </c>
      <c r="H5732" s="269">
        <v>0</v>
      </c>
      <c r="I5732" s="269">
        <v>1</v>
      </c>
      <c r="J5732" s="269">
        <v>0</v>
      </c>
      <c r="K5732" s="269">
        <v>0</v>
      </c>
      <c r="L5732" s="269">
        <v>0</v>
      </c>
      <c r="M5732" s="269">
        <v>0</v>
      </c>
      <c r="N5732" s="269">
        <v>1</v>
      </c>
      <c r="O5732" s="279">
        <v>0</v>
      </c>
    </row>
    <row r="5733" ht="14.25" spans="1:15">
      <c r="A5733" s="270" t="s">
        <v>67</v>
      </c>
      <c r="B5733" s="271" t="s">
        <v>64</v>
      </c>
      <c r="C5733" s="19">
        <v>0.333333333333333</v>
      </c>
      <c r="D5733" s="272">
        <v>0</v>
      </c>
      <c r="E5733" s="272">
        <v>1</v>
      </c>
      <c r="F5733" s="272">
        <v>1</v>
      </c>
      <c r="G5733" s="272">
        <v>0</v>
      </c>
      <c r="H5733" s="272">
        <v>0</v>
      </c>
      <c r="I5733" s="272">
        <v>0</v>
      </c>
      <c r="J5733" s="272">
        <v>0</v>
      </c>
      <c r="K5733" s="272">
        <v>0</v>
      </c>
      <c r="L5733" s="272">
        <v>0</v>
      </c>
      <c r="M5733" s="272">
        <v>0</v>
      </c>
      <c r="N5733" s="272">
        <v>0.333333333333333</v>
      </c>
      <c r="O5733" s="280">
        <v>0</v>
      </c>
    </row>
    <row r="5734" spans="1:15">
      <c r="A5734" s="263" t="s">
        <v>68</v>
      </c>
      <c r="B5734" s="264" t="s">
        <v>55</v>
      </c>
      <c r="C5734" s="12">
        <v>0.120431047036552</v>
      </c>
      <c r="D5734" s="265">
        <v>0.224944320712695</v>
      </c>
      <c r="E5734" s="265">
        <v>0.251141552511416</v>
      </c>
      <c r="F5734" s="265">
        <v>0.290123456790123</v>
      </c>
      <c r="G5734" s="265">
        <v>0.145631067961165</v>
      </c>
      <c r="H5734" s="265">
        <v>0.115843270868825</v>
      </c>
      <c r="I5734" s="265">
        <v>0.0887198986058302</v>
      </c>
      <c r="J5734" s="265">
        <v>0.0945945945945946</v>
      </c>
      <c r="K5734" s="265">
        <v>0.0854700854700855</v>
      </c>
      <c r="L5734" s="265">
        <v>0.117424242424242</v>
      </c>
      <c r="M5734" s="265">
        <v>0.1136</v>
      </c>
      <c r="N5734" s="265">
        <v>0.0977011494252874</v>
      </c>
      <c r="O5734" s="277">
        <v>0.108603667136812</v>
      </c>
    </row>
    <row r="5735" spans="1:15">
      <c r="A5735" s="266" t="s">
        <v>68</v>
      </c>
      <c r="B5735" s="267" t="s">
        <v>57</v>
      </c>
      <c r="C5735" s="15">
        <v>6867</v>
      </c>
      <c r="D5735" s="268">
        <v>449</v>
      </c>
      <c r="E5735" s="268">
        <v>219</v>
      </c>
      <c r="F5735" s="268">
        <v>162</v>
      </c>
      <c r="G5735" s="268">
        <v>206</v>
      </c>
      <c r="H5735" s="268">
        <v>587</v>
      </c>
      <c r="I5735" s="268">
        <v>789</v>
      </c>
      <c r="J5735" s="268">
        <v>814</v>
      </c>
      <c r="K5735" s="268">
        <v>819</v>
      </c>
      <c r="L5735" s="268">
        <v>792</v>
      </c>
      <c r="M5735" s="268">
        <v>625</v>
      </c>
      <c r="N5735" s="268">
        <v>696</v>
      </c>
      <c r="O5735" s="278">
        <v>709</v>
      </c>
    </row>
    <row r="5736" spans="1:15">
      <c r="A5736" s="263" t="s">
        <v>68</v>
      </c>
      <c r="B5736" s="264" t="s">
        <v>59</v>
      </c>
      <c r="C5736" s="15">
        <v>827</v>
      </c>
      <c r="D5736" s="268">
        <v>101</v>
      </c>
      <c r="E5736" s="268">
        <v>55</v>
      </c>
      <c r="F5736" s="268">
        <v>47</v>
      </c>
      <c r="G5736" s="268">
        <v>30</v>
      </c>
      <c r="H5736" s="268">
        <v>68</v>
      </c>
      <c r="I5736" s="268">
        <v>70</v>
      </c>
      <c r="J5736" s="268">
        <v>77</v>
      </c>
      <c r="K5736" s="268">
        <v>70</v>
      </c>
      <c r="L5736" s="268">
        <v>93</v>
      </c>
      <c r="M5736" s="268">
        <v>71</v>
      </c>
      <c r="N5736" s="268">
        <v>68</v>
      </c>
      <c r="O5736" s="278">
        <v>77</v>
      </c>
    </row>
    <row r="5737" spans="1:15">
      <c r="A5737" s="266" t="s">
        <v>68</v>
      </c>
      <c r="B5737" s="267" t="s">
        <v>4</v>
      </c>
      <c r="C5737" s="15">
        <v>40</v>
      </c>
      <c r="D5737" s="269">
        <v>4</v>
      </c>
      <c r="E5737" s="269">
        <v>9</v>
      </c>
      <c r="F5737" s="269">
        <v>0</v>
      </c>
      <c r="G5737" s="269">
        <v>1</v>
      </c>
      <c r="H5737" s="269">
        <v>3</v>
      </c>
      <c r="I5737" s="269">
        <v>2</v>
      </c>
      <c r="J5737" s="269">
        <v>2</v>
      </c>
      <c r="K5737" s="269">
        <v>3</v>
      </c>
      <c r="L5737" s="269">
        <v>3</v>
      </c>
      <c r="M5737" s="269">
        <v>4</v>
      </c>
      <c r="N5737" s="269">
        <v>5</v>
      </c>
      <c r="O5737" s="279">
        <v>4</v>
      </c>
    </row>
    <row r="5738" spans="1:15">
      <c r="A5738" s="263" t="s">
        <v>68</v>
      </c>
      <c r="B5738" s="264" t="s">
        <v>5</v>
      </c>
      <c r="C5738" s="12">
        <v>0.0483675937122128</v>
      </c>
      <c r="D5738" s="265">
        <v>0.0396039603960396</v>
      </c>
      <c r="E5738" s="265">
        <v>0.163636363636364</v>
      </c>
      <c r="F5738" s="265">
        <v>0</v>
      </c>
      <c r="G5738" s="265">
        <v>0.0333333333333333</v>
      </c>
      <c r="H5738" s="265">
        <v>0.0441176470588235</v>
      </c>
      <c r="I5738" s="265">
        <v>0.0285714285714286</v>
      </c>
      <c r="J5738" s="265">
        <v>0.025974025974026</v>
      </c>
      <c r="K5738" s="265">
        <v>0.0428571428571429</v>
      </c>
      <c r="L5738" s="265">
        <v>0.032258064516129</v>
      </c>
      <c r="M5738" s="265">
        <v>0.0563380281690141</v>
      </c>
      <c r="N5738" s="265">
        <v>0.0735294117647059</v>
      </c>
      <c r="O5738" s="277">
        <v>0.051948051948052</v>
      </c>
    </row>
    <row r="5739" spans="1:15">
      <c r="A5739" s="266" t="s">
        <v>68</v>
      </c>
      <c r="B5739" s="267" t="s">
        <v>6</v>
      </c>
      <c r="C5739" s="15">
        <v>18</v>
      </c>
      <c r="D5739" s="269">
        <v>1</v>
      </c>
      <c r="E5739" s="269">
        <v>3</v>
      </c>
      <c r="F5739" s="269">
        <v>0</v>
      </c>
      <c r="G5739" s="269">
        <v>1</v>
      </c>
      <c r="H5739" s="269">
        <v>2</v>
      </c>
      <c r="I5739" s="269">
        <v>1</v>
      </c>
      <c r="J5739" s="269">
        <v>0</v>
      </c>
      <c r="K5739" s="269">
        <v>3</v>
      </c>
      <c r="L5739" s="269">
        <v>1</v>
      </c>
      <c r="M5739" s="269">
        <v>2</v>
      </c>
      <c r="N5739" s="269">
        <v>3</v>
      </c>
      <c r="O5739" s="279">
        <v>1</v>
      </c>
    </row>
    <row r="5740" ht="14.25" spans="1:15">
      <c r="A5740" s="270" t="s">
        <v>68</v>
      </c>
      <c r="B5740" s="271" t="s">
        <v>64</v>
      </c>
      <c r="C5740" s="19">
        <v>0.45</v>
      </c>
      <c r="D5740" s="272">
        <v>0.25</v>
      </c>
      <c r="E5740" s="272">
        <v>0.333333333333333</v>
      </c>
      <c r="F5740" s="272">
        <v>0</v>
      </c>
      <c r="G5740" s="272">
        <v>1</v>
      </c>
      <c r="H5740" s="272">
        <v>0.666666666666667</v>
      </c>
      <c r="I5740" s="272">
        <v>0.5</v>
      </c>
      <c r="J5740" s="272">
        <v>0</v>
      </c>
      <c r="K5740" s="272">
        <v>1</v>
      </c>
      <c r="L5740" s="272">
        <v>0.333333333333333</v>
      </c>
      <c r="M5740" s="272">
        <v>0.5</v>
      </c>
      <c r="N5740" s="272">
        <v>0.6</v>
      </c>
      <c r="O5740" s="280">
        <v>0.25</v>
      </c>
    </row>
    <row r="5741" spans="1:15">
      <c r="A5741" s="263" t="s">
        <v>69</v>
      </c>
      <c r="B5741" s="264" t="s">
        <v>55</v>
      </c>
      <c r="C5741" s="12">
        <v>1.36244541484716</v>
      </c>
      <c r="D5741" s="265">
        <v>1.89473684210526</v>
      </c>
      <c r="E5741" s="265">
        <v>1.09090909090909</v>
      </c>
      <c r="F5741" s="265">
        <v>1.33333333333333</v>
      </c>
      <c r="G5741" s="265">
        <v>1.35714285714286</v>
      </c>
      <c r="H5741" s="265">
        <v>2</v>
      </c>
      <c r="I5741" s="265">
        <v>1.11764705882353</v>
      </c>
      <c r="J5741" s="265">
        <v>1.41176470588235</v>
      </c>
      <c r="K5741" s="265">
        <v>1.34782608695652</v>
      </c>
      <c r="L5741" s="265">
        <v>1.28571428571429</v>
      </c>
      <c r="M5741" s="265">
        <v>1.19047619047619</v>
      </c>
      <c r="N5741" s="265">
        <v>1.38888888888889</v>
      </c>
      <c r="O5741" s="277">
        <v>1.10714285714286</v>
      </c>
    </row>
    <row r="5742" spans="1:15">
      <c r="A5742" s="266" t="s">
        <v>69</v>
      </c>
      <c r="B5742" s="267" t="s">
        <v>57</v>
      </c>
      <c r="C5742" s="15">
        <v>229</v>
      </c>
      <c r="D5742" s="268">
        <v>19</v>
      </c>
      <c r="E5742" s="268">
        <v>11</v>
      </c>
      <c r="F5742" s="268">
        <v>9</v>
      </c>
      <c r="G5742" s="268">
        <v>14</v>
      </c>
      <c r="H5742" s="268">
        <v>13</v>
      </c>
      <c r="I5742" s="268">
        <v>17</v>
      </c>
      <c r="J5742" s="268">
        <v>17</v>
      </c>
      <c r="K5742" s="268">
        <v>23</v>
      </c>
      <c r="L5742" s="268">
        <v>21</v>
      </c>
      <c r="M5742" s="268">
        <v>21</v>
      </c>
      <c r="N5742" s="268">
        <v>36</v>
      </c>
      <c r="O5742" s="278">
        <v>28</v>
      </c>
    </row>
    <row r="5743" spans="1:15">
      <c r="A5743" s="263" t="s">
        <v>69</v>
      </c>
      <c r="B5743" s="264" t="s">
        <v>59</v>
      </c>
      <c r="C5743" s="15">
        <v>312</v>
      </c>
      <c r="D5743" s="268">
        <v>36</v>
      </c>
      <c r="E5743" s="268">
        <v>12</v>
      </c>
      <c r="F5743" s="268">
        <v>12</v>
      </c>
      <c r="G5743" s="268">
        <v>19</v>
      </c>
      <c r="H5743" s="268">
        <v>26</v>
      </c>
      <c r="I5743" s="268">
        <v>19</v>
      </c>
      <c r="J5743" s="268">
        <v>24</v>
      </c>
      <c r="K5743" s="268">
        <v>31</v>
      </c>
      <c r="L5743" s="268">
        <v>27</v>
      </c>
      <c r="M5743" s="268">
        <v>25</v>
      </c>
      <c r="N5743" s="268">
        <v>50</v>
      </c>
      <c r="O5743" s="278">
        <v>31</v>
      </c>
    </row>
    <row r="5744" spans="1:15">
      <c r="A5744" s="266" t="s">
        <v>69</v>
      </c>
      <c r="B5744" s="267" t="s">
        <v>4</v>
      </c>
      <c r="C5744" s="15">
        <v>7</v>
      </c>
      <c r="D5744" s="269">
        <v>0</v>
      </c>
      <c r="E5744" s="269">
        <v>0</v>
      </c>
      <c r="F5744" s="269">
        <v>0</v>
      </c>
      <c r="G5744" s="269">
        <v>0</v>
      </c>
      <c r="H5744" s="269">
        <v>2</v>
      </c>
      <c r="I5744" s="269">
        <v>1</v>
      </c>
      <c r="J5744" s="269">
        <v>0</v>
      </c>
      <c r="K5744" s="269">
        <v>1</v>
      </c>
      <c r="L5744" s="269">
        <v>1</v>
      </c>
      <c r="M5744" s="269">
        <v>0</v>
      </c>
      <c r="N5744" s="269">
        <v>1</v>
      </c>
      <c r="O5744" s="279">
        <v>1</v>
      </c>
    </row>
    <row r="5745" spans="1:15">
      <c r="A5745" s="263" t="s">
        <v>69</v>
      </c>
      <c r="B5745" s="264" t="s">
        <v>5</v>
      </c>
      <c r="C5745" s="12">
        <v>0.0224358974358974</v>
      </c>
      <c r="D5745" s="265">
        <v>0</v>
      </c>
      <c r="E5745" s="265">
        <v>0</v>
      </c>
      <c r="F5745" s="265">
        <v>0</v>
      </c>
      <c r="G5745" s="265">
        <v>0</v>
      </c>
      <c r="H5745" s="265">
        <v>0.0769230769230769</v>
      </c>
      <c r="I5745" s="265">
        <v>0.0526315789473684</v>
      </c>
      <c r="J5745" s="265">
        <v>0</v>
      </c>
      <c r="K5745" s="265">
        <v>0.032258064516129</v>
      </c>
      <c r="L5745" s="265">
        <v>0.037037037037037</v>
      </c>
      <c r="M5745" s="265">
        <v>0</v>
      </c>
      <c r="N5745" s="265">
        <v>0.02</v>
      </c>
      <c r="O5745" s="277">
        <v>0.032258064516129</v>
      </c>
    </row>
    <row r="5746" spans="1:15">
      <c r="A5746" s="266" t="s">
        <v>69</v>
      </c>
      <c r="B5746" s="267" t="s">
        <v>6</v>
      </c>
      <c r="C5746" s="15">
        <v>3</v>
      </c>
      <c r="D5746" s="269">
        <v>0</v>
      </c>
      <c r="E5746" s="269">
        <v>0</v>
      </c>
      <c r="F5746" s="269">
        <v>0</v>
      </c>
      <c r="G5746" s="269">
        <v>0</v>
      </c>
      <c r="H5746" s="269">
        <v>0</v>
      </c>
      <c r="I5746" s="269">
        <v>1</v>
      </c>
      <c r="J5746" s="269">
        <v>1</v>
      </c>
      <c r="K5746" s="269">
        <v>0</v>
      </c>
      <c r="L5746" s="269">
        <v>0</v>
      </c>
      <c r="M5746" s="269">
        <v>0</v>
      </c>
      <c r="N5746" s="269">
        <v>1</v>
      </c>
      <c r="O5746" s="279">
        <v>0</v>
      </c>
    </row>
    <row r="5747" ht="14.25" spans="1:15">
      <c r="A5747" s="270" t="s">
        <v>69</v>
      </c>
      <c r="B5747" s="271" t="s">
        <v>64</v>
      </c>
      <c r="C5747" s="19">
        <v>0.428571428571429</v>
      </c>
      <c r="D5747" s="272">
        <v>0</v>
      </c>
      <c r="E5747" s="272">
        <v>0</v>
      </c>
      <c r="F5747" s="272">
        <v>0</v>
      </c>
      <c r="G5747" s="272">
        <v>0</v>
      </c>
      <c r="H5747" s="272">
        <v>0</v>
      </c>
      <c r="I5747" s="272">
        <v>1</v>
      </c>
      <c r="J5747" s="272">
        <v>0</v>
      </c>
      <c r="K5747" s="272">
        <v>0</v>
      </c>
      <c r="L5747" s="272">
        <v>0</v>
      </c>
      <c r="M5747" s="272">
        <v>0</v>
      </c>
      <c r="N5747" s="272">
        <v>1</v>
      </c>
      <c r="O5747" s="280">
        <v>0</v>
      </c>
    </row>
    <row r="5748" spans="1:15">
      <c r="A5748" s="263" t="s">
        <v>70</v>
      </c>
      <c r="B5748" s="264" t="s">
        <v>55</v>
      </c>
      <c r="C5748" s="12">
        <v>1.07042253521127</v>
      </c>
      <c r="D5748" s="265">
        <v>1</v>
      </c>
      <c r="E5748" s="265">
        <v>1.55555555555556</v>
      </c>
      <c r="F5748" s="265">
        <v>1</v>
      </c>
      <c r="G5748" s="265">
        <v>0.875</v>
      </c>
      <c r="H5748" s="265">
        <v>1.78947368421053</v>
      </c>
      <c r="I5748" s="265">
        <v>1.2</v>
      </c>
      <c r="J5748" s="265">
        <v>1.11764705882353</v>
      </c>
      <c r="K5748" s="265">
        <v>1</v>
      </c>
      <c r="L5748" s="265">
        <v>1.21428571428571</v>
      </c>
      <c r="M5748" s="265">
        <v>0.875</v>
      </c>
      <c r="N5748" s="265">
        <v>1</v>
      </c>
      <c r="O5748" s="277">
        <v>0.782608695652174</v>
      </c>
    </row>
    <row r="5749" spans="1:15">
      <c r="A5749" s="266" t="s">
        <v>70</v>
      </c>
      <c r="B5749" s="267" t="s">
        <v>57</v>
      </c>
      <c r="C5749" s="15">
        <v>355</v>
      </c>
      <c r="D5749" s="268">
        <v>36</v>
      </c>
      <c r="E5749" s="268">
        <v>18</v>
      </c>
      <c r="F5749" s="268">
        <v>20</v>
      </c>
      <c r="G5749" s="268">
        <v>24</v>
      </c>
      <c r="H5749" s="268">
        <v>19</v>
      </c>
      <c r="I5749" s="268">
        <v>35</v>
      </c>
      <c r="J5749" s="268">
        <v>34</v>
      </c>
      <c r="K5749" s="268">
        <v>33</v>
      </c>
      <c r="L5749" s="268">
        <v>28</v>
      </c>
      <c r="M5749" s="268">
        <v>32</v>
      </c>
      <c r="N5749" s="268">
        <v>30</v>
      </c>
      <c r="O5749" s="278">
        <v>46</v>
      </c>
    </row>
    <row r="5750" spans="1:15">
      <c r="A5750" s="263" t="s">
        <v>70</v>
      </c>
      <c r="B5750" s="264" t="s">
        <v>59</v>
      </c>
      <c r="C5750" s="15">
        <v>380</v>
      </c>
      <c r="D5750" s="268">
        <v>36</v>
      </c>
      <c r="E5750" s="268">
        <v>28</v>
      </c>
      <c r="F5750" s="268">
        <v>20</v>
      </c>
      <c r="G5750" s="268">
        <v>21</v>
      </c>
      <c r="H5750" s="268">
        <v>34</v>
      </c>
      <c r="I5750" s="268">
        <v>42</v>
      </c>
      <c r="J5750" s="268">
        <v>38</v>
      </c>
      <c r="K5750" s="268">
        <v>33</v>
      </c>
      <c r="L5750" s="268">
        <v>34</v>
      </c>
      <c r="M5750" s="268">
        <v>28</v>
      </c>
      <c r="N5750" s="268">
        <v>30</v>
      </c>
      <c r="O5750" s="278">
        <v>36</v>
      </c>
    </row>
    <row r="5751" spans="1:15">
      <c r="A5751" s="266" t="s">
        <v>70</v>
      </c>
      <c r="B5751" s="267" t="s">
        <v>4</v>
      </c>
      <c r="C5751" s="15">
        <v>2</v>
      </c>
      <c r="D5751" s="269">
        <v>0</v>
      </c>
      <c r="E5751" s="269">
        <v>0</v>
      </c>
      <c r="F5751" s="269">
        <v>0</v>
      </c>
      <c r="G5751" s="269">
        <v>0</v>
      </c>
      <c r="H5751" s="269">
        <v>0</v>
      </c>
      <c r="I5751" s="269">
        <v>1</v>
      </c>
      <c r="J5751" s="269">
        <v>0</v>
      </c>
      <c r="K5751" s="269">
        <v>0</v>
      </c>
      <c r="L5751" s="269">
        <v>0</v>
      </c>
      <c r="M5751" s="269">
        <v>1</v>
      </c>
      <c r="N5751" s="269">
        <v>0</v>
      </c>
      <c r="O5751" s="279">
        <v>0</v>
      </c>
    </row>
    <row r="5752" spans="1:15">
      <c r="A5752" s="263" t="s">
        <v>70</v>
      </c>
      <c r="B5752" s="264" t="s">
        <v>5</v>
      </c>
      <c r="C5752" s="12">
        <v>0.00526315789473684</v>
      </c>
      <c r="D5752" s="265">
        <v>0</v>
      </c>
      <c r="E5752" s="265">
        <v>0</v>
      </c>
      <c r="F5752" s="265">
        <v>0</v>
      </c>
      <c r="G5752" s="265">
        <v>0</v>
      </c>
      <c r="H5752" s="265">
        <v>0</v>
      </c>
      <c r="I5752" s="265">
        <v>0.0238095238095238</v>
      </c>
      <c r="J5752" s="265">
        <v>0</v>
      </c>
      <c r="K5752" s="265">
        <v>0</v>
      </c>
      <c r="L5752" s="265">
        <v>0</v>
      </c>
      <c r="M5752" s="265">
        <v>0.0357142857142857</v>
      </c>
      <c r="N5752" s="265">
        <v>0</v>
      </c>
      <c r="O5752" s="277">
        <v>0</v>
      </c>
    </row>
    <row r="5753" spans="1:15">
      <c r="A5753" s="266" t="s">
        <v>70</v>
      </c>
      <c r="B5753" s="267" t="s">
        <v>6</v>
      </c>
      <c r="C5753" s="15">
        <v>0</v>
      </c>
      <c r="D5753" s="269">
        <v>0</v>
      </c>
      <c r="E5753" s="269">
        <v>0</v>
      </c>
      <c r="F5753" s="269">
        <v>0</v>
      </c>
      <c r="G5753" s="269">
        <v>0</v>
      </c>
      <c r="H5753" s="269">
        <v>0</v>
      </c>
      <c r="I5753" s="269">
        <v>0</v>
      </c>
      <c r="J5753" s="269">
        <v>0</v>
      </c>
      <c r="K5753" s="269">
        <v>0</v>
      </c>
      <c r="L5753" s="269">
        <v>0</v>
      </c>
      <c r="M5753" s="269">
        <v>0</v>
      </c>
      <c r="N5753" s="269">
        <v>0</v>
      </c>
      <c r="O5753" s="279">
        <v>0</v>
      </c>
    </row>
    <row r="5754" ht="14.25" spans="1:15">
      <c r="A5754" s="270" t="s">
        <v>70</v>
      </c>
      <c r="B5754" s="271" t="s">
        <v>64</v>
      </c>
      <c r="C5754" s="19">
        <v>0</v>
      </c>
      <c r="D5754" s="272">
        <v>0</v>
      </c>
      <c r="E5754" s="272">
        <v>0</v>
      </c>
      <c r="F5754" s="272">
        <v>0</v>
      </c>
      <c r="G5754" s="272">
        <v>0</v>
      </c>
      <c r="H5754" s="272">
        <v>0</v>
      </c>
      <c r="I5754" s="272">
        <v>0</v>
      </c>
      <c r="J5754" s="272">
        <v>0</v>
      </c>
      <c r="K5754" s="272">
        <v>0</v>
      </c>
      <c r="L5754" s="272">
        <v>0</v>
      </c>
      <c r="M5754" s="272">
        <v>0</v>
      </c>
      <c r="N5754" s="272">
        <v>0</v>
      </c>
      <c r="O5754" s="280">
        <v>0</v>
      </c>
    </row>
    <row r="5755" spans="1:15">
      <c r="A5755" s="263" t="s">
        <v>26</v>
      </c>
      <c r="B5755" s="264" t="s">
        <v>55</v>
      </c>
      <c r="C5755" s="12">
        <v>307.333333333333</v>
      </c>
      <c r="D5755" s="265">
        <v>38.5</v>
      </c>
      <c r="E5755" s="265" t="e">
        <v>#DIV/0!</v>
      </c>
      <c r="F5755" s="265" t="e">
        <v>#DIV/0!</v>
      </c>
      <c r="G5755" s="265" t="e">
        <v>#DIV/0!</v>
      </c>
      <c r="H5755" s="265" t="e">
        <v>#DIV/0!</v>
      </c>
      <c r="I5755" s="265" t="e">
        <v>#DIV/0!</v>
      </c>
      <c r="J5755" s="265">
        <v>109</v>
      </c>
      <c r="K5755" s="265" t="e">
        <v>#DIV/0!</v>
      </c>
      <c r="L5755" s="265" t="e">
        <v>#DIV/0!</v>
      </c>
      <c r="M5755" s="265" t="e">
        <v>#DIV/0!</v>
      </c>
      <c r="N5755" s="265" t="e">
        <v>#DIV/0!</v>
      </c>
      <c r="O5755" s="277" t="e">
        <v>#DIV/0!</v>
      </c>
    </row>
    <row r="5756" spans="1:15">
      <c r="A5756" s="266" t="s">
        <v>26</v>
      </c>
      <c r="B5756" s="267" t="s">
        <v>57</v>
      </c>
      <c r="C5756" s="15">
        <v>3</v>
      </c>
      <c r="D5756" s="268">
        <v>2</v>
      </c>
      <c r="E5756" s="268">
        <v>0</v>
      </c>
      <c r="F5756" s="268">
        <v>0</v>
      </c>
      <c r="G5756" s="268">
        <v>0</v>
      </c>
      <c r="H5756" s="268">
        <v>0</v>
      </c>
      <c r="I5756" s="268">
        <v>0</v>
      </c>
      <c r="J5756" s="268">
        <v>1</v>
      </c>
      <c r="K5756" s="268">
        <v>0</v>
      </c>
      <c r="L5756" s="268">
        <v>0</v>
      </c>
      <c r="M5756" s="268">
        <v>0</v>
      </c>
      <c r="N5756" s="268">
        <v>0</v>
      </c>
      <c r="O5756" s="278">
        <v>0</v>
      </c>
    </row>
    <row r="5757" spans="1:15">
      <c r="A5757" s="263" t="s">
        <v>26</v>
      </c>
      <c r="B5757" s="264" t="s">
        <v>59</v>
      </c>
      <c r="C5757" s="15">
        <v>922</v>
      </c>
      <c r="D5757" s="268">
        <v>77</v>
      </c>
      <c r="E5757" s="268">
        <v>39</v>
      </c>
      <c r="F5757" s="268">
        <v>30</v>
      </c>
      <c r="G5757" s="268">
        <v>27</v>
      </c>
      <c r="H5757" s="268">
        <v>111</v>
      </c>
      <c r="I5757" s="268">
        <v>117</v>
      </c>
      <c r="J5757" s="268">
        <v>109</v>
      </c>
      <c r="K5757" s="268">
        <v>118</v>
      </c>
      <c r="L5757" s="268">
        <v>87</v>
      </c>
      <c r="M5757" s="268">
        <v>70</v>
      </c>
      <c r="N5757" s="268">
        <v>67</v>
      </c>
      <c r="O5757" s="278">
        <v>70</v>
      </c>
    </row>
    <row r="5758" spans="1:15">
      <c r="A5758" s="266" t="s">
        <v>26</v>
      </c>
      <c r="B5758" s="267" t="s">
        <v>4</v>
      </c>
      <c r="C5758" s="15">
        <v>11</v>
      </c>
      <c r="D5758" s="269">
        <v>0</v>
      </c>
      <c r="E5758" s="269">
        <v>2</v>
      </c>
      <c r="F5758" s="269">
        <v>0</v>
      </c>
      <c r="G5758" s="269">
        <v>0</v>
      </c>
      <c r="H5758" s="269">
        <v>3</v>
      </c>
      <c r="I5758" s="269">
        <v>0</v>
      </c>
      <c r="J5758" s="269">
        <v>1</v>
      </c>
      <c r="K5758" s="269">
        <v>1</v>
      </c>
      <c r="L5758" s="269">
        <v>1</v>
      </c>
      <c r="M5758" s="269">
        <v>0</v>
      </c>
      <c r="N5758" s="269">
        <v>2</v>
      </c>
      <c r="O5758" s="279">
        <v>1</v>
      </c>
    </row>
    <row r="5759" spans="1:15">
      <c r="A5759" s="263" t="s">
        <v>26</v>
      </c>
      <c r="B5759" s="264" t="s">
        <v>5</v>
      </c>
      <c r="C5759" s="12">
        <v>0.0119305856832972</v>
      </c>
      <c r="D5759" s="265">
        <v>0</v>
      </c>
      <c r="E5759" s="265">
        <v>0.0512820512820513</v>
      </c>
      <c r="F5759" s="265">
        <v>0</v>
      </c>
      <c r="G5759" s="265">
        <v>0</v>
      </c>
      <c r="H5759" s="265">
        <v>0.027027027027027</v>
      </c>
      <c r="I5759" s="265">
        <v>0</v>
      </c>
      <c r="J5759" s="265">
        <v>0.00917431192660551</v>
      </c>
      <c r="K5759" s="265">
        <v>0.00847457627118644</v>
      </c>
      <c r="L5759" s="265">
        <v>0.0114942528735632</v>
      </c>
      <c r="M5759" s="265">
        <v>0</v>
      </c>
      <c r="N5759" s="265">
        <v>0.0298507462686567</v>
      </c>
      <c r="O5759" s="277">
        <v>0.0142857142857143</v>
      </c>
    </row>
    <row r="5760" spans="1:15">
      <c r="A5760" s="266" t="s">
        <v>26</v>
      </c>
      <c r="B5760" s="267" t="s">
        <v>6</v>
      </c>
      <c r="C5760" s="15">
        <v>4</v>
      </c>
      <c r="D5760" s="269">
        <v>1</v>
      </c>
      <c r="E5760" s="269">
        <v>1</v>
      </c>
      <c r="F5760" s="269">
        <v>0</v>
      </c>
      <c r="G5760" s="269">
        <v>0</v>
      </c>
      <c r="H5760" s="269">
        <v>0</v>
      </c>
      <c r="I5760" s="269">
        <v>0</v>
      </c>
      <c r="J5760" s="269">
        <v>0</v>
      </c>
      <c r="K5760" s="269">
        <v>1</v>
      </c>
      <c r="L5760" s="269">
        <v>1</v>
      </c>
      <c r="M5760" s="269">
        <v>0</v>
      </c>
      <c r="N5760" s="269">
        <v>0</v>
      </c>
      <c r="O5760" s="279">
        <v>0</v>
      </c>
    </row>
    <row r="5761" ht="14.25" spans="1:15">
      <c r="A5761" s="270" t="s">
        <v>26</v>
      </c>
      <c r="B5761" s="271" t="s">
        <v>64</v>
      </c>
      <c r="C5761" s="19">
        <v>0.363636363636364</v>
      </c>
      <c r="D5761" s="19" t="e">
        <v>#DIV/0!</v>
      </c>
      <c r="E5761" s="19">
        <v>0.5</v>
      </c>
      <c r="F5761" s="19" t="e">
        <v>#DIV/0!</v>
      </c>
      <c r="G5761" s="19" t="e">
        <v>#DIV/0!</v>
      </c>
      <c r="H5761" s="19">
        <v>0</v>
      </c>
      <c r="I5761" s="19" t="e">
        <v>#DIV/0!</v>
      </c>
      <c r="J5761" s="19">
        <v>0</v>
      </c>
      <c r="K5761" s="19">
        <v>1</v>
      </c>
      <c r="L5761" s="19">
        <v>1</v>
      </c>
      <c r="M5761" s="19" t="e">
        <v>#DIV/0!</v>
      </c>
      <c r="N5761" s="19">
        <v>0</v>
      </c>
      <c r="O5761" s="19">
        <v>0</v>
      </c>
    </row>
    <row r="5762" spans="1:15">
      <c r="A5762" s="263" t="s">
        <v>71</v>
      </c>
      <c r="B5762" s="264" t="s">
        <v>55</v>
      </c>
      <c r="C5762" s="12">
        <v>342</v>
      </c>
      <c r="D5762" s="265" t="e">
        <v>#DIV/0!</v>
      </c>
      <c r="E5762" s="265" t="e">
        <v>#DIV/0!</v>
      </c>
      <c r="F5762" s="265">
        <v>24</v>
      </c>
      <c r="G5762" s="265" t="e">
        <v>#DIV/0!</v>
      </c>
      <c r="H5762" s="265" t="e">
        <v>#DIV/0!</v>
      </c>
      <c r="I5762" s="265" t="e">
        <v>#DIV/0!</v>
      </c>
      <c r="J5762" s="265" t="e">
        <v>#DIV/0!</v>
      </c>
      <c r="K5762" s="265" t="e">
        <v>#DIV/0!</v>
      </c>
      <c r="L5762" s="265" t="e">
        <v>#DIV/0!</v>
      </c>
      <c r="M5762" s="265" t="e">
        <v>#DIV/0!</v>
      </c>
      <c r="N5762" s="265" t="e">
        <v>#DIV/0!</v>
      </c>
      <c r="O5762" s="277" t="e">
        <v>#DIV/0!</v>
      </c>
    </row>
    <row r="5763" spans="1:15">
      <c r="A5763" s="266" t="s">
        <v>71</v>
      </c>
      <c r="B5763" s="267" t="s">
        <v>57</v>
      </c>
      <c r="C5763" s="15">
        <v>1</v>
      </c>
      <c r="D5763" s="268">
        <v>0</v>
      </c>
      <c r="E5763" s="268">
        <v>0</v>
      </c>
      <c r="F5763" s="268">
        <v>1</v>
      </c>
      <c r="G5763" s="268">
        <v>0</v>
      </c>
      <c r="H5763" s="268">
        <v>0</v>
      </c>
      <c r="I5763" s="268">
        <v>0</v>
      </c>
      <c r="J5763" s="268">
        <v>0</v>
      </c>
      <c r="K5763" s="268">
        <v>0</v>
      </c>
      <c r="L5763" s="268">
        <v>0</v>
      </c>
      <c r="M5763" s="268">
        <v>0</v>
      </c>
      <c r="N5763" s="268">
        <v>0</v>
      </c>
      <c r="O5763" s="278">
        <v>0</v>
      </c>
    </row>
    <row r="5764" spans="1:15">
      <c r="A5764" s="263" t="s">
        <v>71</v>
      </c>
      <c r="B5764" s="264" t="s">
        <v>59</v>
      </c>
      <c r="C5764" s="15">
        <v>342</v>
      </c>
      <c r="D5764" s="268">
        <v>28</v>
      </c>
      <c r="E5764" s="268">
        <v>30</v>
      </c>
      <c r="F5764" s="268">
        <v>24</v>
      </c>
      <c r="G5764" s="268">
        <v>20</v>
      </c>
      <c r="H5764" s="268">
        <v>25</v>
      </c>
      <c r="I5764" s="268">
        <v>30</v>
      </c>
      <c r="J5764" s="268">
        <v>28</v>
      </c>
      <c r="K5764" s="268">
        <v>25</v>
      </c>
      <c r="L5764" s="268">
        <v>33</v>
      </c>
      <c r="M5764" s="268">
        <v>31</v>
      </c>
      <c r="N5764" s="268">
        <v>22</v>
      </c>
      <c r="O5764" s="278">
        <v>46</v>
      </c>
    </row>
    <row r="5765" spans="1:15">
      <c r="A5765" s="266" t="s">
        <v>71</v>
      </c>
      <c r="B5765" s="267" t="s">
        <v>4</v>
      </c>
      <c r="C5765" s="15">
        <v>43</v>
      </c>
      <c r="D5765" s="269">
        <v>6</v>
      </c>
      <c r="E5765" s="269">
        <v>2</v>
      </c>
      <c r="F5765" s="269">
        <v>1</v>
      </c>
      <c r="G5765" s="269">
        <v>1</v>
      </c>
      <c r="H5765" s="269">
        <v>4</v>
      </c>
      <c r="I5765" s="269">
        <v>4</v>
      </c>
      <c r="J5765" s="269">
        <v>3</v>
      </c>
      <c r="K5765" s="269">
        <v>2</v>
      </c>
      <c r="L5765" s="269">
        <v>2</v>
      </c>
      <c r="M5765" s="269">
        <v>3</v>
      </c>
      <c r="N5765" s="269">
        <v>8</v>
      </c>
      <c r="O5765" s="279">
        <v>7</v>
      </c>
    </row>
    <row r="5766" spans="1:15">
      <c r="A5766" s="263" t="s">
        <v>71</v>
      </c>
      <c r="B5766" s="264" t="s">
        <v>5</v>
      </c>
      <c r="C5766" s="265">
        <v>0.125730994152047</v>
      </c>
      <c r="D5766" s="265">
        <v>0.214285714285714</v>
      </c>
      <c r="E5766" s="265">
        <v>0.0666666666666667</v>
      </c>
      <c r="F5766" s="265">
        <v>0.0416666666666667</v>
      </c>
      <c r="G5766" s="265">
        <v>0.05</v>
      </c>
      <c r="H5766" s="265">
        <v>0.16</v>
      </c>
      <c r="I5766" s="265">
        <v>0.133333333333333</v>
      </c>
      <c r="J5766" s="265">
        <v>0.107142857142857</v>
      </c>
      <c r="K5766" s="265">
        <v>0.08</v>
      </c>
      <c r="L5766" s="265">
        <v>0.0606060606060606</v>
      </c>
      <c r="M5766" s="265">
        <v>0.0967741935483871</v>
      </c>
      <c r="N5766" s="265">
        <v>0.363636363636364</v>
      </c>
      <c r="O5766" s="277">
        <v>0.152173913043478</v>
      </c>
    </row>
    <row r="5767" spans="1:15">
      <c r="A5767" s="266" t="s">
        <v>71</v>
      </c>
      <c r="B5767" s="267" t="s">
        <v>6</v>
      </c>
      <c r="C5767" s="15">
        <v>7</v>
      </c>
      <c r="D5767" s="269">
        <v>1</v>
      </c>
      <c r="E5767" s="269">
        <v>1</v>
      </c>
      <c r="F5767" s="269">
        <v>0</v>
      </c>
      <c r="G5767" s="269">
        <v>0</v>
      </c>
      <c r="H5767" s="269">
        <v>0</v>
      </c>
      <c r="I5767" s="269">
        <v>4</v>
      </c>
      <c r="J5767" s="269">
        <v>0</v>
      </c>
      <c r="K5767" s="269">
        <v>0</v>
      </c>
      <c r="L5767" s="269">
        <v>0</v>
      </c>
      <c r="M5767" s="269">
        <v>1</v>
      </c>
      <c r="N5767" s="269">
        <v>0</v>
      </c>
      <c r="O5767" s="279">
        <v>0</v>
      </c>
    </row>
    <row r="5768" ht="14.25" spans="1:15">
      <c r="A5768" s="270" t="s">
        <v>71</v>
      </c>
      <c r="B5768" s="271" t="s">
        <v>64</v>
      </c>
      <c r="C5768" s="19">
        <v>0.162790697674419</v>
      </c>
      <c r="D5768" s="19">
        <v>0.166666666666667</v>
      </c>
      <c r="E5768" s="19">
        <v>0.5</v>
      </c>
      <c r="F5768" s="19">
        <v>0</v>
      </c>
      <c r="G5768" s="19">
        <v>0</v>
      </c>
      <c r="H5768" s="19">
        <v>0</v>
      </c>
      <c r="I5768" s="19">
        <v>1</v>
      </c>
      <c r="J5768" s="19">
        <v>0</v>
      </c>
      <c r="K5768" s="19">
        <v>0</v>
      </c>
      <c r="L5768" s="19">
        <v>0</v>
      </c>
      <c r="M5768" s="19">
        <v>0.333333333333333</v>
      </c>
      <c r="N5768" s="19">
        <v>0</v>
      </c>
      <c r="O5768" s="19">
        <v>0</v>
      </c>
    </row>
    <row r="5769" spans="1:15">
      <c r="A5769" s="263" t="s">
        <v>72</v>
      </c>
      <c r="B5769" s="264" t="s">
        <v>55</v>
      </c>
      <c r="C5769" s="12">
        <v>0.155038759689922</v>
      </c>
      <c r="D5769" s="265">
        <v>0.145833333333333</v>
      </c>
      <c r="E5769" s="265">
        <v>0.182926829268293</v>
      </c>
      <c r="F5769" s="265">
        <v>0.111111111111111</v>
      </c>
      <c r="G5769" s="265">
        <v>0.173913043478261</v>
      </c>
      <c r="H5769" s="265">
        <v>0.239583333333333</v>
      </c>
      <c r="I5769" s="265">
        <v>0.216666666666667</v>
      </c>
      <c r="J5769" s="265">
        <v>0.164556962025316</v>
      </c>
      <c r="K5769" s="265">
        <v>0.151515151515152</v>
      </c>
      <c r="L5769" s="265">
        <v>0.148148148148148</v>
      </c>
      <c r="M5769" s="265">
        <v>0.127167630057803</v>
      </c>
      <c r="N5769" s="265">
        <v>0.133858267716535</v>
      </c>
      <c r="O5769" s="277">
        <v>0.139130434782609</v>
      </c>
    </row>
    <row r="5770" spans="1:15">
      <c r="A5770" s="266" t="s">
        <v>72</v>
      </c>
      <c r="B5770" s="267" t="s">
        <v>57</v>
      </c>
      <c r="C5770" s="15">
        <v>1806</v>
      </c>
      <c r="D5770" s="268">
        <v>192</v>
      </c>
      <c r="E5770" s="268">
        <v>82</v>
      </c>
      <c r="F5770" s="268">
        <v>72</v>
      </c>
      <c r="G5770" s="268">
        <v>69</v>
      </c>
      <c r="H5770" s="268">
        <v>96</v>
      </c>
      <c r="I5770" s="268">
        <v>120</v>
      </c>
      <c r="J5770" s="268">
        <v>158</v>
      </c>
      <c r="K5770" s="268">
        <v>198</v>
      </c>
      <c r="L5770" s="268">
        <v>162</v>
      </c>
      <c r="M5770" s="268">
        <v>173</v>
      </c>
      <c r="N5770" s="268">
        <v>254</v>
      </c>
      <c r="O5770" s="278">
        <v>230</v>
      </c>
    </row>
    <row r="5771" spans="1:15">
      <c r="A5771" s="263" t="s">
        <v>72</v>
      </c>
      <c r="B5771" s="264" t="s">
        <v>59</v>
      </c>
      <c r="C5771" s="15">
        <v>280</v>
      </c>
      <c r="D5771" s="268">
        <v>28</v>
      </c>
      <c r="E5771" s="268">
        <v>15</v>
      </c>
      <c r="F5771" s="268">
        <v>8</v>
      </c>
      <c r="G5771" s="268">
        <v>12</v>
      </c>
      <c r="H5771" s="268">
        <v>23</v>
      </c>
      <c r="I5771" s="268">
        <v>26</v>
      </c>
      <c r="J5771" s="268">
        <v>26</v>
      </c>
      <c r="K5771" s="268">
        <v>30</v>
      </c>
      <c r="L5771" s="268">
        <v>24</v>
      </c>
      <c r="M5771" s="268">
        <v>22</v>
      </c>
      <c r="N5771" s="268">
        <v>34</v>
      </c>
      <c r="O5771" s="278">
        <v>32</v>
      </c>
    </row>
    <row r="5772" spans="1:15">
      <c r="A5772" s="266" t="s">
        <v>72</v>
      </c>
      <c r="B5772" s="267" t="s">
        <v>4</v>
      </c>
      <c r="C5772" s="15">
        <v>16</v>
      </c>
      <c r="D5772" s="269">
        <v>1</v>
      </c>
      <c r="E5772" s="269">
        <v>2</v>
      </c>
      <c r="F5772" s="269">
        <v>1</v>
      </c>
      <c r="G5772" s="269">
        <v>0</v>
      </c>
      <c r="H5772" s="269">
        <v>0</v>
      </c>
      <c r="I5772" s="269">
        <v>0</v>
      </c>
      <c r="J5772" s="269">
        <v>4</v>
      </c>
      <c r="K5772" s="269">
        <v>0</v>
      </c>
      <c r="L5772" s="269">
        <v>2</v>
      </c>
      <c r="M5772" s="269">
        <v>0</v>
      </c>
      <c r="N5772" s="269">
        <v>2</v>
      </c>
      <c r="O5772" s="279">
        <v>4</v>
      </c>
    </row>
    <row r="5773" spans="1:15">
      <c r="A5773" s="263" t="s">
        <v>72</v>
      </c>
      <c r="B5773" s="264" t="s">
        <v>5</v>
      </c>
      <c r="C5773" s="12">
        <v>0.0571428571428571</v>
      </c>
      <c r="D5773" s="265">
        <v>0.0357142857142857</v>
      </c>
      <c r="E5773" s="265">
        <v>0.133333333333333</v>
      </c>
      <c r="F5773" s="265">
        <v>0.125</v>
      </c>
      <c r="G5773" s="265">
        <v>0</v>
      </c>
      <c r="H5773" s="265">
        <v>0</v>
      </c>
      <c r="I5773" s="265">
        <v>0</v>
      </c>
      <c r="J5773" s="265">
        <v>0.153846153846154</v>
      </c>
      <c r="K5773" s="265">
        <v>0</v>
      </c>
      <c r="L5773" s="265">
        <v>0.0833333333333333</v>
      </c>
      <c r="M5773" s="265">
        <v>0</v>
      </c>
      <c r="N5773" s="265">
        <v>0.0588235294117647</v>
      </c>
      <c r="O5773" s="277">
        <v>0.125</v>
      </c>
    </row>
    <row r="5774" spans="1:15">
      <c r="A5774" s="266" t="s">
        <v>72</v>
      </c>
      <c r="B5774" s="267" t="s">
        <v>6</v>
      </c>
      <c r="C5774" s="15">
        <v>4</v>
      </c>
      <c r="D5774" s="269">
        <v>0</v>
      </c>
      <c r="E5774" s="269">
        <v>1</v>
      </c>
      <c r="F5774" s="269">
        <v>0</v>
      </c>
      <c r="G5774" s="269">
        <v>0</v>
      </c>
      <c r="H5774" s="269">
        <v>1</v>
      </c>
      <c r="I5774" s="269">
        <v>0</v>
      </c>
      <c r="J5774" s="269">
        <v>0</v>
      </c>
      <c r="K5774" s="269">
        <v>1</v>
      </c>
      <c r="L5774" s="269">
        <v>0</v>
      </c>
      <c r="M5774" s="269">
        <v>0</v>
      </c>
      <c r="N5774" s="269">
        <v>0</v>
      </c>
      <c r="O5774" s="279">
        <v>1</v>
      </c>
    </row>
    <row r="5775" ht="14.25" spans="1:15">
      <c r="A5775" s="270" t="s">
        <v>72</v>
      </c>
      <c r="B5775" s="271" t="s">
        <v>64</v>
      </c>
      <c r="C5775" s="19">
        <v>0.25</v>
      </c>
      <c r="D5775" s="19">
        <v>0</v>
      </c>
      <c r="E5775" s="19">
        <v>0.5</v>
      </c>
      <c r="F5775" s="19">
        <v>0</v>
      </c>
      <c r="G5775" s="19" t="e">
        <v>#DIV/0!</v>
      </c>
      <c r="H5775" s="19" t="e">
        <v>#DIV/0!</v>
      </c>
      <c r="I5775" s="19" t="e">
        <v>#DIV/0!</v>
      </c>
      <c r="J5775" s="19">
        <v>0</v>
      </c>
      <c r="K5775" s="19" t="e">
        <v>#DIV/0!</v>
      </c>
      <c r="L5775" s="19">
        <v>0</v>
      </c>
      <c r="M5775" s="19" t="e">
        <v>#DIV/0!</v>
      </c>
      <c r="N5775" s="19">
        <v>0</v>
      </c>
      <c r="O5775" s="19">
        <v>0.25</v>
      </c>
    </row>
    <row r="5776" ht="14.25" spans="1:15">
      <c r="A5776" s="259">
        <v>45108</v>
      </c>
      <c r="B5776" s="259"/>
      <c r="C5776" s="259"/>
      <c r="D5776" s="259"/>
      <c r="E5776" s="259"/>
      <c r="F5776" s="259"/>
      <c r="G5776" s="259"/>
      <c r="H5776" s="259"/>
      <c r="I5776" s="259"/>
      <c r="J5776" s="259"/>
      <c r="K5776" s="259"/>
      <c r="L5776" s="259"/>
      <c r="M5776" s="259"/>
      <c r="N5776" s="259"/>
      <c r="O5776" s="259"/>
    </row>
    <row r="5777" spans="1:15">
      <c r="A5777" s="260" t="s">
        <v>1</v>
      </c>
      <c r="B5777" s="261"/>
      <c r="C5777" s="8" t="s">
        <v>42</v>
      </c>
      <c r="D5777" s="262" t="s">
        <v>43</v>
      </c>
      <c r="E5777" s="262" t="s">
        <v>44</v>
      </c>
      <c r="F5777" s="262" t="s">
        <v>45</v>
      </c>
      <c r="G5777" s="262" t="s">
        <v>46</v>
      </c>
      <c r="H5777" s="262" t="s">
        <v>47</v>
      </c>
      <c r="I5777" s="262" t="s">
        <v>48</v>
      </c>
      <c r="J5777" s="262" t="s">
        <v>49</v>
      </c>
      <c r="K5777" s="262" t="s">
        <v>50</v>
      </c>
      <c r="L5777" s="262" t="s">
        <v>51</v>
      </c>
      <c r="M5777" s="262" t="s">
        <v>52</v>
      </c>
      <c r="N5777" s="262" t="s">
        <v>53</v>
      </c>
      <c r="O5777" s="276" t="s">
        <v>54</v>
      </c>
    </row>
    <row r="5778" spans="1:15">
      <c r="A5778" s="263" t="s">
        <v>22</v>
      </c>
      <c r="B5778" s="264" t="s">
        <v>55</v>
      </c>
      <c r="C5778" s="12">
        <v>0.533518261673602</v>
      </c>
      <c r="D5778" s="265">
        <v>0.574660633484163</v>
      </c>
      <c r="E5778" s="265">
        <v>0.516129032258065</v>
      </c>
      <c r="F5778" s="265">
        <v>0.611111111111111</v>
      </c>
      <c r="G5778" s="265">
        <v>0.573913043478261</v>
      </c>
      <c r="H5778" s="265">
        <v>0.590277777777778</v>
      </c>
      <c r="I5778" s="265">
        <v>0.589403973509934</v>
      </c>
      <c r="J5778" s="265">
        <v>0.622340425531915</v>
      </c>
      <c r="K5778" s="265">
        <v>0.521551724137931</v>
      </c>
      <c r="L5778" s="265">
        <v>0.575892857142857</v>
      </c>
      <c r="M5778" s="265">
        <v>0.446078431372549</v>
      </c>
      <c r="N5778" s="265">
        <v>0.428571428571429</v>
      </c>
      <c r="O5778" s="277">
        <v>0.470175438596491</v>
      </c>
    </row>
    <row r="5779" spans="1:15">
      <c r="A5779" s="266" t="s">
        <v>22</v>
      </c>
      <c r="B5779" s="267" t="s">
        <v>57</v>
      </c>
      <c r="C5779" s="15">
        <v>2163</v>
      </c>
      <c r="D5779" s="268">
        <v>221</v>
      </c>
      <c r="E5779" s="268">
        <v>124</v>
      </c>
      <c r="F5779" s="268">
        <v>72</v>
      </c>
      <c r="G5779" s="268">
        <v>115</v>
      </c>
      <c r="H5779" s="268">
        <v>144</v>
      </c>
      <c r="I5779" s="268">
        <v>151</v>
      </c>
      <c r="J5779" s="268">
        <v>188</v>
      </c>
      <c r="K5779" s="268">
        <v>232</v>
      </c>
      <c r="L5779" s="268">
        <v>224</v>
      </c>
      <c r="M5779" s="268">
        <v>204</v>
      </c>
      <c r="N5779" s="268">
        <v>203</v>
      </c>
      <c r="O5779" s="278">
        <v>285</v>
      </c>
    </row>
    <row r="5780" spans="1:15">
      <c r="A5780" s="263" t="s">
        <v>22</v>
      </c>
      <c r="B5780" s="264" t="s">
        <v>59</v>
      </c>
      <c r="C5780" s="15">
        <v>1154</v>
      </c>
      <c r="D5780" s="268">
        <v>127</v>
      </c>
      <c r="E5780" s="268">
        <v>64</v>
      </c>
      <c r="F5780" s="268">
        <v>44</v>
      </c>
      <c r="G5780" s="268">
        <v>66</v>
      </c>
      <c r="H5780" s="268">
        <v>85</v>
      </c>
      <c r="I5780" s="268">
        <v>89</v>
      </c>
      <c r="J5780" s="268">
        <v>117</v>
      </c>
      <c r="K5780" s="268">
        <v>121</v>
      </c>
      <c r="L5780" s="268">
        <v>129</v>
      </c>
      <c r="M5780" s="268">
        <v>91</v>
      </c>
      <c r="N5780" s="268">
        <v>87</v>
      </c>
      <c r="O5780" s="278">
        <v>134</v>
      </c>
    </row>
    <row r="5781" spans="1:15">
      <c r="A5781" s="266" t="s">
        <v>22</v>
      </c>
      <c r="B5781" s="267" t="s">
        <v>4</v>
      </c>
      <c r="C5781" s="15">
        <v>56</v>
      </c>
      <c r="D5781" s="269">
        <v>8</v>
      </c>
      <c r="E5781" s="269">
        <v>8</v>
      </c>
      <c r="F5781" s="269">
        <v>4</v>
      </c>
      <c r="G5781" s="269">
        <v>2</v>
      </c>
      <c r="H5781" s="269">
        <v>2</v>
      </c>
      <c r="I5781" s="269">
        <v>3</v>
      </c>
      <c r="J5781" s="269">
        <v>5</v>
      </c>
      <c r="K5781" s="269">
        <v>4</v>
      </c>
      <c r="L5781" s="269">
        <v>5</v>
      </c>
      <c r="M5781" s="269">
        <v>3</v>
      </c>
      <c r="N5781" s="269">
        <v>4</v>
      </c>
      <c r="O5781" s="279">
        <v>8</v>
      </c>
    </row>
    <row r="5782" spans="1:15">
      <c r="A5782" s="263" t="s">
        <v>22</v>
      </c>
      <c r="B5782" s="264" t="s">
        <v>5</v>
      </c>
      <c r="C5782" s="12">
        <v>0.048526863084922</v>
      </c>
      <c r="D5782" s="265">
        <v>0.062992125984252</v>
      </c>
      <c r="E5782" s="265">
        <v>0.125</v>
      </c>
      <c r="F5782" s="265">
        <v>0.0909090909090909</v>
      </c>
      <c r="G5782" s="265">
        <v>0.0303030303030303</v>
      </c>
      <c r="H5782" s="265">
        <v>0.0235294117647059</v>
      </c>
      <c r="I5782" s="265">
        <v>0.0337078651685393</v>
      </c>
      <c r="J5782" s="265">
        <v>0.0427350427350427</v>
      </c>
      <c r="K5782" s="265">
        <v>0.0330578512396694</v>
      </c>
      <c r="L5782" s="265">
        <v>0.0387596899224806</v>
      </c>
      <c r="M5782" s="265">
        <v>0.032967032967033</v>
      </c>
      <c r="N5782" s="265">
        <v>0.0459770114942529</v>
      </c>
      <c r="O5782" s="277">
        <v>0.0597014925373134</v>
      </c>
    </row>
    <row r="5783" spans="1:15">
      <c r="A5783" s="266" t="s">
        <v>22</v>
      </c>
      <c r="B5783" s="267" t="s">
        <v>6</v>
      </c>
      <c r="C5783" s="15">
        <v>19</v>
      </c>
      <c r="D5783" s="269">
        <v>3</v>
      </c>
      <c r="E5783" s="269">
        <v>3</v>
      </c>
      <c r="F5783" s="269">
        <v>1</v>
      </c>
      <c r="G5783" s="269">
        <v>0</v>
      </c>
      <c r="H5783" s="269">
        <v>3</v>
      </c>
      <c r="I5783" s="269">
        <v>3</v>
      </c>
      <c r="J5783" s="269">
        <v>0</v>
      </c>
      <c r="K5783" s="269">
        <v>2</v>
      </c>
      <c r="L5783" s="269">
        <v>1</v>
      </c>
      <c r="M5783" s="269">
        <v>1</v>
      </c>
      <c r="N5783" s="269">
        <v>1</v>
      </c>
      <c r="O5783" s="279">
        <v>1</v>
      </c>
    </row>
    <row r="5784" ht="14.25" spans="1:15">
      <c r="A5784" s="270" t="s">
        <v>22</v>
      </c>
      <c r="B5784" s="271" t="s">
        <v>64</v>
      </c>
      <c r="C5784" s="19">
        <v>0.339285714285714</v>
      </c>
      <c r="D5784" s="272">
        <v>0.375</v>
      </c>
      <c r="E5784" s="272">
        <v>0.375</v>
      </c>
      <c r="F5784" s="272">
        <v>0.25</v>
      </c>
      <c r="G5784" s="272">
        <v>0</v>
      </c>
      <c r="H5784" s="272">
        <v>1.5</v>
      </c>
      <c r="I5784" s="272">
        <v>1</v>
      </c>
      <c r="J5784" s="272">
        <v>0</v>
      </c>
      <c r="K5784" s="272">
        <v>0.5</v>
      </c>
      <c r="L5784" s="272">
        <v>0.2</v>
      </c>
      <c r="M5784" s="272">
        <v>0.333333333333333</v>
      </c>
      <c r="N5784" s="272">
        <v>0.25</v>
      </c>
      <c r="O5784" s="280">
        <v>0.125</v>
      </c>
    </row>
    <row r="5785" spans="1:15">
      <c r="A5785" s="273" t="s">
        <v>66</v>
      </c>
      <c r="B5785" s="274" t="s">
        <v>55</v>
      </c>
      <c r="C5785" s="12">
        <v>0.0592627158189454</v>
      </c>
      <c r="D5785" s="275">
        <v>0.041044776119403</v>
      </c>
      <c r="E5785" s="275">
        <v>0.0226628895184136</v>
      </c>
      <c r="F5785" s="275">
        <v>0.031390134529148</v>
      </c>
      <c r="G5785" s="275">
        <v>0.0446927374301676</v>
      </c>
      <c r="H5785" s="275">
        <v>0.0523560209424084</v>
      </c>
      <c r="I5785" s="275">
        <v>0.06</v>
      </c>
      <c r="J5785" s="275">
        <v>0.093167701863354</v>
      </c>
      <c r="K5785" s="275">
        <v>0.0893854748603352</v>
      </c>
      <c r="L5785" s="275">
        <v>0.0645161290322581</v>
      </c>
      <c r="M5785" s="275">
        <v>0.146067415730337</v>
      </c>
      <c r="N5785" s="275">
        <v>0.0588235294117647</v>
      </c>
      <c r="O5785" s="281">
        <v>0.129032258064516</v>
      </c>
    </row>
    <row r="5786" spans="1:15">
      <c r="A5786" s="266" t="s">
        <v>66</v>
      </c>
      <c r="B5786" s="267" t="s">
        <v>57</v>
      </c>
      <c r="C5786" s="15">
        <v>2143</v>
      </c>
      <c r="D5786" s="268">
        <v>268</v>
      </c>
      <c r="E5786" s="268">
        <v>353</v>
      </c>
      <c r="F5786" s="268">
        <v>223</v>
      </c>
      <c r="G5786" s="268">
        <v>179</v>
      </c>
      <c r="H5786" s="268">
        <v>191</v>
      </c>
      <c r="I5786" s="268">
        <v>150</v>
      </c>
      <c r="J5786" s="268">
        <v>161</v>
      </c>
      <c r="K5786" s="268">
        <v>179</v>
      </c>
      <c r="L5786" s="268">
        <v>124</v>
      </c>
      <c r="M5786" s="268">
        <v>89</v>
      </c>
      <c r="N5786" s="268">
        <v>102</v>
      </c>
      <c r="O5786" s="278">
        <v>124</v>
      </c>
    </row>
    <row r="5787" spans="1:15">
      <c r="A5787" s="263" t="s">
        <v>66</v>
      </c>
      <c r="B5787" s="264" t="s">
        <v>59</v>
      </c>
      <c r="C5787" s="15">
        <v>127</v>
      </c>
      <c r="D5787" s="268">
        <v>11</v>
      </c>
      <c r="E5787" s="268">
        <v>8</v>
      </c>
      <c r="F5787" s="268">
        <v>7</v>
      </c>
      <c r="G5787" s="268">
        <v>8</v>
      </c>
      <c r="H5787" s="268">
        <v>10</v>
      </c>
      <c r="I5787" s="268">
        <v>9</v>
      </c>
      <c r="J5787" s="268">
        <v>15</v>
      </c>
      <c r="K5787" s="268">
        <v>16</v>
      </c>
      <c r="L5787" s="268">
        <v>8</v>
      </c>
      <c r="M5787" s="268">
        <v>13</v>
      </c>
      <c r="N5787" s="268">
        <v>6</v>
      </c>
      <c r="O5787" s="278">
        <v>16</v>
      </c>
    </row>
    <row r="5788" spans="1:15">
      <c r="A5788" s="266" t="s">
        <v>66</v>
      </c>
      <c r="B5788" s="267" t="s">
        <v>4</v>
      </c>
      <c r="C5788" s="15">
        <v>4</v>
      </c>
      <c r="D5788" s="269">
        <v>0</v>
      </c>
      <c r="E5788" s="269">
        <v>1</v>
      </c>
      <c r="F5788" s="269">
        <v>1</v>
      </c>
      <c r="G5788" s="269">
        <v>0</v>
      </c>
      <c r="H5788" s="269">
        <v>1</v>
      </c>
      <c r="I5788" s="269">
        <v>0</v>
      </c>
      <c r="J5788" s="269">
        <v>0</v>
      </c>
      <c r="K5788" s="269">
        <v>1</v>
      </c>
      <c r="L5788" s="269">
        <v>0</v>
      </c>
      <c r="M5788" s="269">
        <v>0</v>
      </c>
      <c r="N5788" s="269">
        <v>0</v>
      </c>
      <c r="O5788" s="279">
        <v>0</v>
      </c>
    </row>
    <row r="5789" spans="1:15">
      <c r="A5789" s="263" t="s">
        <v>66</v>
      </c>
      <c r="B5789" s="264" t="s">
        <v>5</v>
      </c>
      <c r="C5789" s="12">
        <v>0.031496062992126</v>
      </c>
      <c r="D5789" s="265">
        <v>0</v>
      </c>
      <c r="E5789" s="265">
        <v>0.125</v>
      </c>
      <c r="F5789" s="265">
        <v>0.142857142857143</v>
      </c>
      <c r="G5789" s="265">
        <v>0</v>
      </c>
      <c r="H5789" s="265">
        <v>0.1</v>
      </c>
      <c r="I5789" s="265">
        <v>0</v>
      </c>
      <c r="J5789" s="265">
        <v>0</v>
      </c>
      <c r="K5789" s="265">
        <v>0.0625</v>
      </c>
      <c r="L5789" s="265">
        <v>0</v>
      </c>
      <c r="M5789" s="265">
        <v>0</v>
      </c>
      <c r="N5789" s="265">
        <v>0</v>
      </c>
      <c r="O5789" s="277">
        <v>0</v>
      </c>
    </row>
    <row r="5790" spans="1:15">
      <c r="A5790" s="266" t="s">
        <v>66</v>
      </c>
      <c r="B5790" s="267" t="s">
        <v>6</v>
      </c>
      <c r="C5790" s="15">
        <v>4</v>
      </c>
      <c r="D5790" s="269">
        <v>0</v>
      </c>
      <c r="E5790" s="269">
        <v>1</v>
      </c>
      <c r="F5790" s="269">
        <v>1</v>
      </c>
      <c r="G5790" s="269">
        <v>0</v>
      </c>
      <c r="H5790" s="269">
        <v>0</v>
      </c>
      <c r="I5790" s="269">
        <v>0</v>
      </c>
      <c r="J5790" s="269">
        <v>0</v>
      </c>
      <c r="K5790" s="269">
        <v>1</v>
      </c>
      <c r="L5790" s="269">
        <v>0</v>
      </c>
      <c r="M5790" s="269">
        <v>1</v>
      </c>
      <c r="N5790" s="269">
        <v>0</v>
      </c>
      <c r="O5790" s="279">
        <v>0</v>
      </c>
    </row>
    <row r="5791" ht="14.25" spans="1:15">
      <c r="A5791" s="270" t="s">
        <v>66</v>
      </c>
      <c r="B5791" s="271" t="s">
        <v>64</v>
      </c>
      <c r="C5791" s="19">
        <v>1</v>
      </c>
      <c r="D5791" s="272">
        <v>0</v>
      </c>
      <c r="E5791" s="272">
        <v>1</v>
      </c>
      <c r="F5791" s="272">
        <v>1</v>
      </c>
      <c r="G5791" s="272">
        <v>0</v>
      </c>
      <c r="H5791" s="272">
        <v>0</v>
      </c>
      <c r="I5791" s="272">
        <v>0</v>
      </c>
      <c r="J5791" s="272">
        <v>0</v>
      </c>
      <c r="K5791" s="272">
        <v>1</v>
      </c>
      <c r="L5791" s="272">
        <v>0</v>
      </c>
      <c r="M5791" s="272">
        <v>0</v>
      </c>
      <c r="N5791" s="272">
        <v>0</v>
      </c>
      <c r="O5791" s="280">
        <v>0</v>
      </c>
    </row>
    <row r="5792" spans="1:15">
      <c r="A5792" s="263" t="s">
        <v>67</v>
      </c>
      <c r="B5792" s="264" t="s">
        <v>55</v>
      </c>
      <c r="C5792" s="12">
        <v>0.466159052453469</v>
      </c>
      <c r="D5792" s="265">
        <v>0.46078431372549</v>
      </c>
      <c r="E5792" s="265">
        <v>0.416666666666667</v>
      </c>
      <c r="F5792" s="265">
        <v>0.454545454545455</v>
      </c>
      <c r="G5792" s="265">
        <v>0.434782608695652</v>
      </c>
      <c r="H5792" s="265">
        <v>0.418367346938776</v>
      </c>
      <c r="I5792" s="265">
        <v>0.48936170212766</v>
      </c>
      <c r="J5792" s="265">
        <v>0.387931034482759</v>
      </c>
      <c r="K5792" s="265">
        <v>0.575757575757576</v>
      </c>
      <c r="L5792" s="265">
        <v>0.484848484848485</v>
      </c>
      <c r="M5792" s="265">
        <v>0.447619047619048</v>
      </c>
      <c r="N5792" s="265">
        <v>0.488721804511278</v>
      </c>
      <c r="O5792" s="277">
        <v>0.454545454545455</v>
      </c>
    </row>
    <row r="5793" spans="1:15">
      <c r="A5793" s="266" t="s">
        <v>67</v>
      </c>
      <c r="B5793" s="267" t="s">
        <v>57</v>
      </c>
      <c r="C5793" s="15">
        <v>1182</v>
      </c>
      <c r="D5793" s="268">
        <v>102</v>
      </c>
      <c r="E5793" s="268">
        <v>36</v>
      </c>
      <c r="F5793" s="268">
        <v>22</v>
      </c>
      <c r="G5793" s="268">
        <v>69</v>
      </c>
      <c r="H5793" s="268">
        <v>98</v>
      </c>
      <c r="I5793" s="268">
        <v>94</v>
      </c>
      <c r="J5793" s="268">
        <v>116</v>
      </c>
      <c r="K5793" s="268">
        <v>132</v>
      </c>
      <c r="L5793" s="268">
        <v>132</v>
      </c>
      <c r="M5793" s="268">
        <v>105</v>
      </c>
      <c r="N5793" s="268">
        <v>133</v>
      </c>
      <c r="O5793" s="278">
        <v>143</v>
      </c>
    </row>
    <row r="5794" spans="1:15">
      <c r="A5794" s="263" t="s">
        <v>67</v>
      </c>
      <c r="B5794" s="264" t="s">
        <v>59</v>
      </c>
      <c r="C5794" s="15">
        <v>551</v>
      </c>
      <c r="D5794" s="268">
        <v>47</v>
      </c>
      <c r="E5794" s="268">
        <v>15</v>
      </c>
      <c r="F5794" s="268">
        <v>10</v>
      </c>
      <c r="G5794" s="268">
        <v>30</v>
      </c>
      <c r="H5794" s="268">
        <v>41</v>
      </c>
      <c r="I5794" s="268">
        <v>46</v>
      </c>
      <c r="J5794" s="268">
        <v>45</v>
      </c>
      <c r="K5794" s="268">
        <v>76</v>
      </c>
      <c r="L5794" s="268">
        <v>64</v>
      </c>
      <c r="M5794" s="268">
        <v>47</v>
      </c>
      <c r="N5794" s="268">
        <v>65</v>
      </c>
      <c r="O5794" s="278">
        <v>65</v>
      </c>
    </row>
    <row r="5795" spans="1:15">
      <c r="A5795" s="266" t="s">
        <v>67</v>
      </c>
      <c r="B5795" s="267" t="s">
        <v>4</v>
      </c>
      <c r="C5795" s="15">
        <v>12</v>
      </c>
      <c r="D5795" s="269">
        <v>1</v>
      </c>
      <c r="E5795" s="269">
        <v>1</v>
      </c>
      <c r="F5795" s="269">
        <v>1</v>
      </c>
      <c r="G5795" s="269">
        <v>0</v>
      </c>
      <c r="H5795" s="269">
        <v>0</v>
      </c>
      <c r="I5795" s="269">
        <v>2</v>
      </c>
      <c r="J5795" s="269">
        <v>1</v>
      </c>
      <c r="K5795" s="269">
        <v>1</v>
      </c>
      <c r="L5795" s="269">
        <v>0</v>
      </c>
      <c r="M5795" s="269">
        <v>1</v>
      </c>
      <c r="N5795" s="269">
        <v>3</v>
      </c>
      <c r="O5795" s="279">
        <v>1</v>
      </c>
    </row>
    <row r="5796" spans="1:15">
      <c r="A5796" s="263" t="s">
        <v>67</v>
      </c>
      <c r="B5796" s="264" t="s">
        <v>5</v>
      </c>
      <c r="C5796" s="12">
        <v>0.0217785843920145</v>
      </c>
      <c r="D5796" s="265">
        <v>0.0212765957446809</v>
      </c>
      <c r="E5796" s="265">
        <v>0.0666666666666667</v>
      </c>
      <c r="F5796" s="265">
        <v>0.1</v>
      </c>
      <c r="G5796" s="265">
        <v>0</v>
      </c>
      <c r="H5796" s="265">
        <v>0</v>
      </c>
      <c r="I5796" s="265">
        <v>0.0434782608695652</v>
      </c>
      <c r="J5796" s="265">
        <v>0.0222222222222222</v>
      </c>
      <c r="K5796" s="265">
        <v>0.0131578947368421</v>
      </c>
      <c r="L5796" s="265">
        <v>0</v>
      </c>
      <c r="M5796" s="265">
        <v>0.0212765957446809</v>
      </c>
      <c r="N5796" s="265">
        <v>0.0461538461538462</v>
      </c>
      <c r="O5796" s="277">
        <v>0.0153846153846154</v>
      </c>
    </row>
    <row r="5797" spans="1:15">
      <c r="A5797" s="266" t="s">
        <v>67</v>
      </c>
      <c r="B5797" s="267" t="s">
        <v>6</v>
      </c>
      <c r="C5797" s="15">
        <v>8</v>
      </c>
      <c r="D5797" s="269">
        <v>1</v>
      </c>
      <c r="E5797" s="269">
        <v>0</v>
      </c>
      <c r="F5797" s="269">
        <v>2</v>
      </c>
      <c r="G5797" s="269">
        <v>0</v>
      </c>
      <c r="H5797" s="269">
        <v>1</v>
      </c>
      <c r="I5797" s="269">
        <v>0</v>
      </c>
      <c r="J5797" s="269">
        <v>0</v>
      </c>
      <c r="K5797" s="269">
        <v>1</v>
      </c>
      <c r="L5797" s="269">
        <v>0</v>
      </c>
      <c r="M5797" s="269">
        <v>0</v>
      </c>
      <c r="N5797" s="269">
        <v>3</v>
      </c>
      <c r="O5797" s="279">
        <v>0</v>
      </c>
    </row>
    <row r="5798" ht="14.25" spans="1:15">
      <c r="A5798" s="270" t="s">
        <v>67</v>
      </c>
      <c r="B5798" s="271" t="s">
        <v>64</v>
      </c>
      <c r="C5798" s="19">
        <v>0.666666666666667</v>
      </c>
      <c r="D5798" s="272">
        <v>1</v>
      </c>
      <c r="E5798" s="272">
        <v>0</v>
      </c>
      <c r="F5798" s="272">
        <v>2</v>
      </c>
      <c r="G5798" s="272">
        <v>0</v>
      </c>
      <c r="H5798" s="272">
        <v>0</v>
      </c>
      <c r="I5798" s="272">
        <v>0</v>
      </c>
      <c r="J5798" s="272">
        <v>0</v>
      </c>
      <c r="K5798" s="272">
        <v>1</v>
      </c>
      <c r="L5798" s="272">
        <v>0</v>
      </c>
      <c r="M5798" s="272">
        <v>0</v>
      </c>
      <c r="N5798" s="272">
        <v>1</v>
      </c>
      <c r="O5798" s="280">
        <v>0</v>
      </c>
    </row>
    <row r="5799" spans="1:15">
      <c r="A5799" s="263" t="s">
        <v>68</v>
      </c>
      <c r="B5799" s="264" t="s">
        <v>55</v>
      </c>
      <c r="C5799" s="12">
        <v>0.117732793522267</v>
      </c>
      <c r="D5799" s="265">
        <v>0.175213675213675</v>
      </c>
      <c r="E5799" s="265">
        <v>0.184426229508197</v>
      </c>
      <c r="F5799" s="265">
        <v>0.29746835443038</v>
      </c>
      <c r="G5799" s="265">
        <v>0.122448979591837</v>
      </c>
      <c r="H5799" s="265">
        <v>0.157777777777778</v>
      </c>
      <c r="I5799" s="265">
        <v>0.0855614973262032</v>
      </c>
      <c r="J5799" s="265">
        <v>0.0870229007633588</v>
      </c>
      <c r="K5799" s="265">
        <v>0.0892857142857143</v>
      </c>
      <c r="L5799" s="265">
        <v>0.0980392156862745</v>
      </c>
      <c r="M5799" s="265">
        <v>0.119642857142857</v>
      </c>
      <c r="N5799" s="265">
        <v>0.100494233937397</v>
      </c>
      <c r="O5799" s="277">
        <v>0.109254498714653</v>
      </c>
    </row>
    <row r="5800" spans="1:15">
      <c r="A5800" s="266" t="s">
        <v>68</v>
      </c>
      <c r="B5800" s="267" t="s">
        <v>57</v>
      </c>
      <c r="C5800" s="15">
        <v>6175</v>
      </c>
      <c r="D5800" s="268">
        <v>468</v>
      </c>
      <c r="E5800" s="268">
        <v>244</v>
      </c>
      <c r="F5800" s="268">
        <v>158</v>
      </c>
      <c r="G5800" s="268">
        <v>196</v>
      </c>
      <c r="H5800" s="268">
        <v>450</v>
      </c>
      <c r="I5800" s="268">
        <v>561</v>
      </c>
      <c r="J5800" s="268">
        <v>655</v>
      </c>
      <c r="K5800" s="268">
        <v>784</v>
      </c>
      <c r="L5800" s="268">
        <v>714</v>
      </c>
      <c r="M5800" s="268">
        <v>560</v>
      </c>
      <c r="N5800" s="268">
        <v>607</v>
      </c>
      <c r="O5800" s="278">
        <v>778</v>
      </c>
    </row>
    <row r="5801" spans="1:15">
      <c r="A5801" s="263" t="s">
        <v>68</v>
      </c>
      <c r="B5801" s="264" t="s">
        <v>59</v>
      </c>
      <c r="C5801" s="15">
        <v>727</v>
      </c>
      <c r="D5801" s="268">
        <v>82</v>
      </c>
      <c r="E5801" s="268">
        <v>45</v>
      </c>
      <c r="F5801" s="268">
        <v>47</v>
      </c>
      <c r="G5801" s="268">
        <v>24</v>
      </c>
      <c r="H5801" s="268">
        <v>71</v>
      </c>
      <c r="I5801" s="268">
        <v>48</v>
      </c>
      <c r="J5801" s="268">
        <v>57</v>
      </c>
      <c r="K5801" s="268">
        <v>70</v>
      </c>
      <c r="L5801" s="268">
        <v>70</v>
      </c>
      <c r="M5801" s="268">
        <v>67</v>
      </c>
      <c r="N5801" s="268">
        <v>61</v>
      </c>
      <c r="O5801" s="278">
        <v>85</v>
      </c>
    </row>
    <row r="5802" spans="1:15">
      <c r="A5802" s="266" t="s">
        <v>68</v>
      </c>
      <c r="B5802" s="267" t="s">
        <v>4</v>
      </c>
      <c r="C5802" s="15">
        <v>39</v>
      </c>
      <c r="D5802" s="269">
        <v>7</v>
      </c>
      <c r="E5802" s="269">
        <v>6</v>
      </c>
      <c r="F5802" s="269">
        <v>1</v>
      </c>
      <c r="G5802" s="269">
        <v>0</v>
      </c>
      <c r="H5802" s="269">
        <v>1</v>
      </c>
      <c r="I5802" s="269">
        <v>1</v>
      </c>
      <c r="J5802" s="269">
        <v>2</v>
      </c>
      <c r="K5802" s="269">
        <v>3</v>
      </c>
      <c r="L5802" s="269">
        <v>5</v>
      </c>
      <c r="M5802" s="269">
        <v>2</v>
      </c>
      <c r="N5802" s="269">
        <v>2</v>
      </c>
      <c r="O5802" s="279">
        <v>9</v>
      </c>
    </row>
    <row r="5803" spans="1:15">
      <c r="A5803" s="263" t="s">
        <v>68</v>
      </c>
      <c r="B5803" s="264" t="s">
        <v>5</v>
      </c>
      <c r="C5803" s="12">
        <v>0.0536451169188446</v>
      </c>
      <c r="D5803" s="265">
        <v>0.0853658536585366</v>
      </c>
      <c r="E5803" s="265">
        <v>0.133333333333333</v>
      </c>
      <c r="F5803" s="265">
        <v>0.0212765957446809</v>
      </c>
      <c r="G5803" s="265">
        <v>0</v>
      </c>
      <c r="H5803" s="265">
        <v>0.0140845070422535</v>
      </c>
      <c r="I5803" s="265">
        <v>0.0208333333333333</v>
      </c>
      <c r="J5803" s="265">
        <v>0.0350877192982456</v>
      </c>
      <c r="K5803" s="265">
        <v>0.0428571428571429</v>
      </c>
      <c r="L5803" s="265">
        <v>0.0714285714285714</v>
      </c>
      <c r="M5803" s="265">
        <v>0.0298507462686567</v>
      </c>
      <c r="N5803" s="265">
        <v>0.0327868852459016</v>
      </c>
      <c r="O5803" s="277">
        <v>0.105882352941176</v>
      </c>
    </row>
    <row r="5804" spans="1:15">
      <c r="A5804" s="266" t="s">
        <v>68</v>
      </c>
      <c r="B5804" s="267" t="s">
        <v>6</v>
      </c>
      <c r="C5804" s="15">
        <v>18</v>
      </c>
      <c r="D5804" s="269">
        <v>4</v>
      </c>
      <c r="E5804" s="269">
        <v>2</v>
      </c>
      <c r="F5804" s="269">
        <v>3</v>
      </c>
      <c r="G5804" s="269">
        <v>1</v>
      </c>
      <c r="H5804" s="269">
        <v>0</v>
      </c>
      <c r="I5804" s="269">
        <v>2</v>
      </c>
      <c r="J5804" s="269">
        <v>1</v>
      </c>
      <c r="K5804" s="269">
        <v>0</v>
      </c>
      <c r="L5804" s="269">
        <v>3</v>
      </c>
      <c r="M5804" s="269">
        <v>2</v>
      </c>
      <c r="N5804" s="269">
        <v>0</v>
      </c>
      <c r="O5804" s="279">
        <v>0</v>
      </c>
    </row>
    <row r="5805" ht="14.25" spans="1:15">
      <c r="A5805" s="270" t="s">
        <v>68</v>
      </c>
      <c r="B5805" s="271" t="s">
        <v>64</v>
      </c>
      <c r="C5805" s="19">
        <v>0.461538461538462</v>
      </c>
      <c r="D5805" s="272">
        <v>0.571428571428571</v>
      </c>
      <c r="E5805" s="272">
        <v>0.333333333333333</v>
      </c>
      <c r="F5805" s="272">
        <v>3</v>
      </c>
      <c r="G5805" s="272">
        <v>0</v>
      </c>
      <c r="H5805" s="272">
        <v>0</v>
      </c>
      <c r="I5805" s="272">
        <v>2</v>
      </c>
      <c r="J5805" s="272">
        <v>0.5</v>
      </c>
      <c r="K5805" s="272">
        <v>0</v>
      </c>
      <c r="L5805" s="272">
        <v>0.6</v>
      </c>
      <c r="M5805" s="272">
        <v>1</v>
      </c>
      <c r="N5805" s="272">
        <v>0</v>
      </c>
      <c r="O5805" s="280">
        <v>0</v>
      </c>
    </row>
    <row r="5806" spans="1:15">
      <c r="A5806" s="263" t="s">
        <v>69</v>
      </c>
      <c r="B5806" s="264" t="s">
        <v>55</v>
      </c>
      <c r="C5806" s="12">
        <v>1.20220588235294</v>
      </c>
      <c r="D5806" s="265">
        <v>1.68965517241379</v>
      </c>
      <c r="E5806" s="265">
        <v>0.928571428571429</v>
      </c>
      <c r="F5806" s="265">
        <v>1.42857142857143</v>
      </c>
      <c r="G5806" s="265">
        <v>1.33333333333333</v>
      </c>
      <c r="H5806" s="265">
        <v>1.46153846153846</v>
      </c>
      <c r="I5806" s="265">
        <v>1.11764705882353</v>
      </c>
      <c r="J5806" s="265">
        <v>1.375</v>
      </c>
      <c r="K5806" s="265">
        <v>1.52380952380952</v>
      </c>
      <c r="L5806" s="265">
        <v>1.15384615384615</v>
      </c>
      <c r="M5806" s="265">
        <v>1.0625</v>
      </c>
      <c r="N5806" s="265">
        <v>0.810810810810811</v>
      </c>
      <c r="O5806" s="277">
        <v>1.06976744186047</v>
      </c>
    </row>
    <row r="5807" spans="1:15">
      <c r="A5807" s="266" t="s">
        <v>69</v>
      </c>
      <c r="B5807" s="267" t="s">
        <v>57</v>
      </c>
      <c r="C5807" s="15">
        <v>272</v>
      </c>
      <c r="D5807" s="268">
        <v>29</v>
      </c>
      <c r="E5807" s="268">
        <v>14</v>
      </c>
      <c r="F5807" s="268">
        <v>7</v>
      </c>
      <c r="G5807" s="268">
        <v>9</v>
      </c>
      <c r="H5807" s="268">
        <v>13</v>
      </c>
      <c r="I5807" s="268">
        <v>17</v>
      </c>
      <c r="J5807" s="268">
        <v>24</v>
      </c>
      <c r="K5807" s="268">
        <v>21</v>
      </c>
      <c r="L5807" s="268">
        <v>26</v>
      </c>
      <c r="M5807" s="268">
        <v>32</v>
      </c>
      <c r="N5807" s="268">
        <v>37</v>
      </c>
      <c r="O5807" s="278">
        <v>43</v>
      </c>
    </row>
    <row r="5808" spans="1:15">
      <c r="A5808" s="263" t="s">
        <v>69</v>
      </c>
      <c r="B5808" s="264" t="s">
        <v>59</v>
      </c>
      <c r="C5808" s="15">
        <v>327</v>
      </c>
      <c r="D5808" s="268">
        <v>49</v>
      </c>
      <c r="E5808" s="268">
        <v>13</v>
      </c>
      <c r="F5808" s="268">
        <v>10</v>
      </c>
      <c r="G5808" s="268">
        <v>12</v>
      </c>
      <c r="H5808" s="268">
        <v>19</v>
      </c>
      <c r="I5808" s="268">
        <v>19</v>
      </c>
      <c r="J5808" s="268">
        <v>33</v>
      </c>
      <c r="K5808" s="268">
        <v>32</v>
      </c>
      <c r="L5808" s="268">
        <v>30</v>
      </c>
      <c r="M5808" s="268">
        <v>34</v>
      </c>
      <c r="N5808" s="268">
        <v>30</v>
      </c>
      <c r="O5808" s="278">
        <v>46</v>
      </c>
    </row>
    <row r="5809" spans="1:15">
      <c r="A5809" s="266" t="s">
        <v>69</v>
      </c>
      <c r="B5809" s="267" t="s">
        <v>4</v>
      </c>
      <c r="C5809" s="15">
        <v>5</v>
      </c>
      <c r="D5809" s="269">
        <v>0</v>
      </c>
      <c r="E5809" s="269">
        <v>1</v>
      </c>
      <c r="F5809" s="269">
        <v>0</v>
      </c>
      <c r="G5809" s="269">
        <v>0</v>
      </c>
      <c r="H5809" s="269">
        <v>0</v>
      </c>
      <c r="I5809" s="269">
        <v>0</v>
      </c>
      <c r="J5809" s="269">
        <v>2</v>
      </c>
      <c r="K5809" s="269">
        <v>0</v>
      </c>
      <c r="L5809" s="269">
        <v>0</v>
      </c>
      <c r="M5809" s="269">
        <v>1</v>
      </c>
      <c r="N5809" s="269">
        <v>0</v>
      </c>
      <c r="O5809" s="279">
        <v>1</v>
      </c>
    </row>
    <row r="5810" spans="1:15">
      <c r="A5810" s="263" t="s">
        <v>69</v>
      </c>
      <c r="B5810" s="264" t="s">
        <v>5</v>
      </c>
      <c r="C5810" s="12">
        <v>0.0152905198776758</v>
      </c>
      <c r="D5810" s="265">
        <v>0</v>
      </c>
      <c r="E5810" s="265">
        <v>0.0769230769230769</v>
      </c>
      <c r="F5810" s="265">
        <v>0</v>
      </c>
      <c r="G5810" s="265">
        <v>0</v>
      </c>
      <c r="H5810" s="265">
        <v>0</v>
      </c>
      <c r="I5810" s="265">
        <v>0</v>
      </c>
      <c r="J5810" s="265">
        <v>0.0606060606060606</v>
      </c>
      <c r="K5810" s="265">
        <v>0</v>
      </c>
      <c r="L5810" s="265">
        <v>0</v>
      </c>
      <c r="M5810" s="265">
        <v>0.0294117647058824</v>
      </c>
      <c r="N5810" s="265">
        <v>0</v>
      </c>
      <c r="O5810" s="277">
        <v>0.0217391304347826</v>
      </c>
    </row>
    <row r="5811" spans="1:15">
      <c r="A5811" s="266" t="s">
        <v>69</v>
      </c>
      <c r="B5811" s="267" t="s">
        <v>6</v>
      </c>
      <c r="C5811" s="15">
        <v>3</v>
      </c>
      <c r="D5811" s="269">
        <v>0</v>
      </c>
      <c r="E5811" s="269">
        <v>1</v>
      </c>
      <c r="F5811" s="269">
        <v>0</v>
      </c>
      <c r="G5811" s="269">
        <v>0</v>
      </c>
      <c r="H5811" s="269">
        <v>0</v>
      </c>
      <c r="I5811" s="269">
        <v>0</v>
      </c>
      <c r="J5811" s="269">
        <v>1</v>
      </c>
      <c r="K5811" s="269">
        <v>0</v>
      </c>
      <c r="L5811" s="269">
        <v>1</v>
      </c>
      <c r="M5811" s="269">
        <v>0</v>
      </c>
      <c r="N5811" s="269">
        <v>0</v>
      </c>
      <c r="O5811" s="279">
        <v>0</v>
      </c>
    </row>
    <row r="5812" ht="14.25" spans="1:15">
      <c r="A5812" s="270" t="s">
        <v>69</v>
      </c>
      <c r="B5812" s="271" t="s">
        <v>64</v>
      </c>
      <c r="C5812" s="19">
        <v>0.6</v>
      </c>
      <c r="D5812" s="272">
        <v>0</v>
      </c>
      <c r="E5812" s="272">
        <v>1</v>
      </c>
      <c r="F5812" s="272">
        <v>0</v>
      </c>
      <c r="G5812" s="272">
        <v>0</v>
      </c>
      <c r="H5812" s="272">
        <v>0</v>
      </c>
      <c r="I5812" s="272">
        <v>0</v>
      </c>
      <c r="J5812" s="272">
        <v>0.5</v>
      </c>
      <c r="K5812" s="272">
        <v>0</v>
      </c>
      <c r="L5812" s="272">
        <v>0</v>
      </c>
      <c r="M5812" s="272">
        <v>0</v>
      </c>
      <c r="N5812" s="272">
        <v>0</v>
      </c>
      <c r="O5812" s="280">
        <v>0</v>
      </c>
    </row>
    <row r="5813" spans="1:15">
      <c r="A5813" s="263" t="s">
        <v>70</v>
      </c>
      <c r="B5813" s="264" t="s">
        <v>55</v>
      </c>
      <c r="C5813" s="12">
        <v>0.942708333333333</v>
      </c>
      <c r="D5813" s="265">
        <v>1.60869565217391</v>
      </c>
      <c r="E5813" s="265">
        <v>1.19230769230769</v>
      </c>
      <c r="F5813" s="265">
        <v>1</v>
      </c>
      <c r="G5813" s="265">
        <v>1.15</v>
      </c>
      <c r="H5813" s="265">
        <v>1.07142857142857</v>
      </c>
      <c r="I5813" s="265">
        <v>0.911111111111111</v>
      </c>
      <c r="J5813" s="265">
        <v>0.888888888888889</v>
      </c>
      <c r="K5813" s="265">
        <v>0.807692307692308</v>
      </c>
      <c r="L5813" s="265">
        <v>0.822222222222222</v>
      </c>
      <c r="M5813" s="265">
        <v>1.03703703703704</v>
      </c>
      <c r="N5813" s="265">
        <v>0.631578947368421</v>
      </c>
      <c r="O5813" s="277">
        <v>0.695652173913043</v>
      </c>
    </row>
    <row r="5814" spans="1:15">
      <c r="A5814" s="266" t="s">
        <v>70</v>
      </c>
      <c r="B5814" s="267" t="s">
        <v>57</v>
      </c>
      <c r="C5814" s="15">
        <v>384</v>
      </c>
      <c r="D5814" s="268">
        <v>23</v>
      </c>
      <c r="E5814" s="268">
        <v>26</v>
      </c>
      <c r="F5814" s="268">
        <v>21</v>
      </c>
      <c r="G5814" s="268">
        <v>20</v>
      </c>
      <c r="H5814" s="268">
        <v>28</v>
      </c>
      <c r="I5814" s="268">
        <v>45</v>
      </c>
      <c r="J5814" s="268">
        <v>36</v>
      </c>
      <c r="K5814" s="268">
        <v>52</v>
      </c>
      <c r="L5814" s="268">
        <v>45</v>
      </c>
      <c r="M5814" s="268">
        <v>27</v>
      </c>
      <c r="N5814" s="268">
        <v>38</v>
      </c>
      <c r="O5814" s="278">
        <v>23</v>
      </c>
    </row>
    <row r="5815" spans="1:15">
      <c r="A5815" s="263" t="s">
        <v>70</v>
      </c>
      <c r="B5815" s="264" t="s">
        <v>59</v>
      </c>
      <c r="C5815" s="15">
        <v>362</v>
      </c>
      <c r="D5815" s="268">
        <v>37</v>
      </c>
      <c r="E5815" s="268">
        <v>31</v>
      </c>
      <c r="F5815" s="268">
        <v>21</v>
      </c>
      <c r="G5815" s="268">
        <v>23</v>
      </c>
      <c r="H5815" s="268">
        <v>30</v>
      </c>
      <c r="I5815" s="268">
        <v>41</v>
      </c>
      <c r="J5815" s="268">
        <v>32</v>
      </c>
      <c r="K5815" s="268">
        <v>42</v>
      </c>
      <c r="L5815" s="268">
        <v>37</v>
      </c>
      <c r="M5815" s="268">
        <v>28</v>
      </c>
      <c r="N5815" s="268">
        <v>24</v>
      </c>
      <c r="O5815" s="278">
        <v>16</v>
      </c>
    </row>
    <row r="5816" spans="1:15">
      <c r="A5816" s="266" t="s">
        <v>70</v>
      </c>
      <c r="B5816" s="267" t="s">
        <v>4</v>
      </c>
      <c r="C5816" s="15">
        <v>4</v>
      </c>
      <c r="D5816" s="269">
        <v>0</v>
      </c>
      <c r="E5816" s="269">
        <v>1</v>
      </c>
      <c r="F5816" s="269">
        <v>0</v>
      </c>
      <c r="G5816" s="269">
        <v>0</v>
      </c>
      <c r="H5816" s="269">
        <v>0</v>
      </c>
      <c r="I5816" s="269">
        <v>1</v>
      </c>
      <c r="J5816" s="269">
        <v>0</v>
      </c>
      <c r="K5816" s="269">
        <v>0</v>
      </c>
      <c r="L5816" s="269">
        <v>0</v>
      </c>
      <c r="M5816" s="269">
        <v>0</v>
      </c>
      <c r="N5816" s="269">
        <v>1</v>
      </c>
      <c r="O5816" s="279">
        <v>1</v>
      </c>
    </row>
    <row r="5817" spans="1:15">
      <c r="A5817" s="263" t="s">
        <v>70</v>
      </c>
      <c r="B5817" s="264" t="s">
        <v>5</v>
      </c>
      <c r="C5817" s="12">
        <v>0.0110497237569061</v>
      </c>
      <c r="D5817" s="265">
        <v>0</v>
      </c>
      <c r="E5817" s="265">
        <v>0.032258064516129</v>
      </c>
      <c r="F5817" s="265">
        <v>0</v>
      </c>
      <c r="G5817" s="265">
        <v>0</v>
      </c>
      <c r="H5817" s="265">
        <v>0</v>
      </c>
      <c r="I5817" s="265">
        <v>0.024390243902439</v>
      </c>
      <c r="J5817" s="265">
        <v>0</v>
      </c>
      <c r="K5817" s="265">
        <v>0</v>
      </c>
      <c r="L5817" s="265">
        <v>0</v>
      </c>
      <c r="M5817" s="265">
        <v>0</v>
      </c>
      <c r="N5817" s="265">
        <v>0.0416666666666667</v>
      </c>
      <c r="O5817" s="277">
        <v>0.0625</v>
      </c>
    </row>
    <row r="5818" spans="1:15">
      <c r="A5818" s="266" t="s">
        <v>70</v>
      </c>
      <c r="B5818" s="267" t="s">
        <v>6</v>
      </c>
      <c r="C5818" s="15">
        <v>4</v>
      </c>
      <c r="D5818" s="269">
        <v>0</v>
      </c>
      <c r="E5818" s="269">
        <v>0</v>
      </c>
      <c r="F5818" s="269">
        <v>0</v>
      </c>
      <c r="G5818" s="269">
        <v>0</v>
      </c>
      <c r="H5818" s="269">
        <v>0</v>
      </c>
      <c r="I5818" s="269">
        <v>2</v>
      </c>
      <c r="J5818" s="269">
        <v>0</v>
      </c>
      <c r="K5818" s="269">
        <v>1</v>
      </c>
      <c r="L5818" s="269">
        <v>0</v>
      </c>
      <c r="M5818" s="269">
        <v>0</v>
      </c>
      <c r="N5818" s="269">
        <v>0</v>
      </c>
      <c r="O5818" s="279">
        <v>1</v>
      </c>
    </row>
    <row r="5819" ht="14.25" spans="1:15">
      <c r="A5819" s="270" t="s">
        <v>70</v>
      </c>
      <c r="B5819" s="271" t="s">
        <v>64</v>
      </c>
      <c r="C5819" s="19">
        <v>1</v>
      </c>
      <c r="D5819" s="272">
        <v>0</v>
      </c>
      <c r="E5819" s="272">
        <v>0</v>
      </c>
      <c r="F5819" s="272">
        <v>0</v>
      </c>
      <c r="G5819" s="272">
        <v>0</v>
      </c>
      <c r="H5819" s="272">
        <v>0</v>
      </c>
      <c r="I5819" s="272">
        <v>2</v>
      </c>
      <c r="J5819" s="272">
        <v>0</v>
      </c>
      <c r="K5819" s="272">
        <v>0</v>
      </c>
      <c r="L5819" s="272">
        <v>0</v>
      </c>
      <c r="M5819" s="272">
        <v>0</v>
      </c>
      <c r="N5819" s="272">
        <v>0</v>
      </c>
      <c r="O5819" s="280">
        <v>1</v>
      </c>
    </row>
    <row r="5820" spans="1:15">
      <c r="A5820" s="263" t="s">
        <v>26</v>
      </c>
      <c r="B5820" s="264" t="s">
        <v>55</v>
      </c>
      <c r="C5820" s="12" t="e">
        <v>#DIV/0!</v>
      </c>
      <c r="D5820" s="265" t="e">
        <v>#DIV/0!</v>
      </c>
      <c r="E5820" s="265" t="e">
        <v>#DIV/0!</v>
      </c>
      <c r="F5820" s="265" t="e">
        <v>#DIV/0!</v>
      </c>
      <c r="G5820" s="265" t="e">
        <v>#DIV/0!</v>
      </c>
      <c r="H5820" s="265" t="e">
        <v>#DIV/0!</v>
      </c>
      <c r="I5820" s="265" t="e">
        <v>#DIV/0!</v>
      </c>
      <c r="J5820" s="265" t="e">
        <v>#DIV/0!</v>
      </c>
      <c r="K5820" s="265" t="e">
        <v>#DIV/0!</v>
      </c>
      <c r="L5820" s="265" t="e">
        <v>#DIV/0!</v>
      </c>
      <c r="M5820" s="265" t="e">
        <v>#DIV/0!</v>
      </c>
      <c r="N5820" s="265" t="e">
        <v>#DIV/0!</v>
      </c>
      <c r="O5820" s="277" t="e">
        <v>#DIV/0!</v>
      </c>
    </row>
    <row r="5821" spans="1:15">
      <c r="A5821" s="266" t="s">
        <v>26</v>
      </c>
      <c r="B5821" s="267" t="s">
        <v>57</v>
      </c>
      <c r="C5821" s="15">
        <v>0</v>
      </c>
      <c r="D5821" s="268">
        <v>0</v>
      </c>
      <c r="E5821" s="268">
        <v>0</v>
      </c>
      <c r="F5821" s="268">
        <v>0</v>
      </c>
      <c r="G5821" s="268">
        <v>0</v>
      </c>
      <c r="H5821" s="268">
        <v>0</v>
      </c>
      <c r="I5821" s="268">
        <v>0</v>
      </c>
      <c r="J5821" s="268">
        <v>0</v>
      </c>
      <c r="K5821" s="268">
        <v>0</v>
      </c>
      <c r="L5821" s="268">
        <v>0</v>
      </c>
      <c r="M5821" s="268">
        <v>0</v>
      </c>
      <c r="N5821" s="268">
        <v>0</v>
      </c>
      <c r="O5821" s="278">
        <v>0</v>
      </c>
    </row>
    <row r="5822" spans="1:15">
      <c r="A5822" s="263" t="s">
        <v>26</v>
      </c>
      <c r="B5822" s="264" t="s">
        <v>59</v>
      </c>
      <c r="C5822" s="15">
        <v>928</v>
      </c>
      <c r="D5822" s="268">
        <v>73</v>
      </c>
      <c r="E5822" s="268">
        <v>22</v>
      </c>
      <c r="F5822" s="268">
        <v>39</v>
      </c>
      <c r="G5822" s="268">
        <v>58</v>
      </c>
      <c r="H5822" s="268">
        <v>99</v>
      </c>
      <c r="I5822" s="268">
        <v>82</v>
      </c>
      <c r="J5822" s="268">
        <v>78</v>
      </c>
      <c r="K5822" s="268">
        <v>105</v>
      </c>
      <c r="L5822" s="268">
        <v>98</v>
      </c>
      <c r="M5822" s="268">
        <v>68</v>
      </c>
      <c r="N5822" s="268">
        <v>88</v>
      </c>
      <c r="O5822" s="278">
        <v>118</v>
      </c>
    </row>
    <row r="5823" spans="1:15">
      <c r="A5823" s="266" t="s">
        <v>26</v>
      </c>
      <c r="B5823" s="267" t="s">
        <v>4</v>
      </c>
      <c r="C5823" s="15">
        <v>12</v>
      </c>
      <c r="D5823" s="269">
        <v>2</v>
      </c>
      <c r="E5823" s="269">
        <v>1</v>
      </c>
      <c r="F5823" s="269">
        <v>0</v>
      </c>
      <c r="G5823" s="269">
        <v>1</v>
      </c>
      <c r="H5823" s="269">
        <v>0</v>
      </c>
      <c r="I5823" s="269">
        <v>1</v>
      </c>
      <c r="J5823" s="269">
        <v>0</v>
      </c>
      <c r="K5823" s="269">
        <v>2</v>
      </c>
      <c r="L5823" s="269">
        <v>3</v>
      </c>
      <c r="M5823" s="269">
        <v>0</v>
      </c>
      <c r="N5823" s="269">
        <v>2</v>
      </c>
      <c r="O5823" s="279">
        <v>0</v>
      </c>
    </row>
    <row r="5824" spans="1:15">
      <c r="A5824" s="263" t="s">
        <v>26</v>
      </c>
      <c r="B5824" s="264" t="s">
        <v>5</v>
      </c>
      <c r="C5824" s="12">
        <v>0.0129310344827586</v>
      </c>
      <c r="D5824" s="265">
        <v>0.0273972602739726</v>
      </c>
      <c r="E5824" s="265">
        <v>0.0454545454545455</v>
      </c>
      <c r="F5824" s="265">
        <v>0</v>
      </c>
      <c r="G5824" s="265">
        <v>0.0172413793103448</v>
      </c>
      <c r="H5824" s="265">
        <v>0</v>
      </c>
      <c r="I5824" s="265">
        <v>0.0121951219512195</v>
      </c>
      <c r="J5824" s="265">
        <v>0</v>
      </c>
      <c r="K5824" s="265">
        <v>0.019047619047619</v>
      </c>
      <c r="L5824" s="265">
        <v>0.0306122448979592</v>
      </c>
      <c r="M5824" s="265">
        <v>0</v>
      </c>
      <c r="N5824" s="265">
        <v>0.0227272727272727</v>
      </c>
      <c r="O5824" s="277">
        <v>0</v>
      </c>
    </row>
    <row r="5825" spans="1:15">
      <c r="A5825" s="266" t="s">
        <v>26</v>
      </c>
      <c r="B5825" s="267" t="s">
        <v>6</v>
      </c>
      <c r="C5825" s="15">
        <v>1</v>
      </c>
      <c r="D5825" s="269">
        <v>0</v>
      </c>
      <c r="E5825" s="269">
        <v>0</v>
      </c>
      <c r="F5825" s="269">
        <v>0</v>
      </c>
      <c r="G5825" s="269">
        <v>0</v>
      </c>
      <c r="H5825" s="269">
        <v>0</v>
      </c>
      <c r="I5825" s="269">
        <v>0</v>
      </c>
      <c r="J5825" s="269">
        <v>0</v>
      </c>
      <c r="K5825" s="269">
        <v>0</v>
      </c>
      <c r="L5825" s="269">
        <v>0</v>
      </c>
      <c r="M5825" s="269">
        <v>0</v>
      </c>
      <c r="N5825" s="269">
        <v>0</v>
      </c>
      <c r="O5825" s="279">
        <v>1</v>
      </c>
    </row>
    <row r="5826" ht="14.25" spans="1:15">
      <c r="A5826" s="270" t="s">
        <v>26</v>
      </c>
      <c r="B5826" s="271" t="s">
        <v>64</v>
      </c>
      <c r="C5826" s="19">
        <v>0.0833333333333333</v>
      </c>
      <c r="D5826" s="19">
        <v>0</v>
      </c>
      <c r="E5826" s="19">
        <v>0</v>
      </c>
      <c r="F5826" s="19" t="e">
        <v>#DIV/0!</v>
      </c>
      <c r="G5826" s="19">
        <v>0</v>
      </c>
      <c r="H5826" s="19" t="e">
        <v>#DIV/0!</v>
      </c>
      <c r="I5826" s="19">
        <v>0</v>
      </c>
      <c r="J5826" s="19" t="e">
        <v>#DIV/0!</v>
      </c>
      <c r="K5826" s="19">
        <v>0</v>
      </c>
      <c r="L5826" s="19">
        <v>0</v>
      </c>
      <c r="M5826" s="19" t="e">
        <v>#DIV/0!</v>
      </c>
      <c r="N5826" s="19">
        <v>0</v>
      </c>
      <c r="O5826" s="19" t="e">
        <v>#DIV/0!</v>
      </c>
    </row>
    <row r="5827" spans="1:15">
      <c r="A5827" s="263" t="s">
        <v>71</v>
      </c>
      <c r="B5827" s="264" t="s">
        <v>55</v>
      </c>
      <c r="C5827" s="12">
        <v>641</v>
      </c>
      <c r="D5827" s="265" t="e">
        <v>#DIV/0!</v>
      </c>
      <c r="E5827" s="265" t="e">
        <v>#DIV/0!</v>
      </c>
      <c r="F5827" s="265">
        <v>57</v>
      </c>
      <c r="G5827" s="265" t="e">
        <v>#DIV/0!</v>
      </c>
      <c r="H5827" s="265" t="e">
        <v>#DIV/0!</v>
      </c>
      <c r="I5827" s="265" t="e">
        <v>#DIV/0!</v>
      </c>
      <c r="J5827" s="265" t="e">
        <v>#DIV/0!</v>
      </c>
      <c r="K5827" s="265" t="e">
        <v>#DIV/0!</v>
      </c>
      <c r="L5827" s="265" t="e">
        <v>#DIV/0!</v>
      </c>
      <c r="M5827" s="265" t="e">
        <v>#DIV/0!</v>
      </c>
      <c r="N5827" s="265" t="e">
        <v>#DIV/0!</v>
      </c>
      <c r="O5827" s="277" t="e">
        <v>#DIV/0!</v>
      </c>
    </row>
    <row r="5828" spans="1:15">
      <c r="A5828" s="266" t="s">
        <v>71</v>
      </c>
      <c r="B5828" s="267" t="s">
        <v>57</v>
      </c>
      <c r="C5828" s="15">
        <v>1</v>
      </c>
      <c r="D5828" s="268">
        <v>0</v>
      </c>
      <c r="E5828" s="268">
        <v>0</v>
      </c>
      <c r="F5828" s="268">
        <v>1</v>
      </c>
      <c r="G5828" s="268">
        <v>0</v>
      </c>
      <c r="H5828" s="268">
        <v>0</v>
      </c>
      <c r="I5828" s="268">
        <v>0</v>
      </c>
      <c r="J5828" s="268">
        <v>0</v>
      </c>
      <c r="K5828" s="268">
        <v>0</v>
      </c>
      <c r="L5828" s="268">
        <v>0</v>
      </c>
      <c r="M5828" s="268">
        <v>0</v>
      </c>
      <c r="N5828" s="268">
        <v>0</v>
      </c>
      <c r="O5828" s="278">
        <v>0</v>
      </c>
    </row>
    <row r="5829" spans="1:15">
      <c r="A5829" s="263" t="s">
        <v>71</v>
      </c>
      <c r="B5829" s="264" t="s">
        <v>59</v>
      </c>
      <c r="C5829" s="15">
        <v>641</v>
      </c>
      <c r="D5829" s="268">
        <v>85</v>
      </c>
      <c r="E5829" s="268">
        <v>52</v>
      </c>
      <c r="F5829" s="268">
        <v>57</v>
      </c>
      <c r="G5829" s="268">
        <v>43</v>
      </c>
      <c r="H5829" s="268">
        <v>53</v>
      </c>
      <c r="I5829" s="268">
        <v>36</v>
      </c>
      <c r="J5829" s="268">
        <v>35</v>
      </c>
      <c r="K5829" s="268">
        <v>32</v>
      </c>
      <c r="L5829" s="268">
        <v>39</v>
      </c>
      <c r="M5829" s="268">
        <v>76</v>
      </c>
      <c r="N5829" s="268">
        <v>69</v>
      </c>
      <c r="O5829" s="278">
        <v>64</v>
      </c>
    </row>
    <row r="5830" spans="1:15">
      <c r="A5830" s="266" t="s">
        <v>71</v>
      </c>
      <c r="B5830" s="267" t="s">
        <v>4</v>
      </c>
      <c r="C5830" s="15">
        <v>43</v>
      </c>
      <c r="D5830" s="269">
        <v>6</v>
      </c>
      <c r="E5830" s="269">
        <v>0</v>
      </c>
      <c r="F5830" s="269">
        <v>3</v>
      </c>
      <c r="G5830" s="269">
        <v>1</v>
      </c>
      <c r="H5830" s="269">
        <v>2</v>
      </c>
      <c r="I5830" s="269">
        <v>3</v>
      </c>
      <c r="J5830" s="269">
        <v>2</v>
      </c>
      <c r="K5830" s="269">
        <v>6</v>
      </c>
      <c r="L5830" s="269">
        <v>6</v>
      </c>
      <c r="M5830" s="269">
        <v>3</v>
      </c>
      <c r="N5830" s="269">
        <v>2</v>
      </c>
      <c r="O5830" s="279">
        <v>9</v>
      </c>
    </row>
    <row r="5831" spans="1:15">
      <c r="A5831" s="263" t="s">
        <v>71</v>
      </c>
      <c r="B5831" s="264" t="s">
        <v>5</v>
      </c>
      <c r="C5831" s="265">
        <v>0.0670826833073323</v>
      </c>
      <c r="D5831" s="265">
        <v>0.0705882352941176</v>
      </c>
      <c r="E5831" s="265">
        <v>0</v>
      </c>
      <c r="F5831" s="265">
        <v>0.0526315789473684</v>
      </c>
      <c r="G5831" s="265">
        <v>0.0232558139534884</v>
      </c>
      <c r="H5831" s="265">
        <v>0.0377358490566038</v>
      </c>
      <c r="I5831" s="265">
        <v>0.0833333333333333</v>
      </c>
      <c r="J5831" s="265">
        <v>0.0571428571428571</v>
      </c>
      <c r="K5831" s="265">
        <v>0.1875</v>
      </c>
      <c r="L5831" s="265">
        <v>0.153846153846154</v>
      </c>
      <c r="M5831" s="265">
        <v>0.0394736842105263</v>
      </c>
      <c r="N5831" s="265">
        <v>0.0289855072463768</v>
      </c>
      <c r="O5831" s="277">
        <v>0.140625</v>
      </c>
    </row>
    <row r="5832" spans="1:15">
      <c r="A5832" s="266" t="s">
        <v>71</v>
      </c>
      <c r="B5832" s="267" t="s">
        <v>6</v>
      </c>
      <c r="C5832" s="15">
        <v>11</v>
      </c>
      <c r="D5832" s="269">
        <v>1</v>
      </c>
      <c r="E5832" s="269">
        <v>0</v>
      </c>
      <c r="F5832" s="269">
        <v>0</v>
      </c>
      <c r="G5832" s="269">
        <v>1</v>
      </c>
      <c r="H5832" s="269">
        <v>1</v>
      </c>
      <c r="I5832" s="269">
        <v>2</v>
      </c>
      <c r="J5832" s="269">
        <v>2</v>
      </c>
      <c r="K5832" s="269">
        <v>1</v>
      </c>
      <c r="L5832" s="269">
        <v>1</v>
      </c>
      <c r="M5832" s="269">
        <v>1</v>
      </c>
      <c r="N5832" s="269">
        <v>1</v>
      </c>
      <c r="O5832" s="279">
        <v>0</v>
      </c>
    </row>
    <row r="5833" ht="14.25" spans="1:15">
      <c r="A5833" s="270" t="s">
        <v>71</v>
      </c>
      <c r="B5833" s="271" t="s">
        <v>64</v>
      </c>
      <c r="C5833" s="19">
        <v>0.255813953488372</v>
      </c>
      <c r="D5833" s="19">
        <v>0.166666666666667</v>
      </c>
      <c r="E5833" s="19" t="e">
        <v>#DIV/0!</v>
      </c>
      <c r="F5833" s="19">
        <v>0</v>
      </c>
      <c r="G5833" s="19">
        <v>1</v>
      </c>
      <c r="H5833" s="19">
        <v>0.5</v>
      </c>
      <c r="I5833" s="19">
        <v>0.666666666666667</v>
      </c>
      <c r="J5833" s="19">
        <v>1</v>
      </c>
      <c r="K5833" s="19">
        <v>0.166666666666667</v>
      </c>
      <c r="L5833" s="19">
        <v>0.166666666666667</v>
      </c>
      <c r="M5833" s="19">
        <v>0.333333333333333</v>
      </c>
      <c r="N5833" s="19">
        <v>0.5</v>
      </c>
      <c r="O5833" s="19">
        <v>0</v>
      </c>
    </row>
    <row r="5834" spans="1:15">
      <c r="A5834" s="263" t="s">
        <v>72</v>
      </c>
      <c r="B5834" s="264" t="s">
        <v>55</v>
      </c>
      <c r="C5834" s="12">
        <v>0.154944473823374</v>
      </c>
      <c r="D5834" s="265">
        <v>0.156565656565657</v>
      </c>
      <c r="E5834" s="265">
        <v>0.161764705882353</v>
      </c>
      <c r="F5834" s="265">
        <v>0.254545454545455</v>
      </c>
      <c r="G5834" s="265">
        <v>0.169642857142857</v>
      </c>
      <c r="H5834" s="265">
        <v>0.1640625</v>
      </c>
      <c r="I5834" s="265">
        <v>0.140449438202247</v>
      </c>
      <c r="J5834" s="265">
        <v>0.198795180722892</v>
      </c>
      <c r="K5834" s="265">
        <v>0.165775401069519</v>
      </c>
      <c r="L5834" s="265">
        <v>0.161490683229814</v>
      </c>
      <c r="M5834" s="265">
        <v>0.154838709677419</v>
      </c>
      <c r="N5834" s="265">
        <v>0.09765625</v>
      </c>
      <c r="O5834" s="277">
        <v>0.145374449339207</v>
      </c>
    </row>
    <row r="5835" spans="1:15">
      <c r="A5835" s="266" t="s">
        <v>72</v>
      </c>
      <c r="B5835" s="267" t="s">
        <v>57</v>
      </c>
      <c r="C5835" s="15">
        <v>1891</v>
      </c>
      <c r="D5835" s="268">
        <v>198</v>
      </c>
      <c r="E5835" s="268">
        <v>68</v>
      </c>
      <c r="F5835" s="268">
        <v>55</v>
      </c>
      <c r="G5835" s="268">
        <v>112</v>
      </c>
      <c r="H5835" s="268">
        <v>128</v>
      </c>
      <c r="I5835" s="268">
        <v>178</v>
      </c>
      <c r="J5835" s="268">
        <v>166</v>
      </c>
      <c r="K5835" s="268">
        <v>187</v>
      </c>
      <c r="L5835" s="268">
        <v>161</v>
      </c>
      <c r="M5835" s="268">
        <v>155</v>
      </c>
      <c r="N5835" s="268">
        <v>256</v>
      </c>
      <c r="O5835" s="278">
        <v>227</v>
      </c>
    </row>
    <row r="5836" spans="1:15">
      <c r="A5836" s="263" t="s">
        <v>72</v>
      </c>
      <c r="B5836" s="264" t="s">
        <v>59</v>
      </c>
      <c r="C5836" s="15">
        <v>293</v>
      </c>
      <c r="D5836" s="268">
        <v>31</v>
      </c>
      <c r="E5836" s="268">
        <v>11</v>
      </c>
      <c r="F5836" s="268">
        <v>14</v>
      </c>
      <c r="G5836" s="268">
        <v>19</v>
      </c>
      <c r="H5836" s="268">
        <v>21</v>
      </c>
      <c r="I5836" s="268">
        <v>25</v>
      </c>
      <c r="J5836" s="268">
        <v>33</v>
      </c>
      <c r="K5836" s="268">
        <v>31</v>
      </c>
      <c r="L5836" s="268">
        <v>26</v>
      </c>
      <c r="M5836" s="268">
        <v>24</v>
      </c>
      <c r="N5836" s="268">
        <v>25</v>
      </c>
      <c r="O5836" s="278">
        <v>33</v>
      </c>
    </row>
    <row r="5837" spans="1:15">
      <c r="A5837" s="266" t="s">
        <v>72</v>
      </c>
      <c r="B5837" s="267" t="s">
        <v>4</v>
      </c>
      <c r="C5837" s="15">
        <v>17</v>
      </c>
      <c r="D5837" s="269">
        <v>3</v>
      </c>
      <c r="E5837" s="269">
        <v>1</v>
      </c>
      <c r="F5837" s="269">
        <v>1</v>
      </c>
      <c r="G5837" s="269">
        <v>1</v>
      </c>
      <c r="H5837" s="269">
        <v>0</v>
      </c>
      <c r="I5837" s="269">
        <v>0</v>
      </c>
      <c r="J5837" s="269">
        <v>3</v>
      </c>
      <c r="K5837" s="269">
        <v>2</v>
      </c>
      <c r="L5837" s="269">
        <v>2</v>
      </c>
      <c r="M5837" s="269">
        <v>0</v>
      </c>
      <c r="N5837" s="269">
        <v>1</v>
      </c>
      <c r="O5837" s="279">
        <v>3</v>
      </c>
    </row>
    <row r="5838" spans="1:15">
      <c r="A5838" s="263" t="s">
        <v>72</v>
      </c>
      <c r="B5838" s="264" t="s">
        <v>5</v>
      </c>
      <c r="C5838" s="12">
        <v>0.0580204778156997</v>
      </c>
      <c r="D5838" s="265">
        <v>0.0967741935483871</v>
      </c>
      <c r="E5838" s="265">
        <v>0.0909090909090909</v>
      </c>
      <c r="F5838" s="265">
        <v>0.0714285714285714</v>
      </c>
      <c r="G5838" s="265">
        <v>0.0526315789473684</v>
      </c>
      <c r="H5838" s="265">
        <v>0</v>
      </c>
      <c r="I5838" s="265">
        <v>0</v>
      </c>
      <c r="J5838" s="265">
        <v>0.0909090909090909</v>
      </c>
      <c r="K5838" s="265">
        <v>0.0645161290322581</v>
      </c>
      <c r="L5838" s="265">
        <v>0.0769230769230769</v>
      </c>
      <c r="M5838" s="265">
        <v>0</v>
      </c>
      <c r="N5838" s="265">
        <v>0.04</v>
      </c>
      <c r="O5838" s="277">
        <v>0.0909090909090909</v>
      </c>
    </row>
    <row r="5839" spans="1:15">
      <c r="A5839" s="266" t="s">
        <v>72</v>
      </c>
      <c r="B5839" s="267" t="s">
        <v>6</v>
      </c>
      <c r="C5839" s="15">
        <v>6</v>
      </c>
      <c r="D5839" s="269">
        <v>3</v>
      </c>
      <c r="E5839" s="269">
        <v>0</v>
      </c>
      <c r="F5839" s="269">
        <v>0</v>
      </c>
      <c r="G5839" s="269">
        <v>1</v>
      </c>
      <c r="H5839" s="269">
        <v>0</v>
      </c>
      <c r="I5839" s="269">
        <v>0</v>
      </c>
      <c r="J5839" s="269">
        <v>1</v>
      </c>
      <c r="K5839" s="269">
        <v>1</v>
      </c>
      <c r="L5839" s="269">
        <v>0</v>
      </c>
      <c r="M5839" s="269">
        <v>0</v>
      </c>
      <c r="N5839" s="269">
        <v>0</v>
      </c>
      <c r="O5839" s="279">
        <v>0</v>
      </c>
    </row>
    <row r="5840" ht="14.25" spans="1:15">
      <c r="A5840" s="270" t="s">
        <v>72</v>
      </c>
      <c r="B5840" s="271" t="s">
        <v>64</v>
      </c>
      <c r="C5840" s="19">
        <v>0.352941176470588</v>
      </c>
      <c r="D5840" s="19">
        <v>1</v>
      </c>
      <c r="E5840" s="19">
        <v>0</v>
      </c>
      <c r="F5840" s="19">
        <v>0</v>
      </c>
      <c r="G5840" s="19">
        <v>1</v>
      </c>
      <c r="H5840" s="19" t="e">
        <v>#DIV/0!</v>
      </c>
      <c r="I5840" s="19" t="e">
        <v>#DIV/0!</v>
      </c>
      <c r="J5840" s="19">
        <v>0.333333333333333</v>
      </c>
      <c r="K5840" s="19">
        <v>0.5</v>
      </c>
      <c r="L5840" s="19">
        <v>0</v>
      </c>
      <c r="M5840" s="19" t="e">
        <v>#DIV/0!</v>
      </c>
      <c r="N5840" s="19">
        <v>0</v>
      </c>
      <c r="O5840" s="19">
        <v>0</v>
      </c>
    </row>
    <row r="5841" ht="14.25" spans="1:15">
      <c r="A5841" s="237">
        <v>45109</v>
      </c>
      <c r="B5841" s="237"/>
      <c r="C5841" s="237"/>
      <c r="D5841" s="237"/>
      <c r="E5841" s="237"/>
      <c r="F5841" s="237"/>
      <c r="G5841" s="237"/>
      <c r="H5841" s="237"/>
      <c r="I5841" s="237"/>
      <c r="J5841" s="237"/>
      <c r="K5841" s="237"/>
      <c r="L5841" s="237"/>
      <c r="M5841" s="237"/>
      <c r="N5841" s="237"/>
      <c r="O5841" s="237"/>
    </row>
    <row r="5842" spans="1:15">
      <c r="A5842" s="56" t="s">
        <v>1</v>
      </c>
      <c r="B5842" s="238"/>
      <c r="C5842" s="8" t="s">
        <v>42</v>
      </c>
      <c r="D5842" s="239" t="s">
        <v>43</v>
      </c>
      <c r="E5842" s="239" t="s">
        <v>44</v>
      </c>
      <c r="F5842" s="239" t="s">
        <v>45</v>
      </c>
      <c r="G5842" s="239" t="s">
        <v>46</v>
      </c>
      <c r="H5842" s="239" t="s">
        <v>47</v>
      </c>
      <c r="I5842" s="239" t="s">
        <v>48</v>
      </c>
      <c r="J5842" s="239" t="s">
        <v>49</v>
      </c>
      <c r="K5842" s="239" t="s">
        <v>50</v>
      </c>
      <c r="L5842" s="239" t="s">
        <v>51</v>
      </c>
      <c r="M5842" s="239" t="s">
        <v>52</v>
      </c>
      <c r="N5842" s="239" t="s">
        <v>53</v>
      </c>
      <c r="O5842" s="251" t="s">
        <v>54</v>
      </c>
    </row>
    <row r="5843" spans="1:15">
      <c r="A5843" s="240" t="s">
        <v>22</v>
      </c>
      <c r="B5843" s="47" t="s">
        <v>55</v>
      </c>
      <c r="C5843" s="12">
        <v>0.551065719360568</v>
      </c>
      <c r="D5843" s="241">
        <v>0.622727272727273</v>
      </c>
      <c r="E5843" s="241">
        <v>0.551724137931034</v>
      </c>
      <c r="F5843" s="241">
        <v>0.7</v>
      </c>
      <c r="G5843" s="241">
        <v>0.718446601941748</v>
      </c>
      <c r="H5843" s="241">
        <v>0.605405405405405</v>
      </c>
      <c r="I5843" s="241">
        <v>0.54040404040404</v>
      </c>
      <c r="J5843" s="241">
        <v>0.653465346534653</v>
      </c>
      <c r="K5843" s="241">
        <v>0.527426160337553</v>
      </c>
      <c r="L5843" s="241">
        <v>0.477178423236515</v>
      </c>
      <c r="M5843" s="241">
        <v>0.525139664804469</v>
      </c>
      <c r="N5843" s="241">
        <v>0.517073170731707</v>
      </c>
      <c r="O5843" s="252">
        <v>0.400778210116732</v>
      </c>
    </row>
    <row r="5844" spans="1:15">
      <c r="A5844" s="242" t="s">
        <v>22</v>
      </c>
      <c r="B5844" s="43" t="s">
        <v>57</v>
      </c>
      <c r="C5844" s="15">
        <v>2252</v>
      </c>
      <c r="D5844" s="243">
        <v>220</v>
      </c>
      <c r="E5844" s="243">
        <v>145</v>
      </c>
      <c r="F5844" s="243">
        <v>80</v>
      </c>
      <c r="G5844" s="243">
        <v>103</v>
      </c>
      <c r="H5844" s="243">
        <v>185</v>
      </c>
      <c r="I5844" s="243">
        <v>198</v>
      </c>
      <c r="J5844" s="243">
        <v>202</v>
      </c>
      <c r="K5844" s="243">
        <v>237</v>
      </c>
      <c r="L5844" s="243">
        <v>241</v>
      </c>
      <c r="M5844" s="243">
        <v>179</v>
      </c>
      <c r="N5844" s="243">
        <v>205</v>
      </c>
      <c r="O5844" s="253">
        <v>257</v>
      </c>
    </row>
    <row r="5845" spans="1:15">
      <c r="A5845" s="240" t="s">
        <v>22</v>
      </c>
      <c r="B5845" s="47" t="s">
        <v>59</v>
      </c>
      <c r="C5845" s="15">
        <v>1241</v>
      </c>
      <c r="D5845" s="243">
        <v>137</v>
      </c>
      <c r="E5845" s="243">
        <v>80</v>
      </c>
      <c r="F5845" s="243">
        <v>56</v>
      </c>
      <c r="G5845" s="243">
        <v>74</v>
      </c>
      <c r="H5845" s="243">
        <v>112</v>
      </c>
      <c r="I5845" s="243">
        <v>107</v>
      </c>
      <c r="J5845" s="243">
        <v>132</v>
      </c>
      <c r="K5845" s="243">
        <v>125</v>
      </c>
      <c r="L5845" s="243">
        <v>115</v>
      </c>
      <c r="M5845" s="243">
        <v>94</v>
      </c>
      <c r="N5845" s="243">
        <v>106</v>
      </c>
      <c r="O5845" s="253">
        <v>103</v>
      </c>
    </row>
    <row r="5846" spans="1:15">
      <c r="A5846" s="242" t="s">
        <v>22</v>
      </c>
      <c r="B5846" s="43" t="s">
        <v>4</v>
      </c>
      <c r="C5846" s="15">
        <v>65</v>
      </c>
      <c r="D5846" s="244">
        <v>6</v>
      </c>
      <c r="E5846" s="244">
        <v>5</v>
      </c>
      <c r="F5846" s="244">
        <v>5</v>
      </c>
      <c r="G5846" s="244">
        <v>1</v>
      </c>
      <c r="H5846" s="244">
        <v>5</v>
      </c>
      <c r="I5846" s="244">
        <v>9</v>
      </c>
      <c r="J5846" s="244">
        <v>6</v>
      </c>
      <c r="K5846" s="244">
        <v>3</v>
      </c>
      <c r="L5846" s="244">
        <v>6</v>
      </c>
      <c r="M5846" s="244">
        <v>5</v>
      </c>
      <c r="N5846" s="244">
        <v>3</v>
      </c>
      <c r="O5846" s="254">
        <v>11</v>
      </c>
    </row>
    <row r="5847" spans="1:15">
      <c r="A5847" s="240" t="s">
        <v>22</v>
      </c>
      <c r="B5847" s="47" t="s">
        <v>5</v>
      </c>
      <c r="C5847" s="12">
        <v>0.0523771152296535</v>
      </c>
      <c r="D5847" s="241">
        <v>0.0437956204379562</v>
      </c>
      <c r="E5847" s="241">
        <v>0.0625</v>
      </c>
      <c r="F5847" s="241">
        <v>0.0892857142857143</v>
      </c>
      <c r="G5847" s="241">
        <v>0.0135135135135135</v>
      </c>
      <c r="H5847" s="241">
        <v>0.0446428571428571</v>
      </c>
      <c r="I5847" s="241">
        <v>0.0841121495327103</v>
      </c>
      <c r="J5847" s="241">
        <v>0.0454545454545455</v>
      </c>
      <c r="K5847" s="241">
        <v>0.024</v>
      </c>
      <c r="L5847" s="241">
        <v>0.0521739130434783</v>
      </c>
      <c r="M5847" s="241">
        <v>0.0531914893617021</v>
      </c>
      <c r="N5847" s="241">
        <v>0.0283018867924528</v>
      </c>
      <c r="O5847" s="252">
        <v>0.106796116504854</v>
      </c>
    </row>
    <row r="5848" spans="1:15">
      <c r="A5848" s="242" t="s">
        <v>22</v>
      </c>
      <c r="B5848" s="43" t="s">
        <v>6</v>
      </c>
      <c r="C5848" s="15">
        <v>27</v>
      </c>
      <c r="D5848" s="244">
        <v>3</v>
      </c>
      <c r="E5848" s="244">
        <v>3</v>
      </c>
      <c r="F5848" s="244">
        <v>1</v>
      </c>
      <c r="G5848" s="244">
        <v>2</v>
      </c>
      <c r="H5848" s="244">
        <v>3</v>
      </c>
      <c r="I5848" s="244">
        <v>3</v>
      </c>
      <c r="J5848" s="244">
        <v>2</v>
      </c>
      <c r="K5848" s="244">
        <v>1</v>
      </c>
      <c r="L5848" s="244">
        <v>3</v>
      </c>
      <c r="M5848" s="244">
        <v>4</v>
      </c>
      <c r="N5848" s="244">
        <v>1</v>
      </c>
      <c r="O5848" s="254">
        <v>1</v>
      </c>
    </row>
    <row r="5849" ht="14.25" spans="1:15">
      <c r="A5849" s="245" t="s">
        <v>22</v>
      </c>
      <c r="B5849" s="52" t="s">
        <v>64</v>
      </c>
      <c r="C5849" s="19">
        <v>0.415384615384615</v>
      </c>
      <c r="D5849" s="246">
        <v>0.5</v>
      </c>
      <c r="E5849" s="246">
        <v>0.6</v>
      </c>
      <c r="F5849" s="246">
        <v>0.2</v>
      </c>
      <c r="G5849" s="246">
        <v>2</v>
      </c>
      <c r="H5849" s="246">
        <v>0.6</v>
      </c>
      <c r="I5849" s="246">
        <v>0.333333333333333</v>
      </c>
      <c r="J5849" s="246">
        <v>0.333333333333333</v>
      </c>
      <c r="K5849" s="246">
        <v>0.333333333333333</v>
      </c>
      <c r="L5849" s="246">
        <v>0.5</v>
      </c>
      <c r="M5849" s="246">
        <v>0.8</v>
      </c>
      <c r="N5849" s="246">
        <v>0.333333333333333</v>
      </c>
      <c r="O5849" s="255">
        <v>0.0909090909090909</v>
      </c>
    </row>
    <row r="5850" spans="1:15">
      <c r="A5850" s="247" t="s">
        <v>66</v>
      </c>
      <c r="B5850" s="248" t="s">
        <v>55</v>
      </c>
      <c r="C5850" s="12">
        <v>0.0547945205479452</v>
      </c>
      <c r="D5850" s="249">
        <v>0.0604838709677419</v>
      </c>
      <c r="E5850" s="249">
        <v>0.024390243902439</v>
      </c>
      <c r="F5850" s="249">
        <v>0.0305676855895196</v>
      </c>
      <c r="G5850" s="249">
        <v>0.0378378378378378</v>
      </c>
      <c r="H5850" s="249">
        <v>0.0340909090909091</v>
      </c>
      <c r="I5850" s="249">
        <v>0.0778443113772455</v>
      </c>
      <c r="J5850" s="249">
        <v>0.0723684210526316</v>
      </c>
      <c r="K5850" s="249">
        <v>0.0641025641025641</v>
      </c>
      <c r="L5850" s="249">
        <v>0.0458015267175573</v>
      </c>
      <c r="M5850" s="249">
        <v>0.0909090909090909</v>
      </c>
      <c r="N5850" s="249">
        <v>0.110091743119266</v>
      </c>
      <c r="O5850" s="256">
        <v>0.0873015873015873</v>
      </c>
    </row>
    <row r="5851" spans="1:15">
      <c r="A5851" s="242" t="s">
        <v>66</v>
      </c>
      <c r="B5851" s="43" t="s">
        <v>57</v>
      </c>
      <c r="C5851" s="15">
        <v>2117</v>
      </c>
      <c r="D5851" s="243">
        <v>248</v>
      </c>
      <c r="E5851" s="243">
        <v>328</v>
      </c>
      <c r="F5851" s="243">
        <v>229</v>
      </c>
      <c r="G5851" s="243">
        <v>185</v>
      </c>
      <c r="H5851" s="243">
        <v>176</v>
      </c>
      <c r="I5851" s="243">
        <v>167</v>
      </c>
      <c r="J5851" s="243">
        <v>152</v>
      </c>
      <c r="K5851" s="243">
        <v>156</v>
      </c>
      <c r="L5851" s="243">
        <v>131</v>
      </c>
      <c r="M5851" s="243">
        <v>110</v>
      </c>
      <c r="N5851" s="243">
        <v>109</v>
      </c>
      <c r="O5851" s="253">
        <v>126</v>
      </c>
    </row>
    <row r="5852" spans="1:15">
      <c r="A5852" s="240" t="s">
        <v>66</v>
      </c>
      <c r="B5852" s="47" t="s">
        <v>59</v>
      </c>
      <c r="C5852" s="15">
        <v>116</v>
      </c>
      <c r="D5852" s="243">
        <v>15</v>
      </c>
      <c r="E5852" s="243">
        <v>8</v>
      </c>
      <c r="F5852" s="243">
        <v>7</v>
      </c>
      <c r="G5852" s="243">
        <v>7</v>
      </c>
      <c r="H5852" s="243">
        <v>6</v>
      </c>
      <c r="I5852" s="243">
        <v>13</v>
      </c>
      <c r="J5852" s="243">
        <v>11</v>
      </c>
      <c r="K5852" s="243">
        <v>10</v>
      </c>
      <c r="L5852" s="243">
        <v>6</v>
      </c>
      <c r="M5852" s="243">
        <v>10</v>
      </c>
      <c r="N5852" s="243">
        <v>12</v>
      </c>
      <c r="O5852" s="253">
        <v>11</v>
      </c>
    </row>
    <row r="5853" spans="1:15">
      <c r="A5853" s="242" t="s">
        <v>66</v>
      </c>
      <c r="B5853" s="43" t="s">
        <v>4</v>
      </c>
      <c r="C5853" s="15">
        <v>2</v>
      </c>
      <c r="D5853" s="244">
        <v>0</v>
      </c>
      <c r="E5853" s="244">
        <v>0</v>
      </c>
      <c r="F5853" s="244">
        <v>1</v>
      </c>
      <c r="G5853" s="244">
        <v>0</v>
      </c>
      <c r="H5853" s="244">
        <v>1</v>
      </c>
      <c r="I5853" s="244">
        <v>0</v>
      </c>
      <c r="J5853" s="244">
        <v>0</v>
      </c>
      <c r="K5853" s="244">
        <v>0</v>
      </c>
      <c r="L5853" s="244">
        <v>0</v>
      </c>
      <c r="M5853" s="244">
        <v>0</v>
      </c>
      <c r="N5853" s="244">
        <v>0</v>
      </c>
      <c r="O5853" s="254">
        <v>0</v>
      </c>
    </row>
    <row r="5854" spans="1:15">
      <c r="A5854" s="240" t="s">
        <v>66</v>
      </c>
      <c r="B5854" s="47" t="s">
        <v>5</v>
      </c>
      <c r="C5854" s="12">
        <v>0.0172413793103448</v>
      </c>
      <c r="D5854" s="241">
        <v>0</v>
      </c>
      <c r="E5854" s="241">
        <v>0</v>
      </c>
      <c r="F5854" s="241">
        <v>0.142857142857143</v>
      </c>
      <c r="G5854" s="241">
        <v>0</v>
      </c>
      <c r="H5854" s="241">
        <v>0.166666666666667</v>
      </c>
      <c r="I5854" s="241">
        <v>0</v>
      </c>
      <c r="J5854" s="241">
        <v>0</v>
      </c>
      <c r="K5854" s="241">
        <v>0</v>
      </c>
      <c r="L5854" s="241">
        <v>0</v>
      </c>
      <c r="M5854" s="241">
        <v>0</v>
      </c>
      <c r="N5854" s="241">
        <v>0</v>
      </c>
      <c r="O5854" s="252">
        <v>0</v>
      </c>
    </row>
    <row r="5855" spans="1:15">
      <c r="A5855" s="242" t="s">
        <v>66</v>
      </c>
      <c r="B5855" s="43" t="s">
        <v>6</v>
      </c>
      <c r="C5855" s="15">
        <v>1</v>
      </c>
      <c r="D5855" s="244">
        <v>0</v>
      </c>
      <c r="E5855" s="244">
        <v>0</v>
      </c>
      <c r="F5855" s="244">
        <v>0</v>
      </c>
      <c r="G5855" s="244">
        <v>0</v>
      </c>
      <c r="H5855" s="244">
        <v>0</v>
      </c>
      <c r="I5855" s="244">
        <v>0</v>
      </c>
      <c r="J5855" s="244">
        <v>0</v>
      </c>
      <c r="K5855" s="244">
        <v>0</v>
      </c>
      <c r="L5855" s="244">
        <v>0</v>
      </c>
      <c r="M5855" s="244">
        <v>0</v>
      </c>
      <c r="N5855" s="244">
        <v>0</v>
      </c>
      <c r="O5855" s="254">
        <v>1</v>
      </c>
    </row>
    <row r="5856" ht="14.25" spans="1:15">
      <c r="A5856" s="245" t="s">
        <v>66</v>
      </c>
      <c r="B5856" s="52" t="s">
        <v>64</v>
      </c>
      <c r="C5856" s="19">
        <v>0.5</v>
      </c>
      <c r="D5856" s="246">
        <v>0</v>
      </c>
      <c r="E5856" s="246">
        <v>0</v>
      </c>
      <c r="F5856" s="246">
        <v>0</v>
      </c>
      <c r="G5856" s="246">
        <v>0</v>
      </c>
      <c r="H5856" s="246">
        <v>0</v>
      </c>
      <c r="I5856" s="246">
        <v>0</v>
      </c>
      <c r="J5856" s="246">
        <v>0</v>
      </c>
      <c r="K5856" s="246">
        <v>0</v>
      </c>
      <c r="L5856" s="246">
        <v>0</v>
      </c>
      <c r="M5856" s="246">
        <v>0</v>
      </c>
      <c r="N5856" s="246">
        <v>0</v>
      </c>
      <c r="O5856" s="255">
        <v>0</v>
      </c>
    </row>
    <row r="5857" spans="1:15">
      <c r="A5857" s="240" t="s">
        <v>67</v>
      </c>
      <c r="B5857" s="47" t="s">
        <v>55</v>
      </c>
      <c r="C5857" s="12">
        <v>0.441489361702128</v>
      </c>
      <c r="D5857" s="241">
        <v>0.65</v>
      </c>
      <c r="E5857" s="241">
        <v>0.452380952380952</v>
      </c>
      <c r="F5857" s="241">
        <v>0.508771929824561</v>
      </c>
      <c r="G5857" s="241">
        <v>0.380952380952381</v>
      </c>
      <c r="H5857" s="241">
        <v>0.417582417582418</v>
      </c>
      <c r="I5857" s="241">
        <v>0.367816091954023</v>
      </c>
      <c r="J5857" s="241">
        <v>0.443037974683544</v>
      </c>
      <c r="K5857" s="241">
        <v>0.404761904761905</v>
      </c>
      <c r="L5857" s="241">
        <v>0.321100917431193</v>
      </c>
      <c r="M5857" s="241">
        <v>0.373134328358209</v>
      </c>
      <c r="N5857" s="241">
        <v>0.395348837209302</v>
      </c>
      <c r="O5857" s="252">
        <v>0.383333333333333</v>
      </c>
    </row>
    <row r="5858" spans="1:15">
      <c r="A5858" s="242" t="s">
        <v>67</v>
      </c>
      <c r="B5858" s="43" t="s">
        <v>57</v>
      </c>
      <c r="C5858" s="15">
        <v>1128</v>
      </c>
      <c r="D5858" s="243">
        <v>180</v>
      </c>
      <c r="E5858" s="243">
        <v>126</v>
      </c>
      <c r="F5858" s="243">
        <v>57</v>
      </c>
      <c r="G5858" s="243">
        <v>42</v>
      </c>
      <c r="H5858" s="243">
        <v>91</v>
      </c>
      <c r="I5858" s="243">
        <v>87</v>
      </c>
      <c r="J5858" s="243">
        <v>79</v>
      </c>
      <c r="K5858" s="243">
        <v>84</v>
      </c>
      <c r="L5858" s="243">
        <v>109</v>
      </c>
      <c r="M5858" s="243">
        <v>67</v>
      </c>
      <c r="N5858" s="243">
        <v>86</v>
      </c>
      <c r="O5858" s="253">
        <v>120</v>
      </c>
    </row>
    <row r="5859" spans="1:15">
      <c r="A5859" s="240" t="s">
        <v>67</v>
      </c>
      <c r="B5859" s="47" t="s">
        <v>59</v>
      </c>
      <c r="C5859" s="15">
        <v>498</v>
      </c>
      <c r="D5859" s="243">
        <v>117</v>
      </c>
      <c r="E5859" s="243">
        <v>57</v>
      </c>
      <c r="F5859" s="243">
        <v>29</v>
      </c>
      <c r="G5859" s="243">
        <v>16</v>
      </c>
      <c r="H5859" s="243">
        <v>38</v>
      </c>
      <c r="I5859" s="243">
        <v>32</v>
      </c>
      <c r="J5859" s="243">
        <v>35</v>
      </c>
      <c r="K5859" s="243">
        <v>34</v>
      </c>
      <c r="L5859" s="243">
        <v>35</v>
      </c>
      <c r="M5859" s="243">
        <v>25</v>
      </c>
      <c r="N5859" s="243">
        <v>34</v>
      </c>
      <c r="O5859" s="253">
        <v>46</v>
      </c>
    </row>
    <row r="5860" spans="1:15">
      <c r="A5860" s="242" t="s">
        <v>67</v>
      </c>
      <c r="B5860" s="43" t="s">
        <v>4</v>
      </c>
      <c r="C5860" s="15">
        <v>16</v>
      </c>
      <c r="D5860" s="244">
        <v>2</v>
      </c>
      <c r="E5860" s="244">
        <v>1</v>
      </c>
      <c r="F5860" s="244">
        <v>1</v>
      </c>
      <c r="G5860" s="244">
        <v>1</v>
      </c>
      <c r="H5860" s="244">
        <v>1</v>
      </c>
      <c r="I5860" s="244">
        <v>1</v>
      </c>
      <c r="J5860" s="244">
        <v>0</v>
      </c>
      <c r="K5860" s="244">
        <v>3</v>
      </c>
      <c r="L5860" s="244">
        <v>4</v>
      </c>
      <c r="M5860" s="244">
        <v>0</v>
      </c>
      <c r="N5860" s="244">
        <v>0</v>
      </c>
      <c r="O5860" s="254">
        <v>2</v>
      </c>
    </row>
    <row r="5861" spans="1:15">
      <c r="A5861" s="240" t="s">
        <v>67</v>
      </c>
      <c r="B5861" s="47" t="s">
        <v>5</v>
      </c>
      <c r="C5861" s="12">
        <v>0.0321285140562249</v>
      </c>
      <c r="D5861" s="241">
        <v>0.0170940170940171</v>
      </c>
      <c r="E5861" s="241">
        <v>0.0175438596491228</v>
      </c>
      <c r="F5861" s="241">
        <v>0.0344827586206897</v>
      </c>
      <c r="G5861" s="241">
        <v>0.0625</v>
      </c>
      <c r="H5861" s="241">
        <v>0.0263157894736842</v>
      </c>
      <c r="I5861" s="241">
        <v>0.03125</v>
      </c>
      <c r="J5861" s="241">
        <v>0</v>
      </c>
      <c r="K5861" s="241">
        <v>0.0882352941176471</v>
      </c>
      <c r="L5861" s="241">
        <v>0.114285714285714</v>
      </c>
      <c r="M5861" s="241">
        <v>0</v>
      </c>
      <c r="N5861" s="241">
        <v>0</v>
      </c>
      <c r="O5861" s="252">
        <v>0.0434782608695652</v>
      </c>
    </row>
    <row r="5862" spans="1:15">
      <c r="A5862" s="242" t="s">
        <v>67</v>
      </c>
      <c r="B5862" s="43" t="s">
        <v>6</v>
      </c>
      <c r="C5862" s="15">
        <v>7</v>
      </c>
      <c r="D5862" s="244">
        <v>1</v>
      </c>
      <c r="E5862" s="244">
        <v>1</v>
      </c>
      <c r="F5862" s="244">
        <v>1</v>
      </c>
      <c r="G5862" s="244">
        <v>1</v>
      </c>
      <c r="H5862" s="244">
        <v>0</v>
      </c>
      <c r="I5862" s="244">
        <v>1</v>
      </c>
      <c r="J5862" s="244">
        <v>0</v>
      </c>
      <c r="K5862" s="244">
        <v>1</v>
      </c>
      <c r="L5862" s="244">
        <v>0</v>
      </c>
      <c r="M5862" s="244">
        <v>0</v>
      </c>
      <c r="N5862" s="244">
        <v>1</v>
      </c>
      <c r="O5862" s="254">
        <v>0</v>
      </c>
    </row>
    <row r="5863" ht="14.25" spans="1:15">
      <c r="A5863" s="245" t="s">
        <v>67</v>
      </c>
      <c r="B5863" s="52" t="s">
        <v>64</v>
      </c>
      <c r="C5863" s="19">
        <v>0.4375</v>
      </c>
      <c r="D5863" s="246">
        <v>0.5</v>
      </c>
      <c r="E5863" s="246">
        <v>1</v>
      </c>
      <c r="F5863" s="246">
        <v>1</v>
      </c>
      <c r="G5863" s="246">
        <v>1</v>
      </c>
      <c r="H5863" s="246">
        <v>0</v>
      </c>
      <c r="I5863" s="246">
        <v>1</v>
      </c>
      <c r="J5863" s="246">
        <v>0</v>
      </c>
      <c r="K5863" s="246">
        <v>0.333333333333333</v>
      </c>
      <c r="L5863" s="246">
        <v>0</v>
      </c>
      <c r="M5863" s="246">
        <v>0</v>
      </c>
      <c r="N5863" s="246">
        <v>0</v>
      </c>
      <c r="O5863" s="255">
        <v>0</v>
      </c>
    </row>
    <row r="5864" spans="1:15">
      <c r="A5864" s="240" t="s">
        <v>68</v>
      </c>
      <c r="B5864" s="47" t="s">
        <v>55</v>
      </c>
      <c r="C5864" s="12">
        <v>0.11833855799373</v>
      </c>
      <c r="D5864" s="241">
        <v>0.195348837209302</v>
      </c>
      <c r="E5864" s="241">
        <v>0.217391304347826</v>
      </c>
      <c r="F5864" s="241">
        <v>0.208860759493671</v>
      </c>
      <c r="G5864" s="241">
        <v>0.198067632850242</v>
      </c>
      <c r="H5864" s="241">
        <v>0.133479212253829</v>
      </c>
      <c r="I5864" s="241">
        <v>0.121827411167513</v>
      </c>
      <c r="J5864" s="241">
        <v>0.0995792426367461</v>
      </c>
      <c r="K5864" s="241">
        <v>0.0784061696658098</v>
      </c>
      <c r="L5864" s="241">
        <v>0.0942562592047128</v>
      </c>
      <c r="M5864" s="241">
        <v>0.105431309904153</v>
      </c>
      <c r="N5864" s="241">
        <v>0.0875462392108508</v>
      </c>
      <c r="O5864" s="252">
        <v>0.112259970457903</v>
      </c>
    </row>
    <row r="5865" spans="1:15">
      <c r="A5865" s="242" t="s">
        <v>68</v>
      </c>
      <c r="B5865" s="43" t="s">
        <v>57</v>
      </c>
      <c r="C5865" s="15">
        <v>6380</v>
      </c>
      <c r="D5865" s="243">
        <v>430</v>
      </c>
      <c r="E5865" s="243">
        <v>253</v>
      </c>
      <c r="F5865" s="243">
        <v>158</v>
      </c>
      <c r="G5865" s="243">
        <v>207</v>
      </c>
      <c r="H5865" s="243">
        <v>457</v>
      </c>
      <c r="I5865" s="243">
        <v>591</v>
      </c>
      <c r="J5865" s="243">
        <v>713</v>
      </c>
      <c r="K5865" s="243">
        <v>778</v>
      </c>
      <c r="L5865" s="243">
        <v>679</v>
      </c>
      <c r="M5865" s="243">
        <v>626</v>
      </c>
      <c r="N5865" s="243">
        <v>811</v>
      </c>
      <c r="O5865" s="253">
        <v>677</v>
      </c>
    </row>
    <row r="5866" spans="1:15">
      <c r="A5866" s="240" t="s">
        <v>68</v>
      </c>
      <c r="B5866" s="47" t="s">
        <v>59</v>
      </c>
      <c r="C5866" s="15">
        <v>755</v>
      </c>
      <c r="D5866" s="243">
        <v>84</v>
      </c>
      <c r="E5866" s="243">
        <v>55</v>
      </c>
      <c r="F5866" s="243">
        <v>33</v>
      </c>
      <c r="G5866" s="243">
        <v>41</v>
      </c>
      <c r="H5866" s="243">
        <v>61</v>
      </c>
      <c r="I5866" s="243">
        <v>72</v>
      </c>
      <c r="J5866" s="243">
        <v>71</v>
      </c>
      <c r="K5866" s="243">
        <v>61</v>
      </c>
      <c r="L5866" s="243">
        <v>64</v>
      </c>
      <c r="M5866" s="243">
        <v>66</v>
      </c>
      <c r="N5866" s="243">
        <v>71</v>
      </c>
      <c r="O5866" s="253">
        <v>76</v>
      </c>
    </row>
    <row r="5867" spans="1:15">
      <c r="A5867" s="242" t="s">
        <v>68</v>
      </c>
      <c r="B5867" s="43" t="s">
        <v>4</v>
      </c>
      <c r="C5867" s="15">
        <v>26</v>
      </c>
      <c r="D5867" s="244">
        <v>3</v>
      </c>
      <c r="E5867" s="244">
        <v>0</v>
      </c>
      <c r="F5867" s="244">
        <v>2</v>
      </c>
      <c r="G5867" s="244">
        <v>2</v>
      </c>
      <c r="H5867" s="244">
        <v>1</v>
      </c>
      <c r="I5867" s="244">
        <v>2</v>
      </c>
      <c r="J5867" s="244">
        <v>1</v>
      </c>
      <c r="K5867" s="244">
        <v>5</v>
      </c>
      <c r="L5867" s="244">
        <v>2</v>
      </c>
      <c r="M5867" s="244">
        <v>3</v>
      </c>
      <c r="N5867" s="244">
        <v>3</v>
      </c>
      <c r="O5867" s="254">
        <v>2</v>
      </c>
    </row>
    <row r="5868" spans="1:15">
      <c r="A5868" s="240" t="s">
        <v>68</v>
      </c>
      <c r="B5868" s="47" t="s">
        <v>5</v>
      </c>
      <c r="C5868" s="12">
        <v>0.0344370860927152</v>
      </c>
      <c r="D5868" s="241">
        <v>0.0357142857142857</v>
      </c>
      <c r="E5868" s="241">
        <v>0</v>
      </c>
      <c r="F5868" s="241">
        <v>0.0606060606060606</v>
      </c>
      <c r="G5868" s="241">
        <v>0.0487804878048781</v>
      </c>
      <c r="H5868" s="241">
        <v>0.0163934426229508</v>
      </c>
      <c r="I5868" s="241">
        <v>0.0277777777777778</v>
      </c>
      <c r="J5868" s="241">
        <v>0.0140845070422535</v>
      </c>
      <c r="K5868" s="241">
        <v>0.0819672131147541</v>
      </c>
      <c r="L5868" s="241">
        <v>0.03125</v>
      </c>
      <c r="M5868" s="241">
        <v>0.0454545454545455</v>
      </c>
      <c r="N5868" s="241">
        <v>0.0422535211267606</v>
      </c>
      <c r="O5868" s="252">
        <v>0.0263157894736842</v>
      </c>
    </row>
    <row r="5869" spans="1:15">
      <c r="A5869" s="242" t="s">
        <v>68</v>
      </c>
      <c r="B5869" s="43" t="s">
        <v>6</v>
      </c>
      <c r="C5869" s="15">
        <v>11</v>
      </c>
      <c r="D5869" s="244">
        <v>2</v>
      </c>
      <c r="E5869" s="244">
        <v>0</v>
      </c>
      <c r="F5869" s="244">
        <v>1</v>
      </c>
      <c r="G5869" s="244">
        <v>0</v>
      </c>
      <c r="H5869" s="244">
        <v>1</v>
      </c>
      <c r="I5869" s="244">
        <v>0</v>
      </c>
      <c r="J5869" s="244">
        <v>1</v>
      </c>
      <c r="K5869" s="244">
        <v>2</v>
      </c>
      <c r="L5869" s="244">
        <v>1</v>
      </c>
      <c r="M5869" s="244">
        <v>1</v>
      </c>
      <c r="N5869" s="244">
        <v>1</v>
      </c>
      <c r="O5869" s="254">
        <v>1</v>
      </c>
    </row>
    <row r="5870" ht="14.25" spans="1:15">
      <c r="A5870" s="245" t="s">
        <v>68</v>
      </c>
      <c r="B5870" s="52" t="s">
        <v>64</v>
      </c>
      <c r="C5870" s="19">
        <v>0.423076923076923</v>
      </c>
      <c r="D5870" s="246">
        <v>0.666666666666667</v>
      </c>
      <c r="E5870" s="246">
        <v>0</v>
      </c>
      <c r="F5870" s="246">
        <v>0.5</v>
      </c>
      <c r="G5870" s="246">
        <v>0</v>
      </c>
      <c r="H5870" s="246">
        <v>1</v>
      </c>
      <c r="I5870" s="246">
        <v>0</v>
      </c>
      <c r="J5870" s="246">
        <v>1</v>
      </c>
      <c r="K5870" s="246">
        <v>0.4</v>
      </c>
      <c r="L5870" s="246">
        <v>0.5</v>
      </c>
      <c r="M5870" s="246">
        <v>0.333333333333333</v>
      </c>
      <c r="N5870" s="246">
        <v>0.333333333333333</v>
      </c>
      <c r="O5870" s="255">
        <v>0.5</v>
      </c>
    </row>
    <row r="5871" spans="1:15">
      <c r="A5871" s="240" t="s">
        <v>69</v>
      </c>
      <c r="B5871" s="47" t="s">
        <v>55</v>
      </c>
      <c r="C5871" s="12">
        <v>1.21981424148607</v>
      </c>
      <c r="D5871" s="241">
        <v>1.80769230769231</v>
      </c>
      <c r="E5871" s="241">
        <v>1.66666666666667</v>
      </c>
      <c r="F5871" s="241">
        <v>1.4</v>
      </c>
      <c r="G5871" s="241">
        <v>1.44444444444444</v>
      </c>
      <c r="H5871" s="241">
        <v>1.2</v>
      </c>
      <c r="I5871" s="241">
        <v>1.14285714285714</v>
      </c>
      <c r="J5871" s="241">
        <v>1.33333333333333</v>
      </c>
      <c r="K5871" s="241">
        <v>1.24242424242424</v>
      </c>
      <c r="L5871" s="241">
        <v>1.23076923076923</v>
      </c>
      <c r="M5871" s="241">
        <v>0.962962962962963</v>
      </c>
      <c r="N5871" s="241">
        <v>1.14705882352941</v>
      </c>
      <c r="O5871" s="252">
        <v>0.743589743589744</v>
      </c>
    </row>
    <row r="5872" spans="1:15">
      <c r="A5872" s="242" t="s">
        <v>69</v>
      </c>
      <c r="B5872" s="43" t="s">
        <v>57</v>
      </c>
      <c r="C5872" s="15">
        <v>323</v>
      </c>
      <c r="D5872" s="243">
        <v>26</v>
      </c>
      <c r="E5872" s="243">
        <v>15</v>
      </c>
      <c r="F5872" s="243">
        <v>10</v>
      </c>
      <c r="G5872" s="243">
        <v>9</v>
      </c>
      <c r="H5872" s="243">
        <v>30</v>
      </c>
      <c r="I5872" s="243">
        <v>28</v>
      </c>
      <c r="J5872" s="243">
        <v>33</v>
      </c>
      <c r="K5872" s="243">
        <v>33</v>
      </c>
      <c r="L5872" s="243">
        <v>39</v>
      </c>
      <c r="M5872" s="243">
        <v>27</v>
      </c>
      <c r="N5872" s="243">
        <v>34</v>
      </c>
      <c r="O5872" s="253">
        <v>39</v>
      </c>
    </row>
    <row r="5873" spans="1:15">
      <c r="A5873" s="240" t="s">
        <v>69</v>
      </c>
      <c r="B5873" s="47" t="s">
        <v>59</v>
      </c>
      <c r="C5873" s="15">
        <v>394</v>
      </c>
      <c r="D5873" s="243">
        <v>47</v>
      </c>
      <c r="E5873" s="243">
        <v>25</v>
      </c>
      <c r="F5873" s="243">
        <v>14</v>
      </c>
      <c r="G5873" s="243">
        <v>13</v>
      </c>
      <c r="H5873" s="243">
        <v>36</v>
      </c>
      <c r="I5873" s="243">
        <v>32</v>
      </c>
      <c r="J5873" s="243">
        <v>44</v>
      </c>
      <c r="K5873" s="243">
        <v>41</v>
      </c>
      <c r="L5873" s="243">
        <v>48</v>
      </c>
      <c r="M5873" s="243">
        <v>26</v>
      </c>
      <c r="N5873" s="243">
        <v>39</v>
      </c>
      <c r="O5873" s="253">
        <v>29</v>
      </c>
    </row>
    <row r="5874" spans="1:15">
      <c r="A5874" s="242" t="s">
        <v>69</v>
      </c>
      <c r="B5874" s="43" t="s">
        <v>4</v>
      </c>
      <c r="C5874" s="15">
        <v>3</v>
      </c>
      <c r="D5874" s="244">
        <v>0</v>
      </c>
      <c r="E5874" s="244">
        <v>0</v>
      </c>
      <c r="F5874" s="244">
        <v>0</v>
      </c>
      <c r="G5874" s="244">
        <v>0</v>
      </c>
      <c r="H5874" s="244">
        <v>1</v>
      </c>
      <c r="I5874" s="244">
        <v>0</v>
      </c>
      <c r="J5874" s="244">
        <v>1</v>
      </c>
      <c r="K5874" s="244">
        <v>0</v>
      </c>
      <c r="L5874" s="244">
        <v>1</v>
      </c>
      <c r="M5874" s="244">
        <v>0</v>
      </c>
      <c r="N5874" s="244">
        <v>0</v>
      </c>
      <c r="O5874" s="254">
        <v>0</v>
      </c>
    </row>
    <row r="5875" spans="1:15">
      <c r="A5875" s="240" t="s">
        <v>69</v>
      </c>
      <c r="B5875" s="47" t="s">
        <v>5</v>
      </c>
      <c r="C5875" s="12">
        <v>0.00761421319796954</v>
      </c>
      <c r="D5875" s="241">
        <v>0</v>
      </c>
      <c r="E5875" s="241">
        <v>0</v>
      </c>
      <c r="F5875" s="241">
        <v>0</v>
      </c>
      <c r="G5875" s="241">
        <v>0</v>
      </c>
      <c r="H5875" s="241">
        <v>0.0277777777777778</v>
      </c>
      <c r="I5875" s="241">
        <v>0</v>
      </c>
      <c r="J5875" s="241">
        <v>0.0227272727272727</v>
      </c>
      <c r="K5875" s="241">
        <v>0</v>
      </c>
      <c r="L5875" s="241">
        <v>0.0208333333333333</v>
      </c>
      <c r="M5875" s="241">
        <v>0</v>
      </c>
      <c r="N5875" s="241">
        <v>0</v>
      </c>
      <c r="O5875" s="252">
        <v>0</v>
      </c>
    </row>
    <row r="5876" spans="1:15">
      <c r="A5876" s="242" t="s">
        <v>69</v>
      </c>
      <c r="B5876" s="43" t="s">
        <v>6</v>
      </c>
      <c r="C5876" s="15">
        <v>2</v>
      </c>
      <c r="D5876" s="244">
        <v>1</v>
      </c>
      <c r="E5876" s="244">
        <v>0</v>
      </c>
      <c r="F5876" s="244">
        <v>0</v>
      </c>
      <c r="G5876" s="244">
        <v>0</v>
      </c>
      <c r="H5876" s="244">
        <v>0</v>
      </c>
      <c r="I5876" s="244">
        <v>0</v>
      </c>
      <c r="J5876" s="244">
        <v>0</v>
      </c>
      <c r="K5876" s="244">
        <v>0</v>
      </c>
      <c r="L5876" s="244">
        <v>1</v>
      </c>
      <c r="M5876" s="244">
        <v>0</v>
      </c>
      <c r="N5876" s="244">
        <v>0</v>
      </c>
      <c r="O5876" s="254">
        <v>0</v>
      </c>
    </row>
    <row r="5877" ht="14.25" spans="1:15">
      <c r="A5877" s="245" t="s">
        <v>69</v>
      </c>
      <c r="B5877" s="52" t="s">
        <v>64</v>
      </c>
      <c r="C5877" s="19">
        <v>0.666666666666667</v>
      </c>
      <c r="D5877" s="246">
        <v>0</v>
      </c>
      <c r="E5877" s="246">
        <v>0</v>
      </c>
      <c r="F5877" s="246">
        <v>0</v>
      </c>
      <c r="G5877" s="246">
        <v>0</v>
      </c>
      <c r="H5877" s="246">
        <v>0</v>
      </c>
      <c r="I5877" s="246">
        <v>0</v>
      </c>
      <c r="J5877" s="246">
        <v>0</v>
      </c>
      <c r="K5877" s="246">
        <v>0</v>
      </c>
      <c r="L5877" s="246">
        <v>1</v>
      </c>
      <c r="M5877" s="246">
        <v>0</v>
      </c>
      <c r="N5877" s="246">
        <v>0</v>
      </c>
      <c r="O5877" s="255">
        <v>0</v>
      </c>
    </row>
    <row r="5878" spans="1:15">
      <c r="A5878" s="240" t="s">
        <v>70</v>
      </c>
      <c r="B5878" s="47" t="s">
        <v>55</v>
      </c>
      <c r="C5878" s="12">
        <v>0.205499276410999</v>
      </c>
      <c r="D5878" s="241">
        <v>1.34375</v>
      </c>
      <c r="E5878" s="241">
        <v>1.29411764705882</v>
      </c>
      <c r="F5878" s="241">
        <v>1.11764705882353</v>
      </c>
      <c r="G5878" s="241">
        <v>0.571428571428571</v>
      </c>
      <c r="H5878" s="241">
        <v>1.08</v>
      </c>
      <c r="I5878" s="241">
        <v>0.720930232558139</v>
      </c>
      <c r="J5878" s="241">
        <v>0.784313725490196</v>
      </c>
      <c r="K5878" s="241">
        <v>0.944444444444444</v>
      </c>
      <c r="L5878" s="241">
        <v>0.553571428571429</v>
      </c>
      <c r="M5878" s="241">
        <v>0.13591595535128</v>
      </c>
      <c r="N5878" s="241">
        <v>0.140502354788069</v>
      </c>
      <c r="O5878" s="252">
        <v>0.172804532577904</v>
      </c>
    </row>
    <row r="5879" spans="1:15">
      <c r="A5879" s="242" t="s">
        <v>70</v>
      </c>
      <c r="B5879" s="43" t="s">
        <v>57</v>
      </c>
      <c r="C5879" s="15">
        <v>3455</v>
      </c>
      <c r="D5879" s="243">
        <v>32</v>
      </c>
      <c r="E5879" s="243">
        <v>17</v>
      </c>
      <c r="F5879" s="243">
        <v>17</v>
      </c>
      <c r="G5879" s="243">
        <v>28</v>
      </c>
      <c r="H5879" s="243">
        <v>25</v>
      </c>
      <c r="I5879" s="243">
        <v>43</v>
      </c>
      <c r="J5879" s="243">
        <v>51</v>
      </c>
      <c r="K5879" s="243">
        <v>36</v>
      </c>
      <c r="L5879" s="243">
        <v>56</v>
      </c>
      <c r="M5879" s="243">
        <v>1523</v>
      </c>
      <c r="N5879" s="243">
        <v>1274</v>
      </c>
      <c r="O5879" s="253">
        <v>353</v>
      </c>
    </row>
    <row r="5880" spans="1:15">
      <c r="A5880" s="240" t="s">
        <v>70</v>
      </c>
      <c r="B5880" s="47" t="s">
        <v>59</v>
      </c>
      <c r="C5880" s="15">
        <v>710</v>
      </c>
      <c r="D5880" s="243">
        <v>43</v>
      </c>
      <c r="E5880" s="243">
        <v>22</v>
      </c>
      <c r="F5880" s="243">
        <v>19</v>
      </c>
      <c r="G5880" s="243">
        <v>16</v>
      </c>
      <c r="H5880" s="243">
        <v>27</v>
      </c>
      <c r="I5880" s="243">
        <v>31</v>
      </c>
      <c r="J5880" s="243">
        <v>40</v>
      </c>
      <c r="K5880" s="243">
        <v>34</v>
      </c>
      <c r="L5880" s="243">
        <v>31</v>
      </c>
      <c r="M5880" s="243">
        <v>207</v>
      </c>
      <c r="N5880" s="243">
        <v>179</v>
      </c>
      <c r="O5880" s="253">
        <v>61</v>
      </c>
    </row>
    <row r="5881" spans="1:15">
      <c r="A5881" s="242" t="s">
        <v>70</v>
      </c>
      <c r="B5881" s="43" t="s">
        <v>4</v>
      </c>
      <c r="C5881" s="15">
        <v>9</v>
      </c>
      <c r="D5881" s="244">
        <v>1</v>
      </c>
      <c r="E5881" s="244">
        <v>0</v>
      </c>
      <c r="F5881" s="244">
        <v>0</v>
      </c>
      <c r="G5881" s="244">
        <v>4</v>
      </c>
      <c r="H5881" s="244">
        <v>0</v>
      </c>
      <c r="I5881" s="244">
        <v>0</v>
      </c>
      <c r="J5881" s="244">
        <v>0</v>
      </c>
      <c r="K5881" s="244">
        <v>2</v>
      </c>
      <c r="L5881" s="244">
        <v>1</v>
      </c>
      <c r="M5881" s="244">
        <v>0</v>
      </c>
      <c r="N5881" s="244">
        <v>1</v>
      </c>
      <c r="O5881" s="254">
        <v>0</v>
      </c>
    </row>
    <row r="5882" spans="1:15">
      <c r="A5882" s="240" t="s">
        <v>70</v>
      </c>
      <c r="B5882" s="47" t="s">
        <v>5</v>
      </c>
      <c r="C5882" s="12">
        <v>0.0126760563380282</v>
      </c>
      <c r="D5882" s="241">
        <v>0.0232558139534884</v>
      </c>
      <c r="E5882" s="241">
        <v>0</v>
      </c>
      <c r="F5882" s="241">
        <v>0</v>
      </c>
      <c r="G5882" s="241">
        <v>0.25</v>
      </c>
      <c r="H5882" s="241">
        <v>0</v>
      </c>
      <c r="I5882" s="241">
        <v>0</v>
      </c>
      <c r="J5882" s="241">
        <v>0</v>
      </c>
      <c r="K5882" s="241">
        <v>0.0588235294117647</v>
      </c>
      <c r="L5882" s="241">
        <v>0.032258064516129</v>
      </c>
      <c r="M5882" s="241">
        <v>0</v>
      </c>
      <c r="N5882" s="241">
        <v>0.00558659217877095</v>
      </c>
      <c r="O5882" s="252">
        <v>0</v>
      </c>
    </row>
    <row r="5883" spans="1:15">
      <c r="A5883" s="242" t="s">
        <v>70</v>
      </c>
      <c r="B5883" s="43" t="s">
        <v>6</v>
      </c>
      <c r="C5883" s="15">
        <v>5</v>
      </c>
      <c r="D5883" s="244">
        <v>0</v>
      </c>
      <c r="E5883" s="244">
        <v>0</v>
      </c>
      <c r="F5883" s="244">
        <v>0</v>
      </c>
      <c r="G5883" s="244">
        <v>0</v>
      </c>
      <c r="H5883" s="244">
        <v>0</v>
      </c>
      <c r="I5883" s="244">
        <v>1</v>
      </c>
      <c r="J5883" s="244">
        <v>0</v>
      </c>
      <c r="K5883" s="244">
        <v>2</v>
      </c>
      <c r="L5883" s="244">
        <v>0</v>
      </c>
      <c r="M5883" s="244">
        <v>1</v>
      </c>
      <c r="N5883" s="244">
        <v>1</v>
      </c>
      <c r="O5883" s="254">
        <v>0</v>
      </c>
    </row>
    <row r="5884" ht="14.25" spans="1:15">
      <c r="A5884" s="245" t="s">
        <v>70</v>
      </c>
      <c r="B5884" s="52" t="s">
        <v>64</v>
      </c>
      <c r="C5884" s="19">
        <v>0.555555555555556</v>
      </c>
      <c r="D5884" s="246">
        <v>0</v>
      </c>
      <c r="E5884" s="246">
        <v>0</v>
      </c>
      <c r="F5884" s="246">
        <v>0</v>
      </c>
      <c r="G5884" s="246">
        <v>0</v>
      </c>
      <c r="H5884" s="246">
        <v>0</v>
      </c>
      <c r="I5884" s="246">
        <v>0</v>
      </c>
      <c r="J5884" s="246">
        <v>0</v>
      </c>
      <c r="K5884" s="246">
        <v>1</v>
      </c>
      <c r="L5884" s="246">
        <v>0</v>
      </c>
      <c r="M5884" s="246">
        <v>0</v>
      </c>
      <c r="N5884" s="246">
        <v>1</v>
      </c>
      <c r="O5884" s="255">
        <v>0</v>
      </c>
    </row>
    <row r="5885" spans="1:15">
      <c r="A5885" s="240" t="s">
        <v>26</v>
      </c>
      <c r="B5885" s="47" t="s">
        <v>55</v>
      </c>
      <c r="C5885" s="12">
        <v>200.4</v>
      </c>
      <c r="D5885" s="241" t="e">
        <v>#DIV/0!</v>
      </c>
      <c r="E5885" s="241" t="e">
        <v>#DIV/0!</v>
      </c>
      <c r="F5885" s="241" t="e">
        <v>#DIV/0!</v>
      </c>
      <c r="G5885" s="241" t="e">
        <v>#DIV/0!</v>
      </c>
      <c r="H5885" s="241" t="e">
        <v>#DIV/0!</v>
      </c>
      <c r="I5885" s="241" t="e">
        <v>#DIV/0!</v>
      </c>
      <c r="J5885" s="241" t="e">
        <v>#DIV/0!</v>
      </c>
      <c r="K5885" s="241" t="e">
        <v>#DIV/0!</v>
      </c>
      <c r="L5885" s="241" t="e">
        <v>#DIV/0!</v>
      </c>
      <c r="M5885" s="241">
        <v>42</v>
      </c>
      <c r="N5885" s="241">
        <v>109</v>
      </c>
      <c r="O5885" s="252">
        <v>49</v>
      </c>
    </row>
    <row r="5886" spans="1:15">
      <c r="A5886" s="242" t="s">
        <v>26</v>
      </c>
      <c r="B5886" s="43" t="s">
        <v>57</v>
      </c>
      <c r="C5886" s="15">
        <v>5</v>
      </c>
      <c r="D5886" s="243">
        <v>0</v>
      </c>
      <c r="E5886" s="243">
        <v>0</v>
      </c>
      <c r="F5886" s="243">
        <v>0</v>
      </c>
      <c r="G5886" s="243">
        <v>0</v>
      </c>
      <c r="H5886" s="243">
        <v>0</v>
      </c>
      <c r="I5886" s="243">
        <v>0</v>
      </c>
      <c r="J5886" s="243">
        <v>0</v>
      </c>
      <c r="K5886" s="243">
        <v>0</v>
      </c>
      <c r="L5886" s="243">
        <v>0</v>
      </c>
      <c r="M5886" s="243">
        <v>2</v>
      </c>
      <c r="N5886" s="243">
        <v>1</v>
      </c>
      <c r="O5886" s="253">
        <v>2</v>
      </c>
    </row>
    <row r="5887" spans="1:15">
      <c r="A5887" s="240" t="s">
        <v>26</v>
      </c>
      <c r="B5887" s="47" t="s">
        <v>59</v>
      </c>
      <c r="C5887" s="15">
        <v>1002</v>
      </c>
      <c r="D5887" s="243">
        <v>75</v>
      </c>
      <c r="E5887" s="243">
        <v>33</v>
      </c>
      <c r="F5887" s="243">
        <v>47</v>
      </c>
      <c r="G5887" s="243">
        <v>50</v>
      </c>
      <c r="H5887" s="243">
        <v>110</v>
      </c>
      <c r="I5887" s="243">
        <v>76</v>
      </c>
      <c r="J5887" s="243">
        <v>85</v>
      </c>
      <c r="K5887" s="243">
        <v>120</v>
      </c>
      <c r="L5887" s="243">
        <v>115</v>
      </c>
      <c r="M5887" s="243">
        <v>84</v>
      </c>
      <c r="N5887" s="243">
        <v>109</v>
      </c>
      <c r="O5887" s="253">
        <v>98</v>
      </c>
    </row>
    <row r="5888" spans="1:15">
      <c r="A5888" s="242" t="s">
        <v>26</v>
      </c>
      <c r="B5888" s="43" t="s">
        <v>4</v>
      </c>
      <c r="C5888" s="15">
        <v>5</v>
      </c>
      <c r="D5888" s="244">
        <v>1</v>
      </c>
      <c r="E5888" s="244">
        <v>0</v>
      </c>
      <c r="F5888" s="244">
        <v>1</v>
      </c>
      <c r="G5888" s="244">
        <v>0</v>
      </c>
      <c r="H5888" s="244">
        <v>0</v>
      </c>
      <c r="I5888" s="244">
        <v>0</v>
      </c>
      <c r="J5888" s="244">
        <v>1</v>
      </c>
      <c r="K5888" s="244">
        <v>0</v>
      </c>
      <c r="L5888" s="244">
        <v>0</v>
      </c>
      <c r="M5888" s="244">
        <v>1</v>
      </c>
      <c r="N5888" s="244">
        <v>1</v>
      </c>
      <c r="O5888" s="254">
        <v>0</v>
      </c>
    </row>
    <row r="5889" spans="1:15">
      <c r="A5889" s="240" t="s">
        <v>26</v>
      </c>
      <c r="B5889" s="47" t="s">
        <v>5</v>
      </c>
      <c r="C5889" s="12">
        <v>0.00499001996007984</v>
      </c>
      <c r="D5889" s="241">
        <v>0.0133333333333333</v>
      </c>
      <c r="E5889" s="241">
        <v>0</v>
      </c>
      <c r="F5889" s="241">
        <v>0.0212765957446809</v>
      </c>
      <c r="G5889" s="241">
        <v>0</v>
      </c>
      <c r="H5889" s="241">
        <v>0</v>
      </c>
      <c r="I5889" s="241">
        <v>0</v>
      </c>
      <c r="J5889" s="241">
        <v>0.0117647058823529</v>
      </c>
      <c r="K5889" s="241">
        <v>0</v>
      </c>
      <c r="L5889" s="241">
        <v>0</v>
      </c>
      <c r="M5889" s="241">
        <v>0.0119047619047619</v>
      </c>
      <c r="N5889" s="241">
        <v>0.00917431192660551</v>
      </c>
      <c r="O5889" s="252">
        <v>0</v>
      </c>
    </row>
    <row r="5890" spans="1:15">
      <c r="A5890" s="242" t="s">
        <v>26</v>
      </c>
      <c r="B5890" s="43" t="s">
        <v>6</v>
      </c>
      <c r="C5890" s="15">
        <v>1</v>
      </c>
      <c r="D5890" s="244">
        <v>0</v>
      </c>
      <c r="E5890" s="244">
        <v>0</v>
      </c>
      <c r="F5890" s="244">
        <v>0</v>
      </c>
      <c r="G5890" s="244">
        <v>0</v>
      </c>
      <c r="H5890" s="244">
        <v>0</v>
      </c>
      <c r="I5890" s="244">
        <v>0</v>
      </c>
      <c r="J5890" s="244">
        <v>1</v>
      </c>
      <c r="K5890" s="244">
        <v>0</v>
      </c>
      <c r="L5890" s="244">
        <v>0</v>
      </c>
      <c r="M5890" s="244">
        <v>0</v>
      </c>
      <c r="N5890" s="244">
        <v>0</v>
      </c>
      <c r="O5890" s="254">
        <v>0</v>
      </c>
    </row>
    <row r="5891" ht="14.25" spans="1:15">
      <c r="A5891" s="245" t="s">
        <v>26</v>
      </c>
      <c r="B5891" s="52" t="s">
        <v>64</v>
      </c>
      <c r="C5891" s="19">
        <v>0.2</v>
      </c>
      <c r="D5891" s="19">
        <v>0</v>
      </c>
      <c r="E5891" s="19" t="e">
        <v>#DIV/0!</v>
      </c>
      <c r="F5891" s="19">
        <v>0</v>
      </c>
      <c r="G5891" s="19" t="e">
        <v>#DIV/0!</v>
      </c>
      <c r="H5891" s="19" t="e">
        <v>#DIV/0!</v>
      </c>
      <c r="I5891" s="19" t="e">
        <v>#DIV/0!</v>
      </c>
      <c r="J5891" s="19">
        <v>1</v>
      </c>
      <c r="K5891" s="19" t="e">
        <v>#DIV/0!</v>
      </c>
      <c r="L5891" s="19" t="e">
        <v>#DIV/0!</v>
      </c>
      <c r="M5891" s="19">
        <v>0</v>
      </c>
      <c r="N5891" s="19">
        <v>0</v>
      </c>
      <c r="O5891" s="19" t="e">
        <v>#DIV/0!</v>
      </c>
    </row>
    <row r="5892" spans="1:15">
      <c r="A5892" s="240" t="s">
        <v>71</v>
      </c>
      <c r="B5892" s="47" t="s">
        <v>55</v>
      </c>
      <c r="C5892" s="12">
        <v>400</v>
      </c>
      <c r="D5892" s="241" t="e">
        <v>#DIV/0!</v>
      </c>
      <c r="E5892" s="241" t="e">
        <v>#DIV/0!</v>
      </c>
      <c r="F5892" s="241">
        <v>19</v>
      </c>
      <c r="G5892" s="241" t="e">
        <v>#DIV/0!</v>
      </c>
      <c r="H5892" s="241" t="e">
        <v>#DIV/0!</v>
      </c>
      <c r="I5892" s="241" t="e">
        <v>#DIV/0!</v>
      </c>
      <c r="J5892" s="241" t="e">
        <v>#DIV/0!</v>
      </c>
      <c r="K5892" s="241" t="e">
        <v>#DIV/0!</v>
      </c>
      <c r="L5892" s="241" t="e">
        <v>#DIV/0!</v>
      </c>
      <c r="M5892" s="241" t="e">
        <v>#DIV/0!</v>
      </c>
      <c r="N5892" s="241" t="e">
        <v>#DIV/0!</v>
      </c>
      <c r="O5892" s="252" t="e">
        <v>#DIV/0!</v>
      </c>
    </row>
    <row r="5893" spans="1:15">
      <c r="A5893" s="242" t="s">
        <v>71</v>
      </c>
      <c r="B5893" s="43" t="s">
        <v>57</v>
      </c>
      <c r="C5893" s="15">
        <v>1</v>
      </c>
      <c r="D5893" s="243">
        <v>0</v>
      </c>
      <c r="E5893" s="243">
        <v>0</v>
      </c>
      <c r="F5893" s="243">
        <v>1</v>
      </c>
      <c r="G5893" s="243">
        <v>0</v>
      </c>
      <c r="H5893" s="243">
        <v>0</v>
      </c>
      <c r="I5893" s="243">
        <v>0</v>
      </c>
      <c r="J5893" s="243">
        <v>0</v>
      </c>
      <c r="K5893" s="243">
        <v>0</v>
      </c>
      <c r="L5893" s="243">
        <v>0</v>
      </c>
      <c r="M5893" s="243">
        <v>0</v>
      </c>
      <c r="N5893" s="243">
        <v>0</v>
      </c>
      <c r="O5893" s="253">
        <v>0</v>
      </c>
    </row>
    <row r="5894" spans="1:15">
      <c r="A5894" s="240" t="s">
        <v>71</v>
      </c>
      <c r="B5894" s="47" t="s">
        <v>59</v>
      </c>
      <c r="C5894" s="15">
        <v>400</v>
      </c>
      <c r="D5894" s="243">
        <v>64</v>
      </c>
      <c r="E5894" s="243">
        <v>33</v>
      </c>
      <c r="F5894" s="243">
        <v>19</v>
      </c>
      <c r="G5894" s="243">
        <v>25</v>
      </c>
      <c r="H5894" s="243">
        <v>29</v>
      </c>
      <c r="I5894" s="243">
        <v>36</v>
      </c>
      <c r="J5894" s="243">
        <v>22</v>
      </c>
      <c r="K5894" s="243">
        <v>31</v>
      </c>
      <c r="L5894" s="243">
        <v>48</v>
      </c>
      <c r="M5894" s="243">
        <v>30</v>
      </c>
      <c r="N5894" s="243">
        <v>33</v>
      </c>
      <c r="O5894" s="253">
        <v>30</v>
      </c>
    </row>
    <row r="5895" spans="1:15">
      <c r="A5895" s="242" t="s">
        <v>71</v>
      </c>
      <c r="B5895" s="43" t="s">
        <v>4</v>
      </c>
      <c r="C5895" s="15">
        <v>47</v>
      </c>
      <c r="D5895" s="244">
        <v>2</v>
      </c>
      <c r="E5895" s="244">
        <v>6</v>
      </c>
      <c r="F5895" s="244">
        <v>1</v>
      </c>
      <c r="G5895" s="244">
        <v>4</v>
      </c>
      <c r="H5895" s="244">
        <v>4</v>
      </c>
      <c r="I5895" s="244">
        <v>3</v>
      </c>
      <c r="J5895" s="244">
        <v>4</v>
      </c>
      <c r="K5895" s="244">
        <v>3</v>
      </c>
      <c r="L5895" s="244">
        <v>3</v>
      </c>
      <c r="M5895" s="244">
        <v>4</v>
      </c>
      <c r="N5895" s="244">
        <v>6</v>
      </c>
      <c r="O5895" s="254">
        <v>7</v>
      </c>
    </row>
    <row r="5896" spans="1:15">
      <c r="A5896" s="240" t="s">
        <v>71</v>
      </c>
      <c r="B5896" s="47" t="s">
        <v>5</v>
      </c>
      <c r="C5896" s="241">
        <v>0.1175</v>
      </c>
      <c r="D5896" s="241">
        <v>0.03125</v>
      </c>
      <c r="E5896" s="241">
        <v>0.181818181818182</v>
      </c>
      <c r="F5896" s="241">
        <v>0.0526315789473684</v>
      </c>
      <c r="G5896" s="241">
        <v>0.16</v>
      </c>
      <c r="H5896" s="241">
        <v>0.137931034482759</v>
      </c>
      <c r="I5896" s="241">
        <v>0.0833333333333333</v>
      </c>
      <c r="J5896" s="241">
        <v>0.181818181818182</v>
      </c>
      <c r="K5896" s="241">
        <v>0.0967741935483871</v>
      </c>
      <c r="L5896" s="241">
        <v>0.0625</v>
      </c>
      <c r="M5896" s="241">
        <v>0.133333333333333</v>
      </c>
      <c r="N5896" s="241">
        <v>0.181818181818182</v>
      </c>
      <c r="O5896" s="252">
        <v>0.233333333333333</v>
      </c>
    </row>
    <row r="5897" spans="1:15">
      <c r="A5897" s="242" t="s">
        <v>71</v>
      </c>
      <c r="B5897" s="43" t="s">
        <v>6</v>
      </c>
      <c r="C5897" s="15">
        <v>10</v>
      </c>
      <c r="D5897" s="244">
        <v>1</v>
      </c>
      <c r="E5897" s="244">
        <v>1</v>
      </c>
      <c r="F5897" s="244">
        <v>0</v>
      </c>
      <c r="G5897" s="244">
        <v>1</v>
      </c>
      <c r="H5897" s="244">
        <v>1</v>
      </c>
      <c r="I5897" s="244">
        <v>0</v>
      </c>
      <c r="J5897" s="244">
        <v>1</v>
      </c>
      <c r="K5897" s="244">
        <v>1</v>
      </c>
      <c r="L5897" s="244">
        <v>1</v>
      </c>
      <c r="M5897" s="244">
        <v>2</v>
      </c>
      <c r="N5897" s="244">
        <v>1</v>
      </c>
      <c r="O5897" s="254">
        <v>0</v>
      </c>
    </row>
    <row r="5898" ht="14.25" spans="1:15">
      <c r="A5898" s="245" t="s">
        <v>71</v>
      </c>
      <c r="B5898" s="52" t="s">
        <v>64</v>
      </c>
      <c r="C5898" s="19">
        <v>0.212765957446809</v>
      </c>
      <c r="D5898" s="19">
        <v>0.5</v>
      </c>
      <c r="E5898" s="19">
        <v>0.166666666666667</v>
      </c>
      <c r="F5898" s="19">
        <v>0</v>
      </c>
      <c r="G5898" s="19">
        <v>0.25</v>
      </c>
      <c r="H5898" s="19">
        <v>0.25</v>
      </c>
      <c r="I5898" s="19">
        <v>0</v>
      </c>
      <c r="J5898" s="19">
        <v>0.25</v>
      </c>
      <c r="K5898" s="19">
        <v>0.333333333333333</v>
      </c>
      <c r="L5898" s="19">
        <v>0.333333333333333</v>
      </c>
      <c r="M5898" s="19">
        <v>0.5</v>
      </c>
      <c r="N5898" s="19">
        <v>0.166666666666667</v>
      </c>
      <c r="O5898" s="19">
        <v>0</v>
      </c>
    </row>
    <row r="5899" spans="1:15">
      <c r="A5899" s="240" t="s">
        <v>72</v>
      </c>
      <c r="B5899" s="47" t="s">
        <v>55</v>
      </c>
      <c r="C5899" s="12">
        <v>0.145843957164712</v>
      </c>
      <c r="D5899" s="241">
        <v>0.13903743315508</v>
      </c>
      <c r="E5899" s="241">
        <v>0.166666666666667</v>
      </c>
      <c r="F5899" s="241">
        <v>0.241379310344828</v>
      </c>
      <c r="G5899" s="241">
        <v>0.166666666666667</v>
      </c>
      <c r="H5899" s="241">
        <v>0.174825174825175</v>
      </c>
      <c r="I5899" s="241">
        <v>0.188976377952756</v>
      </c>
      <c r="J5899" s="241">
        <v>0.123456790123457</v>
      </c>
      <c r="K5899" s="241">
        <v>0.131147540983607</v>
      </c>
      <c r="L5899" s="241">
        <v>0.128491620111732</v>
      </c>
      <c r="M5899" s="241">
        <v>0.128865979381443</v>
      </c>
      <c r="N5899" s="241">
        <v>0.122186495176849</v>
      </c>
      <c r="O5899" s="252">
        <v>0.156862745098039</v>
      </c>
    </row>
    <row r="5900" spans="1:15">
      <c r="A5900" s="242" t="s">
        <v>72</v>
      </c>
      <c r="B5900" s="43" t="s">
        <v>57</v>
      </c>
      <c r="C5900" s="15">
        <v>1961</v>
      </c>
      <c r="D5900" s="243">
        <v>187</v>
      </c>
      <c r="E5900" s="243">
        <v>84</v>
      </c>
      <c r="F5900" s="243">
        <v>58</v>
      </c>
      <c r="G5900" s="243">
        <v>78</v>
      </c>
      <c r="H5900" s="243">
        <v>143</v>
      </c>
      <c r="I5900" s="243">
        <v>127</v>
      </c>
      <c r="J5900" s="243">
        <v>162</v>
      </c>
      <c r="K5900" s="243">
        <v>183</v>
      </c>
      <c r="L5900" s="243">
        <v>179</v>
      </c>
      <c r="M5900" s="243">
        <v>194</v>
      </c>
      <c r="N5900" s="243">
        <v>311</v>
      </c>
      <c r="O5900" s="253">
        <v>255</v>
      </c>
    </row>
    <row r="5901" spans="1:15">
      <c r="A5901" s="240" t="s">
        <v>72</v>
      </c>
      <c r="B5901" s="47" t="s">
        <v>59</v>
      </c>
      <c r="C5901" s="15">
        <v>286</v>
      </c>
      <c r="D5901" s="243">
        <v>26</v>
      </c>
      <c r="E5901" s="243">
        <v>14</v>
      </c>
      <c r="F5901" s="243">
        <v>14</v>
      </c>
      <c r="G5901" s="243">
        <v>13</v>
      </c>
      <c r="H5901" s="243">
        <v>25</v>
      </c>
      <c r="I5901" s="243">
        <v>24</v>
      </c>
      <c r="J5901" s="243">
        <v>20</v>
      </c>
      <c r="K5901" s="243">
        <v>24</v>
      </c>
      <c r="L5901" s="243">
        <v>23</v>
      </c>
      <c r="M5901" s="243">
        <v>25</v>
      </c>
      <c r="N5901" s="243">
        <v>38</v>
      </c>
      <c r="O5901" s="253">
        <v>40</v>
      </c>
    </row>
    <row r="5902" spans="1:15">
      <c r="A5902" s="242" t="s">
        <v>72</v>
      </c>
      <c r="B5902" s="43" t="s">
        <v>4</v>
      </c>
      <c r="C5902" s="15">
        <v>12</v>
      </c>
      <c r="D5902" s="244">
        <v>0</v>
      </c>
      <c r="E5902" s="244">
        <v>1</v>
      </c>
      <c r="F5902" s="244">
        <v>0</v>
      </c>
      <c r="G5902" s="244">
        <v>0</v>
      </c>
      <c r="H5902" s="244">
        <v>0</v>
      </c>
      <c r="I5902" s="244">
        <v>1</v>
      </c>
      <c r="J5902" s="244">
        <v>0</v>
      </c>
      <c r="K5902" s="244">
        <v>3</v>
      </c>
      <c r="L5902" s="244">
        <v>2</v>
      </c>
      <c r="M5902" s="244">
        <v>1</v>
      </c>
      <c r="N5902" s="244">
        <v>2</v>
      </c>
      <c r="O5902" s="254">
        <v>2</v>
      </c>
    </row>
    <row r="5903" spans="1:15">
      <c r="A5903" s="240" t="s">
        <v>72</v>
      </c>
      <c r="B5903" s="47" t="s">
        <v>5</v>
      </c>
      <c r="C5903" s="12">
        <v>0.041958041958042</v>
      </c>
      <c r="D5903" s="241">
        <v>0</v>
      </c>
      <c r="E5903" s="241">
        <v>0.0714285714285714</v>
      </c>
      <c r="F5903" s="241">
        <v>0</v>
      </c>
      <c r="G5903" s="241">
        <v>0</v>
      </c>
      <c r="H5903" s="241">
        <v>0</v>
      </c>
      <c r="I5903" s="241">
        <v>0.0416666666666667</v>
      </c>
      <c r="J5903" s="241">
        <v>0</v>
      </c>
      <c r="K5903" s="241">
        <v>0.125</v>
      </c>
      <c r="L5903" s="241">
        <v>0.0869565217391304</v>
      </c>
      <c r="M5903" s="241">
        <v>0.04</v>
      </c>
      <c r="N5903" s="241">
        <v>0.0526315789473684</v>
      </c>
      <c r="O5903" s="252">
        <v>0.05</v>
      </c>
    </row>
    <row r="5904" spans="1:15">
      <c r="A5904" s="242" t="s">
        <v>72</v>
      </c>
      <c r="B5904" s="43" t="s">
        <v>6</v>
      </c>
      <c r="C5904" s="15">
        <v>1</v>
      </c>
      <c r="D5904" s="244">
        <v>0</v>
      </c>
      <c r="E5904" s="244">
        <v>0</v>
      </c>
      <c r="F5904" s="244">
        <v>0</v>
      </c>
      <c r="G5904" s="244">
        <v>0</v>
      </c>
      <c r="H5904" s="244">
        <v>1</v>
      </c>
      <c r="I5904" s="244">
        <v>0</v>
      </c>
      <c r="J5904" s="244">
        <v>0</v>
      </c>
      <c r="K5904" s="244">
        <v>0</v>
      </c>
      <c r="L5904" s="244">
        <v>0</v>
      </c>
      <c r="M5904" s="244">
        <v>0</v>
      </c>
      <c r="N5904" s="244">
        <v>0</v>
      </c>
      <c r="O5904" s="254">
        <v>0</v>
      </c>
    </row>
    <row r="5905" ht="14.25" spans="1:15">
      <c r="A5905" s="245" t="s">
        <v>72</v>
      </c>
      <c r="B5905" s="52" t="s">
        <v>64</v>
      </c>
      <c r="C5905" s="19">
        <v>0.0833333333333333</v>
      </c>
      <c r="D5905" s="19" t="e">
        <v>#DIV/0!</v>
      </c>
      <c r="E5905" s="19">
        <v>0</v>
      </c>
      <c r="F5905" s="19" t="e">
        <v>#DIV/0!</v>
      </c>
      <c r="G5905" s="19" t="e">
        <v>#DIV/0!</v>
      </c>
      <c r="H5905" s="19" t="e">
        <v>#DIV/0!</v>
      </c>
      <c r="I5905" s="19">
        <v>0</v>
      </c>
      <c r="J5905" s="19" t="e">
        <v>#DIV/0!</v>
      </c>
      <c r="K5905" s="19">
        <v>0</v>
      </c>
      <c r="L5905" s="19">
        <v>0</v>
      </c>
      <c r="M5905" s="19">
        <v>0</v>
      </c>
      <c r="N5905" s="19">
        <v>0</v>
      </c>
      <c r="O5905" s="19">
        <v>0</v>
      </c>
    </row>
    <row r="5906" ht="14.25" spans="1:15">
      <c r="A5906" s="259">
        <v>45110</v>
      </c>
      <c r="B5906" s="259"/>
      <c r="C5906" s="259"/>
      <c r="D5906" s="259"/>
      <c r="E5906" s="259"/>
      <c r="F5906" s="259"/>
      <c r="G5906" s="259"/>
      <c r="H5906" s="259"/>
      <c r="I5906" s="259"/>
      <c r="J5906" s="259"/>
      <c r="K5906" s="259"/>
      <c r="L5906" s="259"/>
      <c r="M5906" s="259"/>
      <c r="N5906" s="259"/>
      <c r="O5906" s="259"/>
    </row>
    <row r="5907" spans="1:15">
      <c r="A5907" s="260" t="s">
        <v>1</v>
      </c>
      <c r="B5907" s="261"/>
      <c r="C5907" s="8" t="s">
        <v>42</v>
      </c>
      <c r="D5907" s="262" t="s">
        <v>43</v>
      </c>
      <c r="E5907" s="262" t="s">
        <v>44</v>
      </c>
      <c r="F5907" s="262" t="s">
        <v>45</v>
      </c>
      <c r="G5907" s="262" t="s">
        <v>46</v>
      </c>
      <c r="H5907" s="262" t="s">
        <v>47</v>
      </c>
      <c r="I5907" s="262" t="s">
        <v>48</v>
      </c>
      <c r="J5907" s="262" t="s">
        <v>49</v>
      </c>
      <c r="K5907" s="262" t="s">
        <v>50</v>
      </c>
      <c r="L5907" s="262" t="s">
        <v>51</v>
      </c>
      <c r="M5907" s="262" t="s">
        <v>52</v>
      </c>
      <c r="N5907" s="262" t="s">
        <v>53</v>
      </c>
      <c r="O5907" s="276" t="s">
        <v>54</v>
      </c>
    </row>
    <row r="5908" spans="1:15">
      <c r="A5908" s="263" t="s">
        <v>22</v>
      </c>
      <c r="B5908" s="264" t="s">
        <v>55</v>
      </c>
      <c r="C5908" s="12">
        <v>0.519548218940052</v>
      </c>
      <c r="D5908" s="265">
        <v>0.686695278969957</v>
      </c>
      <c r="E5908" s="265">
        <v>0.378205128205128</v>
      </c>
      <c r="F5908" s="265">
        <v>0.6</v>
      </c>
      <c r="G5908" s="265">
        <v>0.656862745098039</v>
      </c>
      <c r="H5908" s="265">
        <v>0.662420382165605</v>
      </c>
      <c r="I5908" s="265">
        <v>0.514124293785311</v>
      </c>
      <c r="J5908" s="265">
        <v>0.46078431372549</v>
      </c>
      <c r="K5908" s="265">
        <v>0.431297709923664</v>
      </c>
      <c r="L5908" s="265">
        <v>0.47136563876652</v>
      </c>
      <c r="M5908" s="265">
        <v>0.587677725118483</v>
      </c>
      <c r="N5908" s="265">
        <v>0.463709677419355</v>
      </c>
      <c r="O5908" s="277">
        <v>0.459574468085106</v>
      </c>
    </row>
    <row r="5909" spans="1:15">
      <c r="A5909" s="266" t="s">
        <v>22</v>
      </c>
      <c r="B5909" s="267" t="s">
        <v>57</v>
      </c>
      <c r="C5909" s="15">
        <v>2302</v>
      </c>
      <c r="D5909" s="268">
        <v>233</v>
      </c>
      <c r="E5909" s="268">
        <v>156</v>
      </c>
      <c r="F5909" s="268">
        <v>90</v>
      </c>
      <c r="G5909" s="268">
        <v>102</v>
      </c>
      <c r="H5909" s="268">
        <v>157</v>
      </c>
      <c r="I5909" s="268">
        <v>177</v>
      </c>
      <c r="J5909" s="268">
        <v>204</v>
      </c>
      <c r="K5909" s="268">
        <v>262</v>
      </c>
      <c r="L5909" s="268">
        <v>227</v>
      </c>
      <c r="M5909" s="268">
        <v>211</v>
      </c>
      <c r="N5909" s="268">
        <v>248</v>
      </c>
      <c r="O5909" s="278">
        <v>235</v>
      </c>
    </row>
    <row r="5910" spans="1:15">
      <c r="A5910" s="263" t="s">
        <v>22</v>
      </c>
      <c r="B5910" s="264" t="s">
        <v>59</v>
      </c>
      <c r="C5910" s="15">
        <v>1196</v>
      </c>
      <c r="D5910" s="268">
        <v>160</v>
      </c>
      <c r="E5910" s="268">
        <v>59</v>
      </c>
      <c r="F5910" s="268">
        <v>54</v>
      </c>
      <c r="G5910" s="268">
        <v>67</v>
      </c>
      <c r="H5910" s="268">
        <v>104</v>
      </c>
      <c r="I5910" s="268">
        <v>91</v>
      </c>
      <c r="J5910" s="268">
        <v>94</v>
      </c>
      <c r="K5910" s="268">
        <v>113</v>
      </c>
      <c r="L5910" s="268">
        <v>107</v>
      </c>
      <c r="M5910" s="268">
        <v>124</v>
      </c>
      <c r="N5910" s="268">
        <v>115</v>
      </c>
      <c r="O5910" s="278">
        <v>108</v>
      </c>
    </row>
    <row r="5911" spans="1:15">
      <c r="A5911" s="266" t="s">
        <v>22</v>
      </c>
      <c r="B5911" s="267" t="s">
        <v>4</v>
      </c>
      <c r="C5911" s="15">
        <v>59</v>
      </c>
      <c r="D5911" s="269">
        <v>7</v>
      </c>
      <c r="E5911" s="269">
        <v>10</v>
      </c>
      <c r="F5911" s="269">
        <v>5</v>
      </c>
      <c r="G5911" s="269">
        <v>1</v>
      </c>
      <c r="H5911" s="269">
        <v>3</v>
      </c>
      <c r="I5911" s="269">
        <v>5</v>
      </c>
      <c r="J5911" s="269">
        <v>1</v>
      </c>
      <c r="K5911" s="269">
        <v>6</v>
      </c>
      <c r="L5911" s="269">
        <v>8</v>
      </c>
      <c r="M5911" s="269">
        <v>5</v>
      </c>
      <c r="N5911" s="269">
        <v>3</v>
      </c>
      <c r="O5911" s="279">
        <v>5</v>
      </c>
    </row>
    <row r="5912" spans="1:15">
      <c r="A5912" s="263" t="s">
        <v>22</v>
      </c>
      <c r="B5912" s="264" t="s">
        <v>5</v>
      </c>
      <c r="C5912" s="12">
        <v>0.0493311036789298</v>
      </c>
      <c r="D5912" s="265">
        <v>0.04375</v>
      </c>
      <c r="E5912" s="265">
        <v>0.169491525423729</v>
      </c>
      <c r="F5912" s="265">
        <v>0.0925925925925926</v>
      </c>
      <c r="G5912" s="265">
        <v>0.0149253731343284</v>
      </c>
      <c r="H5912" s="265">
        <v>0.0288461538461538</v>
      </c>
      <c r="I5912" s="265">
        <v>0.0549450549450549</v>
      </c>
      <c r="J5912" s="265">
        <v>0.0106382978723404</v>
      </c>
      <c r="K5912" s="265">
        <v>0.0530973451327434</v>
      </c>
      <c r="L5912" s="265">
        <v>0.0747663551401869</v>
      </c>
      <c r="M5912" s="265">
        <v>0.0403225806451613</v>
      </c>
      <c r="N5912" s="265">
        <v>0.0260869565217391</v>
      </c>
      <c r="O5912" s="277">
        <v>0.0462962962962963</v>
      </c>
    </row>
    <row r="5913" spans="1:15">
      <c r="A5913" s="266" t="s">
        <v>22</v>
      </c>
      <c r="B5913" s="267" t="s">
        <v>6</v>
      </c>
      <c r="C5913" s="15">
        <v>18</v>
      </c>
      <c r="D5913" s="269">
        <v>0</v>
      </c>
      <c r="E5913" s="269">
        <v>6</v>
      </c>
      <c r="F5913" s="269">
        <v>2</v>
      </c>
      <c r="G5913" s="269">
        <v>0</v>
      </c>
      <c r="H5913" s="269">
        <v>1</v>
      </c>
      <c r="I5913" s="269">
        <v>1</v>
      </c>
      <c r="J5913" s="269">
        <v>2</v>
      </c>
      <c r="K5913" s="269">
        <v>1</v>
      </c>
      <c r="L5913" s="269">
        <v>3</v>
      </c>
      <c r="M5913" s="269">
        <v>2</v>
      </c>
      <c r="N5913" s="269">
        <v>0</v>
      </c>
      <c r="O5913" s="279">
        <v>0</v>
      </c>
    </row>
    <row r="5914" ht="14.25" spans="1:15">
      <c r="A5914" s="270" t="s">
        <v>22</v>
      </c>
      <c r="B5914" s="271" t="s">
        <v>64</v>
      </c>
      <c r="C5914" s="19">
        <v>0.305084745762712</v>
      </c>
      <c r="D5914" s="272">
        <v>0</v>
      </c>
      <c r="E5914" s="272">
        <v>0.6</v>
      </c>
      <c r="F5914" s="272">
        <v>0.4</v>
      </c>
      <c r="G5914" s="272">
        <v>0</v>
      </c>
      <c r="H5914" s="272">
        <v>0.333333333333333</v>
      </c>
      <c r="I5914" s="272">
        <v>0.2</v>
      </c>
      <c r="J5914" s="272">
        <v>2</v>
      </c>
      <c r="K5914" s="272">
        <v>0.166666666666667</v>
      </c>
      <c r="L5914" s="272">
        <v>0.375</v>
      </c>
      <c r="M5914" s="272">
        <v>0.4</v>
      </c>
      <c r="N5914" s="272">
        <v>0</v>
      </c>
      <c r="O5914" s="280">
        <v>0</v>
      </c>
    </row>
    <row r="5915" spans="1:15">
      <c r="A5915" s="273" t="s">
        <v>66</v>
      </c>
      <c r="B5915" s="274" t="s">
        <v>55</v>
      </c>
      <c r="C5915" s="12">
        <v>0.0666666666666667</v>
      </c>
      <c r="D5915" s="275">
        <v>0.0418250950570342</v>
      </c>
      <c r="E5915" s="275">
        <v>0.0378787878787879</v>
      </c>
      <c r="F5915" s="275">
        <v>0.0282485875706215</v>
      </c>
      <c r="G5915" s="275">
        <v>0.0689655172413793</v>
      </c>
      <c r="H5915" s="275">
        <v>0.0674846625766871</v>
      </c>
      <c r="I5915" s="275">
        <v>0.032258064516129</v>
      </c>
      <c r="J5915" s="275">
        <v>0.062111801242236</v>
      </c>
      <c r="K5915" s="275">
        <v>0.122302158273381</v>
      </c>
      <c r="L5915" s="275">
        <v>0.13</v>
      </c>
      <c r="M5915" s="275">
        <v>0.166666666666667</v>
      </c>
      <c r="N5915" s="275">
        <v>0.076271186440678</v>
      </c>
      <c r="O5915" s="281">
        <v>0.0785714285714286</v>
      </c>
    </row>
    <row r="5916" spans="1:15">
      <c r="A5916" s="266" t="s">
        <v>66</v>
      </c>
      <c r="B5916" s="267" t="s">
        <v>57</v>
      </c>
      <c r="C5916" s="15">
        <v>1950</v>
      </c>
      <c r="D5916" s="268">
        <v>263</v>
      </c>
      <c r="E5916" s="268">
        <v>264</v>
      </c>
      <c r="F5916" s="268">
        <v>177</v>
      </c>
      <c r="G5916" s="268">
        <v>174</v>
      </c>
      <c r="H5916" s="268">
        <v>163</v>
      </c>
      <c r="I5916" s="268">
        <v>155</v>
      </c>
      <c r="J5916" s="268">
        <v>161</v>
      </c>
      <c r="K5916" s="268">
        <v>139</v>
      </c>
      <c r="L5916" s="268">
        <v>100</v>
      </c>
      <c r="M5916" s="268">
        <v>96</v>
      </c>
      <c r="N5916" s="268">
        <v>118</v>
      </c>
      <c r="O5916" s="278">
        <v>140</v>
      </c>
    </row>
    <row r="5917" spans="1:15">
      <c r="A5917" s="263" t="s">
        <v>66</v>
      </c>
      <c r="B5917" s="264" t="s">
        <v>59</v>
      </c>
      <c r="C5917" s="15">
        <v>130</v>
      </c>
      <c r="D5917" s="268">
        <v>11</v>
      </c>
      <c r="E5917" s="268">
        <v>10</v>
      </c>
      <c r="F5917" s="268">
        <v>5</v>
      </c>
      <c r="G5917" s="268">
        <v>12</v>
      </c>
      <c r="H5917" s="268">
        <v>11</v>
      </c>
      <c r="I5917" s="268">
        <v>5</v>
      </c>
      <c r="J5917" s="268">
        <v>10</v>
      </c>
      <c r="K5917" s="268">
        <v>17</v>
      </c>
      <c r="L5917" s="268">
        <v>13</v>
      </c>
      <c r="M5917" s="268">
        <v>16</v>
      </c>
      <c r="N5917" s="268">
        <v>9</v>
      </c>
      <c r="O5917" s="278">
        <v>11</v>
      </c>
    </row>
    <row r="5918" spans="1:15">
      <c r="A5918" s="266" t="s">
        <v>66</v>
      </c>
      <c r="B5918" s="267" t="s">
        <v>4</v>
      </c>
      <c r="C5918" s="15">
        <v>7</v>
      </c>
      <c r="D5918" s="269">
        <v>0</v>
      </c>
      <c r="E5918" s="269">
        <v>2</v>
      </c>
      <c r="F5918" s="269">
        <v>0</v>
      </c>
      <c r="G5918" s="269">
        <v>1</v>
      </c>
      <c r="H5918" s="269">
        <v>1</v>
      </c>
      <c r="I5918" s="269">
        <v>0</v>
      </c>
      <c r="J5918" s="269">
        <v>0</v>
      </c>
      <c r="K5918" s="269">
        <v>0</v>
      </c>
      <c r="L5918" s="269">
        <v>0</v>
      </c>
      <c r="M5918" s="269">
        <v>1</v>
      </c>
      <c r="N5918" s="269">
        <v>1</v>
      </c>
      <c r="O5918" s="279">
        <v>1</v>
      </c>
    </row>
    <row r="5919" spans="1:15">
      <c r="A5919" s="263" t="s">
        <v>66</v>
      </c>
      <c r="B5919" s="264" t="s">
        <v>5</v>
      </c>
      <c r="C5919" s="12">
        <v>0.0538461538461538</v>
      </c>
      <c r="D5919" s="265">
        <v>0</v>
      </c>
      <c r="E5919" s="265">
        <v>0.2</v>
      </c>
      <c r="F5919" s="265">
        <v>0</v>
      </c>
      <c r="G5919" s="265">
        <v>0.0833333333333333</v>
      </c>
      <c r="H5919" s="265">
        <v>0.0909090909090909</v>
      </c>
      <c r="I5919" s="265">
        <v>0</v>
      </c>
      <c r="J5919" s="265">
        <v>0</v>
      </c>
      <c r="K5919" s="265">
        <v>0</v>
      </c>
      <c r="L5919" s="265">
        <v>0</v>
      </c>
      <c r="M5919" s="265">
        <v>0.0625</v>
      </c>
      <c r="N5919" s="265">
        <v>0.111111111111111</v>
      </c>
      <c r="O5919" s="277">
        <v>0.0909090909090909</v>
      </c>
    </row>
    <row r="5920" spans="1:15">
      <c r="A5920" s="266" t="s">
        <v>66</v>
      </c>
      <c r="B5920" s="267" t="s">
        <v>6</v>
      </c>
      <c r="C5920" s="15">
        <v>4</v>
      </c>
      <c r="D5920" s="269">
        <v>1</v>
      </c>
      <c r="E5920" s="269">
        <v>0</v>
      </c>
      <c r="F5920" s="269">
        <v>0</v>
      </c>
      <c r="G5920" s="269">
        <v>0</v>
      </c>
      <c r="H5920" s="269">
        <v>1</v>
      </c>
      <c r="I5920" s="269">
        <v>0</v>
      </c>
      <c r="J5920" s="269">
        <v>0</v>
      </c>
      <c r="K5920" s="269">
        <v>0</v>
      </c>
      <c r="L5920" s="269">
        <v>0</v>
      </c>
      <c r="M5920" s="269">
        <v>1</v>
      </c>
      <c r="N5920" s="269">
        <v>1</v>
      </c>
      <c r="O5920" s="279">
        <v>0</v>
      </c>
    </row>
    <row r="5921" ht="14.25" spans="1:15">
      <c r="A5921" s="270" t="s">
        <v>66</v>
      </c>
      <c r="B5921" s="271" t="s">
        <v>64</v>
      </c>
      <c r="C5921" s="19">
        <v>0.571428571428571</v>
      </c>
      <c r="D5921" s="272">
        <v>0</v>
      </c>
      <c r="E5921" s="272">
        <v>0</v>
      </c>
      <c r="F5921" s="272">
        <v>0</v>
      </c>
      <c r="G5921" s="272">
        <v>0</v>
      </c>
      <c r="H5921" s="272">
        <v>1</v>
      </c>
      <c r="I5921" s="272">
        <v>0</v>
      </c>
      <c r="J5921" s="272">
        <v>0</v>
      </c>
      <c r="K5921" s="272">
        <v>0</v>
      </c>
      <c r="L5921" s="272">
        <v>0</v>
      </c>
      <c r="M5921" s="272">
        <v>1</v>
      </c>
      <c r="N5921" s="272">
        <v>1</v>
      </c>
      <c r="O5921" s="280">
        <v>0</v>
      </c>
    </row>
    <row r="5922" spans="1:15">
      <c r="A5922" s="263" t="s">
        <v>67</v>
      </c>
      <c r="B5922" s="264" t="s">
        <v>55</v>
      </c>
      <c r="C5922" s="12">
        <v>0.441011235955056</v>
      </c>
      <c r="D5922" s="265">
        <v>0.514285714285714</v>
      </c>
      <c r="E5922" s="265">
        <v>0.485714285714286</v>
      </c>
      <c r="F5922" s="265">
        <v>0.606060606060606</v>
      </c>
      <c r="G5922" s="265">
        <v>0.414634146341463</v>
      </c>
      <c r="H5922" s="265">
        <v>0.507246376811594</v>
      </c>
      <c r="I5922" s="265">
        <v>0.565217391304348</v>
      </c>
      <c r="J5922" s="265">
        <v>0.386363636363636</v>
      </c>
      <c r="K5922" s="265">
        <v>0.347826086956522</v>
      </c>
      <c r="L5922" s="265">
        <v>0.310344827586207</v>
      </c>
      <c r="M5922" s="265">
        <v>0.419047619047619</v>
      </c>
      <c r="N5922" s="265">
        <v>0.491071428571429</v>
      </c>
      <c r="O5922" s="277">
        <v>0.353448275862069</v>
      </c>
    </row>
    <row r="5923" spans="1:15">
      <c r="A5923" s="266" t="s">
        <v>67</v>
      </c>
      <c r="B5923" s="267" t="s">
        <v>57</v>
      </c>
      <c r="C5923" s="15">
        <v>1068</v>
      </c>
      <c r="D5923" s="268">
        <v>140</v>
      </c>
      <c r="E5923" s="268">
        <v>70</v>
      </c>
      <c r="F5923" s="268">
        <v>33</v>
      </c>
      <c r="G5923" s="268">
        <v>41</v>
      </c>
      <c r="H5923" s="268">
        <v>69</v>
      </c>
      <c r="I5923" s="268">
        <v>92</v>
      </c>
      <c r="J5923" s="268">
        <v>88</v>
      </c>
      <c r="K5923" s="268">
        <v>115</v>
      </c>
      <c r="L5923" s="268">
        <v>87</v>
      </c>
      <c r="M5923" s="268">
        <v>105</v>
      </c>
      <c r="N5923" s="268">
        <v>112</v>
      </c>
      <c r="O5923" s="278">
        <v>116</v>
      </c>
    </row>
    <row r="5924" spans="1:15">
      <c r="A5924" s="263" t="s">
        <v>67</v>
      </c>
      <c r="B5924" s="264" t="s">
        <v>59</v>
      </c>
      <c r="C5924" s="15">
        <v>471</v>
      </c>
      <c r="D5924" s="268">
        <v>72</v>
      </c>
      <c r="E5924" s="268">
        <v>34</v>
      </c>
      <c r="F5924" s="268">
        <v>20</v>
      </c>
      <c r="G5924" s="268">
        <v>17</v>
      </c>
      <c r="H5924" s="268">
        <v>35</v>
      </c>
      <c r="I5924" s="268">
        <v>52</v>
      </c>
      <c r="J5924" s="268">
        <v>34</v>
      </c>
      <c r="K5924" s="268">
        <v>40</v>
      </c>
      <c r="L5924" s="268">
        <v>27</v>
      </c>
      <c r="M5924" s="268">
        <v>44</v>
      </c>
      <c r="N5924" s="268">
        <v>55</v>
      </c>
      <c r="O5924" s="278">
        <v>41</v>
      </c>
    </row>
    <row r="5925" spans="1:15">
      <c r="A5925" s="266" t="s">
        <v>67</v>
      </c>
      <c r="B5925" s="267" t="s">
        <v>4</v>
      </c>
      <c r="C5925" s="15">
        <v>17</v>
      </c>
      <c r="D5925" s="269">
        <v>2</v>
      </c>
      <c r="E5925" s="269">
        <v>1</v>
      </c>
      <c r="F5925" s="269">
        <v>0</v>
      </c>
      <c r="G5925" s="269">
        <v>2</v>
      </c>
      <c r="H5925" s="269">
        <v>1</v>
      </c>
      <c r="I5925" s="269">
        <v>0</v>
      </c>
      <c r="J5925" s="269">
        <v>1</v>
      </c>
      <c r="K5925" s="269">
        <v>1</v>
      </c>
      <c r="L5925" s="269">
        <v>1</v>
      </c>
      <c r="M5925" s="269">
        <v>2</v>
      </c>
      <c r="N5925" s="269">
        <v>3</v>
      </c>
      <c r="O5925" s="279">
        <v>3</v>
      </c>
    </row>
    <row r="5926" spans="1:15">
      <c r="A5926" s="263" t="s">
        <v>67</v>
      </c>
      <c r="B5926" s="264" t="s">
        <v>5</v>
      </c>
      <c r="C5926" s="12">
        <v>0.0360934182590234</v>
      </c>
      <c r="D5926" s="265">
        <v>0.0277777777777778</v>
      </c>
      <c r="E5926" s="265">
        <v>0.0294117647058824</v>
      </c>
      <c r="F5926" s="265">
        <v>0</v>
      </c>
      <c r="G5926" s="265">
        <v>0.117647058823529</v>
      </c>
      <c r="H5926" s="265">
        <v>0.0285714285714286</v>
      </c>
      <c r="I5926" s="265">
        <v>0</v>
      </c>
      <c r="J5926" s="265">
        <v>0.0294117647058824</v>
      </c>
      <c r="K5926" s="265">
        <v>0.025</v>
      </c>
      <c r="L5926" s="265">
        <v>0.037037037037037</v>
      </c>
      <c r="M5926" s="265">
        <v>0.0454545454545455</v>
      </c>
      <c r="N5926" s="265">
        <v>0.0545454545454545</v>
      </c>
      <c r="O5926" s="277">
        <v>0.0731707317073171</v>
      </c>
    </row>
    <row r="5927" spans="1:15">
      <c r="A5927" s="266" t="s">
        <v>67</v>
      </c>
      <c r="B5927" s="267" t="s">
        <v>6</v>
      </c>
      <c r="C5927" s="15">
        <v>2</v>
      </c>
      <c r="D5927" s="269">
        <v>0</v>
      </c>
      <c r="E5927" s="269">
        <v>1</v>
      </c>
      <c r="F5927" s="269">
        <v>0</v>
      </c>
      <c r="G5927" s="269">
        <v>1</v>
      </c>
      <c r="H5927" s="269">
        <v>0</v>
      </c>
      <c r="I5927" s="269">
        <v>0</v>
      </c>
      <c r="J5927" s="269">
        <v>0</v>
      </c>
      <c r="K5927" s="269">
        <v>0</v>
      </c>
      <c r="L5927" s="269">
        <v>0</v>
      </c>
      <c r="M5927" s="269">
        <v>0</v>
      </c>
      <c r="N5927" s="269">
        <v>0</v>
      </c>
      <c r="O5927" s="279">
        <v>0</v>
      </c>
    </row>
    <row r="5928" ht="14.25" spans="1:15">
      <c r="A5928" s="270" t="s">
        <v>67</v>
      </c>
      <c r="B5928" s="271" t="s">
        <v>64</v>
      </c>
      <c r="C5928" s="19">
        <v>0.117647058823529</v>
      </c>
      <c r="D5928" s="272">
        <v>0</v>
      </c>
      <c r="E5928" s="272">
        <v>1</v>
      </c>
      <c r="F5928" s="272">
        <v>0</v>
      </c>
      <c r="G5928" s="272">
        <v>0.5</v>
      </c>
      <c r="H5928" s="272">
        <v>0</v>
      </c>
      <c r="I5928" s="272">
        <v>0</v>
      </c>
      <c r="J5928" s="272">
        <v>0</v>
      </c>
      <c r="K5928" s="272">
        <v>0</v>
      </c>
      <c r="L5928" s="272">
        <v>0</v>
      </c>
      <c r="M5928" s="272">
        <v>0</v>
      </c>
      <c r="N5928" s="272">
        <v>0</v>
      </c>
      <c r="O5928" s="280">
        <v>0</v>
      </c>
    </row>
    <row r="5929" spans="1:15">
      <c r="A5929" s="263" t="s">
        <v>68</v>
      </c>
      <c r="B5929" s="264" t="s">
        <v>55</v>
      </c>
      <c r="C5929" s="12">
        <v>0.112153918348193</v>
      </c>
      <c r="D5929" s="265">
        <v>0.231843575418994</v>
      </c>
      <c r="E5929" s="265">
        <v>0.243119266055046</v>
      </c>
      <c r="F5929" s="265">
        <v>0.211764705882353</v>
      </c>
      <c r="G5929" s="265">
        <v>0.152542372881356</v>
      </c>
      <c r="H5929" s="265">
        <v>0.103896103896104</v>
      </c>
      <c r="I5929" s="265">
        <v>0.0966442953020134</v>
      </c>
      <c r="J5929" s="265">
        <v>0.0989505247376312</v>
      </c>
      <c r="K5929" s="265">
        <v>0.0974106041923551</v>
      </c>
      <c r="L5929" s="265">
        <v>0.0834454912516824</v>
      </c>
      <c r="M5929" s="265">
        <v>0.103389830508475</v>
      </c>
      <c r="N5929" s="265">
        <v>0.0917808219178082</v>
      </c>
      <c r="O5929" s="277">
        <v>0.0872576177285319</v>
      </c>
    </row>
    <row r="5930" spans="1:15">
      <c r="A5930" s="266" t="s">
        <v>68</v>
      </c>
      <c r="B5930" s="267" t="s">
        <v>57</v>
      </c>
      <c r="C5930" s="15">
        <v>6393</v>
      </c>
      <c r="D5930" s="268">
        <v>358</v>
      </c>
      <c r="E5930" s="268">
        <v>218</v>
      </c>
      <c r="F5930" s="268">
        <v>170</v>
      </c>
      <c r="G5930" s="268">
        <v>177</v>
      </c>
      <c r="H5930" s="268">
        <v>462</v>
      </c>
      <c r="I5930" s="268">
        <v>745</v>
      </c>
      <c r="J5930" s="268">
        <v>667</v>
      </c>
      <c r="K5930" s="268">
        <v>811</v>
      </c>
      <c r="L5930" s="268">
        <v>743</v>
      </c>
      <c r="M5930" s="268">
        <v>590</v>
      </c>
      <c r="N5930" s="268">
        <v>730</v>
      </c>
      <c r="O5930" s="278">
        <v>722</v>
      </c>
    </row>
    <row r="5931" spans="1:15">
      <c r="A5931" s="263" t="s">
        <v>68</v>
      </c>
      <c r="B5931" s="264" t="s">
        <v>59</v>
      </c>
      <c r="C5931" s="15">
        <v>717</v>
      </c>
      <c r="D5931" s="268">
        <v>83</v>
      </c>
      <c r="E5931" s="268">
        <v>53</v>
      </c>
      <c r="F5931" s="268">
        <v>36</v>
      </c>
      <c r="G5931" s="268">
        <v>27</v>
      </c>
      <c r="H5931" s="268">
        <v>48</v>
      </c>
      <c r="I5931" s="268">
        <v>72</v>
      </c>
      <c r="J5931" s="268">
        <v>66</v>
      </c>
      <c r="K5931" s="268">
        <v>79</v>
      </c>
      <c r="L5931" s="268">
        <v>62</v>
      </c>
      <c r="M5931" s="268">
        <v>61</v>
      </c>
      <c r="N5931" s="268">
        <v>67</v>
      </c>
      <c r="O5931" s="278">
        <v>63</v>
      </c>
    </row>
    <row r="5932" spans="1:15">
      <c r="A5932" s="266" t="s">
        <v>68</v>
      </c>
      <c r="B5932" s="267" t="s">
        <v>4</v>
      </c>
      <c r="C5932" s="15">
        <v>44</v>
      </c>
      <c r="D5932" s="269">
        <v>4</v>
      </c>
      <c r="E5932" s="269">
        <v>6</v>
      </c>
      <c r="F5932" s="269">
        <v>2</v>
      </c>
      <c r="G5932" s="269">
        <v>0</v>
      </c>
      <c r="H5932" s="269">
        <v>1</v>
      </c>
      <c r="I5932" s="269">
        <v>6</v>
      </c>
      <c r="J5932" s="269">
        <v>1</v>
      </c>
      <c r="K5932" s="269">
        <v>7</v>
      </c>
      <c r="L5932" s="269">
        <v>3</v>
      </c>
      <c r="M5932" s="269">
        <v>2</v>
      </c>
      <c r="N5932" s="269">
        <v>3</v>
      </c>
      <c r="O5932" s="279">
        <v>9</v>
      </c>
    </row>
    <row r="5933" spans="1:15">
      <c r="A5933" s="263" t="s">
        <v>68</v>
      </c>
      <c r="B5933" s="264" t="s">
        <v>5</v>
      </c>
      <c r="C5933" s="12">
        <v>0.0613668061366806</v>
      </c>
      <c r="D5933" s="265">
        <v>0.0481927710843374</v>
      </c>
      <c r="E5933" s="265">
        <v>0.113207547169811</v>
      </c>
      <c r="F5933" s="265">
        <v>0.0555555555555556</v>
      </c>
      <c r="G5933" s="265">
        <v>0</v>
      </c>
      <c r="H5933" s="265">
        <v>0.0208333333333333</v>
      </c>
      <c r="I5933" s="265">
        <v>0.0833333333333333</v>
      </c>
      <c r="J5933" s="265">
        <v>0.0151515151515152</v>
      </c>
      <c r="K5933" s="265">
        <v>0.0886075949367089</v>
      </c>
      <c r="L5933" s="265">
        <v>0.0483870967741935</v>
      </c>
      <c r="M5933" s="265">
        <v>0.0327868852459016</v>
      </c>
      <c r="N5933" s="265">
        <v>0.0447761194029851</v>
      </c>
      <c r="O5933" s="277">
        <v>0.142857142857143</v>
      </c>
    </row>
    <row r="5934" spans="1:15">
      <c r="A5934" s="266" t="s">
        <v>68</v>
      </c>
      <c r="B5934" s="267" t="s">
        <v>6</v>
      </c>
      <c r="C5934" s="15">
        <v>7</v>
      </c>
      <c r="D5934" s="269">
        <v>3</v>
      </c>
      <c r="E5934" s="269">
        <v>0</v>
      </c>
      <c r="F5934" s="269">
        <v>0</v>
      </c>
      <c r="G5934" s="269">
        <v>0</v>
      </c>
      <c r="H5934" s="269">
        <v>0</v>
      </c>
      <c r="I5934" s="269">
        <v>2</v>
      </c>
      <c r="J5934" s="269">
        <v>0</v>
      </c>
      <c r="K5934" s="269">
        <v>0</v>
      </c>
      <c r="L5934" s="269">
        <v>0</v>
      </c>
      <c r="M5934" s="269">
        <v>0</v>
      </c>
      <c r="N5934" s="269">
        <v>1</v>
      </c>
      <c r="O5934" s="279">
        <v>1</v>
      </c>
    </row>
    <row r="5935" ht="14.25" spans="1:15">
      <c r="A5935" s="270" t="s">
        <v>68</v>
      </c>
      <c r="B5935" s="271" t="s">
        <v>64</v>
      </c>
      <c r="C5935" s="19">
        <v>0.159090909090909</v>
      </c>
      <c r="D5935" s="272">
        <v>0.75</v>
      </c>
      <c r="E5935" s="272">
        <v>0</v>
      </c>
      <c r="F5935" s="272">
        <v>0</v>
      </c>
      <c r="G5935" s="272">
        <v>0</v>
      </c>
      <c r="H5935" s="272">
        <v>0</v>
      </c>
      <c r="I5935" s="272">
        <v>0.333333333333333</v>
      </c>
      <c r="J5935" s="272">
        <v>0</v>
      </c>
      <c r="K5935" s="272">
        <v>0</v>
      </c>
      <c r="L5935" s="272">
        <v>0</v>
      </c>
      <c r="M5935" s="272">
        <v>0</v>
      </c>
      <c r="N5935" s="272">
        <v>0.333333333333333</v>
      </c>
      <c r="O5935" s="280">
        <v>0.111111111111111</v>
      </c>
    </row>
    <row r="5936" spans="1:15">
      <c r="A5936" s="263" t="s">
        <v>69</v>
      </c>
      <c r="B5936" s="264" t="s">
        <v>55</v>
      </c>
      <c r="C5936" s="12">
        <v>1.26206896551724</v>
      </c>
      <c r="D5936" s="265">
        <v>1.24137931034483</v>
      </c>
      <c r="E5936" s="265">
        <v>1.5</v>
      </c>
      <c r="F5936" s="265">
        <v>1.44444444444444</v>
      </c>
      <c r="G5936" s="265">
        <v>1.57894736842105</v>
      </c>
      <c r="H5936" s="265">
        <v>1.75</v>
      </c>
      <c r="I5936" s="265">
        <v>1.23076923076923</v>
      </c>
      <c r="J5936" s="265">
        <v>1.08695652173913</v>
      </c>
      <c r="K5936" s="265">
        <v>1.32352941176471</v>
      </c>
      <c r="L5936" s="265">
        <v>1.18518518518519</v>
      </c>
      <c r="M5936" s="265">
        <v>1.52</v>
      </c>
      <c r="N5936" s="265">
        <v>0.9</v>
      </c>
      <c r="O5936" s="277">
        <v>1.2</v>
      </c>
    </row>
    <row r="5937" spans="1:15">
      <c r="A5937" s="266" t="s">
        <v>69</v>
      </c>
      <c r="B5937" s="267" t="s">
        <v>57</v>
      </c>
      <c r="C5937" s="15">
        <v>290</v>
      </c>
      <c r="D5937" s="268">
        <v>29</v>
      </c>
      <c r="E5937" s="268">
        <v>12</v>
      </c>
      <c r="F5937" s="268">
        <v>9</v>
      </c>
      <c r="G5937" s="268">
        <v>19</v>
      </c>
      <c r="H5937" s="268">
        <v>16</v>
      </c>
      <c r="I5937" s="268">
        <v>26</v>
      </c>
      <c r="J5937" s="268">
        <v>23</v>
      </c>
      <c r="K5937" s="268">
        <v>34</v>
      </c>
      <c r="L5937" s="268">
        <v>27</v>
      </c>
      <c r="M5937" s="268">
        <v>25</v>
      </c>
      <c r="N5937" s="268">
        <v>50</v>
      </c>
      <c r="O5937" s="278">
        <v>20</v>
      </c>
    </row>
    <row r="5938" spans="1:15">
      <c r="A5938" s="263" t="s">
        <v>69</v>
      </c>
      <c r="B5938" s="264" t="s">
        <v>59</v>
      </c>
      <c r="C5938" s="15">
        <v>366</v>
      </c>
      <c r="D5938" s="268">
        <v>36</v>
      </c>
      <c r="E5938" s="268">
        <v>18</v>
      </c>
      <c r="F5938" s="268">
        <v>13</v>
      </c>
      <c r="G5938" s="268">
        <v>30</v>
      </c>
      <c r="H5938" s="268">
        <v>28</v>
      </c>
      <c r="I5938" s="268">
        <v>32</v>
      </c>
      <c r="J5938" s="268">
        <v>25</v>
      </c>
      <c r="K5938" s="268">
        <v>45</v>
      </c>
      <c r="L5938" s="268">
        <v>32</v>
      </c>
      <c r="M5938" s="268">
        <v>38</v>
      </c>
      <c r="N5938" s="268">
        <v>45</v>
      </c>
      <c r="O5938" s="278">
        <v>24</v>
      </c>
    </row>
    <row r="5939" spans="1:15">
      <c r="A5939" s="266" t="s">
        <v>69</v>
      </c>
      <c r="B5939" s="267" t="s">
        <v>4</v>
      </c>
      <c r="C5939" s="15">
        <v>6</v>
      </c>
      <c r="D5939" s="269">
        <v>1</v>
      </c>
      <c r="E5939" s="269">
        <v>0</v>
      </c>
      <c r="F5939" s="269">
        <v>0</v>
      </c>
      <c r="G5939" s="269">
        <v>0</v>
      </c>
      <c r="H5939" s="269">
        <v>0</v>
      </c>
      <c r="I5939" s="269">
        <v>1</v>
      </c>
      <c r="J5939" s="269">
        <v>0</v>
      </c>
      <c r="K5939" s="269">
        <v>0</v>
      </c>
      <c r="L5939" s="269">
        <v>0</v>
      </c>
      <c r="M5939" s="269">
        <v>3</v>
      </c>
      <c r="N5939" s="269">
        <v>1</v>
      </c>
      <c r="O5939" s="279">
        <v>0</v>
      </c>
    </row>
    <row r="5940" spans="1:15">
      <c r="A5940" s="263" t="s">
        <v>69</v>
      </c>
      <c r="B5940" s="264" t="s">
        <v>5</v>
      </c>
      <c r="C5940" s="12">
        <v>0.0163934426229508</v>
      </c>
      <c r="D5940" s="265">
        <v>0.0277777777777778</v>
      </c>
      <c r="E5940" s="265">
        <v>0</v>
      </c>
      <c r="F5940" s="265">
        <v>0</v>
      </c>
      <c r="G5940" s="265">
        <v>0</v>
      </c>
      <c r="H5940" s="265">
        <v>0</v>
      </c>
      <c r="I5940" s="265">
        <v>0.03125</v>
      </c>
      <c r="J5940" s="265">
        <v>0</v>
      </c>
      <c r="K5940" s="265">
        <v>0</v>
      </c>
      <c r="L5940" s="265">
        <v>0</v>
      </c>
      <c r="M5940" s="265">
        <v>0.0789473684210526</v>
      </c>
      <c r="N5940" s="265">
        <v>0.0222222222222222</v>
      </c>
      <c r="O5940" s="277">
        <v>0</v>
      </c>
    </row>
    <row r="5941" spans="1:15">
      <c r="A5941" s="266" t="s">
        <v>69</v>
      </c>
      <c r="B5941" s="267" t="s">
        <v>6</v>
      </c>
      <c r="C5941" s="15">
        <v>1</v>
      </c>
      <c r="D5941" s="269">
        <v>0</v>
      </c>
      <c r="E5941" s="269">
        <v>0</v>
      </c>
      <c r="F5941" s="269">
        <v>0</v>
      </c>
      <c r="G5941" s="269">
        <v>0</v>
      </c>
      <c r="H5941" s="269">
        <v>0</v>
      </c>
      <c r="I5941" s="269">
        <v>0</v>
      </c>
      <c r="J5941" s="269">
        <v>0</v>
      </c>
      <c r="K5941" s="269">
        <v>0</v>
      </c>
      <c r="L5941" s="269">
        <v>0</v>
      </c>
      <c r="M5941" s="269">
        <v>1</v>
      </c>
      <c r="N5941" s="269">
        <v>0</v>
      </c>
      <c r="O5941" s="279">
        <v>0</v>
      </c>
    </row>
    <row r="5942" ht="14.25" spans="1:15">
      <c r="A5942" s="270" t="s">
        <v>69</v>
      </c>
      <c r="B5942" s="271" t="s">
        <v>64</v>
      </c>
      <c r="C5942" s="19">
        <v>0.166666666666667</v>
      </c>
      <c r="D5942" s="272">
        <v>0</v>
      </c>
      <c r="E5942" s="272">
        <v>0</v>
      </c>
      <c r="F5942" s="272">
        <v>0</v>
      </c>
      <c r="G5942" s="272">
        <v>0</v>
      </c>
      <c r="H5942" s="272">
        <v>0</v>
      </c>
      <c r="I5942" s="272">
        <v>0</v>
      </c>
      <c r="J5942" s="272">
        <v>0</v>
      </c>
      <c r="K5942" s="272">
        <v>0</v>
      </c>
      <c r="L5942" s="272">
        <v>0</v>
      </c>
      <c r="M5942" s="272">
        <v>0.333333333333333</v>
      </c>
      <c r="N5942" s="272">
        <v>0</v>
      </c>
      <c r="O5942" s="280">
        <v>0</v>
      </c>
    </row>
    <row r="5943" spans="1:15">
      <c r="A5943" s="263" t="s">
        <v>70</v>
      </c>
      <c r="B5943" s="264" t="s">
        <v>55</v>
      </c>
      <c r="C5943" s="12">
        <v>0.419311276164754</v>
      </c>
      <c r="D5943" s="265">
        <v>0.272727272727273</v>
      </c>
      <c r="E5943" s="265">
        <v>0.296296296296296</v>
      </c>
      <c r="F5943" s="265">
        <v>0.396825396825397</v>
      </c>
      <c r="G5943" s="265">
        <v>0.364864864864865</v>
      </c>
      <c r="H5943" s="265">
        <v>0.393939393939394</v>
      </c>
      <c r="I5943" s="265">
        <v>0.295566502463054</v>
      </c>
      <c r="J5943" s="265">
        <v>0.285087719298246</v>
      </c>
      <c r="K5943" s="265">
        <v>0.25</v>
      </c>
      <c r="L5943" s="265">
        <v>0.46</v>
      </c>
      <c r="M5943" s="265">
        <v>2.30769230769231</v>
      </c>
      <c r="N5943" s="265">
        <v>1.70967741935484</v>
      </c>
      <c r="O5943" s="277">
        <v>1.88571428571429</v>
      </c>
    </row>
    <row r="5944" spans="1:15">
      <c r="A5944" s="266" t="s">
        <v>70</v>
      </c>
      <c r="B5944" s="267" t="s">
        <v>57</v>
      </c>
      <c r="C5944" s="15">
        <v>1481</v>
      </c>
      <c r="D5944" s="268">
        <v>187</v>
      </c>
      <c r="E5944" s="268">
        <v>108</v>
      </c>
      <c r="F5944" s="268">
        <v>63</v>
      </c>
      <c r="G5944" s="268">
        <v>74</v>
      </c>
      <c r="H5944" s="268">
        <v>132</v>
      </c>
      <c r="I5944" s="268">
        <v>203</v>
      </c>
      <c r="J5944" s="268">
        <v>228</v>
      </c>
      <c r="K5944" s="268">
        <v>244</v>
      </c>
      <c r="L5944" s="268">
        <v>150</v>
      </c>
      <c r="M5944" s="268">
        <v>26</v>
      </c>
      <c r="N5944" s="268">
        <v>31</v>
      </c>
      <c r="O5944" s="278">
        <v>35</v>
      </c>
    </row>
    <row r="5945" spans="1:15">
      <c r="A5945" s="263" t="s">
        <v>70</v>
      </c>
      <c r="B5945" s="264" t="s">
        <v>59</v>
      </c>
      <c r="C5945" s="15">
        <v>621</v>
      </c>
      <c r="D5945" s="268">
        <v>51</v>
      </c>
      <c r="E5945" s="268">
        <v>32</v>
      </c>
      <c r="F5945" s="268">
        <v>25</v>
      </c>
      <c r="G5945" s="268">
        <v>27</v>
      </c>
      <c r="H5945" s="268">
        <v>52</v>
      </c>
      <c r="I5945" s="268">
        <v>60</v>
      </c>
      <c r="J5945" s="268">
        <v>65</v>
      </c>
      <c r="K5945" s="268">
        <v>61</v>
      </c>
      <c r="L5945" s="268">
        <v>69</v>
      </c>
      <c r="M5945" s="268">
        <v>60</v>
      </c>
      <c r="N5945" s="268">
        <v>53</v>
      </c>
      <c r="O5945" s="278">
        <v>66</v>
      </c>
    </row>
    <row r="5946" spans="1:15">
      <c r="A5946" s="266" t="s">
        <v>70</v>
      </c>
      <c r="B5946" s="267" t="s">
        <v>4</v>
      </c>
      <c r="C5946" s="15">
        <v>6</v>
      </c>
      <c r="D5946" s="269">
        <v>1</v>
      </c>
      <c r="E5946" s="269">
        <v>0</v>
      </c>
      <c r="F5946" s="269">
        <v>1</v>
      </c>
      <c r="G5946" s="269">
        <v>1</v>
      </c>
      <c r="H5946" s="269">
        <v>1</v>
      </c>
      <c r="I5946" s="269">
        <v>0</v>
      </c>
      <c r="J5946" s="269">
        <v>0</v>
      </c>
      <c r="K5946" s="269">
        <v>0</v>
      </c>
      <c r="L5946" s="269">
        <v>0</v>
      </c>
      <c r="M5946" s="269">
        <v>0</v>
      </c>
      <c r="N5946" s="269">
        <v>0</v>
      </c>
      <c r="O5946" s="279">
        <v>2</v>
      </c>
    </row>
    <row r="5947" spans="1:15">
      <c r="A5947" s="263" t="s">
        <v>70</v>
      </c>
      <c r="B5947" s="264" t="s">
        <v>5</v>
      </c>
      <c r="C5947" s="12">
        <v>0.00966183574879227</v>
      </c>
      <c r="D5947" s="265">
        <v>0.0196078431372549</v>
      </c>
      <c r="E5947" s="265">
        <v>0</v>
      </c>
      <c r="F5947" s="265">
        <v>0.04</v>
      </c>
      <c r="G5947" s="265">
        <v>0.037037037037037</v>
      </c>
      <c r="H5947" s="265">
        <v>0.0192307692307692</v>
      </c>
      <c r="I5947" s="265">
        <v>0</v>
      </c>
      <c r="J5947" s="265">
        <v>0</v>
      </c>
      <c r="K5947" s="265">
        <v>0</v>
      </c>
      <c r="L5947" s="265">
        <v>0</v>
      </c>
      <c r="M5947" s="265">
        <v>0</v>
      </c>
      <c r="N5947" s="265">
        <v>0</v>
      </c>
      <c r="O5947" s="277">
        <v>0.0303030303030303</v>
      </c>
    </row>
    <row r="5948" spans="1:15">
      <c r="A5948" s="266" t="s">
        <v>70</v>
      </c>
      <c r="B5948" s="267" t="s">
        <v>6</v>
      </c>
      <c r="C5948" s="15">
        <v>1</v>
      </c>
      <c r="D5948" s="269">
        <v>0</v>
      </c>
      <c r="E5948" s="269">
        <v>0</v>
      </c>
      <c r="F5948" s="269">
        <v>0</v>
      </c>
      <c r="G5948" s="269">
        <v>0</v>
      </c>
      <c r="H5948" s="269">
        <v>0</v>
      </c>
      <c r="I5948" s="269">
        <v>0</v>
      </c>
      <c r="J5948" s="269">
        <v>0</v>
      </c>
      <c r="K5948" s="269">
        <v>0</v>
      </c>
      <c r="L5948" s="269">
        <v>1</v>
      </c>
      <c r="M5948" s="269">
        <v>0</v>
      </c>
      <c r="N5948" s="269">
        <v>0</v>
      </c>
      <c r="O5948" s="279">
        <v>0</v>
      </c>
    </row>
    <row r="5949" ht="14.25" spans="1:15">
      <c r="A5949" s="270" t="s">
        <v>70</v>
      </c>
      <c r="B5949" s="271" t="s">
        <v>64</v>
      </c>
      <c r="C5949" s="19">
        <v>0.166666666666667</v>
      </c>
      <c r="D5949" s="272">
        <v>0</v>
      </c>
      <c r="E5949" s="272">
        <v>0</v>
      </c>
      <c r="F5949" s="272">
        <v>0</v>
      </c>
      <c r="G5949" s="272">
        <v>0</v>
      </c>
      <c r="H5949" s="272">
        <v>0</v>
      </c>
      <c r="I5949" s="272">
        <v>0</v>
      </c>
      <c r="J5949" s="272">
        <v>0</v>
      </c>
      <c r="K5949" s="272">
        <v>0</v>
      </c>
      <c r="L5949" s="272">
        <v>0</v>
      </c>
      <c r="M5949" s="272">
        <v>0</v>
      </c>
      <c r="N5949" s="272">
        <v>0</v>
      </c>
      <c r="O5949" s="280">
        <v>0</v>
      </c>
    </row>
    <row r="5950" spans="1:15">
      <c r="A5950" s="263" t="s">
        <v>26</v>
      </c>
      <c r="B5950" s="264" t="s">
        <v>55</v>
      </c>
      <c r="C5950" s="12">
        <v>3.09090909090909</v>
      </c>
      <c r="D5950" s="265">
        <v>46.5</v>
      </c>
      <c r="E5950" s="265" t="e">
        <v>#DIV/0!</v>
      </c>
      <c r="F5950" s="265">
        <v>16.5</v>
      </c>
      <c r="G5950" s="265" t="e">
        <v>#DIV/0!</v>
      </c>
      <c r="H5950" s="265" t="e">
        <v>#DIV/0!</v>
      </c>
      <c r="I5950" s="265" t="e">
        <v>#DIV/0!</v>
      </c>
      <c r="J5950" s="265" t="e">
        <v>#DIV/0!</v>
      </c>
      <c r="K5950" s="265" t="e">
        <v>#DIV/0!</v>
      </c>
      <c r="L5950" s="265">
        <v>43</v>
      </c>
      <c r="M5950" s="265">
        <v>0.923728813559322</v>
      </c>
      <c r="N5950" s="265">
        <v>0.9</v>
      </c>
      <c r="O5950" s="277">
        <v>0.751937984496124</v>
      </c>
    </row>
    <row r="5951" spans="1:15">
      <c r="A5951" s="266" t="s">
        <v>26</v>
      </c>
      <c r="B5951" s="267" t="s">
        <v>57</v>
      </c>
      <c r="C5951" s="15">
        <v>374</v>
      </c>
      <c r="D5951" s="268">
        <v>2</v>
      </c>
      <c r="E5951" s="268">
        <v>0</v>
      </c>
      <c r="F5951" s="268">
        <v>2</v>
      </c>
      <c r="G5951" s="268">
        <v>0</v>
      </c>
      <c r="H5951" s="268">
        <v>0</v>
      </c>
      <c r="I5951" s="268">
        <v>0</v>
      </c>
      <c r="J5951" s="268">
        <v>0</v>
      </c>
      <c r="K5951" s="268">
        <v>0</v>
      </c>
      <c r="L5951" s="268">
        <v>3</v>
      </c>
      <c r="M5951" s="268">
        <v>118</v>
      </c>
      <c r="N5951" s="268">
        <v>120</v>
      </c>
      <c r="O5951" s="278">
        <v>129</v>
      </c>
    </row>
    <row r="5952" spans="1:15">
      <c r="A5952" s="263" t="s">
        <v>26</v>
      </c>
      <c r="B5952" s="264" t="s">
        <v>59</v>
      </c>
      <c r="C5952" s="15">
        <v>1156</v>
      </c>
      <c r="D5952" s="268">
        <v>93</v>
      </c>
      <c r="E5952" s="268">
        <v>31</v>
      </c>
      <c r="F5952" s="268">
        <v>33</v>
      </c>
      <c r="G5952" s="268">
        <v>34</v>
      </c>
      <c r="H5952" s="268">
        <v>114</v>
      </c>
      <c r="I5952" s="268">
        <v>147</v>
      </c>
      <c r="J5952" s="268">
        <v>123</v>
      </c>
      <c r="K5952" s="268">
        <v>138</v>
      </c>
      <c r="L5952" s="268">
        <v>129</v>
      </c>
      <c r="M5952" s="268">
        <v>109</v>
      </c>
      <c r="N5952" s="268">
        <v>108</v>
      </c>
      <c r="O5952" s="278">
        <v>97</v>
      </c>
    </row>
    <row r="5953" spans="1:15">
      <c r="A5953" s="266" t="s">
        <v>26</v>
      </c>
      <c r="B5953" s="267" t="s">
        <v>4</v>
      </c>
      <c r="C5953" s="15">
        <v>11</v>
      </c>
      <c r="D5953" s="269">
        <v>2</v>
      </c>
      <c r="E5953" s="269">
        <v>0</v>
      </c>
      <c r="F5953" s="269">
        <v>0</v>
      </c>
      <c r="G5953" s="269">
        <v>0</v>
      </c>
      <c r="H5953" s="269">
        <v>0</v>
      </c>
      <c r="I5953" s="269">
        <v>0</v>
      </c>
      <c r="J5953" s="269">
        <v>1</v>
      </c>
      <c r="K5953" s="269">
        <v>0</v>
      </c>
      <c r="L5953" s="269">
        <v>1</v>
      </c>
      <c r="M5953" s="269">
        <v>3</v>
      </c>
      <c r="N5953" s="269">
        <v>1</v>
      </c>
      <c r="O5953" s="279">
        <v>3</v>
      </c>
    </row>
    <row r="5954" spans="1:15">
      <c r="A5954" s="263" t="s">
        <v>26</v>
      </c>
      <c r="B5954" s="264" t="s">
        <v>5</v>
      </c>
      <c r="C5954" s="12">
        <v>0.00951557093425606</v>
      </c>
      <c r="D5954" s="265">
        <v>0.021505376344086</v>
      </c>
      <c r="E5954" s="265">
        <v>0</v>
      </c>
      <c r="F5954" s="265">
        <v>0</v>
      </c>
      <c r="G5954" s="265">
        <v>0</v>
      </c>
      <c r="H5954" s="265">
        <v>0</v>
      </c>
      <c r="I5954" s="265">
        <v>0</v>
      </c>
      <c r="J5954" s="265">
        <v>0.00813008130081301</v>
      </c>
      <c r="K5954" s="265">
        <v>0</v>
      </c>
      <c r="L5954" s="265">
        <v>0.00775193798449612</v>
      </c>
      <c r="M5954" s="265">
        <v>0.0275229357798165</v>
      </c>
      <c r="N5954" s="265">
        <v>0.00925925925925926</v>
      </c>
      <c r="O5954" s="277">
        <v>0.0309278350515464</v>
      </c>
    </row>
    <row r="5955" spans="1:15">
      <c r="A5955" s="266" t="s">
        <v>26</v>
      </c>
      <c r="B5955" s="267" t="s">
        <v>6</v>
      </c>
      <c r="C5955" s="15">
        <v>3</v>
      </c>
      <c r="D5955" s="269">
        <v>0</v>
      </c>
      <c r="E5955" s="269">
        <v>0</v>
      </c>
      <c r="F5955" s="269">
        <v>0</v>
      </c>
      <c r="G5955" s="269">
        <v>0</v>
      </c>
      <c r="H5955" s="269">
        <v>0</v>
      </c>
      <c r="I5955" s="269">
        <v>0</v>
      </c>
      <c r="J5955" s="269">
        <v>0</v>
      </c>
      <c r="K5955" s="269">
        <v>0</v>
      </c>
      <c r="L5955" s="269">
        <v>2</v>
      </c>
      <c r="M5955" s="269">
        <v>0</v>
      </c>
      <c r="N5955" s="269">
        <v>1</v>
      </c>
      <c r="O5955" s="279">
        <v>0</v>
      </c>
    </row>
    <row r="5956" ht="14.25" spans="1:15">
      <c r="A5956" s="270" t="s">
        <v>26</v>
      </c>
      <c r="B5956" s="271" t="s">
        <v>64</v>
      </c>
      <c r="C5956" s="19">
        <v>0.272727272727273</v>
      </c>
      <c r="D5956" s="19">
        <v>0</v>
      </c>
      <c r="E5956" s="19" t="e">
        <v>#DIV/0!</v>
      </c>
      <c r="F5956" s="19" t="e">
        <v>#DIV/0!</v>
      </c>
      <c r="G5956" s="19" t="e">
        <v>#DIV/0!</v>
      </c>
      <c r="H5956" s="19" t="e">
        <v>#DIV/0!</v>
      </c>
      <c r="I5956" s="19" t="e">
        <v>#DIV/0!</v>
      </c>
      <c r="J5956" s="19">
        <v>0</v>
      </c>
      <c r="K5956" s="19" t="e">
        <v>#DIV/0!</v>
      </c>
      <c r="L5956" s="19">
        <v>2</v>
      </c>
      <c r="M5956" s="19">
        <v>0</v>
      </c>
      <c r="N5956" s="19">
        <v>1</v>
      </c>
      <c r="O5956" s="19">
        <v>0</v>
      </c>
    </row>
    <row r="5957" spans="1:15">
      <c r="A5957" s="263" t="s">
        <v>71</v>
      </c>
      <c r="B5957" s="264" t="s">
        <v>55</v>
      </c>
      <c r="C5957" s="12">
        <v>176.5</v>
      </c>
      <c r="D5957" s="265" t="e">
        <v>#DIV/0!</v>
      </c>
      <c r="E5957" s="265" t="e">
        <v>#DIV/0!</v>
      </c>
      <c r="F5957" s="265">
        <v>22</v>
      </c>
      <c r="G5957" s="265" t="e">
        <v>#DIV/0!</v>
      </c>
      <c r="H5957" s="265" t="e">
        <v>#DIV/0!</v>
      </c>
      <c r="I5957" s="265" t="e">
        <v>#DIV/0!</v>
      </c>
      <c r="J5957" s="265">
        <v>35</v>
      </c>
      <c r="K5957" s="265" t="e">
        <v>#DIV/0!</v>
      </c>
      <c r="L5957" s="265" t="e">
        <v>#DIV/0!</v>
      </c>
      <c r="M5957" s="265" t="e">
        <v>#DIV/0!</v>
      </c>
      <c r="N5957" s="265" t="e">
        <v>#DIV/0!</v>
      </c>
      <c r="O5957" s="265" t="e">
        <v>#DIV/0!</v>
      </c>
    </row>
    <row r="5958" spans="1:15">
      <c r="A5958" s="266" t="s">
        <v>71</v>
      </c>
      <c r="B5958" s="267" t="s">
        <v>57</v>
      </c>
      <c r="C5958" s="15">
        <v>2</v>
      </c>
      <c r="D5958" s="268">
        <v>0</v>
      </c>
      <c r="E5958" s="268">
        <v>0</v>
      </c>
      <c r="F5958" s="268">
        <v>1</v>
      </c>
      <c r="G5958" s="268">
        <v>0</v>
      </c>
      <c r="H5958" s="268">
        <v>0</v>
      </c>
      <c r="I5958" s="268">
        <v>0</v>
      </c>
      <c r="J5958" s="268">
        <v>1</v>
      </c>
      <c r="K5958" s="268">
        <v>0</v>
      </c>
      <c r="L5958" s="268">
        <v>0</v>
      </c>
      <c r="M5958" s="268">
        <v>0</v>
      </c>
      <c r="N5958" s="268">
        <v>0</v>
      </c>
      <c r="O5958" s="278">
        <v>0</v>
      </c>
    </row>
    <row r="5959" spans="1:15">
      <c r="A5959" s="263" t="s">
        <v>71</v>
      </c>
      <c r="B5959" s="264" t="s">
        <v>59</v>
      </c>
      <c r="C5959" s="15">
        <v>353</v>
      </c>
      <c r="D5959" s="268">
        <v>47</v>
      </c>
      <c r="E5959" s="268">
        <v>30</v>
      </c>
      <c r="F5959" s="268">
        <v>22</v>
      </c>
      <c r="G5959" s="268">
        <v>19</v>
      </c>
      <c r="H5959" s="268">
        <v>30</v>
      </c>
      <c r="I5959" s="268">
        <v>27</v>
      </c>
      <c r="J5959" s="268">
        <v>35</v>
      </c>
      <c r="K5959" s="268">
        <v>37</v>
      </c>
      <c r="L5959" s="268">
        <v>27</v>
      </c>
      <c r="M5959" s="268">
        <v>19</v>
      </c>
      <c r="N5959" s="268">
        <v>27</v>
      </c>
      <c r="O5959" s="278">
        <v>33</v>
      </c>
    </row>
    <row r="5960" spans="1:15">
      <c r="A5960" s="266" t="s">
        <v>71</v>
      </c>
      <c r="B5960" s="267" t="s">
        <v>4</v>
      </c>
      <c r="C5960" s="15">
        <v>50</v>
      </c>
      <c r="D5960" s="269">
        <v>6</v>
      </c>
      <c r="E5960" s="269">
        <v>4</v>
      </c>
      <c r="F5960" s="269">
        <v>0</v>
      </c>
      <c r="G5960" s="269">
        <v>3</v>
      </c>
      <c r="H5960" s="269">
        <v>2</v>
      </c>
      <c r="I5960" s="269">
        <v>1</v>
      </c>
      <c r="J5960" s="269">
        <v>5</v>
      </c>
      <c r="K5960" s="269">
        <v>9</v>
      </c>
      <c r="L5960" s="269">
        <v>4</v>
      </c>
      <c r="M5960" s="269">
        <v>2</v>
      </c>
      <c r="N5960" s="269">
        <v>6</v>
      </c>
      <c r="O5960" s="279">
        <v>8</v>
      </c>
    </row>
    <row r="5961" spans="1:15">
      <c r="A5961" s="263" t="s">
        <v>71</v>
      </c>
      <c r="B5961" s="264" t="s">
        <v>5</v>
      </c>
      <c r="C5961" s="265">
        <v>0.141643059490085</v>
      </c>
      <c r="D5961" s="265">
        <v>0.127659574468085</v>
      </c>
      <c r="E5961" s="265">
        <v>0.133333333333333</v>
      </c>
      <c r="F5961" s="265">
        <v>0</v>
      </c>
      <c r="G5961" s="265">
        <v>0.157894736842105</v>
      </c>
      <c r="H5961" s="265">
        <v>0.0666666666666667</v>
      </c>
      <c r="I5961" s="265">
        <v>0.037037037037037</v>
      </c>
      <c r="J5961" s="265">
        <v>0.142857142857143</v>
      </c>
      <c r="K5961" s="265">
        <v>0.243243243243243</v>
      </c>
      <c r="L5961" s="265">
        <v>0.148148148148148</v>
      </c>
      <c r="M5961" s="265">
        <v>0.105263157894737</v>
      </c>
      <c r="N5961" s="265">
        <v>0.222222222222222</v>
      </c>
      <c r="O5961" s="277">
        <v>0.242424242424242</v>
      </c>
    </row>
    <row r="5962" spans="1:15">
      <c r="A5962" s="266" t="s">
        <v>71</v>
      </c>
      <c r="B5962" s="267" t="s">
        <v>6</v>
      </c>
      <c r="C5962" s="15">
        <v>11</v>
      </c>
      <c r="D5962" s="269">
        <v>2</v>
      </c>
      <c r="E5962" s="269">
        <v>1</v>
      </c>
      <c r="F5962" s="269">
        <v>0</v>
      </c>
      <c r="G5962" s="269">
        <v>1</v>
      </c>
      <c r="H5962" s="269">
        <v>2</v>
      </c>
      <c r="I5962" s="269">
        <v>2</v>
      </c>
      <c r="J5962" s="269">
        <v>1</v>
      </c>
      <c r="K5962" s="269">
        <v>1</v>
      </c>
      <c r="L5962" s="269">
        <v>0</v>
      </c>
      <c r="M5962" s="269">
        <v>0</v>
      </c>
      <c r="N5962" s="269">
        <v>1</v>
      </c>
      <c r="O5962" s="279">
        <v>0</v>
      </c>
    </row>
    <row r="5963" ht="14.25" spans="1:15">
      <c r="A5963" s="270" t="s">
        <v>71</v>
      </c>
      <c r="B5963" s="271" t="s">
        <v>64</v>
      </c>
      <c r="C5963" s="19">
        <v>0.22</v>
      </c>
      <c r="D5963" s="19">
        <v>0.333333333333333</v>
      </c>
      <c r="E5963" s="19">
        <v>0.25</v>
      </c>
      <c r="F5963" s="19" t="e">
        <v>#DIV/0!</v>
      </c>
      <c r="G5963" s="19">
        <v>0.333333333333333</v>
      </c>
      <c r="H5963" s="19">
        <v>1</v>
      </c>
      <c r="I5963" s="19">
        <v>2</v>
      </c>
      <c r="J5963" s="19">
        <v>0.2</v>
      </c>
      <c r="K5963" s="19">
        <v>0.111111111111111</v>
      </c>
      <c r="L5963" s="19">
        <v>0</v>
      </c>
      <c r="M5963" s="19">
        <v>0</v>
      </c>
      <c r="N5963" s="19">
        <v>0.166666666666667</v>
      </c>
      <c r="O5963" s="19">
        <v>0</v>
      </c>
    </row>
    <row r="5964" spans="1:15">
      <c r="A5964" s="263" t="s">
        <v>72</v>
      </c>
      <c r="B5964" s="264" t="s">
        <v>55</v>
      </c>
      <c r="C5964" s="12">
        <v>0.161655988171513</v>
      </c>
      <c r="D5964" s="265">
        <v>0.192307692307692</v>
      </c>
      <c r="E5964" s="265">
        <v>0.1625</v>
      </c>
      <c r="F5964" s="265">
        <v>0.319148936170213</v>
      </c>
      <c r="G5964" s="265">
        <v>0.276595744680851</v>
      </c>
      <c r="H5964" s="265">
        <v>0.209677419354839</v>
      </c>
      <c r="I5964" s="265">
        <v>0.133333333333333</v>
      </c>
      <c r="J5964" s="265">
        <v>0.161849710982659</v>
      </c>
      <c r="K5964" s="265">
        <v>0.142857142857143</v>
      </c>
      <c r="L5964" s="265">
        <v>0.145945945945946</v>
      </c>
      <c r="M5964" s="265">
        <v>0.137931034482759</v>
      </c>
      <c r="N5964" s="265">
        <v>0.134328358208955</v>
      </c>
      <c r="O5964" s="277">
        <v>0.134615384615385</v>
      </c>
    </row>
    <row r="5965" spans="1:15">
      <c r="A5965" s="266" t="s">
        <v>72</v>
      </c>
      <c r="B5965" s="267" t="s">
        <v>57</v>
      </c>
      <c r="C5965" s="15">
        <v>2029</v>
      </c>
      <c r="D5965" s="268">
        <v>208</v>
      </c>
      <c r="E5965" s="268">
        <v>80</v>
      </c>
      <c r="F5965" s="268">
        <v>47</v>
      </c>
      <c r="G5965" s="268">
        <v>94</v>
      </c>
      <c r="H5965" s="268">
        <v>124</v>
      </c>
      <c r="I5965" s="268">
        <v>150</v>
      </c>
      <c r="J5965" s="268">
        <v>173</v>
      </c>
      <c r="K5965" s="268">
        <v>266</v>
      </c>
      <c r="L5965" s="268">
        <v>185</v>
      </c>
      <c r="M5965" s="268">
        <v>174</v>
      </c>
      <c r="N5965" s="268">
        <v>268</v>
      </c>
      <c r="O5965" s="278">
        <v>260</v>
      </c>
    </row>
    <row r="5966" spans="1:15">
      <c r="A5966" s="263" t="s">
        <v>72</v>
      </c>
      <c r="B5966" s="264" t="s">
        <v>59</v>
      </c>
      <c r="C5966" s="15">
        <v>328</v>
      </c>
      <c r="D5966" s="268">
        <v>40</v>
      </c>
      <c r="E5966" s="268">
        <v>13</v>
      </c>
      <c r="F5966" s="268">
        <v>15</v>
      </c>
      <c r="G5966" s="268">
        <v>26</v>
      </c>
      <c r="H5966" s="268">
        <v>26</v>
      </c>
      <c r="I5966" s="268">
        <v>20</v>
      </c>
      <c r="J5966" s="268">
        <v>28</v>
      </c>
      <c r="K5966" s="268">
        <v>38</v>
      </c>
      <c r="L5966" s="268">
        <v>27</v>
      </c>
      <c r="M5966" s="268">
        <v>24</v>
      </c>
      <c r="N5966" s="268">
        <v>36</v>
      </c>
      <c r="O5966" s="278">
        <v>35</v>
      </c>
    </row>
    <row r="5967" spans="1:15">
      <c r="A5967" s="266" t="s">
        <v>72</v>
      </c>
      <c r="B5967" s="267" t="s">
        <v>4</v>
      </c>
      <c r="C5967" s="15">
        <v>15</v>
      </c>
      <c r="D5967" s="269">
        <v>3</v>
      </c>
      <c r="E5967" s="269">
        <v>1</v>
      </c>
      <c r="F5967" s="269">
        <v>0</v>
      </c>
      <c r="G5967" s="269">
        <v>0</v>
      </c>
      <c r="H5967" s="269">
        <v>1</v>
      </c>
      <c r="I5967" s="269">
        <v>0</v>
      </c>
      <c r="J5967" s="269">
        <v>2</v>
      </c>
      <c r="K5967" s="269">
        <v>3</v>
      </c>
      <c r="L5967" s="269">
        <v>3</v>
      </c>
      <c r="M5967" s="269">
        <v>0</v>
      </c>
      <c r="N5967" s="269">
        <v>0</v>
      </c>
      <c r="O5967" s="279">
        <v>2</v>
      </c>
    </row>
    <row r="5968" spans="1:15">
      <c r="A5968" s="263" t="s">
        <v>72</v>
      </c>
      <c r="B5968" s="264" t="s">
        <v>5</v>
      </c>
      <c r="C5968" s="12">
        <v>0.0457317073170732</v>
      </c>
      <c r="D5968" s="265">
        <v>0.075</v>
      </c>
      <c r="E5968" s="265">
        <v>0.0769230769230769</v>
      </c>
      <c r="F5968" s="265">
        <v>0</v>
      </c>
      <c r="G5968" s="265">
        <v>0</v>
      </c>
      <c r="H5968" s="265">
        <v>0.0384615384615385</v>
      </c>
      <c r="I5968" s="265">
        <v>0</v>
      </c>
      <c r="J5968" s="265">
        <v>0.0714285714285714</v>
      </c>
      <c r="K5968" s="265">
        <v>0.0789473684210526</v>
      </c>
      <c r="L5968" s="265">
        <v>0.111111111111111</v>
      </c>
      <c r="M5968" s="265">
        <v>0</v>
      </c>
      <c r="N5968" s="265">
        <v>0</v>
      </c>
      <c r="O5968" s="277">
        <v>0.0571428571428571</v>
      </c>
    </row>
    <row r="5969" spans="1:15">
      <c r="A5969" s="266" t="s">
        <v>72</v>
      </c>
      <c r="B5969" s="267" t="s">
        <v>6</v>
      </c>
      <c r="C5969" s="15">
        <v>7</v>
      </c>
      <c r="D5969" s="269">
        <v>1</v>
      </c>
      <c r="E5969" s="269">
        <v>0</v>
      </c>
      <c r="F5969" s="269">
        <v>1</v>
      </c>
      <c r="G5969" s="269">
        <v>1</v>
      </c>
      <c r="H5969" s="269">
        <v>1</v>
      </c>
      <c r="I5969" s="269">
        <v>0</v>
      </c>
      <c r="J5969" s="269">
        <v>1</v>
      </c>
      <c r="K5969" s="269">
        <v>1</v>
      </c>
      <c r="L5969" s="269">
        <v>1</v>
      </c>
      <c r="M5969" s="269">
        <v>0</v>
      </c>
      <c r="N5969" s="269">
        <v>0</v>
      </c>
      <c r="O5969" s="279">
        <v>0</v>
      </c>
    </row>
    <row r="5970" ht="14.25" spans="1:15">
      <c r="A5970" s="270" t="s">
        <v>72</v>
      </c>
      <c r="B5970" s="271" t="s">
        <v>64</v>
      </c>
      <c r="C5970" s="19">
        <v>0.466666666666667</v>
      </c>
      <c r="D5970" s="19">
        <v>0.333333333333333</v>
      </c>
      <c r="E5970" s="19">
        <v>0</v>
      </c>
      <c r="F5970" s="19" t="e">
        <v>#DIV/0!</v>
      </c>
      <c r="G5970" s="19" t="e">
        <v>#DIV/0!</v>
      </c>
      <c r="H5970" s="19">
        <v>1</v>
      </c>
      <c r="I5970" s="19" t="e">
        <v>#DIV/0!</v>
      </c>
      <c r="J5970" s="19">
        <v>0.5</v>
      </c>
      <c r="K5970" s="19">
        <v>0.333333333333333</v>
      </c>
      <c r="L5970" s="19">
        <v>0.333333333333333</v>
      </c>
      <c r="M5970" s="19" t="e">
        <v>#DIV/0!</v>
      </c>
      <c r="N5970" s="19" t="e">
        <v>#DIV/0!</v>
      </c>
      <c r="O5970" s="19">
        <v>0</v>
      </c>
    </row>
    <row r="5971" ht="14.25" spans="1:15">
      <c r="A5971" s="237">
        <v>45111</v>
      </c>
      <c r="B5971" s="237"/>
      <c r="C5971" s="237"/>
      <c r="D5971" s="237"/>
      <c r="E5971" s="237"/>
      <c r="F5971" s="237"/>
      <c r="G5971" s="237"/>
      <c r="H5971" s="237"/>
      <c r="I5971" s="237"/>
      <c r="J5971" s="237"/>
      <c r="K5971" s="237"/>
      <c r="L5971" s="237"/>
      <c r="M5971" s="237"/>
      <c r="N5971" s="237"/>
      <c r="O5971" s="237"/>
    </row>
    <row r="5972" spans="1:15">
      <c r="A5972" s="56" t="s">
        <v>1</v>
      </c>
      <c r="B5972" s="238"/>
      <c r="C5972" s="8" t="s">
        <v>42</v>
      </c>
      <c r="D5972" s="239" t="s">
        <v>43</v>
      </c>
      <c r="E5972" s="239" t="s">
        <v>44</v>
      </c>
      <c r="F5972" s="239" t="s">
        <v>45</v>
      </c>
      <c r="G5972" s="239" t="s">
        <v>46</v>
      </c>
      <c r="H5972" s="239" t="s">
        <v>47</v>
      </c>
      <c r="I5972" s="239" t="s">
        <v>48</v>
      </c>
      <c r="J5972" s="239" t="s">
        <v>49</v>
      </c>
      <c r="K5972" s="239" t="s">
        <v>50</v>
      </c>
      <c r="L5972" s="239" t="s">
        <v>51</v>
      </c>
      <c r="M5972" s="239" t="s">
        <v>52</v>
      </c>
      <c r="N5972" s="239" t="s">
        <v>53</v>
      </c>
      <c r="O5972" s="251" t="s">
        <v>54</v>
      </c>
    </row>
    <row r="5973" spans="1:15">
      <c r="A5973" s="240" t="s">
        <v>22</v>
      </c>
      <c r="B5973" s="47" t="s">
        <v>55</v>
      </c>
      <c r="C5973" s="12">
        <v>0.558866634098681</v>
      </c>
      <c r="D5973" s="241">
        <v>0.695</v>
      </c>
      <c r="E5973" s="241">
        <v>0.530973451327434</v>
      </c>
      <c r="F5973" s="241">
        <v>0.48</v>
      </c>
      <c r="G5973" s="241">
        <v>0.764044943820225</v>
      </c>
      <c r="H5973" s="241">
        <v>0.655172413793103</v>
      </c>
      <c r="I5973" s="241">
        <v>0.550295857988166</v>
      </c>
      <c r="J5973" s="241">
        <v>0.562790697674419</v>
      </c>
      <c r="K5973" s="241">
        <v>0.53448275862069</v>
      </c>
      <c r="L5973" s="241">
        <v>0.536231884057971</v>
      </c>
      <c r="M5973" s="241">
        <v>0.573170731707317</v>
      </c>
      <c r="N5973" s="241">
        <v>0.505376344086022</v>
      </c>
      <c r="O5973" s="252">
        <v>0.432539682539683</v>
      </c>
    </row>
    <row r="5974" spans="1:15">
      <c r="A5974" s="242" t="s">
        <v>22</v>
      </c>
      <c r="B5974" s="43" t="s">
        <v>57</v>
      </c>
      <c r="C5974" s="15">
        <v>2047</v>
      </c>
      <c r="D5974" s="243">
        <v>200</v>
      </c>
      <c r="E5974" s="243">
        <v>113</v>
      </c>
      <c r="F5974" s="243">
        <v>75</v>
      </c>
      <c r="G5974" s="243">
        <v>89</v>
      </c>
      <c r="H5974" s="243">
        <v>145</v>
      </c>
      <c r="I5974" s="243">
        <v>169</v>
      </c>
      <c r="J5974" s="243">
        <v>215</v>
      </c>
      <c r="K5974" s="243">
        <v>232</v>
      </c>
      <c r="L5974" s="243">
        <v>207</v>
      </c>
      <c r="M5974" s="243">
        <v>164</v>
      </c>
      <c r="N5974" s="243">
        <v>186</v>
      </c>
      <c r="O5974" s="253">
        <v>252</v>
      </c>
    </row>
    <row r="5975" spans="1:15">
      <c r="A5975" s="240" t="s">
        <v>22</v>
      </c>
      <c r="B5975" s="47" t="s">
        <v>59</v>
      </c>
      <c r="C5975" s="15">
        <v>1144</v>
      </c>
      <c r="D5975" s="243">
        <v>139</v>
      </c>
      <c r="E5975" s="243">
        <v>60</v>
      </c>
      <c r="F5975" s="243">
        <v>36</v>
      </c>
      <c r="G5975" s="243">
        <v>68</v>
      </c>
      <c r="H5975" s="243">
        <v>95</v>
      </c>
      <c r="I5975" s="243">
        <v>93</v>
      </c>
      <c r="J5975" s="243">
        <v>121</v>
      </c>
      <c r="K5975" s="243">
        <v>124</v>
      </c>
      <c r="L5975" s="243">
        <v>111</v>
      </c>
      <c r="M5975" s="243">
        <v>94</v>
      </c>
      <c r="N5975" s="243">
        <v>94</v>
      </c>
      <c r="O5975" s="253">
        <v>109</v>
      </c>
    </row>
    <row r="5976" spans="1:15">
      <c r="A5976" s="242" t="s">
        <v>22</v>
      </c>
      <c r="B5976" s="43" t="s">
        <v>4</v>
      </c>
      <c r="C5976" s="15">
        <v>60</v>
      </c>
      <c r="D5976" s="244">
        <v>9</v>
      </c>
      <c r="E5976" s="244">
        <v>2</v>
      </c>
      <c r="F5976" s="244">
        <v>4</v>
      </c>
      <c r="G5976" s="244">
        <v>3</v>
      </c>
      <c r="H5976" s="244">
        <v>4</v>
      </c>
      <c r="I5976" s="244">
        <v>6</v>
      </c>
      <c r="J5976" s="244">
        <v>3</v>
      </c>
      <c r="K5976" s="244">
        <v>8</v>
      </c>
      <c r="L5976" s="244">
        <v>6</v>
      </c>
      <c r="M5976" s="244">
        <v>4</v>
      </c>
      <c r="N5976" s="244">
        <v>6</v>
      </c>
      <c r="O5976" s="254">
        <v>5</v>
      </c>
    </row>
    <row r="5977" spans="1:15">
      <c r="A5977" s="240" t="s">
        <v>22</v>
      </c>
      <c r="B5977" s="47" t="s">
        <v>5</v>
      </c>
      <c r="C5977" s="12">
        <v>0.0524475524475524</v>
      </c>
      <c r="D5977" s="241">
        <v>0.0647482014388489</v>
      </c>
      <c r="E5977" s="241">
        <v>0.0333333333333333</v>
      </c>
      <c r="F5977" s="241">
        <v>0.111111111111111</v>
      </c>
      <c r="G5977" s="241">
        <v>0.0441176470588235</v>
      </c>
      <c r="H5977" s="241">
        <v>0.0421052631578947</v>
      </c>
      <c r="I5977" s="241">
        <v>0.0645161290322581</v>
      </c>
      <c r="J5977" s="241">
        <v>0.0247933884297521</v>
      </c>
      <c r="K5977" s="241">
        <v>0.0645161290322581</v>
      </c>
      <c r="L5977" s="241">
        <v>0.0540540540540541</v>
      </c>
      <c r="M5977" s="241">
        <v>0.0425531914893617</v>
      </c>
      <c r="N5977" s="241">
        <v>0.0638297872340425</v>
      </c>
      <c r="O5977" s="252">
        <v>0.0458715596330275</v>
      </c>
    </row>
    <row r="5978" spans="1:15">
      <c r="A5978" s="242" t="s">
        <v>22</v>
      </c>
      <c r="B5978" s="43" t="s">
        <v>6</v>
      </c>
      <c r="C5978" s="15">
        <v>24</v>
      </c>
      <c r="D5978" s="244">
        <v>3</v>
      </c>
      <c r="E5978" s="244">
        <v>1</v>
      </c>
      <c r="F5978" s="244">
        <v>1</v>
      </c>
      <c r="G5978" s="244">
        <v>3</v>
      </c>
      <c r="H5978" s="244">
        <v>3</v>
      </c>
      <c r="I5978" s="244">
        <v>3</v>
      </c>
      <c r="J5978" s="244">
        <v>2</v>
      </c>
      <c r="K5978" s="244">
        <v>4</v>
      </c>
      <c r="L5978" s="244">
        <v>0</v>
      </c>
      <c r="M5978" s="244">
        <v>2</v>
      </c>
      <c r="N5978" s="244">
        <v>1</v>
      </c>
      <c r="O5978" s="254">
        <v>1</v>
      </c>
    </row>
    <row r="5979" ht="14.25" spans="1:15">
      <c r="A5979" s="245" t="s">
        <v>22</v>
      </c>
      <c r="B5979" s="52" t="s">
        <v>64</v>
      </c>
      <c r="C5979" s="19">
        <v>0.4</v>
      </c>
      <c r="D5979" s="246">
        <v>0.333333333333333</v>
      </c>
      <c r="E5979" s="246">
        <v>0.5</v>
      </c>
      <c r="F5979" s="246">
        <v>0.25</v>
      </c>
      <c r="G5979" s="246">
        <v>1</v>
      </c>
      <c r="H5979" s="246">
        <v>0.75</v>
      </c>
      <c r="I5979" s="246">
        <v>0.5</v>
      </c>
      <c r="J5979" s="246">
        <v>0.666666666666667</v>
      </c>
      <c r="K5979" s="246">
        <v>0.5</v>
      </c>
      <c r="L5979" s="246">
        <v>0</v>
      </c>
      <c r="M5979" s="246">
        <v>0.5</v>
      </c>
      <c r="N5979" s="246">
        <v>0.166666666666667</v>
      </c>
      <c r="O5979" s="255">
        <v>0.2</v>
      </c>
    </row>
    <row r="5980" spans="1:15">
      <c r="A5980" s="247" t="s">
        <v>66</v>
      </c>
      <c r="B5980" s="248" t="s">
        <v>55</v>
      </c>
      <c r="C5980" s="12">
        <v>0.0621149897330595</v>
      </c>
      <c r="D5980" s="249">
        <v>0.125</v>
      </c>
      <c r="E5980" s="249">
        <v>0.0253164556962025</v>
      </c>
      <c r="F5980" s="249">
        <v>0.0115606936416185</v>
      </c>
      <c r="G5980" s="249">
        <v>0.0109289617486339</v>
      </c>
      <c r="H5980" s="249">
        <v>0.0705882352941176</v>
      </c>
      <c r="I5980" s="249">
        <v>0.0397727272727273</v>
      </c>
      <c r="J5980" s="249">
        <v>0.0612244897959184</v>
      </c>
      <c r="K5980" s="249">
        <v>0.0649350649350649</v>
      </c>
      <c r="L5980" s="249">
        <v>0.106060606060606</v>
      </c>
      <c r="M5980" s="249">
        <v>0.0458015267175573</v>
      </c>
      <c r="N5980" s="249">
        <v>0.116438356164384</v>
      </c>
      <c r="O5980" s="256">
        <v>0.116564417177914</v>
      </c>
    </row>
    <row r="5981" spans="1:15">
      <c r="A5981" s="242" t="s">
        <v>66</v>
      </c>
      <c r="B5981" s="43" t="s">
        <v>57</v>
      </c>
      <c r="C5981" s="15">
        <v>1948</v>
      </c>
      <c r="D5981" s="243">
        <v>136</v>
      </c>
      <c r="E5981" s="243">
        <v>237</v>
      </c>
      <c r="F5981" s="243">
        <v>173</v>
      </c>
      <c r="G5981" s="243">
        <v>183</v>
      </c>
      <c r="H5981" s="243">
        <v>170</v>
      </c>
      <c r="I5981" s="243">
        <v>176</v>
      </c>
      <c r="J5981" s="243">
        <v>147</v>
      </c>
      <c r="K5981" s="243">
        <v>154</v>
      </c>
      <c r="L5981" s="243">
        <v>132</v>
      </c>
      <c r="M5981" s="243">
        <v>131</v>
      </c>
      <c r="N5981" s="243">
        <v>146</v>
      </c>
      <c r="O5981" s="253">
        <v>163</v>
      </c>
    </row>
    <row r="5982" spans="1:15">
      <c r="A5982" s="240" t="s">
        <v>66</v>
      </c>
      <c r="B5982" s="47" t="s">
        <v>59</v>
      </c>
      <c r="C5982" s="15">
        <v>121</v>
      </c>
      <c r="D5982" s="243">
        <v>17</v>
      </c>
      <c r="E5982" s="243">
        <v>6</v>
      </c>
      <c r="F5982" s="243">
        <v>2</v>
      </c>
      <c r="G5982" s="243">
        <v>2</v>
      </c>
      <c r="H5982" s="243">
        <v>12</v>
      </c>
      <c r="I5982" s="243">
        <v>7</v>
      </c>
      <c r="J5982" s="243">
        <v>9</v>
      </c>
      <c r="K5982" s="243">
        <v>10</v>
      </c>
      <c r="L5982" s="243">
        <v>14</v>
      </c>
      <c r="M5982" s="243">
        <v>6</v>
      </c>
      <c r="N5982" s="243">
        <v>17</v>
      </c>
      <c r="O5982" s="253">
        <v>19</v>
      </c>
    </row>
    <row r="5983" spans="1:15">
      <c r="A5983" s="242" t="s">
        <v>66</v>
      </c>
      <c r="B5983" s="43" t="s">
        <v>4</v>
      </c>
      <c r="C5983" s="15">
        <v>4</v>
      </c>
      <c r="D5983" s="244">
        <v>1</v>
      </c>
      <c r="E5983" s="244">
        <v>1</v>
      </c>
      <c r="F5983" s="244">
        <v>0</v>
      </c>
      <c r="G5983" s="244">
        <v>0</v>
      </c>
      <c r="H5983" s="244">
        <v>0</v>
      </c>
      <c r="I5983" s="244">
        <v>0</v>
      </c>
      <c r="J5983" s="244">
        <v>1</v>
      </c>
      <c r="K5983" s="244">
        <v>0</v>
      </c>
      <c r="L5983" s="244">
        <v>0</v>
      </c>
      <c r="M5983" s="244">
        <v>0</v>
      </c>
      <c r="N5983" s="244">
        <v>0</v>
      </c>
      <c r="O5983" s="254">
        <v>1</v>
      </c>
    </row>
    <row r="5984" spans="1:15">
      <c r="A5984" s="240" t="s">
        <v>66</v>
      </c>
      <c r="B5984" s="47" t="s">
        <v>5</v>
      </c>
      <c r="C5984" s="12">
        <v>0.0330578512396694</v>
      </c>
      <c r="D5984" s="241">
        <v>0.0588235294117647</v>
      </c>
      <c r="E5984" s="241">
        <v>0.166666666666667</v>
      </c>
      <c r="F5984" s="241">
        <v>0</v>
      </c>
      <c r="G5984" s="241">
        <v>0</v>
      </c>
      <c r="H5984" s="241">
        <v>0</v>
      </c>
      <c r="I5984" s="241">
        <v>0</v>
      </c>
      <c r="J5984" s="241">
        <v>0.111111111111111</v>
      </c>
      <c r="K5984" s="241">
        <v>0</v>
      </c>
      <c r="L5984" s="241">
        <v>0</v>
      </c>
      <c r="M5984" s="241">
        <v>0</v>
      </c>
      <c r="N5984" s="241">
        <v>0</v>
      </c>
      <c r="O5984" s="252">
        <v>0.0526315789473684</v>
      </c>
    </row>
    <row r="5985" spans="1:15">
      <c r="A5985" s="242" t="s">
        <v>66</v>
      </c>
      <c r="B5985" s="43" t="s">
        <v>6</v>
      </c>
      <c r="C5985" s="15">
        <v>1</v>
      </c>
      <c r="D5985" s="244">
        <v>1</v>
      </c>
      <c r="E5985" s="244">
        <v>0</v>
      </c>
      <c r="F5985" s="244">
        <v>0</v>
      </c>
      <c r="G5985" s="244">
        <v>0</v>
      </c>
      <c r="H5985" s="244">
        <v>0</v>
      </c>
      <c r="I5985" s="244">
        <v>0</v>
      </c>
      <c r="J5985" s="244">
        <v>0</v>
      </c>
      <c r="K5985" s="244">
        <v>0</v>
      </c>
      <c r="L5985" s="244">
        <v>0</v>
      </c>
      <c r="M5985" s="244">
        <v>0</v>
      </c>
      <c r="N5985" s="244">
        <v>0</v>
      </c>
      <c r="O5985" s="254">
        <v>0</v>
      </c>
    </row>
    <row r="5986" ht="14.25" spans="1:15">
      <c r="A5986" s="245" t="s">
        <v>66</v>
      </c>
      <c r="B5986" s="52" t="s">
        <v>64</v>
      </c>
      <c r="C5986" s="19">
        <v>0.25</v>
      </c>
      <c r="D5986" s="246">
        <v>1</v>
      </c>
      <c r="E5986" s="246">
        <v>0</v>
      </c>
      <c r="F5986" s="246">
        <v>0</v>
      </c>
      <c r="G5986" s="246">
        <v>0</v>
      </c>
      <c r="H5986" s="246">
        <v>0</v>
      </c>
      <c r="I5986" s="246">
        <v>0</v>
      </c>
      <c r="J5986" s="246">
        <v>0</v>
      </c>
      <c r="K5986" s="246">
        <v>0</v>
      </c>
      <c r="L5986" s="246">
        <v>0</v>
      </c>
      <c r="M5986" s="246">
        <v>0</v>
      </c>
      <c r="N5986" s="246">
        <v>0</v>
      </c>
      <c r="O5986" s="255">
        <v>0</v>
      </c>
    </row>
    <row r="5987" spans="1:15">
      <c r="A5987" s="240" t="s">
        <v>67</v>
      </c>
      <c r="B5987" s="47" t="s">
        <v>55</v>
      </c>
      <c r="C5987" s="12">
        <v>0.476775956284153</v>
      </c>
      <c r="D5987" s="241">
        <v>0.460526315789474</v>
      </c>
      <c r="E5987" s="241">
        <v>0.263157894736842</v>
      </c>
      <c r="F5987" s="241">
        <v>0.32258064516129</v>
      </c>
      <c r="G5987" s="241">
        <v>0.647058823529412</v>
      </c>
      <c r="H5987" s="241">
        <v>0.448275862068966</v>
      </c>
      <c r="I5987" s="241">
        <v>0.506493506493506</v>
      </c>
      <c r="J5987" s="241">
        <v>0.413333333333333</v>
      </c>
      <c r="K5987" s="241">
        <v>0.506849315068493</v>
      </c>
      <c r="L5987" s="241">
        <v>0.486111111111111</v>
      </c>
      <c r="M5987" s="241">
        <v>0.634146341463415</v>
      </c>
      <c r="N5987" s="241">
        <v>0.472972972972973</v>
      </c>
      <c r="O5987" s="252">
        <v>0.518072289156627</v>
      </c>
    </row>
    <row r="5988" spans="1:15">
      <c r="A5988" s="242" t="s">
        <v>67</v>
      </c>
      <c r="B5988" s="43" t="s">
        <v>57</v>
      </c>
      <c r="C5988" s="15">
        <v>732</v>
      </c>
      <c r="D5988" s="243">
        <v>76</v>
      </c>
      <c r="E5988" s="243">
        <v>38</v>
      </c>
      <c r="F5988" s="243">
        <v>31</v>
      </c>
      <c r="G5988" s="243">
        <v>34</v>
      </c>
      <c r="H5988" s="243">
        <v>58</v>
      </c>
      <c r="I5988" s="243">
        <v>77</v>
      </c>
      <c r="J5988" s="243">
        <v>75</v>
      </c>
      <c r="K5988" s="243">
        <v>73</v>
      </c>
      <c r="L5988" s="243">
        <v>72</v>
      </c>
      <c r="M5988" s="243">
        <v>41</v>
      </c>
      <c r="N5988" s="243">
        <v>74</v>
      </c>
      <c r="O5988" s="253">
        <v>83</v>
      </c>
    </row>
    <row r="5989" spans="1:15">
      <c r="A5989" s="240" t="s">
        <v>67</v>
      </c>
      <c r="B5989" s="47" t="s">
        <v>59</v>
      </c>
      <c r="C5989" s="15">
        <v>349</v>
      </c>
      <c r="D5989" s="243">
        <v>35</v>
      </c>
      <c r="E5989" s="243">
        <v>10</v>
      </c>
      <c r="F5989" s="243">
        <v>10</v>
      </c>
      <c r="G5989" s="243">
        <v>22</v>
      </c>
      <c r="H5989" s="243">
        <v>26</v>
      </c>
      <c r="I5989" s="243">
        <v>39</v>
      </c>
      <c r="J5989" s="243">
        <v>31</v>
      </c>
      <c r="K5989" s="243">
        <v>37</v>
      </c>
      <c r="L5989" s="243">
        <v>35</v>
      </c>
      <c r="M5989" s="243">
        <v>26</v>
      </c>
      <c r="N5989" s="243">
        <v>35</v>
      </c>
      <c r="O5989" s="253">
        <v>43</v>
      </c>
    </row>
    <row r="5990" spans="1:15">
      <c r="A5990" s="242" t="s">
        <v>67</v>
      </c>
      <c r="B5990" s="43" t="s">
        <v>4</v>
      </c>
      <c r="C5990" s="15">
        <v>11</v>
      </c>
      <c r="D5990" s="244">
        <v>0</v>
      </c>
      <c r="E5990" s="244">
        <v>1</v>
      </c>
      <c r="F5990" s="244">
        <v>0</v>
      </c>
      <c r="G5990" s="244">
        <v>1</v>
      </c>
      <c r="H5990" s="244">
        <v>2</v>
      </c>
      <c r="I5990" s="244">
        <v>1</v>
      </c>
      <c r="J5990" s="244">
        <v>1</v>
      </c>
      <c r="K5990" s="244">
        <v>1</v>
      </c>
      <c r="L5990" s="244">
        <v>0</v>
      </c>
      <c r="M5990" s="244">
        <v>0</v>
      </c>
      <c r="N5990" s="244">
        <v>1</v>
      </c>
      <c r="O5990" s="254">
        <v>3</v>
      </c>
    </row>
    <row r="5991" spans="1:15">
      <c r="A5991" s="240" t="s">
        <v>67</v>
      </c>
      <c r="B5991" s="47" t="s">
        <v>5</v>
      </c>
      <c r="C5991" s="12">
        <v>0.0315186246418338</v>
      </c>
      <c r="D5991" s="241">
        <v>0</v>
      </c>
      <c r="E5991" s="241">
        <v>0.1</v>
      </c>
      <c r="F5991" s="241">
        <v>0</v>
      </c>
      <c r="G5991" s="241">
        <v>0.0454545454545455</v>
      </c>
      <c r="H5991" s="241">
        <v>0.0769230769230769</v>
      </c>
      <c r="I5991" s="241">
        <v>0.0256410256410256</v>
      </c>
      <c r="J5991" s="241">
        <v>0.032258064516129</v>
      </c>
      <c r="K5991" s="241">
        <v>0.027027027027027</v>
      </c>
      <c r="L5991" s="241">
        <v>0</v>
      </c>
      <c r="M5991" s="241">
        <v>0</v>
      </c>
      <c r="N5991" s="241">
        <v>0.0285714285714286</v>
      </c>
      <c r="O5991" s="252">
        <v>0.0697674418604651</v>
      </c>
    </row>
    <row r="5992" spans="1:15">
      <c r="A5992" s="242" t="s">
        <v>67</v>
      </c>
      <c r="B5992" s="43" t="s">
        <v>6</v>
      </c>
      <c r="C5992" s="15">
        <v>3</v>
      </c>
      <c r="D5992" s="244">
        <v>1</v>
      </c>
      <c r="E5992" s="244">
        <v>0</v>
      </c>
      <c r="F5992" s="244">
        <v>0</v>
      </c>
      <c r="G5992" s="244">
        <v>0</v>
      </c>
      <c r="H5992" s="244">
        <v>1</v>
      </c>
      <c r="I5992" s="244">
        <v>0</v>
      </c>
      <c r="J5992" s="244">
        <v>1</v>
      </c>
      <c r="K5992" s="244">
        <v>0</v>
      </c>
      <c r="L5992" s="244">
        <v>0</v>
      </c>
      <c r="M5992" s="244">
        <v>0</v>
      </c>
      <c r="N5992" s="244">
        <v>0</v>
      </c>
      <c r="O5992" s="254">
        <v>0</v>
      </c>
    </row>
    <row r="5993" ht="14.25" spans="1:15">
      <c r="A5993" s="245" t="s">
        <v>67</v>
      </c>
      <c r="B5993" s="52" t="s">
        <v>64</v>
      </c>
      <c r="C5993" s="19">
        <v>0.272727272727273</v>
      </c>
      <c r="D5993" s="246">
        <v>0</v>
      </c>
      <c r="E5993" s="246">
        <v>0</v>
      </c>
      <c r="F5993" s="246">
        <v>0</v>
      </c>
      <c r="G5993" s="246">
        <v>0</v>
      </c>
      <c r="H5993" s="246">
        <v>0.5</v>
      </c>
      <c r="I5993" s="246">
        <v>0</v>
      </c>
      <c r="J5993" s="246">
        <v>1</v>
      </c>
      <c r="K5993" s="246">
        <v>0</v>
      </c>
      <c r="L5993" s="246">
        <v>0</v>
      </c>
      <c r="M5993" s="246">
        <v>0</v>
      </c>
      <c r="N5993" s="246">
        <v>0</v>
      </c>
      <c r="O5993" s="255">
        <v>0</v>
      </c>
    </row>
    <row r="5994" spans="1:15">
      <c r="A5994" s="240" t="s">
        <v>68</v>
      </c>
      <c r="B5994" s="47" t="s">
        <v>55</v>
      </c>
      <c r="C5994" s="12">
        <v>0.101845957988542</v>
      </c>
      <c r="D5994" s="241">
        <v>0.164948453608247</v>
      </c>
      <c r="E5994" s="241">
        <v>0.193548387096774</v>
      </c>
      <c r="F5994" s="241">
        <v>0.255639097744361</v>
      </c>
      <c r="G5994" s="241">
        <v>0.178571428571429</v>
      </c>
      <c r="H5994" s="241">
        <v>0.111353711790393</v>
      </c>
      <c r="I5994" s="241">
        <v>0.0780254777070064</v>
      </c>
      <c r="J5994" s="241">
        <v>0.0808080808080808</v>
      </c>
      <c r="K5994" s="241">
        <v>0.0997229916897507</v>
      </c>
      <c r="L5994" s="241">
        <v>0.0940860215053763</v>
      </c>
      <c r="M5994" s="241">
        <v>0.0819423368740516</v>
      </c>
      <c r="N5994" s="241">
        <v>0.0837696335078534</v>
      </c>
      <c r="O5994" s="252">
        <v>0.08875</v>
      </c>
    </row>
    <row r="5995" spans="1:15">
      <c r="A5995" s="242" t="s">
        <v>68</v>
      </c>
      <c r="B5995" s="43" t="s">
        <v>57</v>
      </c>
      <c r="C5995" s="15">
        <v>6284</v>
      </c>
      <c r="D5995" s="243">
        <v>388</v>
      </c>
      <c r="E5995" s="243">
        <v>155</v>
      </c>
      <c r="F5995" s="243">
        <v>133</v>
      </c>
      <c r="G5995" s="243">
        <v>140</v>
      </c>
      <c r="H5995" s="243">
        <v>458</v>
      </c>
      <c r="I5995" s="243">
        <v>628</v>
      </c>
      <c r="J5995" s="243">
        <v>693</v>
      </c>
      <c r="K5995" s="243">
        <v>722</v>
      </c>
      <c r="L5995" s="243">
        <v>744</v>
      </c>
      <c r="M5995" s="243">
        <v>659</v>
      </c>
      <c r="N5995" s="243">
        <v>764</v>
      </c>
      <c r="O5995" s="253">
        <v>800</v>
      </c>
    </row>
    <row r="5996" spans="1:15">
      <c r="A5996" s="240" t="s">
        <v>68</v>
      </c>
      <c r="B5996" s="47" t="s">
        <v>59</v>
      </c>
      <c r="C5996" s="15">
        <v>640</v>
      </c>
      <c r="D5996" s="243">
        <v>64</v>
      </c>
      <c r="E5996" s="243">
        <v>30</v>
      </c>
      <c r="F5996" s="243">
        <v>34</v>
      </c>
      <c r="G5996" s="243">
        <v>25</v>
      </c>
      <c r="H5996" s="243">
        <v>51</v>
      </c>
      <c r="I5996" s="243">
        <v>49</v>
      </c>
      <c r="J5996" s="243">
        <v>56</v>
      </c>
      <c r="K5996" s="243">
        <v>72</v>
      </c>
      <c r="L5996" s="243">
        <v>70</v>
      </c>
      <c r="M5996" s="243">
        <v>54</v>
      </c>
      <c r="N5996" s="243">
        <v>64</v>
      </c>
      <c r="O5996" s="253">
        <v>71</v>
      </c>
    </row>
    <row r="5997" spans="1:15">
      <c r="A5997" s="242" t="s">
        <v>68</v>
      </c>
      <c r="B5997" s="43" t="s">
        <v>4</v>
      </c>
      <c r="C5997" s="15">
        <v>22</v>
      </c>
      <c r="D5997" s="244">
        <v>4</v>
      </c>
      <c r="E5997" s="244">
        <v>0</v>
      </c>
      <c r="F5997" s="244">
        <v>3</v>
      </c>
      <c r="G5997" s="244">
        <v>0</v>
      </c>
      <c r="H5997" s="244">
        <v>3</v>
      </c>
      <c r="I5997" s="244">
        <v>0</v>
      </c>
      <c r="J5997" s="244">
        <v>1</v>
      </c>
      <c r="K5997" s="244">
        <v>1</v>
      </c>
      <c r="L5997" s="244">
        <v>2</v>
      </c>
      <c r="M5997" s="244">
        <v>2</v>
      </c>
      <c r="N5997" s="244">
        <v>3</v>
      </c>
      <c r="O5997" s="254">
        <v>3</v>
      </c>
    </row>
    <row r="5998" spans="1:15">
      <c r="A5998" s="240" t="s">
        <v>68</v>
      </c>
      <c r="B5998" s="47" t="s">
        <v>5</v>
      </c>
      <c r="C5998" s="12">
        <v>0.034375</v>
      </c>
      <c r="D5998" s="241">
        <v>0.0625</v>
      </c>
      <c r="E5998" s="241">
        <v>0</v>
      </c>
      <c r="F5998" s="241">
        <v>0.0882352941176471</v>
      </c>
      <c r="G5998" s="241">
        <v>0</v>
      </c>
      <c r="H5998" s="241">
        <v>0.0588235294117647</v>
      </c>
      <c r="I5998" s="241">
        <v>0</v>
      </c>
      <c r="J5998" s="241">
        <v>0.0178571428571429</v>
      </c>
      <c r="K5998" s="241">
        <v>0.0138888888888889</v>
      </c>
      <c r="L5998" s="241">
        <v>0.0285714285714286</v>
      </c>
      <c r="M5998" s="241">
        <v>0.037037037037037</v>
      </c>
      <c r="N5998" s="241">
        <v>0.046875</v>
      </c>
      <c r="O5998" s="252">
        <v>0.0422535211267606</v>
      </c>
    </row>
    <row r="5999" spans="1:15">
      <c r="A5999" s="242" t="s">
        <v>68</v>
      </c>
      <c r="B5999" s="43" t="s">
        <v>6</v>
      </c>
      <c r="C5999" s="15">
        <v>12</v>
      </c>
      <c r="D5999" s="244">
        <v>2</v>
      </c>
      <c r="E5999" s="244">
        <v>1</v>
      </c>
      <c r="F5999" s="244">
        <v>1</v>
      </c>
      <c r="G5999" s="244">
        <v>0</v>
      </c>
      <c r="H5999" s="244">
        <v>0</v>
      </c>
      <c r="I5999" s="244">
        <v>0</v>
      </c>
      <c r="J5999" s="244">
        <v>1</v>
      </c>
      <c r="K5999" s="244">
        <v>1</v>
      </c>
      <c r="L5999" s="244">
        <v>1</v>
      </c>
      <c r="M5999" s="244">
        <v>2</v>
      </c>
      <c r="N5999" s="244">
        <v>2</v>
      </c>
      <c r="O5999" s="254">
        <v>1</v>
      </c>
    </row>
    <row r="6000" ht="14.25" spans="1:15">
      <c r="A6000" s="245" t="s">
        <v>68</v>
      </c>
      <c r="B6000" s="52" t="s">
        <v>64</v>
      </c>
      <c r="C6000" s="19">
        <v>0.545454545454545</v>
      </c>
      <c r="D6000" s="246">
        <v>0.5</v>
      </c>
      <c r="E6000" s="246">
        <v>0</v>
      </c>
      <c r="F6000" s="246">
        <v>0.333333333333333</v>
      </c>
      <c r="G6000" s="246">
        <v>0</v>
      </c>
      <c r="H6000" s="246">
        <v>0</v>
      </c>
      <c r="I6000" s="246">
        <v>0</v>
      </c>
      <c r="J6000" s="246">
        <v>1</v>
      </c>
      <c r="K6000" s="246">
        <v>1</v>
      </c>
      <c r="L6000" s="246">
        <v>0.5</v>
      </c>
      <c r="M6000" s="246">
        <v>1</v>
      </c>
      <c r="N6000" s="246">
        <v>0.666666666666667</v>
      </c>
      <c r="O6000" s="255">
        <v>0.333333333333333</v>
      </c>
    </row>
    <row r="6001" spans="1:15">
      <c r="A6001" s="240" t="s">
        <v>69</v>
      </c>
      <c r="B6001" s="47" t="s">
        <v>55</v>
      </c>
      <c r="C6001" s="12">
        <v>1.23049645390071</v>
      </c>
      <c r="D6001" s="241">
        <v>1.47619047619048</v>
      </c>
      <c r="E6001" s="241">
        <v>1.36842105263158</v>
      </c>
      <c r="F6001" s="241">
        <v>1.6</v>
      </c>
      <c r="G6001" s="241">
        <v>1.1</v>
      </c>
      <c r="H6001" s="241">
        <v>1.38888888888889</v>
      </c>
      <c r="I6001" s="241">
        <v>1.58823529411765</v>
      </c>
      <c r="J6001" s="241">
        <v>1.44</v>
      </c>
      <c r="K6001" s="241">
        <v>1.38461538461538</v>
      </c>
      <c r="L6001" s="241">
        <v>1.22727272727273</v>
      </c>
      <c r="M6001" s="241">
        <v>1.05263157894737</v>
      </c>
      <c r="N6001" s="241">
        <v>0.86046511627907</v>
      </c>
      <c r="O6001" s="252">
        <v>1.06060606060606</v>
      </c>
    </row>
    <row r="6002" spans="1:15">
      <c r="A6002" s="242" t="s">
        <v>69</v>
      </c>
      <c r="B6002" s="43" t="s">
        <v>57</v>
      </c>
      <c r="C6002" s="15">
        <v>282</v>
      </c>
      <c r="D6002" s="243">
        <v>21</v>
      </c>
      <c r="E6002" s="243">
        <v>19</v>
      </c>
      <c r="F6002" s="243">
        <v>10</v>
      </c>
      <c r="G6002" s="243">
        <v>10</v>
      </c>
      <c r="H6002" s="243">
        <v>18</v>
      </c>
      <c r="I6002" s="243">
        <v>17</v>
      </c>
      <c r="J6002" s="243">
        <v>25</v>
      </c>
      <c r="K6002" s="243">
        <v>26</v>
      </c>
      <c r="L6002" s="243">
        <v>22</v>
      </c>
      <c r="M6002" s="243">
        <v>38</v>
      </c>
      <c r="N6002" s="243">
        <v>43</v>
      </c>
      <c r="O6002" s="253">
        <v>33</v>
      </c>
    </row>
    <row r="6003" spans="1:15">
      <c r="A6003" s="240" t="s">
        <v>69</v>
      </c>
      <c r="B6003" s="47" t="s">
        <v>59</v>
      </c>
      <c r="C6003" s="15">
        <v>347</v>
      </c>
      <c r="D6003" s="243">
        <v>31</v>
      </c>
      <c r="E6003" s="243">
        <v>26</v>
      </c>
      <c r="F6003" s="243">
        <v>16</v>
      </c>
      <c r="G6003" s="243">
        <v>11</v>
      </c>
      <c r="H6003" s="243">
        <v>25</v>
      </c>
      <c r="I6003" s="243">
        <v>27</v>
      </c>
      <c r="J6003" s="243">
        <v>36</v>
      </c>
      <c r="K6003" s="243">
        <v>36</v>
      </c>
      <c r="L6003" s="243">
        <v>27</v>
      </c>
      <c r="M6003" s="243">
        <v>40</v>
      </c>
      <c r="N6003" s="243">
        <v>37</v>
      </c>
      <c r="O6003" s="253">
        <v>35</v>
      </c>
    </row>
    <row r="6004" spans="1:15">
      <c r="A6004" s="242" t="s">
        <v>69</v>
      </c>
      <c r="B6004" s="43" t="s">
        <v>4</v>
      </c>
      <c r="C6004" s="15">
        <v>2</v>
      </c>
      <c r="D6004" s="244">
        <v>0</v>
      </c>
      <c r="E6004" s="244">
        <v>0</v>
      </c>
      <c r="F6004" s="244">
        <v>0</v>
      </c>
      <c r="G6004" s="244">
        <v>0</v>
      </c>
      <c r="H6004" s="244">
        <v>0</v>
      </c>
      <c r="I6004" s="244">
        <v>0</v>
      </c>
      <c r="J6004" s="244">
        <v>0</v>
      </c>
      <c r="K6004" s="244">
        <v>0</v>
      </c>
      <c r="L6004" s="244">
        <v>0</v>
      </c>
      <c r="M6004" s="244">
        <v>1</v>
      </c>
      <c r="N6004" s="244">
        <v>1</v>
      </c>
      <c r="O6004" s="254">
        <v>0</v>
      </c>
    </row>
    <row r="6005" spans="1:15">
      <c r="A6005" s="240" t="s">
        <v>69</v>
      </c>
      <c r="B6005" s="47" t="s">
        <v>5</v>
      </c>
      <c r="C6005" s="12">
        <v>0.00576368876080692</v>
      </c>
      <c r="D6005" s="241">
        <v>0</v>
      </c>
      <c r="E6005" s="241">
        <v>0</v>
      </c>
      <c r="F6005" s="241">
        <v>0</v>
      </c>
      <c r="G6005" s="241">
        <v>0</v>
      </c>
      <c r="H6005" s="241">
        <v>0</v>
      </c>
      <c r="I6005" s="241">
        <v>0</v>
      </c>
      <c r="J6005" s="241">
        <v>0</v>
      </c>
      <c r="K6005" s="241">
        <v>0</v>
      </c>
      <c r="L6005" s="241">
        <v>0</v>
      </c>
      <c r="M6005" s="241">
        <v>0.025</v>
      </c>
      <c r="N6005" s="241">
        <v>0.027027027027027</v>
      </c>
      <c r="O6005" s="252">
        <v>0</v>
      </c>
    </row>
    <row r="6006" spans="1:15">
      <c r="A6006" s="242" t="s">
        <v>69</v>
      </c>
      <c r="B6006" s="43" t="s">
        <v>6</v>
      </c>
      <c r="C6006" s="15">
        <v>0</v>
      </c>
      <c r="D6006" s="244">
        <v>0</v>
      </c>
      <c r="E6006" s="244">
        <v>0</v>
      </c>
      <c r="F6006" s="244">
        <v>0</v>
      </c>
      <c r="G6006" s="244">
        <v>0</v>
      </c>
      <c r="H6006" s="244">
        <v>0</v>
      </c>
      <c r="I6006" s="244">
        <v>0</v>
      </c>
      <c r="J6006" s="244">
        <v>0</v>
      </c>
      <c r="K6006" s="244">
        <v>0</v>
      </c>
      <c r="L6006" s="244">
        <v>0</v>
      </c>
      <c r="M6006" s="244">
        <v>0</v>
      </c>
      <c r="N6006" s="244">
        <v>0</v>
      </c>
      <c r="O6006" s="254">
        <v>0</v>
      </c>
    </row>
    <row r="6007" ht="14.25" spans="1:15">
      <c r="A6007" s="245" t="s">
        <v>69</v>
      </c>
      <c r="B6007" s="52" t="s">
        <v>64</v>
      </c>
      <c r="C6007" s="19">
        <v>0</v>
      </c>
      <c r="D6007" s="246">
        <v>0</v>
      </c>
      <c r="E6007" s="246">
        <v>0</v>
      </c>
      <c r="F6007" s="246">
        <v>0</v>
      </c>
      <c r="G6007" s="246">
        <v>0</v>
      </c>
      <c r="H6007" s="246">
        <v>0</v>
      </c>
      <c r="I6007" s="246">
        <v>0</v>
      </c>
      <c r="J6007" s="246">
        <v>0</v>
      </c>
      <c r="K6007" s="246">
        <v>0</v>
      </c>
      <c r="L6007" s="246">
        <v>0</v>
      </c>
      <c r="M6007" s="246">
        <v>0</v>
      </c>
      <c r="N6007" s="246">
        <v>0</v>
      </c>
      <c r="O6007" s="255">
        <v>0</v>
      </c>
    </row>
    <row r="6008" spans="1:15">
      <c r="A6008" s="240" t="s">
        <v>70</v>
      </c>
      <c r="B6008" s="47" t="s">
        <v>55</v>
      </c>
      <c r="C6008" s="12">
        <v>1.65417867435158</v>
      </c>
      <c r="D6008" s="241">
        <v>1.96153846153846</v>
      </c>
      <c r="E6008" s="241">
        <v>1.44</v>
      </c>
      <c r="F6008" s="241">
        <v>0.894736842105263</v>
      </c>
      <c r="G6008" s="241">
        <v>1.5</v>
      </c>
      <c r="H6008" s="241">
        <v>1.32352941176471</v>
      </c>
      <c r="I6008" s="241">
        <v>1.79310344827586</v>
      </c>
      <c r="J6008" s="241">
        <v>2.07142857142857</v>
      </c>
      <c r="K6008" s="241">
        <v>1.42857142857143</v>
      </c>
      <c r="L6008" s="241">
        <v>1.33333333333333</v>
      </c>
      <c r="M6008" s="241">
        <v>1.59375</v>
      </c>
      <c r="N6008" s="241">
        <v>2.17857142857143</v>
      </c>
      <c r="O6008" s="252">
        <v>2.21212121212121</v>
      </c>
    </row>
    <row r="6009" spans="1:15">
      <c r="A6009" s="242" t="s">
        <v>70</v>
      </c>
      <c r="B6009" s="43" t="s">
        <v>57</v>
      </c>
      <c r="C6009" s="15">
        <v>347</v>
      </c>
      <c r="D6009" s="243">
        <v>26</v>
      </c>
      <c r="E6009" s="243">
        <v>25</v>
      </c>
      <c r="F6009" s="243">
        <v>19</v>
      </c>
      <c r="G6009" s="243">
        <v>12</v>
      </c>
      <c r="H6009" s="243">
        <v>34</v>
      </c>
      <c r="I6009" s="243">
        <v>29</v>
      </c>
      <c r="J6009" s="243">
        <v>28</v>
      </c>
      <c r="K6009" s="243">
        <v>42</v>
      </c>
      <c r="L6009" s="243">
        <v>39</v>
      </c>
      <c r="M6009" s="243">
        <v>32</v>
      </c>
      <c r="N6009" s="243">
        <v>28</v>
      </c>
      <c r="O6009" s="253">
        <v>33</v>
      </c>
    </row>
    <row r="6010" spans="1:15">
      <c r="A6010" s="240" t="s">
        <v>70</v>
      </c>
      <c r="B6010" s="47" t="s">
        <v>59</v>
      </c>
      <c r="C6010" s="15">
        <v>574</v>
      </c>
      <c r="D6010" s="243">
        <v>51</v>
      </c>
      <c r="E6010" s="243">
        <v>36</v>
      </c>
      <c r="F6010" s="243">
        <v>17</v>
      </c>
      <c r="G6010" s="243">
        <v>18</v>
      </c>
      <c r="H6010" s="243">
        <v>45</v>
      </c>
      <c r="I6010" s="243">
        <v>52</v>
      </c>
      <c r="J6010" s="243">
        <v>58</v>
      </c>
      <c r="K6010" s="243">
        <v>60</v>
      </c>
      <c r="L6010" s="243">
        <v>52</v>
      </c>
      <c r="M6010" s="243">
        <v>51</v>
      </c>
      <c r="N6010" s="243">
        <v>61</v>
      </c>
      <c r="O6010" s="253">
        <v>73</v>
      </c>
    </row>
    <row r="6011" spans="1:15">
      <c r="A6011" s="242" t="s">
        <v>70</v>
      </c>
      <c r="B6011" s="43" t="s">
        <v>4</v>
      </c>
      <c r="C6011" s="15">
        <v>2</v>
      </c>
      <c r="D6011" s="244">
        <v>0</v>
      </c>
      <c r="E6011" s="244">
        <v>0</v>
      </c>
      <c r="F6011" s="244">
        <v>0</v>
      </c>
      <c r="G6011" s="244">
        <v>1</v>
      </c>
      <c r="H6011" s="244">
        <v>0</v>
      </c>
      <c r="I6011" s="244">
        <v>0</v>
      </c>
      <c r="J6011" s="244">
        <v>0</v>
      </c>
      <c r="K6011" s="244">
        <v>0</v>
      </c>
      <c r="L6011" s="244">
        <v>0</v>
      </c>
      <c r="M6011" s="244">
        <v>1</v>
      </c>
      <c r="N6011" s="244">
        <v>0</v>
      </c>
      <c r="O6011" s="254">
        <v>0</v>
      </c>
    </row>
    <row r="6012" spans="1:15">
      <c r="A6012" s="240" t="s">
        <v>70</v>
      </c>
      <c r="B6012" s="47" t="s">
        <v>5</v>
      </c>
      <c r="C6012" s="12">
        <v>0.00348432055749129</v>
      </c>
      <c r="D6012" s="241">
        <v>0</v>
      </c>
      <c r="E6012" s="241">
        <v>0</v>
      </c>
      <c r="F6012" s="241">
        <v>0</v>
      </c>
      <c r="G6012" s="241">
        <v>0.0555555555555556</v>
      </c>
      <c r="H6012" s="241">
        <v>0</v>
      </c>
      <c r="I6012" s="241">
        <v>0</v>
      </c>
      <c r="J6012" s="241">
        <v>0</v>
      </c>
      <c r="K6012" s="241">
        <v>0</v>
      </c>
      <c r="L6012" s="241">
        <v>0</v>
      </c>
      <c r="M6012" s="241">
        <v>0.0196078431372549</v>
      </c>
      <c r="N6012" s="241">
        <v>0</v>
      </c>
      <c r="O6012" s="252">
        <v>0</v>
      </c>
    </row>
    <row r="6013" spans="1:15">
      <c r="A6013" s="242" t="s">
        <v>70</v>
      </c>
      <c r="B6013" s="43" t="s">
        <v>6</v>
      </c>
      <c r="C6013" s="15">
        <v>0</v>
      </c>
      <c r="D6013" s="244">
        <v>0</v>
      </c>
      <c r="E6013" s="244">
        <v>0</v>
      </c>
      <c r="F6013" s="244">
        <v>0</v>
      </c>
      <c r="G6013" s="244">
        <v>0</v>
      </c>
      <c r="H6013" s="244">
        <v>0</v>
      </c>
      <c r="I6013" s="244">
        <v>0</v>
      </c>
      <c r="J6013" s="244">
        <v>0</v>
      </c>
      <c r="K6013" s="244">
        <v>0</v>
      </c>
      <c r="L6013" s="244">
        <v>0</v>
      </c>
      <c r="M6013" s="244">
        <v>0</v>
      </c>
      <c r="N6013" s="244">
        <v>0</v>
      </c>
      <c r="O6013" s="254">
        <v>0</v>
      </c>
    </row>
    <row r="6014" ht="14.25" spans="1:15">
      <c r="A6014" s="245" t="s">
        <v>70</v>
      </c>
      <c r="B6014" s="52" t="s">
        <v>64</v>
      </c>
      <c r="C6014" s="19">
        <v>0</v>
      </c>
      <c r="D6014" s="246">
        <v>0</v>
      </c>
      <c r="E6014" s="246">
        <v>0</v>
      </c>
      <c r="F6014" s="246">
        <v>0</v>
      </c>
      <c r="G6014" s="246">
        <v>0</v>
      </c>
      <c r="H6014" s="246">
        <v>0</v>
      </c>
      <c r="I6014" s="246">
        <v>0</v>
      </c>
      <c r="J6014" s="246">
        <v>0</v>
      </c>
      <c r="K6014" s="246">
        <v>0</v>
      </c>
      <c r="L6014" s="246">
        <v>0</v>
      </c>
      <c r="M6014" s="246">
        <v>0</v>
      </c>
      <c r="N6014" s="246">
        <v>0</v>
      </c>
      <c r="O6014" s="255">
        <v>0</v>
      </c>
    </row>
    <row r="6015" spans="1:15">
      <c r="A6015" s="240" t="s">
        <v>26</v>
      </c>
      <c r="B6015" s="47" t="s">
        <v>55</v>
      </c>
      <c r="C6015" s="12">
        <v>0.799074686054197</v>
      </c>
      <c r="D6015" s="241">
        <v>0.791208791208791</v>
      </c>
      <c r="E6015" s="241">
        <v>1.16666666666667</v>
      </c>
      <c r="F6015" s="241">
        <v>1.03333333333333</v>
      </c>
      <c r="G6015" s="241">
        <v>1.26470588235294</v>
      </c>
      <c r="H6015" s="241">
        <v>0.872340425531915</v>
      </c>
      <c r="I6015" s="241">
        <v>0.735751295336788</v>
      </c>
      <c r="J6015" s="241">
        <v>0.745945945945946</v>
      </c>
      <c r="K6015" s="241">
        <v>0.773480662983425</v>
      </c>
      <c r="L6015" s="241">
        <v>0.648351648351648</v>
      </c>
      <c r="M6015" s="241">
        <v>0.95</v>
      </c>
      <c r="N6015" s="241">
        <v>0.7875</v>
      </c>
      <c r="O6015" s="252">
        <v>0.78494623655914</v>
      </c>
    </row>
    <row r="6016" spans="1:15">
      <c r="A6016" s="242" t="s">
        <v>26</v>
      </c>
      <c r="B6016" s="43" t="s">
        <v>57</v>
      </c>
      <c r="C6016" s="15">
        <v>1513</v>
      </c>
      <c r="D6016" s="243">
        <v>91</v>
      </c>
      <c r="E6016" s="243">
        <v>30</v>
      </c>
      <c r="F6016" s="243">
        <v>30</v>
      </c>
      <c r="G6016" s="243">
        <v>34</v>
      </c>
      <c r="H6016" s="243">
        <v>141</v>
      </c>
      <c r="I6016" s="243">
        <v>193</v>
      </c>
      <c r="J6016" s="243">
        <v>185</v>
      </c>
      <c r="K6016" s="243">
        <v>181</v>
      </c>
      <c r="L6016" s="243">
        <v>182</v>
      </c>
      <c r="M6016" s="243">
        <v>100</v>
      </c>
      <c r="N6016" s="243">
        <v>160</v>
      </c>
      <c r="O6016" s="253">
        <v>186</v>
      </c>
    </row>
    <row r="6017" spans="1:15">
      <c r="A6017" s="240" t="s">
        <v>26</v>
      </c>
      <c r="B6017" s="47" t="s">
        <v>59</v>
      </c>
      <c r="C6017" s="15">
        <v>1209</v>
      </c>
      <c r="D6017" s="243">
        <v>72</v>
      </c>
      <c r="E6017" s="243">
        <v>35</v>
      </c>
      <c r="F6017" s="243">
        <v>31</v>
      </c>
      <c r="G6017" s="243">
        <v>43</v>
      </c>
      <c r="H6017" s="243">
        <v>123</v>
      </c>
      <c r="I6017" s="243">
        <v>142</v>
      </c>
      <c r="J6017" s="243">
        <v>138</v>
      </c>
      <c r="K6017" s="243">
        <v>140</v>
      </c>
      <c r="L6017" s="243">
        <v>118</v>
      </c>
      <c r="M6017" s="243">
        <v>95</v>
      </c>
      <c r="N6017" s="243">
        <v>126</v>
      </c>
      <c r="O6017" s="253">
        <v>146</v>
      </c>
    </row>
    <row r="6018" spans="1:15">
      <c r="A6018" s="242" t="s">
        <v>26</v>
      </c>
      <c r="B6018" s="43" t="s">
        <v>4</v>
      </c>
      <c r="C6018" s="15">
        <v>5</v>
      </c>
      <c r="D6018" s="244">
        <v>0</v>
      </c>
      <c r="E6018" s="244">
        <v>0</v>
      </c>
      <c r="F6018" s="244">
        <v>0</v>
      </c>
      <c r="G6018" s="244">
        <v>2</v>
      </c>
      <c r="H6018" s="244">
        <v>0</v>
      </c>
      <c r="I6018" s="244">
        <v>1</v>
      </c>
      <c r="J6018" s="244">
        <v>1</v>
      </c>
      <c r="K6018" s="244">
        <v>0</v>
      </c>
      <c r="L6018" s="244">
        <v>0</v>
      </c>
      <c r="M6018" s="244">
        <v>1</v>
      </c>
      <c r="N6018" s="244">
        <v>0</v>
      </c>
      <c r="O6018" s="254">
        <v>0</v>
      </c>
    </row>
    <row r="6019" spans="1:15">
      <c r="A6019" s="240" t="s">
        <v>26</v>
      </c>
      <c r="B6019" s="47" t="s">
        <v>5</v>
      </c>
      <c r="C6019" s="12">
        <v>0.00413564929693962</v>
      </c>
      <c r="D6019" s="241">
        <v>0</v>
      </c>
      <c r="E6019" s="241">
        <v>0</v>
      </c>
      <c r="F6019" s="241">
        <v>0</v>
      </c>
      <c r="G6019" s="241">
        <v>0.0465116279069767</v>
      </c>
      <c r="H6019" s="241">
        <v>0</v>
      </c>
      <c r="I6019" s="241">
        <v>0.00704225352112676</v>
      </c>
      <c r="J6019" s="241">
        <v>0.0072463768115942</v>
      </c>
      <c r="K6019" s="241">
        <v>0</v>
      </c>
      <c r="L6019" s="241">
        <v>0</v>
      </c>
      <c r="M6019" s="241">
        <v>0.0105263157894737</v>
      </c>
      <c r="N6019" s="241">
        <v>0</v>
      </c>
      <c r="O6019" s="252">
        <v>0</v>
      </c>
    </row>
    <row r="6020" spans="1:15">
      <c r="A6020" s="242" t="s">
        <v>26</v>
      </c>
      <c r="B6020" s="43" t="s">
        <v>6</v>
      </c>
      <c r="C6020" s="15">
        <v>3</v>
      </c>
      <c r="D6020" s="244">
        <v>0</v>
      </c>
      <c r="E6020" s="244">
        <v>1</v>
      </c>
      <c r="F6020" s="244">
        <v>0</v>
      </c>
      <c r="G6020" s="244">
        <v>2</v>
      </c>
      <c r="H6020" s="244">
        <v>0</v>
      </c>
      <c r="I6020" s="244">
        <v>0</v>
      </c>
      <c r="J6020" s="244">
        <v>0</v>
      </c>
      <c r="K6020" s="244">
        <v>0</v>
      </c>
      <c r="L6020" s="244">
        <v>0</v>
      </c>
      <c r="M6020" s="244">
        <v>0</v>
      </c>
      <c r="N6020" s="244">
        <v>0</v>
      </c>
      <c r="O6020" s="254">
        <v>0</v>
      </c>
    </row>
    <row r="6021" ht="14.25" spans="1:15">
      <c r="A6021" s="245" t="s">
        <v>26</v>
      </c>
      <c r="B6021" s="52" t="s">
        <v>64</v>
      </c>
      <c r="C6021" s="19">
        <v>0.6</v>
      </c>
      <c r="D6021" s="19" t="e">
        <v>#DIV/0!</v>
      </c>
      <c r="E6021" s="19" t="e">
        <v>#DIV/0!</v>
      </c>
      <c r="F6021" s="19" t="e">
        <v>#DIV/0!</v>
      </c>
      <c r="G6021" s="19">
        <v>1</v>
      </c>
      <c r="H6021" s="19" t="e">
        <v>#DIV/0!</v>
      </c>
      <c r="I6021" s="19">
        <v>0</v>
      </c>
      <c r="J6021" s="19">
        <v>0</v>
      </c>
      <c r="K6021" s="19" t="e">
        <v>#DIV/0!</v>
      </c>
      <c r="L6021" s="19" t="e">
        <v>#DIV/0!</v>
      </c>
      <c r="M6021" s="19">
        <v>0</v>
      </c>
      <c r="N6021" s="19" t="e">
        <v>#DIV/0!</v>
      </c>
      <c r="O6021" s="19" t="e">
        <v>#DIV/0!</v>
      </c>
    </row>
    <row r="6022" spans="1:15">
      <c r="A6022" s="240" t="s">
        <v>71</v>
      </c>
      <c r="B6022" s="47" t="s">
        <v>55</v>
      </c>
      <c r="C6022" s="12">
        <v>392</v>
      </c>
      <c r="D6022" s="241" t="e">
        <v>#DIV/0!</v>
      </c>
      <c r="E6022" s="241" t="e">
        <v>#DIV/0!</v>
      </c>
      <c r="F6022" s="241">
        <v>12</v>
      </c>
      <c r="G6022" s="241" t="e">
        <v>#DIV/0!</v>
      </c>
      <c r="H6022" s="241" t="e">
        <v>#DIV/0!</v>
      </c>
      <c r="I6022" s="241" t="e">
        <v>#DIV/0!</v>
      </c>
      <c r="J6022" s="241" t="e">
        <v>#DIV/0!</v>
      </c>
      <c r="K6022" s="241" t="e">
        <v>#DIV/0!</v>
      </c>
      <c r="L6022" s="241" t="e">
        <v>#DIV/0!</v>
      </c>
      <c r="M6022" s="241" t="e">
        <v>#DIV/0!</v>
      </c>
      <c r="N6022" s="241" t="e">
        <v>#DIV/0!</v>
      </c>
      <c r="O6022" s="252" t="e">
        <v>#DIV/0!</v>
      </c>
    </row>
    <row r="6023" spans="1:15">
      <c r="A6023" s="242" t="s">
        <v>71</v>
      </c>
      <c r="B6023" s="43" t="s">
        <v>57</v>
      </c>
      <c r="C6023" s="15">
        <v>1</v>
      </c>
      <c r="D6023" s="243">
        <v>0</v>
      </c>
      <c r="E6023" s="243">
        <v>0</v>
      </c>
      <c r="F6023" s="243">
        <v>1</v>
      </c>
      <c r="G6023" s="243">
        <v>0</v>
      </c>
      <c r="H6023" s="243">
        <v>0</v>
      </c>
      <c r="I6023" s="243">
        <v>0</v>
      </c>
      <c r="J6023" s="243">
        <v>0</v>
      </c>
      <c r="K6023" s="243">
        <v>0</v>
      </c>
      <c r="L6023" s="243">
        <v>0</v>
      </c>
      <c r="M6023" s="243">
        <v>0</v>
      </c>
      <c r="N6023" s="243">
        <v>0</v>
      </c>
      <c r="O6023" s="253">
        <v>0</v>
      </c>
    </row>
    <row r="6024" spans="1:15">
      <c r="A6024" s="240" t="s">
        <v>71</v>
      </c>
      <c r="B6024" s="47" t="s">
        <v>59</v>
      </c>
      <c r="C6024" s="15">
        <v>392</v>
      </c>
      <c r="D6024" s="243">
        <v>41</v>
      </c>
      <c r="E6024" s="243">
        <v>30</v>
      </c>
      <c r="F6024" s="243">
        <v>12</v>
      </c>
      <c r="G6024" s="243">
        <v>11</v>
      </c>
      <c r="H6024" s="243">
        <v>18</v>
      </c>
      <c r="I6024" s="243">
        <v>28</v>
      </c>
      <c r="J6024" s="243">
        <v>45</v>
      </c>
      <c r="K6024" s="243">
        <v>33</v>
      </c>
      <c r="L6024" s="243">
        <v>26</v>
      </c>
      <c r="M6024" s="243">
        <v>54</v>
      </c>
      <c r="N6024" s="243">
        <v>64</v>
      </c>
      <c r="O6024" s="253">
        <v>30</v>
      </c>
    </row>
    <row r="6025" spans="1:15">
      <c r="A6025" s="242" t="s">
        <v>71</v>
      </c>
      <c r="B6025" s="43" t="s">
        <v>4</v>
      </c>
      <c r="C6025" s="15">
        <v>40</v>
      </c>
      <c r="D6025" s="244">
        <v>4</v>
      </c>
      <c r="E6025" s="244">
        <v>7</v>
      </c>
      <c r="F6025" s="244">
        <v>2</v>
      </c>
      <c r="G6025" s="244">
        <v>2</v>
      </c>
      <c r="H6025" s="244">
        <v>1</v>
      </c>
      <c r="I6025" s="244">
        <v>7</v>
      </c>
      <c r="J6025" s="244">
        <v>3</v>
      </c>
      <c r="K6025" s="244">
        <v>3</v>
      </c>
      <c r="L6025" s="244">
        <v>0</v>
      </c>
      <c r="M6025" s="244">
        <v>3</v>
      </c>
      <c r="N6025" s="244">
        <v>4</v>
      </c>
      <c r="O6025" s="254">
        <v>4</v>
      </c>
    </row>
    <row r="6026" spans="1:15">
      <c r="A6026" s="240" t="s">
        <v>71</v>
      </c>
      <c r="B6026" s="47" t="s">
        <v>5</v>
      </c>
      <c r="C6026" s="241">
        <v>0.102040816326531</v>
      </c>
      <c r="D6026" s="241">
        <v>0.0975609756097561</v>
      </c>
      <c r="E6026" s="241">
        <v>0.233333333333333</v>
      </c>
      <c r="F6026" s="241">
        <v>0.166666666666667</v>
      </c>
      <c r="G6026" s="241">
        <v>0.181818181818182</v>
      </c>
      <c r="H6026" s="241">
        <v>0.0555555555555556</v>
      </c>
      <c r="I6026" s="241">
        <v>0.25</v>
      </c>
      <c r="J6026" s="241">
        <v>0.0666666666666667</v>
      </c>
      <c r="K6026" s="241">
        <v>0.0909090909090909</v>
      </c>
      <c r="L6026" s="241">
        <v>0</v>
      </c>
      <c r="M6026" s="241">
        <v>0.0555555555555556</v>
      </c>
      <c r="N6026" s="241">
        <v>0.0625</v>
      </c>
      <c r="O6026" s="252">
        <v>0.133333333333333</v>
      </c>
    </row>
    <row r="6027" spans="1:15">
      <c r="A6027" s="242" t="s">
        <v>71</v>
      </c>
      <c r="B6027" s="43" t="s">
        <v>6</v>
      </c>
      <c r="C6027" s="15">
        <v>9</v>
      </c>
      <c r="D6027" s="244">
        <v>3</v>
      </c>
      <c r="E6027" s="244">
        <v>2</v>
      </c>
      <c r="F6027" s="244">
        <v>0</v>
      </c>
      <c r="G6027" s="244">
        <v>0</v>
      </c>
      <c r="H6027" s="244">
        <v>0</v>
      </c>
      <c r="I6027" s="244">
        <v>1</v>
      </c>
      <c r="J6027" s="244">
        <v>0</v>
      </c>
      <c r="K6027" s="244">
        <v>1</v>
      </c>
      <c r="L6027" s="244">
        <v>0</v>
      </c>
      <c r="M6027" s="244">
        <v>0</v>
      </c>
      <c r="N6027" s="244">
        <v>1</v>
      </c>
      <c r="O6027" s="254">
        <v>1</v>
      </c>
    </row>
    <row r="6028" ht="14.25" spans="1:15">
      <c r="A6028" s="245" t="s">
        <v>71</v>
      </c>
      <c r="B6028" s="52" t="s">
        <v>64</v>
      </c>
      <c r="C6028" s="19">
        <v>0.225</v>
      </c>
      <c r="D6028" s="19">
        <v>0.75</v>
      </c>
      <c r="E6028" s="19">
        <v>0.285714285714286</v>
      </c>
      <c r="F6028" s="19">
        <v>0</v>
      </c>
      <c r="G6028" s="19">
        <v>0</v>
      </c>
      <c r="H6028" s="19">
        <v>0</v>
      </c>
      <c r="I6028" s="19">
        <v>0.142857142857143</v>
      </c>
      <c r="J6028" s="19">
        <v>0</v>
      </c>
      <c r="K6028" s="19">
        <v>0.333333333333333</v>
      </c>
      <c r="L6028" s="19" t="e">
        <v>#DIV/0!</v>
      </c>
      <c r="M6028" s="19">
        <v>0</v>
      </c>
      <c r="N6028" s="19">
        <v>0.25</v>
      </c>
      <c r="O6028" s="19">
        <v>0.25</v>
      </c>
    </row>
    <row r="6029" spans="1:15">
      <c r="A6029" s="240" t="s">
        <v>72</v>
      </c>
      <c r="B6029" s="47" t="s">
        <v>55</v>
      </c>
      <c r="C6029" s="12">
        <v>0.160127737226277</v>
      </c>
      <c r="D6029" s="241">
        <v>0.192982456140351</v>
      </c>
      <c r="E6029" s="241">
        <v>0.177777777777778</v>
      </c>
      <c r="F6029" s="241">
        <v>0.283333333333333</v>
      </c>
      <c r="G6029" s="241">
        <v>0.19672131147541</v>
      </c>
      <c r="H6029" s="241">
        <v>0.247787610619469</v>
      </c>
      <c r="I6029" s="241">
        <v>0.151515151515152</v>
      </c>
      <c r="J6029" s="241">
        <v>0.215909090909091</v>
      </c>
      <c r="K6029" s="241">
        <v>0.128865979381443</v>
      </c>
      <c r="L6029" s="241">
        <v>0.159203980099502</v>
      </c>
      <c r="M6029" s="241">
        <v>0.126903553299492</v>
      </c>
      <c r="N6029" s="241">
        <v>0.131443298969072</v>
      </c>
      <c r="O6029" s="252">
        <v>0.13031914893617</v>
      </c>
    </row>
    <row r="6030" spans="1:15">
      <c r="A6030" s="242" t="s">
        <v>72</v>
      </c>
      <c r="B6030" s="43" t="s">
        <v>57</v>
      </c>
      <c r="C6030" s="15">
        <v>2192</v>
      </c>
      <c r="D6030" s="243">
        <v>171</v>
      </c>
      <c r="E6030" s="243">
        <v>90</v>
      </c>
      <c r="F6030" s="243">
        <v>60</v>
      </c>
      <c r="G6030" s="243">
        <v>61</v>
      </c>
      <c r="H6030" s="243">
        <v>113</v>
      </c>
      <c r="I6030" s="243">
        <v>165</v>
      </c>
      <c r="J6030" s="243">
        <v>176</v>
      </c>
      <c r="K6030" s="243">
        <v>194</v>
      </c>
      <c r="L6030" s="243">
        <v>201</v>
      </c>
      <c r="M6030" s="243">
        <v>197</v>
      </c>
      <c r="N6030" s="243">
        <v>388</v>
      </c>
      <c r="O6030" s="253">
        <v>376</v>
      </c>
    </row>
    <row r="6031" spans="1:15">
      <c r="A6031" s="240" t="s">
        <v>72</v>
      </c>
      <c r="B6031" s="47" t="s">
        <v>59</v>
      </c>
      <c r="C6031" s="15">
        <v>351</v>
      </c>
      <c r="D6031" s="243">
        <v>33</v>
      </c>
      <c r="E6031" s="243">
        <v>16</v>
      </c>
      <c r="F6031" s="243">
        <v>17</v>
      </c>
      <c r="G6031" s="243">
        <v>12</v>
      </c>
      <c r="H6031" s="243">
        <v>28</v>
      </c>
      <c r="I6031" s="243">
        <v>25</v>
      </c>
      <c r="J6031" s="243">
        <v>38</v>
      </c>
      <c r="K6031" s="243">
        <v>25</v>
      </c>
      <c r="L6031" s="243">
        <v>32</v>
      </c>
      <c r="M6031" s="243">
        <v>25</v>
      </c>
      <c r="N6031" s="243">
        <v>51</v>
      </c>
      <c r="O6031" s="253">
        <v>49</v>
      </c>
    </row>
    <row r="6032" spans="1:15">
      <c r="A6032" s="242" t="s">
        <v>72</v>
      </c>
      <c r="B6032" s="43" t="s">
        <v>4</v>
      </c>
      <c r="C6032" s="15">
        <v>9</v>
      </c>
      <c r="D6032" s="244">
        <v>1</v>
      </c>
      <c r="E6032" s="244">
        <v>0</v>
      </c>
      <c r="F6032" s="244">
        <v>0</v>
      </c>
      <c r="G6032" s="244">
        <v>0</v>
      </c>
      <c r="H6032" s="244">
        <v>1</v>
      </c>
      <c r="I6032" s="244">
        <v>0</v>
      </c>
      <c r="J6032" s="244">
        <v>0</v>
      </c>
      <c r="K6032" s="244">
        <v>1</v>
      </c>
      <c r="L6032" s="244">
        <v>2</v>
      </c>
      <c r="M6032" s="244">
        <v>1</v>
      </c>
      <c r="N6032" s="244">
        <v>1</v>
      </c>
      <c r="O6032" s="254">
        <v>2</v>
      </c>
    </row>
    <row r="6033" spans="1:15">
      <c r="A6033" s="240" t="s">
        <v>72</v>
      </c>
      <c r="B6033" s="47" t="s">
        <v>5</v>
      </c>
      <c r="C6033" s="12">
        <v>0.0256410256410256</v>
      </c>
      <c r="D6033" s="241">
        <v>0.0303030303030303</v>
      </c>
      <c r="E6033" s="241">
        <v>0</v>
      </c>
      <c r="F6033" s="241">
        <v>0</v>
      </c>
      <c r="G6033" s="241">
        <v>0</v>
      </c>
      <c r="H6033" s="241">
        <v>0.0357142857142857</v>
      </c>
      <c r="I6033" s="241">
        <v>0</v>
      </c>
      <c r="J6033" s="241">
        <v>0</v>
      </c>
      <c r="K6033" s="241">
        <v>0.04</v>
      </c>
      <c r="L6033" s="241">
        <v>0.0625</v>
      </c>
      <c r="M6033" s="241">
        <v>0.04</v>
      </c>
      <c r="N6033" s="241">
        <v>0.0196078431372549</v>
      </c>
      <c r="O6033" s="252">
        <v>0.0408163265306122</v>
      </c>
    </row>
    <row r="6034" spans="1:15">
      <c r="A6034" s="242" t="s">
        <v>72</v>
      </c>
      <c r="B6034" s="43" t="s">
        <v>6</v>
      </c>
      <c r="C6034" s="15">
        <v>5</v>
      </c>
      <c r="D6034" s="244">
        <v>1</v>
      </c>
      <c r="E6034" s="244">
        <v>0</v>
      </c>
      <c r="F6034" s="244">
        <v>0</v>
      </c>
      <c r="G6034" s="244">
        <v>0</v>
      </c>
      <c r="H6034" s="244">
        <v>0</v>
      </c>
      <c r="I6034" s="244">
        <v>0</v>
      </c>
      <c r="J6034" s="244">
        <v>1</v>
      </c>
      <c r="K6034" s="244">
        <v>0</v>
      </c>
      <c r="L6034" s="244">
        <v>1</v>
      </c>
      <c r="M6034" s="244">
        <v>0</v>
      </c>
      <c r="N6034" s="244">
        <v>2</v>
      </c>
      <c r="O6034" s="254">
        <v>0</v>
      </c>
    </row>
    <row r="6035" ht="14.25" spans="1:15">
      <c r="A6035" s="245" t="s">
        <v>72</v>
      </c>
      <c r="B6035" s="52" t="s">
        <v>64</v>
      </c>
      <c r="C6035" s="19">
        <v>0.555555555555556</v>
      </c>
      <c r="D6035" s="19">
        <v>1</v>
      </c>
      <c r="E6035" s="19" t="e">
        <v>#DIV/0!</v>
      </c>
      <c r="F6035" s="19" t="e">
        <v>#DIV/0!</v>
      </c>
      <c r="G6035" s="19" t="e">
        <v>#DIV/0!</v>
      </c>
      <c r="H6035" s="19">
        <v>0</v>
      </c>
      <c r="I6035" s="19" t="e">
        <v>#DIV/0!</v>
      </c>
      <c r="J6035" s="19" t="e">
        <v>#DIV/0!</v>
      </c>
      <c r="K6035" s="19">
        <v>0</v>
      </c>
      <c r="L6035" s="19">
        <v>0.5</v>
      </c>
      <c r="M6035" s="19">
        <v>0</v>
      </c>
      <c r="N6035" s="19">
        <v>2</v>
      </c>
      <c r="O6035" s="19">
        <v>0</v>
      </c>
    </row>
    <row r="6036" ht="14.25" spans="1:15">
      <c r="A6036" s="259">
        <v>45112</v>
      </c>
      <c r="B6036" s="259"/>
      <c r="C6036" s="259"/>
      <c r="D6036" s="259"/>
      <c r="E6036" s="259"/>
      <c r="F6036" s="259"/>
      <c r="G6036" s="259"/>
      <c r="H6036" s="259"/>
      <c r="I6036" s="259"/>
      <c r="J6036" s="259"/>
      <c r="K6036" s="259"/>
      <c r="L6036" s="259"/>
      <c r="M6036" s="259"/>
      <c r="N6036" s="259"/>
      <c r="O6036" s="259"/>
    </row>
    <row r="6037" spans="1:15">
      <c r="A6037" s="260" t="s">
        <v>1</v>
      </c>
      <c r="B6037" s="261"/>
      <c r="C6037" s="8" t="s">
        <v>42</v>
      </c>
      <c r="D6037" s="262" t="s">
        <v>43</v>
      </c>
      <c r="E6037" s="262" t="s">
        <v>44</v>
      </c>
      <c r="F6037" s="262" t="s">
        <v>45</v>
      </c>
      <c r="G6037" s="262" t="s">
        <v>46</v>
      </c>
      <c r="H6037" s="262" t="s">
        <v>47</v>
      </c>
      <c r="I6037" s="262" t="s">
        <v>48</v>
      </c>
      <c r="J6037" s="262" t="s">
        <v>49</v>
      </c>
      <c r="K6037" s="262" t="s">
        <v>50</v>
      </c>
      <c r="L6037" s="262" t="s">
        <v>51</v>
      </c>
      <c r="M6037" s="262" t="s">
        <v>52</v>
      </c>
      <c r="N6037" s="262" t="s">
        <v>53</v>
      </c>
      <c r="O6037" s="276" t="s">
        <v>54</v>
      </c>
    </row>
    <row r="6038" spans="1:15">
      <c r="A6038" s="263" t="s">
        <v>22</v>
      </c>
      <c r="B6038" s="264" t="s">
        <v>55</v>
      </c>
      <c r="C6038" s="12">
        <v>0.535358826610791</v>
      </c>
      <c r="D6038" s="265">
        <v>0.587912087912088</v>
      </c>
      <c r="E6038" s="265">
        <v>0.47787610619469</v>
      </c>
      <c r="F6038" s="265">
        <v>0.544117647058823</v>
      </c>
      <c r="G6038" s="265">
        <v>0.576086956521739</v>
      </c>
      <c r="H6038" s="265">
        <v>0.571428571428571</v>
      </c>
      <c r="I6038" s="265">
        <v>0.467455621301775</v>
      </c>
      <c r="J6038" s="265">
        <v>0.649006622516556</v>
      </c>
      <c r="K6038" s="265">
        <v>0.474226804123711</v>
      </c>
      <c r="L6038" s="265">
        <v>0.45771144278607</v>
      </c>
      <c r="M6038" s="265">
        <v>0.674556213017751</v>
      </c>
      <c r="N6038" s="265">
        <v>0.528571428571429</v>
      </c>
      <c r="O6038" s="277">
        <v>0.477272727272727</v>
      </c>
    </row>
    <row r="6039" spans="1:15">
      <c r="A6039" s="266" t="s">
        <v>22</v>
      </c>
      <c r="B6039" s="267" t="s">
        <v>57</v>
      </c>
      <c r="C6039" s="15">
        <v>1909</v>
      </c>
      <c r="D6039" s="268">
        <v>182</v>
      </c>
      <c r="E6039" s="268">
        <v>113</v>
      </c>
      <c r="F6039" s="268">
        <v>68</v>
      </c>
      <c r="G6039" s="268">
        <v>92</v>
      </c>
      <c r="H6039" s="268">
        <v>140</v>
      </c>
      <c r="I6039" s="268">
        <v>169</v>
      </c>
      <c r="J6039" s="268">
        <v>151</v>
      </c>
      <c r="K6039" s="268">
        <v>194</v>
      </c>
      <c r="L6039" s="268">
        <v>201</v>
      </c>
      <c r="M6039" s="268">
        <v>169</v>
      </c>
      <c r="N6039" s="268">
        <v>210</v>
      </c>
      <c r="O6039" s="278">
        <v>220</v>
      </c>
    </row>
    <row r="6040" spans="1:15">
      <c r="A6040" s="263" t="s">
        <v>22</v>
      </c>
      <c r="B6040" s="264" t="s">
        <v>59</v>
      </c>
      <c r="C6040" s="15">
        <v>1022</v>
      </c>
      <c r="D6040" s="268">
        <v>107</v>
      </c>
      <c r="E6040" s="268">
        <v>54</v>
      </c>
      <c r="F6040" s="268">
        <v>37</v>
      </c>
      <c r="G6040" s="268">
        <v>53</v>
      </c>
      <c r="H6040" s="268">
        <v>80</v>
      </c>
      <c r="I6040" s="268">
        <v>79</v>
      </c>
      <c r="J6040" s="268">
        <v>98</v>
      </c>
      <c r="K6040" s="268">
        <v>92</v>
      </c>
      <c r="L6040" s="268">
        <v>92</v>
      </c>
      <c r="M6040" s="268">
        <v>114</v>
      </c>
      <c r="N6040" s="268">
        <v>111</v>
      </c>
      <c r="O6040" s="278">
        <v>105</v>
      </c>
    </row>
    <row r="6041" spans="1:15">
      <c r="A6041" s="266" t="s">
        <v>22</v>
      </c>
      <c r="B6041" s="267" t="s">
        <v>4</v>
      </c>
      <c r="C6041" s="15">
        <v>45</v>
      </c>
      <c r="D6041" s="269">
        <v>4</v>
      </c>
      <c r="E6041" s="269">
        <v>5</v>
      </c>
      <c r="F6041" s="269">
        <v>3</v>
      </c>
      <c r="G6041" s="269">
        <v>1</v>
      </c>
      <c r="H6041" s="269">
        <v>4</v>
      </c>
      <c r="I6041" s="269">
        <v>0</v>
      </c>
      <c r="J6041" s="269">
        <v>5</v>
      </c>
      <c r="K6041" s="269">
        <v>2</v>
      </c>
      <c r="L6041" s="269">
        <v>6</v>
      </c>
      <c r="M6041" s="269">
        <v>3</v>
      </c>
      <c r="N6041" s="269">
        <v>3</v>
      </c>
      <c r="O6041" s="279">
        <v>9</v>
      </c>
    </row>
    <row r="6042" spans="1:15">
      <c r="A6042" s="263" t="s">
        <v>22</v>
      </c>
      <c r="B6042" s="264" t="s">
        <v>5</v>
      </c>
      <c r="C6042" s="12">
        <v>0.0440313111545988</v>
      </c>
      <c r="D6042" s="265">
        <v>0.0373831775700935</v>
      </c>
      <c r="E6042" s="265">
        <v>0.0925925925925926</v>
      </c>
      <c r="F6042" s="265">
        <v>0.0810810810810811</v>
      </c>
      <c r="G6042" s="265">
        <v>0.0188679245283019</v>
      </c>
      <c r="H6042" s="265">
        <v>0.05</v>
      </c>
      <c r="I6042" s="265">
        <v>0</v>
      </c>
      <c r="J6042" s="265">
        <v>0.0510204081632653</v>
      </c>
      <c r="K6042" s="265">
        <v>0.0217391304347826</v>
      </c>
      <c r="L6042" s="265">
        <v>0.0652173913043478</v>
      </c>
      <c r="M6042" s="265">
        <v>0.0263157894736842</v>
      </c>
      <c r="N6042" s="265">
        <v>0.027027027027027</v>
      </c>
      <c r="O6042" s="277">
        <v>0.0857142857142857</v>
      </c>
    </row>
    <row r="6043" spans="1:15">
      <c r="A6043" s="266" t="s">
        <v>22</v>
      </c>
      <c r="B6043" s="267" t="s">
        <v>6</v>
      </c>
      <c r="C6043" s="15">
        <v>15</v>
      </c>
      <c r="D6043" s="269">
        <v>3</v>
      </c>
      <c r="E6043" s="269">
        <v>3</v>
      </c>
      <c r="F6043" s="269">
        <v>0</v>
      </c>
      <c r="G6043" s="269">
        <v>0</v>
      </c>
      <c r="H6043" s="269">
        <v>1</v>
      </c>
      <c r="I6043" s="269">
        <v>2</v>
      </c>
      <c r="J6043" s="269">
        <v>0</v>
      </c>
      <c r="K6043" s="269">
        <v>3</v>
      </c>
      <c r="L6043" s="269">
        <v>2</v>
      </c>
      <c r="M6043" s="269">
        <v>0</v>
      </c>
      <c r="N6043" s="269">
        <v>0</v>
      </c>
      <c r="O6043" s="279">
        <v>1</v>
      </c>
    </row>
    <row r="6044" ht="14.25" spans="1:15">
      <c r="A6044" s="270" t="s">
        <v>22</v>
      </c>
      <c r="B6044" s="271" t="s">
        <v>64</v>
      </c>
      <c r="C6044" s="19">
        <v>0.333333333333333</v>
      </c>
      <c r="D6044" s="272">
        <v>0.75</v>
      </c>
      <c r="E6044" s="272">
        <v>0.6</v>
      </c>
      <c r="F6044" s="272">
        <v>0</v>
      </c>
      <c r="G6044" s="272">
        <v>0</v>
      </c>
      <c r="H6044" s="272">
        <v>0.25</v>
      </c>
      <c r="I6044" s="272">
        <v>0</v>
      </c>
      <c r="J6044" s="272">
        <v>0</v>
      </c>
      <c r="K6044" s="272">
        <v>1.5</v>
      </c>
      <c r="L6044" s="272">
        <v>0.333333333333333</v>
      </c>
      <c r="M6044" s="272">
        <v>0</v>
      </c>
      <c r="N6044" s="272">
        <v>0</v>
      </c>
      <c r="O6044" s="280">
        <v>0.111111111111111</v>
      </c>
    </row>
    <row r="6045" spans="1:15">
      <c r="A6045" s="273" t="s">
        <v>66</v>
      </c>
      <c r="B6045" s="274" t="s">
        <v>55</v>
      </c>
      <c r="C6045" s="12">
        <v>0.0702357563850688</v>
      </c>
      <c r="D6045" s="275">
        <v>0.0913461538461538</v>
      </c>
      <c r="E6045" s="275">
        <v>0.0392156862745098</v>
      </c>
      <c r="F6045" s="275">
        <v>0.0263157894736842</v>
      </c>
      <c r="G6045" s="275">
        <v>0.0387096774193548</v>
      </c>
      <c r="H6045" s="275">
        <v>0.049645390070922</v>
      </c>
      <c r="I6045" s="275">
        <v>0.0376344086021505</v>
      </c>
      <c r="J6045" s="275">
        <v>0.0824175824175824</v>
      </c>
      <c r="K6045" s="275">
        <v>0.0718562874251497</v>
      </c>
      <c r="L6045" s="275">
        <v>0.124137931034483</v>
      </c>
      <c r="M6045" s="275">
        <v>0.0928571428571429</v>
      </c>
      <c r="N6045" s="275">
        <v>0.0886075949367089</v>
      </c>
      <c r="O6045" s="281">
        <v>0.11875</v>
      </c>
    </row>
    <row r="6046" spans="1:15">
      <c r="A6046" s="266" t="s">
        <v>66</v>
      </c>
      <c r="B6046" s="267" t="s">
        <v>57</v>
      </c>
      <c r="C6046" s="15">
        <v>2036</v>
      </c>
      <c r="D6046" s="268">
        <v>208</v>
      </c>
      <c r="E6046" s="268">
        <v>204</v>
      </c>
      <c r="F6046" s="268">
        <v>190</v>
      </c>
      <c r="G6046" s="268">
        <v>155</v>
      </c>
      <c r="H6046" s="268">
        <v>141</v>
      </c>
      <c r="I6046" s="268">
        <v>186</v>
      </c>
      <c r="J6046" s="268">
        <v>182</v>
      </c>
      <c r="K6046" s="268">
        <v>167</v>
      </c>
      <c r="L6046" s="268">
        <v>145</v>
      </c>
      <c r="M6046" s="268">
        <v>140</v>
      </c>
      <c r="N6046" s="268">
        <v>158</v>
      </c>
      <c r="O6046" s="278">
        <v>160</v>
      </c>
    </row>
    <row r="6047" spans="1:15">
      <c r="A6047" s="263" t="s">
        <v>66</v>
      </c>
      <c r="B6047" s="264" t="s">
        <v>59</v>
      </c>
      <c r="C6047" s="15">
        <v>143</v>
      </c>
      <c r="D6047" s="268">
        <v>19</v>
      </c>
      <c r="E6047" s="268">
        <v>8</v>
      </c>
      <c r="F6047" s="268">
        <v>5</v>
      </c>
      <c r="G6047" s="268">
        <v>6</v>
      </c>
      <c r="H6047" s="268">
        <v>7</v>
      </c>
      <c r="I6047" s="268">
        <v>7</v>
      </c>
      <c r="J6047" s="268">
        <v>15</v>
      </c>
      <c r="K6047" s="268">
        <v>12</v>
      </c>
      <c r="L6047" s="268">
        <v>18</v>
      </c>
      <c r="M6047" s="268">
        <v>13</v>
      </c>
      <c r="N6047" s="268">
        <v>14</v>
      </c>
      <c r="O6047" s="278">
        <v>19</v>
      </c>
    </row>
    <row r="6048" spans="1:15">
      <c r="A6048" s="266" t="s">
        <v>66</v>
      </c>
      <c r="B6048" s="267" t="s">
        <v>4</v>
      </c>
      <c r="C6048" s="15">
        <v>5</v>
      </c>
      <c r="D6048" s="269">
        <v>2</v>
      </c>
      <c r="E6048" s="269">
        <v>2</v>
      </c>
      <c r="F6048" s="269">
        <v>0</v>
      </c>
      <c r="G6048" s="269">
        <v>0</v>
      </c>
      <c r="H6048" s="269">
        <v>0</v>
      </c>
      <c r="I6048" s="269">
        <v>0</v>
      </c>
      <c r="J6048" s="269">
        <v>0</v>
      </c>
      <c r="K6048" s="269">
        <v>1</v>
      </c>
      <c r="L6048" s="269">
        <v>0</v>
      </c>
      <c r="M6048" s="269">
        <v>0</v>
      </c>
      <c r="N6048" s="269">
        <v>0</v>
      </c>
      <c r="O6048" s="279">
        <v>0</v>
      </c>
    </row>
    <row r="6049" spans="1:15">
      <c r="A6049" s="263" t="s">
        <v>66</v>
      </c>
      <c r="B6049" s="264" t="s">
        <v>5</v>
      </c>
      <c r="C6049" s="12">
        <v>0.034965034965035</v>
      </c>
      <c r="D6049" s="265">
        <v>0.105263157894737</v>
      </c>
      <c r="E6049" s="265">
        <v>0.25</v>
      </c>
      <c r="F6049" s="265">
        <v>0</v>
      </c>
      <c r="G6049" s="265">
        <v>0</v>
      </c>
      <c r="H6049" s="265">
        <v>0</v>
      </c>
      <c r="I6049" s="265">
        <v>0</v>
      </c>
      <c r="J6049" s="265">
        <v>0</v>
      </c>
      <c r="K6049" s="265">
        <v>0.0833333333333333</v>
      </c>
      <c r="L6049" s="265">
        <v>0</v>
      </c>
      <c r="M6049" s="265">
        <v>0</v>
      </c>
      <c r="N6049" s="265">
        <v>0</v>
      </c>
      <c r="O6049" s="277">
        <v>0</v>
      </c>
    </row>
    <row r="6050" spans="1:15">
      <c r="A6050" s="266" t="s">
        <v>66</v>
      </c>
      <c r="B6050" s="267" t="s">
        <v>6</v>
      </c>
      <c r="C6050" s="15">
        <v>0</v>
      </c>
      <c r="D6050" s="269">
        <v>0</v>
      </c>
      <c r="E6050" s="269">
        <v>0</v>
      </c>
      <c r="F6050" s="269">
        <v>0</v>
      </c>
      <c r="G6050" s="269">
        <v>0</v>
      </c>
      <c r="H6050" s="269">
        <v>0</v>
      </c>
      <c r="I6050" s="269">
        <v>0</v>
      </c>
      <c r="J6050" s="269">
        <v>0</v>
      </c>
      <c r="K6050" s="269">
        <v>0</v>
      </c>
      <c r="L6050" s="269">
        <v>0</v>
      </c>
      <c r="M6050" s="269">
        <v>0</v>
      </c>
      <c r="N6050" s="269">
        <v>0</v>
      </c>
      <c r="O6050" s="279">
        <v>0</v>
      </c>
    </row>
    <row r="6051" ht="14.25" spans="1:15">
      <c r="A6051" s="270" t="s">
        <v>66</v>
      </c>
      <c r="B6051" s="271" t="s">
        <v>64</v>
      </c>
      <c r="C6051" s="19">
        <v>0</v>
      </c>
      <c r="D6051" s="272">
        <v>0</v>
      </c>
      <c r="E6051" s="272">
        <v>0</v>
      </c>
      <c r="F6051" s="272">
        <v>0</v>
      </c>
      <c r="G6051" s="272">
        <v>0</v>
      </c>
      <c r="H6051" s="272">
        <v>0</v>
      </c>
      <c r="I6051" s="272">
        <v>0</v>
      </c>
      <c r="J6051" s="272">
        <v>0</v>
      </c>
      <c r="K6051" s="272">
        <v>0</v>
      </c>
      <c r="L6051" s="272">
        <v>0</v>
      </c>
      <c r="M6051" s="272">
        <v>0</v>
      </c>
      <c r="N6051" s="272">
        <v>0</v>
      </c>
      <c r="O6051" s="280">
        <v>0</v>
      </c>
    </row>
    <row r="6052" spans="1:15">
      <c r="A6052" s="263" t="s">
        <v>67</v>
      </c>
      <c r="B6052" s="264" t="s">
        <v>55</v>
      </c>
      <c r="C6052" s="12">
        <v>0.502688172043011</v>
      </c>
      <c r="D6052" s="265">
        <v>0.549295774647887</v>
      </c>
      <c r="E6052" s="265">
        <v>1.14705882352941</v>
      </c>
      <c r="F6052" s="265">
        <v>0.588235294117647</v>
      </c>
      <c r="G6052" s="265">
        <v>0.482758620689655</v>
      </c>
      <c r="H6052" s="265">
        <v>0.714285714285714</v>
      </c>
      <c r="I6052" s="265">
        <v>0.430769230769231</v>
      </c>
      <c r="J6052" s="265">
        <v>0.397435897435897</v>
      </c>
      <c r="K6052" s="265">
        <v>0.338709677419355</v>
      </c>
      <c r="L6052" s="265">
        <v>0.405797101449275</v>
      </c>
      <c r="M6052" s="265">
        <v>0.436781609195402</v>
      </c>
      <c r="N6052" s="265">
        <v>0.450704225352113</v>
      </c>
      <c r="O6052" s="277">
        <v>0.481481481481481</v>
      </c>
    </row>
    <row r="6053" spans="1:15">
      <c r="A6053" s="266" t="s">
        <v>67</v>
      </c>
      <c r="B6053" s="267" t="s">
        <v>57</v>
      </c>
      <c r="C6053" s="15">
        <v>744</v>
      </c>
      <c r="D6053" s="268">
        <v>71</v>
      </c>
      <c r="E6053" s="268">
        <v>34</v>
      </c>
      <c r="F6053" s="268">
        <v>34</v>
      </c>
      <c r="G6053" s="268">
        <v>29</v>
      </c>
      <c r="H6053" s="268">
        <v>63</v>
      </c>
      <c r="I6053" s="268">
        <v>65</v>
      </c>
      <c r="J6053" s="268">
        <v>78</v>
      </c>
      <c r="K6053" s="268">
        <v>62</v>
      </c>
      <c r="L6053" s="268">
        <v>69</v>
      </c>
      <c r="M6053" s="268">
        <v>87</v>
      </c>
      <c r="N6053" s="268">
        <v>71</v>
      </c>
      <c r="O6053" s="278">
        <v>81</v>
      </c>
    </row>
    <row r="6054" spans="1:15">
      <c r="A6054" s="263" t="s">
        <v>67</v>
      </c>
      <c r="B6054" s="264" t="s">
        <v>59</v>
      </c>
      <c r="C6054" s="15">
        <v>374</v>
      </c>
      <c r="D6054" s="268">
        <v>39</v>
      </c>
      <c r="E6054" s="268">
        <v>39</v>
      </c>
      <c r="F6054" s="268">
        <v>20</v>
      </c>
      <c r="G6054" s="268">
        <v>14</v>
      </c>
      <c r="H6054" s="268">
        <v>45</v>
      </c>
      <c r="I6054" s="268">
        <v>28</v>
      </c>
      <c r="J6054" s="268">
        <v>31</v>
      </c>
      <c r="K6054" s="268">
        <v>21</v>
      </c>
      <c r="L6054" s="268">
        <v>28</v>
      </c>
      <c r="M6054" s="268">
        <v>38</v>
      </c>
      <c r="N6054" s="268">
        <v>32</v>
      </c>
      <c r="O6054" s="278">
        <v>39</v>
      </c>
    </row>
    <row r="6055" spans="1:15">
      <c r="A6055" s="266" t="s">
        <v>67</v>
      </c>
      <c r="B6055" s="267" t="s">
        <v>4</v>
      </c>
      <c r="C6055" s="15">
        <v>10</v>
      </c>
      <c r="D6055" s="269">
        <v>2</v>
      </c>
      <c r="E6055" s="269">
        <v>1</v>
      </c>
      <c r="F6055" s="269">
        <v>1</v>
      </c>
      <c r="G6055" s="269">
        <v>1</v>
      </c>
      <c r="H6055" s="269">
        <v>1</v>
      </c>
      <c r="I6055" s="269">
        <v>0</v>
      </c>
      <c r="J6055" s="269">
        <v>0</v>
      </c>
      <c r="K6055" s="269">
        <v>1</v>
      </c>
      <c r="L6055" s="269">
        <v>0</v>
      </c>
      <c r="M6055" s="269">
        <v>1</v>
      </c>
      <c r="N6055" s="269">
        <v>1</v>
      </c>
      <c r="O6055" s="279">
        <v>1</v>
      </c>
    </row>
    <row r="6056" spans="1:15">
      <c r="A6056" s="263" t="s">
        <v>67</v>
      </c>
      <c r="B6056" s="264" t="s">
        <v>5</v>
      </c>
      <c r="C6056" s="12">
        <v>0.0267379679144385</v>
      </c>
      <c r="D6056" s="265">
        <v>0.0512820512820513</v>
      </c>
      <c r="E6056" s="265">
        <v>0.0256410256410256</v>
      </c>
      <c r="F6056" s="265">
        <v>0.05</v>
      </c>
      <c r="G6056" s="265">
        <v>0.0714285714285714</v>
      </c>
      <c r="H6056" s="265">
        <v>0.0222222222222222</v>
      </c>
      <c r="I6056" s="265">
        <v>0</v>
      </c>
      <c r="J6056" s="265">
        <v>0</v>
      </c>
      <c r="K6056" s="265">
        <v>0.0476190476190476</v>
      </c>
      <c r="L6056" s="265">
        <v>0</v>
      </c>
      <c r="M6056" s="265">
        <v>0.0263157894736842</v>
      </c>
      <c r="N6056" s="265">
        <v>0.03125</v>
      </c>
      <c r="O6056" s="277">
        <v>0.0256410256410256</v>
      </c>
    </row>
    <row r="6057" spans="1:15">
      <c r="A6057" s="266" t="s">
        <v>67</v>
      </c>
      <c r="B6057" s="267" t="s">
        <v>6</v>
      </c>
      <c r="C6057" s="15">
        <v>3</v>
      </c>
      <c r="D6057" s="269">
        <v>1</v>
      </c>
      <c r="E6057" s="269">
        <v>1</v>
      </c>
      <c r="F6057" s="269">
        <v>0</v>
      </c>
      <c r="G6057" s="269">
        <v>0</v>
      </c>
      <c r="H6057" s="269">
        <v>0</v>
      </c>
      <c r="I6057" s="269">
        <v>0</v>
      </c>
      <c r="J6057" s="269">
        <v>0</v>
      </c>
      <c r="K6057" s="269">
        <v>1</v>
      </c>
      <c r="L6057" s="269">
        <v>0</v>
      </c>
      <c r="M6057" s="269">
        <v>0</v>
      </c>
      <c r="N6057" s="269">
        <v>0</v>
      </c>
      <c r="O6057" s="279">
        <v>0</v>
      </c>
    </row>
    <row r="6058" ht="14.25" spans="1:15">
      <c r="A6058" s="270" t="s">
        <v>67</v>
      </c>
      <c r="B6058" s="271" t="s">
        <v>64</v>
      </c>
      <c r="C6058" s="19">
        <v>0.3</v>
      </c>
      <c r="D6058" s="272">
        <v>0.5</v>
      </c>
      <c r="E6058" s="272">
        <v>1</v>
      </c>
      <c r="F6058" s="272">
        <v>0</v>
      </c>
      <c r="G6058" s="272">
        <v>0</v>
      </c>
      <c r="H6058" s="272">
        <v>0</v>
      </c>
      <c r="I6058" s="272">
        <v>0</v>
      </c>
      <c r="J6058" s="272">
        <v>0</v>
      </c>
      <c r="K6058" s="272">
        <v>1</v>
      </c>
      <c r="L6058" s="272">
        <v>0</v>
      </c>
      <c r="M6058" s="272">
        <v>0</v>
      </c>
      <c r="N6058" s="272">
        <v>0</v>
      </c>
      <c r="O6058" s="280">
        <v>0</v>
      </c>
    </row>
    <row r="6059" spans="1:15">
      <c r="A6059" s="263" t="s">
        <v>68</v>
      </c>
      <c r="B6059" s="264" t="s">
        <v>55</v>
      </c>
      <c r="C6059" s="12">
        <v>0.12579415501906</v>
      </c>
      <c r="D6059" s="265">
        <v>0.115384615384615</v>
      </c>
      <c r="E6059" s="265">
        <v>0.178947368421053</v>
      </c>
      <c r="F6059" s="265">
        <v>0.197674418604651</v>
      </c>
      <c r="G6059" s="265">
        <v>0.181395348837209</v>
      </c>
      <c r="H6059" s="265">
        <v>0.0983606557377049</v>
      </c>
      <c r="I6059" s="265">
        <v>0.095166163141994</v>
      </c>
      <c r="J6059" s="265">
        <v>0.0828804347826087</v>
      </c>
      <c r="K6059" s="265">
        <v>0.0804701627486438</v>
      </c>
      <c r="L6059" s="265">
        <v>0.112860892388451</v>
      </c>
      <c r="M6059" s="265">
        <v>0.270833333333333</v>
      </c>
      <c r="N6059" s="265">
        <v>0.252</v>
      </c>
      <c r="O6059" s="277">
        <v>0.248299319727891</v>
      </c>
    </row>
    <row r="6060" spans="1:15">
      <c r="A6060" s="266" t="s">
        <v>68</v>
      </c>
      <c r="B6060" s="267" t="s">
        <v>57</v>
      </c>
      <c r="C6060" s="15">
        <v>5509</v>
      </c>
      <c r="D6060" s="268">
        <v>442</v>
      </c>
      <c r="E6060" s="268">
        <v>190</v>
      </c>
      <c r="F6060" s="268">
        <v>172</v>
      </c>
      <c r="G6060" s="268">
        <v>215</v>
      </c>
      <c r="H6060" s="268">
        <v>488</v>
      </c>
      <c r="I6060" s="268">
        <v>662</v>
      </c>
      <c r="J6060" s="268">
        <v>736</v>
      </c>
      <c r="K6060" s="268">
        <v>1106</v>
      </c>
      <c r="L6060" s="268">
        <v>762</v>
      </c>
      <c r="M6060" s="268">
        <v>192</v>
      </c>
      <c r="N6060" s="268">
        <v>250</v>
      </c>
      <c r="O6060" s="278">
        <v>294</v>
      </c>
    </row>
    <row r="6061" spans="1:15">
      <c r="A6061" s="263" t="s">
        <v>68</v>
      </c>
      <c r="B6061" s="264" t="s">
        <v>59</v>
      </c>
      <c r="C6061" s="15">
        <v>693</v>
      </c>
      <c r="D6061" s="268">
        <v>51</v>
      </c>
      <c r="E6061" s="268">
        <v>34</v>
      </c>
      <c r="F6061" s="268">
        <v>34</v>
      </c>
      <c r="G6061" s="268">
        <v>39</v>
      </c>
      <c r="H6061" s="268">
        <v>48</v>
      </c>
      <c r="I6061" s="268">
        <v>63</v>
      </c>
      <c r="J6061" s="268">
        <v>61</v>
      </c>
      <c r="K6061" s="268">
        <v>89</v>
      </c>
      <c r="L6061" s="268">
        <v>86</v>
      </c>
      <c r="M6061" s="268">
        <v>52</v>
      </c>
      <c r="N6061" s="268">
        <v>63</v>
      </c>
      <c r="O6061" s="278">
        <v>73</v>
      </c>
    </row>
    <row r="6062" spans="1:15">
      <c r="A6062" s="266" t="s">
        <v>68</v>
      </c>
      <c r="B6062" s="267" t="s">
        <v>4</v>
      </c>
      <c r="C6062" s="15">
        <v>33</v>
      </c>
      <c r="D6062" s="269">
        <v>2</v>
      </c>
      <c r="E6062" s="269">
        <v>3</v>
      </c>
      <c r="F6062" s="269">
        <v>0</v>
      </c>
      <c r="G6062" s="269">
        <v>3</v>
      </c>
      <c r="H6062" s="269">
        <v>2</v>
      </c>
      <c r="I6062" s="269">
        <v>1</v>
      </c>
      <c r="J6062" s="269">
        <v>3</v>
      </c>
      <c r="K6062" s="269">
        <v>6</v>
      </c>
      <c r="L6062" s="269">
        <v>3</v>
      </c>
      <c r="M6062" s="269">
        <v>2</v>
      </c>
      <c r="N6062" s="269">
        <v>5</v>
      </c>
      <c r="O6062" s="279">
        <v>3</v>
      </c>
    </row>
    <row r="6063" spans="1:15">
      <c r="A6063" s="263" t="s">
        <v>68</v>
      </c>
      <c r="B6063" s="264" t="s">
        <v>5</v>
      </c>
      <c r="C6063" s="12">
        <v>0.0476190476190476</v>
      </c>
      <c r="D6063" s="265">
        <v>0.0392156862745098</v>
      </c>
      <c r="E6063" s="265">
        <v>0.0882352941176471</v>
      </c>
      <c r="F6063" s="265">
        <v>0</v>
      </c>
      <c r="G6063" s="265">
        <v>0.0769230769230769</v>
      </c>
      <c r="H6063" s="265">
        <v>0.0416666666666667</v>
      </c>
      <c r="I6063" s="265">
        <v>0.0158730158730159</v>
      </c>
      <c r="J6063" s="265">
        <v>0.0491803278688525</v>
      </c>
      <c r="K6063" s="265">
        <v>0.0674157303370786</v>
      </c>
      <c r="L6063" s="265">
        <v>0.0348837209302326</v>
      </c>
      <c r="M6063" s="265">
        <v>0.0384615384615385</v>
      </c>
      <c r="N6063" s="265">
        <v>0.0793650793650794</v>
      </c>
      <c r="O6063" s="277">
        <v>0.0410958904109589</v>
      </c>
    </row>
    <row r="6064" spans="1:15">
      <c r="A6064" s="266" t="s">
        <v>68</v>
      </c>
      <c r="B6064" s="267" t="s">
        <v>6</v>
      </c>
      <c r="C6064" s="15">
        <v>11</v>
      </c>
      <c r="D6064" s="269">
        <v>1</v>
      </c>
      <c r="E6064" s="269">
        <v>0</v>
      </c>
      <c r="F6064" s="269">
        <v>0</v>
      </c>
      <c r="G6064" s="269">
        <v>1</v>
      </c>
      <c r="H6064" s="269">
        <v>1</v>
      </c>
      <c r="I6064" s="269">
        <v>1</v>
      </c>
      <c r="J6064" s="269">
        <v>0</v>
      </c>
      <c r="K6064" s="269">
        <v>1</v>
      </c>
      <c r="L6064" s="269">
        <v>0</v>
      </c>
      <c r="M6064" s="269">
        <v>3</v>
      </c>
      <c r="N6064" s="269">
        <v>2</v>
      </c>
      <c r="O6064" s="279">
        <v>1</v>
      </c>
    </row>
    <row r="6065" ht="14.25" spans="1:15">
      <c r="A6065" s="270" t="s">
        <v>68</v>
      </c>
      <c r="B6065" s="271" t="s">
        <v>64</v>
      </c>
      <c r="C6065" s="19">
        <v>0.333333333333333</v>
      </c>
      <c r="D6065" s="272">
        <v>0.5</v>
      </c>
      <c r="E6065" s="272">
        <v>0</v>
      </c>
      <c r="F6065" s="272">
        <v>0</v>
      </c>
      <c r="G6065" s="272">
        <v>0.333333333333333</v>
      </c>
      <c r="H6065" s="272">
        <v>0.5</v>
      </c>
      <c r="I6065" s="272">
        <v>1</v>
      </c>
      <c r="J6065" s="272">
        <v>0</v>
      </c>
      <c r="K6065" s="272">
        <v>0.166666666666667</v>
      </c>
      <c r="L6065" s="272">
        <v>0</v>
      </c>
      <c r="M6065" s="272">
        <v>1.5</v>
      </c>
      <c r="N6065" s="272">
        <v>0.4</v>
      </c>
      <c r="O6065" s="280">
        <v>0.333333333333333</v>
      </c>
    </row>
    <row r="6066" spans="1:15">
      <c r="A6066" s="263" t="s">
        <v>69</v>
      </c>
      <c r="B6066" s="264" t="s">
        <v>55</v>
      </c>
      <c r="C6066" s="12">
        <v>1.37022900763359</v>
      </c>
      <c r="D6066" s="265">
        <v>1.51515151515152</v>
      </c>
      <c r="E6066" s="265">
        <v>1</v>
      </c>
      <c r="F6066" s="265">
        <v>1.33333333333333</v>
      </c>
      <c r="G6066" s="265">
        <v>2.57142857142857</v>
      </c>
      <c r="H6066" s="265">
        <v>1.47368421052632</v>
      </c>
      <c r="I6066" s="265">
        <v>1.75</v>
      </c>
      <c r="J6066" s="265">
        <v>1.66666666666667</v>
      </c>
      <c r="K6066" s="265">
        <v>4.66666666666667</v>
      </c>
      <c r="L6066" s="265">
        <v>1.48</v>
      </c>
      <c r="M6066" s="265">
        <v>1.02941176470588</v>
      </c>
      <c r="N6066" s="265">
        <v>1.09677419354839</v>
      </c>
      <c r="O6066" s="277">
        <v>1</v>
      </c>
    </row>
    <row r="6067" spans="1:15">
      <c r="A6067" s="266" t="s">
        <v>69</v>
      </c>
      <c r="B6067" s="267" t="s">
        <v>57</v>
      </c>
      <c r="C6067" s="15">
        <v>262</v>
      </c>
      <c r="D6067" s="268">
        <v>33</v>
      </c>
      <c r="E6067" s="268">
        <v>18</v>
      </c>
      <c r="F6067" s="268">
        <v>12</v>
      </c>
      <c r="G6067" s="268">
        <v>7</v>
      </c>
      <c r="H6067" s="268">
        <v>19</v>
      </c>
      <c r="I6067" s="268">
        <v>20</v>
      </c>
      <c r="J6067" s="268">
        <v>21</v>
      </c>
      <c r="K6067" s="268">
        <v>3</v>
      </c>
      <c r="L6067" s="268">
        <v>25</v>
      </c>
      <c r="M6067" s="268">
        <v>34</v>
      </c>
      <c r="N6067" s="268">
        <v>31</v>
      </c>
      <c r="O6067" s="278">
        <v>39</v>
      </c>
    </row>
    <row r="6068" spans="1:15">
      <c r="A6068" s="263" t="s">
        <v>69</v>
      </c>
      <c r="B6068" s="264" t="s">
        <v>59</v>
      </c>
      <c r="C6068" s="15">
        <v>359</v>
      </c>
      <c r="D6068" s="268">
        <v>50</v>
      </c>
      <c r="E6068" s="268">
        <v>18</v>
      </c>
      <c r="F6068" s="268">
        <v>16</v>
      </c>
      <c r="G6068" s="268">
        <v>18</v>
      </c>
      <c r="H6068" s="268">
        <v>28</v>
      </c>
      <c r="I6068" s="268">
        <v>35</v>
      </c>
      <c r="J6068" s="268">
        <v>35</v>
      </c>
      <c r="K6068" s="268">
        <v>14</v>
      </c>
      <c r="L6068" s="268">
        <v>37</v>
      </c>
      <c r="M6068" s="268">
        <v>35</v>
      </c>
      <c r="N6068" s="268">
        <v>34</v>
      </c>
      <c r="O6068" s="278">
        <v>39</v>
      </c>
    </row>
    <row r="6069" spans="1:15">
      <c r="A6069" s="266" t="s">
        <v>69</v>
      </c>
      <c r="B6069" s="267" t="s">
        <v>4</v>
      </c>
      <c r="C6069" s="15">
        <v>8</v>
      </c>
      <c r="D6069" s="269">
        <v>0</v>
      </c>
      <c r="E6069" s="269">
        <v>1</v>
      </c>
      <c r="F6069" s="269">
        <v>0</v>
      </c>
      <c r="G6069" s="269">
        <v>1</v>
      </c>
      <c r="H6069" s="269">
        <v>1</v>
      </c>
      <c r="I6069" s="269">
        <v>1</v>
      </c>
      <c r="J6069" s="269">
        <v>0</v>
      </c>
      <c r="K6069" s="269">
        <v>1</v>
      </c>
      <c r="L6069" s="269">
        <v>0</v>
      </c>
      <c r="M6069" s="269">
        <v>2</v>
      </c>
      <c r="N6069" s="269">
        <v>0</v>
      </c>
      <c r="O6069" s="279">
        <v>1</v>
      </c>
    </row>
    <row r="6070" spans="1:15">
      <c r="A6070" s="263" t="s">
        <v>69</v>
      </c>
      <c r="B6070" s="264" t="s">
        <v>5</v>
      </c>
      <c r="C6070" s="12">
        <v>0.0222841225626741</v>
      </c>
      <c r="D6070" s="265">
        <v>0</v>
      </c>
      <c r="E6070" s="265">
        <v>0.0555555555555556</v>
      </c>
      <c r="F6070" s="265">
        <v>0</v>
      </c>
      <c r="G6070" s="265">
        <v>0.0555555555555556</v>
      </c>
      <c r="H6070" s="265">
        <v>0.0357142857142857</v>
      </c>
      <c r="I6070" s="265">
        <v>0.0285714285714286</v>
      </c>
      <c r="J6070" s="265">
        <v>0</v>
      </c>
      <c r="K6070" s="265">
        <v>0.0714285714285714</v>
      </c>
      <c r="L6070" s="265">
        <v>0</v>
      </c>
      <c r="M6070" s="265">
        <v>0.0571428571428571</v>
      </c>
      <c r="N6070" s="265">
        <v>0</v>
      </c>
      <c r="O6070" s="277">
        <v>0.0256410256410256</v>
      </c>
    </row>
    <row r="6071" spans="1:15">
      <c r="A6071" s="266" t="s">
        <v>69</v>
      </c>
      <c r="B6071" s="267" t="s">
        <v>6</v>
      </c>
      <c r="C6071" s="15">
        <v>4</v>
      </c>
      <c r="D6071" s="269">
        <v>0</v>
      </c>
      <c r="E6071" s="269">
        <v>0</v>
      </c>
      <c r="F6071" s="269">
        <v>0</v>
      </c>
      <c r="G6071" s="269">
        <v>0</v>
      </c>
      <c r="H6071" s="269">
        <v>0</v>
      </c>
      <c r="I6071" s="269">
        <v>0</v>
      </c>
      <c r="J6071" s="269">
        <v>0</v>
      </c>
      <c r="K6071" s="269">
        <v>0</v>
      </c>
      <c r="L6071" s="269">
        <v>0</v>
      </c>
      <c r="M6071" s="269">
        <v>1</v>
      </c>
      <c r="N6071" s="269">
        <v>3</v>
      </c>
      <c r="O6071" s="279">
        <v>0</v>
      </c>
    </row>
    <row r="6072" ht="14.25" spans="1:15">
      <c r="A6072" s="270" t="s">
        <v>69</v>
      </c>
      <c r="B6072" s="271" t="s">
        <v>64</v>
      </c>
      <c r="C6072" s="19">
        <v>0.5</v>
      </c>
      <c r="D6072" s="272">
        <v>0</v>
      </c>
      <c r="E6072" s="272">
        <v>0</v>
      </c>
      <c r="F6072" s="272">
        <v>0</v>
      </c>
      <c r="G6072" s="272">
        <v>0</v>
      </c>
      <c r="H6072" s="272">
        <v>0</v>
      </c>
      <c r="I6072" s="272">
        <v>0</v>
      </c>
      <c r="J6072" s="272">
        <v>0</v>
      </c>
      <c r="K6072" s="272">
        <v>0</v>
      </c>
      <c r="L6072" s="272">
        <v>0</v>
      </c>
      <c r="M6072" s="272">
        <v>0.5</v>
      </c>
      <c r="N6072" s="272">
        <v>0</v>
      </c>
      <c r="O6072" s="280">
        <v>0</v>
      </c>
    </row>
    <row r="6073" spans="1:15">
      <c r="A6073" s="263" t="s">
        <v>70</v>
      </c>
      <c r="B6073" s="264" t="s">
        <v>55</v>
      </c>
      <c r="C6073" s="12">
        <v>2.1869918699187</v>
      </c>
      <c r="D6073" s="265">
        <v>2.375</v>
      </c>
      <c r="E6073" s="265">
        <v>2.625</v>
      </c>
      <c r="F6073" s="265">
        <v>1.07142857142857</v>
      </c>
      <c r="G6073" s="265">
        <v>2.57142857142857</v>
      </c>
      <c r="H6073" s="265">
        <v>2.4</v>
      </c>
      <c r="I6073" s="265">
        <v>2.28</v>
      </c>
      <c r="J6073" s="265">
        <v>3.375</v>
      </c>
      <c r="K6073" s="265">
        <v>1.6969696969697</v>
      </c>
      <c r="L6073" s="265">
        <v>1.92592592592593</v>
      </c>
      <c r="M6073" s="265">
        <v>2.40909090909091</v>
      </c>
      <c r="N6073" s="265">
        <v>2.38461538461538</v>
      </c>
      <c r="O6073" s="277">
        <v>1.96551724137931</v>
      </c>
    </row>
    <row r="6074" spans="1:15">
      <c r="A6074" s="266" t="s">
        <v>70</v>
      </c>
      <c r="B6074" s="267" t="s">
        <v>57</v>
      </c>
      <c r="C6074" s="15">
        <v>246</v>
      </c>
      <c r="D6074" s="268">
        <v>24</v>
      </c>
      <c r="E6074" s="268">
        <v>8</v>
      </c>
      <c r="F6074" s="268">
        <v>14</v>
      </c>
      <c r="G6074" s="268">
        <v>7</v>
      </c>
      <c r="H6074" s="268">
        <v>15</v>
      </c>
      <c r="I6074" s="268">
        <v>25</v>
      </c>
      <c r="J6074" s="268">
        <v>16</v>
      </c>
      <c r="K6074" s="268">
        <v>33</v>
      </c>
      <c r="L6074" s="268">
        <v>27</v>
      </c>
      <c r="M6074" s="268">
        <v>22</v>
      </c>
      <c r="N6074" s="268">
        <v>26</v>
      </c>
      <c r="O6074" s="278">
        <v>29</v>
      </c>
    </row>
    <row r="6075" spans="1:15">
      <c r="A6075" s="263" t="s">
        <v>70</v>
      </c>
      <c r="B6075" s="264" t="s">
        <v>59</v>
      </c>
      <c r="C6075" s="15">
        <v>538</v>
      </c>
      <c r="D6075" s="268">
        <v>57</v>
      </c>
      <c r="E6075" s="268">
        <v>21</v>
      </c>
      <c r="F6075" s="268">
        <v>15</v>
      </c>
      <c r="G6075" s="268">
        <v>18</v>
      </c>
      <c r="H6075" s="268">
        <v>36</v>
      </c>
      <c r="I6075" s="268">
        <v>57</v>
      </c>
      <c r="J6075" s="268">
        <v>54</v>
      </c>
      <c r="K6075" s="268">
        <v>56</v>
      </c>
      <c r="L6075" s="268">
        <v>52</v>
      </c>
      <c r="M6075" s="268">
        <v>53</v>
      </c>
      <c r="N6075" s="268">
        <v>62</v>
      </c>
      <c r="O6075" s="278">
        <v>57</v>
      </c>
    </row>
    <row r="6076" spans="1:15">
      <c r="A6076" s="266" t="s">
        <v>70</v>
      </c>
      <c r="B6076" s="267" t="s">
        <v>4</v>
      </c>
      <c r="C6076" s="15">
        <v>4</v>
      </c>
      <c r="D6076" s="269">
        <v>1</v>
      </c>
      <c r="E6076" s="269">
        <v>0</v>
      </c>
      <c r="F6076" s="269">
        <v>0</v>
      </c>
      <c r="G6076" s="269">
        <v>1</v>
      </c>
      <c r="H6076" s="269">
        <v>0</v>
      </c>
      <c r="I6076" s="269">
        <v>1</v>
      </c>
      <c r="J6076" s="269">
        <v>0</v>
      </c>
      <c r="K6076" s="269">
        <v>0</v>
      </c>
      <c r="L6076" s="269">
        <v>0</v>
      </c>
      <c r="M6076" s="269">
        <v>0</v>
      </c>
      <c r="N6076" s="269">
        <v>1</v>
      </c>
      <c r="O6076" s="279">
        <v>0</v>
      </c>
    </row>
    <row r="6077" spans="1:15">
      <c r="A6077" s="263" t="s">
        <v>70</v>
      </c>
      <c r="B6077" s="264" t="s">
        <v>5</v>
      </c>
      <c r="C6077" s="12">
        <v>0.00743494423791822</v>
      </c>
      <c r="D6077" s="265">
        <v>0.0175438596491228</v>
      </c>
      <c r="E6077" s="265">
        <v>0</v>
      </c>
      <c r="F6077" s="265">
        <v>0</v>
      </c>
      <c r="G6077" s="265">
        <v>0.0555555555555556</v>
      </c>
      <c r="H6077" s="265">
        <v>0</v>
      </c>
      <c r="I6077" s="265">
        <v>0.0175438596491228</v>
      </c>
      <c r="J6077" s="265">
        <v>0</v>
      </c>
      <c r="K6077" s="265">
        <v>0</v>
      </c>
      <c r="L6077" s="265">
        <v>0</v>
      </c>
      <c r="M6077" s="265">
        <v>0</v>
      </c>
      <c r="N6077" s="265">
        <v>0.0161290322580645</v>
      </c>
      <c r="O6077" s="277">
        <v>0</v>
      </c>
    </row>
    <row r="6078" spans="1:15">
      <c r="A6078" s="266" t="s">
        <v>70</v>
      </c>
      <c r="B6078" s="267" t="s">
        <v>6</v>
      </c>
      <c r="C6078" s="15">
        <v>2</v>
      </c>
      <c r="D6078" s="269">
        <v>0</v>
      </c>
      <c r="E6078" s="269">
        <v>0</v>
      </c>
      <c r="F6078" s="269">
        <v>0</v>
      </c>
      <c r="G6078" s="269">
        <v>0</v>
      </c>
      <c r="H6078" s="269">
        <v>0</v>
      </c>
      <c r="I6078" s="269">
        <v>1</v>
      </c>
      <c r="J6078" s="269">
        <v>0</v>
      </c>
      <c r="K6078" s="269">
        <v>0</v>
      </c>
      <c r="L6078" s="269">
        <v>0</v>
      </c>
      <c r="M6078" s="269">
        <v>1</v>
      </c>
      <c r="N6078" s="269">
        <v>0</v>
      </c>
      <c r="O6078" s="279">
        <v>0</v>
      </c>
    </row>
    <row r="6079" ht="14.25" spans="1:15">
      <c r="A6079" s="270" t="s">
        <v>70</v>
      </c>
      <c r="B6079" s="271" t="s">
        <v>64</v>
      </c>
      <c r="C6079" s="19">
        <v>0.5</v>
      </c>
      <c r="D6079" s="272">
        <v>0</v>
      </c>
      <c r="E6079" s="272">
        <v>0</v>
      </c>
      <c r="F6079" s="272">
        <v>0</v>
      </c>
      <c r="G6079" s="272">
        <v>0</v>
      </c>
      <c r="H6079" s="272">
        <v>0</v>
      </c>
      <c r="I6079" s="272">
        <v>1</v>
      </c>
      <c r="J6079" s="272">
        <v>0</v>
      </c>
      <c r="K6079" s="272">
        <v>0</v>
      </c>
      <c r="L6079" s="272">
        <v>0</v>
      </c>
      <c r="M6079" s="272">
        <v>0</v>
      </c>
      <c r="N6079" s="272">
        <v>0</v>
      </c>
      <c r="O6079" s="280">
        <v>0</v>
      </c>
    </row>
    <row r="6080" spans="1:15">
      <c r="A6080" s="263" t="s">
        <v>26</v>
      </c>
      <c r="B6080" s="264" t="s">
        <v>55</v>
      </c>
      <c r="C6080" s="12">
        <v>0.851876234364714</v>
      </c>
      <c r="D6080" s="265">
        <v>0.883495145631068</v>
      </c>
      <c r="E6080" s="265">
        <v>0.766666666666667</v>
      </c>
      <c r="F6080" s="265">
        <v>1.08695652173913</v>
      </c>
      <c r="G6080" s="265">
        <v>0.982758620689655</v>
      </c>
      <c r="H6080" s="265">
        <v>0.972222222222222</v>
      </c>
      <c r="I6080" s="265">
        <v>0.72</v>
      </c>
      <c r="J6080" s="265">
        <v>0.83625730994152</v>
      </c>
      <c r="K6080" s="265">
        <v>0.851648351648352</v>
      </c>
      <c r="L6080" s="265">
        <v>0.78494623655914</v>
      </c>
      <c r="M6080" s="265">
        <v>0.9375</v>
      </c>
      <c r="N6080" s="265">
        <v>0.869230769230769</v>
      </c>
      <c r="O6080" s="277">
        <v>0.812182741116751</v>
      </c>
    </row>
    <row r="6081" spans="1:15">
      <c r="A6081" s="266" t="s">
        <v>26</v>
      </c>
      <c r="B6081" s="267" t="s">
        <v>57</v>
      </c>
      <c r="C6081" s="15">
        <v>1519</v>
      </c>
      <c r="D6081" s="268">
        <v>103</v>
      </c>
      <c r="E6081" s="268">
        <v>60</v>
      </c>
      <c r="F6081" s="268">
        <v>46</v>
      </c>
      <c r="G6081" s="268">
        <v>58</v>
      </c>
      <c r="H6081" s="268">
        <v>108</v>
      </c>
      <c r="I6081" s="268">
        <v>150</v>
      </c>
      <c r="J6081" s="268">
        <v>171</v>
      </c>
      <c r="K6081" s="268">
        <v>182</v>
      </c>
      <c r="L6081" s="268">
        <v>186</v>
      </c>
      <c r="M6081" s="268">
        <v>128</v>
      </c>
      <c r="N6081" s="268">
        <v>130</v>
      </c>
      <c r="O6081" s="278">
        <v>197</v>
      </c>
    </row>
    <row r="6082" spans="1:15">
      <c r="A6082" s="263" t="s">
        <v>26</v>
      </c>
      <c r="B6082" s="264" t="s">
        <v>59</v>
      </c>
      <c r="C6082" s="15">
        <v>1294</v>
      </c>
      <c r="D6082" s="268">
        <v>91</v>
      </c>
      <c r="E6082" s="268">
        <v>46</v>
      </c>
      <c r="F6082" s="268">
        <v>50</v>
      </c>
      <c r="G6082" s="268">
        <v>57</v>
      </c>
      <c r="H6082" s="268">
        <v>105</v>
      </c>
      <c r="I6082" s="268">
        <v>108</v>
      </c>
      <c r="J6082" s="268">
        <v>143</v>
      </c>
      <c r="K6082" s="268">
        <v>155</v>
      </c>
      <c r="L6082" s="268">
        <v>146</v>
      </c>
      <c r="M6082" s="268">
        <v>120</v>
      </c>
      <c r="N6082" s="268">
        <v>113</v>
      </c>
      <c r="O6082" s="278">
        <v>160</v>
      </c>
    </row>
    <row r="6083" spans="1:15">
      <c r="A6083" s="266" t="s">
        <v>26</v>
      </c>
      <c r="B6083" s="267" t="s">
        <v>4</v>
      </c>
      <c r="C6083" s="15">
        <v>14</v>
      </c>
      <c r="D6083" s="269">
        <v>2</v>
      </c>
      <c r="E6083" s="269">
        <v>1</v>
      </c>
      <c r="F6083" s="269">
        <v>0</v>
      </c>
      <c r="G6083" s="269">
        <v>1</v>
      </c>
      <c r="H6083" s="269">
        <v>1</v>
      </c>
      <c r="I6083" s="269">
        <v>0</v>
      </c>
      <c r="J6083" s="269">
        <v>1</v>
      </c>
      <c r="K6083" s="269">
        <v>2</v>
      </c>
      <c r="L6083" s="269">
        <v>3</v>
      </c>
      <c r="M6083" s="269">
        <v>0</v>
      </c>
      <c r="N6083" s="269">
        <v>0</v>
      </c>
      <c r="O6083" s="279">
        <v>3</v>
      </c>
    </row>
    <row r="6084" spans="1:15">
      <c r="A6084" s="263" t="s">
        <v>26</v>
      </c>
      <c r="B6084" s="264" t="s">
        <v>5</v>
      </c>
      <c r="C6084" s="12">
        <v>0.0108191653786708</v>
      </c>
      <c r="D6084" s="265">
        <v>0.021978021978022</v>
      </c>
      <c r="E6084" s="265">
        <v>0.0217391304347826</v>
      </c>
      <c r="F6084" s="265">
        <v>0</v>
      </c>
      <c r="G6084" s="265">
        <v>0.0175438596491228</v>
      </c>
      <c r="H6084" s="265">
        <v>0.00952380952380952</v>
      </c>
      <c r="I6084" s="265">
        <v>0</v>
      </c>
      <c r="J6084" s="265">
        <v>0.00699300699300699</v>
      </c>
      <c r="K6084" s="265">
        <v>0.0129032258064516</v>
      </c>
      <c r="L6084" s="265">
        <v>0.0205479452054795</v>
      </c>
      <c r="M6084" s="265">
        <v>0</v>
      </c>
      <c r="N6084" s="265">
        <v>0</v>
      </c>
      <c r="O6084" s="277">
        <v>0.01875</v>
      </c>
    </row>
    <row r="6085" spans="1:15">
      <c r="A6085" s="266" t="s">
        <v>26</v>
      </c>
      <c r="B6085" s="267" t="s">
        <v>6</v>
      </c>
      <c r="C6085" s="15">
        <v>1</v>
      </c>
      <c r="D6085" s="269">
        <v>0</v>
      </c>
      <c r="E6085" s="269">
        <v>0</v>
      </c>
      <c r="F6085" s="269">
        <v>0</v>
      </c>
      <c r="G6085" s="269">
        <v>0</v>
      </c>
      <c r="H6085" s="269">
        <v>0</v>
      </c>
      <c r="I6085" s="269">
        <v>0</v>
      </c>
      <c r="J6085" s="269">
        <v>0</v>
      </c>
      <c r="K6085" s="269">
        <v>1</v>
      </c>
      <c r="L6085" s="269">
        <v>0</v>
      </c>
      <c r="M6085" s="269">
        <v>0</v>
      </c>
      <c r="N6085" s="269">
        <v>0</v>
      </c>
      <c r="O6085" s="279">
        <v>0</v>
      </c>
    </row>
    <row r="6086" ht="14.25" spans="1:15">
      <c r="A6086" s="270" t="s">
        <v>26</v>
      </c>
      <c r="B6086" s="271" t="s">
        <v>64</v>
      </c>
      <c r="C6086" s="19">
        <v>0.0714285714285714</v>
      </c>
      <c r="D6086" s="19">
        <v>0</v>
      </c>
      <c r="E6086" s="19">
        <v>0</v>
      </c>
      <c r="F6086" s="19" t="e">
        <v>#DIV/0!</v>
      </c>
      <c r="G6086" s="19">
        <v>0</v>
      </c>
      <c r="H6086" s="19">
        <v>0</v>
      </c>
      <c r="I6086" s="19" t="e">
        <v>#DIV/0!</v>
      </c>
      <c r="J6086" s="19">
        <v>0</v>
      </c>
      <c r="K6086" s="19">
        <v>0.5</v>
      </c>
      <c r="L6086" s="19">
        <v>0</v>
      </c>
      <c r="M6086" s="19" t="e">
        <v>#DIV/0!</v>
      </c>
      <c r="N6086" s="19" t="e">
        <v>#DIV/0!</v>
      </c>
      <c r="O6086" s="19">
        <v>0</v>
      </c>
    </row>
    <row r="6087" spans="1:15">
      <c r="A6087" s="263" t="s">
        <v>71</v>
      </c>
      <c r="B6087" s="264" t="s">
        <v>55</v>
      </c>
      <c r="C6087" s="12">
        <v>317</v>
      </c>
      <c r="D6087" s="265">
        <v>31</v>
      </c>
      <c r="E6087" s="265" t="e">
        <v>#DIV/0!</v>
      </c>
      <c r="F6087" s="265">
        <v>29</v>
      </c>
      <c r="G6087" s="265" t="e">
        <v>#DIV/0!</v>
      </c>
      <c r="H6087" s="265" t="e">
        <v>#DIV/0!</v>
      </c>
      <c r="I6087" s="265" t="e">
        <v>#DIV/0!</v>
      </c>
      <c r="J6087" s="265" t="e">
        <v>#DIV/0!</v>
      </c>
      <c r="K6087" s="265" t="e">
        <v>#DIV/0!</v>
      </c>
      <c r="L6087" s="265" t="e">
        <v>#DIV/0!</v>
      </c>
      <c r="M6087" s="265" t="e">
        <v>#DIV/0!</v>
      </c>
      <c r="N6087" s="265" t="e">
        <v>#DIV/0!</v>
      </c>
      <c r="O6087" s="265" t="e">
        <v>#DIV/0!</v>
      </c>
    </row>
    <row r="6088" spans="1:15">
      <c r="A6088" s="266" t="s">
        <v>71</v>
      </c>
      <c r="B6088" s="267" t="s">
        <v>57</v>
      </c>
      <c r="C6088" s="15">
        <v>2</v>
      </c>
      <c r="D6088" s="268">
        <v>1</v>
      </c>
      <c r="E6088" s="268">
        <v>0</v>
      </c>
      <c r="F6088" s="268">
        <v>1</v>
      </c>
      <c r="G6088" s="268">
        <v>0</v>
      </c>
      <c r="H6088" s="268">
        <v>0</v>
      </c>
      <c r="I6088" s="268">
        <v>0</v>
      </c>
      <c r="J6088" s="268">
        <v>0</v>
      </c>
      <c r="K6088" s="268">
        <v>0</v>
      </c>
      <c r="L6088" s="268">
        <v>0</v>
      </c>
      <c r="M6088" s="268">
        <v>0</v>
      </c>
      <c r="N6088" s="268">
        <v>0</v>
      </c>
      <c r="O6088" s="278">
        <v>0</v>
      </c>
    </row>
    <row r="6089" spans="1:15">
      <c r="A6089" s="263" t="s">
        <v>71</v>
      </c>
      <c r="B6089" s="264" t="s">
        <v>59</v>
      </c>
      <c r="C6089" s="15">
        <v>634</v>
      </c>
      <c r="D6089" s="268">
        <v>31</v>
      </c>
      <c r="E6089" s="268">
        <v>37</v>
      </c>
      <c r="F6089" s="268">
        <v>29</v>
      </c>
      <c r="G6089" s="268">
        <v>39</v>
      </c>
      <c r="H6089" s="268">
        <v>42</v>
      </c>
      <c r="I6089" s="268">
        <v>65</v>
      </c>
      <c r="J6089" s="268">
        <v>53</v>
      </c>
      <c r="K6089" s="268">
        <v>30</v>
      </c>
      <c r="L6089" s="268">
        <v>69</v>
      </c>
      <c r="M6089" s="268">
        <v>87</v>
      </c>
      <c r="N6089" s="268">
        <v>77</v>
      </c>
      <c r="O6089" s="278">
        <v>75</v>
      </c>
    </row>
    <row r="6090" spans="1:15">
      <c r="A6090" s="266" t="s">
        <v>71</v>
      </c>
      <c r="B6090" s="267" t="s">
        <v>4</v>
      </c>
      <c r="C6090" s="15">
        <v>36</v>
      </c>
      <c r="D6090" s="269">
        <v>1</v>
      </c>
      <c r="E6090" s="269">
        <v>1</v>
      </c>
      <c r="F6090" s="269">
        <v>2</v>
      </c>
      <c r="G6090" s="269">
        <v>3</v>
      </c>
      <c r="H6090" s="269">
        <v>2</v>
      </c>
      <c r="I6090" s="269">
        <v>2</v>
      </c>
      <c r="J6090" s="269">
        <v>1</v>
      </c>
      <c r="K6090" s="269">
        <v>1</v>
      </c>
      <c r="L6090" s="269">
        <v>7</v>
      </c>
      <c r="M6090" s="269">
        <v>7</v>
      </c>
      <c r="N6090" s="269">
        <v>3</v>
      </c>
      <c r="O6090" s="279">
        <v>6</v>
      </c>
    </row>
    <row r="6091" spans="1:15">
      <c r="A6091" s="263" t="s">
        <v>71</v>
      </c>
      <c r="B6091" s="264" t="s">
        <v>5</v>
      </c>
      <c r="C6091" s="265">
        <v>0.056782334384858</v>
      </c>
      <c r="D6091" s="265">
        <v>0.032258064516129</v>
      </c>
      <c r="E6091" s="265">
        <v>0.027027027027027</v>
      </c>
      <c r="F6091" s="265">
        <v>0.0689655172413793</v>
      </c>
      <c r="G6091" s="265">
        <v>0.0769230769230769</v>
      </c>
      <c r="H6091" s="265">
        <v>0.0476190476190476</v>
      </c>
      <c r="I6091" s="265">
        <v>0.0307692307692308</v>
      </c>
      <c r="J6091" s="265">
        <v>0.0188679245283019</v>
      </c>
      <c r="K6091" s="265">
        <v>0.0333333333333333</v>
      </c>
      <c r="L6091" s="265">
        <v>0.101449275362319</v>
      </c>
      <c r="M6091" s="265">
        <v>0.0804597701149425</v>
      </c>
      <c r="N6091" s="265">
        <v>0.038961038961039</v>
      </c>
      <c r="O6091" s="277">
        <v>0.08</v>
      </c>
    </row>
    <row r="6092" spans="1:15">
      <c r="A6092" s="266" t="s">
        <v>71</v>
      </c>
      <c r="B6092" s="267" t="s">
        <v>6</v>
      </c>
      <c r="C6092" s="15">
        <v>13</v>
      </c>
      <c r="D6092" s="269">
        <v>0</v>
      </c>
      <c r="E6092" s="269">
        <v>1</v>
      </c>
      <c r="F6092" s="269">
        <v>0</v>
      </c>
      <c r="G6092" s="269">
        <v>0</v>
      </c>
      <c r="H6092" s="269">
        <v>1</v>
      </c>
      <c r="I6092" s="269">
        <v>1</v>
      </c>
      <c r="J6092" s="269">
        <v>1</v>
      </c>
      <c r="K6092" s="269">
        <v>1</v>
      </c>
      <c r="L6092" s="269">
        <v>3</v>
      </c>
      <c r="M6092" s="269">
        <v>1</v>
      </c>
      <c r="N6092" s="269">
        <v>1</v>
      </c>
      <c r="O6092" s="279">
        <v>3</v>
      </c>
    </row>
    <row r="6093" ht="14.25" spans="1:15">
      <c r="A6093" s="270" t="s">
        <v>71</v>
      </c>
      <c r="B6093" s="271" t="s">
        <v>64</v>
      </c>
      <c r="C6093" s="19">
        <v>0.361111111111111</v>
      </c>
      <c r="D6093" s="19">
        <v>0</v>
      </c>
      <c r="E6093" s="19">
        <v>1</v>
      </c>
      <c r="F6093" s="19">
        <v>0</v>
      </c>
      <c r="G6093" s="19">
        <v>0</v>
      </c>
      <c r="H6093" s="19">
        <v>0.5</v>
      </c>
      <c r="I6093" s="19">
        <v>0.5</v>
      </c>
      <c r="J6093" s="19">
        <v>1</v>
      </c>
      <c r="K6093" s="19">
        <v>1</v>
      </c>
      <c r="L6093" s="19">
        <v>0.428571428571429</v>
      </c>
      <c r="M6093" s="19">
        <v>0.142857142857143</v>
      </c>
      <c r="N6093" s="19">
        <v>0.333333333333333</v>
      </c>
      <c r="O6093" s="19">
        <v>0.5</v>
      </c>
    </row>
    <row r="6094" spans="1:15">
      <c r="A6094" s="263" t="s">
        <v>72</v>
      </c>
      <c r="B6094" s="264" t="s">
        <v>55</v>
      </c>
      <c r="C6094" s="12">
        <v>0.142342342342342</v>
      </c>
      <c r="D6094" s="265">
        <v>0.126315789473684</v>
      </c>
      <c r="E6094" s="265">
        <v>0.105263157894737</v>
      </c>
      <c r="F6094" s="265">
        <v>0.148648648648649</v>
      </c>
      <c r="G6094" s="265">
        <v>0.170940170940171</v>
      </c>
      <c r="H6094" s="265">
        <v>0.172413793103448</v>
      </c>
      <c r="I6094" s="265">
        <v>0.163636363636364</v>
      </c>
      <c r="J6094" s="265">
        <v>0.09</v>
      </c>
      <c r="K6094" s="265">
        <v>0.148148148148148</v>
      </c>
      <c r="L6094" s="265">
        <v>0.20873786407767</v>
      </c>
      <c r="M6094" s="265">
        <v>0.14367816091954</v>
      </c>
      <c r="N6094" s="265">
        <v>0.131901840490798</v>
      </c>
      <c r="O6094" s="277">
        <v>0.124087591240876</v>
      </c>
    </row>
    <row r="6095" spans="1:15">
      <c r="A6095" s="266" t="s">
        <v>72</v>
      </c>
      <c r="B6095" s="267" t="s">
        <v>57</v>
      </c>
      <c r="C6095" s="15">
        <v>2220</v>
      </c>
      <c r="D6095" s="268">
        <v>190</v>
      </c>
      <c r="E6095" s="268">
        <v>133</v>
      </c>
      <c r="F6095" s="268">
        <v>74</v>
      </c>
      <c r="G6095" s="268">
        <v>117</v>
      </c>
      <c r="H6095" s="268">
        <v>145</v>
      </c>
      <c r="I6095" s="268">
        <v>165</v>
      </c>
      <c r="J6095" s="268">
        <v>200</v>
      </c>
      <c r="K6095" s="268">
        <v>216</v>
      </c>
      <c r="L6095" s="268">
        <v>206</v>
      </c>
      <c r="M6095" s="268">
        <v>174</v>
      </c>
      <c r="N6095" s="268">
        <v>326</v>
      </c>
      <c r="O6095" s="278">
        <v>274</v>
      </c>
    </row>
    <row r="6096" spans="1:15">
      <c r="A6096" s="263" t="s">
        <v>72</v>
      </c>
      <c r="B6096" s="264" t="s">
        <v>59</v>
      </c>
      <c r="C6096" s="15">
        <v>316</v>
      </c>
      <c r="D6096" s="268">
        <v>24</v>
      </c>
      <c r="E6096" s="268">
        <v>14</v>
      </c>
      <c r="F6096" s="268">
        <v>11</v>
      </c>
      <c r="G6096" s="268">
        <v>20</v>
      </c>
      <c r="H6096" s="268">
        <v>25</v>
      </c>
      <c r="I6096" s="268">
        <v>27</v>
      </c>
      <c r="J6096" s="268">
        <v>18</v>
      </c>
      <c r="K6096" s="268">
        <v>32</v>
      </c>
      <c r="L6096" s="268">
        <v>43</v>
      </c>
      <c r="M6096" s="268">
        <v>25</v>
      </c>
      <c r="N6096" s="268">
        <v>43</v>
      </c>
      <c r="O6096" s="278">
        <v>34</v>
      </c>
    </row>
    <row r="6097" spans="1:15">
      <c r="A6097" s="266" t="s">
        <v>72</v>
      </c>
      <c r="B6097" s="267" t="s">
        <v>4</v>
      </c>
      <c r="C6097" s="15">
        <v>10</v>
      </c>
      <c r="D6097" s="269">
        <v>0</v>
      </c>
      <c r="E6097" s="269">
        <v>1</v>
      </c>
      <c r="F6097" s="269">
        <v>0</v>
      </c>
      <c r="G6097" s="269">
        <v>2</v>
      </c>
      <c r="H6097" s="269">
        <v>2</v>
      </c>
      <c r="I6097" s="269">
        <v>0</v>
      </c>
      <c r="J6097" s="269">
        <v>0</v>
      </c>
      <c r="K6097" s="269">
        <v>2</v>
      </c>
      <c r="L6097" s="269">
        <v>0</v>
      </c>
      <c r="M6097" s="269">
        <v>0</v>
      </c>
      <c r="N6097" s="269">
        <v>0</v>
      </c>
      <c r="O6097" s="279">
        <v>3</v>
      </c>
    </row>
    <row r="6098" spans="1:15">
      <c r="A6098" s="263" t="s">
        <v>72</v>
      </c>
      <c r="B6098" s="264" t="s">
        <v>5</v>
      </c>
      <c r="C6098" s="12">
        <v>0.0316455696202532</v>
      </c>
      <c r="D6098" s="265">
        <v>0</v>
      </c>
      <c r="E6098" s="265">
        <v>0.0714285714285714</v>
      </c>
      <c r="F6098" s="265">
        <v>0</v>
      </c>
      <c r="G6098" s="265">
        <v>0.1</v>
      </c>
      <c r="H6098" s="265">
        <v>0.08</v>
      </c>
      <c r="I6098" s="265">
        <v>0</v>
      </c>
      <c r="J6098" s="265">
        <v>0</v>
      </c>
      <c r="K6098" s="265">
        <v>0.0625</v>
      </c>
      <c r="L6098" s="265">
        <v>0</v>
      </c>
      <c r="M6098" s="265">
        <v>0</v>
      </c>
      <c r="N6098" s="265">
        <v>0</v>
      </c>
      <c r="O6098" s="277">
        <v>0.0882352941176471</v>
      </c>
    </row>
    <row r="6099" spans="1:15">
      <c r="A6099" s="266" t="s">
        <v>72</v>
      </c>
      <c r="B6099" s="267" t="s">
        <v>6</v>
      </c>
      <c r="C6099" s="15">
        <v>2</v>
      </c>
      <c r="D6099" s="269">
        <v>0</v>
      </c>
      <c r="E6099" s="269">
        <v>0</v>
      </c>
      <c r="F6099" s="269">
        <v>0</v>
      </c>
      <c r="G6099" s="269">
        <v>0</v>
      </c>
      <c r="H6099" s="269">
        <v>0</v>
      </c>
      <c r="I6099" s="269">
        <v>0</v>
      </c>
      <c r="J6099" s="269">
        <v>0</v>
      </c>
      <c r="K6099" s="269">
        <v>0</v>
      </c>
      <c r="L6099" s="269">
        <v>0</v>
      </c>
      <c r="M6099" s="269">
        <v>0</v>
      </c>
      <c r="N6099" s="269">
        <v>0</v>
      </c>
      <c r="O6099" s="279">
        <v>2</v>
      </c>
    </row>
    <row r="6100" ht="14.25" spans="1:15">
      <c r="A6100" s="270" t="s">
        <v>72</v>
      </c>
      <c r="B6100" s="271" t="s">
        <v>64</v>
      </c>
      <c r="C6100" s="19">
        <v>0.2</v>
      </c>
      <c r="D6100" s="19" t="e">
        <v>#DIV/0!</v>
      </c>
      <c r="E6100" s="19">
        <v>0</v>
      </c>
      <c r="F6100" s="19" t="e">
        <v>#DIV/0!</v>
      </c>
      <c r="G6100" s="19">
        <v>0</v>
      </c>
      <c r="H6100" s="19">
        <v>0</v>
      </c>
      <c r="I6100" s="19" t="e">
        <v>#DIV/0!</v>
      </c>
      <c r="J6100" s="19" t="e">
        <v>#DIV/0!</v>
      </c>
      <c r="K6100" s="19">
        <v>0</v>
      </c>
      <c r="L6100" s="19" t="e">
        <v>#DIV/0!</v>
      </c>
      <c r="M6100" s="19" t="e">
        <v>#DIV/0!</v>
      </c>
      <c r="N6100" s="19" t="e">
        <v>#DIV/0!</v>
      </c>
      <c r="O6100" s="19">
        <v>0.666666666666667</v>
      </c>
    </row>
    <row r="6101" ht="14.25" spans="1:15">
      <c r="A6101" s="259">
        <v>45113</v>
      </c>
      <c r="B6101" s="259"/>
      <c r="C6101" s="259"/>
      <c r="D6101" s="259"/>
      <c r="E6101" s="259"/>
      <c r="F6101" s="259"/>
      <c r="G6101" s="259"/>
      <c r="H6101" s="259"/>
      <c r="I6101" s="259"/>
      <c r="J6101" s="259"/>
      <c r="K6101" s="259"/>
      <c r="L6101" s="259"/>
      <c r="M6101" s="259"/>
      <c r="N6101" s="259"/>
      <c r="O6101" s="259"/>
    </row>
    <row r="6102" spans="1:15">
      <c r="A6102" s="260" t="s">
        <v>1</v>
      </c>
      <c r="B6102" s="261"/>
      <c r="C6102" s="8" t="s">
        <v>42</v>
      </c>
      <c r="D6102" s="262" t="s">
        <v>43</v>
      </c>
      <c r="E6102" s="262" t="s">
        <v>44</v>
      </c>
      <c r="F6102" s="262" t="s">
        <v>45</v>
      </c>
      <c r="G6102" s="262" t="s">
        <v>46</v>
      </c>
      <c r="H6102" s="262" t="s">
        <v>47</v>
      </c>
      <c r="I6102" s="262" t="s">
        <v>48</v>
      </c>
      <c r="J6102" s="262" t="s">
        <v>49</v>
      </c>
      <c r="K6102" s="262" t="s">
        <v>50</v>
      </c>
      <c r="L6102" s="262" t="s">
        <v>51</v>
      </c>
      <c r="M6102" s="262" t="s">
        <v>52</v>
      </c>
      <c r="N6102" s="262" t="s">
        <v>53</v>
      </c>
      <c r="O6102" s="276" t="s">
        <v>54</v>
      </c>
    </row>
    <row r="6103" spans="1:15">
      <c r="A6103" s="263" t="s">
        <v>22</v>
      </c>
      <c r="B6103" s="264" t="s">
        <v>55</v>
      </c>
      <c r="C6103" s="12">
        <v>0.519201995012469</v>
      </c>
      <c r="D6103" s="265">
        <v>0.518348623853211</v>
      </c>
      <c r="E6103" s="265">
        <v>0.535714285714286</v>
      </c>
      <c r="F6103" s="265">
        <v>0.355555555555556</v>
      </c>
      <c r="G6103" s="265">
        <v>0.762886597938144</v>
      </c>
      <c r="H6103" s="265">
        <v>0.696</v>
      </c>
      <c r="I6103" s="265">
        <v>0.473684210526316</v>
      </c>
      <c r="J6103" s="265">
        <v>0.483333333333333</v>
      </c>
      <c r="K6103" s="265">
        <v>0.5311004784689</v>
      </c>
      <c r="L6103" s="265">
        <v>0.492063492063492</v>
      </c>
      <c r="M6103" s="265">
        <v>0.519774011299435</v>
      </c>
      <c r="N6103" s="265">
        <v>0.483720930232558</v>
      </c>
      <c r="O6103" s="277">
        <v>0.481981981981982</v>
      </c>
    </row>
    <row r="6104" spans="1:15">
      <c r="A6104" s="266" t="s">
        <v>22</v>
      </c>
      <c r="B6104" s="267" t="s">
        <v>57</v>
      </c>
      <c r="C6104" s="15">
        <v>2005</v>
      </c>
      <c r="D6104" s="268">
        <v>218</v>
      </c>
      <c r="E6104" s="268">
        <v>112</v>
      </c>
      <c r="F6104" s="268">
        <v>90</v>
      </c>
      <c r="G6104" s="268">
        <v>97</v>
      </c>
      <c r="H6104" s="268">
        <v>125</v>
      </c>
      <c r="I6104" s="268">
        <v>171</v>
      </c>
      <c r="J6104" s="268">
        <v>180</v>
      </c>
      <c r="K6104" s="268">
        <v>209</v>
      </c>
      <c r="L6104" s="268">
        <v>189</v>
      </c>
      <c r="M6104" s="268">
        <v>177</v>
      </c>
      <c r="N6104" s="268">
        <v>215</v>
      </c>
      <c r="O6104" s="278">
        <v>222</v>
      </c>
    </row>
    <row r="6105" spans="1:15">
      <c r="A6105" s="263" t="s">
        <v>22</v>
      </c>
      <c r="B6105" s="264" t="s">
        <v>59</v>
      </c>
      <c r="C6105" s="15">
        <v>1041</v>
      </c>
      <c r="D6105" s="268">
        <v>113</v>
      </c>
      <c r="E6105" s="268">
        <v>60</v>
      </c>
      <c r="F6105" s="268">
        <v>32</v>
      </c>
      <c r="G6105" s="268">
        <v>74</v>
      </c>
      <c r="H6105" s="268">
        <v>87</v>
      </c>
      <c r="I6105" s="268">
        <v>81</v>
      </c>
      <c r="J6105" s="268">
        <v>87</v>
      </c>
      <c r="K6105" s="268">
        <v>111</v>
      </c>
      <c r="L6105" s="268">
        <v>93</v>
      </c>
      <c r="M6105" s="268">
        <v>92</v>
      </c>
      <c r="N6105" s="268">
        <v>104</v>
      </c>
      <c r="O6105" s="278">
        <v>107</v>
      </c>
    </row>
    <row r="6106" spans="1:15">
      <c r="A6106" s="266" t="s">
        <v>22</v>
      </c>
      <c r="B6106" s="267" t="s">
        <v>4</v>
      </c>
      <c r="C6106" s="15">
        <v>44</v>
      </c>
      <c r="D6106" s="269">
        <v>3</v>
      </c>
      <c r="E6106" s="269">
        <v>1</v>
      </c>
      <c r="F6106" s="269">
        <v>2</v>
      </c>
      <c r="G6106" s="269">
        <v>2</v>
      </c>
      <c r="H6106" s="269">
        <v>5</v>
      </c>
      <c r="I6106" s="269">
        <v>5</v>
      </c>
      <c r="J6106" s="269">
        <v>5</v>
      </c>
      <c r="K6106" s="269">
        <v>1</v>
      </c>
      <c r="L6106" s="269">
        <v>5</v>
      </c>
      <c r="M6106" s="269">
        <v>2</v>
      </c>
      <c r="N6106" s="269">
        <v>5</v>
      </c>
      <c r="O6106" s="279">
        <v>8</v>
      </c>
    </row>
    <row r="6107" spans="1:15">
      <c r="A6107" s="263" t="s">
        <v>22</v>
      </c>
      <c r="B6107" s="264" t="s">
        <v>5</v>
      </c>
      <c r="C6107" s="12">
        <v>0.0422670509125841</v>
      </c>
      <c r="D6107" s="265">
        <v>0.0265486725663717</v>
      </c>
      <c r="E6107" s="265">
        <v>0.0166666666666667</v>
      </c>
      <c r="F6107" s="265">
        <v>0.0625</v>
      </c>
      <c r="G6107" s="265">
        <v>0.027027027027027</v>
      </c>
      <c r="H6107" s="265">
        <v>0.0574712643678161</v>
      </c>
      <c r="I6107" s="265">
        <v>0.0617283950617284</v>
      </c>
      <c r="J6107" s="265">
        <v>0.0574712643678161</v>
      </c>
      <c r="K6107" s="265">
        <v>0.00900900900900901</v>
      </c>
      <c r="L6107" s="265">
        <v>0.0537634408602151</v>
      </c>
      <c r="M6107" s="265">
        <v>0.0217391304347826</v>
      </c>
      <c r="N6107" s="265">
        <v>0.0480769230769231</v>
      </c>
      <c r="O6107" s="277">
        <v>0.0747663551401869</v>
      </c>
    </row>
    <row r="6108" spans="1:15">
      <c r="A6108" s="266" t="s">
        <v>22</v>
      </c>
      <c r="B6108" s="267" t="s">
        <v>6</v>
      </c>
      <c r="C6108" s="15">
        <v>16</v>
      </c>
      <c r="D6108" s="269">
        <v>3</v>
      </c>
      <c r="E6108" s="269">
        <v>0</v>
      </c>
      <c r="F6108" s="269">
        <v>0</v>
      </c>
      <c r="G6108" s="269">
        <v>0</v>
      </c>
      <c r="H6108" s="269">
        <v>0</v>
      </c>
      <c r="I6108" s="269">
        <v>4</v>
      </c>
      <c r="J6108" s="269">
        <v>1</v>
      </c>
      <c r="K6108" s="269">
        <v>4</v>
      </c>
      <c r="L6108" s="269">
        <v>0</v>
      </c>
      <c r="M6108" s="269">
        <v>1</v>
      </c>
      <c r="N6108" s="269">
        <v>2</v>
      </c>
      <c r="O6108" s="279">
        <v>1</v>
      </c>
    </row>
    <row r="6109" ht="14.25" spans="1:15">
      <c r="A6109" s="270" t="s">
        <v>22</v>
      </c>
      <c r="B6109" s="271" t="s">
        <v>64</v>
      </c>
      <c r="C6109" s="19">
        <v>0.363636363636364</v>
      </c>
      <c r="D6109" s="272">
        <v>1</v>
      </c>
      <c r="E6109" s="272">
        <v>0</v>
      </c>
      <c r="F6109" s="272">
        <v>0</v>
      </c>
      <c r="G6109" s="272">
        <v>0</v>
      </c>
      <c r="H6109" s="272">
        <v>0</v>
      </c>
      <c r="I6109" s="272">
        <v>0.8</v>
      </c>
      <c r="J6109" s="272">
        <v>0.2</v>
      </c>
      <c r="K6109" s="272">
        <v>4</v>
      </c>
      <c r="L6109" s="272">
        <v>0</v>
      </c>
      <c r="M6109" s="272">
        <v>0.5</v>
      </c>
      <c r="N6109" s="272">
        <v>0.4</v>
      </c>
      <c r="O6109" s="280">
        <v>0.125</v>
      </c>
    </row>
    <row r="6110" spans="1:15">
      <c r="A6110" s="273" t="s">
        <v>66</v>
      </c>
      <c r="B6110" s="274" t="s">
        <v>55</v>
      </c>
      <c r="C6110" s="12">
        <v>0.0586747597369752</v>
      </c>
      <c r="D6110" s="275">
        <v>0.0424528301886792</v>
      </c>
      <c r="E6110" s="275">
        <v>0.0298507462686567</v>
      </c>
      <c r="F6110" s="275">
        <v>0.025974025974026</v>
      </c>
      <c r="G6110" s="275">
        <v>0.0258064516129032</v>
      </c>
      <c r="H6110" s="275">
        <v>0.0650887573964497</v>
      </c>
      <c r="I6110" s="275">
        <v>0.0782122905027933</v>
      </c>
      <c r="J6110" s="275">
        <v>0.0529801324503311</v>
      </c>
      <c r="K6110" s="275">
        <v>0.0516129032258065</v>
      </c>
      <c r="L6110" s="275">
        <v>0.0759493670886076</v>
      </c>
      <c r="M6110" s="275">
        <v>0.0491803278688525</v>
      </c>
      <c r="N6110" s="275">
        <v>0.0684931506849315</v>
      </c>
      <c r="O6110" s="281">
        <v>0.137142857142857</v>
      </c>
    </row>
    <row r="6111" spans="1:15">
      <c r="A6111" s="266" t="s">
        <v>66</v>
      </c>
      <c r="B6111" s="267" t="s">
        <v>57</v>
      </c>
      <c r="C6111" s="15">
        <v>1977</v>
      </c>
      <c r="D6111" s="268">
        <v>212</v>
      </c>
      <c r="E6111" s="268">
        <v>201</v>
      </c>
      <c r="F6111" s="268">
        <v>154</v>
      </c>
      <c r="G6111" s="268">
        <v>155</v>
      </c>
      <c r="H6111" s="268">
        <v>169</v>
      </c>
      <c r="I6111" s="268">
        <v>179</v>
      </c>
      <c r="J6111" s="268">
        <v>151</v>
      </c>
      <c r="K6111" s="268">
        <v>155</v>
      </c>
      <c r="L6111" s="268">
        <v>158</v>
      </c>
      <c r="M6111" s="268">
        <v>122</v>
      </c>
      <c r="N6111" s="268">
        <v>146</v>
      </c>
      <c r="O6111" s="278">
        <v>175</v>
      </c>
    </row>
    <row r="6112" spans="1:15">
      <c r="A6112" s="263" t="s">
        <v>66</v>
      </c>
      <c r="B6112" s="264" t="s">
        <v>59</v>
      </c>
      <c r="C6112" s="15">
        <v>116</v>
      </c>
      <c r="D6112" s="268">
        <v>9</v>
      </c>
      <c r="E6112" s="268">
        <v>6</v>
      </c>
      <c r="F6112" s="268">
        <v>4</v>
      </c>
      <c r="G6112" s="268">
        <v>4</v>
      </c>
      <c r="H6112" s="268">
        <v>11</v>
      </c>
      <c r="I6112" s="268">
        <v>14</v>
      </c>
      <c r="J6112" s="268">
        <v>8</v>
      </c>
      <c r="K6112" s="268">
        <v>8</v>
      </c>
      <c r="L6112" s="268">
        <v>12</v>
      </c>
      <c r="M6112" s="268">
        <v>6</v>
      </c>
      <c r="N6112" s="268">
        <v>10</v>
      </c>
      <c r="O6112" s="278">
        <v>24</v>
      </c>
    </row>
    <row r="6113" spans="1:15">
      <c r="A6113" s="266" t="s">
        <v>66</v>
      </c>
      <c r="B6113" s="267" t="s">
        <v>4</v>
      </c>
      <c r="C6113" s="15">
        <v>6</v>
      </c>
      <c r="D6113" s="269">
        <v>0</v>
      </c>
      <c r="E6113" s="269">
        <v>0</v>
      </c>
      <c r="F6113" s="269">
        <v>0</v>
      </c>
      <c r="G6113" s="269">
        <v>0</v>
      </c>
      <c r="H6113" s="269">
        <v>1</v>
      </c>
      <c r="I6113" s="269">
        <v>0</v>
      </c>
      <c r="J6113" s="269">
        <v>0</v>
      </c>
      <c r="K6113" s="269">
        <v>0</v>
      </c>
      <c r="L6113" s="269">
        <v>0</v>
      </c>
      <c r="M6113" s="269">
        <v>0</v>
      </c>
      <c r="N6113" s="269">
        <v>1</v>
      </c>
      <c r="O6113" s="279">
        <v>4</v>
      </c>
    </row>
    <row r="6114" spans="1:15">
      <c r="A6114" s="263" t="s">
        <v>66</v>
      </c>
      <c r="B6114" s="264" t="s">
        <v>5</v>
      </c>
      <c r="C6114" s="12">
        <v>0.0517241379310345</v>
      </c>
      <c r="D6114" s="265">
        <v>0</v>
      </c>
      <c r="E6114" s="265">
        <v>0</v>
      </c>
      <c r="F6114" s="265">
        <v>0</v>
      </c>
      <c r="G6114" s="265">
        <v>0</v>
      </c>
      <c r="H6114" s="265">
        <v>0.0909090909090909</v>
      </c>
      <c r="I6114" s="265">
        <v>0</v>
      </c>
      <c r="J6114" s="265">
        <v>0</v>
      </c>
      <c r="K6114" s="265">
        <v>0</v>
      </c>
      <c r="L6114" s="265">
        <v>0</v>
      </c>
      <c r="M6114" s="265">
        <v>0</v>
      </c>
      <c r="N6114" s="265">
        <v>0.1</v>
      </c>
      <c r="O6114" s="277">
        <v>0.166666666666667</v>
      </c>
    </row>
    <row r="6115" spans="1:15">
      <c r="A6115" s="266" t="s">
        <v>66</v>
      </c>
      <c r="B6115" s="267" t="s">
        <v>6</v>
      </c>
      <c r="C6115" s="15">
        <v>0</v>
      </c>
      <c r="D6115" s="269">
        <v>0</v>
      </c>
      <c r="E6115" s="269">
        <v>0</v>
      </c>
      <c r="F6115" s="269">
        <v>0</v>
      </c>
      <c r="G6115" s="269">
        <v>0</v>
      </c>
      <c r="H6115" s="269">
        <v>0</v>
      </c>
      <c r="I6115" s="269">
        <v>0</v>
      </c>
      <c r="J6115" s="269">
        <v>0</v>
      </c>
      <c r="K6115" s="269">
        <v>0</v>
      </c>
      <c r="L6115" s="269">
        <v>0</v>
      </c>
      <c r="M6115" s="269">
        <v>0</v>
      </c>
      <c r="N6115" s="269">
        <v>0</v>
      </c>
      <c r="O6115" s="279">
        <v>0</v>
      </c>
    </row>
    <row r="6116" ht="14.25" spans="1:15">
      <c r="A6116" s="270" t="s">
        <v>66</v>
      </c>
      <c r="B6116" s="271" t="s">
        <v>64</v>
      </c>
      <c r="C6116" s="19">
        <v>0</v>
      </c>
      <c r="D6116" s="272">
        <v>0</v>
      </c>
      <c r="E6116" s="272">
        <v>0</v>
      </c>
      <c r="F6116" s="272">
        <v>0</v>
      </c>
      <c r="G6116" s="272">
        <v>0</v>
      </c>
      <c r="H6116" s="272">
        <v>0</v>
      </c>
      <c r="I6116" s="272">
        <v>0</v>
      </c>
      <c r="J6116" s="272">
        <v>0</v>
      </c>
      <c r="K6116" s="272">
        <v>0</v>
      </c>
      <c r="L6116" s="272">
        <v>0</v>
      </c>
      <c r="M6116" s="272">
        <v>0</v>
      </c>
      <c r="N6116" s="272">
        <v>0</v>
      </c>
      <c r="O6116" s="280">
        <v>0</v>
      </c>
    </row>
    <row r="6117" spans="1:15">
      <c r="A6117" s="263" t="s">
        <v>67</v>
      </c>
      <c r="B6117" s="264" t="s">
        <v>55</v>
      </c>
      <c r="C6117" s="12">
        <v>0.488919667590028</v>
      </c>
      <c r="D6117" s="265">
        <v>0.704225352112676</v>
      </c>
      <c r="E6117" s="265">
        <v>0.38</v>
      </c>
      <c r="F6117" s="265">
        <v>0.529411764705882</v>
      </c>
      <c r="G6117" s="265">
        <v>0.541666666666667</v>
      </c>
      <c r="H6117" s="265">
        <v>0.32</v>
      </c>
      <c r="I6117" s="265">
        <v>0.525423728813559</v>
      </c>
      <c r="J6117" s="265">
        <v>0.529411764705882</v>
      </c>
      <c r="K6117" s="265">
        <v>0.518518518518518</v>
      </c>
      <c r="L6117" s="265">
        <v>0.446153846153846</v>
      </c>
      <c r="M6117" s="265">
        <v>0.411764705882353</v>
      </c>
      <c r="N6117" s="265">
        <v>0.411764705882353</v>
      </c>
      <c r="O6117" s="277">
        <v>0.511904761904762</v>
      </c>
    </row>
    <row r="6118" spans="1:15">
      <c r="A6118" s="266" t="s">
        <v>67</v>
      </c>
      <c r="B6118" s="267" t="s">
        <v>57</v>
      </c>
      <c r="C6118" s="15">
        <v>722</v>
      </c>
      <c r="D6118" s="268">
        <v>71</v>
      </c>
      <c r="E6118" s="268">
        <v>50</v>
      </c>
      <c r="F6118" s="268">
        <v>34</v>
      </c>
      <c r="G6118" s="268">
        <v>24</v>
      </c>
      <c r="H6118" s="268">
        <v>50</v>
      </c>
      <c r="I6118" s="268">
        <v>59</v>
      </c>
      <c r="J6118" s="268">
        <v>68</v>
      </c>
      <c r="K6118" s="268">
        <v>81</v>
      </c>
      <c r="L6118" s="268">
        <v>65</v>
      </c>
      <c r="M6118" s="268">
        <v>68</v>
      </c>
      <c r="N6118" s="268">
        <v>68</v>
      </c>
      <c r="O6118" s="278">
        <v>84</v>
      </c>
    </row>
    <row r="6119" spans="1:15">
      <c r="A6119" s="263" t="s">
        <v>67</v>
      </c>
      <c r="B6119" s="264" t="s">
        <v>59</v>
      </c>
      <c r="C6119" s="15">
        <v>353</v>
      </c>
      <c r="D6119" s="268">
        <v>50</v>
      </c>
      <c r="E6119" s="268">
        <v>19</v>
      </c>
      <c r="F6119" s="268">
        <v>18</v>
      </c>
      <c r="G6119" s="268">
        <v>13</v>
      </c>
      <c r="H6119" s="268">
        <v>16</v>
      </c>
      <c r="I6119" s="268">
        <v>31</v>
      </c>
      <c r="J6119" s="268">
        <v>36</v>
      </c>
      <c r="K6119" s="268">
        <v>42</v>
      </c>
      <c r="L6119" s="268">
        <v>29</v>
      </c>
      <c r="M6119" s="268">
        <v>28</v>
      </c>
      <c r="N6119" s="268">
        <v>28</v>
      </c>
      <c r="O6119" s="278">
        <v>43</v>
      </c>
    </row>
    <row r="6120" spans="1:15">
      <c r="A6120" s="266" t="s">
        <v>67</v>
      </c>
      <c r="B6120" s="267" t="s">
        <v>4</v>
      </c>
      <c r="C6120" s="15">
        <v>17</v>
      </c>
      <c r="D6120" s="269">
        <v>2</v>
      </c>
      <c r="E6120" s="269">
        <v>1</v>
      </c>
      <c r="F6120" s="269">
        <v>1</v>
      </c>
      <c r="G6120" s="269">
        <v>1</v>
      </c>
      <c r="H6120" s="269">
        <v>1</v>
      </c>
      <c r="I6120" s="269">
        <v>1</v>
      </c>
      <c r="J6120" s="269">
        <v>3</v>
      </c>
      <c r="K6120" s="269">
        <v>3</v>
      </c>
      <c r="L6120" s="269">
        <v>0</v>
      </c>
      <c r="M6120" s="269">
        <v>1</v>
      </c>
      <c r="N6120" s="269">
        <v>3</v>
      </c>
      <c r="O6120" s="279">
        <v>0</v>
      </c>
    </row>
    <row r="6121" spans="1:15">
      <c r="A6121" s="263" t="s">
        <v>67</v>
      </c>
      <c r="B6121" s="264" t="s">
        <v>5</v>
      </c>
      <c r="C6121" s="12">
        <v>0.0481586402266289</v>
      </c>
      <c r="D6121" s="265">
        <v>0.04</v>
      </c>
      <c r="E6121" s="265">
        <v>0.0526315789473684</v>
      </c>
      <c r="F6121" s="265">
        <v>0.0555555555555556</v>
      </c>
      <c r="G6121" s="265">
        <v>0.0769230769230769</v>
      </c>
      <c r="H6121" s="265">
        <v>0.0625</v>
      </c>
      <c r="I6121" s="265">
        <v>0.032258064516129</v>
      </c>
      <c r="J6121" s="265">
        <v>0.0833333333333333</v>
      </c>
      <c r="K6121" s="265">
        <v>0.0714285714285714</v>
      </c>
      <c r="L6121" s="265">
        <v>0</v>
      </c>
      <c r="M6121" s="265">
        <v>0.0357142857142857</v>
      </c>
      <c r="N6121" s="265">
        <v>0.107142857142857</v>
      </c>
      <c r="O6121" s="277">
        <v>0</v>
      </c>
    </row>
    <row r="6122" spans="1:15">
      <c r="A6122" s="266" t="s">
        <v>67</v>
      </c>
      <c r="B6122" s="267" t="s">
        <v>6</v>
      </c>
      <c r="C6122" s="15">
        <v>7</v>
      </c>
      <c r="D6122" s="269">
        <v>1</v>
      </c>
      <c r="E6122" s="269">
        <v>0</v>
      </c>
      <c r="F6122" s="269">
        <v>0</v>
      </c>
      <c r="G6122" s="269">
        <v>0</v>
      </c>
      <c r="H6122" s="269">
        <v>2</v>
      </c>
      <c r="I6122" s="269">
        <v>1</v>
      </c>
      <c r="J6122" s="269">
        <v>0</v>
      </c>
      <c r="K6122" s="269">
        <v>1</v>
      </c>
      <c r="L6122" s="269">
        <v>0</v>
      </c>
      <c r="M6122" s="269">
        <v>1</v>
      </c>
      <c r="N6122" s="269">
        <v>1</v>
      </c>
      <c r="O6122" s="279">
        <v>0</v>
      </c>
    </row>
    <row r="6123" ht="20" customHeight="1" spans="1:15">
      <c r="A6123" s="270" t="s">
        <v>67</v>
      </c>
      <c r="B6123" s="271" t="s">
        <v>64</v>
      </c>
      <c r="C6123" s="19">
        <v>0.411764705882353</v>
      </c>
      <c r="D6123" s="272">
        <v>0.5</v>
      </c>
      <c r="E6123" s="272">
        <v>0</v>
      </c>
      <c r="F6123" s="272">
        <v>0</v>
      </c>
      <c r="G6123" s="272">
        <v>0</v>
      </c>
      <c r="H6123" s="272">
        <v>2</v>
      </c>
      <c r="I6123" s="272">
        <v>1</v>
      </c>
      <c r="J6123" s="272">
        <v>0</v>
      </c>
      <c r="K6123" s="272">
        <v>0.333333333333333</v>
      </c>
      <c r="L6123" s="272">
        <v>0</v>
      </c>
      <c r="M6123" s="272">
        <v>1</v>
      </c>
      <c r="N6123" s="272">
        <v>0.333333333333333</v>
      </c>
      <c r="O6123" s="280">
        <v>0</v>
      </c>
    </row>
    <row r="6124" spans="1:15">
      <c r="A6124" s="263" t="s">
        <v>68</v>
      </c>
      <c r="B6124" s="264" t="s">
        <v>55</v>
      </c>
      <c r="C6124" s="12">
        <v>0.270205479452055</v>
      </c>
      <c r="D6124" s="265">
        <v>0.283333333333333</v>
      </c>
      <c r="E6124" s="265">
        <v>0.253164556962025</v>
      </c>
      <c r="F6124" s="265">
        <v>0.283687943262411</v>
      </c>
      <c r="G6124" s="265">
        <v>0.376923076923077</v>
      </c>
      <c r="H6124" s="265">
        <v>0.26984126984127</v>
      </c>
      <c r="I6124" s="265">
        <v>0.305755395683453</v>
      </c>
      <c r="J6124" s="265">
        <v>0.258620689655172</v>
      </c>
      <c r="K6124" s="265">
        <v>0.251428571428571</v>
      </c>
      <c r="L6124" s="265">
        <v>0.256578947368421</v>
      </c>
      <c r="M6124" s="265">
        <v>0.286231884057971</v>
      </c>
      <c r="N6124" s="265">
        <v>0.262745098039216</v>
      </c>
      <c r="O6124" s="277">
        <v>0.223300970873786</v>
      </c>
    </row>
    <row r="6125" spans="1:15">
      <c r="A6125" s="266" t="s">
        <v>68</v>
      </c>
      <c r="B6125" s="267" t="s">
        <v>57</v>
      </c>
      <c r="C6125" s="15">
        <v>2920</v>
      </c>
      <c r="D6125" s="268">
        <v>240</v>
      </c>
      <c r="E6125" s="268">
        <v>158</v>
      </c>
      <c r="F6125" s="268">
        <v>141</v>
      </c>
      <c r="G6125" s="268">
        <v>130</v>
      </c>
      <c r="H6125" s="268">
        <v>189</v>
      </c>
      <c r="I6125" s="268">
        <v>278</v>
      </c>
      <c r="J6125" s="268">
        <v>290</v>
      </c>
      <c r="K6125" s="268">
        <v>350</v>
      </c>
      <c r="L6125" s="268">
        <v>304</v>
      </c>
      <c r="M6125" s="268">
        <v>276</v>
      </c>
      <c r="N6125" s="268">
        <v>255</v>
      </c>
      <c r="O6125" s="278">
        <v>309</v>
      </c>
    </row>
    <row r="6126" spans="1:15">
      <c r="A6126" s="263" t="s">
        <v>68</v>
      </c>
      <c r="B6126" s="264" t="s">
        <v>59</v>
      </c>
      <c r="C6126" s="15">
        <v>789</v>
      </c>
      <c r="D6126" s="268">
        <v>68</v>
      </c>
      <c r="E6126" s="268">
        <v>40</v>
      </c>
      <c r="F6126" s="268">
        <v>40</v>
      </c>
      <c r="G6126" s="268">
        <v>49</v>
      </c>
      <c r="H6126" s="268">
        <v>51</v>
      </c>
      <c r="I6126" s="268">
        <v>85</v>
      </c>
      <c r="J6126" s="268">
        <v>75</v>
      </c>
      <c r="K6126" s="268">
        <v>88</v>
      </c>
      <c r="L6126" s="268">
        <v>78</v>
      </c>
      <c r="M6126" s="268">
        <v>79</v>
      </c>
      <c r="N6126" s="268">
        <v>67</v>
      </c>
      <c r="O6126" s="278">
        <v>69</v>
      </c>
    </row>
    <row r="6127" spans="1:15">
      <c r="A6127" s="266" t="s">
        <v>68</v>
      </c>
      <c r="B6127" s="267" t="s">
        <v>4</v>
      </c>
      <c r="C6127" s="15">
        <v>46</v>
      </c>
      <c r="D6127" s="269">
        <v>7</v>
      </c>
      <c r="E6127" s="269">
        <v>7</v>
      </c>
      <c r="F6127" s="269">
        <v>1</v>
      </c>
      <c r="G6127" s="269">
        <v>3</v>
      </c>
      <c r="H6127" s="269">
        <v>5</v>
      </c>
      <c r="I6127" s="269">
        <v>2</v>
      </c>
      <c r="J6127" s="269">
        <v>4</v>
      </c>
      <c r="K6127" s="269">
        <v>0</v>
      </c>
      <c r="L6127" s="269">
        <v>3</v>
      </c>
      <c r="M6127" s="269">
        <v>5</v>
      </c>
      <c r="N6127" s="269">
        <v>3</v>
      </c>
      <c r="O6127" s="279">
        <v>6</v>
      </c>
    </row>
    <row r="6128" spans="1:15">
      <c r="A6128" s="263" t="s">
        <v>68</v>
      </c>
      <c r="B6128" s="264" t="s">
        <v>5</v>
      </c>
      <c r="C6128" s="12">
        <v>0.0583016476552598</v>
      </c>
      <c r="D6128" s="265">
        <v>0.102941176470588</v>
      </c>
      <c r="E6128" s="265">
        <v>0.175</v>
      </c>
      <c r="F6128" s="265">
        <v>0.025</v>
      </c>
      <c r="G6128" s="265">
        <v>0.0612244897959184</v>
      </c>
      <c r="H6128" s="265">
        <v>0.0980392156862745</v>
      </c>
      <c r="I6128" s="265">
        <v>0.0235294117647059</v>
      </c>
      <c r="J6128" s="265">
        <v>0.0533333333333333</v>
      </c>
      <c r="K6128" s="265">
        <v>0</v>
      </c>
      <c r="L6128" s="265">
        <v>0.0384615384615385</v>
      </c>
      <c r="M6128" s="265">
        <v>0.0632911392405063</v>
      </c>
      <c r="N6128" s="265">
        <v>0.0447761194029851</v>
      </c>
      <c r="O6128" s="277">
        <v>0.0869565217391304</v>
      </c>
    </row>
    <row r="6129" spans="1:15">
      <c r="A6129" s="266" t="s">
        <v>68</v>
      </c>
      <c r="B6129" s="267" t="s">
        <v>6</v>
      </c>
      <c r="C6129" s="15">
        <v>23</v>
      </c>
      <c r="D6129" s="269">
        <v>5</v>
      </c>
      <c r="E6129" s="269">
        <v>2</v>
      </c>
      <c r="F6129" s="269">
        <v>1</v>
      </c>
      <c r="G6129" s="269">
        <v>1</v>
      </c>
      <c r="H6129" s="269">
        <v>4</v>
      </c>
      <c r="I6129" s="269">
        <v>0</v>
      </c>
      <c r="J6129" s="269">
        <v>2</v>
      </c>
      <c r="K6129" s="269">
        <v>1</v>
      </c>
      <c r="L6129" s="269">
        <v>1</v>
      </c>
      <c r="M6129" s="269">
        <v>2</v>
      </c>
      <c r="N6129" s="269">
        <v>2</v>
      </c>
      <c r="O6129" s="279">
        <v>2</v>
      </c>
    </row>
    <row r="6130" ht="14.25" spans="1:15">
      <c r="A6130" s="270" t="s">
        <v>68</v>
      </c>
      <c r="B6130" s="271" t="s">
        <v>64</v>
      </c>
      <c r="C6130" s="19">
        <v>0.5</v>
      </c>
      <c r="D6130" s="272">
        <v>0.714285714285714</v>
      </c>
      <c r="E6130" s="272">
        <v>0.285714285714286</v>
      </c>
      <c r="F6130" s="272">
        <v>1</v>
      </c>
      <c r="G6130" s="272">
        <v>0.333333333333333</v>
      </c>
      <c r="H6130" s="272">
        <v>0.8</v>
      </c>
      <c r="I6130" s="272">
        <v>0</v>
      </c>
      <c r="J6130" s="272">
        <v>0.5</v>
      </c>
      <c r="K6130" s="272">
        <v>0</v>
      </c>
      <c r="L6130" s="272">
        <v>0.333333333333333</v>
      </c>
      <c r="M6130" s="272">
        <v>0.4</v>
      </c>
      <c r="N6130" s="272">
        <v>0.666666666666667</v>
      </c>
      <c r="O6130" s="280">
        <v>0.333333333333333</v>
      </c>
    </row>
    <row r="6131" spans="1:15">
      <c r="A6131" s="263" t="s">
        <v>69</v>
      </c>
      <c r="B6131" s="264" t="s">
        <v>55</v>
      </c>
      <c r="C6131" s="12">
        <v>1.30582524271845</v>
      </c>
      <c r="D6131" s="265">
        <v>0.96551724137931</v>
      </c>
      <c r="E6131" s="265">
        <v>1.22222222222222</v>
      </c>
      <c r="F6131" s="265">
        <v>0.818181818181818</v>
      </c>
      <c r="G6131" s="265">
        <v>1.35714285714286</v>
      </c>
      <c r="H6131" s="265">
        <v>1.52631578947368</v>
      </c>
      <c r="I6131" s="265">
        <v>1.15789473684211</v>
      </c>
      <c r="J6131" s="265">
        <v>1.53333333333333</v>
      </c>
      <c r="K6131" s="265">
        <v>1.31578947368421</v>
      </c>
      <c r="L6131" s="265">
        <v>1.1304347826087</v>
      </c>
      <c r="M6131" s="265">
        <v>2.33333333333333</v>
      </c>
      <c r="N6131" s="265">
        <v>1.41176470588235</v>
      </c>
      <c r="O6131" s="277">
        <v>1.4</v>
      </c>
    </row>
    <row r="6132" spans="1:15">
      <c r="A6132" s="266" t="s">
        <v>69</v>
      </c>
      <c r="B6132" s="267" t="s">
        <v>57</v>
      </c>
      <c r="C6132" s="15">
        <v>206</v>
      </c>
      <c r="D6132" s="268">
        <v>29</v>
      </c>
      <c r="E6132" s="268">
        <v>18</v>
      </c>
      <c r="F6132" s="268">
        <v>11</v>
      </c>
      <c r="G6132" s="268">
        <v>14</v>
      </c>
      <c r="H6132" s="268">
        <v>19</v>
      </c>
      <c r="I6132" s="268">
        <v>19</v>
      </c>
      <c r="J6132" s="268">
        <v>15</v>
      </c>
      <c r="K6132" s="268">
        <v>19</v>
      </c>
      <c r="L6132" s="268">
        <v>23</v>
      </c>
      <c r="M6132" s="268">
        <v>12</v>
      </c>
      <c r="N6132" s="268">
        <v>17</v>
      </c>
      <c r="O6132" s="278">
        <v>10</v>
      </c>
    </row>
    <row r="6133" spans="1:15">
      <c r="A6133" s="263" t="s">
        <v>69</v>
      </c>
      <c r="B6133" s="264" t="s">
        <v>59</v>
      </c>
      <c r="C6133" s="15">
        <v>269</v>
      </c>
      <c r="D6133" s="268">
        <v>28</v>
      </c>
      <c r="E6133" s="268">
        <v>22</v>
      </c>
      <c r="F6133" s="268">
        <v>9</v>
      </c>
      <c r="G6133" s="268">
        <v>19</v>
      </c>
      <c r="H6133" s="268">
        <v>29</v>
      </c>
      <c r="I6133" s="268">
        <v>22</v>
      </c>
      <c r="J6133" s="268">
        <v>23</v>
      </c>
      <c r="K6133" s="268">
        <v>25</v>
      </c>
      <c r="L6133" s="268">
        <v>26</v>
      </c>
      <c r="M6133" s="268">
        <v>28</v>
      </c>
      <c r="N6133" s="268">
        <v>24</v>
      </c>
      <c r="O6133" s="278">
        <v>14</v>
      </c>
    </row>
    <row r="6134" spans="1:15">
      <c r="A6134" s="266" t="s">
        <v>69</v>
      </c>
      <c r="B6134" s="267" t="s">
        <v>4</v>
      </c>
      <c r="C6134" s="15">
        <v>3</v>
      </c>
      <c r="D6134" s="269">
        <v>1</v>
      </c>
      <c r="E6134" s="269">
        <v>0</v>
      </c>
      <c r="F6134" s="269">
        <v>0</v>
      </c>
      <c r="G6134" s="269">
        <v>0</v>
      </c>
      <c r="H6134" s="269">
        <v>0</v>
      </c>
      <c r="I6134" s="269">
        <v>1</v>
      </c>
      <c r="J6134" s="269">
        <v>0</v>
      </c>
      <c r="K6134" s="269">
        <v>1</v>
      </c>
      <c r="L6134" s="269">
        <v>0</v>
      </c>
      <c r="M6134" s="269">
        <v>0</v>
      </c>
      <c r="N6134" s="269">
        <v>0</v>
      </c>
      <c r="O6134" s="279">
        <v>0</v>
      </c>
    </row>
    <row r="6135" spans="1:15">
      <c r="A6135" s="263" t="s">
        <v>69</v>
      </c>
      <c r="B6135" s="264" t="s">
        <v>5</v>
      </c>
      <c r="C6135" s="12">
        <v>0.0111524163568773</v>
      </c>
      <c r="D6135" s="265">
        <v>0.0357142857142857</v>
      </c>
      <c r="E6135" s="265">
        <v>0</v>
      </c>
      <c r="F6135" s="265">
        <v>0</v>
      </c>
      <c r="G6135" s="265">
        <v>0</v>
      </c>
      <c r="H6135" s="265">
        <v>0</v>
      </c>
      <c r="I6135" s="265">
        <v>0.0454545454545455</v>
      </c>
      <c r="J6135" s="265">
        <v>0</v>
      </c>
      <c r="K6135" s="265">
        <v>0.04</v>
      </c>
      <c r="L6135" s="265">
        <v>0</v>
      </c>
      <c r="M6135" s="265">
        <v>0</v>
      </c>
      <c r="N6135" s="265">
        <v>0</v>
      </c>
      <c r="O6135" s="277">
        <v>0</v>
      </c>
    </row>
    <row r="6136" spans="1:15">
      <c r="A6136" s="266" t="s">
        <v>69</v>
      </c>
      <c r="B6136" s="267" t="s">
        <v>6</v>
      </c>
      <c r="C6136" s="15">
        <v>0</v>
      </c>
      <c r="D6136" s="269">
        <v>0</v>
      </c>
      <c r="E6136" s="269">
        <v>0</v>
      </c>
      <c r="F6136" s="269">
        <v>0</v>
      </c>
      <c r="G6136" s="269">
        <v>0</v>
      </c>
      <c r="H6136" s="269">
        <v>0</v>
      </c>
      <c r="I6136" s="269">
        <v>0</v>
      </c>
      <c r="J6136" s="269">
        <v>0</v>
      </c>
      <c r="K6136" s="269">
        <v>0</v>
      </c>
      <c r="L6136" s="269">
        <v>0</v>
      </c>
      <c r="M6136" s="269">
        <v>0</v>
      </c>
      <c r="N6136" s="269">
        <v>0</v>
      </c>
      <c r="O6136" s="279">
        <v>0</v>
      </c>
    </row>
    <row r="6137" ht="14.25" spans="1:15">
      <c r="A6137" s="270" t="s">
        <v>69</v>
      </c>
      <c r="B6137" s="271" t="s">
        <v>64</v>
      </c>
      <c r="C6137" s="19">
        <v>0</v>
      </c>
      <c r="D6137" s="272">
        <v>0</v>
      </c>
      <c r="E6137" s="272">
        <v>0</v>
      </c>
      <c r="F6137" s="272">
        <v>0</v>
      </c>
      <c r="G6137" s="272">
        <v>0</v>
      </c>
      <c r="H6137" s="272">
        <v>0</v>
      </c>
      <c r="I6137" s="272">
        <v>0</v>
      </c>
      <c r="J6137" s="272">
        <v>0</v>
      </c>
      <c r="K6137" s="272">
        <v>0</v>
      </c>
      <c r="L6137" s="272">
        <v>0</v>
      </c>
      <c r="M6137" s="272">
        <v>0</v>
      </c>
      <c r="N6137" s="272">
        <v>0</v>
      </c>
      <c r="O6137" s="280">
        <v>0</v>
      </c>
    </row>
    <row r="6138" spans="1:15">
      <c r="A6138" s="263" t="s">
        <v>70</v>
      </c>
      <c r="B6138" s="264" t="s">
        <v>55</v>
      </c>
      <c r="C6138" s="12">
        <v>2.0515873015873</v>
      </c>
      <c r="D6138" s="265">
        <v>2.35</v>
      </c>
      <c r="E6138" s="265">
        <v>1.34782608695652</v>
      </c>
      <c r="F6138" s="265">
        <v>1.36363636363636</v>
      </c>
      <c r="G6138" s="265">
        <v>1.44444444444444</v>
      </c>
      <c r="H6138" s="265">
        <v>4</v>
      </c>
      <c r="I6138" s="265">
        <v>2.39130434782609</v>
      </c>
      <c r="J6138" s="265">
        <v>1.81481481481481</v>
      </c>
      <c r="K6138" s="265">
        <v>2.57142857142857</v>
      </c>
      <c r="L6138" s="265">
        <v>1.79310344827586</v>
      </c>
      <c r="M6138" s="265">
        <v>2.14285714285714</v>
      </c>
      <c r="N6138" s="265">
        <v>2</v>
      </c>
      <c r="O6138" s="277">
        <v>1.95833333333333</v>
      </c>
    </row>
    <row r="6139" spans="1:15">
      <c r="A6139" s="266" t="s">
        <v>70</v>
      </c>
      <c r="B6139" s="267" t="s">
        <v>57</v>
      </c>
      <c r="C6139" s="15">
        <v>252</v>
      </c>
      <c r="D6139" s="268">
        <v>20</v>
      </c>
      <c r="E6139" s="268">
        <v>23</v>
      </c>
      <c r="F6139" s="268">
        <v>11</v>
      </c>
      <c r="G6139" s="268">
        <v>9</v>
      </c>
      <c r="H6139" s="268">
        <v>10</v>
      </c>
      <c r="I6139" s="268">
        <v>23</v>
      </c>
      <c r="J6139" s="268">
        <v>27</v>
      </c>
      <c r="K6139" s="268">
        <v>21</v>
      </c>
      <c r="L6139" s="268">
        <v>29</v>
      </c>
      <c r="M6139" s="268">
        <v>28</v>
      </c>
      <c r="N6139" s="268">
        <v>27</v>
      </c>
      <c r="O6139" s="278">
        <v>24</v>
      </c>
    </row>
    <row r="6140" spans="1:15">
      <c r="A6140" s="263" t="s">
        <v>70</v>
      </c>
      <c r="B6140" s="264" t="s">
        <v>59</v>
      </c>
      <c r="C6140" s="15">
        <v>517</v>
      </c>
      <c r="D6140" s="268">
        <v>47</v>
      </c>
      <c r="E6140" s="268">
        <v>31</v>
      </c>
      <c r="F6140" s="268">
        <v>15</v>
      </c>
      <c r="G6140" s="268">
        <v>13</v>
      </c>
      <c r="H6140" s="268">
        <v>40</v>
      </c>
      <c r="I6140" s="268">
        <v>55</v>
      </c>
      <c r="J6140" s="268">
        <v>49</v>
      </c>
      <c r="K6140" s="268">
        <v>54</v>
      </c>
      <c r="L6140" s="268">
        <v>52</v>
      </c>
      <c r="M6140" s="268">
        <v>60</v>
      </c>
      <c r="N6140" s="268">
        <v>54</v>
      </c>
      <c r="O6140" s="278">
        <v>47</v>
      </c>
    </row>
    <row r="6141" spans="1:15">
      <c r="A6141" s="266" t="s">
        <v>70</v>
      </c>
      <c r="B6141" s="267" t="s">
        <v>4</v>
      </c>
      <c r="C6141" s="15">
        <v>9</v>
      </c>
      <c r="D6141" s="269">
        <v>0</v>
      </c>
      <c r="E6141" s="269">
        <v>0</v>
      </c>
      <c r="F6141" s="269">
        <v>0</v>
      </c>
      <c r="G6141" s="269">
        <v>1</v>
      </c>
      <c r="H6141" s="269">
        <v>0</v>
      </c>
      <c r="I6141" s="269">
        <v>0</v>
      </c>
      <c r="J6141" s="269">
        <v>0</v>
      </c>
      <c r="K6141" s="269">
        <v>1</v>
      </c>
      <c r="L6141" s="269">
        <v>4</v>
      </c>
      <c r="M6141" s="269">
        <v>1</v>
      </c>
      <c r="N6141" s="269">
        <v>1</v>
      </c>
      <c r="O6141" s="279">
        <v>1</v>
      </c>
    </row>
    <row r="6142" spans="1:15">
      <c r="A6142" s="263" t="s">
        <v>70</v>
      </c>
      <c r="B6142" s="264" t="s">
        <v>5</v>
      </c>
      <c r="C6142" s="12">
        <v>0.0174081237911025</v>
      </c>
      <c r="D6142" s="265">
        <v>0</v>
      </c>
      <c r="E6142" s="265">
        <v>0</v>
      </c>
      <c r="F6142" s="265">
        <v>0</v>
      </c>
      <c r="G6142" s="265">
        <v>0.0769230769230769</v>
      </c>
      <c r="H6142" s="265">
        <v>0</v>
      </c>
      <c r="I6142" s="265">
        <v>0</v>
      </c>
      <c r="J6142" s="265">
        <v>0</v>
      </c>
      <c r="K6142" s="265">
        <v>0.0185185185185185</v>
      </c>
      <c r="L6142" s="265">
        <v>0.0769230769230769</v>
      </c>
      <c r="M6142" s="265">
        <v>0.0166666666666667</v>
      </c>
      <c r="N6142" s="265">
        <v>0.0185185185185185</v>
      </c>
      <c r="O6142" s="277">
        <v>0.0212765957446809</v>
      </c>
    </row>
    <row r="6143" spans="1:15">
      <c r="A6143" s="266" t="s">
        <v>70</v>
      </c>
      <c r="B6143" s="267" t="s">
        <v>6</v>
      </c>
      <c r="C6143" s="15">
        <v>7</v>
      </c>
      <c r="D6143" s="269">
        <v>0</v>
      </c>
      <c r="E6143" s="269">
        <v>0</v>
      </c>
      <c r="F6143" s="269">
        <v>1</v>
      </c>
      <c r="G6143" s="269">
        <v>0</v>
      </c>
      <c r="H6143" s="269">
        <v>0</v>
      </c>
      <c r="I6143" s="269">
        <v>1</v>
      </c>
      <c r="J6143" s="269">
        <v>1</v>
      </c>
      <c r="K6143" s="269">
        <v>1</v>
      </c>
      <c r="L6143" s="269">
        <v>1</v>
      </c>
      <c r="M6143" s="269">
        <v>2</v>
      </c>
      <c r="N6143" s="269">
        <v>0</v>
      </c>
      <c r="O6143" s="279">
        <v>0</v>
      </c>
    </row>
    <row r="6144" ht="14.25" spans="1:15">
      <c r="A6144" s="270" t="s">
        <v>70</v>
      </c>
      <c r="B6144" s="271" t="s">
        <v>64</v>
      </c>
      <c r="C6144" s="19">
        <v>0.777777777777778</v>
      </c>
      <c r="D6144" s="272">
        <v>0</v>
      </c>
      <c r="E6144" s="272">
        <v>0</v>
      </c>
      <c r="F6144" s="272">
        <v>0</v>
      </c>
      <c r="G6144" s="272">
        <v>0</v>
      </c>
      <c r="H6144" s="272">
        <v>0</v>
      </c>
      <c r="I6144" s="272">
        <v>0</v>
      </c>
      <c r="J6144" s="272">
        <v>0</v>
      </c>
      <c r="K6144" s="272">
        <v>1</v>
      </c>
      <c r="L6144" s="272">
        <v>0.25</v>
      </c>
      <c r="M6144" s="272">
        <v>2</v>
      </c>
      <c r="N6144" s="272">
        <v>0</v>
      </c>
      <c r="O6144" s="280">
        <v>0</v>
      </c>
    </row>
    <row r="6145" spans="1:15">
      <c r="A6145" s="263" t="s">
        <v>26</v>
      </c>
      <c r="B6145" s="264" t="s">
        <v>55</v>
      </c>
      <c r="C6145" s="12">
        <v>0.781969309462916</v>
      </c>
      <c r="D6145" s="265">
        <v>0.852173913043478</v>
      </c>
      <c r="E6145" s="265">
        <v>0.712328767123288</v>
      </c>
      <c r="F6145" s="265">
        <v>1</v>
      </c>
      <c r="G6145" s="265">
        <v>1.22222222222222</v>
      </c>
      <c r="H6145" s="265">
        <v>0.770992366412214</v>
      </c>
      <c r="I6145" s="265">
        <v>0.705583756345178</v>
      </c>
      <c r="J6145" s="265">
        <v>0.824427480916031</v>
      </c>
      <c r="K6145" s="265">
        <v>0.818652849740933</v>
      </c>
      <c r="L6145" s="265">
        <v>0.660287081339713</v>
      </c>
      <c r="M6145" s="265">
        <v>0.792</v>
      </c>
      <c r="N6145" s="265">
        <v>0.772455089820359</v>
      </c>
      <c r="O6145" s="277">
        <v>0.807692307692308</v>
      </c>
    </row>
    <row r="6146" spans="1:15">
      <c r="A6146" s="266" t="s">
        <v>26</v>
      </c>
      <c r="B6146" s="267" t="s">
        <v>57</v>
      </c>
      <c r="C6146" s="15">
        <v>1564</v>
      </c>
      <c r="D6146" s="268">
        <v>115</v>
      </c>
      <c r="E6146" s="268">
        <v>73</v>
      </c>
      <c r="F6146" s="268">
        <v>31</v>
      </c>
      <c r="G6146" s="268">
        <v>36</v>
      </c>
      <c r="H6146" s="268">
        <v>131</v>
      </c>
      <c r="I6146" s="268">
        <v>197</v>
      </c>
      <c r="J6146" s="268">
        <v>131</v>
      </c>
      <c r="K6146" s="268">
        <v>193</v>
      </c>
      <c r="L6146" s="268">
        <v>209</v>
      </c>
      <c r="M6146" s="268">
        <v>125</v>
      </c>
      <c r="N6146" s="268">
        <v>167</v>
      </c>
      <c r="O6146" s="278">
        <v>156</v>
      </c>
    </row>
    <row r="6147" spans="1:15">
      <c r="A6147" s="263" t="s">
        <v>26</v>
      </c>
      <c r="B6147" s="264" t="s">
        <v>59</v>
      </c>
      <c r="C6147" s="15">
        <v>1223</v>
      </c>
      <c r="D6147" s="268">
        <v>98</v>
      </c>
      <c r="E6147" s="268">
        <v>52</v>
      </c>
      <c r="F6147" s="268">
        <v>31</v>
      </c>
      <c r="G6147" s="268">
        <v>44</v>
      </c>
      <c r="H6147" s="268">
        <v>101</v>
      </c>
      <c r="I6147" s="268">
        <v>139</v>
      </c>
      <c r="J6147" s="268">
        <v>108</v>
      </c>
      <c r="K6147" s="268">
        <v>158</v>
      </c>
      <c r="L6147" s="268">
        <v>138</v>
      </c>
      <c r="M6147" s="268">
        <v>99</v>
      </c>
      <c r="N6147" s="268">
        <v>129</v>
      </c>
      <c r="O6147" s="278">
        <v>126</v>
      </c>
    </row>
    <row r="6148" spans="1:15">
      <c r="A6148" s="266" t="s">
        <v>26</v>
      </c>
      <c r="B6148" s="267" t="s">
        <v>4</v>
      </c>
      <c r="C6148" s="15">
        <v>14</v>
      </c>
      <c r="D6148" s="269">
        <v>2</v>
      </c>
      <c r="E6148" s="269">
        <v>0</v>
      </c>
      <c r="F6148" s="269">
        <v>1</v>
      </c>
      <c r="G6148" s="269">
        <v>0</v>
      </c>
      <c r="H6148" s="269">
        <v>1</v>
      </c>
      <c r="I6148" s="269">
        <v>0</v>
      </c>
      <c r="J6148" s="269">
        <v>2</v>
      </c>
      <c r="K6148" s="269">
        <v>0</v>
      </c>
      <c r="L6148" s="269">
        <v>2</v>
      </c>
      <c r="M6148" s="269">
        <v>2</v>
      </c>
      <c r="N6148" s="269">
        <v>1</v>
      </c>
      <c r="O6148" s="279">
        <v>3</v>
      </c>
    </row>
    <row r="6149" spans="1:15">
      <c r="A6149" s="263" t="s">
        <v>26</v>
      </c>
      <c r="B6149" s="264" t="s">
        <v>5</v>
      </c>
      <c r="C6149" s="12">
        <v>0.0114472608340147</v>
      </c>
      <c r="D6149" s="265">
        <v>0.0204081632653061</v>
      </c>
      <c r="E6149" s="265">
        <v>0</v>
      </c>
      <c r="F6149" s="265">
        <v>0.032258064516129</v>
      </c>
      <c r="G6149" s="265">
        <v>0</v>
      </c>
      <c r="H6149" s="265">
        <v>0.0099009900990099</v>
      </c>
      <c r="I6149" s="265">
        <v>0</v>
      </c>
      <c r="J6149" s="265">
        <v>0.0185185185185185</v>
      </c>
      <c r="K6149" s="265">
        <v>0</v>
      </c>
      <c r="L6149" s="265">
        <v>0.0144927536231884</v>
      </c>
      <c r="M6149" s="265">
        <v>0.0202020202020202</v>
      </c>
      <c r="N6149" s="265">
        <v>0.00775193798449612</v>
      </c>
      <c r="O6149" s="277">
        <v>0.0238095238095238</v>
      </c>
    </row>
    <row r="6150" spans="1:15">
      <c r="A6150" s="266" t="s">
        <v>26</v>
      </c>
      <c r="B6150" s="267" t="s">
        <v>6</v>
      </c>
      <c r="C6150" s="15">
        <v>3</v>
      </c>
      <c r="D6150" s="269">
        <v>0</v>
      </c>
      <c r="E6150" s="269">
        <v>0</v>
      </c>
      <c r="F6150" s="269">
        <v>0</v>
      </c>
      <c r="G6150" s="269">
        <v>0</v>
      </c>
      <c r="H6150" s="269">
        <v>0</v>
      </c>
      <c r="I6150" s="269">
        <v>1</v>
      </c>
      <c r="J6150" s="269">
        <v>0</v>
      </c>
      <c r="K6150" s="269">
        <v>1</v>
      </c>
      <c r="L6150" s="269">
        <v>0</v>
      </c>
      <c r="M6150" s="269">
        <v>0</v>
      </c>
      <c r="N6150" s="269">
        <v>1</v>
      </c>
      <c r="O6150" s="279">
        <v>0</v>
      </c>
    </row>
    <row r="6151" ht="14.25" spans="1:15">
      <c r="A6151" s="270" t="s">
        <v>26</v>
      </c>
      <c r="B6151" s="271" t="s">
        <v>64</v>
      </c>
      <c r="C6151" s="19">
        <v>0.214285714285714</v>
      </c>
      <c r="D6151" s="19">
        <v>0</v>
      </c>
      <c r="E6151" s="19" t="e">
        <v>#DIV/0!</v>
      </c>
      <c r="F6151" s="19">
        <v>0</v>
      </c>
      <c r="G6151" s="19" t="e">
        <v>#DIV/0!</v>
      </c>
      <c r="H6151" s="19">
        <v>0</v>
      </c>
      <c r="I6151" s="19" t="e">
        <v>#DIV/0!</v>
      </c>
      <c r="J6151" s="19">
        <v>0</v>
      </c>
      <c r="K6151" s="19" t="e">
        <v>#DIV/0!</v>
      </c>
      <c r="L6151" s="19">
        <v>0</v>
      </c>
      <c r="M6151" s="19">
        <v>0</v>
      </c>
      <c r="N6151" s="19">
        <v>1</v>
      </c>
      <c r="O6151" s="19">
        <v>0</v>
      </c>
    </row>
    <row r="6152" spans="1:15">
      <c r="A6152" s="263" t="s">
        <v>71</v>
      </c>
      <c r="B6152" s="264" t="s">
        <v>55</v>
      </c>
      <c r="C6152" s="12" t="e">
        <v>#DIV/0!</v>
      </c>
      <c r="D6152" s="265" t="e">
        <v>#DIV/0!</v>
      </c>
      <c r="E6152" s="265" t="e">
        <v>#DIV/0!</v>
      </c>
      <c r="F6152" s="265" t="e">
        <v>#DIV/0!</v>
      </c>
      <c r="G6152" s="265" t="e">
        <v>#DIV/0!</v>
      </c>
      <c r="H6152" s="265" t="e">
        <v>#DIV/0!</v>
      </c>
      <c r="I6152" s="265" t="e">
        <v>#DIV/0!</v>
      </c>
      <c r="J6152" s="265" t="e">
        <v>#DIV/0!</v>
      </c>
      <c r="K6152" s="265" t="e">
        <v>#DIV/0!</v>
      </c>
      <c r="L6152" s="265" t="e">
        <v>#DIV/0!</v>
      </c>
      <c r="M6152" s="265" t="e">
        <v>#DIV/0!</v>
      </c>
      <c r="N6152" s="265" t="e">
        <v>#DIV/0!</v>
      </c>
      <c r="O6152" s="265" t="e">
        <v>#DIV/0!</v>
      </c>
    </row>
    <row r="6153" spans="1:15">
      <c r="A6153" s="266" t="s">
        <v>71</v>
      </c>
      <c r="B6153" s="267" t="s">
        <v>57</v>
      </c>
      <c r="C6153" s="15">
        <v>0</v>
      </c>
      <c r="D6153" s="268">
        <v>0</v>
      </c>
      <c r="E6153" s="268">
        <v>0</v>
      </c>
      <c r="F6153" s="268">
        <v>0</v>
      </c>
      <c r="G6153" s="268">
        <v>0</v>
      </c>
      <c r="H6153" s="268">
        <v>0</v>
      </c>
      <c r="I6153" s="268">
        <v>0</v>
      </c>
      <c r="J6153" s="268">
        <v>0</v>
      </c>
      <c r="K6153" s="268">
        <v>0</v>
      </c>
      <c r="L6153" s="268">
        <v>0</v>
      </c>
      <c r="M6153" s="268">
        <v>0</v>
      </c>
      <c r="N6153" s="268">
        <v>0</v>
      </c>
      <c r="O6153" s="278">
        <v>0</v>
      </c>
    </row>
    <row r="6154" spans="1:15">
      <c r="A6154" s="263" t="s">
        <v>71</v>
      </c>
      <c r="B6154" s="264" t="s">
        <v>59</v>
      </c>
      <c r="C6154" s="15">
        <v>665</v>
      </c>
      <c r="D6154" s="268">
        <v>73</v>
      </c>
      <c r="E6154" s="268">
        <v>39</v>
      </c>
      <c r="F6154" s="268">
        <v>26</v>
      </c>
      <c r="G6154" s="268">
        <v>37</v>
      </c>
      <c r="H6154" s="268">
        <v>64</v>
      </c>
      <c r="I6154" s="268">
        <v>59</v>
      </c>
      <c r="J6154" s="268">
        <v>63</v>
      </c>
      <c r="K6154" s="268">
        <v>76</v>
      </c>
      <c r="L6154" s="268">
        <v>77</v>
      </c>
      <c r="M6154" s="268">
        <v>63</v>
      </c>
      <c r="N6154" s="268">
        <v>50</v>
      </c>
      <c r="O6154" s="278">
        <v>38</v>
      </c>
    </row>
    <row r="6155" spans="1:15">
      <c r="A6155" s="266" t="s">
        <v>71</v>
      </c>
      <c r="B6155" s="267" t="s">
        <v>4</v>
      </c>
      <c r="C6155" s="15">
        <v>33</v>
      </c>
      <c r="D6155" s="269">
        <v>5</v>
      </c>
      <c r="E6155" s="269">
        <v>3</v>
      </c>
      <c r="F6155" s="269">
        <v>3</v>
      </c>
      <c r="G6155" s="269">
        <v>4</v>
      </c>
      <c r="H6155" s="269">
        <v>3</v>
      </c>
      <c r="I6155" s="269">
        <v>0</v>
      </c>
      <c r="J6155" s="269">
        <v>2</v>
      </c>
      <c r="K6155" s="269">
        <v>4</v>
      </c>
      <c r="L6155" s="269">
        <v>3</v>
      </c>
      <c r="M6155" s="269">
        <v>3</v>
      </c>
      <c r="N6155" s="269">
        <v>1</v>
      </c>
      <c r="O6155" s="279">
        <v>2</v>
      </c>
    </row>
    <row r="6156" spans="1:15">
      <c r="A6156" s="263" t="s">
        <v>71</v>
      </c>
      <c r="B6156" s="264" t="s">
        <v>5</v>
      </c>
      <c r="C6156" s="265">
        <v>0.0496240601503759</v>
      </c>
      <c r="D6156" s="265">
        <v>0.0684931506849315</v>
      </c>
      <c r="E6156" s="265">
        <v>0.0769230769230769</v>
      </c>
      <c r="F6156" s="265">
        <v>0.115384615384615</v>
      </c>
      <c r="G6156" s="265">
        <v>0.108108108108108</v>
      </c>
      <c r="H6156" s="265">
        <v>0.046875</v>
      </c>
      <c r="I6156" s="265">
        <v>0</v>
      </c>
      <c r="J6156" s="265">
        <v>0.0317460317460317</v>
      </c>
      <c r="K6156" s="265">
        <v>0.0526315789473684</v>
      </c>
      <c r="L6156" s="265">
        <v>0.038961038961039</v>
      </c>
      <c r="M6156" s="265">
        <v>0.0476190476190476</v>
      </c>
      <c r="N6156" s="265">
        <v>0.02</v>
      </c>
      <c r="O6156" s="277">
        <v>0.0526315789473684</v>
      </c>
    </row>
    <row r="6157" spans="1:15">
      <c r="A6157" s="266" t="s">
        <v>71</v>
      </c>
      <c r="B6157" s="267" t="s">
        <v>6</v>
      </c>
      <c r="C6157" s="15">
        <v>7</v>
      </c>
      <c r="D6157" s="269">
        <v>2</v>
      </c>
      <c r="E6157" s="269">
        <v>0</v>
      </c>
      <c r="F6157" s="269">
        <v>0</v>
      </c>
      <c r="G6157" s="269">
        <v>1</v>
      </c>
      <c r="H6157" s="269">
        <v>1</v>
      </c>
      <c r="I6157" s="269">
        <v>1</v>
      </c>
      <c r="J6157" s="269">
        <v>0</v>
      </c>
      <c r="K6157" s="269">
        <v>1</v>
      </c>
      <c r="L6157" s="269">
        <v>0</v>
      </c>
      <c r="M6157" s="269">
        <v>0</v>
      </c>
      <c r="N6157" s="269">
        <v>1</v>
      </c>
      <c r="O6157" s="279">
        <v>0</v>
      </c>
    </row>
    <row r="6158" ht="14.25" spans="1:15">
      <c r="A6158" s="270" t="s">
        <v>71</v>
      </c>
      <c r="B6158" s="271" t="s">
        <v>64</v>
      </c>
      <c r="C6158" s="19">
        <v>0.212121212121212</v>
      </c>
      <c r="D6158" s="19">
        <v>0.4</v>
      </c>
      <c r="E6158" s="19">
        <v>0</v>
      </c>
      <c r="F6158" s="19">
        <v>0</v>
      </c>
      <c r="G6158" s="19">
        <v>0.25</v>
      </c>
      <c r="H6158" s="19">
        <v>0.333333333333333</v>
      </c>
      <c r="I6158" s="19" t="e">
        <v>#DIV/0!</v>
      </c>
      <c r="J6158" s="19">
        <v>0</v>
      </c>
      <c r="K6158" s="19">
        <v>0.25</v>
      </c>
      <c r="L6158" s="19">
        <v>0</v>
      </c>
      <c r="M6158" s="19">
        <v>0</v>
      </c>
      <c r="N6158" s="19">
        <v>1</v>
      </c>
      <c r="O6158" s="19">
        <v>0</v>
      </c>
    </row>
    <row r="6159" spans="1:15">
      <c r="A6159" s="263" t="s">
        <v>72</v>
      </c>
      <c r="B6159" s="264" t="s">
        <v>55</v>
      </c>
      <c r="C6159" s="12">
        <v>0.140328697850822</v>
      </c>
      <c r="D6159" s="265">
        <v>0.121457489878543</v>
      </c>
      <c r="E6159" s="265">
        <v>0.165137614678899</v>
      </c>
      <c r="F6159" s="265">
        <v>0.290909090909091</v>
      </c>
      <c r="G6159" s="265">
        <v>0.151260504201681</v>
      </c>
      <c r="H6159" s="265">
        <v>0.235294117647059</v>
      </c>
      <c r="I6159" s="265">
        <v>0.0813953488372093</v>
      </c>
      <c r="J6159" s="265">
        <v>0.117977528089888</v>
      </c>
      <c r="K6159" s="265">
        <v>0.132743362831858</v>
      </c>
      <c r="L6159" s="265">
        <v>0.131147540983607</v>
      </c>
      <c r="M6159" s="265">
        <v>0.159574468085106</v>
      </c>
      <c r="N6159" s="265">
        <v>0.14010989010989</v>
      </c>
      <c r="O6159" s="277">
        <v>0.122388059701493</v>
      </c>
    </row>
    <row r="6160" spans="1:15">
      <c r="A6160" s="266" t="s">
        <v>72</v>
      </c>
      <c r="B6160" s="267" t="s">
        <v>57</v>
      </c>
      <c r="C6160" s="15">
        <v>2373</v>
      </c>
      <c r="D6160" s="268">
        <v>247</v>
      </c>
      <c r="E6160" s="268">
        <v>109</v>
      </c>
      <c r="F6160" s="268">
        <v>55</v>
      </c>
      <c r="G6160" s="268">
        <v>119</v>
      </c>
      <c r="H6160" s="268">
        <v>136</v>
      </c>
      <c r="I6160" s="268">
        <v>172</v>
      </c>
      <c r="J6160" s="268">
        <v>178</v>
      </c>
      <c r="K6160" s="268">
        <v>226</v>
      </c>
      <c r="L6160" s="268">
        <v>244</v>
      </c>
      <c r="M6160" s="268">
        <v>188</v>
      </c>
      <c r="N6160" s="268">
        <v>364</v>
      </c>
      <c r="O6160" s="278">
        <v>335</v>
      </c>
    </row>
    <row r="6161" spans="1:15">
      <c r="A6161" s="263" t="s">
        <v>72</v>
      </c>
      <c r="B6161" s="264" t="s">
        <v>59</v>
      </c>
      <c r="C6161" s="15">
        <v>333</v>
      </c>
      <c r="D6161" s="268">
        <v>30</v>
      </c>
      <c r="E6161" s="268">
        <v>18</v>
      </c>
      <c r="F6161" s="268">
        <v>16</v>
      </c>
      <c r="G6161" s="268">
        <v>18</v>
      </c>
      <c r="H6161" s="268">
        <v>32</v>
      </c>
      <c r="I6161" s="268">
        <v>14</v>
      </c>
      <c r="J6161" s="268">
        <v>21</v>
      </c>
      <c r="K6161" s="268">
        <v>30</v>
      </c>
      <c r="L6161" s="268">
        <v>32</v>
      </c>
      <c r="M6161" s="268">
        <v>30</v>
      </c>
      <c r="N6161" s="268">
        <v>51</v>
      </c>
      <c r="O6161" s="278">
        <v>41</v>
      </c>
    </row>
    <row r="6162" spans="1:15">
      <c r="A6162" s="266" t="s">
        <v>72</v>
      </c>
      <c r="B6162" s="267" t="s">
        <v>4</v>
      </c>
      <c r="C6162" s="15">
        <v>11</v>
      </c>
      <c r="D6162" s="269">
        <v>2</v>
      </c>
      <c r="E6162" s="269">
        <v>1</v>
      </c>
      <c r="F6162" s="269">
        <v>0</v>
      </c>
      <c r="G6162" s="269">
        <v>0</v>
      </c>
      <c r="H6162" s="269">
        <v>0</v>
      </c>
      <c r="I6162" s="269">
        <v>0</v>
      </c>
      <c r="J6162" s="269">
        <v>1</v>
      </c>
      <c r="K6162" s="269">
        <v>2</v>
      </c>
      <c r="L6162" s="269">
        <v>0</v>
      </c>
      <c r="M6162" s="269">
        <v>3</v>
      </c>
      <c r="N6162" s="269">
        <v>2</v>
      </c>
      <c r="O6162" s="279">
        <v>0</v>
      </c>
    </row>
    <row r="6163" spans="1:15">
      <c r="A6163" s="263" t="s">
        <v>72</v>
      </c>
      <c r="B6163" s="264" t="s">
        <v>5</v>
      </c>
      <c r="C6163" s="12">
        <v>0.033033033033033</v>
      </c>
      <c r="D6163" s="265">
        <v>0.0666666666666667</v>
      </c>
      <c r="E6163" s="265">
        <v>0.0555555555555556</v>
      </c>
      <c r="F6163" s="265">
        <v>0</v>
      </c>
      <c r="G6163" s="265">
        <v>0</v>
      </c>
      <c r="H6163" s="265">
        <v>0</v>
      </c>
      <c r="I6163" s="265">
        <v>0</v>
      </c>
      <c r="J6163" s="265">
        <v>0.0476190476190476</v>
      </c>
      <c r="K6163" s="265">
        <v>0.0666666666666667</v>
      </c>
      <c r="L6163" s="265">
        <v>0</v>
      </c>
      <c r="M6163" s="265">
        <v>0.1</v>
      </c>
      <c r="N6163" s="265">
        <v>0.0392156862745098</v>
      </c>
      <c r="O6163" s="277">
        <v>0</v>
      </c>
    </row>
    <row r="6164" spans="1:15">
      <c r="A6164" s="266" t="s">
        <v>72</v>
      </c>
      <c r="B6164" s="267" t="s">
        <v>6</v>
      </c>
      <c r="C6164" s="15">
        <v>1</v>
      </c>
      <c r="D6164" s="269">
        <v>0</v>
      </c>
      <c r="E6164" s="269">
        <v>0</v>
      </c>
      <c r="F6164" s="269">
        <v>0</v>
      </c>
      <c r="G6164" s="269">
        <v>0</v>
      </c>
      <c r="H6164" s="269">
        <v>0</v>
      </c>
      <c r="I6164" s="269">
        <v>0</v>
      </c>
      <c r="J6164" s="269">
        <v>0</v>
      </c>
      <c r="K6164" s="269">
        <v>0</v>
      </c>
      <c r="L6164" s="269">
        <v>0</v>
      </c>
      <c r="M6164" s="269">
        <v>1</v>
      </c>
      <c r="N6164" s="269">
        <v>0</v>
      </c>
      <c r="O6164" s="279">
        <v>0</v>
      </c>
    </row>
    <row r="6165" ht="14.25" spans="1:15">
      <c r="A6165" s="270" t="s">
        <v>72</v>
      </c>
      <c r="B6165" s="271" t="s">
        <v>64</v>
      </c>
      <c r="C6165" s="19">
        <v>0.0909090909090909</v>
      </c>
      <c r="D6165" s="19">
        <v>0</v>
      </c>
      <c r="E6165" s="19">
        <v>0</v>
      </c>
      <c r="F6165" s="19" t="e">
        <v>#DIV/0!</v>
      </c>
      <c r="G6165" s="19" t="e">
        <v>#DIV/0!</v>
      </c>
      <c r="H6165" s="19" t="e">
        <v>#DIV/0!</v>
      </c>
      <c r="I6165" s="19" t="e">
        <v>#DIV/0!</v>
      </c>
      <c r="J6165" s="19">
        <v>0</v>
      </c>
      <c r="K6165" s="19">
        <v>0</v>
      </c>
      <c r="L6165" s="19" t="e">
        <v>#DIV/0!</v>
      </c>
      <c r="M6165" s="19">
        <v>0.333333333333333</v>
      </c>
      <c r="N6165" s="19">
        <v>0</v>
      </c>
      <c r="O6165" s="19" t="e">
        <v>#DIV/0!</v>
      </c>
    </row>
    <row r="6166" ht="14.25" spans="1:15">
      <c r="A6166" s="259">
        <v>45114</v>
      </c>
      <c r="B6166" s="259"/>
      <c r="C6166" s="259"/>
      <c r="D6166" s="259"/>
      <c r="E6166" s="259"/>
      <c r="F6166" s="259"/>
      <c r="G6166" s="259"/>
      <c r="H6166" s="259"/>
      <c r="I6166" s="259"/>
      <c r="J6166" s="259"/>
      <c r="K6166" s="259"/>
      <c r="L6166" s="259"/>
      <c r="M6166" s="259"/>
      <c r="N6166" s="259"/>
      <c r="O6166" s="259"/>
    </row>
    <row r="6167" spans="1:15">
      <c r="A6167" s="260" t="s">
        <v>1</v>
      </c>
      <c r="B6167" s="261"/>
      <c r="C6167" s="8" t="s">
        <v>42</v>
      </c>
      <c r="D6167" s="262" t="s">
        <v>43</v>
      </c>
      <c r="E6167" s="262" t="s">
        <v>44</v>
      </c>
      <c r="F6167" s="262" t="s">
        <v>45</v>
      </c>
      <c r="G6167" s="262" t="s">
        <v>46</v>
      </c>
      <c r="H6167" s="262" t="s">
        <v>47</v>
      </c>
      <c r="I6167" s="262" t="s">
        <v>48</v>
      </c>
      <c r="J6167" s="262" t="s">
        <v>49</v>
      </c>
      <c r="K6167" s="262" t="s">
        <v>50</v>
      </c>
      <c r="L6167" s="262" t="s">
        <v>51</v>
      </c>
      <c r="M6167" s="262" t="s">
        <v>52</v>
      </c>
      <c r="N6167" s="262" t="s">
        <v>53</v>
      </c>
      <c r="O6167" s="276" t="s">
        <v>54</v>
      </c>
    </row>
    <row r="6168" spans="1:15">
      <c r="A6168" s="263" t="s">
        <v>22</v>
      </c>
      <c r="B6168" s="264" t="s">
        <v>55</v>
      </c>
      <c r="C6168" s="12">
        <v>0.487957610789981</v>
      </c>
      <c r="D6168" s="265">
        <v>0.442857142857143</v>
      </c>
      <c r="E6168" s="265">
        <v>0.418439716312057</v>
      </c>
      <c r="F6168" s="265">
        <v>0.563380281690141</v>
      </c>
      <c r="G6168" s="265">
        <v>0.714285714285714</v>
      </c>
      <c r="H6168" s="265">
        <v>0.536423841059603</v>
      </c>
      <c r="I6168" s="265">
        <v>0.475</v>
      </c>
      <c r="J6168" s="265">
        <v>0.491620111731844</v>
      </c>
      <c r="K6168" s="265">
        <v>0.542452830188679</v>
      </c>
      <c r="L6168" s="265">
        <v>0.444444444444444</v>
      </c>
      <c r="M6168" s="265">
        <v>0.540106951871658</v>
      </c>
      <c r="N6168" s="265">
        <v>0.401869158878505</v>
      </c>
      <c r="O6168" s="277">
        <v>0.462450592885375</v>
      </c>
    </row>
    <row r="6169" spans="1:15">
      <c r="A6169" s="266" t="s">
        <v>22</v>
      </c>
      <c r="B6169" s="267" t="s">
        <v>57</v>
      </c>
      <c r="C6169" s="15">
        <v>2076</v>
      </c>
      <c r="D6169" s="268">
        <v>210</v>
      </c>
      <c r="E6169" s="268">
        <v>141</v>
      </c>
      <c r="F6169" s="268">
        <v>71</v>
      </c>
      <c r="G6169" s="268">
        <v>91</v>
      </c>
      <c r="H6169" s="268">
        <v>151</v>
      </c>
      <c r="I6169" s="268">
        <v>160</v>
      </c>
      <c r="J6169" s="268">
        <v>179</v>
      </c>
      <c r="K6169" s="268">
        <v>212</v>
      </c>
      <c r="L6169" s="268">
        <v>207</v>
      </c>
      <c r="M6169" s="268">
        <v>187</v>
      </c>
      <c r="N6169" s="268">
        <v>214</v>
      </c>
      <c r="O6169" s="278">
        <v>253</v>
      </c>
    </row>
    <row r="6170" spans="1:15">
      <c r="A6170" s="263" t="s">
        <v>22</v>
      </c>
      <c r="B6170" s="264" t="s">
        <v>59</v>
      </c>
      <c r="C6170" s="15">
        <v>1013</v>
      </c>
      <c r="D6170" s="268">
        <v>93</v>
      </c>
      <c r="E6170" s="268">
        <v>59</v>
      </c>
      <c r="F6170" s="268">
        <v>40</v>
      </c>
      <c r="G6170" s="268">
        <v>65</v>
      </c>
      <c r="H6170" s="268">
        <v>81</v>
      </c>
      <c r="I6170" s="268">
        <v>76</v>
      </c>
      <c r="J6170" s="268">
        <v>88</v>
      </c>
      <c r="K6170" s="268">
        <v>115</v>
      </c>
      <c r="L6170" s="268">
        <v>92</v>
      </c>
      <c r="M6170" s="268">
        <v>101</v>
      </c>
      <c r="N6170" s="268">
        <v>86</v>
      </c>
      <c r="O6170" s="278">
        <v>117</v>
      </c>
    </row>
    <row r="6171" spans="1:15">
      <c r="A6171" s="266" t="s">
        <v>22</v>
      </c>
      <c r="B6171" s="267" t="s">
        <v>4</v>
      </c>
      <c r="C6171" s="15">
        <v>36</v>
      </c>
      <c r="D6171" s="269">
        <v>6</v>
      </c>
      <c r="E6171" s="269">
        <v>4</v>
      </c>
      <c r="F6171" s="269">
        <v>1</v>
      </c>
      <c r="G6171" s="269">
        <v>0</v>
      </c>
      <c r="H6171" s="269">
        <v>0</v>
      </c>
      <c r="I6171" s="269">
        <v>3</v>
      </c>
      <c r="J6171" s="269">
        <v>1</v>
      </c>
      <c r="K6171" s="269">
        <v>5</v>
      </c>
      <c r="L6171" s="269">
        <v>4</v>
      </c>
      <c r="M6171" s="269">
        <v>3</v>
      </c>
      <c r="N6171" s="269">
        <v>2</v>
      </c>
      <c r="O6171" s="279">
        <v>7</v>
      </c>
    </row>
    <row r="6172" spans="1:15">
      <c r="A6172" s="263" t="s">
        <v>22</v>
      </c>
      <c r="B6172" s="264" t="s">
        <v>5</v>
      </c>
      <c r="C6172" s="12">
        <v>0.035538005923001</v>
      </c>
      <c r="D6172" s="265">
        <v>0.0645161290322581</v>
      </c>
      <c r="E6172" s="265">
        <v>0.0677966101694915</v>
      </c>
      <c r="F6172" s="265">
        <v>0.025</v>
      </c>
      <c r="G6172" s="265">
        <v>0</v>
      </c>
      <c r="H6172" s="265">
        <v>0</v>
      </c>
      <c r="I6172" s="265">
        <v>0.0394736842105263</v>
      </c>
      <c r="J6172" s="265">
        <v>0.0113636363636364</v>
      </c>
      <c r="K6172" s="265">
        <v>0.0434782608695652</v>
      </c>
      <c r="L6172" s="265">
        <v>0.0434782608695652</v>
      </c>
      <c r="M6172" s="265">
        <v>0.0297029702970297</v>
      </c>
      <c r="N6172" s="265">
        <v>0.0232558139534884</v>
      </c>
      <c r="O6172" s="277">
        <v>0.0598290598290598</v>
      </c>
    </row>
    <row r="6173" spans="1:15">
      <c r="A6173" s="266" t="s">
        <v>22</v>
      </c>
      <c r="B6173" s="267" t="s">
        <v>6</v>
      </c>
      <c r="C6173" s="15">
        <v>8</v>
      </c>
      <c r="D6173" s="269">
        <v>1</v>
      </c>
      <c r="E6173" s="269">
        <v>1</v>
      </c>
      <c r="F6173" s="269">
        <v>0</v>
      </c>
      <c r="G6173" s="269">
        <v>0</v>
      </c>
      <c r="H6173" s="269">
        <v>0</v>
      </c>
      <c r="I6173" s="269">
        <v>1</v>
      </c>
      <c r="J6173" s="269">
        <v>1</v>
      </c>
      <c r="K6173" s="269">
        <v>2</v>
      </c>
      <c r="L6173" s="269">
        <v>0</v>
      </c>
      <c r="M6173" s="269">
        <v>0</v>
      </c>
      <c r="N6173" s="269">
        <v>0</v>
      </c>
      <c r="O6173" s="279">
        <v>2</v>
      </c>
    </row>
    <row r="6174" ht="14.25" spans="1:15">
      <c r="A6174" s="270" t="s">
        <v>22</v>
      </c>
      <c r="B6174" s="271" t="s">
        <v>64</v>
      </c>
      <c r="C6174" s="19">
        <v>0.222222222222222</v>
      </c>
      <c r="D6174" s="272">
        <v>0.166666666666667</v>
      </c>
      <c r="E6174" s="272">
        <v>0.25</v>
      </c>
      <c r="F6174" s="272">
        <v>0</v>
      </c>
      <c r="G6174" s="272">
        <v>0</v>
      </c>
      <c r="H6174" s="272">
        <v>0</v>
      </c>
      <c r="I6174" s="272">
        <v>0.333333333333333</v>
      </c>
      <c r="J6174" s="272">
        <v>1</v>
      </c>
      <c r="K6174" s="272">
        <v>0.4</v>
      </c>
      <c r="L6174" s="272">
        <v>0</v>
      </c>
      <c r="M6174" s="272">
        <v>0</v>
      </c>
      <c r="N6174" s="272">
        <v>0</v>
      </c>
      <c r="O6174" s="280">
        <v>0.285714285714286</v>
      </c>
    </row>
    <row r="6175" spans="1:15">
      <c r="A6175" s="273" t="s">
        <v>66</v>
      </c>
      <c r="B6175" s="274" t="s">
        <v>55</v>
      </c>
      <c r="C6175" s="12">
        <v>0.0600414078674948</v>
      </c>
      <c r="D6175" s="275">
        <v>0.0862944162436548</v>
      </c>
      <c r="E6175" s="275">
        <v>0.0265957446808511</v>
      </c>
      <c r="F6175" s="275">
        <v>0.0121951219512195</v>
      </c>
      <c r="G6175" s="275">
        <v>0.0125786163522013</v>
      </c>
      <c r="H6175" s="275">
        <v>0.0719424460431655</v>
      </c>
      <c r="I6175" s="275">
        <v>0.0769230769230769</v>
      </c>
      <c r="J6175" s="275">
        <v>0.0303030303030303</v>
      </c>
      <c r="K6175" s="275">
        <v>0.0882352941176471</v>
      </c>
      <c r="L6175" s="275">
        <v>0.119718309859155</v>
      </c>
      <c r="M6175" s="275">
        <v>0.0592105263157895</v>
      </c>
      <c r="N6175" s="275">
        <v>0.0723684210526316</v>
      </c>
      <c r="O6175" s="281">
        <v>0.0740740740740741</v>
      </c>
    </row>
    <row r="6176" spans="1:15">
      <c r="A6176" s="266" t="s">
        <v>66</v>
      </c>
      <c r="B6176" s="267" t="s">
        <v>57</v>
      </c>
      <c r="C6176" s="15">
        <v>1932</v>
      </c>
      <c r="D6176" s="268">
        <v>197</v>
      </c>
      <c r="E6176" s="268">
        <v>188</v>
      </c>
      <c r="F6176" s="268">
        <v>164</v>
      </c>
      <c r="G6176" s="268">
        <v>159</v>
      </c>
      <c r="H6176" s="268">
        <v>139</v>
      </c>
      <c r="I6176" s="268">
        <v>169</v>
      </c>
      <c r="J6176" s="268">
        <v>165</v>
      </c>
      <c r="K6176" s="268">
        <v>170</v>
      </c>
      <c r="L6176" s="268">
        <v>142</v>
      </c>
      <c r="M6176" s="268">
        <v>152</v>
      </c>
      <c r="N6176" s="268">
        <v>152</v>
      </c>
      <c r="O6176" s="278">
        <v>135</v>
      </c>
    </row>
    <row r="6177" spans="1:15">
      <c r="A6177" s="263" t="s">
        <v>66</v>
      </c>
      <c r="B6177" s="264" t="s">
        <v>59</v>
      </c>
      <c r="C6177" s="15">
        <v>116</v>
      </c>
      <c r="D6177" s="268">
        <v>17</v>
      </c>
      <c r="E6177" s="268">
        <v>5</v>
      </c>
      <c r="F6177" s="268">
        <v>2</v>
      </c>
      <c r="G6177" s="268">
        <v>2</v>
      </c>
      <c r="H6177" s="268">
        <v>10</v>
      </c>
      <c r="I6177" s="268">
        <v>13</v>
      </c>
      <c r="J6177" s="268">
        <v>5</v>
      </c>
      <c r="K6177" s="268">
        <v>15</v>
      </c>
      <c r="L6177" s="268">
        <v>17</v>
      </c>
      <c r="M6177" s="268">
        <v>9</v>
      </c>
      <c r="N6177" s="268">
        <v>11</v>
      </c>
      <c r="O6177" s="278">
        <v>10</v>
      </c>
    </row>
    <row r="6178" spans="1:15">
      <c r="A6178" s="266" t="s">
        <v>66</v>
      </c>
      <c r="B6178" s="267" t="s">
        <v>4</v>
      </c>
      <c r="C6178" s="15">
        <v>7</v>
      </c>
      <c r="D6178" s="269">
        <v>1</v>
      </c>
      <c r="E6178" s="269">
        <v>0</v>
      </c>
      <c r="F6178" s="269">
        <v>0</v>
      </c>
      <c r="G6178" s="269">
        <v>0</v>
      </c>
      <c r="H6178" s="269">
        <v>1</v>
      </c>
      <c r="I6178" s="269">
        <v>1</v>
      </c>
      <c r="J6178" s="269">
        <v>0</v>
      </c>
      <c r="K6178" s="269">
        <v>0</v>
      </c>
      <c r="L6178" s="269">
        <v>1</v>
      </c>
      <c r="M6178" s="269">
        <v>1</v>
      </c>
      <c r="N6178" s="269">
        <v>2</v>
      </c>
      <c r="O6178" s="279">
        <v>0</v>
      </c>
    </row>
    <row r="6179" spans="1:15">
      <c r="A6179" s="263" t="s">
        <v>66</v>
      </c>
      <c r="B6179" s="264" t="s">
        <v>5</v>
      </c>
      <c r="C6179" s="12">
        <v>0.0603448275862069</v>
      </c>
      <c r="D6179" s="265">
        <v>0.0588235294117647</v>
      </c>
      <c r="E6179" s="265">
        <v>0</v>
      </c>
      <c r="F6179" s="265">
        <v>0</v>
      </c>
      <c r="G6179" s="265">
        <v>0</v>
      </c>
      <c r="H6179" s="265">
        <v>0.1</v>
      </c>
      <c r="I6179" s="265">
        <v>0.0769230769230769</v>
      </c>
      <c r="J6179" s="265">
        <v>0</v>
      </c>
      <c r="K6179" s="265">
        <v>0</v>
      </c>
      <c r="L6179" s="265">
        <v>0.0588235294117647</v>
      </c>
      <c r="M6179" s="265">
        <v>0.111111111111111</v>
      </c>
      <c r="N6179" s="265">
        <v>0.181818181818182</v>
      </c>
      <c r="O6179" s="277">
        <v>0</v>
      </c>
    </row>
    <row r="6180" spans="1:15">
      <c r="A6180" s="266" t="s">
        <v>66</v>
      </c>
      <c r="B6180" s="267" t="s">
        <v>6</v>
      </c>
      <c r="C6180" s="15">
        <v>4</v>
      </c>
      <c r="D6180" s="269">
        <v>1</v>
      </c>
      <c r="E6180" s="269">
        <v>0</v>
      </c>
      <c r="F6180" s="269">
        <v>0</v>
      </c>
      <c r="G6180" s="269">
        <v>1</v>
      </c>
      <c r="H6180" s="269">
        <v>1</v>
      </c>
      <c r="I6180" s="269">
        <v>0</v>
      </c>
      <c r="J6180" s="269">
        <v>0</v>
      </c>
      <c r="K6180" s="269">
        <v>0</v>
      </c>
      <c r="L6180" s="269">
        <v>0</v>
      </c>
      <c r="M6180" s="269">
        <v>0</v>
      </c>
      <c r="N6180" s="269">
        <v>1</v>
      </c>
      <c r="O6180" s="279">
        <v>0</v>
      </c>
    </row>
    <row r="6181" ht="14.25" spans="1:15">
      <c r="A6181" s="270" t="s">
        <v>66</v>
      </c>
      <c r="B6181" s="271" t="s">
        <v>64</v>
      </c>
      <c r="C6181" s="19">
        <v>0.571428571428571</v>
      </c>
      <c r="D6181" s="272">
        <v>1</v>
      </c>
      <c r="E6181" s="272">
        <v>0</v>
      </c>
      <c r="F6181" s="272">
        <v>0</v>
      </c>
      <c r="G6181" s="272">
        <v>0</v>
      </c>
      <c r="H6181" s="272">
        <v>1</v>
      </c>
      <c r="I6181" s="272">
        <v>0</v>
      </c>
      <c r="J6181" s="272">
        <v>0</v>
      </c>
      <c r="K6181" s="272">
        <v>0</v>
      </c>
      <c r="L6181" s="272">
        <v>0</v>
      </c>
      <c r="M6181" s="272">
        <v>0</v>
      </c>
      <c r="N6181" s="272">
        <v>0.5</v>
      </c>
      <c r="O6181" s="280">
        <v>0</v>
      </c>
    </row>
    <row r="6182" spans="1:15">
      <c r="A6182" s="263" t="s">
        <v>67</v>
      </c>
      <c r="B6182" s="264" t="s">
        <v>55</v>
      </c>
      <c r="C6182" s="12">
        <v>0.554426705370102</v>
      </c>
      <c r="D6182" s="265">
        <v>0.804347826086957</v>
      </c>
      <c r="E6182" s="265">
        <v>0.526315789473684</v>
      </c>
      <c r="F6182" s="265">
        <v>0.481481481481481</v>
      </c>
      <c r="G6182" s="265">
        <v>0.488372093023256</v>
      </c>
      <c r="H6182" s="265">
        <v>0.573770491803279</v>
      </c>
      <c r="I6182" s="265">
        <v>0.405405405405405</v>
      </c>
      <c r="J6182" s="265">
        <v>0.558441558441558</v>
      </c>
      <c r="K6182" s="265">
        <v>0.60655737704918</v>
      </c>
      <c r="L6182" s="265">
        <v>0.653846153846154</v>
      </c>
      <c r="M6182" s="265">
        <v>0.448275862068966</v>
      </c>
      <c r="N6182" s="265">
        <v>0.52112676056338</v>
      </c>
      <c r="O6182" s="277">
        <v>0.604938271604938</v>
      </c>
    </row>
    <row r="6183" spans="1:15">
      <c r="A6183" s="266" t="s">
        <v>67</v>
      </c>
      <c r="B6183" s="267" t="s">
        <v>57</v>
      </c>
      <c r="C6183" s="15">
        <v>689</v>
      </c>
      <c r="D6183" s="268">
        <v>46</v>
      </c>
      <c r="E6183" s="268">
        <v>38</v>
      </c>
      <c r="F6183" s="268">
        <v>27</v>
      </c>
      <c r="G6183" s="268">
        <v>43</v>
      </c>
      <c r="H6183" s="268">
        <v>61</v>
      </c>
      <c r="I6183" s="268">
        <v>74</v>
      </c>
      <c r="J6183" s="268">
        <v>77</v>
      </c>
      <c r="K6183" s="268">
        <v>61</v>
      </c>
      <c r="L6183" s="268">
        <v>52</v>
      </c>
      <c r="M6183" s="268">
        <v>58</v>
      </c>
      <c r="N6183" s="268">
        <v>71</v>
      </c>
      <c r="O6183" s="278">
        <v>81</v>
      </c>
    </row>
    <row r="6184" spans="1:15">
      <c r="A6184" s="263" t="s">
        <v>67</v>
      </c>
      <c r="B6184" s="264" t="s">
        <v>59</v>
      </c>
      <c r="C6184" s="15">
        <v>382</v>
      </c>
      <c r="D6184" s="268">
        <v>37</v>
      </c>
      <c r="E6184" s="268">
        <v>20</v>
      </c>
      <c r="F6184" s="268">
        <v>13</v>
      </c>
      <c r="G6184" s="268">
        <v>21</v>
      </c>
      <c r="H6184" s="268">
        <v>35</v>
      </c>
      <c r="I6184" s="268">
        <v>30</v>
      </c>
      <c r="J6184" s="268">
        <v>43</v>
      </c>
      <c r="K6184" s="268">
        <v>37</v>
      </c>
      <c r="L6184" s="268">
        <v>34</v>
      </c>
      <c r="M6184" s="268">
        <v>26</v>
      </c>
      <c r="N6184" s="268">
        <v>37</v>
      </c>
      <c r="O6184" s="278">
        <v>49</v>
      </c>
    </row>
    <row r="6185" spans="1:15">
      <c r="A6185" s="266" t="s">
        <v>67</v>
      </c>
      <c r="B6185" s="267" t="s">
        <v>4</v>
      </c>
      <c r="C6185" s="15">
        <v>12</v>
      </c>
      <c r="D6185" s="269">
        <v>1</v>
      </c>
      <c r="E6185" s="269">
        <v>1</v>
      </c>
      <c r="F6185" s="269">
        <v>0</v>
      </c>
      <c r="G6185" s="269">
        <v>1</v>
      </c>
      <c r="H6185" s="269">
        <v>2</v>
      </c>
      <c r="I6185" s="269">
        <v>1</v>
      </c>
      <c r="J6185" s="269">
        <v>1</v>
      </c>
      <c r="K6185" s="269">
        <v>0</v>
      </c>
      <c r="L6185" s="269">
        <v>1</v>
      </c>
      <c r="M6185" s="269">
        <v>1</v>
      </c>
      <c r="N6185" s="269">
        <v>2</v>
      </c>
      <c r="O6185" s="279">
        <v>1</v>
      </c>
    </row>
    <row r="6186" spans="1:15">
      <c r="A6186" s="263" t="s">
        <v>67</v>
      </c>
      <c r="B6186" s="264" t="s">
        <v>5</v>
      </c>
      <c r="C6186" s="12">
        <v>0.031413612565445</v>
      </c>
      <c r="D6186" s="265">
        <v>0.027027027027027</v>
      </c>
      <c r="E6186" s="265">
        <v>0.05</v>
      </c>
      <c r="F6186" s="265">
        <v>0</v>
      </c>
      <c r="G6186" s="265">
        <v>0.0476190476190476</v>
      </c>
      <c r="H6186" s="265">
        <v>0.0571428571428571</v>
      </c>
      <c r="I6186" s="265">
        <v>0.0333333333333333</v>
      </c>
      <c r="J6186" s="265">
        <v>0.0232558139534884</v>
      </c>
      <c r="K6186" s="265">
        <v>0</v>
      </c>
      <c r="L6186" s="265">
        <v>0.0294117647058824</v>
      </c>
      <c r="M6186" s="265">
        <v>0.0384615384615385</v>
      </c>
      <c r="N6186" s="265">
        <v>0.0540540540540541</v>
      </c>
      <c r="O6186" s="277">
        <v>0.0204081632653061</v>
      </c>
    </row>
    <row r="6187" spans="1:15">
      <c r="A6187" s="266" t="s">
        <v>67</v>
      </c>
      <c r="B6187" s="267" t="s">
        <v>6</v>
      </c>
      <c r="C6187" s="15">
        <v>5</v>
      </c>
      <c r="D6187" s="269">
        <v>2</v>
      </c>
      <c r="E6187" s="269">
        <v>0</v>
      </c>
      <c r="F6187" s="269">
        <v>0</v>
      </c>
      <c r="G6187" s="269">
        <v>0</v>
      </c>
      <c r="H6187" s="269">
        <v>0</v>
      </c>
      <c r="I6187" s="269">
        <v>1</v>
      </c>
      <c r="J6187" s="269">
        <v>1</v>
      </c>
      <c r="K6187" s="269">
        <v>0</v>
      </c>
      <c r="L6187" s="269">
        <v>0</v>
      </c>
      <c r="M6187" s="269">
        <v>0</v>
      </c>
      <c r="N6187" s="269">
        <v>1</v>
      </c>
      <c r="O6187" s="279">
        <v>0</v>
      </c>
    </row>
    <row r="6188" ht="14.25" spans="1:15">
      <c r="A6188" s="270" t="s">
        <v>67</v>
      </c>
      <c r="B6188" s="271" t="s">
        <v>64</v>
      </c>
      <c r="C6188" s="19">
        <v>0.416666666666667</v>
      </c>
      <c r="D6188" s="272">
        <v>2</v>
      </c>
      <c r="E6188" s="272">
        <v>0</v>
      </c>
      <c r="F6188" s="272">
        <v>0</v>
      </c>
      <c r="G6188" s="272">
        <v>0</v>
      </c>
      <c r="H6188" s="272">
        <v>0</v>
      </c>
      <c r="I6188" s="272">
        <v>1</v>
      </c>
      <c r="J6188" s="272">
        <v>1</v>
      </c>
      <c r="K6188" s="272">
        <v>0</v>
      </c>
      <c r="L6188" s="272">
        <v>0</v>
      </c>
      <c r="M6188" s="272">
        <v>0</v>
      </c>
      <c r="N6188" s="272">
        <v>0.5</v>
      </c>
      <c r="O6188" s="280">
        <v>0</v>
      </c>
    </row>
    <row r="6189" spans="1:15">
      <c r="A6189" s="263" t="s">
        <v>68</v>
      </c>
      <c r="B6189" s="264" t="s">
        <v>55</v>
      </c>
      <c r="C6189" s="12">
        <v>0.268872180451128</v>
      </c>
      <c r="D6189" s="265">
        <v>0.272425249169435</v>
      </c>
      <c r="E6189" s="265">
        <v>0.208835341365462</v>
      </c>
      <c r="F6189" s="265">
        <v>0.328947368421053</v>
      </c>
      <c r="G6189" s="265">
        <v>0.394230769230769</v>
      </c>
      <c r="H6189" s="265">
        <v>0.277310924369748</v>
      </c>
      <c r="I6189" s="265">
        <v>0.268939393939394</v>
      </c>
      <c r="J6189" s="265">
        <v>0.262798634812287</v>
      </c>
      <c r="K6189" s="265">
        <v>0.239316239316239</v>
      </c>
      <c r="L6189" s="265">
        <v>0.275757575757576</v>
      </c>
      <c r="M6189" s="265">
        <v>0.264957264957265</v>
      </c>
      <c r="N6189" s="265">
        <v>0.2625</v>
      </c>
      <c r="O6189" s="277">
        <v>0.276881720430108</v>
      </c>
    </row>
    <row r="6190" spans="1:15">
      <c r="A6190" s="266" t="s">
        <v>68</v>
      </c>
      <c r="B6190" s="267" t="s">
        <v>57</v>
      </c>
      <c r="C6190" s="15">
        <v>3325</v>
      </c>
      <c r="D6190" s="268">
        <v>301</v>
      </c>
      <c r="E6190" s="268">
        <v>249</v>
      </c>
      <c r="F6190" s="268">
        <v>152</v>
      </c>
      <c r="G6190" s="268">
        <v>104</v>
      </c>
      <c r="H6190" s="268">
        <v>238</v>
      </c>
      <c r="I6190" s="268">
        <v>264</v>
      </c>
      <c r="J6190" s="268">
        <v>293</v>
      </c>
      <c r="K6190" s="268">
        <v>351</v>
      </c>
      <c r="L6190" s="268">
        <v>330</v>
      </c>
      <c r="M6190" s="268">
        <v>351</v>
      </c>
      <c r="N6190" s="268">
        <v>320</v>
      </c>
      <c r="O6190" s="278">
        <v>372</v>
      </c>
    </row>
    <row r="6191" spans="1:15">
      <c r="A6191" s="263" t="s">
        <v>68</v>
      </c>
      <c r="B6191" s="264" t="s">
        <v>59</v>
      </c>
      <c r="C6191" s="15">
        <v>894</v>
      </c>
      <c r="D6191" s="268">
        <v>82</v>
      </c>
      <c r="E6191" s="268">
        <v>52</v>
      </c>
      <c r="F6191" s="268">
        <v>50</v>
      </c>
      <c r="G6191" s="268">
        <v>41</v>
      </c>
      <c r="H6191" s="268">
        <v>66</v>
      </c>
      <c r="I6191" s="268">
        <v>71</v>
      </c>
      <c r="J6191" s="268">
        <v>77</v>
      </c>
      <c r="K6191" s="268">
        <v>84</v>
      </c>
      <c r="L6191" s="268">
        <v>91</v>
      </c>
      <c r="M6191" s="268">
        <v>93</v>
      </c>
      <c r="N6191" s="268">
        <v>84</v>
      </c>
      <c r="O6191" s="278">
        <v>103</v>
      </c>
    </row>
    <row r="6192" spans="1:15">
      <c r="A6192" s="266" t="s">
        <v>68</v>
      </c>
      <c r="B6192" s="267" t="s">
        <v>4</v>
      </c>
      <c r="C6192" s="15">
        <v>47</v>
      </c>
      <c r="D6192" s="269">
        <v>3</v>
      </c>
      <c r="E6192" s="269">
        <v>3</v>
      </c>
      <c r="F6192" s="269">
        <v>1</v>
      </c>
      <c r="G6192" s="269">
        <v>2</v>
      </c>
      <c r="H6192" s="269">
        <v>3</v>
      </c>
      <c r="I6192" s="269">
        <v>2</v>
      </c>
      <c r="J6192" s="269">
        <v>5</v>
      </c>
      <c r="K6192" s="269">
        <v>5</v>
      </c>
      <c r="L6192" s="269">
        <v>5</v>
      </c>
      <c r="M6192" s="269">
        <v>7</v>
      </c>
      <c r="N6192" s="269">
        <v>6</v>
      </c>
      <c r="O6192" s="279">
        <v>5</v>
      </c>
    </row>
    <row r="6193" spans="1:15">
      <c r="A6193" s="263" t="s">
        <v>68</v>
      </c>
      <c r="B6193" s="264" t="s">
        <v>5</v>
      </c>
      <c r="C6193" s="12">
        <v>0.052572706935123</v>
      </c>
      <c r="D6193" s="265">
        <v>0.0365853658536585</v>
      </c>
      <c r="E6193" s="265">
        <v>0.0576923076923077</v>
      </c>
      <c r="F6193" s="265">
        <v>0.02</v>
      </c>
      <c r="G6193" s="265">
        <v>0.0487804878048781</v>
      </c>
      <c r="H6193" s="265">
        <v>0.0454545454545455</v>
      </c>
      <c r="I6193" s="265">
        <v>0.028169014084507</v>
      </c>
      <c r="J6193" s="265">
        <v>0.0649350649350649</v>
      </c>
      <c r="K6193" s="265">
        <v>0.0595238095238095</v>
      </c>
      <c r="L6193" s="265">
        <v>0.0549450549450549</v>
      </c>
      <c r="M6193" s="265">
        <v>0.0752688172043011</v>
      </c>
      <c r="N6193" s="265">
        <v>0.0714285714285714</v>
      </c>
      <c r="O6193" s="277">
        <v>0.0485436893203883</v>
      </c>
    </row>
    <row r="6194" spans="1:15">
      <c r="A6194" s="266" t="s">
        <v>68</v>
      </c>
      <c r="B6194" s="267" t="s">
        <v>6</v>
      </c>
      <c r="C6194" s="15">
        <v>18</v>
      </c>
      <c r="D6194" s="269">
        <v>1</v>
      </c>
      <c r="E6194" s="269">
        <v>2</v>
      </c>
      <c r="F6194" s="269">
        <v>0</v>
      </c>
      <c r="G6194" s="269">
        <v>1</v>
      </c>
      <c r="H6194" s="269">
        <v>0</v>
      </c>
      <c r="I6194" s="269">
        <v>3</v>
      </c>
      <c r="J6194" s="269">
        <v>3</v>
      </c>
      <c r="K6194" s="269">
        <v>2</v>
      </c>
      <c r="L6194" s="269">
        <v>1</v>
      </c>
      <c r="M6194" s="269">
        <v>3</v>
      </c>
      <c r="N6194" s="269">
        <v>1</v>
      </c>
      <c r="O6194" s="279">
        <v>1</v>
      </c>
    </row>
    <row r="6195" ht="14.25" spans="1:15">
      <c r="A6195" s="270" t="s">
        <v>68</v>
      </c>
      <c r="B6195" s="271" t="s">
        <v>64</v>
      </c>
      <c r="C6195" s="19">
        <v>0.382978723404255</v>
      </c>
      <c r="D6195" s="272">
        <v>0.333333333333333</v>
      </c>
      <c r="E6195" s="272">
        <v>0.666666666666667</v>
      </c>
      <c r="F6195" s="272">
        <v>0</v>
      </c>
      <c r="G6195" s="272">
        <v>0.5</v>
      </c>
      <c r="H6195" s="272">
        <v>0</v>
      </c>
      <c r="I6195" s="272">
        <v>1.5</v>
      </c>
      <c r="J6195" s="272">
        <v>0.6</v>
      </c>
      <c r="K6195" s="272">
        <v>0.4</v>
      </c>
      <c r="L6195" s="272">
        <v>0.2</v>
      </c>
      <c r="M6195" s="272">
        <v>0.428571428571429</v>
      </c>
      <c r="N6195" s="272">
        <v>0.166666666666667</v>
      </c>
      <c r="O6195" s="280">
        <v>0.2</v>
      </c>
    </row>
    <row r="6196" spans="1:15">
      <c r="A6196" s="263" t="s">
        <v>69</v>
      </c>
      <c r="B6196" s="264" t="s">
        <v>55</v>
      </c>
      <c r="C6196" s="12">
        <v>1.76767676767677</v>
      </c>
      <c r="D6196" s="265">
        <v>1.31818181818182</v>
      </c>
      <c r="E6196" s="265">
        <v>1.33333333333333</v>
      </c>
      <c r="F6196" s="265">
        <v>2</v>
      </c>
      <c r="G6196" s="265">
        <v>1</v>
      </c>
      <c r="H6196" s="265">
        <v>2</v>
      </c>
      <c r="I6196" s="265">
        <v>3.66666666666667</v>
      </c>
      <c r="J6196" s="265">
        <v>2.1</v>
      </c>
      <c r="K6196" s="265">
        <v>2.66666666666667</v>
      </c>
      <c r="L6196" s="265">
        <v>1.83333333333333</v>
      </c>
      <c r="M6196" s="265">
        <v>2.375</v>
      </c>
      <c r="N6196" s="265">
        <v>1.66666666666667</v>
      </c>
      <c r="O6196" s="277">
        <v>1.4</v>
      </c>
    </row>
    <row r="6197" spans="1:15">
      <c r="A6197" s="266" t="s">
        <v>69</v>
      </c>
      <c r="B6197" s="267" t="s">
        <v>57</v>
      </c>
      <c r="C6197" s="15">
        <v>99</v>
      </c>
      <c r="D6197" s="268">
        <v>22</v>
      </c>
      <c r="E6197" s="268">
        <v>6</v>
      </c>
      <c r="F6197" s="268">
        <v>2</v>
      </c>
      <c r="G6197" s="268">
        <v>7</v>
      </c>
      <c r="H6197" s="268">
        <v>7</v>
      </c>
      <c r="I6197" s="268">
        <v>3</v>
      </c>
      <c r="J6197" s="268">
        <v>10</v>
      </c>
      <c r="K6197" s="268">
        <v>6</v>
      </c>
      <c r="L6197" s="268">
        <v>12</v>
      </c>
      <c r="M6197" s="268">
        <v>8</v>
      </c>
      <c r="N6197" s="268">
        <v>6</v>
      </c>
      <c r="O6197" s="278">
        <v>10</v>
      </c>
    </row>
    <row r="6198" spans="1:15">
      <c r="A6198" s="263" t="s">
        <v>69</v>
      </c>
      <c r="B6198" s="264" t="s">
        <v>59</v>
      </c>
      <c r="C6198" s="15">
        <v>175</v>
      </c>
      <c r="D6198" s="268">
        <v>29</v>
      </c>
      <c r="E6198" s="268">
        <v>8</v>
      </c>
      <c r="F6198" s="268">
        <v>4</v>
      </c>
      <c r="G6198" s="268">
        <v>7</v>
      </c>
      <c r="H6198" s="268">
        <v>14</v>
      </c>
      <c r="I6198" s="268">
        <v>11</v>
      </c>
      <c r="J6198" s="268">
        <v>21</v>
      </c>
      <c r="K6198" s="268">
        <v>16</v>
      </c>
      <c r="L6198" s="268">
        <v>22</v>
      </c>
      <c r="M6198" s="268">
        <v>19</v>
      </c>
      <c r="N6198" s="268">
        <v>10</v>
      </c>
      <c r="O6198" s="278">
        <v>14</v>
      </c>
    </row>
    <row r="6199" spans="1:15">
      <c r="A6199" s="266" t="s">
        <v>69</v>
      </c>
      <c r="B6199" s="267" t="s">
        <v>4</v>
      </c>
      <c r="C6199" s="15">
        <v>1</v>
      </c>
      <c r="D6199" s="269">
        <v>0</v>
      </c>
      <c r="E6199" s="269">
        <v>0</v>
      </c>
      <c r="F6199" s="269">
        <v>0</v>
      </c>
      <c r="G6199" s="269">
        <v>0</v>
      </c>
      <c r="H6199" s="269">
        <v>0</v>
      </c>
      <c r="I6199" s="269">
        <v>0</v>
      </c>
      <c r="J6199" s="269">
        <v>0</v>
      </c>
      <c r="K6199" s="269">
        <v>0</v>
      </c>
      <c r="L6199" s="269">
        <v>0</v>
      </c>
      <c r="M6199" s="269">
        <v>0</v>
      </c>
      <c r="N6199" s="269">
        <v>1</v>
      </c>
      <c r="O6199" s="279">
        <v>0</v>
      </c>
    </row>
    <row r="6200" spans="1:15">
      <c r="A6200" s="263" t="s">
        <v>69</v>
      </c>
      <c r="B6200" s="264" t="s">
        <v>5</v>
      </c>
      <c r="C6200" s="12">
        <v>0.00571428571428571</v>
      </c>
      <c r="D6200" s="265">
        <v>0</v>
      </c>
      <c r="E6200" s="265">
        <v>0</v>
      </c>
      <c r="F6200" s="265">
        <v>0</v>
      </c>
      <c r="G6200" s="265">
        <v>0</v>
      </c>
      <c r="H6200" s="265">
        <v>0</v>
      </c>
      <c r="I6200" s="265">
        <v>0</v>
      </c>
      <c r="J6200" s="265">
        <v>0</v>
      </c>
      <c r="K6200" s="265">
        <v>0</v>
      </c>
      <c r="L6200" s="265">
        <v>0</v>
      </c>
      <c r="M6200" s="265">
        <v>0</v>
      </c>
      <c r="N6200" s="265">
        <v>0.1</v>
      </c>
      <c r="O6200" s="277">
        <v>0</v>
      </c>
    </row>
    <row r="6201" spans="1:15">
      <c r="A6201" s="266" t="s">
        <v>69</v>
      </c>
      <c r="B6201" s="267" t="s">
        <v>6</v>
      </c>
      <c r="C6201" s="15">
        <v>1</v>
      </c>
      <c r="D6201" s="269">
        <v>0</v>
      </c>
      <c r="E6201" s="269">
        <v>0</v>
      </c>
      <c r="F6201" s="269">
        <v>0</v>
      </c>
      <c r="G6201" s="269">
        <v>0</v>
      </c>
      <c r="H6201" s="269">
        <v>0</v>
      </c>
      <c r="I6201" s="269">
        <v>0</v>
      </c>
      <c r="J6201" s="269">
        <v>0</v>
      </c>
      <c r="K6201" s="269">
        <v>0</v>
      </c>
      <c r="L6201" s="269">
        <v>0</v>
      </c>
      <c r="M6201" s="269">
        <v>0</v>
      </c>
      <c r="N6201" s="269">
        <v>0</v>
      </c>
      <c r="O6201" s="279">
        <v>1</v>
      </c>
    </row>
    <row r="6202" ht="14.25" spans="1:15">
      <c r="A6202" s="270" t="s">
        <v>69</v>
      </c>
      <c r="B6202" s="271" t="s">
        <v>64</v>
      </c>
      <c r="C6202" s="19">
        <v>1</v>
      </c>
      <c r="D6202" s="272">
        <v>0</v>
      </c>
      <c r="E6202" s="272">
        <v>0</v>
      </c>
      <c r="F6202" s="272">
        <v>0</v>
      </c>
      <c r="G6202" s="272">
        <v>0</v>
      </c>
      <c r="H6202" s="272">
        <v>0</v>
      </c>
      <c r="I6202" s="272">
        <v>0</v>
      </c>
      <c r="J6202" s="272">
        <v>0</v>
      </c>
      <c r="K6202" s="272">
        <v>0</v>
      </c>
      <c r="L6202" s="272">
        <v>0</v>
      </c>
      <c r="M6202" s="272">
        <v>0</v>
      </c>
      <c r="N6202" s="272">
        <v>0</v>
      </c>
      <c r="O6202" s="280">
        <v>0</v>
      </c>
    </row>
    <row r="6203" spans="1:15">
      <c r="A6203" s="263" t="s">
        <v>70</v>
      </c>
      <c r="B6203" s="264" t="s">
        <v>55</v>
      </c>
      <c r="C6203" s="12">
        <v>2.04979253112033</v>
      </c>
      <c r="D6203" s="265">
        <v>2.57142857142857</v>
      </c>
      <c r="E6203" s="265">
        <v>1.23076923076923</v>
      </c>
      <c r="F6203" s="265">
        <v>1.13333333333333</v>
      </c>
      <c r="G6203" s="265">
        <v>1.83333333333333</v>
      </c>
      <c r="H6203" s="265">
        <v>2</v>
      </c>
      <c r="I6203" s="265">
        <v>2.38888888888889</v>
      </c>
      <c r="J6203" s="265">
        <v>1.57142857142857</v>
      </c>
      <c r="K6203" s="265">
        <v>2.15</v>
      </c>
      <c r="L6203" s="265">
        <v>2.52</v>
      </c>
      <c r="M6203" s="265">
        <v>1.64516129032258</v>
      </c>
      <c r="N6203" s="265">
        <v>1.95652173913043</v>
      </c>
      <c r="O6203" s="277">
        <v>4</v>
      </c>
    </row>
    <row r="6204" spans="1:15">
      <c r="A6204" s="266" t="s">
        <v>70</v>
      </c>
      <c r="B6204" s="267" t="s">
        <v>57</v>
      </c>
      <c r="C6204" s="15">
        <v>241</v>
      </c>
      <c r="D6204" s="268">
        <v>21</v>
      </c>
      <c r="E6204" s="268">
        <v>13</v>
      </c>
      <c r="F6204" s="268">
        <v>15</v>
      </c>
      <c r="G6204" s="268">
        <v>6</v>
      </c>
      <c r="H6204" s="268">
        <v>20</v>
      </c>
      <c r="I6204" s="268">
        <v>18</v>
      </c>
      <c r="J6204" s="268">
        <v>35</v>
      </c>
      <c r="K6204" s="268">
        <v>20</v>
      </c>
      <c r="L6204" s="268">
        <v>25</v>
      </c>
      <c r="M6204" s="268">
        <v>31</v>
      </c>
      <c r="N6204" s="268">
        <v>23</v>
      </c>
      <c r="O6204" s="278">
        <v>14</v>
      </c>
    </row>
    <row r="6205" spans="1:15">
      <c r="A6205" s="263" t="s">
        <v>70</v>
      </c>
      <c r="B6205" s="264" t="s">
        <v>59</v>
      </c>
      <c r="C6205" s="15">
        <v>494</v>
      </c>
      <c r="D6205" s="268">
        <v>54</v>
      </c>
      <c r="E6205" s="268">
        <v>16</v>
      </c>
      <c r="F6205" s="268">
        <v>17</v>
      </c>
      <c r="G6205" s="268">
        <v>11</v>
      </c>
      <c r="H6205" s="268">
        <v>40</v>
      </c>
      <c r="I6205" s="268">
        <v>43</v>
      </c>
      <c r="J6205" s="268">
        <v>55</v>
      </c>
      <c r="K6205" s="268">
        <v>43</v>
      </c>
      <c r="L6205" s="268">
        <v>63</v>
      </c>
      <c r="M6205" s="268">
        <v>51</v>
      </c>
      <c r="N6205" s="268">
        <v>45</v>
      </c>
      <c r="O6205" s="278">
        <v>56</v>
      </c>
    </row>
    <row r="6206" spans="1:15">
      <c r="A6206" s="266" t="s">
        <v>70</v>
      </c>
      <c r="B6206" s="267" t="s">
        <v>4</v>
      </c>
      <c r="C6206" s="15">
        <v>6</v>
      </c>
      <c r="D6206" s="269">
        <v>1</v>
      </c>
      <c r="E6206" s="269">
        <v>0</v>
      </c>
      <c r="F6206" s="269">
        <v>1</v>
      </c>
      <c r="G6206" s="269">
        <v>0</v>
      </c>
      <c r="H6206" s="269">
        <v>0</v>
      </c>
      <c r="I6206" s="269">
        <v>0</v>
      </c>
      <c r="J6206" s="269">
        <v>2</v>
      </c>
      <c r="K6206" s="269">
        <v>0</v>
      </c>
      <c r="L6206" s="269">
        <v>0</v>
      </c>
      <c r="M6206" s="269">
        <v>2</v>
      </c>
      <c r="N6206" s="269">
        <v>0</v>
      </c>
      <c r="O6206" s="279">
        <v>0</v>
      </c>
    </row>
    <row r="6207" spans="1:15">
      <c r="A6207" s="263" t="s">
        <v>70</v>
      </c>
      <c r="B6207" s="264" t="s">
        <v>5</v>
      </c>
      <c r="C6207" s="12">
        <v>0.0121457489878543</v>
      </c>
      <c r="D6207" s="265">
        <v>0.0185185185185185</v>
      </c>
      <c r="E6207" s="265">
        <v>0</v>
      </c>
      <c r="F6207" s="265">
        <v>0.0588235294117647</v>
      </c>
      <c r="G6207" s="265">
        <v>0</v>
      </c>
      <c r="H6207" s="265">
        <v>0</v>
      </c>
      <c r="I6207" s="265">
        <v>0</v>
      </c>
      <c r="J6207" s="265">
        <v>0.0363636363636364</v>
      </c>
      <c r="K6207" s="265">
        <v>0</v>
      </c>
      <c r="L6207" s="265">
        <v>0</v>
      </c>
      <c r="M6207" s="265">
        <v>0.0392156862745098</v>
      </c>
      <c r="N6207" s="265">
        <v>0</v>
      </c>
      <c r="O6207" s="277">
        <v>0</v>
      </c>
    </row>
    <row r="6208" spans="1:15">
      <c r="A6208" s="266" t="s">
        <v>70</v>
      </c>
      <c r="B6208" s="267" t="s">
        <v>6</v>
      </c>
      <c r="C6208" s="15">
        <v>4</v>
      </c>
      <c r="D6208" s="269">
        <v>1</v>
      </c>
      <c r="E6208" s="269">
        <v>0</v>
      </c>
      <c r="F6208" s="269">
        <v>0</v>
      </c>
      <c r="G6208" s="269">
        <v>0</v>
      </c>
      <c r="H6208" s="269">
        <v>0</v>
      </c>
      <c r="I6208" s="269">
        <v>0</v>
      </c>
      <c r="J6208" s="269">
        <v>0</v>
      </c>
      <c r="K6208" s="269">
        <v>1</v>
      </c>
      <c r="L6208" s="269">
        <v>1</v>
      </c>
      <c r="M6208" s="269">
        <v>0</v>
      </c>
      <c r="N6208" s="269">
        <v>1</v>
      </c>
      <c r="O6208" s="279">
        <v>0</v>
      </c>
    </row>
    <row r="6209" ht="14.25" spans="1:15">
      <c r="A6209" s="270" t="s">
        <v>70</v>
      </c>
      <c r="B6209" s="271" t="s">
        <v>64</v>
      </c>
      <c r="C6209" s="19">
        <v>0.666666666666667</v>
      </c>
      <c r="D6209" s="272">
        <v>1</v>
      </c>
      <c r="E6209" s="272">
        <v>0</v>
      </c>
      <c r="F6209" s="272">
        <v>0</v>
      </c>
      <c r="G6209" s="272">
        <v>0</v>
      </c>
      <c r="H6209" s="272">
        <v>0</v>
      </c>
      <c r="I6209" s="272">
        <v>0</v>
      </c>
      <c r="J6209" s="272">
        <v>0</v>
      </c>
      <c r="K6209" s="272">
        <v>0</v>
      </c>
      <c r="L6209" s="272">
        <v>0</v>
      </c>
      <c r="M6209" s="272">
        <v>0</v>
      </c>
      <c r="N6209" s="272">
        <v>0</v>
      </c>
      <c r="O6209" s="280">
        <v>0</v>
      </c>
    </row>
    <row r="6210" spans="1:15">
      <c r="A6210" s="263" t="s">
        <v>26</v>
      </c>
      <c r="B6210" s="264" t="s">
        <v>55</v>
      </c>
      <c r="C6210" s="12">
        <v>0.798263193052772</v>
      </c>
      <c r="D6210" s="265">
        <v>0.705882352941177</v>
      </c>
      <c r="E6210" s="265">
        <v>0.803030303030303</v>
      </c>
      <c r="F6210" s="265">
        <v>0.836065573770492</v>
      </c>
      <c r="G6210" s="265">
        <v>0.978723404255319</v>
      </c>
      <c r="H6210" s="265">
        <v>0.802721088435374</v>
      </c>
      <c r="I6210" s="265">
        <v>0.746835443037975</v>
      </c>
      <c r="J6210" s="265">
        <v>0.751552795031056</v>
      </c>
      <c r="K6210" s="265">
        <v>0.772020725388601</v>
      </c>
      <c r="L6210" s="265">
        <v>0.745341614906832</v>
      </c>
      <c r="M6210" s="265">
        <v>0.807017543859649</v>
      </c>
      <c r="N6210" s="265">
        <v>0.81294964028777</v>
      </c>
      <c r="O6210" s="277">
        <v>0.99236641221374</v>
      </c>
    </row>
    <row r="6211" spans="1:15">
      <c r="A6211" s="266" t="s">
        <v>26</v>
      </c>
      <c r="B6211" s="267" t="s">
        <v>57</v>
      </c>
      <c r="C6211" s="15">
        <v>1497</v>
      </c>
      <c r="D6211" s="268">
        <v>119</v>
      </c>
      <c r="E6211" s="268">
        <v>66</v>
      </c>
      <c r="F6211" s="268">
        <v>61</v>
      </c>
      <c r="G6211" s="268">
        <v>47</v>
      </c>
      <c r="H6211" s="268">
        <v>147</v>
      </c>
      <c r="I6211" s="268">
        <v>158</v>
      </c>
      <c r="J6211" s="268">
        <v>161</v>
      </c>
      <c r="K6211" s="268">
        <v>193</v>
      </c>
      <c r="L6211" s="268">
        <v>161</v>
      </c>
      <c r="M6211" s="268">
        <v>114</v>
      </c>
      <c r="N6211" s="268">
        <v>139</v>
      </c>
      <c r="O6211" s="278">
        <v>131</v>
      </c>
    </row>
    <row r="6212" spans="1:15">
      <c r="A6212" s="263" t="s">
        <v>26</v>
      </c>
      <c r="B6212" s="264" t="s">
        <v>59</v>
      </c>
      <c r="C6212" s="15">
        <v>1195</v>
      </c>
      <c r="D6212" s="268">
        <v>84</v>
      </c>
      <c r="E6212" s="268">
        <v>53</v>
      </c>
      <c r="F6212" s="268">
        <v>51</v>
      </c>
      <c r="G6212" s="268">
        <v>46</v>
      </c>
      <c r="H6212" s="268">
        <v>118</v>
      </c>
      <c r="I6212" s="268">
        <v>118</v>
      </c>
      <c r="J6212" s="268">
        <v>121</v>
      </c>
      <c r="K6212" s="268">
        <v>149</v>
      </c>
      <c r="L6212" s="268">
        <v>120</v>
      </c>
      <c r="M6212" s="268">
        <v>92</v>
      </c>
      <c r="N6212" s="268">
        <v>113</v>
      </c>
      <c r="O6212" s="278">
        <v>130</v>
      </c>
    </row>
    <row r="6213" spans="1:15">
      <c r="A6213" s="266" t="s">
        <v>26</v>
      </c>
      <c r="B6213" s="267" t="s">
        <v>4</v>
      </c>
      <c r="C6213" s="15">
        <v>11</v>
      </c>
      <c r="D6213" s="269">
        <v>1</v>
      </c>
      <c r="E6213" s="269">
        <v>0</v>
      </c>
      <c r="F6213" s="269">
        <v>0</v>
      </c>
      <c r="G6213" s="269">
        <v>0</v>
      </c>
      <c r="H6213" s="269">
        <v>1</v>
      </c>
      <c r="I6213" s="269">
        <v>1</v>
      </c>
      <c r="J6213" s="269">
        <v>1</v>
      </c>
      <c r="K6213" s="269">
        <v>1</v>
      </c>
      <c r="L6213" s="269">
        <v>1</v>
      </c>
      <c r="M6213" s="269">
        <v>1</v>
      </c>
      <c r="N6213" s="269">
        <v>1</v>
      </c>
      <c r="O6213" s="279">
        <v>3</v>
      </c>
    </row>
    <row r="6214" spans="1:15">
      <c r="A6214" s="263" t="s">
        <v>26</v>
      </c>
      <c r="B6214" s="264" t="s">
        <v>5</v>
      </c>
      <c r="C6214" s="12">
        <v>0.00920502092050209</v>
      </c>
      <c r="D6214" s="265">
        <v>0.0119047619047619</v>
      </c>
      <c r="E6214" s="265">
        <v>0</v>
      </c>
      <c r="F6214" s="265">
        <v>0</v>
      </c>
      <c r="G6214" s="265">
        <v>0</v>
      </c>
      <c r="H6214" s="265">
        <v>0.00847457627118644</v>
      </c>
      <c r="I6214" s="265">
        <v>0.00847457627118644</v>
      </c>
      <c r="J6214" s="265">
        <v>0.00826446280991736</v>
      </c>
      <c r="K6214" s="265">
        <v>0.00671140939597315</v>
      </c>
      <c r="L6214" s="265">
        <v>0.00833333333333333</v>
      </c>
      <c r="M6214" s="265">
        <v>0.0108695652173913</v>
      </c>
      <c r="N6214" s="265">
        <v>0.00884955752212389</v>
      </c>
      <c r="O6214" s="277">
        <v>0.0230769230769231</v>
      </c>
    </row>
    <row r="6215" spans="1:15">
      <c r="A6215" s="266" t="s">
        <v>26</v>
      </c>
      <c r="B6215" s="267" t="s">
        <v>6</v>
      </c>
      <c r="C6215" s="15">
        <v>3</v>
      </c>
      <c r="D6215" s="269">
        <v>0</v>
      </c>
      <c r="E6215" s="269">
        <v>0</v>
      </c>
      <c r="F6215" s="269">
        <v>0</v>
      </c>
      <c r="G6215" s="269">
        <v>1</v>
      </c>
      <c r="H6215" s="269">
        <v>0</v>
      </c>
      <c r="I6215" s="269">
        <v>0</v>
      </c>
      <c r="J6215" s="269">
        <v>2</v>
      </c>
      <c r="K6215" s="269">
        <v>0</v>
      </c>
      <c r="L6215" s="269">
        <v>0</v>
      </c>
      <c r="M6215" s="269">
        <v>0</v>
      </c>
      <c r="N6215" s="269">
        <v>0</v>
      </c>
      <c r="O6215" s="279">
        <v>0</v>
      </c>
    </row>
    <row r="6216" ht="14.25" spans="1:15">
      <c r="A6216" s="270" t="s">
        <v>26</v>
      </c>
      <c r="B6216" s="271" t="s">
        <v>64</v>
      </c>
      <c r="C6216" s="19">
        <v>0.272727272727273</v>
      </c>
      <c r="D6216" s="19">
        <v>0</v>
      </c>
      <c r="E6216" s="19" t="e">
        <v>#DIV/0!</v>
      </c>
      <c r="F6216" s="19" t="e">
        <v>#DIV/0!</v>
      </c>
      <c r="G6216" s="19" t="e">
        <v>#DIV/0!</v>
      </c>
      <c r="H6216" s="19">
        <v>0</v>
      </c>
      <c r="I6216" s="19">
        <v>0</v>
      </c>
      <c r="J6216" s="19">
        <v>2</v>
      </c>
      <c r="K6216" s="19">
        <v>0</v>
      </c>
      <c r="L6216" s="19">
        <v>0</v>
      </c>
      <c r="M6216" s="19">
        <v>0</v>
      </c>
      <c r="N6216" s="19">
        <v>0</v>
      </c>
      <c r="O6216" s="19">
        <v>0</v>
      </c>
    </row>
    <row r="6217" spans="1:15">
      <c r="A6217" s="263" t="s">
        <v>71</v>
      </c>
      <c r="B6217" s="264" t="s">
        <v>55</v>
      </c>
      <c r="C6217" s="12">
        <v>627</v>
      </c>
      <c r="D6217" s="265" t="e">
        <v>#DIV/0!</v>
      </c>
      <c r="E6217" s="265" t="e">
        <v>#DIV/0!</v>
      </c>
      <c r="F6217" s="265">
        <v>19</v>
      </c>
      <c r="G6217" s="265" t="e">
        <v>#DIV/0!</v>
      </c>
      <c r="H6217" s="265" t="e">
        <v>#DIV/0!</v>
      </c>
      <c r="I6217" s="265" t="e">
        <v>#DIV/0!</v>
      </c>
      <c r="J6217" s="265" t="e">
        <v>#DIV/0!</v>
      </c>
      <c r="K6217" s="265" t="e">
        <v>#DIV/0!</v>
      </c>
      <c r="L6217" s="265" t="e">
        <v>#DIV/0!</v>
      </c>
      <c r="M6217" s="265" t="e">
        <v>#DIV/0!</v>
      </c>
      <c r="N6217" s="265" t="e">
        <v>#DIV/0!</v>
      </c>
      <c r="O6217" s="265" t="e">
        <v>#DIV/0!</v>
      </c>
    </row>
    <row r="6218" spans="1:15">
      <c r="A6218" s="266" t="s">
        <v>71</v>
      </c>
      <c r="B6218" s="267" t="s">
        <v>57</v>
      </c>
      <c r="C6218" s="15">
        <v>1</v>
      </c>
      <c r="D6218" s="268">
        <v>0</v>
      </c>
      <c r="E6218" s="268">
        <v>0</v>
      </c>
      <c r="F6218" s="268">
        <v>1</v>
      </c>
      <c r="G6218" s="268">
        <v>0</v>
      </c>
      <c r="H6218" s="268">
        <v>0</v>
      </c>
      <c r="I6218" s="268">
        <v>0</v>
      </c>
      <c r="J6218" s="268">
        <v>0</v>
      </c>
      <c r="K6218" s="268">
        <v>0</v>
      </c>
      <c r="L6218" s="268">
        <v>0</v>
      </c>
      <c r="M6218" s="268">
        <v>0</v>
      </c>
      <c r="N6218" s="268">
        <v>0</v>
      </c>
      <c r="O6218" s="278">
        <v>0</v>
      </c>
    </row>
    <row r="6219" spans="1:15">
      <c r="A6219" s="263" t="s">
        <v>71</v>
      </c>
      <c r="B6219" s="264" t="s">
        <v>59</v>
      </c>
      <c r="C6219" s="15">
        <v>627</v>
      </c>
      <c r="D6219" s="268">
        <v>31</v>
      </c>
      <c r="E6219" s="268">
        <v>16</v>
      </c>
      <c r="F6219" s="268">
        <v>19</v>
      </c>
      <c r="G6219" s="268">
        <v>39</v>
      </c>
      <c r="H6219" s="268">
        <v>45</v>
      </c>
      <c r="I6219" s="268">
        <v>57</v>
      </c>
      <c r="J6219" s="268">
        <v>64</v>
      </c>
      <c r="K6219" s="268">
        <v>83</v>
      </c>
      <c r="L6219" s="268">
        <v>56</v>
      </c>
      <c r="M6219" s="268">
        <v>68</v>
      </c>
      <c r="N6219" s="268">
        <v>68</v>
      </c>
      <c r="O6219" s="278">
        <v>81</v>
      </c>
    </row>
    <row r="6220" spans="1:15">
      <c r="A6220" s="266" t="s">
        <v>71</v>
      </c>
      <c r="B6220" s="267" t="s">
        <v>4</v>
      </c>
      <c r="C6220" s="15">
        <v>42</v>
      </c>
      <c r="D6220" s="269">
        <v>3</v>
      </c>
      <c r="E6220" s="269">
        <v>3</v>
      </c>
      <c r="F6220" s="269">
        <v>1</v>
      </c>
      <c r="G6220" s="269">
        <v>2</v>
      </c>
      <c r="H6220" s="269">
        <v>2</v>
      </c>
      <c r="I6220" s="269">
        <v>5</v>
      </c>
      <c r="J6220" s="269">
        <v>2</v>
      </c>
      <c r="K6220" s="269">
        <v>7</v>
      </c>
      <c r="L6220" s="269">
        <v>3</v>
      </c>
      <c r="M6220" s="269">
        <v>5</v>
      </c>
      <c r="N6220" s="269">
        <v>3</v>
      </c>
      <c r="O6220" s="279">
        <v>6</v>
      </c>
    </row>
    <row r="6221" spans="1:15">
      <c r="A6221" s="263" t="s">
        <v>71</v>
      </c>
      <c r="B6221" s="264" t="s">
        <v>5</v>
      </c>
      <c r="C6221" s="265">
        <v>0.0669856459330144</v>
      </c>
      <c r="D6221" s="265">
        <v>0.0967741935483871</v>
      </c>
      <c r="E6221" s="265">
        <v>0.1875</v>
      </c>
      <c r="F6221" s="265">
        <v>0.0526315789473684</v>
      </c>
      <c r="G6221" s="265">
        <v>0.0512820512820513</v>
      </c>
      <c r="H6221" s="265">
        <v>0.0444444444444444</v>
      </c>
      <c r="I6221" s="265">
        <v>0.087719298245614</v>
      </c>
      <c r="J6221" s="265">
        <v>0.03125</v>
      </c>
      <c r="K6221" s="265">
        <v>0.0843373493975904</v>
      </c>
      <c r="L6221" s="265">
        <v>0.0535714285714286</v>
      </c>
      <c r="M6221" s="265">
        <v>0.0735294117647059</v>
      </c>
      <c r="N6221" s="265">
        <v>0.0441176470588235</v>
      </c>
      <c r="O6221" s="277">
        <v>0.0740740740740741</v>
      </c>
    </row>
    <row r="6222" spans="1:15">
      <c r="A6222" s="266" t="s">
        <v>71</v>
      </c>
      <c r="B6222" s="267" t="s">
        <v>6</v>
      </c>
      <c r="C6222" s="15">
        <v>5</v>
      </c>
      <c r="D6222" s="269">
        <v>1</v>
      </c>
      <c r="E6222" s="269">
        <v>1</v>
      </c>
      <c r="F6222" s="269">
        <v>0</v>
      </c>
      <c r="G6222" s="269">
        <v>0</v>
      </c>
      <c r="H6222" s="269">
        <v>0</v>
      </c>
      <c r="I6222" s="269">
        <v>0</v>
      </c>
      <c r="J6222" s="269">
        <v>0</v>
      </c>
      <c r="K6222" s="269">
        <v>2</v>
      </c>
      <c r="L6222" s="269">
        <v>0</v>
      </c>
      <c r="M6222" s="269">
        <v>0</v>
      </c>
      <c r="N6222" s="269">
        <v>0</v>
      </c>
      <c r="O6222" s="279">
        <v>1</v>
      </c>
    </row>
    <row r="6223" ht="14.25" spans="1:15">
      <c r="A6223" s="270" t="s">
        <v>71</v>
      </c>
      <c r="B6223" s="271" t="s">
        <v>64</v>
      </c>
      <c r="C6223" s="19">
        <v>0.119047619047619</v>
      </c>
      <c r="D6223" s="19">
        <v>0.333333333333333</v>
      </c>
      <c r="E6223" s="19">
        <v>0.333333333333333</v>
      </c>
      <c r="F6223" s="19">
        <v>0</v>
      </c>
      <c r="G6223" s="19">
        <v>0</v>
      </c>
      <c r="H6223" s="19">
        <v>0</v>
      </c>
      <c r="I6223" s="19">
        <v>0</v>
      </c>
      <c r="J6223" s="19">
        <v>0</v>
      </c>
      <c r="K6223" s="19">
        <v>0.285714285714286</v>
      </c>
      <c r="L6223" s="19">
        <v>0</v>
      </c>
      <c r="M6223" s="19">
        <v>0</v>
      </c>
      <c r="N6223" s="19">
        <v>0</v>
      </c>
      <c r="O6223" s="19">
        <v>0.166666666666667</v>
      </c>
    </row>
    <row r="6224" spans="1:15">
      <c r="A6224" s="263" t="s">
        <v>72</v>
      </c>
      <c r="B6224" s="264" t="s">
        <v>55</v>
      </c>
      <c r="C6224" s="12">
        <v>0.130225675175731</v>
      </c>
      <c r="D6224" s="265">
        <v>0.189189189189189</v>
      </c>
      <c r="E6224" s="265">
        <v>0.21</v>
      </c>
      <c r="F6224" s="265">
        <v>0.164835164835165</v>
      </c>
      <c r="G6224" s="265">
        <v>0.102803738317757</v>
      </c>
      <c r="H6224" s="265">
        <v>0.255172413793103</v>
      </c>
      <c r="I6224" s="265">
        <v>0.095959595959596</v>
      </c>
      <c r="J6224" s="265">
        <v>0.155660377358491</v>
      </c>
      <c r="K6224" s="265">
        <v>0.170278637770898</v>
      </c>
      <c r="L6224" s="265">
        <v>0.072463768115942</v>
      </c>
      <c r="M6224" s="265">
        <v>0.100694444444444</v>
      </c>
      <c r="N6224" s="265">
        <v>0.0824742268041237</v>
      </c>
      <c r="O6224" s="277">
        <v>0.124610591900312</v>
      </c>
    </row>
    <row r="6225" spans="1:15">
      <c r="A6225" s="266" t="s">
        <v>72</v>
      </c>
      <c r="B6225" s="267" t="s">
        <v>57</v>
      </c>
      <c r="C6225" s="15">
        <v>2703</v>
      </c>
      <c r="D6225" s="268">
        <v>185</v>
      </c>
      <c r="E6225" s="268">
        <v>100</v>
      </c>
      <c r="F6225" s="268">
        <v>91</v>
      </c>
      <c r="G6225" s="268">
        <v>107</v>
      </c>
      <c r="H6225" s="268">
        <v>145</v>
      </c>
      <c r="I6225" s="268">
        <v>198</v>
      </c>
      <c r="J6225" s="268">
        <v>212</v>
      </c>
      <c r="K6225" s="268">
        <v>323</v>
      </c>
      <c r="L6225" s="268">
        <v>345</v>
      </c>
      <c r="M6225" s="268">
        <v>288</v>
      </c>
      <c r="N6225" s="268">
        <v>388</v>
      </c>
      <c r="O6225" s="278">
        <v>321</v>
      </c>
    </row>
    <row r="6226" spans="1:15">
      <c r="A6226" s="263" t="s">
        <v>72</v>
      </c>
      <c r="B6226" s="264" t="s">
        <v>59</v>
      </c>
      <c r="C6226" s="15">
        <v>352</v>
      </c>
      <c r="D6226" s="268">
        <v>35</v>
      </c>
      <c r="E6226" s="268">
        <v>21</v>
      </c>
      <c r="F6226" s="268">
        <v>15</v>
      </c>
      <c r="G6226" s="268">
        <v>11</v>
      </c>
      <c r="H6226" s="268">
        <v>37</v>
      </c>
      <c r="I6226" s="268">
        <v>19</v>
      </c>
      <c r="J6226" s="268">
        <v>33</v>
      </c>
      <c r="K6226" s="268">
        <v>55</v>
      </c>
      <c r="L6226" s="268">
        <v>25</v>
      </c>
      <c r="M6226" s="268">
        <v>29</v>
      </c>
      <c r="N6226" s="268">
        <v>32</v>
      </c>
      <c r="O6226" s="278">
        <v>40</v>
      </c>
    </row>
    <row r="6227" spans="1:15">
      <c r="A6227" s="266" t="s">
        <v>72</v>
      </c>
      <c r="B6227" s="267" t="s">
        <v>4</v>
      </c>
      <c r="C6227" s="15">
        <v>18</v>
      </c>
      <c r="D6227" s="269">
        <v>0</v>
      </c>
      <c r="E6227" s="269">
        <v>0</v>
      </c>
      <c r="F6227" s="269">
        <v>1</v>
      </c>
      <c r="G6227" s="269">
        <v>0</v>
      </c>
      <c r="H6227" s="269">
        <v>3</v>
      </c>
      <c r="I6227" s="269">
        <v>0</v>
      </c>
      <c r="J6227" s="269">
        <v>3</v>
      </c>
      <c r="K6227" s="269">
        <v>5</v>
      </c>
      <c r="L6227" s="269">
        <v>0</v>
      </c>
      <c r="M6227" s="269">
        <v>4</v>
      </c>
      <c r="N6227" s="269">
        <v>1</v>
      </c>
      <c r="O6227" s="279">
        <v>1</v>
      </c>
    </row>
    <row r="6228" spans="1:15">
      <c r="A6228" s="263" t="s">
        <v>72</v>
      </c>
      <c r="B6228" s="264" t="s">
        <v>5</v>
      </c>
      <c r="C6228" s="12">
        <v>0.0511363636363636</v>
      </c>
      <c r="D6228" s="265">
        <v>0</v>
      </c>
      <c r="E6228" s="265">
        <v>0</v>
      </c>
      <c r="F6228" s="265">
        <v>0.0666666666666667</v>
      </c>
      <c r="G6228" s="265">
        <v>0</v>
      </c>
      <c r="H6228" s="265">
        <v>0.0810810810810811</v>
      </c>
      <c r="I6228" s="265">
        <v>0</v>
      </c>
      <c r="J6228" s="265">
        <v>0.0909090909090909</v>
      </c>
      <c r="K6228" s="265">
        <v>0.0909090909090909</v>
      </c>
      <c r="L6228" s="265">
        <v>0</v>
      </c>
      <c r="M6228" s="265">
        <v>0.137931034482759</v>
      </c>
      <c r="N6228" s="265">
        <v>0.03125</v>
      </c>
      <c r="O6228" s="277">
        <v>0.025</v>
      </c>
    </row>
    <row r="6229" spans="1:15">
      <c r="A6229" s="266" t="s">
        <v>72</v>
      </c>
      <c r="B6229" s="267" t="s">
        <v>6</v>
      </c>
      <c r="C6229" s="15">
        <v>4</v>
      </c>
      <c r="D6229" s="269">
        <v>1</v>
      </c>
      <c r="E6229" s="269">
        <v>0</v>
      </c>
      <c r="F6229" s="269">
        <v>0</v>
      </c>
      <c r="G6229" s="269">
        <v>0</v>
      </c>
      <c r="H6229" s="269">
        <v>2</v>
      </c>
      <c r="I6229" s="269">
        <v>0</v>
      </c>
      <c r="J6229" s="269">
        <v>0</v>
      </c>
      <c r="K6229" s="269">
        <v>0</v>
      </c>
      <c r="L6229" s="269">
        <v>1</v>
      </c>
      <c r="M6229" s="269">
        <v>0</v>
      </c>
      <c r="N6229" s="269">
        <v>0</v>
      </c>
      <c r="O6229" s="279">
        <v>0</v>
      </c>
    </row>
    <row r="6230" ht="14.25" spans="1:15">
      <c r="A6230" s="270" t="s">
        <v>72</v>
      </c>
      <c r="B6230" s="271" t="s">
        <v>64</v>
      </c>
      <c r="C6230" s="19">
        <v>0.222222222222222</v>
      </c>
      <c r="D6230" s="19" t="e">
        <v>#DIV/0!</v>
      </c>
      <c r="E6230" s="19" t="e">
        <v>#DIV/0!</v>
      </c>
      <c r="F6230" s="19">
        <v>0</v>
      </c>
      <c r="G6230" s="19" t="e">
        <v>#DIV/0!</v>
      </c>
      <c r="H6230" s="19">
        <v>0.666666666666667</v>
      </c>
      <c r="I6230" s="19" t="e">
        <v>#DIV/0!</v>
      </c>
      <c r="J6230" s="19">
        <v>0</v>
      </c>
      <c r="K6230" s="19">
        <v>0</v>
      </c>
      <c r="L6230" s="19" t="e">
        <v>#DIV/0!</v>
      </c>
      <c r="M6230" s="19">
        <v>0</v>
      </c>
      <c r="N6230" s="19">
        <v>0</v>
      </c>
      <c r="O6230" s="19">
        <v>0</v>
      </c>
    </row>
    <row r="6231" ht="14.25" spans="1:15">
      <c r="A6231" s="259">
        <v>45115</v>
      </c>
      <c r="B6231" s="259"/>
      <c r="C6231" s="259"/>
      <c r="D6231" s="259"/>
      <c r="E6231" s="259"/>
      <c r="F6231" s="259"/>
      <c r="G6231" s="259"/>
      <c r="H6231" s="259"/>
      <c r="I6231" s="259"/>
      <c r="J6231" s="259"/>
      <c r="K6231" s="259"/>
      <c r="L6231" s="259"/>
      <c r="M6231" s="259"/>
      <c r="N6231" s="259"/>
      <c r="O6231" s="259"/>
    </row>
    <row r="6232" spans="1:15">
      <c r="A6232" s="260" t="s">
        <v>1</v>
      </c>
      <c r="B6232" s="261"/>
      <c r="C6232" s="8" t="s">
        <v>42</v>
      </c>
      <c r="D6232" s="262" t="s">
        <v>43</v>
      </c>
      <c r="E6232" s="262" t="s">
        <v>44</v>
      </c>
      <c r="F6232" s="262" t="s">
        <v>45</v>
      </c>
      <c r="G6232" s="262" t="s">
        <v>46</v>
      </c>
      <c r="H6232" s="262" t="s">
        <v>47</v>
      </c>
      <c r="I6232" s="262" t="s">
        <v>48</v>
      </c>
      <c r="J6232" s="262" t="s">
        <v>49</v>
      </c>
      <c r="K6232" s="262" t="s">
        <v>50</v>
      </c>
      <c r="L6232" s="262" t="s">
        <v>51</v>
      </c>
      <c r="M6232" s="262" t="s">
        <v>52</v>
      </c>
      <c r="N6232" s="262" t="s">
        <v>53</v>
      </c>
      <c r="O6232" s="276" t="s">
        <v>54</v>
      </c>
    </row>
    <row r="6233" spans="1:15">
      <c r="A6233" s="263" t="s">
        <v>22</v>
      </c>
      <c r="B6233" s="264" t="s">
        <v>55</v>
      </c>
      <c r="C6233" s="12">
        <v>0.516039051603905</v>
      </c>
      <c r="D6233" s="265">
        <v>0.569620253164557</v>
      </c>
      <c r="E6233" s="265">
        <v>0.443708609271523</v>
      </c>
      <c r="F6233" s="265">
        <v>0.406976744186047</v>
      </c>
      <c r="G6233" s="265">
        <v>0.546296296296296</v>
      </c>
      <c r="H6233" s="265">
        <v>0.526666666666667</v>
      </c>
      <c r="I6233" s="265">
        <v>0.61437908496732</v>
      </c>
      <c r="J6233" s="265">
        <v>0.614525139664804</v>
      </c>
      <c r="K6233" s="265">
        <v>0.456273764258555</v>
      </c>
      <c r="L6233" s="265">
        <v>0.50990099009901</v>
      </c>
      <c r="M6233" s="265">
        <v>0.545454545454545</v>
      </c>
      <c r="N6233" s="265">
        <v>0.492462311557789</v>
      </c>
      <c r="O6233" s="277">
        <v>0.457627118644068</v>
      </c>
    </row>
    <row r="6234" spans="1:15">
      <c r="A6234" s="266" t="s">
        <v>22</v>
      </c>
      <c r="B6234" s="267" t="s">
        <v>57</v>
      </c>
      <c r="C6234" s="15">
        <v>2151</v>
      </c>
      <c r="D6234" s="268">
        <v>237</v>
      </c>
      <c r="E6234" s="268">
        <v>151</v>
      </c>
      <c r="F6234" s="268">
        <v>86</v>
      </c>
      <c r="G6234" s="268">
        <v>108</v>
      </c>
      <c r="H6234" s="268">
        <v>150</v>
      </c>
      <c r="I6234" s="268">
        <v>153</v>
      </c>
      <c r="J6234" s="268">
        <v>179</v>
      </c>
      <c r="K6234" s="268">
        <v>263</v>
      </c>
      <c r="L6234" s="268">
        <v>202</v>
      </c>
      <c r="M6234" s="268">
        <v>187</v>
      </c>
      <c r="N6234" s="268">
        <v>199</v>
      </c>
      <c r="O6234" s="278">
        <v>236</v>
      </c>
    </row>
    <row r="6235" spans="1:15">
      <c r="A6235" s="263" t="s">
        <v>22</v>
      </c>
      <c r="B6235" s="264" t="s">
        <v>59</v>
      </c>
      <c r="C6235" s="15">
        <v>1110</v>
      </c>
      <c r="D6235" s="268">
        <v>135</v>
      </c>
      <c r="E6235" s="268">
        <v>67</v>
      </c>
      <c r="F6235" s="268">
        <v>35</v>
      </c>
      <c r="G6235" s="268">
        <v>59</v>
      </c>
      <c r="H6235" s="268">
        <v>79</v>
      </c>
      <c r="I6235" s="268">
        <v>94</v>
      </c>
      <c r="J6235" s="268">
        <v>110</v>
      </c>
      <c r="K6235" s="268">
        <v>120</v>
      </c>
      <c r="L6235" s="268">
        <v>103</v>
      </c>
      <c r="M6235" s="268">
        <v>102</v>
      </c>
      <c r="N6235" s="268">
        <v>98</v>
      </c>
      <c r="O6235" s="278">
        <v>108</v>
      </c>
    </row>
    <row r="6236" spans="1:15">
      <c r="A6236" s="266" t="s">
        <v>22</v>
      </c>
      <c r="B6236" s="267" t="s">
        <v>4</v>
      </c>
      <c r="C6236" s="15">
        <v>47</v>
      </c>
      <c r="D6236" s="269">
        <v>6</v>
      </c>
      <c r="E6236" s="269">
        <v>7</v>
      </c>
      <c r="F6236" s="269">
        <v>1</v>
      </c>
      <c r="G6236" s="269">
        <v>1</v>
      </c>
      <c r="H6236" s="269">
        <v>2</v>
      </c>
      <c r="I6236" s="269">
        <v>4</v>
      </c>
      <c r="J6236" s="269">
        <v>6</v>
      </c>
      <c r="K6236" s="269">
        <v>4</v>
      </c>
      <c r="L6236" s="269">
        <v>5</v>
      </c>
      <c r="M6236" s="269">
        <v>3</v>
      </c>
      <c r="N6236" s="269">
        <v>5</v>
      </c>
      <c r="O6236" s="279">
        <v>3</v>
      </c>
    </row>
    <row r="6237" spans="1:15">
      <c r="A6237" s="263" t="s">
        <v>22</v>
      </c>
      <c r="B6237" s="264" t="s">
        <v>5</v>
      </c>
      <c r="C6237" s="12">
        <v>0.0423423423423423</v>
      </c>
      <c r="D6237" s="265">
        <v>0.0444444444444444</v>
      </c>
      <c r="E6237" s="265">
        <v>0.104477611940299</v>
      </c>
      <c r="F6237" s="265">
        <v>0.0285714285714286</v>
      </c>
      <c r="G6237" s="265">
        <v>0.0169491525423729</v>
      </c>
      <c r="H6237" s="265">
        <v>0.0253164556962025</v>
      </c>
      <c r="I6237" s="265">
        <v>0.0425531914893617</v>
      </c>
      <c r="J6237" s="265">
        <v>0.0545454545454545</v>
      </c>
      <c r="K6237" s="265">
        <v>0.0333333333333333</v>
      </c>
      <c r="L6237" s="265">
        <v>0.0485436893203883</v>
      </c>
      <c r="M6237" s="265">
        <v>0.0294117647058824</v>
      </c>
      <c r="N6237" s="265">
        <v>0.0510204081632653</v>
      </c>
      <c r="O6237" s="277">
        <v>0.0277777777777778</v>
      </c>
    </row>
    <row r="6238" spans="1:15">
      <c r="A6238" s="266" t="s">
        <v>22</v>
      </c>
      <c r="B6238" s="267" t="s">
        <v>6</v>
      </c>
      <c r="C6238" s="15">
        <v>22</v>
      </c>
      <c r="D6238" s="269">
        <v>5</v>
      </c>
      <c r="E6238" s="269">
        <v>2</v>
      </c>
      <c r="F6238" s="269">
        <v>0</v>
      </c>
      <c r="G6238" s="269">
        <v>1</v>
      </c>
      <c r="H6238" s="269">
        <v>0</v>
      </c>
      <c r="I6238" s="269">
        <v>1</v>
      </c>
      <c r="J6238" s="269">
        <v>2</v>
      </c>
      <c r="K6238" s="269">
        <v>4</v>
      </c>
      <c r="L6238" s="269">
        <v>3</v>
      </c>
      <c r="M6238" s="269">
        <v>1</v>
      </c>
      <c r="N6238" s="269">
        <v>1</v>
      </c>
      <c r="O6238" s="279">
        <v>2</v>
      </c>
    </row>
    <row r="6239" ht="14.25" spans="1:15">
      <c r="A6239" s="270" t="s">
        <v>22</v>
      </c>
      <c r="B6239" s="271" t="s">
        <v>64</v>
      </c>
      <c r="C6239" s="19">
        <v>0.468085106382979</v>
      </c>
      <c r="D6239" s="272">
        <v>0.833333333333333</v>
      </c>
      <c r="E6239" s="272">
        <v>0.285714285714286</v>
      </c>
      <c r="F6239" s="272">
        <v>0</v>
      </c>
      <c r="G6239" s="272">
        <v>1</v>
      </c>
      <c r="H6239" s="272">
        <v>0</v>
      </c>
      <c r="I6239" s="272">
        <v>0.25</v>
      </c>
      <c r="J6239" s="272">
        <v>0.333333333333333</v>
      </c>
      <c r="K6239" s="272">
        <v>1</v>
      </c>
      <c r="L6239" s="272">
        <v>0.6</v>
      </c>
      <c r="M6239" s="272">
        <v>0.333333333333333</v>
      </c>
      <c r="N6239" s="272">
        <v>0.2</v>
      </c>
      <c r="O6239" s="280">
        <v>0.666666666666667</v>
      </c>
    </row>
    <row r="6240" spans="1:15">
      <c r="A6240" s="273" t="s">
        <v>66</v>
      </c>
      <c r="B6240" s="274" t="s">
        <v>55</v>
      </c>
      <c r="C6240" s="12">
        <v>0.0762660158633313</v>
      </c>
      <c r="D6240" s="275">
        <v>0.069620253164557</v>
      </c>
      <c r="E6240" s="275">
        <v>0.018348623853211</v>
      </c>
      <c r="F6240" s="275">
        <v>0.0786516853932584</v>
      </c>
      <c r="G6240" s="275">
        <v>0.0703125</v>
      </c>
      <c r="H6240" s="275">
        <v>0.0723684210526316</v>
      </c>
      <c r="I6240" s="275">
        <v>0.0486111111111111</v>
      </c>
      <c r="J6240" s="275">
        <v>0.137404580152672</v>
      </c>
      <c r="K6240" s="275">
        <v>0.0878378378378378</v>
      </c>
      <c r="L6240" s="275">
        <v>0.0714285714285714</v>
      </c>
      <c r="M6240" s="275">
        <v>0.075187969924812</v>
      </c>
      <c r="N6240" s="275">
        <v>0.0894308943089431</v>
      </c>
      <c r="O6240" s="281">
        <v>0.0869565217391304</v>
      </c>
    </row>
    <row r="6241" spans="1:15">
      <c r="A6241" s="266" t="s">
        <v>66</v>
      </c>
      <c r="B6241" s="267" t="s">
        <v>57</v>
      </c>
      <c r="C6241" s="15">
        <v>1639</v>
      </c>
      <c r="D6241" s="268">
        <v>158</v>
      </c>
      <c r="E6241" s="268">
        <v>109</v>
      </c>
      <c r="F6241" s="268">
        <v>89</v>
      </c>
      <c r="G6241" s="268">
        <v>128</v>
      </c>
      <c r="H6241" s="268">
        <v>152</v>
      </c>
      <c r="I6241" s="268">
        <v>144</v>
      </c>
      <c r="J6241" s="268">
        <v>131</v>
      </c>
      <c r="K6241" s="268">
        <v>148</v>
      </c>
      <c r="L6241" s="268">
        <v>140</v>
      </c>
      <c r="M6241" s="268">
        <v>133</v>
      </c>
      <c r="N6241" s="268">
        <v>123</v>
      </c>
      <c r="O6241" s="278">
        <v>184</v>
      </c>
    </row>
    <row r="6242" spans="1:15">
      <c r="A6242" s="263" t="s">
        <v>66</v>
      </c>
      <c r="B6242" s="264" t="s">
        <v>59</v>
      </c>
      <c r="C6242" s="15">
        <v>125</v>
      </c>
      <c r="D6242" s="268">
        <v>11</v>
      </c>
      <c r="E6242" s="268">
        <v>2</v>
      </c>
      <c r="F6242" s="268">
        <v>7</v>
      </c>
      <c r="G6242" s="268">
        <v>9</v>
      </c>
      <c r="H6242" s="268">
        <v>11</v>
      </c>
      <c r="I6242" s="268">
        <v>7</v>
      </c>
      <c r="J6242" s="268">
        <v>18</v>
      </c>
      <c r="K6242" s="268">
        <v>13</v>
      </c>
      <c r="L6242" s="268">
        <v>10</v>
      </c>
      <c r="M6242" s="268">
        <v>10</v>
      </c>
      <c r="N6242" s="268">
        <v>11</v>
      </c>
      <c r="O6242" s="278">
        <v>16</v>
      </c>
    </row>
    <row r="6243" spans="1:15">
      <c r="A6243" s="266" t="s">
        <v>66</v>
      </c>
      <c r="B6243" s="267" t="s">
        <v>4</v>
      </c>
      <c r="C6243" s="15">
        <v>2</v>
      </c>
      <c r="D6243" s="269">
        <v>0</v>
      </c>
      <c r="E6243" s="269">
        <v>1</v>
      </c>
      <c r="F6243" s="269">
        <v>0</v>
      </c>
      <c r="G6243" s="269">
        <v>0</v>
      </c>
      <c r="H6243" s="269">
        <v>0</v>
      </c>
      <c r="I6243" s="269">
        <v>0</v>
      </c>
      <c r="J6243" s="269">
        <v>1</v>
      </c>
      <c r="K6243" s="269">
        <v>0</v>
      </c>
      <c r="L6243" s="269">
        <v>0</v>
      </c>
      <c r="M6243" s="269">
        <v>0</v>
      </c>
      <c r="N6243" s="269">
        <v>0</v>
      </c>
      <c r="O6243" s="279">
        <v>0</v>
      </c>
    </row>
    <row r="6244" spans="1:15">
      <c r="A6244" s="263" t="s">
        <v>66</v>
      </c>
      <c r="B6244" s="264" t="s">
        <v>5</v>
      </c>
      <c r="C6244" s="12">
        <v>0.016</v>
      </c>
      <c r="D6244" s="265">
        <v>0</v>
      </c>
      <c r="E6244" s="265">
        <v>0.5</v>
      </c>
      <c r="F6244" s="265">
        <v>0</v>
      </c>
      <c r="G6244" s="265">
        <v>0</v>
      </c>
      <c r="H6244" s="265">
        <v>0</v>
      </c>
      <c r="I6244" s="265">
        <v>0</v>
      </c>
      <c r="J6244" s="265">
        <v>0.0555555555555556</v>
      </c>
      <c r="K6244" s="265">
        <v>0</v>
      </c>
      <c r="L6244" s="265">
        <v>0</v>
      </c>
      <c r="M6244" s="265">
        <v>0</v>
      </c>
      <c r="N6244" s="265">
        <v>0</v>
      </c>
      <c r="O6244" s="277">
        <v>0</v>
      </c>
    </row>
    <row r="6245" spans="1:15">
      <c r="A6245" s="266" t="s">
        <v>66</v>
      </c>
      <c r="B6245" s="267" t="s">
        <v>6</v>
      </c>
      <c r="C6245" s="15">
        <v>1</v>
      </c>
      <c r="D6245" s="269">
        <v>0</v>
      </c>
      <c r="E6245" s="269">
        <v>1</v>
      </c>
      <c r="F6245" s="269">
        <v>0</v>
      </c>
      <c r="G6245" s="269">
        <v>0</v>
      </c>
      <c r="H6245" s="269">
        <v>0</v>
      </c>
      <c r="I6245" s="269">
        <v>0</v>
      </c>
      <c r="J6245" s="269">
        <v>0</v>
      </c>
      <c r="K6245" s="269">
        <v>0</v>
      </c>
      <c r="L6245" s="269">
        <v>0</v>
      </c>
      <c r="M6245" s="269">
        <v>0</v>
      </c>
      <c r="N6245" s="269">
        <v>0</v>
      </c>
      <c r="O6245" s="279">
        <v>0</v>
      </c>
    </row>
    <row r="6246" ht="14.25" spans="1:15">
      <c r="A6246" s="270" t="s">
        <v>66</v>
      </c>
      <c r="B6246" s="271" t="s">
        <v>64</v>
      </c>
      <c r="C6246" s="19">
        <v>0.5</v>
      </c>
      <c r="D6246" s="272">
        <v>0</v>
      </c>
      <c r="E6246" s="272">
        <v>1</v>
      </c>
      <c r="F6246" s="272">
        <v>0</v>
      </c>
      <c r="G6246" s="272">
        <v>0</v>
      </c>
      <c r="H6246" s="272">
        <v>0</v>
      </c>
      <c r="I6246" s="272">
        <v>0</v>
      </c>
      <c r="J6246" s="272">
        <v>0</v>
      </c>
      <c r="K6246" s="272">
        <v>0</v>
      </c>
      <c r="L6246" s="272">
        <v>0</v>
      </c>
      <c r="M6246" s="272">
        <v>0</v>
      </c>
      <c r="N6246" s="272">
        <v>0</v>
      </c>
      <c r="O6246" s="280">
        <v>0</v>
      </c>
    </row>
    <row r="6247" spans="1:15">
      <c r="A6247" s="263" t="s">
        <v>67</v>
      </c>
      <c r="B6247" s="264" t="s">
        <v>55</v>
      </c>
      <c r="C6247" s="12">
        <v>0.492776886035313</v>
      </c>
      <c r="D6247" s="265">
        <v>0.439393939393939</v>
      </c>
      <c r="E6247" s="265">
        <v>0.377358490566038</v>
      </c>
      <c r="F6247" s="265">
        <v>0.24</v>
      </c>
      <c r="G6247" s="265">
        <v>0.64</v>
      </c>
      <c r="H6247" s="265">
        <v>0.408163265306122</v>
      </c>
      <c r="I6247" s="265">
        <v>0.575</v>
      </c>
      <c r="J6247" s="265">
        <v>0.764705882352941</v>
      </c>
      <c r="K6247" s="265">
        <v>0.5</v>
      </c>
      <c r="L6247" s="265">
        <v>0.519230769230769</v>
      </c>
      <c r="M6247" s="265">
        <v>0.483333333333333</v>
      </c>
      <c r="N6247" s="265">
        <v>0.314814814814815</v>
      </c>
      <c r="O6247" s="277">
        <v>0.602941176470588</v>
      </c>
    </row>
    <row r="6248" spans="1:15">
      <c r="A6248" s="266" t="s">
        <v>67</v>
      </c>
      <c r="B6248" s="267" t="s">
        <v>57</v>
      </c>
      <c r="C6248" s="15">
        <v>623</v>
      </c>
      <c r="D6248" s="268">
        <v>66</v>
      </c>
      <c r="E6248" s="268">
        <v>53</v>
      </c>
      <c r="F6248" s="268">
        <v>25</v>
      </c>
      <c r="G6248" s="268">
        <v>25</v>
      </c>
      <c r="H6248" s="268">
        <v>49</v>
      </c>
      <c r="I6248" s="268">
        <v>40</v>
      </c>
      <c r="J6248" s="268">
        <v>51</v>
      </c>
      <c r="K6248" s="268">
        <v>80</v>
      </c>
      <c r="L6248" s="268">
        <v>52</v>
      </c>
      <c r="M6248" s="268">
        <v>60</v>
      </c>
      <c r="N6248" s="268">
        <v>54</v>
      </c>
      <c r="O6248" s="278">
        <v>68</v>
      </c>
    </row>
    <row r="6249" spans="1:15">
      <c r="A6249" s="263" t="s">
        <v>67</v>
      </c>
      <c r="B6249" s="264" t="s">
        <v>59</v>
      </c>
      <c r="C6249" s="15">
        <v>307</v>
      </c>
      <c r="D6249" s="268">
        <v>29</v>
      </c>
      <c r="E6249" s="268">
        <v>20</v>
      </c>
      <c r="F6249" s="268">
        <v>6</v>
      </c>
      <c r="G6249" s="268">
        <v>16</v>
      </c>
      <c r="H6249" s="268">
        <v>20</v>
      </c>
      <c r="I6249" s="268">
        <v>23</v>
      </c>
      <c r="J6249" s="268">
        <v>39</v>
      </c>
      <c r="K6249" s="268">
        <v>40</v>
      </c>
      <c r="L6249" s="268">
        <v>27</v>
      </c>
      <c r="M6249" s="268">
        <v>29</v>
      </c>
      <c r="N6249" s="268">
        <v>17</v>
      </c>
      <c r="O6249" s="278">
        <v>41</v>
      </c>
    </row>
    <row r="6250" spans="1:15">
      <c r="A6250" s="266" t="s">
        <v>67</v>
      </c>
      <c r="B6250" s="267" t="s">
        <v>4</v>
      </c>
      <c r="C6250" s="15">
        <v>10</v>
      </c>
      <c r="D6250" s="269">
        <v>1</v>
      </c>
      <c r="E6250" s="269">
        <v>0</v>
      </c>
      <c r="F6250" s="269">
        <v>0</v>
      </c>
      <c r="G6250" s="269">
        <v>1</v>
      </c>
      <c r="H6250" s="269">
        <v>1</v>
      </c>
      <c r="I6250" s="269">
        <v>0</v>
      </c>
      <c r="J6250" s="269">
        <v>0</v>
      </c>
      <c r="K6250" s="269">
        <v>1</v>
      </c>
      <c r="L6250" s="269">
        <v>1</v>
      </c>
      <c r="M6250" s="269">
        <v>4</v>
      </c>
      <c r="N6250" s="269">
        <v>0</v>
      </c>
      <c r="O6250" s="279">
        <v>1</v>
      </c>
    </row>
    <row r="6251" spans="1:15">
      <c r="A6251" s="263" t="s">
        <v>67</v>
      </c>
      <c r="B6251" s="264" t="s">
        <v>5</v>
      </c>
      <c r="C6251" s="12">
        <v>0.0325732899022801</v>
      </c>
      <c r="D6251" s="265">
        <v>0.0344827586206897</v>
      </c>
      <c r="E6251" s="265">
        <v>0</v>
      </c>
      <c r="F6251" s="265">
        <v>0</v>
      </c>
      <c r="G6251" s="265">
        <v>0.0625</v>
      </c>
      <c r="H6251" s="265">
        <v>0.05</v>
      </c>
      <c r="I6251" s="265">
        <v>0</v>
      </c>
      <c r="J6251" s="265">
        <v>0</v>
      </c>
      <c r="K6251" s="265">
        <v>0.025</v>
      </c>
      <c r="L6251" s="265">
        <v>0.037037037037037</v>
      </c>
      <c r="M6251" s="265">
        <v>0.137931034482759</v>
      </c>
      <c r="N6251" s="265">
        <v>0</v>
      </c>
      <c r="O6251" s="277">
        <v>0.024390243902439</v>
      </c>
    </row>
    <row r="6252" spans="1:15">
      <c r="A6252" s="266" t="s">
        <v>67</v>
      </c>
      <c r="B6252" s="267" t="s">
        <v>6</v>
      </c>
      <c r="C6252" s="15">
        <v>0</v>
      </c>
      <c r="D6252" s="269">
        <v>0</v>
      </c>
      <c r="E6252" s="269">
        <v>0</v>
      </c>
      <c r="F6252" s="269">
        <v>0</v>
      </c>
      <c r="G6252" s="269">
        <v>0</v>
      </c>
      <c r="H6252" s="269">
        <v>0</v>
      </c>
      <c r="I6252" s="269">
        <v>0</v>
      </c>
      <c r="J6252" s="269">
        <v>0</v>
      </c>
      <c r="K6252" s="269">
        <v>0</v>
      </c>
      <c r="L6252" s="269">
        <v>0</v>
      </c>
      <c r="M6252" s="269">
        <v>0</v>
      </c>
      <c r="N6252" s="269">
        <v>0</v>
      </c>
      <c r="O6252" s="279">
        <v>0</v>
      </c>
    </row>
    <row r="6253" ht="14.25" spans="1:15">
      <c r="A6253" s="270" t="s">
        <v>67</v>
      </c>
      <c r="B6253" s="271" t="s">
        <v>64</v>
      </c>
      <c r="C6253" s="19">
        <v>0</v>
      </c>
      <c r="D6253" s="272">
        <v>0</v>
      </c>
      <c r="E6253" s="272">
        <v>0</v>
      </c>
      <c r="F6253" s="272">
        <v>0</v>
      </c>
      <c r="G6253" s="272">
        <v>0</v>
      </c>
      <c r="H6253" s="272">
        <v>0</v>
      </c>
      <c r="I6253" s="272">
        <v>0</v>
      </c>
      <c r="J6253" s="272">
        <v>0</v>
      </c>
      <c r="K6253" s="272">
        <v>0</v>
      </c>
      <c r="L6253" s="272">
        <v>0</v>
      </c>
      <c r="M6253" s="272">
        <v>0</v>
      </c>
      <c r="N6253" s="272">
        <v>0</v>
      </c>
      <c r="O6253" s="280">
        <v>0</v>
      </c>
    </row>
    <row r="6254" spans="1:15">
      <c r="A6254" s="263" t="s">
        <v>68</v>
      </c>
      <c r="B6254" s="264" t="s">
        <v>55</v>
      </c>
      <c r="C6254" s="12">
        <v>0.280629139072848</v>
      </c>
      <c r="D6254" s="265">
        <v>0.351428571428571</v>
      </c>
      <c r="E6254" s="265">
        <v>0.239747634069401</v>
      </c>
      <c r="F6254" s="265">
        <v>0.313432835820896</v>
      </c>
      <c r="G6254" s="265">
        <v>0.325443786982249</v>
      </c>
      <c r="H6254" s="265">
        <v>0.348178137651822</v>
      </c>
      <c r="I6254" s="265">
        <v>0.292307692307692</v>
      </c>
      <c r="J6254" s="265">
        <v>0.251633986928105</v>
      </c>
      <c r="K6254" s="265">
        <v>0.254854368932039</v>
      </c>
      <c r="L6254" s="265">
        <v>0.272727272727273</v>
      </c>
      <c r="M6254" s="265">
        <v>0.26791277258567</v>
      </c>
      <c r="N6254" s="265">
        <v>0.258064516129032</v>
      </c>
      <c r="O6254" s="277">
        <v>0.251428571428571</v>
      </c>
    </row>
    <row r="6255" spans="1:15">
      <c r="A6255" s="266" t="s">
        <v>68</v>
      </c>
      <c r="B6255" s="267" t="s">
        <v>57</v>
      </c>
      <c r="C6255" s="15">
        <v>3624</v>
      </c>
      <c r="D6255" s="268">
        <v>350</v>
      </c>
      <c r="E6255" s="268">
        <v>317</v>
      </c>
      <c r="F6255" s="268">
        <v>134</v>
      </c>
      <c r="G6255" s="268">
        <v>169</v>
      </c>
      <c r="H6255" s="268">
        <v>247</v>
      </c>
      <c r="I6255" s="268">
        <v>325</v>
      </c>
      <c r="J6255" s="268">
        <v>306</v>
      </c>
      <c r="K6255" s="268">
        <v>412</v>
      </c>
      <c r="L6255" s="268">
        <v>352</v>
      </c>
      <c r="M6255" s="268">
        <v>321</v>
      </c>
      <c r="N6255" s="268">
        <v>341</v>
      </c>
      <c r="O6255" s="278">
        <v>350</v>
      </c>
    </row>
    <row r="6256" spans="1:15">
      <c r="A6256" s="263" t="s">
        <v>68</v>
      </c>
      <c r="B6256" s="264" t="s">
        <v>59</v>
      </c>
      <c r="C6256" s="15">
        <v>1017</v>
      </c>
      <c r="D6256" s="268">
        <v>123</v>
      </c>
      <c r="E6256" s="268">
        <v>76</v>
      </c>
      <c r="F6256" s="268">
        <v>42</v>
      </c>
      <c r="G6256" s="268">
        <v>55</v>
      </c>
      <c r="H6256" s="268">
        <v>86</v>
      </c>
      <c r="I6256" s="268">
        <v>95</v>
      </c>
      <c r="J6256" s="268">
        <v>77</v>
      </c>
      <c r="K6256" s="268">
        <v>105</v>
      </c>
      <c r="L6256" s="268">
        <v>96</v>
      </c>
      <c r="M6256" s="268">
        <v>86</v>
      </c>
      <c r="N6256" s="268">
        <v>88</v>
      </c>
      <c r="O6256" s="278">
        <v>88</v>
      </c>
    </row>
    <row r="6257" spans="1:15">
      <c r="A6257" s="266" t="s">
        <v>68</v>
      </c>
      <c r="B6257" s="267" t="s">
        <v>4</v>
      </c>
      <c r="C6257" s="15">
        <v>41</v>
      </c>
      <c r="D6257" s="269">
        <v>5</v>
      </c>
      <c r="E6257" s="269">
        <v>4</v>
      </c>
      <c r="F6257" s="269">
        <v>1</v>
      </c>
      <c r="G6257" s="269">
        <v>2</v>
      </c>
      <c r="H6257" s="269">
        <v>2</v>
      </c>
      <c r="I6257" s="269">
        <v>6</v>
      </c>
      <c r="J6257" s="269">
        <v>2</v>
      </c>
      <c r="K6257" s="269">
        <v>7</v>
      </c>
      <c r="L6257" s="269">
        <v>2</v>
      </c>
      <c r="M6257" s="269">
        <v>0</v>
      </c>
      <c r="N6257" s="269">
        <v>5</v>
      </c>
      <c r="O6257" s="279">
        <v>5</v>
      </c>
    </row>
    <row r="6258" spans="1:15">
      <c r="A6258" s="263" t="s">
        <v>68</v>
      </c>
      <c r="B6258" s="264" t="s">
        <v>5</v>
      </c>
      <c r="C6258" s="12">
        <v>0.04031465093412</v>
      </c>
      <c r="D6258" s="265">
        <v>0.040650406504065</v>
      </c>
      <c r="E6258" s="265">
        <v>0.0526315789473684</v>
      </c>
      <c r="F6258" s="265">
        <v>0.0238095238095238</v>
      </c>
      <c r="G6258" s="265">
        <v>0.0363636363636364</v>
      </c>
      <c r="H6258" s="265">
        <v>0.0232558139534884</v>
      </c>
      <c r="I6258" s="265">
        <v>0.0631578947368421</v>
      </c>
      <c r="J6258" s="265">
        <v>0.025974025974026</v>
      </c>
      <c r="K6258" s="265">
        <v>0.0666666666666667</v>
      </c>
      <c r="L6258" s="265">
        <v>0.0208333333333333</v>
      </c>
      <c r="M6258" s="265">
        <v>0</v>
      </c>
      <c r="N6258" s="265">
        <v>0.0568181818181818</v>
      </c>
      <c r="O6258" s="277">
        <v>0.0568181818181818</v>
      </c>
    </row>
    <row r="6259" spans="1:15">
      <c r="A6259" s="266" t="s">
        <v>68</v>
      </c>
      <c r="B6259" s="267" t="s">
        <v>6</v>
      </c>
      <c r="C6259" s="15">
        <v>15</v>
      </c>
      <c r="D6259" s="269">
        <v>2</v>
      </c>
      <c r="E6259" s="269">
        <v>1</v>
      </c>
      <c r="F6259" s="269">
        <v>0</v>
      </c>
      <c r="G6259" s="269">
        <v>1</v>
      </c>
      <c r="H6259" s="269">
        <v>1</v>
      </c>
      <c r="I6259" s="269">
        <v>3</v>
      </c>
      <c r="J6259" s="269">
        <v>0</v>
      </c>
      <c r="K6259" s="269">
        <v>1</v>
      </c>
      <c r="L6259" s="269">
        <v>0</v>
      </c>
      <c r="M6259" s="269">
        <v>0</v>
      </c>
      <c r="N6259" s="269">
        <v>2</v>
      </c>
      <c r="O6259" s="279">
        <v>4</v>
      </c>
    </row>
    <row r="6260" ht="14.25" spans="1:15">
      <c r="A6260" s="270" t="s">
        <v>68</v>
      </c>
      <c r="B6260" s="271" t="s">
        <v>64</v>
      </c>
      <c r="C6260" s="19">
        <v>0.365853658536585</v>
      </c>
      <c r="D6260" s="272">
        <v>0.4</v>
      </c>
      <c r="E6260" s="272">
        <v>0.25</v>
      </c>
      <c r="F6260" s="272">
        <v>0</v>
      </c>
      <c r="G6260" s="272">
        <v>0.5</v>
      </c>
      <c r="H6260" s="272">
        <v>0.5</v>
      </c>
      <c r="I6260" s="272">
        <v>0.5</v>
      </c>
      <c r="J6260" s="272">
        <v>0</v>
      </c>
      <c r="K6260" s="272">
        <v>0.142857142857143</v>
      </c>
      <c r="L6260" s="272">
        <v>0</v>
      </c>
      <c r="M6260" s="272">
        <v>0</v>
      </c>
      <c r="N6260" s="272">
        <v>0.4</v>
      </c>
      <c r="O6260" s="280">
        <v>0.8</v>
      </c>
    </row>
    <row r="6261" spans="1:15">
      <c r="A6261" s="263" t="s">
        <v>69</v>
      </c>
      <c r="B6261" s="264" t="s">
        <v>55</v>
      </c>
      <c r="C6261" s="12">
        <v>1.92222222222222</v>
      </c>
      <c r="D6261" s="265">
        <v>2.1</v>
      </c>
      <c r="E6261" s="265">
        <v>1.4</v>
      </c>
      <c r="F6261" s="265">
        <v>1.2</v>
      </c>
      <c r="G6261" s="265">
        <v>2</v>
      </c>
      <c r="H6261" s="265">
        <v>2.125</v>
      </c>
      <c r="I6261" s="265">
        <v>3</v>
      </c>
      <c r="J6261" s="265">
        <v>3</v>
      </c>
      <c r="K6261" s="265">
        <v>2</v>
      </c>
      <c r="L6261" s="265">
        <v>1.55555555555556</v>
      </c>
      <c r="M6261" s="265">
        <v>2.625</v>
      </c>
      <c r="N6261" s="265">
        <v>2</v>
      </c>
      <c r="O6261" s="277">
        <v>1.38461538461538</v>
      </c>
    </row>
    <row r="6262" spans="1:15">
      <c r="A6262" s="266" t="s">
        <v>69</v>
      </c>
      <c r="B6262" s="267" t="s">
        <v>57</v>
      </c>
      <c r="C6262" s="15">
        <v>90</v>
      </c>
      <c r="D6262" s="268">
        <v>10</v>
      </c>
      <c r="E6262" s="268">
        <v>10</v>
      </c>
      <c r="F6262" s="268">
        <v>5</v>
      </c>
      <c r="G6262" s="268">
        <v>3</v>
      </c>
      <c r="H6262" s="268">
        <v>8</v>
      </c>
      <c r="I6262" s="268">
        <v>4</v>
      </c>
      <c r="J6262" s="268">
        <v>4</v>
      </c>
      <c r="K6262" s="268">
        <v>9</v>
      </c>
      <c r="L6262" s="268">
        <v>9</v>
      </c>
      <c r="M6262" s="268">
        <v>8</v>
      </c>
      <c r="N6262" s="268">
        <v>7</v>
      </c>
      <c r="O6262" s="278">
        <v>13</v>
      </c>
    </row>
    <row r="6263" spans="1:15">
      <c r="A6263" s="263" t="s">
        <v>69</v>
      </c>
      <c r="B6263" s="264" t="s">
        <v>59</v>
      </c>
      <c r="C6263" s="15">
        <v>173</v>
      </c>
      <c r="D6263" s="268">
        <v>21</v>
      </c>
      <c r="E6263" s="268">
        <v>14</v>
      </c>
      <c r="F6263" s="268">
        <v>6</v>
      </c>
      <c r="G6263" s="268">
        <v>6</v>
      </c>
      <c r="H6263" s="268">
        <v>17</v>
      </c>
      <c r="I6263" s="268">
        <v>12</v>
      </c>
      <c r="J6263" s="268">
        <v>12</v>
      </c>
      <c r="K6263" s="268">
        <v>18</v>
      </c>
      <c r="L6263" s="268">
        <v>14</v>
      </c>
      <c r="M6263" s="268">
        <v>21</v>
      </c>
      <c r="N6263" s="268">
        <v>14</v>
      </c>
      <c r="O6263" s="278">
        <v>18</v>
      </c>
    </row>
    <row r="6264" spans="1:15">
      <c r="A6264" s="266" t="s">
        <v>69</v>
      </c>
      <c r="B6264" s="267" t="s">
        <v>4</v>
      </c>
      <c r="C6264" s="15">
        <v>1</v>
      </c>
      <c r="D6264" s="269">
        <v>0</v>
      </c>
      <c r="E6264" s="269">
        <v>0</v>
      </c>
      <c r="F6264" s="269">
        <v>0</v>
      </c>
      <c r="G6264" s="269">
        <v>0</v>
      </c>
      <c r="H6264" s="269">
        <v>0</v>
      </c>
      <c r="I6264" s="269">
        <v>0</v>
      </c>
      <c r="J6264" s="269">
        <v>0</v>
      </c>
      <c r="K6264" s="269">
        <v>0</v>
      </c>
      <c r="L6264" s="269">
        <v>0</v>
      </c>
      <c r="M6264" s="269">
        <v>0</v>
      </c>
      <c r="N6264" s="269">
        <v>1</v>
      </c>
      <c r="O6264" s="279">
        <v>0</v>
      </c>
    </row>
    <row r="6265" spans="1:15">
      <c r="A6265" s="263" t="s">
        <v>69</v>
      </c>
      <c r="B6265" s="264" t="s">
        <v>5</v>
      </c>
      <c r="C6265" s="12">
        <v>0.00578034682080925</v>
      </c>
      <c r="D6265" s="265">
        <v>0</v>
      </c>
      <c r="E6265" s="265">
        <v>0</v>
      </c>
      <c r="F6265" s="265">
        <v>0</v>
      </c>
      <c r="G6265" s="265">
        <v>0</v>
      </c>
      <c r="H6265" s="265">
        <v>0</v>
      </c>
      <c r="I6265" s="265">
        <v>0</v>
      </c>
      <c r="J6265" s="265">
        <v>0</v>
      </c>
      <c r="K6265" s="265">
        <v>0</v>
      </c>
      <c r="L6265" s="265">
        <v>0</v>
      </c>
      <c r="M6265" s="265">
        <v>0</v>
      </c>
      <c r="N6265" s="265">
        <v>0.0714285714285714</v>
      </c>
      <c r="O6265" s="277">
        <v>0</v>
      </c>
    </row>
    <row r="6266" spans="1:15">
      <c r="A6266" s="266" t="s">
        <v>69</v>
      </c>
      <c r="B6266" s="267" t="s">
        <v>6</v>
      </c>
      <c r="C6266" s="15">
        <v>1</v>
      </c>
      <c r="D6266" s="269">
        <v>0</v>
      </c>
      <c r="E6266" s="269">
        <v>0</v>
      </c>
      <c r="F6266" s="269">
        <v>0</v>
      </c>
      <c r="G6266" s="269">
        <v>0</v>
      </c>
      <c r="H6266" s="269">
        <v>0</v>
      </c>
      <c r="I6266" s="269">
        <v>0</v>
      </c>
      <c r="J6266" s="269">
        <v>0</v>
      </c>
      <c r="K6266" s="269">
        <v>1</v>
      </c>
      <c r="L6266" s="269">
        <v>0</v>
      </c>
      <c r="M6266" s="269">
        <v>0</v>
      </c>
      <c r="N6266" s="269">
        <v>0</v>
      </c>
      <c r="O6266" s="279">
        <v>0</v>
      </c>
    </row>
    <row r="6267" ht="14.25" spans="1:15">
      <c r="A6267" s="270" t="s">
        <v>69</v>
      </c>
      <c r="B6267" s="271" t="s">
        <v>64</v>
      </c>
      <c r="C6267" s="19">
        <v>1</v>
      </c>
      <c r="D6267" s="272">
        <v>0</v>
      </c>
      <c r="E6267" s="272">
        <v>0</v>
      </c>
      <c r="F6267" s="272">
        <v>0</v>
      </c>
      <c r="G6267" s="272">
        <v>0</v>
      </c>
      <c r="H6267" s="272">
        <v>0</v>
      </c>
      <c r="I6267" s="272">
        <v>0</v>
      </c>
      <c r="J6267" s="272">
        <v>0</v>
      </c>
      <c r="K6267" s="272">
        <v>0</v>
      </c>
      <c r="L6267" s="272">
        <v>0</v>
      </c>
      <c r="M6267" s="272">
        <v>0</v>
      </c>
      <c r="N6267" s="272">
        <v>0</v>
      </c>
      <c r="O6267" s="280">
        <v>0</v>
      </c>
    </row>
    <row r="6268" spans="1:15">
      <c r="A6268" s="263" t="s">
        <v>70</v>
      </c>
      <c r="B6268" s="264" t="s">
        <v>55</v>
      </c>
      <c r="C6268" s="12">
        <v>2.57425742574257</v>
      </c>
      <c r="D6268" s="265">
        <v>3</v>
      </c>
      <c r="E6268" s="265">
        <v>1.42857142857143</v>
      </c>
      <c r="F6268" s="265">
        <v>1.21428571428571</v>
      </c>
      <c r="G6268" s="265">
        <v>1.2</v>
      </c>
      <c r="H6268" s="265">
        <v>2.64285714285714</v>
      </c>
      <c r="I6268" s="265">
        <v>2.42857142857143</v>
      </c>
      <c r="J6268" s="265">
        <v>3.4375</v>
      </c>
      <c r="K6268" s="265">
        <v>5.18181818181818</v>
      </c>
      <c r="L6268" s="265">
        <v>2.95</v>
      </c>
      <c r="M6268" s="265">
        <v>2.72727272727273</v>
      </c>
      <c r="N6268" s="265">
        <v>2.75</v>
      </c>
      <c r="O6268" s="277">
        <v>2.25</v>
      </c>
    </row>
    <row r="6269" spans="1:15">
      <c r="A6269" s="266" t="s">
        <v>70</v>
      </c>
      <c r="B6269" s="267" t="s">
        <v>57</v>
      </c>
      <c r="C6269" s="15">
        <v>202</v>
      </c>
      <c r="D6269" s="268">
        <v>19</v>
      </c>
      <c r="E6269" s="268">
        <v>14</v>
      </c>
      <c r="F6269" s="268">
        <v>14</v>
      </c>
      <c r="G6269" s="268">
        <v>15</v>
      </c>
      <c r="H6269" s="268">
        <v>14</v>
      </c>
      <c r="I6269" s="268">
        <v>21</v>
      </c>
      <c r="J6269" s="268">
        <v>16</v>
      </c>
      <c r="K6269" s="268">
        <v>11</v>
      </c>
      <c r="L6269" s="268">
        <v>20</v>
      </c>
      <c r="M6269" s="268">
        <v>22</v>
      </c>
      <c r="N6269" s="268">
        <v>16</v>
      </c>
      <c r="O6269" s="278">
        <v>20</v>
      </c>
    </row>
    <row r="6270" spans="1:15">
      <c r="A6270" s="263" t="s">
        <v>70</v>
      </c>
      <c r="B6270" s="264" t="s">
        <v>59</v>
      </c>
      <c r="C6270" s="15">
        <v>520</v>
      </c>
      <c r="D6270" s="268">
        <v>57</v>
      </c>
      <c r="E6270" s="268">
        <v>20</v>
      </c>
      <c r="F6270" s="268">
        <v>17</v>
      </c>
      <c r="G6270" s="268">
        <v>18</v>
      </c>
      <c r="H6270" s="268">
        <v>37</v>
      </c>
      <c r="I6270" s="268">
        <v>51</v>
      </c>
      <c r="J6270" s="268">
        <v>55</v>
      </c>
      <c r="K6270" s="268">
        <v>57</v>
      </c>
      <c r="L6270" s="268">
        <v>59</v>
      </c>
      <c r="M6270" s="268">
        <v>60</v>
      </c>
      <c r="N6270" s="268">
        <v>44</v>
      </c>
      <c r="O6270" s="278">
        <v>45</v>
      </c>
    </row>
    <row r="6271" spans="1:15">
      <c r="A6271" s="266" t="s">
        <v>70</v>
      </c>
      <c r="B6271" s="267" t="s">
        <v>4</v>
      </c>
      <c r="C6271" s="15">
        <v>6</v>
      </c>
      <c r="D6271" s="269">
        <v>1</v>
      </c>
      <c r="E6271" s="269">
        <v>0</v>
      </c>
      <c r="F6271" s="269">
        <v>0</v>
      </c>
      <c r="G6271" s="269">
        <v>0</v>
      </c>
      <c r="H6271" s="269">
        <v>1</v>
      </c>
      <c r="I6271" s="269">
        <v>1</v>
      </c>
      <c r="J6271" s="269">
        <v>1</v>
      </c>
      <c r="K6271" s="269">
        <v>1</v>
      </c>
      <c r="L6271" s="269">
        <v>0</v>
      </c>
      <c r="M6271" s="269">
        <v>0</v>
      </c>
      <c r="N6271" s="269">
        <v>1</v>
      </c>
      <c r="O6271" s="279">
        <v>0</v>
      </c>
    </row>
    <row r="6272" spans="1:15">
      <c r="A6272" s="263" t="s">
        <v>70</v>
      </c>
      <c r="B6272" s="264" t="s">
        <v>5</v>
      </c>
      <c r="C6272" s="12">
        <v>0.0115384615384615</v>
      </c>
      <c r="D6272" s="265">
        <v>0.0175438596491228</v>
      </c>
      <c r="E6272" s="265">
        <v>0</v>
      </c>
      <c r="F6272" s="265">
        <v>0</v>
      </c>
      <c r="G6272" s="265">
        <v>0</v>
      </c>
      <c r="H6272" s="265">
        <v>0.027027027027027</v>
      </c>
      <c r="I6272" s="265">
        <v>0.0196078431372549</v>
      </c>
      <c r="J6272" s="265">
        <v>0.0181818181818182</v>
      </c>
      <c r="K6272" s="265">
        <v>0.0175438596491228</v>
      </c>
      <c r="L6272" s="265">
        <v>0</v>
      </c>
      <c r="M6272" s="265">
        <v>0</v>
      </c>
      <c r="N6272" s="265">
        <v>0.0227272727272727</v>
      </c>
      <c r="O6272" s="277">
        <v>0</v>
      </c>
    </row>
    <row r="6273" spans="1:15">
      <c r="A6273" s="266" t="s">
        <v>70</v>
      </c>
      <c r="B6273" s="267" t="s">
        <v>6</v>
      </c>
      <c r="C6273" s="15">
        <v>3</v>
      </c>
      <c r="D6273" s="269">
        <v>0</v>
      </c>
      <c r="E6273" s="269">
        <v>0</v>
      </c>
      <c r="F6273" s="269">
        <v>0</v>
      </c>
      <c r="G6273" s="269">
        <v>1</v>
      </c>
      <c r="H6273" s="269">
        <v>0</v>
      </c>
      <c r="I6273" s="269">
        <v>2</v>
      </c>
      <c r="J6273" s="269">
        <v>0</v>
      </c>
      <c r="K6273" s="269">
        <v>0</v>
      </c>
      <c r="L6273" s="269">
        <v>0</v>
      </c>
      <c r="M6273" s="269">
        <v>0</v>
      </c>
      <c r="N6273" s="269">
        <v>0</v>
      </c>
      <c r="O6273" s="279">
        <v>0</v>
      </c>
    </row>
    <row r="6274" ht="14.25" spans="1:15">
      <c r="A6274" s="270" t="s">
        <v>70</v>
      </c>
      <c r="B6274" s="271" t="s">
        <v>64</v>
      </c>
      <c r="C6274" s="19">
        <v>0.5</v>
      </c>
      <c r="D6274" s="272">
        <v>0</v>
      </c>
      <c r="E6274" s="272">
        <v>0</v>
      </c>
      <c r="F6274" s="272">
        <v>0</v>
      </c>
      <c r="G6274" s="272">
        <v>0</v>
      </c>
      <c r="H6274" s="272">
        <v>0</v>
      </c>
      <c r="I6274" s="272">
        <v>2</v>
      </c>
      <c r="J6274" s="272">
        <v>0</v>
      </c>
      <c r="K6274" s="272">
        <v>0</v>
      </c>
      <c r="L6274" s="272">
        <v>0</v>
      </c>
      <c r="M6274" s="272">
        <v>0</v>
      </c>
      <c r="N6274" s="272">
        <v>0</v>
      </c>
      <c r="O6274" s="280">
        <v>0</v>
      </c>
    </row>
    <row r="6275" spans="1:15">
      <c r="A6275" s="263" t="s">
        <v>26</v>
      </c>
      <c r="B6275" s="264" t="s">
        <v>55</v>
      </c>
      <c r="C6275" s="12">
        <v>0.830662020905923</v>
      </c>
      <c r="D6275" s="265">
        <v>0.884615384615385</v>
      </c>
      <c r="E6275" s="265">
        <v>0.828947368421053</v>
      </c>
      <c r="F6275" s="265">
        <v>0.885245901639344</v>
      </c>
      <c r="G6275" s="265">
        <v>0.982142857142857</v>
      </c>
      <c r="H6275" s="265">
        <v>0.802083333333333</v>
      </c>
      <c r="I6275" s="265">
        <v>0.837209302325581</v>
      </c>
      <c r="J6275" s="265">
        <v>0.923664122137405</v>
      </c>
      <c r="K6275" s="265">
        <v>0.751633986928105</v>
      </c>
      <c r="L6275" s="265">
        <v>0.817073170731707</v>
      </c>
      <c r="M6275" s="265">
        <v>0.83969465648855</v>
      </c>
      <c r="N6275" s="265">
        <v>0.770833333333333</v>
      </c>
      <c r="O6275" s="277">
        <v>0.786585365853659</v>
      </c>
    </row>
    <row r="6276" spans="1:15">
      <c r="A6276" s="266" t="s">
        <v>26</v>
      </c>
      <c r="B6276" s="267" t="s">
        <v>57</v>
      </c>
      <c r="C6276" s="15">
        <v>1435</v>
      </c>
      <c r="D6276" s="268">
        <v>130</v>
      </c>
      <c r="E6276" s="268">
        <v>76</v>
      </c>
      <c r="F6276" s="268">
        <v>61</v>
      </c>
      <c r="G6276" s="268">
        <v>56</v>
      </c>
      <c r="H6276" s="268">
        <v>96</v>
      </c>
      <c r="I6276" s="268">
        <v>129</v>
      </c>
      <c r="J6276" s="268">
        <v>131</v>
      </c>
      <c r="K6276" s="268">
        <v>153</v>
      </c>
      <c r="L6276" s="268">
        <v>164</v>
      </c>
      <c r="M6276" s="268">
        <v>131</v>
      </c>
      <c r="N6276" s="268">
        <v>144</v>
      </c>
      <c r="O6276" s="278">
        <v>164</v>
      </c>
    </row>
    <row r="6277" spans="1:15">
      <c r="A6277" s="263" t="s">
        <v>26</v>
      </c>
      <c r="B6277" s="264" t="s">
        <v>59</v>
      </c>
      <c r="C6277" s="15">
        <v>1192</v>
      </c>
      <c r="D6277" s="268">
        <v>115</v>
      </c>
      <c r="E6277" s="268">
        <v>63</v>
      </c>
      <c r="F6277" s="268">
        <v>54</v>
      </c>
      <c r="G6277" s="268">
        <v>55</v>
      </c>
      <c r="H6277" s="268">
        <v>77</v>
      </c>
      <c r="I6277" s="268">
        <v>108</v>
      </c>
      <c r="J6277" s="268">
        <v>121</v>
      </c>
      <c r="K6277" s="268">
        <v>115</v>
      </c>
      <c r="L6277" s="268">
        <v>134</v>
      </c>
      <c r="M6277" s="268">
        <v>110</v>
      </c>
      <c r="N6277" s="268">
        <v>111</v>
      </c>
      <c r="O6277" s="278">
        <v>129</v>
      </c>
    </row>
    <row r="6278" spans="1:15">
      <c r="A6278" s="266" t="s">
        <v>26</v>
      </c>
      <c r="B6278" s="267" t="s">
        <v>4</v>
      </c>
      <c r="C6278" s="15">
        <v>20</v>
      </c>
      <c r="D6278" s="269">
        <v>1</v>
      </c>
      <c r="E6278" s="269">
        <v>0</v>
      </c>
      <c r="F6278" s="269">
        <v>1</v>
      </c>
      <c r="G6278" s="269">
        <v>1</v>
      </c>
      <c r="H6278" s="269">
        <v>1</v>
      </c>
      <c r="I6278" s="269">
        <v>1</v>
      </c>
      <c r="J6278" s="269">
        <v>2</v>
      </c>
      <c r="K6278" s="269">
        <v>4</v>
      </c>
      <c r="L6278" s="269">
        <v>1</v>
      </c>
      <c r="M6278" s="269">
        <v>2</v>
      </c>
      <c r="N6278" s="269">
        <v>4</v>
      </c>
      <c r="O6278" s="279">
        <v>2</v>
      </c>
    </row>
    <row r="6279" spans="1:15">
      <c r="A6279" s="263" t="s">
        <v>26</v>
      </c>
      <c r="B6279" s="264" t="s">
        <v>5</v>
      </c>
      <c r="C6279" s="12">
        <v>0.0167785234899329</v>
      </c>
      <c r="D6279" s="265">
        <v>0.00869565217391304</v>
      </c>
      <c r="E6279" s="265">
        <v>0</v>
      </c>
      <c r="F6279" s="265">
        <v>0.0185185185185185</v>
      </c>
      <c r="G6279" s="265">
        <v>0.0181818181818182</v>
      </c>
      <c r="H6279" s="265">
        <v>0.012987012987013</v>
      </c>
      <c r="I6279" s="265">
        <v>0.00925925925925926</v>
      </c>
      <c r="J6279" s="265">
        <v>0.0165289256198347</v>
      </c>
      <c r="K6279" s="265">
        <v>0.0347826086956522</v>
      </c>
      <c r="L6279" s="265">
        <v>0.00746268656716418</v>
      </c>
      <c r="M6279" s="265">
        <v>0.0181818181818182</v>
      </c>
      <c r="N6279" s="265">
        <v>0.036036036036036</v>
      </c>
      <c r="O6279" s="277">
        <v>0.0155038759689922</v>
      </c>
    </row>
    <row r="6280" spans="1:15">
      <c r="A6280" s="266" t="s">
        <v>26</v>
      </c>
      <c r="B6280" s="267" t="s">
        <v>6</v>
      </c>
      <c r="C6280" s="15">
        <v>8</v>
      </c>
      <c r="D6280" s="269">
        <v>0</v>
      </c>
      <c r="E6280" s="269">
        <v>0</v>
      </c>
      <c r="F6280" s="269">
        <v>1</v>
      </c>
      <c r="G6280" s="269">
        <v>1</v>
      </c>
      <c r="H6280" s="269">
        <v>1</v>
      </c>
      <c r="I6280" s="269">
        <v>0</v>
      </c>
      <c r="J6280" s="269">
        <v>0</v>
      </c>
      <c r="K6280" s="269">
        <v>1</v>
      </c>
      <c r="L6280" s="269">
        <v>0</v>
      </c>
      <c r="M6280" s="269">
        <v>1</v>
      </c>
      <c r="N6280" s="269">
        <v>3</v>
      </c>
      <c r="O6280" s="279">
        <v>0</v>
      </c>
    </row>
    <row r="6281" ht="14.25" spans="1:15">
      <c r="A6281" s="270" t="s">
        <v>26</v>
      </c>
      <c r="B6281" s="271" t="s">
        <v>64</v>
      </c>
      <c r="C6281" s="19">
        <v>0.4</v>
      </c>
      <c r="D6281" s="19">
        <v>0</v>
      </c>
      <c r="E6281" s="19" t="e">
        <v>#DIV/0!</v>
      </c>
      <c r="F6281" s="19">
        <v>1</v>
      </c>
      <c r="G6281" s="19">
        <v>1</v>
      </c>
      <c r="H6281" s="19">
        <v>1</v>
      </c>
      <c r="I6281" s="19">
        <v>0</v>
      </c>
      <c r="J6281" s="19">
        <v>0</v>
      </c>
      <c r="K6281" s="19">
        <v>0.25</v>
      </c>
      <c r="L6281" s="19">
        <v>0</v>
      </c>
      <c r="M6281" s="19">
        <v>0.5</v>
      </c>
      <c r="N6281" s="19">
        <v>0.75</v>
      </c>
      <c r="O6281" s="19">
        <v>0</v>
      </c>
    </row>
    <row r="6282" spans="1:15">
      <c r="A6282" s="263" t="s">
        <v>71</v>
      </c>
      <c r="B6282" s="264" t="s">
        <v>55</v>
      </c>
      <c r="C6282" s="12">
        <v>222</v>
      </c>
      <c r="D6282" s="265" t="e">
        <v>#DIV/0!</v>
      </c>
      <c r="E6282" s="265" t="e">
        <v>#DIV/0!</v>
      </c>
      <c r="F6282" s="265">
        <v>38</v>
      </c>
      <c r="G6282" s="265">
        <v>37</v>
      </c>
      <c r="H6282" s="265" t="e">
        <v>#DIV/0!</v>
      </c>
      <c r="I6282" s="265" t="e">
        <v>#DIV/0!</v>
      </c>
      <c r="J6282" s="265" t="e">
        <v>#DIV/0!</v>
      </c>
      <c r="K6282" s="265" t="e">
        <v>#DIV/0!</v>
      </c>
      <c r="L6282" s="265" t="e">
        <v>#DIV/0!</v>
      </c>
      <c r="M6282" s="265">
        <v>72</v>
      </c>
      <c r="N6282" s="265" t="e">
        <v>#DIV/0!</v>
      </c>
      <c r="O6282" s="265" t="e">
        <v>#DIV/0!</v>
      </c>
    </row>
    <row r="6283" spans="1:15">
      <c r="A6283" s="266" t="s">
        <v>71</v>
      </c>
      <c r="B6283" s="267" t="s">
        <v>57</v>
      </c>
      <c r="C6283" s="15">
        <v>3</v>
      </c>
      <c r="D6283" s="268">
        <v>0</v>
      </c>
      <c r="E6283" s="268">
        <v>0</v>
      </c>
      <c r="F6283" s="268">
        <v>1</v>
      </c>
      <c r="G6283" s="268">
        <v>1</v>
      </c>
      <c r="H6283" s="268">
        <v>0</v>
      </c>
      <c r="I6283" s="268">
        <v>0</v>
      </c>
      <c r="J6283" s="268">
        <v>0</v>
      </c>
      <c r="K6283" s="268">
        <v>0</v>
      </c>
      <c r="L6283" s="268">
        <v>0</v>
      </c>
      <c r="M6283" s="268">
        <v>1</v>
      </c>
      <c r="N6283" s="268">
        <v>0</v>
      </c>
      <c r="O6283" s="278">
        <v>0</v>
      </c>
    </row>
    <row r="6284" spans="1:15">
      <c r="A6284" s="263" t="s">
        <v>71</v>
      </c>
      <c r="B6284" s="264" t="s">
        <v>59</v>
      </c>
      <c r="C6284" s="15">
        <v>666</v>
      </c>
      <c r="D6284" s="268">
        <v>60</v>
      </c>
      <c r="E6284" s="268">
        <v>30</v>
      </c>
      <c r="F6284" s="268">
        <v>38</v>
      </c>
      <c r="G6284" s="268">
        <v>37</v>
      </c>
      <c r="H6284" s="268">
        <v>50</v>
      </c>
      <c r="I6284" s="268">
        <v>50</v>
      </c>
      <c r="J6284" s="268">
        <v>67</v>
      </c>
      <c r="K6284" s="268">
        <v>65</v>
      </c>
      <c r="L6284" s="268">
        <v>61</v>
      </c>
      <c r="M6284" s="268">
        <v>72</v>
      </c>
      <c r="N6284" s="268">
        <v>72</v>
      </c>
      <c r="O6284" s="278">
        <v>64</v>
      </c>
    </row>
    <row r="6285" spans="1:15">
      <c r="A6285" s="266" t="s">
        <v>71</v>
      </c>
      <c r="B6285" s="267" t="s">
        <v>4</v>
      </c>
      <c r="C6285" s="15">
        <v>37</v>
      </c>
      <c r="D6285" s="269">
        <v>3</v>
      </c>
      <c r="E6285" s="269">
        <v>2</v>
      </c>
      <c r="F6285" s="269">
        <v>4</v>
      </c>
      <c r="G6285" s="269">
        <v>1</v>
      </c>
      <c r="H6285" s="269">
        <v>0</v>
      </c>
      <c r="I6285" s="269">
        <v>4</v>
      </c>
      <c r="J6285" s="269">
        <v>5</v>
      </c>
      <c r="K6285" s="269">
        <v>3</v>
      </c>
      <c r="L6285" s="269">
        <v>3</v>
      </c>
      <c r="M6285" s="269">
        <v>2</v>
      </c>
      <c r="N6285" s="269">
        <v>4</v>
      </c>
      <c r="O6285" s="279">
        <v>6</v>
      </c>
    </row>
    <row r="6286" spans="1:15">
      <c r="A6286" s="263" t="s">
        <v>71</v>
      </c>
      <c r="B6286" s="264" t="s">
        <v>5</v>
      </c>
      <c r="C6286" s="265">
        <v>0.0555555555555556</v>
      </c>
      <c r="D6286" s="265">
        <v>0.05</v>
      </c>
      <c r="E6286" s="265">
        <v>0.0666666666666667</v>
      </c>
      <c r="F6286" s="265">
        <v>0.105263157894737</v>
      </c>
      <c r="G6286" s="265">
        <v>0.027027027027027</v>
      </c>
      <c r="H6286" s="265">
        <v>0</v>
      </c>
      <c r="I6286" s="265">
        <v>0.08</v>
      </c>
      <c r="J6286" s="265">
        <v>0.0746268656716418</v>
      </c>
      <c r="K6286" s="265">
        <v>0.0461538461538462</v>
      </c>
      <c r="L6286" s="265">
        <v>0.0491803278688525</v>
      </c>
      <c r="M6286" s="265">
        <v>0.0277777777777778</v>
      </c>
      <c r="N6286" s="265">
        <v>0.0555555555555556</v>
      </c>
      <c r="O6286" s="277">
        <v>0.09375</v>
      </c>
    </row>
    <row r="6287" spans="1:15">
      <c r="A6287" s="266" t="s">
        <v>71</v>
      </c>
      <c r="B6287" s="267" t="s">
        <v>6</v>
      </c>
      <c r="C6287" s="15">
        <v>11</v>
      </c>
      <c r="D6287" s="269">
        <v>0</v>
      </c>
      <c r="E6287" s="269">
        <v>0</v>
      </c>
      <c r="F6287" s="269">
        <v>3</v>
      </c>
      <c r="G6287" s="269">
        <v>0</v>
      </c>
      <c r="H6287" s="269">
        <v>0</v>
      </c>
      <c r="I6287" s="269">
        <v>2</v>
      </c>
      <c r="J6287" s="269">
        <v>2</v>
      </c>
      <c r="K6287" s="269">
        <v>0</v>
      </c>
      <c r="L6287" s="269">
        <v>1</v>
      </c>
      <c r="M6287" s="269">
        <v>2</v>
      </c>
      <c r="N6287" s="269">
        <v>1</v>
      </c>
      <c r="O6287" s="279">
        <v>0</v>
      </c>
    </row>
    <row r="6288" ht="14.25" spans="1:15">
      <c r="A6288" s="270" t="s">
        <v>71</v>
      </c>
      <c r="B6288" s="271" t="s">
        <v>64</v>
      </c>
      <c r="C6288" s="19">
        <v>0.297297297297297</v>
      </c>
      <c r="D6288" s="19">
        <v>0</v>
      </c>
      <c r="E6288" s="19">
        <v>0</v>
      </c>
      <c r="F6288" s="19">
        <v>0.75</v>
      </c>
      <c r="G6288" s="19">
        <v>0</v>
      </c>
      <c r="H6288" s="19" t="e">
        <v>#DIV/0!</v>
      </c>
      <c r="I6288" s="19">
        <v>0.5</v>
      </c>
      <c r="J6288" s="19">
        <v>0.4</v>
      </c>
      <c r="K6288" s="19">
        <v>0</v>
      </c>
      <c r="L6288" s="19">
        <v>0.333333333333333</v>
      </c>
      <c r="M6288" s="19">
        <v>1</v>
      </c>
      <c r="N6288" s="19">
        <v>0.25</v>
      </c>
      <c r="O6288" s="19">
        <v>0</v>
      </c>
    </row>
    <row r="6289" spans="1:15">
      <c r="A6289" s="263" t="s">
        <v>72</v>
      </c>
      <c r="B6289" s="264" t="s">
        <v>55</v>
      </c>
      <c r="C6289" s="12">
        <v>0.114771904417089</v>
      </c>
      <c r="D6289" s="265">
        <v>0.137777777777778</v>
      </c>
      <c r="E6289" s="265">
        <v>0.172932330827068</v>
      </c>
      <c r="F6289" s="265">
        <v>0.160377358490566</v>
      </c>
      <c r="G6289" s="265">
        <v>0.16030534351145</v>
      </c>
      <c r="H6289" s="265">
        <v>0.119170984455959</v>
      </c>
      <c r="I6289" s="265">
        <v>0.116161616161616</v>
      </c>
      <c r="J6289" s="265">
        <v>0.0829875518672199</v>
      </c>
      <c r="K6289" s="265">
        <v>0.0974729241877256</v>
      </c>
      <c r="L6289" s="265">
        <v>0.106837606837607</v>
      </c>
      <c r="M6289" s="265">
        <v>0.121457489878543</v>
      </c>
      <c r="N6289" s="265">
        <v>0.0993071593533487</v>
      </c>
      <c r="O6289" s="277">
        <v>0.0988372093023256</v>
      </c>
    </row>
    <row r="6290" spans="1:15">
      <c r="A6290" s="266" t="s">
        <v>72</v>
      </c>
      <c r="B6290" s="267" t="s">
        <v>57</v>
      </c>
      <c r="C6290" s="15">
        <v>2762</v>
      </c>
      <c r="D6290" s="268">
        <v>225</v>
      </c>
      <c r="E6290" s="268">
        <v>133</v>
      </c>
      <c r="F6290" s="268">
        <v>106</v>
      </c>
      <c r="G6290" s="268">
        <v>131</v>
      </c>
      <c r="H6290" s="268">
        <v>193</v>
      </c>
      <c r="I6290" s="268">
        <v>198</v>
      </c>
      <c r="J6290" s="268">
        <v>241</v>
      </c>
      <c r="K6290" s="268">
        <v>277</v>
      </c>
      <c r="L6290" s="268">
        <v>234</v>
      </c>
      <c r="M6290" s="268">
        <v>247</v>
      </c>
      <c r="N6290" s="268">
        <v>433</v>
      </c>
      <c r="O6290" s="278">
        <v>344</v>
      </c>
    </row>
    <row r="6291" spans="1:15">
      <c r="A6291" s="263" t="s">
        <v>72</v>
      </c>
      <c r="B6291" s="264" t="s">
        <v>59</v>
      </c>
      <c r="C6291" s="15">
        <v>317</v>
      </c>
      <c r="D6291" s="268">
        <v>31</v>
      </c>
      <c r="E6291" s="268">
        <v>23</v>
      </c>
      <c r="F6291" s="268">
        <v>17</v>
      </c>
      <c r="G6291" s="268">
        <v>21</v>
      </c>
      <c r="H6291" s="268">
        <v>23</v>
      </c>
      <c r="I6291" s="268">
        <v>23</v>
      </c>
      <c r="J6291" s="268">
        <v>20</v>
      </c>
      <c r="K6291" s="268">
        <v>27</v>
      </c>
      <c r="L6291" s="268">
        <v>25</v>
      </c>
      <c r="M6291" s="268">
        <v>30</v>
      </c>
      <c r="N6291" s="268">
        <v>43</v>
      </c>
      <c r="O6291" s="278">
        <v>34</v>
      </c>
    </row>
    <row r="6292" spans="1:15">
      <c r="A6292" s="266" t="s">
        <v>72</v>
      </c>
      <c r="B6292" s="267" t="s">
        <v>4</v>
      </c>
      <c r="C6292" s="15">
        <v>12</v>
      </c>
      <c r="D6292" s="269">
        <v>1</v>
      </c>
      <c r="E6292" s="269">
        <v>1</v>
      </c>
      <c r="F6292" s="269">
        <v>1</v>
      </c>
      <c r="G6292" s="269">
        <v>0</v>
      </c>
      <c r="H6292" s="269">
        <v>0</v>
      </c>
      <c r="I6292" s="269">
        <v>2</v>
      </c>
      <c r="J6292" s="269">
        <v>1</v>
      </c>
      <c r="K6292" s="269">
        <v>2</v>
      </c>
      <c r="L6292" s="269">
        <v>0</v>
      </c>
      <c r="M6292" s="269">
        <v>3</v>
      </c>
      <c r="N6292" s="269">
        <v>0</v>
      </c>
      <c r="O6292" s="279">
        <v>1</v>
      </c>
    </row>
    <row r="6293" spans="1:15">
      <c r="A6293" s="263" t="s">
        <v>72</v>
      </c>
      <c r="B6293" s="264" t="s">
        <v>5</v>
      </c>
      <c r="C6293" s="12">
        <v>0.0378548895899054</v>
      </c>
      <c r="D6293" s="265">
        <v>0.032258064516129</v>
      </c>
      <c r="E6293" s="265">
        <v>0.0434782608695652</v>
      </c>
      <c r="F6293" s="265">
        <v>0.0588235294117647</v>
      </c>
      <c r="G6293" s="265">
        <v>0</v>
      </c>
      <c r="H6293" s="265">
        <v>0</v>
      </c>
      <c r="I6293" s="265">
        <v>0.0869565217391304</v>
      </c>
      <c r="J6293" s="265">
        <v>0.05</v>
      </c>
      <c r="K6293" s="265">
        <v>0.0740740740740741</v>
      </c>
      <c r="L6293" s="265">
        <v>0</v>
      </c>
      <c r="M6293" s="265">
        <v>0.1</v>
      </c>
      <c r="N6293" s="265">
        <v>0</v>
      </c>
      <c r="O6293" s="277">
        <v>0.0294117647058824</v>
      </c>
    </row>
    <row r="6294" spans="1:15">
      <c r="A6294" s="266" t="s">
        <v>72</v>
      </c>
      <c r="B6294" s="267" t="s">
        <v>6</v>
      </c>
      <c r="C6294" s="15">
        <v>5</v>
      </c>
      <c r="D6294" s="269">
        <v>1</v>
      </c>
      <c r="E6294" s="269">
        <v>0</v>
      </c>
      <c r="F6294" s="269">
        <v>0</v>
      </c>
      <c r="G6294" s="269">
        <v>0</v>
      </c>
      <c r="H6294" s="269">
        <v>1</v>
      </c>
      <c r="I6294" s="269">
        <v>1</v>
      </c>
      <c r="J6294" s="269">
        <v>0</v>
      </c>
      <c r="K6294" s="269">
        <v>1</v>
      </c>
      <c r="L6294" s="269">
        <v>0</v>
      </c>
      <c r="M6294" s="269">
        <v>0</v>
      </c>
      <c r="N6294" s="269">
        <v>1</v>
      </c>
      <c r="O6294" s="279">
        <v>0</v>
      </c>
    </row>
    <row r="6295" ht="14.25" spans="1:15">
      <c r="A6295" s="270" t="s">
        <v>72</v>
      </c>
      <c r="B6295" s="271" t="s">
        <v>64</v>
      </c>
      <c r="C6295" s="19">
        <v>0.416666666666667</v>
      </c>
      <c r="D6295" s="19">
        <v>1</v>
      </c>
      <c r="E6295" s="19">
        <v>0</v>
      </c>
      <c r="F6295" s="19">
        <v>0</v>
      </c>
      <c r="G6295" s="19" t="e">
        <v>#DIV/0!</v>
      </c>
      <c r="H6295" s="19" t="e">
        <v>#DIV/0!</v>
      </c>
      <c r="I6295" s="19">
        <v>0.5</v>
      </c>
      <c r="J6295" s="19">
        <v>0</v>
      </c>
      <c r="K6295" s="19">
        <v>0.5</v>
      </c>
      <c r="L6295" s="19" t="e">
        <v>#DIV/0!</v>
      </c>
      <c r="M6295" s="19">
        <v>0</v>
      </c>
      <c r="N6295" s="19" t="e">
        <v>#DIV/0!</v>
      </c>
      <c r="O6295" s="19">
        <v>0</v>
      </c>
    </row>
    <row r="6296" ht="14.25" spans="1:15">
      <c r="A6296" s="237">
        <v>45116</v>
      </c>
      <c r="B6296" s="237"/>
      <c r="C6296" s="237"/>
      <c r="D6296" s="237"/>
      <c r="E6296" s="237"/>
      <c r="F6296" s="237"/>
      <c r="G6296" s="237"/>
      <c r="H6296" s="237"/>
      <c r="I6296" s="237"/>
      <c r="J6296" s="237"/>
      <c r="K6296" s="237"/>
      <c r="L6296" s="237"/>
      <c r="M6296" s="237"/>
      <c r="N6296" s="237"/>
      <c r="O6296" s="237"/>
    </row>
    <row r="6297" spans="1:15">
      <c r="A6297" s="56" t="s">
        <v>1</v>
      </c>
      <c r="B6297" s="238"/>
      <c r="C6297" s="8" t="s">
        <v>42</v>
      </c>
      <c r="D6297" s="239" t="s">
        <v>43</v>
      </c>
      <c r="E6297" s="239" t="s">
        <v>44</v>
      </c>
      <c r="F6297" s="239" t="s">
        <v>45</v>
      </c>
      <c r="G6297" s="239" t="s">
        <v>46</v>
      </c>
      <c r="H6297" s="239" t="s">
        <v>47</v>
      </c>
      <c r="I6297" s="239" t="s">
        <v>48</v>
      </c>
      <c r="J6297" s="239" t="s">
        <v>49</v>
      </c>
      <c r="K6297" s="239" t="s">
        <v>50</v>
      </c>
      <c r="L6297" s="239" t="s">
        <v>51</v>
      </c>
      <c r="M6297" s="239" t="s">
        <v>52</v>
      </c>
      <c r="N6297" s="239" t="s">
        <v>53</v>
      </c>
      <c r="O6297" s="251" t="s">
        <v>54</v>
      </c>
    </row>
    <row r="6298" spans="1:15">
      <c r="A6298" s="240" t="s">
        <v>22</v>
      </c>
      <c r="B6298" s="47" t="s">
        <v>55</v>
      </c>
      <c r="C6298" s="12">
        <v>0.49535192563081</v>
      </c>
      <c r="D6298" s="241">
        <v>0.579908675799087</v>
      </c>
      <c r="E6298" s="241">
        <v>0.342465753424658</v>
      </c>
      <c r="F6298" s="241">
        <v>0.621951219512195</v>
      </c>
      <c r="G6298" s="241">
        <v>0.563492063492063</v>
      </c>
      <c r="H6298" s="241">
        <v>0.509090909090909</v>
      </c>
      <c r="I6298" s="241">
        <v>0.614130434782609</v>
      </c>
      <c r="J6298" s="241">
        <v>0.533333333333333</v>
      </c>
      <c r="K6298" s="241">
        <v>0.440944881889764</v>
      </c>
      <c r="L6298" s="241">
        <v>0.430493273542601</v>
      </c>
      <c r="M6298" s="241">
        <v>0.44811320754717</v>
      </c>
      <c r="N6298" s="241">
        <v>0.425925925925926</v>
      </c>
      <c r="O6298" s="252">
        <v>0.522522522522523</v>
      </c>
    </row>
    <row r="6299" spans="1:15">
      <c r="A6299" s="242" t="s">
        <v>22</v>
      </c>
      <c r="B6299" s="43" t="s">
        <v>57</v>
      </c>
      <c r="C6299" s="15">
        <v>2259</v>
      </c>
      <c r="D6299" s="243">
        <v>219</v>
      </c>
      <c r="E6299" s="243">
        <v>146</v>
      </c>
      <c r="F6299" s="243">
        <v>82</v>
      </c>
      <c r="G6299" s="243">
        <v>126</v>
      </c>
      <c r="H6299" s="243">
        <v>165</v>
      </c>
      <c r="I6299" s="243">
        <v>184</v>
      </c>
      <c r="J6299" s="243">
        <v>210</v>
      </c>
      <c r="K6299" s="243">
        <v>254</v>
      </c>
      <c r="L6299" s="243">
        <v>223</v>
      </c>
      <c r="M6299" s="243">
        <v>212</v>
      </c>
      <c r="N6299" s="243">
        <v>216</v>
      </c>
      <c r="O6299" s="253">
        <v>222</v>
      </c>
    </row>
    <row r="6300" spans="1:15">
      <c r="A6300" s="240" t="s">
        <v>22</v>
      </c>
      <c r="B6300" s="47" t="s">
        <v>59</v>
      </c>
      <c r="C6300" s="15">
        <v>1119</v>
      </c>
      <c r="D6300" s="243">
        <v>127</v>
      </c>
      <c r="E6300" s="243">
        <v>50</v>
      </c>
      <c r="F6300" s="243">
        <v>51</v>
      </c>
      <c r="G6300" s="243">
        <v>71</v>
      </c>
      <c r="H6300" s="243">
        <v>84</v>
      </c>
      <c r="I6300" s="243">
        <v>113</v>
      </c>
      <c r="J6300" s="243">
        <v>112</v>
      </c>
      <c r="K6300" s="243">
        <v>112</v>
      </c>
      <c r="L6300" s="243">
        <v>96</v>
      </c>
      <c r="M6300" s="243">
        <v>95</v>
      </c>
      <c r="N6300" s="243">
        <v>92</v>
      </c>
      <c r="O6300" s="253">
        <v>116</v>
      </c>
    </row>
    <row r="6301" spans="1:15">
      <c r="A6301" s="242" t="s">
        <v>22</v>
      </c>
      <c r="B6301" s="43" t="s">
        <v>4</v>
      </c>
      <c r="C6301" s="15">
        <v>32</v>
      </c>
      <c r="D6301" s="244">
        <v>3</v>
      </c>
      <c r="E6301" s="244">
        <v>1</v>
      </c>
      <c r="F6301" s="244">
        <v>1</v>
      </c>
      <c r="G6301" s="244">
        <v>2</v>
      </c>
      <c r="H6301" s="244">
        <v>2</v>
      </c>
      <c r="I6301" s="244">
        <v>3</v>
      </c>
      <c r="J6301" s="244">
        <v>5</v>
      </c>
      <c r="K6301" s="244">
        <v>1</v>
      </c>
      <c r="L6301" s="244">
        <v>1</v>
      </c>
      <c r="M6301" s="244">
        <v>4</v>
      </c>
      <c r="N6301" s="244">
        <v>3</v>
      </c>
      <c r="O6301" s="254">
        <v>6</v>
      </c>
    </row>
    <row r="6302" spans="1:15">
      <c r="A6302" s="240" t="s">
        <v>22</v>
      </c>
      <c r="B6302" s="47" t="s">
        <v>5</v>
      </c>
      <c r="C6302" s="12">
        <v>0.0285969615728329</v>
      </c>
      <c r="D6302" s="241">
        <v>0.0236220472440945</v>
      </c>
      <c r="E6302" s="241">
        <v>0.02</v>
      </c>
      <c r="F6302" s="241">
        <v>0.0196078431372549</v>
      </c>
      <c r="G6302" s="241">
        <v>0.028169014084507</v>
      </c>
      <c r="H6302" s="241">
        <v>0.0238095238095238</v>
      </c>
      <c r="I6302" s="241">
        <v>0.0265486725663717</v>
      </c>
      <c r="J6302" s="241">
        <v>0.0446428571428571</v>
      </c>
      <c r="K6302" s="241">
        <v>0.00892857142857143</v>
      </c>
      <c r="L6302" s="241">
        <v>0.0104166666666667</v>
      </c>
      <c r="M6302" s="241">
        <v>0.0421052631578947</v>
      </c>
      <c r="N6302" s="241">
        <v>0.0326086956521739</v>
      </c>
      <c r="O6302" s="252">
        <v>0.0517241379310345</v>
      </c>
    </row>
    <row r="6303" spans="1:15">
      <c r="A6303" s="242" t="s">
        <v>22</v>
      </c>
      <c r="B6303" s="43" t="s">
        <v>6</v>
      </c>
      <c r="C6303" s="15">
        <v>17</v>
      </c>
      <c r="D6303" s="244">
        <v>5</v>
      </c>
      <c r="E6303" s="244">
        <v>2</v>
      </c>
      <c r="F6303" s="244">
        <v>1</v>
      </c>
      <c r="G6303" s="244">
        <v>1</v>
      </c>
      <c r="H6303" s="244">
        <v>0</v>
      </c>
      <c r="I6303" s="244">
        <v>1</v>
      </c>
      <c r="J6303" s="244">
        <v>0</v>
      </c>
      <c r="K6303" s="244">
        <v>2</v>
      </c>
      <c r="L6303" s="244">
        <v>0</v>
      </c>
      <c r="M6303" s="244">
        <v>3</v>
      </c>
      <c r="N6303" s="244">
        <v>2</v>
      </c>
      <c r="O6303" s="254">
        <v>0</v>
      </c>
    </row>
    <row r="6304" ht="14.25" spans="1:15">
      <c r="A6304" s="245" t="s">
        <v>22</v>
      </c>
      <c r="B6304" s="52" t="s">
        <v>64</v>
      </c>
      <c r="C6304" s="19">
        <v>0.53125</v>
      </c>
      <c r="D6304" s="246">
        <v>1.66666666666667</v>
      </c>
      <c r="E6304" s="246">
        <v>2</v>
      </c>
      <c r="F6304" s="246">
        <v>1</v>
      </c>
      <c r="G6304" s="246">
        <v>0.5</v>
      </c>
      <c r="H6304" s="246">
        <v>0</v>
      </c>
      <c r="I6304" s="246">
        <v>0.333333333333333</v>
      </c>
      <c r="J6304" s="246">
        <v>0</v>
      </c>
      <c r="K6304" s="246">
        <v>2</v>
      </c>
      <c r="L6304" s="246">
        <v>0</v>
      </c>
      <c r="M6304" s="246">
        <v>0.75</v>
      </c>
      <c r="N6304" s="246">
        <v>0.666666666666667</v>
      </c>
      <c r="O6304" s="255">
        <v>0</v>
      </c>
    </row>
    <row r="6305" spans="1:15">
      <c r="A6305" s="247" t="s">
        <v>66</v>
      </c>
      <c r="B6305" s="248" t="s">
        <v>55</v>
      </c>
      <c r="C6305" s="12">
        <v>0.0686942842160461</v>
      </c>
      <c r="D6305" s="249">
        <v>0.0584795321637427</v>
      </c>
      <c r="E6305" s="249">
        <v>0.0731707317073171</v>
      </c>
      <c r="F6305" s="249">
        <v>0.0614035087719298</v>
      </c>
      <c r="G6305" s="249">
        <v>0.0253164556962025</v>
      </c>
      <c r="H6305" s="249">
        <v>0.0546448087431694</v>
      </c>
      <c r="I6305" s="249">
        <v>0.0685714285714286</v>
      </c>
      <c r="J6305" s="249">
        <v>0.0759493670886076</v>
      </c>
      <c r="K6305" s="249">
        <v>0.0918918918918919</v>
      </c>
      <c r="L6305" s="249">
        <v>0.0773809523809524</v>
      </c>
      <c r="M6305" s="249">
        <v>0.083969465648855</v>
      </c>
      <c r="N6305" s="249">
        <v>0.0758620689655172</v>
      </c>
      <c r="O6305" s="256">
        <v>0.0774193548387097</v>
      </c>
    </row>
    <row r="6306" spans="1:15">
      <c r="A6306" s="242" t="s">
        <v>66</v>
      </c>
      <c r="B6306" s="43" t="s">
        <v>57</v>
      </c>
      <c r="C6306" s="15">
        <v>1907</v>
      </c>
      <c r="D6306" s="243">
        <v>171</v>
      </c>
      <c r="E6306" s="243">
        <v>164</v>
      </c>
      <c r="F6306" s="243">
        <v>114</v>
      </c>
      <c r="G6306" s="243">
        <v>158</v>
      </c>
      <c r="H6306" s="243">
        <v>183</v>
      </c>
      <c r="I6306" s="243">
        <v>175</v>
      </c>
      <c r="J6306" s="243">
        <v>158</v>
      </c>
      <c r="K6306" s="243">
        <v>185</v>
      </c>
      <c r="L6306" s="243">
        <v>168</v>
      </c>
      <c r="M6306" s="243">
        <v>131</v>
      </c>
      <c r="N6306" s="243">
        <v>145</v>
      </c>
      <c r="O6306" s="253">
        <v>155</v>
      </c>
    </row>
    <row r="6307" spans="1:15">
      <c r="A6307" s="240" t="s">
        <v>66</v>
      </c>
      <c r="B6307" s="47" t="s">
        <v>59</v>
      </c>
      <c r="C6307" s="15">
        <v>131</v>
      </c>
      <c r="D6307" s="243">
        <v>10</v>
      </c>
      <c r="E6307" s="243">
        <v>12</v>
      </c>
      <c r="F6307" s="243">
        <v>7</v>
      </c>
      <c r="G6307" s="243">
        <v>4</v>
      </c>
      <c r="H6307" s="243">
        <v>10</v>
      </c>
      <c r="I6307" s="243">
        <v>12</v>
      </c>
      <c r="J6307" s="243">
        <v>12</v>
      </c>
      <c r="K6307" s="243">
        <v>17</v>
      </c>
      <c r="L6307" s="243">
        <v>13</v>
      </c>
      <c r="M6307" s="243">
        <v>11</v>
      </c>
      <c r="N6307" s="243">
        <v>11</v>
      </c>
      <c r="O6307" s="253">
        <v>12</v>
      </c>
    </row>
    <row r="6308" spans="1:15">
      <c r="A6308" s="242" t="s">
        <v>66</v>
      </c>
      <c r="B6308" s="43" t="s">
        <v>4</v>
      </c>
      <c r="C6308" s="15">
        <v>3</v>
      </c>
      <c r="D6308" s="244">
        <v>1</v>
      </c>
      <c r="E6308" s="244">
        <v>0</v>
      </c>
      <c r="F6308" s="244">
        <v>1</v>
      </c>
      <c r="G6308" s="244">
        <v>1</v>
      </c>
      <c r="H6308" s="244">
        <v>0</v>
      </c>
      <c r="I6308" s="244">
        <v>0</v>
      </c>
      <c r="J6308" s="244">
        <v>0</v>
      </c>
      <c r="K6308" s="244">
        <v>0</v>
      </c>
      <c r="L6308" s="244">
        <v>0</v>
      </c>
      <c r="M6308" s="244">
        <v>0</v>
      </c>
      <c r="N6308" s="244">
        <v>0</v>
      </c>
      <c r="O6308" s="254">
        <v>0</v>
      </c>
    </row>
    <row r="6309" spans="1:15">
      <c r="A6309" s="240" t="s">
        <v>66</v>
      </c>
      <c r="B6309" s="47" t="s">
        <v>5</v>
      </c>
      <c r="C6309" s="12">
        <v>0.0229007633587786</v>
      </c>
      <c r="D6309" s="241">
        <v>0.1</v>
      </c>
      <c r="E6309" s="241">
        <v>0</v>
      </c>
      <c r="F6309" s="241">
        <v>0.142857142857143</v>
      </c>
      <c r="G6309" s="241">
        <v>0.25</v>
      </c>
      <c r="H6309" s="241">
        <v>0</v>
      </c>
      <c r="I6309" s="241">
        <v>0</v>
      </c>
      <c r="J6309" s="241">
        <v>0</v>
      </c>
      <c r="K6309" s="241">
        <v>0</v>
      </c>
      <c r="L6309" s="241">
        <v>0</v>
      </c>
      <c r="M6309" s="241">
        <v>0</v>
      </c>
      <c r="N6309" s="241">
        <v>0</v>
      </c>
      <c r="O6309" s="252">
        <v>0</v>
      </c>
    </row>
    <row r="6310" spans="1:15">
      <c r="A6310" s="242" t="s">
        <v>66</v>
      </c>
      <c r="B6310" s="43" t="s">
        <v>6</v>
      </c>
      <c r="C6310" s="15">
        <v>1</v>
      </c>
      <c r="D6310" s="244">
        <v>1</v>
      </c>
      <c r="E6310" s="244">
        <v>0</v>
      </c>
      <c r="F6310" s="244">
        <v>0</v>
      </c>
      <c r="G6310" s="244">
        <v>0</v>
      </c>
      <c r="H6310" s="244">
        <v>0</v>
      </c>
      <c r="I6310" s="244">
        <v>0</v>
      </c>
      <c r="J6310" s="244">
        <v>0</v>
      </c>
      <c r="K6310" s="244">
        <v>0</v>
      </c>
      <c r="L6310" s="244">
        <v>0</v>
      </c>
      <c r="M6310" s="244">
        <v>0</v>
      </c>
      <c r="N6310" s="244">
        <v>0</v>
      </c>
      <c r="O6310" s="254">
        <v>0</v>
      </c>
    </row>
    <row r="6311" ht="14.25" spans="1:15">
      <c r="A6311" s="245" t="s">
        <v>66</v>
      </c>
      <c r="B6311" s="52" t="s">
        <v>64</v>
      </c>
      <c r="C6311" s="19">
        <v>0.333333333333333</v>
      </c>
      <c r="D6311" s="246">
        <v>1</v>
      </c>
      <c r="E6311" s="246">
        <v>0</v>
      </c>
      <c r="F6311" s="246">
        <v>0</v>
      </c>
      <c r="G6311" s="246">
        <v>0</v>
      </c>
      <c r="H6311" s="246">
        <v>0</v>
      </c>
      <c r="I6311" s="246">
        <v>0</v>
      </c>
      <c r="J6311" s="246">
        <v>0</v>
      </c>
      <c r="K6311" s="246">
        <v>0</v>
      </c>
      <c r="L6311" s="246">
        <v>0</v>
      </c>
      <c r="M6311" s="246">
        <v>0</v>
      </c>
      <c r="N6311" s="246">
        <v>0</v>
      </c>
      <c r="O6311" s="255">
        <v>0</v>
      </c>
    </row>
    <row r="6312" spans="1:15">
      <c r="A6312" s="240" t="s">
        <v>67</v>
      </c>
      <c r="B6312" s="47" t="s">
        <v>55</v>
      </c>
      <c r="C6312" s="12">
        <v>0.447432762836186</v>
      </c>
      <c r="D6312" s="241">
        <v>0.48936170212766</v>
      </c>
      <c r="E6312" s="241">
        <v>0.446808510638298</v>
      </c>
      <c r="F6312" s="241">
        <v>0.296296296296296</v>
      </c>
      <c r="G6312" s="241">
        <v>0.472222222222222</v>
      </c>
      <c r="H6312" s="241">
        <v>0.509090909090909</v>
      </c>
      <c r="I6312" s="241">
        <v>0.54320987654321</v>
      </c>
      <c r="J6312" s="241">
        <v>0.3625</v>
      </c>
      <c r="K6312" s="241">
        <v>0.441558441558442</v>
      </c>
      <c r="L6312" s="241">
        <v>0.384615384615385</v>
      </c>
      <c r="M6312" s="241">
        <v>0.381578947368421</v>
      </c>
      <c r="N6312" s="241">
        <v>0.486842105263158</v>
      </c>
      <c r="O6312" s="252">
        <v>0.487179487179487</v>
      </c>
    </row>
    <row r="6313" spans="1:15">
      <c r="A6313" s="242" t="s">
        <v>67</v>
      </c>
      <c r="B6313" s="43" t="s">
        <v>57</v>
      </c>
      <c r="C6313" s="15">
        <v>818</v>
      </c>
      <c r="D6313" s="243">
        <v>94</v>
      </c>
      <c r="E6313" s="243">
        <v>47</v>
      </c>
      <c r="F6313" s="243">
        <v>27</v>
      </c>
      <c r="G6313" s="243">
        <v>36</v>
      </c>
      <c r="H6313" s="243">
        <v>55</v>
      </c>
      <c r="I6313" s="243">
        <v>81</v>
      </c>
      <c r="J6313" s="243">
        <v>80</v>
      </c>
      <c r="K6313" s="243">
        <v>77</v>
      </c>
      <c r="L6313" s="243">
        <v>91</v>
      </c>
      <c r="M6313" s="243">
        <v>76</v>
      </c>
      <c r="N6313" s="243">
        <v>76</v>
      </c>
      <c r="O6313" s="253">
        <v>78</v>
      </c>
    </row>
    <row r="6314" spans="1:15">
      <c r="A6314" s="240" t="s">
        <v>67</v>
      </c>
      <c r="B6314" s="47" t="s">
        <v>59</v>
      </c>
      <c r="C6314" s="15">
        <v>366</v>
      </c>
      <c r="D6314" s="243">
        <v>46</v>
      </c>
      <c r="E6314" s="243">
        <v>21</v>
      </c>
      <c r="F6314" s="243">
        <v>8</v>
      </c>
      <c r="G6314" s="243">
        <v>17</v>
      </c>
      <c r="H6314" s="243">
        <v>28</v>
      </c>
      <c r="I6314" s="243">
        <v>44</v>
      </c>
      <c r="J6314" s="243">
        <v>29</v>
      </c>
      <c r="K6314" s="243">
        <v>34</v>
      </c>
      <c r="L6314" s="243">
        <v>35</v>
      </c>
      <c r="M6314" s="243">
        <v>29</v>
      </c>
      <c r="N6314" s="243">
        <v>37</v>
      </c>
      <c r="O6314" s="253">
        <v>38</v>
      </c>
    </row>
    <row r="6315" spans="1:15">
      <c r="A6315" s="242" t="s">
        <v>67</v>
      </c>
      <c r="B6315" s="43" t="s">
        <v>4</v>
      </c>
      <c r="C6315" s="15">
        <v>8</v>
      </c>
      <c r="D6315" s="244">
        <v>1</v>
      </c>
      <c r="E6315" s="244">
        <v>0</v>
      </c>
      <c r="F6315" s="244">
        <v>0</v>
      </c>
      <c r="G6315" s="244">
        <v>0</v>
      </c>
      <c r="H6315" s="244">
        <v>1</v>
      </c>
      <c r="I6315" s="244">
        <v>2</v>
      </c>
      <c r="J6315" s="244">
        <v>0</v>
      </c>
      <c r="K6315" s="244">
        <v>2</v>
      </c>
      <c r="L6315" s="244">
        <v>0</v>
      </c>
      <c r="M6315" s="244">
        <v>0</v>
      </c>
      <c r="N6315" s="244">
        <v>0</v>
      </c>
      <c r="O6315" s="254">
        <v>2</v>
      </c>
    </row>
    <row r="6316" spans="1:15">
      <c r="A6316" s="240" t="s">
        <v>67</v>
      </c>
      <c r="B6316" s="47" t="s">
        <v>5</v>
      </c>
      <c r="C6316" s="12">
        <v>0.0218579234972678</v>
      </c>
      <c r="D6316" s="241">
        <v>0.0217391304347826</v>
      </c>
      <c r="E6316" s="241">
        <v>0</v>
      </c>
      <c r="F6316" s="241">
        <v>0</v>
      </c>
      <c r="G6316" s="241">
        <v>0</v>
      </c>
      <c r="H6316" s="241">
        <v>0.0357142857142857</v>
      </c>
      <c r="I6316" s="241">
        <v>0.0454545454545455</v>
      </c>
      <c r="J6316" s="241">
        <v>0</v>
      </c>
      <c r="K6316" s="241">
        <v>0.0588235294117647</v>
      </c>
      <c r="L6316" s="241">
        <v>0</v>
      </c>
      <c r="M6316" s="241">
        <v>0</v>
      </c>
      <c r="N6316" s="241">
        <v>0</v>
      </c>
      <c r="O6316" s="252">
        <v>0.0526315789473684</v>
      </c>
    </row>
    <row r="6317" spans="1:15">
      <c r="A6317" s="242" t="s">
        <v>67</v>
      </c>
      <c r="B6317" s="43" t="s">
        <v>6</v>
      </c>
      <c r="C6317" s="15">
        <v>3</v>
      </c>
      <c r="D6317" s="244">
        <v>0</v>
      </c>
      <c r="E6317" s="244">
        <v>0</v>
      </c>
      <c r="F6317" s="244">
        <v>0</v>
      </c>
      <c r="G6317" s="244">
        <v>0</v>
      </c>
      <c r="H6317" s="244">
        <v>1</v>
      </c>
      <c r="I6317" s="244">
        <v>1</v>
      </c>
      <c r="J6317" s="244">
        <v>0</v>
      </c>
      <c r="K6317" s="244">
        <v>0</v>
      </c>
      <c r="L6317" s="244">
        <v>0</v>
      </c>
      <c r="M6317" s="244">
        <v>0</v>
      </c>
      <c r="N6317" s="244">
        <v>1</v>
      </c>
      <c r="O6317" s="254">
        <v>0</v>
      </c>
    </row>
    <row r="6318" ht="14.25" spans="1:15">
      <c r="A6318" s="245" t="s">
        <v>67</v>
      </c>
      <c r="B6318" s="52" t="s">
        <v>64</v>
      </c>
      <c r="C6318" s="19">
        <v>0.375</v>
      </c>
      <c r="D6318" s="246">
        <v>0</v>
      </c>
      <c r="E6318" s="246">
        <v>0</v>
      </c>
      <c r="F6318" s="246">
        <v>0</v>
      </c>
      <c r="G6318" s="246">
        <v>0</v>
      </c>
      <c r="H6318" s="246">
        <v>1</v>
      </c>
      <c r="I6318" s="246">
        <v>0.5</v>
      </c>
      <c r="J6318" s="246">
        <v>0</v>
      </c>
      <c r="K6318" s="246">
        <v>0</v>
      </c>
      <c r="L6318" s="246">
        <v>0</v>
      </c>
      <c r="M6318" s="246">
        <v>0</v>
      </c>
      <c r="N6318" s="246">
        <v>0</v>
      </c>
      <c r="O6318" s="255">
        <v>0</v>
      </c>
    </row>
    <row r="6319" spans="1:15">
      <c r="A6319" s="240" t="s">
        <v>68</v>
      </c>
      <c r="B6319" s="47" t="s">
        <v>55</v>
      </c>
      <c r="C6319" s="12">
        <v>0.297257006559332</v>
      </c>
      <c r="D6319" s="241">
        <v>0.335195530726257</v>
      </c>
      <c r="E6319" s="241">
        <v>0.254237288135593</v>
      </c>
      <c r="F6319" s="241">
        <v>0.315068493150685</v>
      </c>
      <c r="G6319" s="241">
        <v>0.357615894039735</v>
      </c>
      <c r="H6319" s="241">
        <v>0.373913043478261</v>
      </c>
      <c r="I6319" s="241">
        <v>0.26530612244898</v>
      </c>
      <c r="J6319" s="241">
        <v>0.303630363036304</v>
      </c>
      <c r="K6319" s="241">
        <v>0.317142857142857</v>
      </c>
      <c r="L6319" s="241">
        <v>0.248447204968944</v>
      </c>
      <c r="M6319" s="241">
        <v>0.298412698412698</v>
      </c>
      <c r="N6319" s="241">
        <v>0.318840579710145</v>
      </c>
      <c r="O6319" s="252">
        <v>0.234986945169713</v>
      </c>
    </row>
    <row r="6320" spans="1:15">
      <c r="A6320" s="242" t="s">
        <v>68</v>
      </c>
      <c r="B6320" s="43" t="s">
        <v>57</v>
      </c>
      <c r="C6320" s="15">
        <v>3354</v>
      </c>
      <c r="D6320" s="243">
        <v>358</v>
      </c>
      <c r="E6320" s="243">
        <v>177</v>
      </c>
      <c r="F6320" s="243">
        <v>146</v>
      </c>
      <c r="G6320" s="243">
        <v>151</v>
      </c>
      <c r="H6320" s="243">
        <v>230</v>
      </c>
      <c r="I6320" s="243">
        <v>343</v>
      </c>
      <c r="J6320" s="243">
        <v>303</v>
      </c>
      <c r="K6320" s="243">
        <v>350</v>
      </c>
      <c r="L6320" s="243">
        <v>322</v>
      </c>
      <c r="M6320" s="243">
        <v>315</v>
      </c>
      <c r="N6320" s="243">
        <v>276</v>
      </c>
      <c r="O6320" s="253">
        <v>383</v>
      </c>
    </row>
    <row r="6321" spans="1:15">
      <c r="A6321" s="240" t="s">
        <v>68</v>
      </c>
      <c r="B6321" s="47" t="s">
        <v>59</v>
      </c>
      <c r="C6321" s="15">
        <v>997</v>
      </c>
      <c r="D6321" s="243">
        <v>120</v>
      </c>
      <c r="E6321" s="243">
        <v>45</v>
      </c>
      <c r="F6321" s="243">
        <v>46</v>
      </c>
      <c r="G6321" s="243">
        <v>54</v>
      </c>
      <c r="H6321" s="243">
        <v>86</v>
      </c>
      <c r="I6321" s="243">
        <v>91</v>
      </c>
      <c r="J6321" s="243">
        <v>92</v>
      </c>
      <c r="K6321" s="243">
        <v>111</v>
      </c>
      <c r="L6321" s="243">
        <v>80</v>
      </c>
      <c r="M6321" s="243">
        <v>94</v>
      </c>
      <c r="N6321" s="243">
        <v>88</v>
      </c>
      <c r="O6321" s="253">
        <v>90</v>
      </c>
    </row>
    <row r="6322" spans="1:15">
      <c r="A6322" s="242" t="s">
        <v>68</v>
      </c>
      <c r="B6322" s="43" t="s">
        <v>4</v>
      </c>
      <c r="C6322" s="15">
        <v>46</v>
      </c>
      <c r="D6322" s="244">
        <v>7</v>
      </c>
      <c r="E6322" s="244">
        <v>2</v>
      </c>
      <c r="F6322" s="244">
        <v>1</v>
      </c>
      <c r="G6322" s="244">
        <v>2</v>
      </c>
      <c r="H6322" s="244">
        <v>8</v>
      </c>
      <c r="I6322" s="244">
        <v>3</v>
      </c>
      <c r="J6322" s="244">
        <v>3</v>
      </c>
      <c r="K6322" s="244">
        <v>5</v>
      </c>
      <c r="L6322" s="244">
        <v>3</v>
      </c>
      <c r="M6322" s="244">
        <v>3</v>
      </c>
      <c r="N6322" s="244">
        <v>6</v>
      </c>
      <c r="O6322" s="254">
        <v>3</v>
      </c>
    </row>
    <row r="6323" spans="1:15">
      <c r="A6323" s="240" t="s">
        <v>68</v>
      </c>
      <c r="B6323" s="47" t="s">
        <v>5</v>
      </c>
      <c r="C6323" s="12">
        <v>0.0461384152457372</v>
      </c>
      <c r="D6323" s="241">
        <v>0.0583333333333333</v>
      </c>
      <c r="E6323" s="241">
        <v>0.0444444444444444</v>
      </c>
      <c r="F6323" s="241">
        <v>0.0217391304347826</v>
      </c>
      <c r="G6323" s="241">
        <v>0.037037037037037</v>
      </c>
      <c r="H6323" s="241">
        <v>0.0930232558139535</v>
      </c>
      <c r="I6323" s="241">
        <v>0.032967032967033</v>
      </c>
      <c r="J6323" s="241">
        <v>0.0326086956521739</v>
      </c>
      <c r="K6323" s="241">
        <v>0.045045045045045</v>
      </c>
      <c r="L6323" s="241">
        <v>0.0375</v>
      </c>
      <c r="M6323" s="241">
        <v>0.0319148936170213</v>
      </c>
      <c r="N6323" s="241">
        <v>0.0681818181818182</v>
      </c>
      <c r="O6323" s="252">
        <v>0.0333333333333333</v>
      </c>
    </row>
    <row r="6324" spans="1:15">
      <c r="A6324" s="242" t="s">
        <v>68</v>
      </c>
      <c r="B6324" s="43" t="s">
        <v>6</v>
      </c>
      <c r="C6324" s="15">
        <v>14</v>
      </c>
      <c r="D6324" s="244">
        <v>1</v>
      </c>
      <c r="E6324" s="244">
        <v>0</v>
      </c>
      <c r="F6324" s="244">
        <v>0</v>
      </c>
      <c r="G6324" s="244">
        <v>1</v>
      </c>
      <c r="H6324" s="244">
        <v>2</v>
      </c>
      <c r="I6324" s="244">
        <v>3</v>
      </c>
      <c r="J6324" s="244">
        <v>2</v>
      </c>
      <c r="K6324" s="244">
        <v>0</v>
      </c>
      <c r="L6324" s="244">
        <v>2</v>
      </c>
      <c r="M6324" s="244">
        <v>1</v>
      </c>
      <c r="N6324" s="244">
        <v>1</v>
      </c>
      <c r="O6324" s="254">
        <v>1</v>
      </c>
    </row>
    <row r="6325" ht="14.25" spans="1:15">
      <c r="A6325" s="245" t="s">
        <v>68</v>
      </c>
      <c r="B6325" s="52" t="s">
        <v>64</v>
      </c>
      <c r="C6325" s="19">
        <v>0.304347826086957</v>
      </c>
      <c r="D6325" s="246">
        <v>0.142857142857143</v>
      </c>
      <c r="E6325" s="246">
        <v>0</v>
      </c>
      <c r="F6325" s="246">
        <v>0</v>
      </c>
      <c r="G6325" s="246">
        <v>0.5</v>
      </c>
      <c r="H6325" s="246">
        <v>0.25</v>
      </c>
      <c r="I6325" s="246">
        <v>1</v>
      </c>
      <c r="J6325" s="246">
        <v>0.666666666666667</v>
      </c>
      <c r="K6325" s="246">
        <v>0</v>
      </c>
      <c r="L6325" s="246">
        <v>0.666666666666667</v>
      </c>
      <c r="M6325" s="246">
        <v>0.333333333333333</v>
      </c>
      <c r="N6325" s="246">
        <v>0.166666666666667</v>
      </c>
      <c r="O6325" s="255">
        <v>0.333333333333333</v>
      </c>
    </row>
    <row r="6326" spans="1:15">
      <c r="A6326" s="240" t="s">
        <v>69</v>
      </c>
      <c r="B6326" s="47" t="s">
        <v>55</v>
      </c>
      <c r="C6326" s="12">
        <v>1.92307692307692</v>
      </c>
      <c r="D6326" s="241">
        <v>2.33333333333333</v>
      </c>
      <c r="E6326" s="241">
        <v>1.66666666666667</v>
      </c>
      <c r="F6326" s="241">
        <v>1.8</v>
      </c>
      <c r="G6326" s="241">
        <v>1.22222222222222</v>
      </c>
      <c r="H6326" s="241">
        <v>2.5</v>
      </c>
      <c r="I6326" s="241">
        <v>1.5</v>
      </c>
      <c r="J6326" s="241">
        <v>2</v>
      </c>
      <c r="K6326" s="241">
        <v>2.6</v>
      </c>
      <c r="L6326" s="241">
        <v>1.5</v>
      </c>
      <c r="M6326" s="241">
        <v>2.6</v>
      </c>
      <c r="N6326" s="241">
        <v>1.28571428571429</v>
      </c>
      <c r="O6326" s="252">
        <v>2.83333333333333</v>
      </c>
    </row>
    <row r="6327" spans="1:15">
      <c r="A6327" s="242" t="s">
        <v>69</v>
      </c>
      <c r="B6327" s="43" t="s">
        <v>57</v>
      </c>
      <c r="C6327" s="15">
        <v>78</v>
      </c>
      <c r="D6327" s="243">
        <v>6</v>
      </c>
      <c r="E6327" s="243">
        <v>9</v>
      </c>
      <c r="F6327" s="243">
        <v>5</v>
      </c>
      <c r="G6327" s="243">
        <v>9</v>
      </c>
      <c r="H6327" s="243">
        <v>6</v>
      </c>
      <c r="I6327" s="243">
        <v>4</v>
      </c>
      <c r="J6327" s="243">
        <v>8</v>
      </c>
      <c r="K6327" s="243">
        <v>5</v>
      </c>
      <c r="L6327" s="243">
        <v>8</v>
      </c>
      <c r="M6327" s="243">
        <v>5</v>
      </c>
      <c r="N6327" s="243">
        <v>7</v>
      </c>
      <c r="O6327" s="253">
        <v>6</v>
      </c>
    </row>
    <row r="6328" spans="1:15">
      <c r="A6328" s="240" t="s">
        <v>69</v>
      </c>
      <c r="B6328" s="47" t="s">
        <v>59</v>
      </c>
      <c r="C6328" s="15">
        <v>150</v>
      </c>
      <c r="D6328" s="243">
        <v>14</v>
      </c>
      <c r="E6328" s="243">
        <v>15</v>
      </c>
      <c r="F6328" s="243">
        <v>9</v>
      </c>
      <c r="G6328" s="243">
        <v>11</v>
      </c>
      <c r="H6328" s="243">
        <v>15</v>
      </c>
      <c r="I6328" s="243">
        <v>6</v>
      </c>
      <c r="J6328" s="243">
        <v>16</v>
      </c>
      <c r="K6328" s="243">
        <v>13</v>
      </c>
      <c r="L6328" s="243">
        <v>12</v>
      </c>
      <c r="M6328" s="243">
        <v>13</v>
      </c>
      <c r="N6328" s="243">
        <v>9</v>
      </c>
      <c r="O6328" s="253">
        <v>17</v>
      </c>
    </row>
    <row r="6329" spans="1:15">
      <c r="A6329" s="242" t="s">
        <v>69</v>
      </c>
      <c r="B6329" s="43" t="s">
        <v>4</v>
      </c>
      <c r="C6329" s="15">
        <v>0</v>
      </c>
      <c r="D6329" s="244">
        <v>0</v>
      </c>
      <c r="E6329" s="244">
        <v>0</v>
      </c>
      <c r="F6329" s="244">
        <v>0</v>
      </c>
      <c r="G6329" s="244">
        <v>0</v>
      </c>
      <c r="H6329" s="244">
        <v>0</v>
      </c>
      <c r="I6329" s="244">
        <v>0</v>
      </c>
      <c r="J6329" s="244">
        <v>0</v>
      </c>
      <c r="K6329" s="244">
        <v>0</v>
      </c>
      <c r="L6329" s="244">
        <v>0</v>
      </c>
      <c r="M6329" s="244">
        <v>0</v>
      </c>
      <c r="N6329" s="244">
        <v>0</v>
      </c>
      <c r="O6329" s="254">
        <v>0</v>
      </c>
    </row>
    <row r="6330" spans="1:15">
      <c r="A6330" s="240" t="s">
        <v>69</v>
      </c>
      <c r="B6330" s="47" t="s">
        <v>5</v>
      </c>
      <c r="C6330" s="12">
        <v>0</v>
      </c>
      <c r="D6330" s="241">
        <v>0</v>
      </c>
      <c r="E6330" s="241">
        <v>0</v>
      </c>
      <c r="F6330" s="241">
        <v>0</v>
      </c>
      <c r="G6330" s="241">
        <v>0</v>
      </c>
      <c r="H6330" s="241">
        <v>0</v>
      </c>
      <c r="I6330" s="241">
        <v>0</v>
      </c>
      <c r="J6330" s="241">
        <v>0</v>
      </c>
      <c r="K6330" s="241">
        <v>0</v>
      </c>
      <c r="L6330" s="241">
        <v>0</v>
      </c>
      <c r="M6330" s="241">
        <v>0</v>
      </c>
      <c r="N6330" s="241">
        <v>0</v>
      </c>
      <c r="O6330" s="252">
        <v>0</v>
      </c>
    </row>
    <row r="6331" spans="1:15">
      <c r="A6331" s="242" t="s">
        <v>69</v>
      </c>
      <c r="B6331" s="43" t="s">
        <v>6</v>
      </c>
      <c r="C6331" s="15">
        <v>0</v>
      </c>
      <c r="D6331" s="244">
        <v>0</v>
      </c>
      <c r="E6331" s="244">
        <v>0</v>
      </c>
      <c r="F6331" s="244">
        <v>0</v>
      </c>
      <c r="G6331" s="244">
        <v>0</v>
      </c>
      <c r="H6331" s="244">
        <v>0</v>
      </c>
      <c r="I6331" s="244">
        <v>0</v>
      </c>
      <c r="J6331" s="244">
        <v>0</v>
      </c>
      <c r="K6331" s="244">
        <v>0</v>
      </c>
      <c r="L6331" s="244">
        <v>0</v>
      </c>
      <c r="M6331" s="244">
        <v>0</v>
      </c>
      <c r="N6331" s="244">
        <v>0</v>
      </c>
      <c r="O6331" s="254">
        <v>0</v>
      </c>
    </row>
    <row r="6332" ht="14.25" spans="1:15">
      <c r="A6332" s="245" t="s">
        <v>69</v>
      </c>
      <c r="B6332" s="52" t="s">
        <v>64</v>
      </c>
      <c r="C6332" s="19" t="e">
        <v>#DIV/0!</v>
      </c>
      <c r="D6332" s="246">
        <v>0</v>
      </c>
      <c r="E6332" s="246">
        <v>0</v>
      </c>
      <c r="F6332" s="246">
        <v>0</v>
      </c>
      <c r="G6332" s="246">
        <v>0</v>
      </c>
      <c r="H6332" s="246">
        <v>0</v>
      </c>
      <c r="I6332" s="246">
        <v>0</v>
      </c>
      <c r="J6332" s="246">
        <v>0</v>
      </c>
      <c r="K6332" s="246">
        <v>0</v>
      </c>
      <c r="L6332" s="246">
        <v>0</v>
      </c>
      <c r="M6332" s="246">
        <v>0</v>
      </c>
      <c r="N6332" s="246">
        <v>0</v>
      </c>
      <c r="O6332" s="255">
        <v>0</v>
      </c>
    </row>
    <row r="6333" spans="1:15">
      <c r="A6333" s="240" t="s">
        <v>70</v>
      </c>
      <c r="B6333" s="47" t="s">
        <v>55</v>
      </c>
      <c r="C6333" s="12">
        <v>2.19130434782609</v>
      </c>
      <c r="D6333" s="241">
        <v>2.41666666666667</v>
      </c>
      <c r="E6333" s="241">
        <v>1.64285714285714</v>
      </c>
      <c r="F6333" s="241">
        <v>1.7</v>
      </c>
      <c r="G6333" s="241">
        <v>0.9</v>
      </c>
      <c r="H6333" s="241">
        <v>1.5</v>
      </c>
      <c r="I6333" s="241">
        <v>4.46153846153846</v>
      </c>
      <c r="J6333" s="241">
        <v>2.57894736842105</v>
      </c>
      <c r="K6333" s="241">
        <v>3.13333333333333</v>
      </c>
      <c r="L6333" s="241">
        <v>1.75</v>
      </c>
      <c r="M6333" s="241">
        <v>2.73913043478261</v>
      </c>
      <c r="N6333" s="241">
        <v>2.55</v>
      </c>
      <c r="O6333" s="252">
        <v>1.44117647058824</v>
      </c>
    </row>
    <row r="6334" spans="1:15">
      <c r="A6334" s="242" t="s">
        <v>70</v>
      </c>
      <c r="B6334" s="43" t="s">
        <v>57</v>
      </c>
      <c r="C6334" s="15">
        <v>230</v>
      </c>
      <c r="D6334" s="243">
        <v>24</v>
      </c>
      <c r="E6334" s="243">
        <v>14</v>
      </c>
      <c r="F6334" s="243">
        <v>10</v>
      </c>
      <c r="G6334" s="243">
        <v>10</v>
      </c>
      <c r="H6334" s="243">
        <v>16</v>
      </c>
      <c r="I6334" s="243">
        <v>13</v>
      </c>
      <c r="J6334" s="243">
        <v>19</v>
      </c>
      <c r="K6334" s="243">
        <v>15</v>
      </c>
      <c r="L6334" s="243">
        <v>32</v>
      </c>
      <c r="M6334" s="243">
        <v>23</v>
      </c>
      <c r="N6334" s="243">
        <v>20</v>
      </c>
      <c r="O6334" s="253">
        <v>34</v>
      </c>
    </row>
    <row r="6335" spans="1:15">
      <c r="A6335" s="240" t="s">
        <v>70</v>
      </c>
      <c r="B6335" s="47" t="s">
        <v>59</v>
      </c>
      <c r="C6335" s="15">
        <v>504</v>
      </c>
      <c r="D6335" s="243">
        <v>58</v>
      </c>
      <c r="E6335" s="243">
        <v>23</v>
      </c>
      <c r="F6335" s="243">
        <v>17</v>
      </c>
      <c r="G6335" s="243">
        <v>9</v>
      </c>
      <c r="H6335" s="243">
        <v>24</v>
      </c>
      <c r="I6335" s="243">
        <v>58</v>
      </c>
      <c r="J6335" s="243">
        <v>49</v>
      </c>
      <c r="K6335" s="243">
        <v>47</v>
      </c>
      <c r="L6335" s="243">
        <v>56</v>
      </c>
      <c r="M6335" s="243">
        <v>63</v>
      </c>
      <c r="N6335" s="243">
        <v>51</v>
      </c>
      <c r="O6335" s="253">
        <v>49</v>
      </c>
    </row>
    <row r="6336" spans="1:15">
      <c r="A6336" s="242" t="s">
        <v>70</v>
      </c>
      <c r="B6336" s="43" t="s">
        <v>4</v>
      </c>
      <c r="C6336" s="15">
        <v>3</v>
      </c>
      <c r="D6336" s="244">
        <v>0</v>
      </c>
      <c r="E6336" s="244">
        <v>0</v>
      </c>
      <c r="F6336" s="244">
        <v>1</v>
      </c>
      <c r="G6336" s="244">
        <v>0</v>
      </c>
      <c r="H6336" s="244">
        <v>1</v>
      </c>
      <c r="I6336" s="244">
        <v>0</v>
      </c>
      <c r="J6336" s="244">
        <v>0</v>
      </c>
      <c r="K6336" s="244">
        <v>0</v>
      </c>
      <c r="L6336" s="244">
        <v>0</v>
      </c>
      <c r="M6336" s="244">
        <v>0</v>
      </c>
      <c r="N6336" s="244">
        <v>0</v>
      </c>
      <c r="O6336" s="254">
        <v>1</v>
      </c>
    </row>
    <row r="6337" spans="1:15">
      <c r="A6337" s="240" t="s">
        <v>70</v>
      </c>
      <c r="B6337" s="47" t="s">
        <v>5</v>
      </c>
      <c r="C6337" s="12">
        <v>0.00595238095238095</v>
      </c>
      <c r="D6337" s="241">
        <v>0</v>
      </c>
      <c r="E6337" s="241">
        <v>0</v>
      </c>
      <c r="F6337" s="241">
        <v>0.0588235294117647</v>
      </c>
      <c r="G6337" s="241">
        <v>0</v>
      </c>
      <c r="H6337" s="241">
        <v>0.0416666666666667</v>
      </c>
      <c r="I6337" s="241">
        <v>0</v>
      </c>
      <c r="J6337" s="241">
        <v>0</v>
      </c>
      <c r="K6337" s="241">
        <v>0</v>
      </c>
      <c r="L6337" s="241">
        <v>0</v>
      </c>
      <c r="M6337" s="241">
        <v>0</v>
      </c>
      <c r="N6337" s="241">
        <v>0</v>
      </c>
      <c r="O6337" s="252">
        <v>0.0204081632653061</v>
      </c>
    </row>
    <row r="6338" spans="1:15">
      <c r="A6338" s="242" t="s">
        <v>70</v>
      </c>
      <c r="B6338" s="43" t="s">
        <v>6</v>
      </c>
      <c r="C6338" s="15">
        <v>1</v>
      </c>
      <c r="D6338" s="244">
        <v>0</v>
      </c>
      <c r="E6338" s="244">
        <v>0</v>
      </c>
      <c r="F6338" s="244">
        <v>0</v>
      </c>
      <c r="G6338" s="244">
        <v>0</v>
      </c>
      <c r="H6338" s="244">
        <v>0</v>
      </c>
      <c r="I6338" s="244">
        <v>0</v>
      </c>
      <c r="J6338" s="244">
        <v>1</v>
      </c>
      <c r="K6338" s="244">
        <v>0</v>
      </c>
      <c r="L6338" s="244">
        <v>0</v>
      </c>
      <c r="M6338" s="244">
        <v>0</v>
      </c>
      <c r="N6338" s="244">
        <v>0</v>
      </c>
      <c r="O6338" s="254">
        <v>0</v>
      </c>
    </row>
    <row r="6339" ht="14.25" spans="1:15">
      <c r="A6339" s="245" t="s">
        <v>70</v>
      </c>
      <c r="B6339" s="52" t="s">
        <v>64</v>
      </c>
      <c r="C6339" s="19">
        <v>0.333333333333333</v>
      </c>
      <c r="D6339" s="246">
        <v>0</v>
      </c>
      <c r="E6339" s="246">
        <v>0</v>
      </c>
      <c r="F6339" s="246">
        <v>0</v>
      </c>
      <c r="G6339" s="246">
        <v>0</v>
      </c>
      <c r="H6339" s="246">
        <v>0</v>
      </c>
      <c r="I6339" s="246">
        <v>0</v>
      </c>
      <c r="J6339" s="246">
        <v>0</v>
      </c>
      <c r="K6339" s="246">
        <v>0</v>
      </c>
      <c r="L6339" s="246">
        <v>0</v>
      </c>
      <c r="M6339" s="246">
        <v>0</v>
      </c>
      <c r="N6339" s="246">
        <v>0</v>
      </c>
      <c r="O6339" s="255">
        <v>0</v>
      </c>
    </row>
    <row r="6340" spans="1:15">
      <c r="A6340" s="240" t="s">
        <v>26</v>
      </c>
      <c r="B6340" s="47" t="s">
        <v>55</v>
      </c>
      <c r="C6340" s="12">
        <v>0.800124146492862</v>
      </c>
      <c r="D6340" s="241">
        <v>0.807407407407407</v>
      </c>
      <c r="E6340" s="241">
        <v>0.792452830188679</v>
      </c>
      <c r="F6340" s="241">
        <v>0.896551724137931</v>
      </c>
      <c r="G6340" s="241">
        <v>0.830769230769231</v>
      </c>
      <c r="H6340" s="241">
        <v>0.858407079646018</v>
      </c>
      <c r="I6340" s="241">
        <v>0.865079365079365</v>
      </c>
      <c r="J6340" s="241">
        <v>0.810126582278481</v>
      </c>
      <c r="K6340" s="241">
        <v>0.828025477707006</v>
      </c>
      <c r="L6340" s="241">
        <v>0.682051282051282</v>
      </c>
      <c r="M6340" s="241">
        <v>0.759124087591241</v>
      </c>
      <c r="N6340" s="241">
        <v>0.849056603773585</v>
      </c>
      <c r="O6340" s="252">
        <v>0.762376237623762</v>
      </c>
    </row>
    <row r="6341" spans="1:15">
      <c r="A6341" s="242" t="s">
        <v>26</v>
      </c>
      <c r="B6341" s="43" t="s">
        <v>57</v>
      </c>
      <c r="C6341" s="15">
        <v>1611</v>
      </c>
      <c r="D6341" s="243">
        <v>135</v>
      </c>
      <c r="E6341" s="243">
        <v>106</v>
      </c>
      <c r="F6341" s="243">
        <v>58</v>
      </c>
      <c r="G6341" s="243">
        <v>65</v>
      </c>
      <c r="H6341" s="243">
        <v>113</v>
      </c>
      <c r="I6341" s="243">
        <v>126</v>
      </c>
      <c r="J6341" s="243">
        <v>158</v>
      </c>
      <c r="K6341" s="243">
        <v>157</v>
      </c>
      <c r="L6341" s="243">
        <v>195</v>
      </c>
      <c r="M6341" s="243">
        <v>137</v>
      </c>
      <c r="N6341" s="243">
        <v>159</v>
      </c>
      <c r="O6341" s="253">
        <v>202</v>
      </c>
    </row>
    <row r="6342" spans="1:15">
      <c r="A6342" s="240" t="s">
        <v>26</v>
      </c>
      <c r="B6342" s="47" t="s">
        <v>59</v>
      </c>
      <c r="C6342" s="15">
        <v>1289</v>
      </c>
      <c r="D6342" s="243">
        <v>109</v>
      </c>
      <c r="E6342" s="243">
        <v>84</v>
      </c>
      <c r="F6342" s="243">
        <v>52</v>
      </c>
      <c r="G6342" s="243">
        <v>54</v>
      </c>
      <c r="H6342" s="243">
        <v>97</v>
      </c>
      <c r="I6342" s="243">
        <v>109</v>
      </c>
      <c r="J6342" s="243">
        <v>128</v>
      </c>
      <c r="K6342" s="243">
        <v>130</v>
      </c>
      <c r="L6342" s="243">
        <v>133</v>
      </c>
      <c r="M6342" s="243">
        <v>104</v>
      </c>
      <c r="N6342" s="243">
        <v>135</v>
      </c>
      <c r="O6342" s="253">
        <v>154</v>
      </c>
    </row>
    <row r="6343" spans="1:15">
      <c r="A6343" s="242" t="s">
        <v>26</v>
      </c>
      <c r="B6343" s="43" t="s">
        <v>4</v>
      </c>
      <c r="C6343" s="15">
        <v>10</v>
      </c>
      <c r="D6343" s="244">
        <v>2</v>
      </c>
      <c r="E6343" s="244">
        <v>2</v>
      </c>
      <c r="F6343" s="244">
        <v>0</v>
      </c>
      <c r="G6343" s="244">
        <v>1</v>
      </c>
      <c r="H6343" s="244">
        <v>1</v>
      </c>
      <c r="I6343" s="244">
        <v>0</v>
      </c>
      <c r="J6343" s="244">
        <v>1</v>
      </c>
      <c r="K6343" s="244">
        <v>0</v>
      </c>
      <c r="L6343" s="244">
        <v>0</v>
      </c>
      <c r="M6343" s="244">
        <v>0</v>
      </c>
      <c r="N6343" s="244">
        <v>3</v>
      </c>
      <c r="O6343" s="254">
        <v>0</v>
      </c>
    </row>
    <row r="6344" spans="1:15">
      <c r="A6344" s="240" t="s">
        <v>26</v>
      </c>
      <c r="B6344" s="47" t="s">
        <v>5</v>
      </c>
      <c r="C6344" s="12">
        <v>0.00775795190069822</v>
      </c>
      <c r="D6344" s="241">
        <v>0.018348623853211</v>
      </c>
      <c r="E6344" s="241">
        <v>0.0238095238095238</v>
      </c>
      <c r="F6344" s="241">
        <v>0</v>
      </c>
      <c r="G6344" s="241">
        <v>0.0185185185185185</v>
      </c>
      <c r="H6344" s="241">
        <v>0.0103092783505155</v>
      </c>
      <c r="I6344" s="241">
        <v>0</v>
      </c>
      <c r="J6344" s="241">
        <v>0.0078125</v>
      </c>
      <c r="K6344" s="241">
        <v>0</v>
      </c>
      <c r="L6344" s="241">
        <v>0</v>
      </c>
      <c r="M6344" s="241">
        <v>0</v>
      </c>
      <c r="N6344" s="241">
        <v>0.0222222222222222</v>
      </c>
      <c r="O6344" s="252">
        <v>0</v>
      </c>
    </row>
    <row r="6345" spans="1:15">
      <c r="A6345" s="242" t="s">
        <v>26</v>
      </c>
      <c r="B6345" s="43" t="s">
        <v>6</v>
      </c>
      <c r="C6345" s="15">
        <v>1</v>
      </c>
      <c r="D6345" s="244">
        <v>0</v>
      </c>
      <c r="E6345" s="244">
        <v>0</v>
      </c>
      <c r="F6345" s="244">
        <v>0</v>
      </c>
      <c r="G6345" s="244">
        <v>0</v>
      </c>
      <c r="H6345" s="244">
        <v>0</v>
      </c>
      <c r="I6345" s="244">
        <v>0</v>
      </c>
      <c r="J6345" s="244">
        <v>0</v>
      </c>
      <c r="K6345" s="244">
        <v>0</v>
      </c>
      <c r="L6345" s="244">
        <v>1</v>
      </c>
      <c r="M6345" s="244">
        <v>0</v>
      </c>
      <c r="N6345" s="244">
        <v>0</v>
      </c>
      <c r="O6345" s="254">
        <v>0</v>
      </c>
    </row>
    <row r="6346" ht="14.25" spans="1:15">
      <c r="A6346" s="245" t="s">
        <v>26</v>
      </c>
      <c r="B6346" s="52" t="s">
        <v>64</v>
      </c>
      <c r="C6346" s="19">
        <v>0.1</v>
      </c>
      <c r="D6346" s="19">
        <v>0</v>
      </c>
      <c r="E6346" s="19">
        <v>0</v>
      </c>
      <c r="F6346" s="19" t="e">
        <v>#DIV/0!</v>
      </c>
      <c r="G6346" s="19">
        <v>0</v>
      </c>
      <c r="H6346" s="19">
        <v>0</v>
      </c>
      <c r="I6346" s="19" t="e">
        <v>#DIV/0!</v>
      </c>
      <c r="J6346" s="19">
        <v>0</v>
      </c>
      <c r="K6346" s="19" t="e">
        <v>#DIV/0!</v>
      </c>
      <c r="L6346" s="19" t="e">
        <v>#DIV/0!</v>
      </c>
      <c r="M6346" s="19" t="e">
        <v>#DIV/0!</v>
      </c>
      <c r="N6346" s="19">
        <v>0</v>
      </c>
      <c r="O6346" s="19" t="e">
        <v>#DIV/0!</v>
      </c>
    </row>
    <row r="6347" spans="1:15">
      <c r="A6347" s="240" t="s">
        <v>71</v>
      </c>
      <c r="B6347" s="47" t="s">
        <v>55</v>
      </c>
      <c r="C6347" s="12">
        <v>688</v>
      </c>
      <c r="D6347" s="241" t="e">
        <v>#DIV/0!</v>
      </c>
      <c r="E6347" s="241" t="e">
        <v>#DIV/0!</v>
      </c>
      <c r="F6347" s="241">
        <v>31</v>
      </c>
      <c r="G6347" s="241" t="e">
        <v>#DIV/0!</v>
      </c>
      <c r="H6347" s="241" t="e">
        <v>#DIV/0!</v>
      </c>
      <c r="I6347" s="241" t="e">
        <v>#DIV/0!</v>
      </c>
      <c r="J6347" s="241" t="e">
        <v>#DIV/0!</v>
      </c>
      <c r="K6347" s="241" t="e">
        <v>#DIV/0!</v>
      </c>
      <c r="L6347" s="241" t="e">
        <v>#DIV/0!</v>
      </c>
      <c r="M6347" s="241" t="e">
        <v>#DIV/0!</v>
      </c>
      <c r="N6347" s="241" t="e">
        <v>#DIV/0!</v>
      </c>
      <c r="O6347" s="252" t="e">
        <v>#DIV/0!</v>
      </c>
    </row>
    <row r="6348" spans="1:15">
      <c r="A6348" s="242" t="s">
        <v>71</v>
      </c>
      <c r="B6348" s="43" t="s">
        <v>57</v>
      </c>
      <c r="C6348" s="15">
        <v>1</v>
      </c>
      <c r="D6348" s="243">
        <v>0</v>
      </c>
      <c r="E6348" s="243">
        <v>0</v>
      </c>
      <c r="F6348" s="243">
        <v>1</v>
      </c>
      <c r="G6348" s="243">
        <v>0</v>
      </c>
      <c r="H6348" s="243">
        <v>0</v>
      </c>
      <c r="I6348" s="243">
        <v>0</v>
      </c>
      <c r="J6348" s="243">
        <v>0</v>
      </c>
      <c r="K6348" s="243">
        <v>0</v>
      </c>
      <c r="L6348" s="243">
        <v>0</v>
      </c>
      <c r="M6348" s="243">
        <v>0</v>
      </c>
      <c r="N6348" s="243">
        <v>0</v>
      </c>
      <c r="O6348" s="253">
        <v>0</v>
      </c>
    </row>
    <row r="6349" spans="1:15">
      <c r="A6349" s="240" t="s">
        <v>71</v>
      </c>
      <c r="B6349" s="47" t="s">
        <v>59</v>
      </c>
      <c r="C6349" s="15">
        <v>688</v>
      </c>
      <c r="D6349" s="243">
        <v>87</v>
      </c>
      <c r="E6349" s="243">
        <v>28</v>
      </c>
      <c r="F6349" s="243">
        <v>31</v>
      </c>
      <c r="G6349" s="243">
        <v>54</v>
      </c>
      <c r="H6349" s="243">
        <v>54</v>
      </c>
      <c r="I6349" s="243">
        <v>69</v>
      </c>
      <c r="J6349" s="243">
        <v>67</v>
      </c>
      <c r="K6349" s="243">
        <v>71</v>
      </c>
      <c r="L6349" s="243">
        <v>71</v>
      </c>
      <c r="M6349" s="243">
        <v>47</v>
      </c>
      <c r="N6349" s="243">
        <v>68</v>
      </c>
      <c r="O6349" s="253">
        <v>41</v>
      </c>
    </row>
    <row r="6350" spans="1:15">
      <c r="A6350" s="242" t="s">
        <v>71</v>
      </c>
      <c r="B6350" s="43" t="s">
        <v>4</v>
      </c>
      <c r="C6350" s="15">
        <v>52</v>
      </c>
      <c r="D6350" s="244">
        <v>11</v>
      </c>
      <c r="E6350" s="244">
        <v>5</v>
      </c>
      <c r="F6350" s="244">
        <v>2</v>
      </c>
      <c r="G6350" s="244">
        <v>2</v>
      </c>
      <c r="H6350" s="244">
        <v>3</v>
      </c>
      <c r="I6350" s="244">
        <v>6</v>
      </c>
      <c r="J6350" s="244">
        <v>4</v>
      </c>
      <c r="K6350" s="244">
        <v>4</v>
      </c>
      <c r="L6350" s="244">
        <v>5</v>
      </c>
      <c r="M6350" s="244">
        <v>3</v>
      </c>
      <c r="N6350" s="244">
        <v>4</v>
      </c>
      <c r="O6350" s="254">
        <v>3</v>
      </c>
    </row>
    <row r="6351" spans="1:15">
      <c r="A6351" s="240" t="s">
        <v>71</v>
      </c>
      <c r="B6351" s="47" t="s">
        <v>5</v>
      </c>
      <c r="C6351" s="241">
        <v>0.0755813953488372</v>
      </c>
      <c r="D6351" s="241">
        <v>0.126436781609195</v>
      </c>
      <c r="E6351" s="241">
        <v>0.178571428571429</v>
      </c>
      <c r="F6351" s="241">
        <v>0.0645161290322581</v>
      </c>
      <c r="G6351" s="241">
        <v>0.037037037037037</v>
      </c>
      <c r="H6351" s="241">
        <v>0.0555555555555556</v>
      </c>
      <c r="I6351" s="241">
        <v>0.0869565217391304</v>
      </c>
      <c r="J6351" s="241">
        <v>0.0597014925373134</v>
      </c>
      <c r="K6351" s="241">
        <v>0.0563380281690141</v>
      </c>
      <c r="L6351" s="241">
        <v>0.0704225352112676</v>
      </c>
      <c r="M6351" s="241">
        <v>0.0638297872340425</v>
      </c>
      <c r="N6351" s="241">
        <v>0.0588235294117647</v>
      </c>
      <c r="O6351" s="252">
        <v>0.0731707317073171</v>
      </c>
    </row>
    <row r="6352" spans="1:15">
      <c r="A6352" s="242" t="s">
        <v>71</v>
      </c>
      <c r="B6352" s="43" t="s">
        <v>6</v>
      </c>
      <c r="C6352" s="15">
        <v>10</v>
      </c>
      <c r="D6352" s="244">
        <v>1</v>
      </c>
      <c r="E6352" s="244">
        <v>0</v>
      </c>
      <c r="F6352" s="244">
        <v>0</v>
      </c>
      <c r="G6352" s="244">
        <v>3</v>
      </c>
      <c r="H6352" s="244">
        <v>0</v>
      </c>
      <c r="I6352" s="244">
        <v>0</v>
      </c>
      <c r="J6352" s="244">
        <v>1</v>
      </c>
      <c r="K6352" s="244">
        <v>3</v>
      </c>
      <c r="L6352" s="244">
        <v>0</v>
      </c>
      <c r="M6352" s="244">
        <v>0</v>
      </c>
      <c r="N6352" s="244">
        <v>1</v>
      </c>
      <c r="O6352" s="254">
        <v>1</v>
      </c>
    </row>
    <row r="6353" ht="14.25" spans="1:15">
      <c r="A6353" s="245" t="s">
        <v>71</v>
      </c>
      <c r="B6353" s="52" t="s">
        <v>64</v>
      </c>
      <c r="C6353" s="19">
        <v>0.192307692307692</v>
      </c>
      <c r="D6353" s="19">
        <v>0.0909090909090909</v>
      </c>
      <c r="E6353" s="19">
        <v>0</v>
      </c>
      <c r="F6353" s="19">
        <v>0</v>
      </c>
      <c r="G6353" s="19">
        <v>1.5</v>
      </c>
      <c r="H6353" s="19">
        <v>0</v>
      </c>
      <c r="I6353" s="19">
        <v>0</v>
      </c>
      <c r="J6353" s="19">
        <v>0.25</v>
      </c>
      <c r="K6353" s="19">
        <v>0.75</v>
      </c>
      <c r="L6353" s="19">
        <v>0</v>
      </c>
      <c r="M6353" s="19">
        <v>0</v>
      </c>
      <c r="N6353" s="19">
        <v>0.25</v>
      </c>
      <c r="O6353" s="19">
        <v>0.333333333333333</v>
      </c>
    </row>
    <row r="6354" spans="1:15">
      <c r="A6354" s="240" t="s">
        <v>72</v>
      </c>
      <c r="B6354" s="47" t="s">
        <v>55</v>
      </c>
      <c r="C6354" s="12">
        <v>0.117375886524823</v>
      </c>
      <c r="D6354" s="241">
        <v>0.113725490196078</v>
      </c>
      <c r="E6354" s="241">
        <v>0.147286821705426</v>
      </c>
      <c r="F6354" s="241">
        <v>0.133333333333333</v>
      </c>
      <c r="G6354" s="241">
        <v>0.128</v>
      </c>
      <c r="H6354" s="241">
        <v>0.0983606557377049</v>
      </c>
      <c r="I6354" s="241">
        <v>0.14957264957265</v>
      </c>
      <c r="J6354" s="241">
        <v>0.116935483870968</v>
      </c>
      <c r="K6354" s="241">
        <v>0.101754385964912</v>
      </c>
      <c r="L6354" s="241">
        <v>0.108208955223881</v>
      </c>
      <c r="M6354" s="241">
        <v>0.0823529411764706</v>
      </c>
      <c r="N6354" s="241">
        <v>0.130102040816327</v>
      </c>
      <c r="O6354" s="252">
        <v>0.120786516853933</v>
      </c>
    </row>
    <row r="6355" spans="1:15">
      <c r="A6355" s="242" t="s">
        <v>72</v>
      </c>
      <c r="B6355" s="43" t="s">
        <v>57</v>
      </c>
      <c r="C6355" s="15">
        <v>2820</v>
      </c>
      <c r="D6355" s="243">
        <v>255</v>
      </c>
      <c r="E6355" s="243">
        <v>129</v>
      </c>
      <c r="F6355" s="243">
        <v>90</v>
      </c>
      <c r="G6355" s="243">
        <v>125</v>
      </c>
      <c r="H6355" s="243">
        <v>183</v>
      </c>
      <c r="I6355" s="243">
        <v>234</v>
      </c>
      <c r="J6355" s="243">
        <v>248</v>
      </c>
      <c r="K6355" s="243">
        <v>285</v>
      </c>
      <c r="L6355" s="243">
        <v>268</v>
      </c>
      <c r="M6355" s="243">
        <v>255</v>
      </c>
      <c r="N6355" s="243">
        <v>392</v>
      </c>
      <c r="O6355" s="253">
        <v>356</v>
      </c>
    </row>
    <row r="6356" spans="1:15">
      <c r="A6356" s="240" t="s">
        <v>72</v>
      </c>
      <c r="B6356" s="47" t="s">
        <v>59</v>
      </c>
      <c r="C6356" s="15">
        <v>331</v>
      </c>
      <c r="D6356" s="243">
        <v>29</v>
      </c>
      <c r="E6356" s="243">
        <v>19</v>
      </c>
      <c r="F6356" s="243">
        <v>12</v>
      </c>
      <c r="G6356" s="243">
        <v>16</v>
      </c>
      <c r="H6356" s="243">
        <v>18</v>
      </c>
      <c r="I6356" s="243">
        <v>35</v>
      </c>
      <c r="J6356" s="243">
        <v>29</v>
      </c>
      <c r="K6356" s="243">
        <v>29</v>
      </c>
      <c r="L6356" s="243">
        <v>29</v>
      </c>
      <c r="M6356" s="243">
        <v>21</v>
      </c>
      <c r="N6356" s="243">
        <v>51</v>
      </c>
      <c r="O6356" s="253">
        <v>43</v>
      </c>
    </row>
    <row r="6357" spans="1:15">
      <c r="A6357" s="242" t="s">
        <v>72</v>
      </c>
      <c r="B6357" s="43" t="s">
        <v>4</v>
      </c>
      <c r="C6357" s="15">
        <v>16</v>
      </c>
      <c r="D6357" s="244">
        <v>2</v>
      </c>
      <c r="E6357" s="244">
        <v>0</v>
      </c>
      <c r="F6357" s="244">
        <v>0</v>
      </c>
      <c r="G6357" s="244">
        <v>0</v>
      </c>
      <c r="H6357" s="244">
        <v>2</v>
      </c>
      <c r="I6357" s="244">
        <v>2</v>
      </c>
      <c r="J6357" s="244">
        <v>0</v>
      </c>
      <c r="K6357" s="244">
        <v>3</v>
      </c>
      <c r="L6357" s="244">
        <v>1</v>
      </c>
      <c r="M6357" s="244">
        <v>1</v>
      </c>
      <c r="N6357" s="244">
        <v>1</v>
      </c>
      <c r="O6357" s="254">
        <v>4</v>
      </c>
    </row>
    <row r="6358" spans="1:15">
      <c r="A6358" s="240" t="s">
        <v>72</v>
      </c>
      <c r="B6358" s="47" t="s">
        <v>5</v>
      </c>
      <c r="C6358" s="12">
        <v>0.0483383685800604</v>
      </c>
      <c r="D6358" s="241">
        <v>0.0689655172413793</v>
      </c>
      <c r="E6358" s="241">
        <v>0</v>
      </c>
      <c r="F6358" s="241">
        <v>0</v>
      </c>
      <c r="G6358" s="241">
        <v>0</v>
      </c>
      <c r="H6358" s="241">
        <v>0.111111111111111</v>
      </c>
      <c r="I6358" s="241">
        <v>0.0571428571428571</v>
      </c>
      <c r="J6358" s="241">
        <v>0</v>
      </c>
      <c r="K6358" s="241">
        <v>0.103448275862069</v>
      </c>
      <c r="L6358" s="241">
        <v>0.0344827586206897</v>
      </c>
      <c r="M6358" s="241">
        <v>0.0476190476190476</v>
      </c>
      <c r="N6358" s="241">
        <v>0.0196078431372549</v>
      </c>
      <c r="O6358" s="252">
        <v>0.0930232558139535</v>
      </c>
    </row>
    <row r="6359" spans="1:15">
      <c r="A6359" s="242" t="s">
        <v>72</v>
      </c>
      <c r="B6359" s="43" t="s">
        <v>6</v>
      </c>
      <c r="C6359" s="15">
        <v>4</v>
      </c>
      <c r="D6359" s="244">
        <v>1</v>
      </c>
      <c r="E6359" s="244">
        <v>0</v>
      </c>
      <c r="F6359" s="244">
        <v>0</v>
      </c>
      <c r="G6359" s="244">
        <v>0</v>
      </c>
      <c r="H6359" s="244">
        <v>0</v>
      </c>
      <c r="I6359" s="244">
        <v>1</v>
      </c>
      <c r="J6359" s="244">
        <v>1</v>
      </c>
      <c r="K6359" s="244">
        <v>1</v>
      </c>
      <c r="L6359" s="244">
        <v>0</v>
      </c>
      <c r="M6359" s="244">
        <v>0</v>
      </c>
      <c r="N6359" s="244">
        <v>0</v>
      </c>
      <c r="O6359" s="254">
        <v>0</v>
      </c>
    </row>
    <row r="6360" ht="14.25" spans="1:15">
      <c r="A6360" s="245" t="s">
        <v>72</v>
      </c>
      <c r="B6360" s="52" t="s">
        <v>64</v>
      </c>
      <c r="C6360" s="19">
        <v>0.25</v>
      </c>
      <c r="D6360" s="19">
        <v>0.5</v>
      </c>
      <c r="E6360" s="19" t="e">
        <v>#DIV/0!</v>
      </c>
      <c r="F6360" s="19" t="e">
        <v>#DIV/0!</v>
      </c>
      <c r="G6360" s="19" t="e">
        <v>#DIV/0!</v>
      </c>
      <c r="H6360" s="19">
        <v>0</v>
      </c>
      <c r="I6360" s="19">
        <v>0.5</v>
      </c>
      <c r="J6360" s="19" t="e">
        <v>#DIV/0!</v>
      </c>
      <c r="K6360" s="19">
        <v>0.333333333333333</v>
      </c>
      <c r="L6360" s="19">
        <v>0</v>
      </c>
      <c r="M6360" s="19">
        <v>0</v>
      </c>
      <c r="N6360" s="19">
        <v>0</v>
      </c>
      <c r="O6360" s="19">
        <v>0</v>
      </c>
    </row>
    <row r="6361" ht="14.25" spans="1:15">
      <c r="A6361" s="237">
        <v>45117</v>
      </c>
      <c r="B6361" s="237"/>
      <c r="C6361" s="237"/>
      <c r="D6361" s="237"/>
      <c r="E6361" s="237"/>
      <c r="F6361" s="237"/>
      <c r="G6361" s="237"/>
      <c r="H6361" s="237"/>
      <c r="I6361" s="237"/>
      <c r="J6361" s="237"/>
      <c r="K6361" s="237"/>
      <c r="L6361" s="237"/>
      <c r="M6361" s="237"/>
      <c r="N6361" s="237"/>
      <c r="O6361" s="237"/>
    </row>
    <row r="6362" spans="1:15">
      <c r="A6362" s="56" t="s">
        <v>1</v>
      </c>
      <c r="B6362" s="238"/>
      <c r="C6362" s="8" t="s">
        <v>42</v>
      </c>
      <c r="D6362" s="239" t="s">
        <v>43</v>
      </c>
      <c r="E6362" s="239" t="s">
        <v>44</v>
      </c>
      <c r="F6362" s="239" t="s">
        <v>45</v>
      </c>
      <c r="G6362" s="239" t="s">
        <v>46</v>
      </c>
      <c r="H6362" s="239" t="s">
        <v>47</v>
      </c>
      <c r="I6362" s="239" t="s">
        <v>48</v>
      </c>
      <c r="J6362" s="239" t="s">
        <v>49</v>
      </c>
      <c r="K6362" s="239" t="s">
        <v>50</v>
      </c>
      <c r="L6362" s="239" t="s">
        <v>51</v>
      </c>
      <c r="M6362" s="239" t="s">
        <v>52</v>
      </c>
      <c r="N6362" s="239" t="s">
        <v>53</v>
      </c>
      <c r="O6362" s="251" t="s">
        <v>54</v>
      </c>
    </row>
    <row r="6363" spans="1:15">
      <c r="A6363" s="240" t="s">
        <v>22</v>
      </c>
      <c r="B6363" s="47" t="s">
        <v>55</v>
      </c>
      <c r="C6363" s="12">
        <v>0.49535192563081</v>
      </c>
      <c r="D6363" s="241">
        <v>0.579908675799087</v>
      </c>
      <c r="E6363" s="241">
        <v>0.342465753424658</v>
      </c>
      <c r="F6363" s="241">
        <v>0.621951219512195</v>
      </c>
      <c r="G6363" s="241">
        <v>0.563492063492063</v>
      </c>
      <c r="H6363" s="241">
        <v>0.509090909090909</v>
      </c>
      <c r="I6363" s="241">
        <v>0.614130434782609</v>
      </c>
      <c r="J6363" s="241">
        <v>0.533333333333333</v>
      </c>
      <c r="K6363" s="241">
        <v>0.440944881889764</v>
      </c>
      <c r="L6363" s="241">
        <v>0.430493273542601</v>
      </c>
      <c r="M6363" s="241">
        <v>0.44811320754717</v>
      </c>
      <c r="N6363" s="241">
        <v>0.425925925925926</v>
      </c>
      <c r="O6363" s="252">
        <v>0.522522522522523</v>
      </c>
    </row>
    <row r="6364" spans="1:15">
      <c r="A6364" s="242" t="s">
        <v>22</v>
      </c>
      <c r="B6364" s="43" t="s">
        <v>57</v>
      </c>
      <c r="C6364" s="15">
        <v>2259</v>
      </c>
      <c r="D6364" s="243">
        <v>219</v>
      </c>
      <c r="E6364" s="243">
        <v>146</v>
      </c>
      <c r="F6364" s="243">
        <v>82</v>
      </c>
      <c r="G6364" s="243">
        <v>126</v>
      </c>
      <c r="H6364" s="243">
        <v>165</v>
      </c>
      <c r="I6364" s="243">
        <v>184</v>
      </c>
      <c r="J6364" s="243">
        <v>210</v>
      </c>
      <c r="K6364" s="243">
        <v>254</v>
      </c>
      <c r="L6364" s="243">
        <v>223</v>
      </c>
      <c r="M6364" s="243">
        <v>212</v>
      </c>
      <c r="N6364" s="243">
        <v>216</v>
      </c>
      <c r="O6364" s="253">
        <v>222</v>
      </c>
    </row>
    <row r="6365" spans="1:15">
      <c r="A6365" s="240" t="s">
        <v>22</v>
      </c>
      <c r="B6365" s="47" t="s">
        <v>59</v>
      </c>
      <c r="C6365" s="15">
        <v>1119</v>
      </c>
      <c r="D6365" s="243">
        <v>127</v>
      </c>
      <c r="E6365" s="243">
        <v>50</v>
      </c>
      <c r="F6365" s="243">
        <v>51</v>
      </c>
      <c r="G6365" s="243">
        <v>71</v>
      </c>
      <c r="H6365" s="243">
        <v>84</v>
      </c>
      <c r="I6365" s="243">
        <v>113</v>
      </c>
      <c r="J6365" s="243">
        <v>112</v>
      </c>
      <c r="K6365" s="243">
        <v>112</v>
      </c>
      <c r="L6365" s="243">
        <v>96</v>
      </c>
      <c r="M6365" s="243">
        <v>95</v>
      </c>
      <c r="N6365" s="243">
        <v>92</v>
      </c>
      <c r="O6365" s="253">
        <v>116</v>
      </c>
    </row>
    <row r="6366" spans="1:15">
      <c r="A6366" s="242" t="s">
        <v>22</v>
      </c>
      <c r="B6366" s="43" t="s">
        <v>4</v>
      </c>
      <c r="C6366" s="15">
        <v>32</v>
      </c>
      <c r="D6366" s="244">
        <v>3</v>
      </c>
      <c r="E6366" s="244">
        <v>1</v>
      </c>
      <c r="F6366" s="244">
        <v>1</v>
      </c>
      <c r="G6366" s="244">
        <v>2</v>
      </c>
      <c r="H6366" s="244">
        <v>2</v>
      </c>
      <c r="I6366" s="244">
        <v>3</v>
      </c>
      <c r="J6366" s="244">
        <v>5</v>
      </c>
      <c r="K6366" s="244">
        <v>1</v>
      </c>
      <c r="L6366" s="244">
        <v>1</v>
      </c>
      <c r="M6366" s="244">
        <v>4</v>
      </c>
      <c r="N6366" s="244">
        <v>3</v>
      </c>
      <c r="O6366" s="254">
        <v>6</v>
      </c>
    </row>
    <row r="6367" spans="1:15">
      <c r="A6367" s="240" t="s">
        <v>22</v>
      </c>
      <c r="B6367" s="47" t="s">
        <v>5</v>
      </c>
      <c r="C6367" s="12">
        <v>0.0285969615728329</v>
      </c>
      <c r="D6367" s="241">
        <v>0.0236220472440945</v>
      </c>
      <c r="E6367" s="241">
        <v>0.02</v>
      </c>
      <c r="F6367" s="241">
        <v>0.0196078431372549</v>
      </c>
      <c r="G6367" s="241">
        <v>0.028169014084507</v>
      </c>
      <c r="H6367" s="241">
        <v>0.0238095238095238</v>
      </c>
      <c r="I6367" s="241">
        <v>0.0265486725663717</v>
      </c>
      <c r="J6367" s="241">
        <v>0.0446428571428571</v>
      </c>
      <c r="K6367" s="241">
        <v>0.00892857142857143</v>
      </c>
      <c r="L6367" s="241">
        <v>0.0104166666666667</v>
      </c>
      <c r="M6367" s="241">
        <v>0.0421052631578947</v>
      </c>
      <c r="N6367" s="241">
        <v>0.0326086956521739</v>
      </c>
      <c r="O6367" s="252">
        <v>0.0517241379310345</v>
      </c>
    </row>
    <row r="6368" spans="1:15">
      <c r="A6368" s="242" t="s">
        <v>22</v>
      </c>
      <c r="B6368" s="43" t="s">
        <v>6</v>
      </c>
      <c r="C6368" s="15">
        <v>17</v>
      </c>
      <c r="D6368" s="244">
        <v>5</v>
      </c>
      <c r="E6368" s="244">
        <v>2</v>
      </c>
      <c r="F6368" s="244">
        <v>1</v>
      </c>
      <c r="G6368" s="244">
        <v>1</v>
      </c>
      <c r="H6368" s="244">
        <v>0</v>
      </c>
      <c r="I6368" s="244">
        <v>1</v>
      </c>
      <c r="J6368" s="244">
        <v>0</v>
      </c>
      <c r="K6368" s="244">
        <v>2</v>
      </c>
      <c r="L6368" s="244">
        <v>0</v>
      </c>
      <c r="M6368" s="244">
        <v>3</v>
      </c>
      <c r="N6368" s="244">
        <v>2</v>
      </c>
      <c r="O6368" s="254">
        <v>0</v>
      </c>
    </row>
    <row r="6369" ht="14.25" spans="1:15">
      <c r="A6369" s="245" t="s">
        <v>22</v>
      </c>
      <c r="B6369" s="52" t="s">
        <v>64</v>
      </c>
      <c r="C6369" s="19">
        <v>0.53125</v>
      </c>
      <c r="D6369" s="246">
        <v>1.66666666666667</v>
      </c>
      <c r="E6369" s="246">
        <v>2</v>
      </c>
      <c r="F6369" s="246">
        <v>1</v>
      </c>
      <c r="G6369" s="246">
        <v>0.5</v>
      </c>
      <c r="H6369" s="246">
        <v>0</v>
      </c>
      <c r="I6369" s="246">
        <v>0.333333333333333</v>
      </c>
      <c r="J6369" s="246">
        <v>0</v>
      </c>
      <c r="K6369" s="246">
        <v>2</v>
      </c>
      <c r="L6369" s="246">
        <v>0</v>
      </c>
      <c r="M6369" s="246">
        <v>0.75</v>
      </c>
      <c r="N6369" s="246">
        <v>0.666666666666667</v>
      </c>
      <c r="O6369" s="255">
        <v>0</v>
      </c>
    </row>
    <row r="6370" spans="1:15">
      <c r="A6370" s="247" t="s">
        <v>66</v>
      </c>
      <c r="B6370" s="248" t="s">
        <v>55</v>
      </c>
      <c r="C6370" s="12">
        <v>0.0686942842160461</v>
      </c>
      <c r="D6370" s="249">
        <v>0.0584795321637427</v>
      </c>
      <c r="E6370" s="249">
        <v>0.0731707317073171</v>
      </c>
      <c r="F6370" s="249">
        <v>0.0614035087719298</v>
      </c>
      <c r="G6370" s="249">
        <v>0.0253164556962025</v>
      </c>
      <c r="H6370" s="249">
        <v>0.0546448087431694</v>
      </c>
      <c r="I6370" s="249">
        <v>0.0685714285714286</v>
      </c>
      <c r="J6370" s="249">
        <v>0.0759493670886076</v>
      </c>
      <c r="K6370" s="249">
        <v>0.0918918918918919</v>
      </c>
      <c r="L6370" s="249">
        <v>0.0773809523809524</v>
      </c>
      <c r="M6370" s="249">
        <v>0.083969465648855</v>
      </c>
      <c r="N6370" s="249">
        <v>0.0758620689655172</v>
      </c>
      <c r="O6370" s="256">
        <v>0.0774193548387097</v>
      </c>
    </row>
    <row r="6371" spans="1:15">
      <c r="A6371" s="242" t="s">
        <v>66</v>
      </c>
      <c r="B6371" s="43" t="s">
        <v>57</v>
      </c>
      <c r="C6371" s="15">
        <v>1907</v>
      </c>
      <c r="D6371" s="243">
        <v>171</v>
      </c>
      <c r="E6371" s="243">
        <v>164</v>
      </c>
      <c r="F6371" s="243">
        <v>114</v>
      </c>
      <c r="G6371" s="243">
        <v>158</v>
      </c>
      <c r="H6371" s="243">
        <v>183</v>
      </c>
      <c r="I6371" s="243">
        <v>175</v>
      </c>
      <c r="J6371" s="243">
        <v>158</v>
      </c>
      <c r="K6371" s="243">
        <v>185</v>
      </c>
      <c r="L6371" s="243">
        <v>168</v>
      </c>
      <c r="M6371" s="243">
        <v>131</v>
      </c>
      <c r="N6371" s="243">
        <v>145</v>
      </c>
      <c r="O6371" s="253">
        <v>155</v>
      </c>
    </row>
    <row r="6372" spans="1:15">
      <c r="A6372" s="240" t="s">
        <v>66</v>
      </c>
      <c r="B6372" s="47" t="s">
        <v>59</v>
      </c>
      <c r="C6372" s="15">
        <v>131</v>
      </c>
      <c r="D6372" s="243">
        <v>10</v>
      </c>
      <c r="E6372" s="243">
        <v>12</v>
      </c>
      <c r="F6372" s="243">
        <v>7</v>
      </c>
      <c r="G6372" s="243">
        <v>4</v>
      </c>
      <c r="H6372" s="243">
        <v>10</v>
      </c>
      <c r="I6372" s="243">
        <v>12</v>
      </c>
      <c r="J6372" s="243">
        <v>12</v>
      </c>
      <c r="K6372" s="243">
        <v>17</v>
      </c>
      <c r="L6372" s="243">
        <v>13</v>
      </c>
      <c r="M6372" s="243">
        <v>11</v>
      </c>
      <c r="N6372" s="243">
        <v>11</v>
      </c>
      <c r="O6372" s="253">
        <v>12</v>
      </c>
    </row>
    <row r="6373" spans="1:15">
      <c r="A6373" s="242" t="s">
        <v>66</v>
      </c>
      <c r="B6373" s="43" t="s">
        <v>4</v>
      </c>
      <c r="C6373" s="15">
        <v>3</v>
      </c>
      <c r="D6373" s="244">
        <v>1</v>
      </c>
      <c r="E6373" s="244">
        <v>0</v>
      </c>
      <c r="F6373" s="244">
        <v>1</v>
      </c>
      <c r="G6373" s="244">
        <v>1</v>
      </c>
      <c r="H6373" s="244">
        <v>0</v>
      </c>
      <c r="I6373" s="244">
        <v>0</v>
      </c>
      <c r="J6373" s="244">
        <v>0</v>
      </c>
      <c r="K6373" s="244">
        <v>0</v>
      </c>
      <c r="L6373" s="244">
        <v>0</v>
      </c>
      <c r="M6373" s="244">
        <v>0</v>
      </c>
      <c r="N6373" s="244">
        <v>0</v>
      </c>
      <c r="O6373" s="254">
        <v>0</v>
      </c>
    </row>
    <row r="6374" spans="1:15">
      <c r="A6374" s="240" t="s">
        <v>66</v>
      </c>
      <c r="B6374" s="47" t="s">
        <v>5</v>
      </c>
      <c r="C6374" s="12">
        <v>0.0229007633587786</v>
      </c>
      <c r="D6374" s="241">
        <v>0.1</v>
      </c>
      <c r="E6374" s="241">
        <v>0</v>
      </c>
      <c r="F6374" s="241">
        <v>0.142857142857143</v>
      </c>
      <c r="G6374" s="241">
        <v>0.25</v>
      </c>
      <c r="H6374" s="241">
        <v>0</v>
      </c>
      <c r="I6374" s="241">
        <v>0</v>
      </c>
      <c r="J6374" s="241">
        <v>0</v>
      </c>
      <c r="K6374" s="241">
        <v>0</v>
      </c>
      <c r="L6374" s="241">
        <v>0</v>
      </c>
      <c r="M6374" s="241">
        <v>0</v>
      </c>
      <c r="N6374" s="241">
        <v>0</v>
      </c>
      <c r="O6374" s="252">
        <v>0</v>
      </c>
    </row>
    <row r="6375" spans="1:15">
      <c r="A6375" s="242" t="s">
        <v>66</v>
      </c>
      <c r="B6375" s="43" t="s">
        <v>6</v>
      </c>
      <c r="C6375" s="15">
        <v>1</v>
      </c>
      <c r="D6375" s="244">
        <v>1</v>
      </c>
      <c r="E6375" s="244">
        <v>0</v>
      </c>
      <c r="F6375" s="244">
        <v>0</v>
      </c>
      <c r="G6375" s="244">
        <v>0</v>
      </c>
      <c r="H6375" s="244">
        <v>0</v>
      </c>
      <c r="I6375" s="244">
        <v>0</v>
      </c>
      <c r="J6375" s="244">
        <v>0</v>
      </c>
      <c r="K6375" s="244">
        <v>0</v>
      </c>
      <c r="L6375" s="244">
        <v>0</v>
      </c>
      <c r="M6375" s="244">
        <v>0</v>
      </c>
      <c r="N6375" s="244">
        <v>0</v>
      </c>
      <c r="O6375" s="254">
        <v>0</v>
      </c>
    </row>
    <row r="6376" ht="14.25" spans="1:15">
      <c r="A6376" s="245" t="s">
        <v>66</v>
      </c>
      <c r="B6376" s="52" t="s">
        <v>64</v>
      </c>
      <c r="C6376" s="19">
        <v>0.333333333333333</v>
      </c>
      <c r="D6376" s="246">
        <v>1</v>
      </c>
      <c r="E6376" s="246">
        <v>0</v>
      </c>
      <c r="F6376" s="246">
        <v>0</v>
      </c>
      <c r="G6376" s="246">
        <v>0</v>
      </c>
      <c r="H6376" s="246">
        <v>0</v>
      </c>
      <c r="I6376" s="246">
        <v>0</v>
      </c>
      <c r="J6376" s="246">
        <v>0</v>
      </c>
      <c r="K6376" s="246">
        <v>0</v>
      </c>
      <c r="L6376" s="246">
        <v>0</v>
      </c>
      <c r="M6376" s="246">
        <v>0</v>
      </c>
      <c r="N6376" s="246">
        <v>0</v>
      </c>
      <c r="O6376" s="255">
        <v>0</v>
      </c>
    </row>
    <row r="6377" spans="1:15">
      <c r="A6377" s="240" t="s">
        <v>67</v>
      </c>
      <c r="B6377" s="47" t="s">
        <v>55</v>
      </c>
      <c r="C6377" s="12">
        <v>0.447432762836186</v>
      </c>
      <c r="D6377" s="241">
        <v>0.48936170212766</v>
      </c>
      <c r="E6377" s="241">
        <v>0.446808510638298</v>
      </c>
      <c r="F6377" s="241">
        <v>0.296296296296296</v>
      </c>
      <c r="G6377" s="241">
        <v>0.472222222222222</v>
      </c>
      <c r="H6377" s="241">
        <v>0.509090909090909</v>
      </c>
      <c r="I6377" s="241">
        <v>0.54320987654321</v>
      </c>
      <c r="J6377" s="241">
        <v>0.3625</v>
      </c>
      <c r="K6377" s="241">
        <v>0.441558441558442</v>
      </c>
      <c r="L6377" s="241">
        <v>0.384615384615385</v>
      </c>
      <c r="M6377" s="241">
        <v>0.381578947368421</v>
      </c>
      <c r="N6377" s="241">
        <v>0.486842105263158</v>
      </c>
      <c r="O6377" s="252">
        <v>0.487179487179487</v>
      </c>
    </row>
    <row r="6378" spans="1:15">
      <c r="A6378" s="242" t="s">
        <v>67</v>
      </c>
      <c r="B6378" s="43" t="s">
        <v>57</v>
      </c>
      <c r="C6378" s="15">
        <v>818</v>
      </c>
      <c r="D6378" s="243">
        <v>94</v>
      </c>
      <c r="E6378" s="243">
        <v>47</v>
      </c>
      <c r="F6378" s="243">
        <v>27</v>
      </c>
      <c r="G6378" s="243">
        <v>36</v>
      </c>
      <c r="H6378" s="243">
        <v>55</v>
      </c>
      <c r="I6378" s="243">
        <v>81</v>
      </c>
      <c r="J6378" s="243">
        <v>80</v>
      </c>
      <c r="K6378" s="243">
        <v>77</v>
      </c>
      <c r="L6378" s="243">
        <v>91</v>
      </c>
      <c r="M6378" s="243">
        <v>76</v>
      </c>
      <c r="N6378" s="243">
        <v>76</v>
      </c>
      <c r="O6378" s="253">
        <v>78</v>
      </c>
    </row>
    <row r="6379" spans="1:15">
      <c r="A6379" s="240" t="s">
        <v>67</v>
      </c>
      <c r="B6379" s="47" t="s">
        <v>59</v>
      </c>
      <c r="C6379" s="15">
        <v>366</v>
      </c>
      <c r="D6379" s="243">
        <v>46</v>
      </c>
      <c r="E6379" s="243">
        <v>21</v>
      </c>
      <c r="F6379" s="243">
        <v>8</v>
      </c>
      <c r="G6379" s="243">
        <v>17</v>
      </c>
      <c r="H6379" s="243">
        <v>28</v>
      </c>
      <c r="I6379" s="243">
        <v>44</v>
      </c>
      <c r="J6379" s="243">
        <v>29</v>
      </c>
      <c r="K6379" s="243">
        <v>34</v>
      </c>
      <c r="L6379" s="243">
        <v>35</v>
      </c>
      <c r="M6379" s="243">
        <v>29</v>
      </c>
      <c r="N6379" s="243">
        <v>37</v>
      </c>
      <c r="O6379" s="253">
        <v>38</v>
      </c>
    </row>
    <row r="6380" spans="1:15">
      <c r="A6380" s="242" t="s">
        <v>67</v>
      </c>
      <c r="B6380" s="43" t="s">
        <v>4</v>
      </c>
      <c r="C6380" s="15">
        <v>8</v>
      </c>
      <c r="D6380" s="244">
        <v>1</v>
      </c>
      <c r="E6380" s="244">
        <v>0</v>
      </c>
      <c r="F6380" s="244">
        <v>0</v>
      </c>
      <c r="G6380" s="244">
        <v>0</v>
      </c>
      <c r="H6380" s="244">
        <v>1</v>
      </c>
      <c r="I6380" s="244">
        <v>2</v>
      </c>
      <c r="J6380" s="244">
        <v>0</v>
      </c>
      <c r="K6380" s="244">
        <v>2</v>
      </c>
      <c r="L6380" s="244">
        <v>0</v>
      </c>
      <c r="M6380" s="244">
        <v>0</v>
      </c>
      <c r="N6380" s="244">
        <v>0</v>
      </c>
      <c r="O6380" s="254">
        <v>2</v>
      </c>
    </row>
    <row r="6381" spans="1:15">
      <c r="A6381" s="240" t="s">
        <v>67</v>
      </c>
      <c r="B6381" s="47" t="s">
        <v>5</v>
      </c>
      <c r="C6381" s="12">
        <v>0.0218579234972678</v>
      </c>
      <c r="D6381" s="241">
        <v>0.0217391304347826</v>
      </c>
      <c r="E6381" s="241">
        <v>0</v>
      </c>
      <c r="F6381" s="241">
        <v>0</v>
      </c>
      <c r="G6381" s="241">
        <v>0</v>
      </c>
      <c r="H6381" s="241">
        <v>0.0357142857142857</v>
      </c>
      <c r="I6381" s="241">
        <v>0.0454545454545455</v>
      </c>
      <c r="J6381" s="241">
        <v>0</v>
      </c>
      <c r="K6381" s="241">
        <v>0.0588235294117647</v>
      </c>
      <c r="L6381" s="241">
        <v>0</v>
      </c>
      <c r="M6381" s="241">
        <v>0</v>
      </c>
      <c r="N6381" s="241">
        <v>0</v>
      </c>
      <c r="O6381" s="252">
        <v>0.0526315789473684</v>
      </c>
    </row>
    <row r="6382" spans="1:15">
      <c r="A6382" s="242" t="s">
        <v>67</v>
      </c>
      <c r="B6382" s="43" t="s">
        <v>6</v>
      </c>
      <c r="C6382" s="15">
        <v>3</v>
      </c>
      <c r="D6382" s="244">
        <v>0</v>
      </c>
      <c r="E6382" s="244">
        <v>0</v>
      </c>
      <c r="F6382" s="244">
        <v>0</v>
      </c>
      <c r="G6382" s="244">
        <v>0</v>
      </c>
      <c r="H6382" s="244">
        <v>1</v>
      </c>
      <c r="I6382" s="244">
        <v>1</v>
      </c>
      <c r="J6382" s="244">
        <v>0</v>
      </c>
      <c r="K6382" s="244">
        <v>0</v>
      </c>
      <c r="L6382" s="244">
        <v>0</v>
      </c>
      <c r="M6382" s="244">
        <v>0</v>
      </c>
      <c r="N6382" s="244">
        <v>1</v>
      </c>
      <c r="O6382" s="254">
        <v>0</v>
      </c>
    </row>
    <row r="6383" ht="14.25" spans="1:15">
      <c r="A6383" s="245" t="s">
        <v>67</v>
      </c>
      <c r="B6383" s="52" t="s">
        <v>64</v>
      </c>
      <c r="C6383" s="19">
        <v>0.375</v>
      </c>
      <c r="D6383" s="246">
        <v>0</v>
      </c>
      <c r="E6383" s="246">
        <v>0</v>
      </c>
      <c r="F6383" s="246">
        <v>0</v>
      </c>
      <c r="G6383" s="246">
        <v>0</v>
      </c>
      <c r="H6383" s="246">
        <v>1</v>
      </c>
      <c r="I6383" s="246">
        <v>0.5</v>
      </c>
      <c r="J6383" s="246">
        <v>0</v>
      </c>
      <c r="K6383" s="246">
        <v>0</v>
      </c>
      <c r="L6383" s="246">
        <v>0</v>
      </c>
      <c r="M6383" s="246">
        <v>0</v>
      </c>
      <c r="N6383" s="246">
        <v>0</v>
      </c>
      <c r="O6383" s="255">
        <v>0</v>
      </c>
    </row>
    <row r="6384" spans="1:15">
      <c r="A6384" s="240" t="s">
        <v>68</v>
      </c>
      <c r="B6384" s="47" t="s">
        <v>55</v>
      </c>
      <c r="C6384" s="12">
        <v>0.297257006559332</v>
      </c>
      <c r="D6384" s="241">
        <v>0.335195530726257</v>
      </c>
      <c r="E6384" s="241">
        <v>0.254237288135593</v>
      </c>
      <c r="F6384" s="241">
        <v>0.315068493150685</v>
      </c>
      <c r="G6384" s="241">
        <v>0.357615894039735</v>
      </c>
      <c r="H6384" s="241">
        <v>0.373913043478261</v>
      </c>
      <c r="I6384" s="241">
        <v>0.26530612244898</v>
      </c>
      <c r="J6384" s="241">
        <v>0.303630363036304</v>
      </c>
      <c r="K6384" s="241">
        <v>0.317142857142857</v>
      </c>
      <c r="L6384" s="241">
        <v>0.248447204968944</v>
      </c>
      <c r="M6384" s="241">
        <v>0.298412698412698</v>
      </c>
      <c r="N6384" s="241">
        <v>0.318840579710145</v>
      </c>
      <c r="O6384" s="252">
        <v>0.234986945169713</v>
      </c>
    </row>
    <row r="6385" spans="1:15">
      <c r="A6385" s="242" t="s">
        <v>68</v>
      </c>
      <c r="B6385" s="43" t="s">
        <v>57</v>
      </c>
      <c r="C6385" s="15">
        <v>3354</v>
      </c>
      <c r="D6385" s="243">
        <v>358</v>
      </c>
      <c r="E6385" s="243">
        <v>177</v>
      </c>
      <c r="F6385" s="243">
        <v>146</v>
      </c>
      <c r="G6385" s="243">
        <v>151</v>
      </c>
      <c r="H6385" s="243">
        <v>230</v>
      </c>
      <c r="I6385" s="243">
        <v>343</v>
      </c>
      <c r="J6385" s="243">
        <v>303</v>
      </c>
      <c r="K6385" s="243">
        <v>350</v>
      </c>
      <c r="L6385" s="243">
        <v>322</v>
      </c>
      <c r="M6385" s="243">
        <v>315</v>
      </c>
      <c r="N6385" s="243">
        <v>276</v>
      </c>
      <c r="O6385" s="253">
        <v>383</v>
      </c>
    </row>
    <row r="6386" spans="1:15">
      <c r="A6386" s="240" t="s">
        <v>68</v>
      </c>
      <c r="B6386" s="47" t="s">
        <v>59</v>
      </c>
      <c r="C6386" s="15">
        <v>997</v>
      </c>
      <c r="D6386" s="243">
        <v>120</v>
      </c>
      <c r="E6386" s="243">
        <v>45</v>
      </c>
      <c r="F6386" s="243">
        <v>46</v>
      </c>
      <c r="G6386" s="243">
        <v>54</v>
      </c>
      <c r="H6386" s="243">
        <v>86</v>
      </c>
      <c r="I6386" s="243">
        <v>91</v>
      </c>
      <c r="J6386" s="243">
        <v>92</v>
      </c>
      <c r="K6386" s="243">
        <v>111</v>
      </c>
      <c r="L6386" s="243">
        <v>80</v>
      </c>
      <c r="M6386" s="243">
        <v>94</v>
      </c>
      <c r="N6386" s="243">
        <v>88</v>
      </c>
      <c r="O6386" s="253">
        <v>90</v>
      </c>
    </row>
    <row r="6387" spans="1:15">
      <c r="A6387" s="242" t="s">
        <v>68</v>
      </c>
      <c r="B6387" s="43" t="s">
        <v>4</v>
      </c>
      <c r="C6387" s="15">
        <v>46</v>
      </c>
      <c r="D6387" s="244">
        <v>7</v>
      </c>
      <c r="E6387" s="244">
        <v>2</v>
      </c>
      <c r="F6387" s="244">
        <v>1</v>
      </c>
      <c r="G6387" s="244">
        <v>2</v>
      </c>
      <c r="H6387" s="244">
        <v>8</v>
      </c>
      <c r="I6387" s="244">
        <v>3</v>
      </c>
      <c r="J6387" s="244">
        <v>3</v>
      </c>
      <c r="K6387" s="244">
        <v>5</v>
      </c>
      <c r="L6387" s="244">
        <v>3</v>
      </c>
      <c r="M6387" s="244">
        <v>3</v>
      </c>
      <c r="N6387" s="244">
        <v>6</v>
      </c>
      <c r="O6387" s="254">
        <v>3</v>
      </c>
    </row>
    <row r="6388" spans="1:15">
      <c r="A6388" s="240" t="s">
        <v>68</v>
      </c>
      <c r="B6388" s="47" t="s">
        <v>5</v>
      </c>
      <c r="C6388" s="12">
        <v>0.0461384152457372</v>
      </c>
      <c r="D6388" s="241">
        <v>0.0583333333333333</v>
      </c>
      <c r="E6388" s="241">
        <v>0.0444444444444444</v>
      </c>
      <c r="F6388" s="241">
        <v>0.0217391304347826</v>
      </c>
      <c r="G6388" s="241">
        <v>0.037037037037037</v>
      </c>
      <c r="H6388" s="241">
        <v>0.0930232558139535</v>
      </c>
      <c r="I6388" s="241">
        <v>0.032967032967033</v>
      </c>
      <c r="J6388" s="241">
        <v>0.0326086956521739</v>
      </c>
      <c r="K6388" s="241">
        <v>0.045045045045045</v>
      </c>
      <c r="L6388" s="241">
        <v>0.0375</v>
      </c>
      <c r="M6388" s="241">
        <v>0.0319148936170213</v>
      </c>
      <c r="N6388" s="241">
        <v>0.0681818181818182</v>
      </c>
      <c r="O6388" s="252">
        <v>0.0333333333333333</v>
      </c>
    </row>
    <row r="6389" spans="1:15">
      <c r="A6389" s="242" t="s">
        <v>68</v>
      </c>
      <c r="B6389" s="43" t="s">
        <v>6</v>
      </c>
      <c r="C6389" s="15">
        <v>14</v>
      </c>
      <c r="D6389" s="244">
        <v>1</v>
      </c>
      <c r="E6389" s="244">
        <v>0</v>
      </c>
      <c r="F6389" s="244">
        <v>0</v>
      </c>
      <c r="G6389" s="244">
        <v>1</v>
      </c>
      <c r="H6389" s="244">
        <v>2</v>
      </c>
      <c r="I6389" s="244">
        <v>3</v>
      </c>
      <c r="J6389" s="244">
        <v>2</v>
      </c>
      <c r="K6389" s="244">
        <v>0</v>
      </c>
      <c r="L6389" s="244">
        <v>2</v>
      </c>
      <c r="M6389" s="244">
        <v>1</v>
      </c>
      <c r="N6389" s="244">
        <v>1</v>
      </c>
      <c r="O6389" s="254">
        <v>1</v>
      </c>
    </row>
    <row r="6390" ht="14.25" spans="1:15">
      <c r="A6390" s="245" t="s">
        <v>68</v>
      </c>
      <c r="B6390" s="52" t="s">
        <v>64</v>
      </c>
      <c r="C6390" s="19">
        <v>0.304347826086957</v>
      </c>
      <c r="D6390" s="246">
        <v>0.142857142857143</v>
      </c>
      <c r="E6390" s="246">
        <v>0</v>
      </c>
      <c r="F6390" s="246">
        <v>0</v>
      </c>
      <c r="G6390" s="246">
        <v>0.5</v>
      </c>
      <c r="H6390" s="246">
        <v>0.25</v>
      </c>
      <c r="I6390" s="246">
        <v>1</v>
      </c>
      <c r="J6390" s="246">
        <v>0.666666666666667</v>
      </c>
      <c r="K6390" s="246">
        <v>0</v>
      </c>
      <c r="L6390" s="246">
        <v>0.666666666666667</v>
      </c>
      <c r="M6390" s="246">
        <v>0.333333333333333</v>
      </c>
      <c r="N6390" s="246">
        <v>0.166666666666667</v>
      </c>
      <c r="O6390" s="255">
        <v>0.333333333333333</v>
      </c>
    </row>
    <row r="6391" spans="1:15">
      <c r="A6391" s="240" t="s">
        <v>69</v>
      </c>
      <c r="B6391" s="47" t="s">
        <v>55</v>
      </c>
      <c r="C6391" s="12">
        <v>1.92307692307692</v>
      </c>
      <c r="D6391" s="241">
        <v>2.33333333333333</v>
      </c>
      <c r="E6391" s="241">
        <v>1.66666666666667</v>
      </c>
      <c r="F6391" s="241">
        <v>1.8</v>
      </c>
      <c r="G6391" s="241">
        <v>1.22222222222222</v>
      </c>
      <c r="H6391" s="241">
        <v>2.5</v>
      </c>
      <c r="I6391" s="241">
        <v>1.5</v>
      </c>
      <c r="J6391" s="241">
        <v>2</v>
      </c>
      <c r="K6391" s="241">
        <v>2.6</v>
      </c>
      <c r="L6391" s="241">
        <v>1.5</v>
      </c>
      <c r="M6391" s="241">
        <v>2.6</v>
      </c>
      <c r="N6391" s="241">
        <v>1.28571428571429</v>
      </c>
      <c r="O6391" s="252">
        <v>2.83333333333333</v>
      </c>
    </row>
    <row r="6392" spans="1:15">
      <c r="A6392" s="242" t="s">
        <v>69</v>
      </c>
      <c r="B6392" s="43" t="s">
        <v>57</v>
      </c>
      <c r="C6392" s="15">
        <v>78</v>
      </c>
      <c r="D6392" s="243">
        <v>6</v>
      </c>
      <c r="E6392" s="243">
        <v>9</v>
      </c>
      <c r="F6392" s="243">
        <v>5</v>
      </c>
      <c r="G6392" s="243">
        <v>9</v>
      </c>
      <c r="H6392" s="243">
        <v>6</v>
      </c>
      <c r="I6392" s="243">
        <v>4</v>
      </c>
      <c r="J6392" s="243">
        <v>8</v>
      </c>
      <c r="K6392" s="243">
        <v>5</v>
      </c>
      <c r="L6392" s="243">
        <v>8</v>
      </c>
      <c r="M6392" s="243">
        <v>5</v>
      </c>
      <c r="N6392" s="243">
        <v>7</v>
      </c>
      <c r="O6392" s="253">
        <v>6</v>
      </c>
    </row>
    <row r="6393" spans="1:15">
      <c r="A6393" s="240" t="s">
        <v>69</v>
      </c>
      <c r="B6393" s="47" t="s">
        <v>59</v>
      </c>
      <c r="C6393" s="15">
        <v>150</v>
      </c>
      <c r="D6393" s="243">
        <v>14</v>
      </c>
      <c r="E6393" s="243">
        <v>15</v>
      </c>
      <c r="F6393" s="243">
        <v>9</v>
      </c>
      <c r="G6393" s="243">
        <v>11</v>
      </c>
      <c r="H6393" s="243">
        <v>15</v>
      </c>
      <c r="I6393" s="243">
        <v>6</v>
      </c>
      <c r="J6393" s="243">
        <v>16</v>
      </c>
      <c r="K6393" s="243">
        <v>13</v>
      </c>
      <c r="L6393" s="243">
        <v>12</v>
      </c>
      <c r="M6393" s="243">
        <v>13</v>
      </c>
      <c r="N6393" s="243">
        <v>9</v>
      </c>
      <c r="O6393" s="253">
        <v>17</v>
      </c>
    </row>
    <row r="6394" spans="1:15">
      <c r="A6394" s="242" t="s">
        <v>69</v>
      </c>
      <c r="B6394" s="43" t="s">
        <v>4</v>
      </c>
      <c r="C6394" s="15">
        <v>0</v>
      </c>
      <c r="D6394" s="244">
        <v>0</v>
      </c>
      <c r="E6394" s="244">
        <v>0</v>
      </c>
      <c r="F6394" s="244">
        <v>0</v>
      </c>
      <c r="G6394" s="244">
        <v>0</v>
      </c>
      <c r="H6394" s="244">
        <v>0</v>
      </c>
      <c r="I6394" s="244">
        <v>0</v>
      </c>
      <c r="J6394" s="244">
        <v>0</v>
      </c>
      <c r="K6394" s="244">
        <v>0</v>
      </c>
      <c r="L6394" s="244">
        <v>0</v>
      </c>
      <c r="M6394" s="244">
        <v>0</v>
      </c>
      <c r="N6394" s="244">
        <v>0</v>
      </c>
      <c r="O6394" s="254">
        <v>0</v>
      </c>
    </row>
    <row r="6395" spans="1:15">
      <c r="A6395" s="240" t="s">
        <v>69</v>
      </c>
      <c r="B6395" s="47" t="s">
        <v>5</v>
      </c>
      <c r="C6395" s="12">
        <v>0</v>
      </c>
      <c r="D6395" s="241">
        <v>0</v>
      </c>
      <c r="E6395" s="241">
        <v>0</v>
      </c>
      <c r="F6395" s="241">
        <v>0</v>
      </c>
      <c r="G6395" s="241">
        <v>0</v>
      </c>
      <c r="H6395" s="241">
        <v>0</v>
      </c>
      <c r="I6395" s="241">
        <v>0</v>
      </c>
      <c r="J6395" s="241">
        <v>0</v>
      </c>
      <c r="K6395" s="241">
        <v>0</v>
      </c>
      <c r="L6395" s="241">
        <v>0</v>
      </c>
      <c r="M6395" s="241">
        <v>0</v>
      </c>
      <c r="N6395" s="241">
        <v>0</v>
      </c>
      <c r="O6395" s="252">
        <v>0</v>
      </c>
    </row>
    <row r="6396" spans="1:15">
      <c r="A6396" s="242" t="s">
        <v>69</v>
      </c>
      <c r="B6396" s="43" t="s">
        <v>6</v>
      </c>
      <c r="C6396" s="15">
        <v>0</v>
      </c>
      <c r="D6396" s="244">
        <v>0</v>
      </c>
      <c r="E6396" s="244">
        <v>0</v>
      </c>
      <c r="F6396" s="244">
        <v>0</v>
      </c>
      <c r="G6396" s="244">
        <v>0</v>
      </c>
      <c r="H6396" s="244">
        <v>0</v>
      </c>
      <c r="I6396" s="244">
        <v>0</v>
      </c>
      <c r="J6396" s="244">
        <v>0</v>
      </c>
      <c r="K6396" s="244">
        <v>0</v>
      </c>
      <c r="L6396" s="244">
        <v>0</v>
      </c>
      <c r="M6396" s="244">
        <v>0</v>
      </c>
      <c r="N6396" s="244">
        <v>0</v>
      </c>
      <c r="O6396" s="254">
        <v>0</v>
      </c>
    </row>
    <row r="6397" ht="14.25" spans="1:15">
      <c r="A6397" s="245" t="s">
        <v>69</v>
      </c>
      <c r="B6397" s="52" t="s">
        <v>64</v>
      </c>
      <c r="C6397" s="19" t="e">
        <v>#DIV/0!</v>
      </c>
      <c r="D6397" s="246">
        <v>0</v>
      </c>
      <c r="E6397" s="246">
        <v>0</v>
      </c>
      <c r="F6397" s="246">
        <v>0</v>
      </c>
      <c r="G6397" s="246">
        <v>0</v>
      </c>
      <c r="H6397" s="246">
        <v>0</v>
      </c>
      <c r="I6397" s="246">
        <v>0</v>
      </c>
      <c r="J6397" s="246">
        <v>0</v>
      </c>
      <c r="K6397" s="246">
        <v>0</v>
      </c>
      <c r="L6397" s="246">
        <v>0</v>
      </c>
      <c r="M6397" s="246">
        <v>0</v>
      </c>
      <c r="N6397" s="246">
        <v>0</v>
      </c>
      <c r="O6397" s="255">
        <v>0</v>
      </c>
    </row>
    <row r="6398" spans="1:15">
      <c r="A6398" s="240" t="s">
        <v>70</v>
      </c>
      <c r="B6398" s="47" t="s">
        <v>55</v>
      </c>
      <c r="C6398" s="12">
        <v>2.19130434782609</v>
      </c>
      <c r="D6398" s="241">
        <v>2.41666666666667</v>
      </c>
      <c r="E6398" s="241">
        <v>1.64285714285714</v>
      </c>
      <c r="F6398" s="241">
        <v>1.7</v>
      </c>
      <c r="G6398" s="241">
        <v>0.9</v>
      </c>
      <c r="H6398" s="241">
        <v>1.5</v>
      </c>
      <c r="I6398" s="241">
        <v>4.46153846153846</v>
      </c>
      <c r="J6398" s="241">
        <v>2.57894736842105</v>
      </c>
      <c r="K6398" s="241">
        <v>3.13333333333333</v>
      </c>
      <c r="L6398" s="241">
        <v>1.75</v>
      </c>
      <c r="M6398" s="241">
        <v>2.73913043478261</v>
      </c>
      <c r="N6398" s="241">
        <v>2.55</v>
      </c>
      <c r="O6398" s="252">
        <v>1.44117647058824</v>
      </c>
    </row>
    <row r="6399" spans="1:15">
      <c r="A6399" s="242" t="s">
        <v>70</v>
      </c>
      <c r="B6399" s="43" t="s">
        <v>57</v>
      </c>
      <c r="C6399" s="15">
        <v>230</v>
      </c>
      <c r="D6399" s="243">
        <v>24</v>
      </c>
      <c r="E6399" s="243">
        <v>14</v>
      </c>
      <c r="F6399" s="243">
        <v>10</v>
      </c>
      <c r="G6399" s="243">
        <v>10</v>
      </c>
      <c r="H6399" s="243">
        <v>16</v>
      </c>
      <c r="I6399" s="243">
        <v>13</v>
      </c>
      <c r="J6399" s="243">
        <v>19</v>
      </c>
      <c r="K6399" s="243">
        <v>15</v>
      </c>
      <c r="L6399" s="243">
        <v>32</v>
      </c>
      <c r="M6399" s="243">
        <v>23</v>
      </c>
      <c r="N6399" s="243">
        <v>20</v>
      </c>
      <c r="O6399" s="253">
        <v>34</v>
      </c>
    </row>
    <row r="6400" spans="1:15">
      <c r="A6400" s="240" t="s">
        <v>70</v>
      </c>
      <c r="B6400" s="47" t="s">
        <v>59</v>
      </c>
      <c r="C6400" s="15">
        <v>504</v>
      </c>
      <c r="D6400" s="243">
        <v>58</v>
      </c>
      <c r="E6400" s="243">
        <v>23</v>
      </c>
      <c r="F6400" s="243">
        <v>17</v>
      </c>
      <c r="G6400" s="243">
        <v>9</v>
      </c>
      <c r="H6400" s="243">
        <v>24</v>
      </c>
      <c r="I6400" s="243">
        <v>58</v>
      </c>
      <c r="J6400" s="243">
        <v>49</v>
      </c>
      <c r="K6400" s="243">
        <v>47</v>
      </c>
      <c r="L6400" s="243">
        <v>56</v>
      </c>
      <c r="M6400" s="243">
        <v>63</v>
      </c>
      <c r="N6400" s="243">
        <v>51</v>
      </c>
      <c r="O6400" s="253">
        <v>49</v>
      </c>
    </row>
    <row r="6401" spans="1:15">
      <c r="A6401" s="242" t="s">
        <v>70</v>
      </c>
      <c r="B6401" s="43" t="s">
        <v>4</v>
      </c>
      <c r="C6401" s="15">
        <v>3</v>
      </c>
      <c r="D6401" s="244">
        <v>0</v>
      </c>
      <c r="E6401" s="244">
        <v>0</v>
      </c>
      <c r="F6401" s="244">
        <v>1</v>
      </c>
      <c r="G6401" s="244">
        <v>0</v>
      </c>
      <c r="H6401" s="244">
        <v>1</v>
      </c>
      <c r="I6401" s="244">
        <v>0</v>
      </c>
      <c r="J6401" s="244">
        <v>0</v>
      </c>
      <c r="K6401" s="244">
        <v>0</v>
      </c>
      <c r="L6401" s="244">
        <v>0</v>
      </c>
      <c r="M6401" s="244">
        <v>0</v>
      </c>
      <c r="N6401" s="244">
        <v>0</v>
      </c>
      <c r="O6401" s="254">
        <v>1</v>
      </c>
    </row>
    <row r="6402" spans="1:15">
      <c r="A6402" s="240" t="s">
        <v>70</v>
      </c>
      <c r="B6402" s="47" t="s">
        <v>5</v>
      </c>
      <c r="C6402" s="12">
        <v>0.00595238095238095</v>
      </c>
      <c r="D6402" s="241">
        <v>0</v>
      </c>
      <c r="E6402" s="241">
        <v>0</v>
      </c>
      <c r="F6402" s="241">
        <v>0.0588235294117647</v>
      </c>
      <c r="G6402" s="241">
        <v>0</v>
      </c>
      <c r="H6402" s="241">
        <v>0.0416666666666667</v>
      </c>
      <c r="I6402" s="241">
        <v>0</v>
      </c>
      <c r="J6402" s="241">
        <v>0</v>
      </c>
      <c r="K6402" s="241">
        <v>0</v>
      </c>
      <c r="L6402" s="241">
        <v>0</v>
      </c>
      <c r="M6402" s="241">
        <v>0</v>
      </c>
      <c r="N6402" s="241">
        <v>0</v>
      </c>
      <c r="O6402" s="252">
        <v>0.0204081632653061</v>
      </c>
    </row>
    <row r="6403" spans="1:15">
      <c r="A6403" s="242" t="s">
        <v>70</v>
      </c>
      <c r="B6403" s="43" t="s">
        <v>6</v>
      </c>
      <c r="C6403" s="15">
        <v>1</v>
      </c>
      <c r="D6403" s="244">
        <v>0</v>
      </c>
      <c r="E6403" s="244">
        <v>0</v>
      </c>
      <c r="F6403" s="244">
        <v>0</v>
      </c>
      <c r="G6403" s="244">
        <v>0</v>
      </c>
      <c r="H6403" s="244">
        <v>0</v>
      </c>
      <c r="I6403" s="244">
        <v>0</v>
      </c>
      <c r="J6403" s="244">
        <v>1</v>
      </c>
      <c r="K6403" s="244">
        <v>0</v>
      </c>
      <c r="L6403" s="244">
        <v>0</v>
      </c>
      <c r="M6403" s="244">
        <v>0</v>
      </c>
      <c r="N6403" s="244">
        <v>0</v>
      </c>
      <c r="O6403" s="254">
        <v>0</v>
      </c>
    </row>
    <row r="6404" ht="14.25" spans="1:15">
      <c r="A6404" s="245" t="s">
        <v>70</v>
      </c>
      <c r="B6404" s="52" t="s">
        <v>64</v>
      </c>
      <c r="C6404" s="19">
        <v>0.333333333333333</v>
      </c>
      <c r="D6404" s="246">
        <v>0</v>
      </c>
      <c r="E6404" s="246">
        <v>0</v>
      </c>
      <c r="F6404" s="246">
        <v>0</v>
      </c>
      <c r="G6404" s="246">
        <v>0</v>
      </c>
      <c r="H6404" s="246">
        <v>0</v>
      </c>
      <c r="I6404" s="246">
        <v>0</v>
      </c>
      <c r="J6404" s="246">
        <v>0</v>
      </c>
      <c r="K6404" s="246">
        <v>0</v>
      </c>
      <c r="L6404" s="246">
        <v>0</v>
      </c>
      <c r="M6404" s="246">
        <v>0</v>
      </c>
      <c r="N6404" s="246">
        <v>0</v>
      </c>
      <c r="O6404" s="255">
        <v>0</v>
      </c>
    </row>
    <row r="6405" spans="1:15">
      <c r="A6405" s="240" t="s">
        <v>26</v>
      </c>
      <c r="B6405" s="47" t="s">
        <v>55</v>
      </c>
      <c r="C6405" s="12">
        <v>0.800124146492862</v>
      </c>
      <c r="D6405" s="241">
        <v>0.807407407407407</v>
      </c>
      <c r="E6405" s="241">
        <v>0.792452830188679</v>
      </c>
      <c r="F6405" s="241">
        <v>0.896551724137931</v>
      </c>
      <c r="G6405" s="241">
        <v>0.830769230769231</v>
      </c>
      <c r="H6405" s="241">
        <v>0.858407079646018</v>
      </c>
      <c r="I6405" s="241">
        <v>0.865079365079365</v>
      </c>
      <c r="J6405" s="241">
        <v>0.810126582278481</v>
      </c>
      <c r="K6405" s="241">
        <v>0.828025477707006</v>
      </c>
      <c r="L6405" s="241">
        <v>0.682051282051282</v>
      </c>
      <c r="M6405" s="241">
        <v>0.759124087591241</v>
      </c>
      <c r="N6405" s="241">
        <v>0.849056603773585</v>
      </c>
      <c r="O6405" s="252">
        <v>0.762376237623762</v>
      </c>
    </row>
    <row r="6406" spans="1:15">
      <c r="A6406" s="242" t="s">
        <v>26</v>
      </c>
      <c r="B6406" s="43" t="s">
        <v>57</v>
      </c>
      <c r="C6406" s="15">
        <v>1611</v>
      </c>
      <c r="D6406" s="243">
        <v>135</v>
      </c>
      <c r="E6406" s="243">
        <v>106</v>
      </c>
      <c r="F6406" s="243">
        <v>58</v>
      </c>
      <c r="G6406" s="243">
        <v>65</v>
      </c>
      <c r="H6406" s="243">
        <v>113</v>
      </c>
      <c r="I6406" s="243">
        <v>126</v>
      </c>
      <c r="J6406" s="243">
        <v>158</v>
      </c>
      <c r="K6406" s="243">
        <v>157</v>
      </c>
      <c r="L6406" s="243">
        <v>195</v>
      </c>
      <c r="M6406" s="243">
        <v>137</v>
      </c>
      <c r="N6406" s="243">
        <v>159</v>
      </c>
      <c r="O6406" s="253">
        <v>202</v>
      </c>
    </row>
    <row r="6407" spans="1:15">
      <c r="A6407" s="240" t="s">
        <v>26</v>
      </c>
      <c r="B6407" s="47" t="s">
        <v>59</v>
      </c>
      <c r="C6407" s="15">
        <v>1289</v>
      </c>
      <c r="D6407" s="243">
        <v>109</v>
      </c>
      <c r="E6407" s="243">
        <v>84</v>
      </c>
      <c r="F6407" s="243">
        <v>52</v>
      </c>
      <c r="G6407" s="243">
        <v>54</v>
      </c>
      <c r="H6407" s="243">
        <v>97</v>
      </c>
      <c r="I6407" s="243">
        <v>109</v>
      </c>
      <c r="J6407" s="243">
        <v>128</v>
      </c>
      <c r="K6407" s="243">
        <v>130</v>
      </c>
      <c r="L6407" s="243">
        <v>133</v>
      </c>
      <c r="M6407" s="243">
        <v>104</v>
      </c>
      <c r="N6407" s="243">
        <v>135</v>
      </c>
      <c r="O6407" s="253">
        <v>154</v>
      </c>
    </row>
    <row r="6408" spans="1:15">
      <c r="A6408" s="242" t="s">
        <v>26</v>
      </c>
      <c r="B6408" s="43" t="s">
        <v>4</v>
      </c>
      <c r="C6408" s="15">
        <v>10</v>
      </c>
      <c r="D6408" s="244">
        <v>2</v>
      </c>
      <c r="E6408" s="244">
        <v>2</v>
      </c>
      <c r="F6408" s="244">
        <v>0</v>
      </c>
      <c r="G6408" s="244">
        <v>1</v>
      </c>
      <c r="H6408" s="244">
        <v>1</v>
      </c>
      <c r="I6408" s="244">
        <v>0</v>
      </c>
      <c r="J6408" s="244">
        <v>1</v>
      </c>
      <c r="K6408" s="244">
        <v>0</v>
      </c>
      <c r="L6408" s="244">
        <v>0</v>
      </c>
      <c r="M6408" s="244">
        <v>0</v>
      </c>
      <c r="N6408" s="244">
        <v>3</v>
      </c>
      <c r="O6408" s="254">
        <v>0</v>
      </c>
    </row>
    <row r="6409" spans="1:15">
      <c r="A6409" s="240" t="s">
        <v>26</v>
      </c>
      <c r="B6409" s="47" t="s">
        <v>5</v>
      </c>
      <c r="C6409" s="12">
        <v>0.00775795190069822</v>
      </c>
      <c r="D6409" s="241">
        <v>0.018348623853211</v>
      </c>
      <c r="E6409" s="241">
        <v>0.0238095238095238</v>
      </c>
      <c r="F6409" s="241">
        <v>0</v>
      </c>
      <c r="G6409" s="241">
        <v>0.0185185185185185</v>
      </c>
      <c r="H6409" s="241">
        <v>0.0103092783505155</v>
      </c>
      <c r="I6409" s="241">
        <v>0</v>
      </c>
      <c r="J6409" s="241">
        <v>0.0078125</v>
      </c>
      <c r="K6409" s="241">
        <v>0</v>
      </c>
      <c r="L6409" s="241">
        <v>0</v>
      </c>
      <c r="M6409" s="241">
        <v>0</v>
      </c>
      <c r="N6409" s="241">
        <v>0.0222222222222222</v>
      </c>
      <c r="O6409" s="252">
        <v>0</v>
      </c>
    </row>
    <row r="6410" spans="1:15">
      <c r="A6410" s="242" t="s">
        <v>26</v>
      </c>
      <c r="B6410" s="43" t="s">
        <v>6</v>
      </c>
      <c r="C6410" s="15">
        <v>1</v>
      </c>
      <c r="D6410" s="244">
        <v>0</v>
      </c>
      <c r="E6410" s="244">
        <v>0</v>
      </c>
      <c r="F6410" s="244">
        <v>0</v>
      </c>
      <c r="G6410" s="244">
        <v>0</v>
      </c>
      <c r="H6410" s="244">
        <v>0</v>
      </c>
      <c r="I6410" s="244">
        <v>0</v>
      </c>
      <c r="J6410" s="244">
        <v>0</v>
      </c>
      <c r="K6410" s="244">
        <v>0</v>
      </c>
      <c r="L6410" s="244">
        <v>1</v>
      </c>
      <c r="M6410" s="244">
        <v>0</v>
      </c>
      <c r="N6410" s="244">
        <v>0</v>
      </c>
      <c r="O6410" s="254">
        <v>0</v>
      </c>
    </row>
    <row r="6411" ht="14.25" spans="1:15">
      <c r="A6411" s="245" t="s">
        <v>26</v>
      </c>
      <c r="B6411" s="52" t="s">
        <v>64</v>
      </c>
      <c r="C6411" s="19">
        <v>0.1</v>
      </c>
      <c r="D6411" s="19">
        <v>0</v>
      </c>
      <c r="E6411" s="19">
        <v>0</v>
      </c>
      <c r="F6411" s="19" t="e">
        <v>#DIV/0!</v>
      </c>
      <c r="G6411" s="19">
        <v>0</v>
      </c>
      <c r="H6411" s="19">
        <v>0</v>
      </c>
      <c r="I6411" s="19" t="e">
        <v>#DIV/0!</v>
      </c>
      <c r="J6411" s="19">
        <v>0</v>
      </c>
      <c r="K6411" s="19" t="e">
        <v>#DIV/0!</v>
      </c>
      <c r="L6411" s="19" t="e">
        <v>#DIV/0!</v>
      </c>
      <c r="M6411" s="19" t="e">
        <v>#DIV/0!</v>
      </c>
      <c r="N6411" s="19">
        <v>0</v>
      </c>
      <c r="O6411" s="19" t="e">
        <v>#DIV/0!</v>
      </c>
    </row>
    <row r="6412" spans="1:15">
      <c r="A6412" s="240" t="s">
        <v>71</v>
      </c>
      <c r="B6412" s="47" t="s">
        <v>55</v>
      </c>
      <c r="C6412" s="12">
        <v>688</v>
      </c>
      <c r="D6412" s="241" t="e">
        <v>#DIV/0!</v>
      </c>
      <c r="E6412" s="241" t="e">
        <v>#DIV/0!</v>
      </c>
      <c r="F6412" s="241">
        <v>31</v>
      </c>
      <c r="G6412" s="241" t="e">
        <v>#DIV/0!</v>
      </c>
      <c r="H6412" s="241" t="e">
        <v>#DIV/0!</v>
      </c>
      <c r="I6412" s="241" t="e">
        <v>#DIV/0!</v>
      </c>
      <c r="J6412" s="241" t="e">
        <v>#DIV/0!</v>
      </c>
      <c r="K6412" s="241" t="e">
        <v>#DIV/0!</v>
      </c>
      <c r="L6412" s="241" t="e">
        <v>#DIV/0!</v>
      </c>
      <c r="M6412" s="241" t="e">
        <v>#DIV/0!</v>
      </c>
      <c r="N6412" s="241" t="e">
        <v>#DIV/0!</v>
      </c>
      <c r="O6412" s="252" t="e">
        <v>#DIV/0!</v>
      </c>
    </row>
    <row r="6413" spans="1:15">
      <c r="A6413" s="242" t="s">
        <v>71</v>
      </c>
      <c r="B6413" s="43" t="s">
        <v>57</v>
      </c>
      <c r="C6413" s="15">
        <v>1</v>
      </c>
      <c r="D6413" s="243">
        <v>0</v>
      </c>
      <c r="E6413" s="243">
        <v>0</v>
      </c>
      <c r="F6413" s="243">
        <v>1</v>
      </c>
      <c r="G6413" s="243">
        <v>0</v>
      </c>
      <c r="H6413" s="243">
        <v>0</v>
      </c>
      <c r="I6413" s="243">
        <v>0</v>
      </c>
      <c r="J6413" s="243">
        <v>0</v>
      </c>
      <c r="K6413" s="243">
        <v>0</v>
      </c>
      <c r="L6413" s="243">
        <v>0</v>
      </c>
      <c r="M6413" s="243">
        <v>0</v>
      </c>
      <c r="N6413" s="243">
        <v>0</v>
      </c>
      <c r="O6413" s="253">
        <v>0</v>
      </c>
    </row>
    <row r="6414" spans="1:15">
      <c r="A6414" s="240" t="s">
        <v>71</v>
      </c>
      <c r="B6414" s="47" t="s">
        <v>59</v>
      </c>
      <c r="C6414" s="15">
        <v>688</v>
      </c>
      <c r="D6414" s="243">
        <v>87</v>
      </c>
      <c r="E6414" s="243">
        <v>28</v>
      </c>
      <c r="F6414" s="243">
        <v>31</v>
      </c>
      <c r="G6414" s="243">
        <v>54</v>
      </c>
      <c r="H6414" s="243">
        <v>54</v>
      </c>
      <c r="I6414" s="243">
        <v>69</v>
      </c>
      <c r="J6414" s="243">
        <v>67</v>
      </c>
      <c r="K6414" s="243">
        <v>71</v>
      </c>
      <c r="L6414" s="243">
        <v>71</v>
      </c>
      <c r="M6414" s="243">
        <v>47</v>
      </c>
      <c r="N6414" s="243">
        <v>68</v>
      </c>
      <c r="O6414" s="253">
        <v>41</v>
      </c>
    </row>
    <row r="6415" spans="1:15">
      <c r="A6415" s="242" t="s">
        <v>71</v>
      </c>
      <c r="B6415" s="43" t="s">
        <v>4</v>
      </c>
      <c r="C6415" s="15">
        <v>52</v>
      </c>
      <c r="D6415" s="244">
        <v>11</v>
      </c>
      <c r="E6415" s="244">
        <v>5</v>
      </c>
      <c r="F6415" s="244">
        <v>2</v>
      </c>
      <c r="G6415" s="244">
        <v>2</v>
      </c>
      <c r="H6415" s="244">
        <v>3</v>
      </c>
      <c r="I6415" s="244">
        <v>6</v>
      </c>
      <c r="J6415" s="244">
        <v>4</v>
      </c>
      <c r="K6415" s="244">
        <v>4</v>
      </c>
      <c r="L6415" s="244">
        <v>5</v>
      </c>
      <c r="M6415" s="244">
        <v>3</v>
      </c>
      <c r="N6415" s="244">
        <v>4</v>
      </c>
      <c r="O6415" s="254">
        <v>3</v>
      </c>
    </row>
    <row r="6416" spans="1:15">
      <c r="A6416" s="240" t="s">
        <v>71</v>
      </c>
      <c r="B6416" s="47" t="s">
        <v>5</v>
      </c>
      <c r="C6416" s="241">
        <v>0.0755813953488372</v>
      </c>
      <c r="D6416" s="241">
        <v>0.126436781609195</v>
      </c>
      <c r="E6416" s="241">
        <v>0.178571428571429</v>
      </c>
      <c r="F6416" s="241">
        <v>0.0645161290322581</v>
      </c>
      <c r="G6416" s="241">
        <v>0.037037037037037</v>
      </c>
      <c r="H6416" s="241">
        <v>0.0555555555555556</v>
      </c>
      <c r="I6416" s="241">
        <v>0.0869565217391304</v>
      </c>
      <c r="J6416" s="241">
        <v>0.0597014925373134</v>
      </c>
      <c r="K6416" s="241">
        <v>0.0563380281690141</v>
      </c>
      <c r="L6416" s="241">
        <v>0.0704225352112676</v>
      </c>
      <c r="M6416" s="241">
        <v>0.0638297872340425</v>
      </c>
      <c r="N6416" s="241">
        <v>0.0588235294117647</v>
      </c>
      <c r="O6416" s="252">
        <v>0.0731707317073171</v>
      </c>
    </row>
    <row r="6417" spans="1:15">
      <c r="A6417" s="242" t="s">
        <v>71</v>
      </c>
      <c r="B6417" s="43" t="s">
        <v>6</v>
      </c>
      <c r="C6417" s="15">
        <v>10</v>
      </c>
      <c r="D6417" s="244">
        <v>1</v>
      </c>
      <c r="E6417" s="244">
        <v>0</v>
      </c>
      <c r="F6417" s="244">
        <v>0</v>
      </c>
      <c r="G6417" s="244">
        <v>3</v>
      </c>
      <c r="H6417" s="244">
        <v>0</v>
      </c>
      <c r="I6417" s="244">
        <v>0</v>
      </c>
      <c r="J6417" s="244">
        <v>1</v>
      </c>
      <c r="K6417" s="244">
        <v>3</v>
      </c>
      <c r="L6417" s="244">
        <v>0</v>
      </c>
      <c r="M6417" s="244">
        <v>0</v>
      </c>
      <c r="N6417" s="244">
        <v>1</v>
      </c>
      <c r="O6417" s="254">
        <v>1</v>
      </c>
    </row>
    <row r="6418" ht="14.25" spans="1:15">
      <c r="A6418" s="245" t="s">
        <v>71</v>
      </c>
      <c r="B6418" s="52" t="s">
        <v>64</v>
      </c>
      <c r="C6418" s="19">
        <v>0.192307692307692</v>
      </c>
      <c r="D6418" s="19">
        <v>0.0909090909090909</v>
      </c>
      <c r="E6418" s="19">
        <v>0</v>
      </c>
      <c r="F6418" s="19">
        <v>0</v>
      </c>
      <c r="G6418" s="19">
        <v>1.5</v>
      </c>
      <c r="H6418" s="19">
        <v>0</v>
      </c>
      <c r="I6418" s="19">
        <v>0</v>
      </c>
      <c r="J6418" s="19">
        <v>0.25</v>
      </c>
      <c r="K6418" s="19">
        <v>0.75</v>
      </c>
      <c r="L6418" s="19">
        <v>0</v>
      </c>
      <c r="M6418" s="19">
        <v>0</v>
      </c>
      <c r="N6418" s="19">
        <v>0.25</v>
      </c>
      <c r="O6418" s="19">
        <v>0.333333333333333</v>
      </c>
    </row>
    <row r="6419" spans="1:15">
      <c r="A6419" s="240" t="s">
        <v>72</v>
      </c>
      <c r="B6419" s="47" t="s">
        <v>55</v>
      </c>
      <c r="C6419" s="12">
        <v>0.117375886524823</v>
      </c>
      <c r="D6419" s="241">
        <v>0.113725490196078</v>
      </c>
      <c r="E6419" s="241">
        <v>0.147286821705426</v>
      </c>
      <c r="F6419" s="241">
        <v>0.133333333333333</v>
      </c>
      <c r="G6419" s="241">
        <v>0.128</v>
      </c>
      <c r="H6419" s="241">
        <v>0.0983606557377049</v>
      </c>
      <c r="I6419" s="241">
        <v>0.14957264957265</v>
      </c>
      <c r="J6419" s="241">
        <v>0.116935483870968</v>
      </c>
      <c r="K6419" s="241">
        <v>0.101754385964912</v>
      </c>
      <c r="L6419" s="241">
        <v>0.108208955223881</v>
      </c>
      <c r="M6419" s="241">
        <v>0.0823529411764706</v>
      </c>
      <c r="N6419" s="241">
        <v>0.130102040816327</v>
      </c>
      <c r="O6419" s="252">
        <v>0.120786516853933</v>
      </c>
    </row>
    <row r="6420" spans="1:15">
      <c r="A6420" s="242" t="s">
        <v>72</v>
      </c>
      <c r="B6420" s="43" t="s">
        <v>57</v>
      </c>
      <c r="C6420" s="15">
        <v>2820</v>
      </c>
      <c r="D6420" s="243">
        <v>255</v>
      </c>
      <c r="E6420" s="243">
        <v>129</v>
      </c>
      <c r="F6420" s="243">
        <v>90</v>
      </c>
      <c r="G6420" s="243">
        <v>125</v>
      </c>
      <c r="H6420" s="243">
        <v>183</v>
      </c>
      <c r="I6420" s="243">
        <v>234</v>
      </c>
      <c r="J6420" s="243">
        <v>248</v>
      </c>
      <c r="K6420" s="243">
        <v>285</v>
      </c>
      <c r="L6420" s="243">
        <v>268</v>
      </c>
      <c r="M6420" s="243">
        <v>255</v>
      </c>
      <c r="N6420" s="243">
        <v>392</v>
      </c>
      <c r="O6420" s="253">
        <v>356</v>
      </c>
    </row>
    <row r="6421" spans="1:15">
      <c r="A6421" s="240" t="s">
        <v>72</v>
      </c>
      <c r="B6421" s="47" t="s">
        <v>59</v>
      </c>
      <c r="C6421" s="15">
        <v>331</v>
      </c>
      <c r="D6421" s="243">
        <v>29</v>
      </c>
      <c r="E6421" s="243">
        <v>19</v>
      </c>
      <c r="F6421" s="243">
        <v>12</v>
      </c>
      <c r="G6421" s="243">
        <v>16</v>
      </c>
      <c r="H6421" s="243">
        <v>18</v>
      </c>
      <c r="I6421" s="243">
        <v>35</v>
      </c>
      <c r="J6421" s="243">
        <v>29</v>
      </c>
      <c r="K6421" s="243">
        <v>29</v>
      </c>
      <c r="L6421" s="243">
        <v>29</v>
      </c>
      <c r="M6421" s="243">
        <v>21</v>
      </c>
      <c r="N6421" s="243">
        <v>51</v>
      </c>
      <c r="O6421" s="253">
        <v>43</v>
      </c>
    </row>
    <row r="6422" spans="1:15">
      <c r="A6422" s="242" t="s">
        <v>72</v>
      </c>
      <c r="B6422" s="43" t="s">
        <v>4</v>
      </c>
      <c r="C6422" s="15">
        <v>16</v>
      </c>
      <c r="D6422" s="244">
        <v>2</v>
      </c>
      <c r="E6422" s="244">
        <v>0</v>
      </c>
      <c r="F6422" s="244">
        <v>0</v>
      </c>
      <c r="G6422" s="244">
        <v>0</v>
      </c>
      <c r="H6422" s="244">
        <v>2</v>
      </c>
      <c r="I6422" s="244">
        <v>2</v>
      </c>
      <c r="J6422" s="244">
        <v>0</v>
      </c>
      <c r="K6422" s="244">
        <v>3</v>
      </c>
      <c r="L6422" s="244">
        <v>1</v>
      </c>
      <c r="M6422" s="244">
        <v>1</v>
      </c>
      <c r="N6422" s="244">
        <v>1</v>
      </c>
      <c r="O6422" s="254">
        <v>4</v>
      </c>
    </row>
    <row r="6423" spans="1:15">
      <c r="A6423" s="240" t="s">
        <v>72</v>
      </c>
      <c r="B6423" s="47" t="s">
        <v>5</v>
      </c>
      <c r="C6423" s="12">
        <v>0.0483383685800604</v>
      </c>
      <c r="D6423" s="241">
        <v>0.0689655172413793</v>
      </c>
      <c r="E6423" s="241">
        <v>0</v>
      </c>
      <c r="F6423" s="241">
        <v>0</v>
      </c>
      <c r="G6423" s="241">
        <v>0</v>
      </c>
      <c r="H6423" s="241">
        <v>0.111111111111111</v>
      </c>
      <c r="I6423" s="241">
        <v>0.0571428571428571</v>
      </c>
      <c r="J6423" s="241">
        <v>0</v>
      </c>
      <c r="K6423" s="241">
        <v>0.103448275862069</v>
      </c>
      <c r="L6423" s="241">
        <v>0.0344827586206897</v>
      </c>
      <c r="M6423" s="241">
        <v>0.0476190476190476</v>
      </c>
      <c r="N6423" s="241">
        <v>0.0196078431372549</v>
      </c>
      <c r="O6423" s="252">
        <v>0.0930232558139535</v>
      </c>
    </row>
    <row r="6424" spans="1:15">
      <c r="A6424" s="242" t="s">
        <v>72</v>
      </c>
      <c r="B6424" s="43" t="s">
        <v>6</v>
      </c>
      <c r="C6424" s="15">
        <v>4</v>
      </c>
      <c r="D6424" s="244">
        <v>1</v>
      </c>
      <c r="E6424" s="244">
        <v>0</v>
      </c>
      <c r="F6424" s="244">
        <v>0</v>
      </c>
      <c r="G6424" s="244">
        <v>0</v>
      </c>
      <c r="H6424" s="244">
        <v>0</v>
      </c>
      <c r="I6424" s="244">
        <v>1</v>
      </c>
      <c r="J6424" s="244">
        <v>1</v>
      </c>
      <c r="K6424" s="244">
        <v>1</v>
      </c>
      <c r="L6424" s="244">
        <v>0</v>
      </c>
      <c r="M6424" s="244">
        <v>0</v>
      </c>
      <c r="N6424" s="244">
        <v>0</v>
      </c>
      <c r="O6424" s="254">
        <v>0</v>
      </c>
    </row>
    <row r="6425" ht="14.25" spans="1:15">
      <c r="A6425" s="245" t="s">
        <v>72</v>
      </c>
      <c r="B6425" s="52" t="s">
        <v>64</v>
      </c>
      <c r="C6425" s="19">
        <v>0.25</v>
      </c>
      <c r="D6425" s="19">
        <v>0.5</v>
      </c>
      <c r="E6425" s="19" t="e">
        <v>#DIV/0!</v>
      </c>
      <c r="F6425" s="19" t="e">
        <v>#DIV/0!</v>
      </c>
      <c r="G6425" s="19" t="e">
        <v>#DIV/0!</v>
      </c>
      <c r="H6425" s="19">
        <v>0</v>
      </c>
      <c r="I6425" s="19">
        <v>0.5</v>
      </c>
      <c r="J6425" s="19" t="e">
        <v>#DIV/0!</v>
      </c>
      <c r="K6425" s="19">
        <v>0.333333333333333</v>
      </c>
      <c r="L6425" s="19">
        <v>0</v>
      </c>
      <c r="M6425" s="19">
        <v>0</v>
      </c>
      <c r="N6425" s="19">
        <v>0</v>
      </c>
      <c r="O6425" s="19">
        <v>0</v>
      </c>
    </row>
    <row r="6426" ht="14.25" spans="1:15">
      <c r="A6426" s="259">
        <v>45118</v>
      </c>
      <c r="B6426" s="259"/>
      <c r="C6426" s="259"/>
      <c r="D6426" s="259"/>
      <c r="E6426" s="259"/>
      <c r="F6426" s="259"/>
      <c r="G6426" s="259"/>
      <c r="H6426" s="259"/>
      <c r="I6426" s="259"/>
      <c r="J6426" s="259"/>
      <c r="K6426" s="259"/>
      <c r="L6426" s="259"/>
      <c r="M6426" s="259"/>
      <c r="N6426" s="259"/>
      <c r="O6426" s="259"/>
    </row>
    <row r="6427" spans="1:15">
      <c r="A6427" s="260" t="s">
        <v>1</v>
      </c>
      <c r="B6427" s="261"/>
      <c r="C6427" s="287" t="s">
        <v>42</v>
      </c>
      <c r="D6427" s="262" t="s">
        <v>43</v>
      </c>
      <c r="E6427" s="262" t="s">
        <v>44</v>
      </c>
      <c r="F6427" s="262" t="s">
        <v>45</v>
      </c>
      <c r="G6427" s="262" t="s">
        <v>46</v>
      </c>
      <c r="H6427" s="262" t="s">
        <v>47</v>
      </c>
      <c r="I6427" s="262" t="s">
        <v>48</v>
      </c>
      <c r="J6427" s="262" t="s">
        <v>49</v>
      </c>
      <c r="K6427" s="262" t="s">
        <v>50</v>
      </c>
      <c r="L6427" s="262" t="s">
        <v>51</v>
      </c>
      <c r="M6427" s="262" t="s">
        <v>52</v>
      </c>
      <c r="N6427" s="262" t="s">
        <v>53</v>
      </c>
      <c r="O6427" s="276" t="s">
        <v>54</v>
      </c>
    </row>
    <row r="6428" spans="1:15">
      <c r="A6428" s="288" t="s">
        <v>22</v>
      </c>
      <c r="B6428" s="289" t="s">
        <v>55</v>
      </c>
      <c r="C6428" s="290">
        <v>0.471201814058957</v>
      </c>
      <c r="D6428" s="291">
        <v>0.552884615384615</v>
      </c>
      <c r="E6428" s="291">
        <v>0.520661157024793</v>
      </c>
      <c r="F6428" s="291">
        <v>0.392857142857143</v>
      </c>
      <c r="G6428" s="291">
        <v>0.621848739495798</v>
      </c>
      <c r="H6428" s="291">
        <v>0.60958904109589</v>
      </c>
      <c r="I6428" s="291">
        <v>0.448453608247423</v>
      </c>
      <c r="J6428" s="291">
        <v>0.489247311827957</v>
      </c>
      <c r="K6428" s="291">
        <v>0.479820627802691</v>
      </c>
      <c r="L6428" s="291">
        <v>0.360169491525424</v>
      </c>
      <c r="M6428" s="291">
        <v>0.516304347826087</v>
      </c>
      <c r="N6428" s="291">
        <v>0.392405063291139</v>
      </c>
      <c r="O6428" s="304">
        <v>0.400749063670412</v>
      </c>
    </row>
    <row r="6429" spans="1:15">
      <c r="A6429" s="292" t="s">
        <v>22</v>
      </c>
      <c r="B6429" s="293" t="s">
        <v>57</v>
      </c>
      <c r="C6429" s="294">
        <v>2205</v>
      </c>
      <c r="D6429" s="295">
        <v>208</v>
      </c>
      <c r="E6429" s="295">
        <v>121</v>
      </c>
      <c r="F6429" s="295">
        <v>84</v>
      </c>
      <c r="G6429" s="295">
        <v>119</v>
      </c>
      <c r="H6429" s="295">
        <v>146</v>
      </c>
      <c r="I6429" s="295">
        <v>194</v>
      </c>
      <c r="J6429" s="295">
        <v>186</v>
      </c>
      <c r="K6429" s="295">
        <v>223</v>
      </c>
      <c r="L6429" s="295">
        <v>236</v>
      </c>
      <c r="M6429" s="295">
        <v>184</v>
      </c>
      <c r="N6429" s="295">
        <v>237</v>
      </c>
      <c r="O6429" s="305">
        <v>267</v>
      </c>
    </row>
    <row r="6430" spans="1:15">
      <c r="A6430" s="288" t="s">
        <v>22</v>
      </c>
      <c r="B6430" s="289" t="s">
        <v>59</v>
      </c>
      <c r="C6430" s="294">
        <v>1039</v>
      </c>
      <c r="D6430" s="295">
        <v>115</v>
      </c>
      <c r="E6430" s="295">
        <v>63</v>
      </c>
      <c r="F6430" s="295">
        <v>33</v>
      </c>
      <c r="G6430" s="295">
        <v>74</v>
      </c>
      <c r="H6430" s="295">
        <v>89</v>
      </c>
      <c r="I6430" s="295">
        <v>87</v>
      </c>
      <c r="J6430" s="295">
        <v>91</v>
      </c>
      <c r="K6430" s="295">
        <v>107</v>
      </c>
      <c r="L6430" s="295">
        <v>85</v>
      </c>
      <c r="M6430" s="295">
        <v>95</v>
      </c>
      <c r="N6430" s="295">
        <v>93</v>
      </c>
      <c r="O6430" s="305">
        <v>107</v>
      </c>
    </row>
    <row r="6431" spans="1:15">
      <c r="A6431" s="292" t="s">
        <v>22</v>
      </c>
      <c r="B6431" s="293" t="s">
        <v>4</v>
      </c>
      <c r="C6431" s="294">
        <v>24</v>
      </c>
      <c r="D6431" s="296">
        <v>0</v>
      </c>
      <c r="E6431" s="296">
        <v>1</v>
      </c>
      <c r="F6431" s="296">
        <v>1</v>
      </c>
      <c r="G6431" s="296">
        <v>2</v>
      </c>
      <c r="H6431" s="296">
        <v>1</v>
      </c>
      <c r="I6431" s="296">
        <v>1</v>
      </c>
      <c r="J6431" s="296">
        <v>4</v>
      </c>
      <c r="K6431" s="296">
        <v>2</v>
      </c>
      <c r="L6431" s="296">
        <v>3</v>
      </c>
      <c r="M6431" s="296">
        <v>2</v>
      </c>
      <c r="N6431" s="296">
        <v>4</v>
      </c>
      <c r="O6431" s="306">
        <v>3</v>
      </c>
    </row>
    <row r="6432" spans="1:15">
      <c r="A6432" s="288" t="s">
        <v>22</v>
      </c>
      <c r="B6432" s="289" t="s">
        <v>5</v>
      </c>
      <c r="C6432" s="290">
        <v>0.0230991337824832</v>
      </c>
      <c r="D6432" s="291">
        <v>0</v>
      </c>
      <c r="E6432" s="291">
        <v>0.0158730158730159</v>
      </c>
      <c r="F6432" s="291">
        <v>0.0303030303030303</v>
      </c>
      <c r="G6432" s="291">
        <v>0.027027027027027</v>
      </c>
      <c r="H6432" s="291">
        <v>0.0112359550561798</v>
      </c>
      <c r="I6432" s="291">
        <v>0.0114942528735632</v>
      </c>
      <c r="J6432" s="291">
        <v>0.043956043956044</v>
      </c>
      <c r="K6432" s="291">
        <v>0.0186915887850467</v>
      </c>
      <c r="L6432" s="291">
        <v>0.0352941176470588</v>
      </c>
      <c r="M6432" s="291">
        <v>0.0210526315789474</v>
      </c>
      <c r="N6432" s="291">
        <v>0.043010752688172</v>
      </c>
      <c r="O6432" s="304">
        <v>0.0280373831775701</v>
      </c>
    </row>
    <row r="6433" spans="1:15">
      <c r="A6433" s="292" t="s">
        <v>22</v>
      </c>
      <c r="B6433" s="293" t="s">
        <v>6</v>
      </c>
      <c r="C6433" s="294">
        <v>7</v>
      </c>
      <c r="D6433" s="296">
        <v>0</v>
      </c>
      <c r="E6433" s="296">
        <v>1</v>
      </c>
      <c r="F6433" s="296">
        <v>0</v>
      </c>
      <c r="G6433" s="296">
        <v>0</v>
      </c>
      <c r="H6433" s="296">
        <v>0</v>
      </c>
      <c r="I6433" s="296">
        <v>1</v>
      </c>
      <c r="J6433" s="296">
        <v>2</v>
      </c>
      <c r="K6433" s="296">
        <v>0</v>
      </c>
      <c r="L6433" s="296">
        <v>0</v>
      </c>
      <c r="M6433" s="296">
        <v>0</v>
      </c>
      <c r="N6433" s="296">
        <v>2</v>
      </c>
      <c r="O6433" s="306">
        <v>1</v>
      </c>
    </row>
    <row r="6434" ht="14.25" spans="1:15">
      <c r="A6434" s="297" t="s">
        <v>22</v>
      </c>
      <c r="B6434" s="298" t="s">
        <v>64</v>
      </c>
      <c r="C6434" s="299">
        <v>0.291666666666667</v>
      </c>
      <c r="D6434" s="300">
        <v>0</v>
      </c>
      <c r="E6434" s="300">
        <v>1</v>
      </c>
      <c r="F6434" s="300">
        <v>0</v>
      </c>
      <c r="G6434" s="300">
        <v>0</v>
      </c>
      <c r="H6434" s="300">
        <v>0</v>
      </c>
      <c r="I6434" s="300">
        <v>1</v>
      </c>
      <c r="J6434" s="300">
        <v>0.5</v>
      </c>
      <c r="K6434" s="300">
        <v>0</v>
      </c>
      <c r="L6434" s="300">
        <v>0</v>
      </c>
      <c r="M6434" s="300">
        <v>0</v>
      </c>
      <c r="N6434" s="300">
        <v>0.5</v>
      </c>
      <c r="O6434" s="307">
        <v>0.333333333333333</v>
      </c>
    </row>
    <row r="6435" spans="1:15">
      <c r="A6435" s="301" t="s">
        <v>66</v>
      </c>
      <c r="B6435" s="302" t="s">
        <v>55</v>
      </c>
      <c r="C6435" s="290">
        <v>0.189095127610209</v>
      </c>
      <c r="D6435" s="303">
        <v>0.232876712328767</v>
      </c>
      <c r="E6435" s="303">
        <v>0.101851851851852</v>
      </c>
      <c r="F6435" s="303">
        <v>0.13265306122449</v>
      </c>
      <c r="G6435" s="303">
        <v>0.117647058823529</v>
      </c>
      <c r="H6435" s="303">
        <v>0.202797202797203</v>
      </c>
      <c r="I6435" s="303">
        <v>0.170886075949367</v>
      </c>
      <c r="J6435" s="303">
        <v>0.202702702702703</v>
      </c>
      <c r="K6435" s="303">
        <v>0.195530726256983</v>
      </c>
      <c r="L6435" s="303">
        <v>0.18</v>
      </c>
      <c r="M6435" s="303">
        <v>0.179775280898876</v>
      </c>
      <c r="N6435" s="303">
        <v>0.255172413793103</v>
      </c>
      <c r="O6435" s="308">
        <v>0.230769230769231</v>
      </c>
    </row>
    <row r="6436" spans="1:15">
      <c r="A6436" s="292" t="s">
        <v>66</v>
      </c>
      <c r="B6436" s="293" t="s">
        <v>57</v>
      </c>
      <c r="C6436" s="294">
        <v>1724</v>
      </c>
      <c r="D6436" s="295">
        <v>146</v>
      </c>
      <c r="E6436" s="295">
        <v>108</v>
      </c>
      <c r="F6436" s="295">
        <v>98</v>
      </c>
      <c r="G6436" s="295">
        <v>102</v>
      </c>
      <c r="H6436" s="295">
        <v>143</v>
      </c>
      <c r="I6436" s="295">
        <v>158</v>
      </c>
      <c r="J6436" s="295">
        <v>148</v>
      </c>
      <c r="K6436" s="295">
        <v>179</v>
      </c>
      <c r="L6436" s="295">
        <v>150</v>
      </c>
      <c r="M6436" s="295">
        <v>178</v>
      </c>
      <c r="N6436" s="295">
        <v>145</v>
      </c>
      <c r="O6436" s="305">
        <v>169</v>
      </c>
    </row>
    <row r="6437" spans="1:15">
      <c r="A6437" s="288" t="s">
        <v>66</v>
      </c>
      <c r="B6437" s="289" t="s">
        <v>59</v>
      </c>
      <c r="C6437" s="294">
        <v>326</v>
      </c>
      <c r="D6437" s="295">
        <v>34</v>
      </c>
      <c r="E6437" s="295">
        <v>11</v>
      </c>
      <c r="F6437" s="295">
        <v>13</v>
      </c>
      <c r="G6437" s="295">
        <v>12</v>
      </c>
      <c r="H6437" s="295">
        <v>29</v>
      </c>
      <c r="I6437" s="295">
        <v>27</v>
      </c>
      <c r="J6437" s="295">
        <v>30</v>
      </c>
      <c r="K6437" s="295">
        <v>35</v>
      </c>
      <c r="L6437" s="295">
        <v>27</v>
      </c>
      <c r="M6437" s="295">
        <v>32</v>
      </c>
      <c r="N6437" s="295">
        <v>37</v>
      </c>
      <c r="O6437" s="305">
        <v>39</v>
      </c>
    </row>
    <row r="6438" spans="1:15">
      <c r="A6438" s="292" t="s">
        <v>66</v>
      </c>
      <c r="B6438" s="293" t="s">
        <v>4</v>
      </c>
      <c r="C6438" s="294">
        <v>8</v>
      </c>
      <c r="D6438" s="296">
        <v>1</v>
      </c>
      <c r="E6438" s="296">
        <v>0</v>
      </c>
      <c r="F6438" s="296">
        <v>0</v>
      </c>
      <c r="G6438" s="296">
        <v>1</v>
      </c>
      <c r="H6438" s="296">
        <v>0</v>
      </c>
      <c r="I6438" s="296">
        <v>1</v>
      </c>
      <c r="J6438" s="296">
        <v>1</v>
      </c>
      <c r="K6438" s="296">
        <v>0</v>
      </c>
      <c r="L6438" s="296">
        <v>1</v>
      </c>
      <c r="M6438" s="296">
        <v>1</v>
      </c>
      <c r="N6438" s="296">
        <v>0</v>
      </c>
      <c r="O6438" s="306">
        <v>2</v>
      </c>
    </row>
    <row r="6439" spans="1:15">
      <c r="A6439" s="288" t="s">
        <v>66</v>
      </c>
      <c r="B6439" s="289" t="s">
        <v>5</v>
      </c>
      <c r="C6439" s="290">
        <v>0.0245398773006135</v>
      </c>
      <c r="D6439" s="291">
        <v>0.0294117647058824</v>
      </c>
      <c r="E6439" s="291">
        <v>0</v>
      </c>
      <c r="F6439" s="291">
        <v>0</v>
      </c>
      <c r="G6439" s="291">
        <v>0.0833333333333333</v>
      </c>
      <c r="H6439" s="291">
        <v>0</v>
      </c>
      <c r="I6439" s="291">
        <v>0.037037037037037</v>
      </c>
      <c r="J6439" s="291">
        <v>0.0333333333333333</v>
      </c>
      <c r="K6439" s="291">
        <v>0</v>
      </c>
      <c r="L6439" s="291">
        <v>0.037037037037037</v>
      </c>
      <c r="M6439" s="291">
        <v>0.03125</v>
      </c>
      <c r="N6439" s="291">
        <v>0</v>
      </c>
      <c r="O6439" s="304">
        <v>0.0512820512820513</v>
      </c>
    </row>
    <row r="6440" spans="1:15">
      <c r="A6440" s="292" t="s">
        <v>66</v>
      </c>
      <c r="B6440" s="293" t="s">
        <v>6</v>
      </c>
      <c r="C6440" s="294">
        <v>1</v>
      </c>
      <c r="D6440" s="296">
        <v>0</v>
      </c>
      <c r="E6440" s="296">
        <v>0</v>
      </c>
      <c r="F6440" s="296">
        <v>0</v>
      </c>
      <c r="G6440" s="296">
        <v>0</v>
      </c>
      <c r="H6440" s="296">
        <v>0</v>
      </c>
      <c r="I6440" s="296">
        <v>0</v>
      </c>
      <c r="J6440" s="296">
        <v>0</v>
      </c>
      <c r="K6440" s="296">
        <v>0</v>
      </c>
      <c r="L6440" s="296">
        <v>0</v>
      </c>
      <c r="M6440" s="296">
        <v>0</v>
      </c>
      <c r="N6440" s="296">
        <v>0</v>
      </c>
      <c r="O6440" s="306">
        <v>1</v>
      </c>
    </row>
    <row r="6441" ht="14.25" spans="1:15">
      <c r="A6441" s="297" t="s">
        <v>66</v>
      </c>
      <c r="B6441" s="298" t="s">
        <v>64</v>
      </c>
      <c r="C6441" s="299">
        <v>0.125</v>
      </c>
      <c r="D6441" s="300">
        <v>0</v>
      </c>
      <c r="E6441" s="300">
        <v>0</v>
      </c>
      <c r="F6441" s="300">
        <v>0</v>
      </c>
      <c r="G6441" s="300">
        <v>0</v>
      </c>
      <c r="H6441" s="300">
        <v>0</v>
      </c>
      <c r="I6441" s="300">
        <v>0</v>
      </c>
      <c r="J6441" s="300">
        <v>0</v>
      </c>
      <c r="K6441" s="300">
        <v>0</v>
      </c>
      <c r="L6441" s="300">
        <v>0</v>
      </c>
      <c r="M6441" s="300">
        <v>0</v>
      </c>
      <c r="N6441" s="300">
        <v>0</v>
      </c>
      <c r="O6441" s="307">
        <v>0.5</v>
      </c>
    </row>
    <row r="6442" spans="1:15">
      <c r="A6442" s="288" t="s">
        <v>67</v>
      </c>
      <c r="B6442" s="289" t="s">
        <v>55</v>
      </c>
      <c r="C6442" s="290">
        <v>0.510028653295129</v>
      </c>
      <c r="D6442" s="291">
        <v>0.632352941176471</v>
      </c>
      <c r="E6442" s="291">
        <v>0.428571428571429</v>
      </c>
      <c r="F6442" s="291">
        <v>0.3</v>
      </c>
      <c r="G6442" s="291">
        <v>0.571428571428571</v>
      </c>
      <c r="H6442" s="291">
        <v>0.485294117647059</v>
      </c>
      <c r="I6442" s="291">
        <v>0.659574468085106</v>
      </c>
      <c r="J6442" s="291">
        <v>0.516666666666667</v>
      </c>
      <c r="K6442" s="291">
        <v>0.484375</v>
      </c>
      <c r="L6442" s="291">
        <v>0.447368421052632</v>
      </c>
      <c r="M6442" s="291">
        <v>0.481012658227848</v>
      </c>
      <c r="N6442" s="291">
        <v>0.513513513513513</v>
      </c>
      <c r="O6442" s="304">
        <v>0.521739130434783</v>
      </c>
    </row>
    <row r="6443" spans="1:15">
      <c r="A6443" s="292" t="s">
        <v>67</v>
      </c>
      <c r="B6443" s="293" t="s">
        <v>57</v>
      </c>
      <c r="C6443" s="294">
        <v>698</v>
      </c>
      <c r="D6443" s="295">
        <v>68</v>
      </c>
      <c r="E6443" s="295">
        <v>28</v>
      </c>
      <c r="F6443" s="295">
        <v>30</v>
      </c>
      <c r="G6443" s="295">
        <v>35</v>
      </c>
      <c r="H6443" s="295">
        <v>68</v>
      </c>
      <c r="I6443" s="295">
        <v>47</v>
      </c>
      <c r="J6443" s="295">
        <v>60</v>
      </c>
      <c r="K6443" s="295">
        <v>64</v>
      </c>
      <c r="L6443" s="295">
        <v>76</v>
      </c>
      <c r="M6443" s="295">
        <v>79</v>
      </c>
      <c r="N6443" s="295">
        <v>74</v>
      </c>
      <c r="O6443" s="305">
        <v>69</v>
      </c>
    </row>
    <row r="6444" spans="1:15">
      <c r="A6444" s="288" t="s">
        <v>67</v>
      </c>
      <c r="B6444" s="289" t="s">
        <v>59</v>
      </c>
      <c r="C6444" s="294">
        <v>356</v>
      </c>
      <c r="D6444" s="295">
        <v>43</v>
      </c>
      <c r="E6444" s="295">
        <v>12</v>
      </c>
      <c r="F6444" s="295">
        <v>9</v>
      </c>
      <c r="G6444" s="295">
        <v>20</v>
      </c>
      <c r="H6444" s="295">
        <v>33</v>
      </c>
      <c r="I6444" s="295">
        <v>31</v>
      </c>
      <c r="J6444" s="295">
        <v>31</v>
      </c>
      <c r="K6444" s="295">
        <v>31</v>
      </c>
      <c r="L6444" s="295">
        <v>34</v>
      </c>
      <c r="M6444" s="295">
        <v>38</v>
      </c>
      <c r="N6444" s="295">
        <v>38</v>
      </c>
      <c r="O6444" s="305">
        <v>36</v>
      </c>
    </row>
    <row r="6445" spans="1:15">
      <c r="A6445" s="292" t="s">
        <v>67</v>
      </c>
      <c r="B6445" s="293" t="s">
        <v>4</v>
      </c>
      <c r="C6445" s="294">
        <v>7</v>
      </c>
      <c r="D6445" s="296">
        <v>0</v>
      </c>
      <c r="E6445" s="296">
        <v>0</v>
      </c>
      <c r="F6445" s="296">
        <v>0</v>
      </c>
      <c r="G6445" s="296">
        <v>1</v>
      </c>
      <c r="H6445" s="296">
        <v>1</v>
      </c>
      <c r="I6445" s="296">
        <v>0</v>
      </c>
      <c r="J6445" s="296">
        <v>1</v>
      </c>
      <c r="K6445" s="296">
        <v>0</v>
      </c>
      <c r="L6445" s="296">
        <v>2</v>
      </c>
      <c r="M6445" s="296">
        <v>0</v>
      </c>
      <c r="N6445" s="296">
        <v>1</v>
      </c>
      <c r="O6445" s="306">
        <v>1</v>
      </c>
    </row>
    <row r="6446" spans="1:15">
      <c r="A6446" s="288" t="s">
        <v>67</v>
      </c>
      <c r="B6446" s="289" t="s">
        <v>5</v>
      </c>
      <c r="C6446" s="290">
        <v>0.0196629213483146</v>
      </c>
      <c r="D6446" s="291">
        <v>0</v>
      </c>
      <c r="E6446" s="291">
        <v>0</v>
      </c>
      <c r="F6446" s="291">
        <v>0</v>
      </c>
      <c r="G6446" s="291">
        <v>0.05</v>
      </c>
      <c r="H6446" s="291">
        <v>0.0303030303030303</v>
      </c>
      <c r="I6446" s="291">
        <v>0</v>
      </c>
      <c r="J6446" s="291">
        <v>0.032258064516129</v>
      </c>
      <c r="K6446" s="291">
        <v>0</v>
      </c>
      <c r="L6446" s="291">
        <v>0.0588235294117647</v>
      </c>
      <c r="M6446" s="291">
        <v>0</v>
      </c>
      <c r="N6446" s="291">
        <v>0.0263157894736842</v>
      </c>
      <c r="O6446" s="304">
        <v>0.0277777777777778</v>
      </c>
    </row>
    <row r="6447" spans="1:15">
      <c r="A6447" s="292" t="s">
        <v>67</v>
      </c>
      <c r="B6447" s="293" t="s">
        <v>6</v>
      </c>
      <c r="C6447" s="294">
        <v>5</v>
      </c>
      <c r="D6447" s="296">
        <v>1</v>
      </c>
      <c r="E6447" s="296">
        <v>0</v>
      </c>
      <c r="F6447" s="296">
        <v>0</v>
      </c>
      <c r="G6447" s="296">
        <v>0</v>
      </c>
      <c r="H6447" s="296">
        <v>2</v>
      </c>
      <c r="I6447" s="296">
        <v>0</v>
      </c>
      <c r="J6447" s="296">
        <v>0</v>
      </c>
      <c r="K6447" s="296">
        <v>0</v>
      </c>
      <c r="L6447" s="296">
        <v>1</v>
      </c>
      <c r="M6447" s="296">
        <v>0</v>
      </c>
      <c r="N6447" s="296">
        <v>0</v>
      </c>
      <c r="O6447" s="306">
        <v>1</v>
      </c>
    </row>
    <row r="6448" ht="14.25" spans="1:15">
      <c r="A6448" s="297" t="s">
        <v>67</v>
      </c>
      <c r="B6448" s="298" t="s">
        <v>64</v>
      </c>
      <c r="C6448" s="299">
        <v>0.714285714285714</v>
      </c>
      <c r="D6448" s="300">
        <v>0</v>
      </c>
      <c r="E6448" s="300">
        <v>0</v>
      </c>
      <c r="F6448" s="300">
        <v>0</v>
      </c>
      <c r="G6448" s="300">
        <v>0</v>
      </c>
      <c r="H6448" s="300">
        <v>2</v>
      </c>
      <c r="I6448" s="300">
        <v>0</v>
      </c>
      <c r="J6448" s="300">
        <v>0</v>
      </c>
      <c r="K6448" s="300">
        <v>0</v>
      </c>
      <c r="L6448" s="300">
        <v>0.5</v>
      </c>
      <c r="M6448" s="300">
        <v>0</v>
      </c>
      <c r="N6448" s="300">
        <v>0</v>
      </c>
      <c r="O6448" s="307">
        <v>1</v>
      </c>
    </row>
    <row r="6449" spans="1:15">
      <c r="A6449" s="288" t="s">
        <v>68</v>
      </c>
      <c r="B6449" s="289" t="s">
        <v>55</v>
      </c>
      <c r="C6449" s="290">
        <v>0</v>
      </c>
      <c r="D6449" s="291">
        <v>0</v>
      </c>
      <c r="E6449" s="291">
        <v>0</v>
      </c>
      <c r="F6449" s="291">
        <v>0</v>
      </c>
      <c r="G6449" s="291">
        <v>0</v>
      </c>
      <c r="H6449" s="291">
        <v>0</v>
      </c>
      <c r="I6449" s="291">
        <v>0</v>
      </c>
      <c r="J6449" s="291">
        <v>0</v>
      </c>
      <c r="K6449" s="291">
        <v>0</v>
      </c>
      <c r="L6449" s="291">
        <v>0</v>
      </c>
      <c r="M6449" s="291">
        <v>0</v>
      </c>
      <c r="N6449" s="291">
        <v>0</v>
      </c>
      <c r="O6449" s="304">
        <v>0</v>
      </c>
    </row>
    <row r="6450" spans="1:15">
      <c r="A6450" s="292" t="s">
        <v>68</v>
      </c>
      <c r="B6450" s="293" t="s">
        <v>57</v>
      </c>
      <c r="C6450" s="294">
        <v>3684</v>
      </c>
      <c r="D6450" s="295">
        <v>324</v>
      </c>
      <c r="E6450" s="295">
        <v>196</v>
      </c>
      <c r="F6450" s="295">
        <v>162</v>
      </c>
      <c r="G6450" s="295">
        <v>142</v>
      </c>
      <c r="H6450" s="295">
        <v>257</v>
      </c>
      <c r="I6450" s="295">
        <v>340</v>
      </c>
      <c r="J6450" s="295">
        <v>319</v>
      </c>
      <c r="K6450" s="295">
        <v>377</v>
      </c>
      <c r="L6450" s="295">
        <v>380</v>
      </c>
      <c r="M6450" s="295">
        <v>398</v>
      </c>
      <c r="N6450" s="295">
        <v>353</v>
      </c>
      <c r="O6450" s="305">
        <v>436</v>
      </c>
    </row>
    <row r="6451" spans="1:15">
      <c r="A6451" s="288" t="s">
        <v>68</v>
      </c>
      <c r="B6451" s="289" t="s">
        <v>59</v>
      </c>
      <c r="C6451" s="294">
        <v>0</v>
      </c>
      <c r="D6451" s="295">
        <v>0</v>
      </c>
      <c r="E6451" s="295">
        <v>0</v>
      </c>
      <c r="F6451" s="295">
        <v>0</v>
      </c>
      <c r="G6451" s="295">
        <v>0</v>
      </c>
      <c r="H6451" s="295">
        <v>0</v>
      </c>
      <c r="I6451" s="295">
        <v>0</v>
      </c>
      <c r="J6451" s="295">
        <v>0</v>
      </c>
      <c r="K6451" s="295">
        <v>0</v>
      </c>
      <c r="L6451" s="295">
        <v>0</v>
      </c>
      <c r="M6451" s="295">
        <v>0</v>
      </c>
      <c r="N6451" s="295">
        <v>0</v>
      </c>
      <c r="O6451" s="305">
        <v>0</v>
      </c>
    </row>
    <row r="6452" spans="1:15">
      <c r="A6452" s="292" t="s">
        <v>68</v>
      </c>
      <c r="B6452" s="293" t="s">
        <v>4</v>
      </c>
      <c r="C6452" s="294">
        <v>66</v>
      </c>
      <c r="D6452" s="296">
        <v>7</v>
      </c>
      <c r="E6452" s="296">
        <v>5</v>
      </c>
      <c r="F6452" s="296">
        <v>2</v>
      </c>
      <c r="G6452" s="296">
        <v>1</v>
      </c>
      <c r="H6452" s="296">
        <v>2</v>
      </c>
      <c r="I6452" s="296">
        <v>4</v>
      </c>
      <c r="J6452" s="296">
        <v>9</v>
      </c>
      <c r="K6452" s="296">
        <v>6</v>
      </c>
      <c r="L6452" s="296">
        <v>9</v>
      </c>
      <c r="M6452" s="296">
        <v>9</v>
      </c>
      <c r="N6452" s="296">
        <v>5</v>
      </c>
      <c r="O6452" s="306">
        <v>7</v>
      </c>
    </row>
    <row r="6453" spans="1:15">
      <c r="A6453" s="288" t="s">
        <v>68</v>
      </c>
      <c r="B6453" s="289" t="s">
        <v>5</v>
      </c>
      <c r="C6453" s="290" t="e">
        <v>#DIV/0!</v>
      </c>
      <c r="D6453" s="291">
        <v>0</v>
      </c>
      <c r="E6453" s="291">
        <v>0</v>
      </c>
      <c r="F6453" s="291">
        <v>0</v>
      </c>
      <c r="G6453" s="291">
        <v>0</v>
      </c>
      <c r="H6453" s="291">
        <v>0</v>
      </c>
      <c r="I6453" s="291">
        <v>0</v>
      </c>
      <c r="J6453" s="291">
        <v>0</v>
      </c>
      <c r="K6453" s="291">
        <v>0</v>
      </c>
      <c r="L6453" s="291">
        <v>0</v>
      </c>
      <c r="M6453" s="291">
        <v>0</v>
      </c>
      <c r="N6453" s="291">
        <v>0</v>
      </c>
      <c r="O6453" s="304">
        <v>0</v>
      </c>
    </row>
    <row r="6454" spans="1:15">
      <c r="A6454" s="292" t="s">
        <v>68</v>
      </c>
      <c r="B6454" s="293" t="s">
        <v>6</v>
      </c>
      <c r="C6454" s="294">
        <v>15</v>
      </c>
      <c r="D6454" s="296">
        <v>3</v>
      </c>
      <c r="E6454" s="296">
        <v>1</v>
      </c>
      <c r="F6454" s="296">
        <v>0</v>
      </c>
      <c r="G6454" s="296">
        <v>0</v>
      </c>
      <c r="H6454" s="296">
        <v>0</v>
      </c>
      <c r="I6454" s="296">
        <v>1</v>
      </c>
      <c r="J6454" s="296">
        <v>0</v>
      </c>
      <c r="K6454" s="296">
        <v>2</v>
      </c>
      <c r="L6454" s="296">
        <v>3</v>
      </c>
      <c r="M6454" s="296">
        <v>3</v>
      </c>
      <c r="N6454" s="296">
        <v>1</v>
      </c>
      <c r="O6454" s="306">
        <v>1</v>
      </c>
    </row>
    <row r="6455" ht="14.25" spans="1:15">
      <c r="A6455" s="297" t="s">
        <v>68</v>
      </c>
      <c r="B6455" s="298" t="s">
        <v>64</v>
      </c>
      <c r="C6455" s="299">
        <v>0.227272727272727</v>
      </c>
      <c r="D6455" s="300">
        <v>0.428571428571429</v>
      </c>
      <c r="E6455" s="300">
        <v>0.2</v>
      </c>
      <c r="F6455" s="300">
        <v>0</v>
      </c>
      <c r="G6455" s="300">
        <v>0</v>
      </c>
      <c r="H6455" s="300">
        <v>0</v>
      </c>
      <c r="I6455" s="300">
        <v>0.25</v>
      </c>
      <c r="J6455" s="300">
        <v>0</v>
      </c>
      <c r="K6455" s="300">
        <v>0.333333333333333</v>
      </c>
      <c r="L6455" s="300">
        <v>0.333333333333333</v>
      </c>
      <c r="M6455" s="300">
        <v>0.333333333333333</v>
      </c>
      <c r="N6455" s="300">
        <v>0.2</v>
      </c>
      <c r="O6455" s="307">
        <v>0.142857142857143</v>
      </c>
    </row>
    <row r="6456" spans="1:15">
      <c r="A6456" s="288" t="s">
        <v>69</v>
      </c>
      <c r="B6456" s="289" t="s">
        <v>55</v>
      </c>
      <c r="C6456" s="290">
        <v>3.22916666666667</v>
      </c>
      <c r="D6456" s="291">
        <v>5.33333333333333</v>
      </c>
      <c r="E6456" s="291">
        <v>1</v>
      </c>
      <c r="F6456" s="291">
        <v>2.5</v>
      </c>
      <c r="G6456" s="291">
        <v>5</v>
      </c>
      <c r="H6456" s="291">
        <v>1.22222222222222</v>
      </c>
      <c r="I6456" s="291">
        <v>4.5</v>
      </c>
      <c r="J6456" s="291">
        <v>5.33333333333333</v>
      </c>
      <c r="K6456" s="291">
        <v>4.2</v>
      </c>
      <c r="L6456" s="291">
        <v>3</v>
      </c>
      <c r="M6456" s="291">
        <v>4.2</v>
      </c>
      <c r="N6456" s="291">
        <v>3.75</v>
      </c>
      <c r="O6456" s="304">
        <v>3.66666666666667</v>
      </c>
    </row>
    <row r="6457" spans="1:15">
      <c r="A6457" s="292" t="s">
        <v>69</v>
      </c>
      <c r="B6457" s="293" t="s">
        <v>57</v>
      </c>
      <c r="C6457" s="294">
        <v>48</v>
      </c>
      <c r="D6457" s="295">
        <v>3</v>
      </c>
      <c r="E6457" s="295">
        <v>4</v>
      </c>
      <c r="F6457" s="295">
        <v>2</v>
      </c>
      <c r="G6457" s="295">
        <v>1</v>
      </c>
      <c r="H6457" s="295">
        <v>9</v>
      </c>
      <c r="I6457" s="295">
        <v>2</v>
      </c>
      <c r="J6457" s="295">
        <v>3</v>
      </c>
      <c r="K6457" s="295">
        <v>5</v>
      </c>
      <c r="L6457" s="295">
        <v>7</v>
      </c>
      <c r="M6457" s="295">
        <v>5</v>
      </c>
      <c r="N6457" s="295">
        <v>4</v>
      </c>
      <c r="O6457" s="305">
        <v>3</v>
      </c>
    </row>
    <row r="6458" spans="1:15">
      <c r="A6458" s="288" t="s">
        <v>69</v>
      </c>
      <c r="B6458" s="289" t="s">
        <v>59</v>
      </c>
      <c r="C6458" s="294">
        <v>155</v>
      </c>
      <c r="D6458" s="295">
        <v>16</v>
      </c>
      <c r="E6458" s="295">
        <v>4</v>
      </c>
      <c r="F6458" s="295">
        <v>5</v>
      </c>
      <c r="G6458" s="295">
        <v>5</v>
      </c>
      <c r="H6458" s="295">
        <v>11</v>
      </c>
      <c r="I6458" s="295">
        <v>9</v>
      </c>
      <c r="J6458" s="295">
        <v>16</v>
      </c>
      <c r="K6458" s="295">
        <v>21</v>
      </c>
      <c r="L6458" s="295">
        <v>21</v>
      </c>
      <c r="M6458" s="295">
        <v>21</v>
      </c>
      <c r="N6458" s="295">
        <v>15</v>
      </c>
      <c r="O6458" s="305">
        <v>11</v>
      </c>
    </row>
    <row r="6459" spans="1:15">
      <c r="A6459" s="292" t="s">
        <v>69</v>
      </c>
      <c r="B6459" s="293" t="s">
        <v>4</v>
      </c>
      <c r="C6459" s="294">
        <v>1</v>
      </c>
      <c r="D6459" s="296">
        <v>0</v>
      </c>
      <c r="E6459" s="296">
        <v>1</v>
      </c>
      <c r="F6459" s="296">
        <v>0</v>
      </c>
      <c r="G6459" s="296">
        <v>0</v>
      </c>
      <c r="H6459" s="296">
        <v>0</v>
      </c>
      <c r="I6459" s="296">
        <v>0</v>
      </c>
      <c r="J6459" s="296">
        <v>0</v>
      </c>
      <c r="K6459" s="296">
        <v>0</v>
      </c>
      <c r="L6459" s="296">
        <v>0</v>
      </c>
      <c r="M6459" s="296">
        <v>0</v>
      </c>
      <c r="N6459" s="296">
        <v>0</v>
      </c>
      <c r="O6459" s="306">
        <v>0</v>
      </c>
    </row>
    <row r="6460" spans="1:15">
      <c r="A6460" s="288" t="s">
        <v>69</v>
      </c>
      <c r="B6460" s="289" t="s">
        <v>5</v>
      </c>
      <c r="C6460" s="290">
        <v>0.00645161290322581</v>
      </c>
      <c r="D6460" s="291">
        <v>0</v>
      </c>
      <c r="E6460" s="291">
        <v>0.25</v>
      </c>
      <c r="F6460" s="291">
        <v>0</v>
      </c>
      <c r="G6460" s="291">
        <v>0</v>
      </c>
      <c r="H6460" s="291">
        <v>0</v>
      </c>
      <c r="I6460" s="291">
        <v>0</v>
      </c>
      <c r="J6460" s="291">
        <v>0</v>
      </c>
      <c r="K6460" s="291">
        <v>0</v>
      </c>
      <c r="L6460" s="291">
        <v>0</v>
      </c>
      <c r="M6460" s="291">
        <v>0</v>
      </c>
      <c r="N6460" s="291">
        <v>0</v>
      </c>
      <c r="O6460" s="304">
        <v>0</v>
      </c>
    </row>
    <row r="6461" spans="1:15">
      <c r="A6461" s="292" t="s">
        <v>69</v>
      </c>
      <c r="B6461" s="293" t="s">
        <v>6</v>
      </c>
      <c r="C6461" s="294">
        <v>4</v>
      </c>
      <c r="D6461" s="296">
        <v>0</v>
      </c>
      <c r="E6461" s="296">
        <v>0</v>
      </c>
      <c r="F6461" s="296">
        <v>0</v>
      </c>
      <c r="G6461" s="296">
        <v>0</v>
      </c>
      <c r="H6461" s="296">
        <v>1</v>
      </c>
      <c r="I6461" s="296">
        <v>0</v>
      </c>
      <c r="J6461" s="296">
        <v>1</v>
      </c>
      <c r="K6461" s="296">
        <v>0</v>
      </c>
      <c r="L6461" s="296">
        <v>2</v>
      </c>
      <c r="M6461" s="296">
        <v>0</v>
      </c>
      <c r="N6461" s="296">
        <v>0</v>
      </c>
      <c r="O6461" s="306">
        <v>0</v>
      </c>
    </row>
    <row r="6462" ht="14.25" spans="1:15">
      <c r="A6462" s="297" t="s">
        <v>69</v>
      </c>
      <c r="B6462" s="298" t="s">
        <v>64</v>
      </c>
      <c r="C6462" s="299">
        <v>4</v>
      </c>
      <c r="D6462" s="300">
        <v>0</v>
      </c>
      <c r="E6462" s="300">
        <v>0</v>
      </c>
      <c r="F6462" s="300">
        <v>0</v>
      </c>
      <c r="G6462" s="300">
        <v>0</v>
      </c>
      <c r="H6462" s="300">
        <v>0</v>
      </c>
      <c r="I6462" s="300">
        <v>0</v>
      </c>
      <c r="J6462" s="300">
        <v>0</v>
      </c>
      <c r="K6462" s="300">
        <v>0</v>
      </c>
      <c r="L6462" s="300">
        <v>0</v>
      </c>
      <c r="M6462" s="300">
        <v>0</v>
      </c>
      <c r="N6462" s="300">
        <v>0</v>
      </c>
      <c r="O6462" s="307">
        <v>0</v>
      </c>
    </row>
    <row r="6463" spans="1:15">
      <c r="A6463" s="288" t="s">
        <v>70</v>
      </c>
      <c r="B6463" s="289" t="s">
        <v>55</v>
      </c>
      <c r="C6463" s="290">
        <v>1.01454545454545</v>
      </c>
      <c r="D6463" s="291">
        <v>3.45454545454545</v>
      </c>
      <c r="E6463" s="291">
        <v>1.55555555555556</v>
      </c>
      <c r="F6463" s="291">
        <v>1.83333333333333</v>
      </c>
      <c r="G6463" s="291">
        <v>1.14285714285714</v>
      </c>
      <c r="H6463" s="291">
        <v>1.75</v>
      </c>
      <c r="I6463" s="291">
        <v>1.78947368421053</v>
      </c>
      <c r="J6463" s="291">
        <v>2.5</v>
      </c>
      <c r="K6463" s="291">
        <v>0.921875</v>
      </c>
      <c r="L6463" s="291">
        <v>0.782608695652174</v>
      </c>
      <c r="M6463" s="291">
        <v>0.962962962962963</v>
      </c>
      <c r="N6463" s="291">
        <v>0.728971962616822</v>
      </c>
      <c r="O6463" s="304">
        <v>0.736842105263158</v>
      </c>
    </row>
    <row r="6464" spans="1:15">
      <c r="A6464" s="292" t="s">
        <v>70</v>
      </c>
      <c r="B6464" s="293" t="s">
        <v>57</v>
      </c>
      <c r="C6464" s="294">
        <v>550</v>
      </c>
      <c r="D6464" s="295">
        <v>11</v>
      </c>
      <c r="E6464" s="295">
        <v>9</v>
      </c>
      <c r="F6464" s="295">
        <v>6</v>
      </c>
      <c r="G6464" s="295">
        <v>7</v>
      </c>
      <c r="H6464" s="295">
        <v>16</v>
      </c>
      <c r="I6464" s="295">
        <v>19</v>
      </c>
      <c r="J6464" s="295">
        <v>20</v>
      </c>
      <c r="K6464" s="295">
        <v>64</v>
      </c>
      <c r="L6464" s="295">
        <v>115</v>
      </c>
      <c r="M6464" s="295">
        <v>81</v>
      </c>
      <c r="N6464" s="295">
        <v>107</v>
      </c>
      <c r="O6464" s="305">
        <v>95</v>
      </c>
    </row>
    <row r="6465" spans="1:15">
      <c r="A6465" s="288" t="s">
        <v>70</v>
      </c>
      <c r="B6465" s="289" t="s">
        <v>59</v>
      </c>
      <c r="C6465" s="294">
        <v>558</v>
      </c>
      <c r="D6465" s="295">
        <v>38</v>
      </c>
      <c r="E6465" s="295">
        <v>14</v>
      </c>
      <c r="F6465" s="295">
        <v>11</v>
      </c>
      <c r="G6465" s="295">
        <v>8</v>
      </c>
      <c r="H6465" s="295">
        <v>28</v>
      </c>
      <c r="I6465" s="295">
        <v>34</v>
      </c>
      <c r="J6465" s="295">
        <v>50</v>
      </c>
      <c r="K6465" s="295">
        <v>59</v>
      </c>
      <c r="L6465" s="295">
        <v>90</v>
      </c>
      <c r="M6465" s="295">
        <v>78</v>
      </c>
      <c r="N6465" s="295">
        <v>78</v>
      </c>
      <c r="O6465" s="305">
        <v>70</v>
      </c>
    </row>
    <row r="6466" spans="1:15">
      <c r="A6466" s="292" t="s">
        <v>70</v>
      </c>
      <c r="B6466" s="293" t="s">
        <v>4</v>
      </c>
      <c r="C6466" s="294">
        <v>4</v>
      </c>
      <c r="D6466" s="296">
        <v>1</v>
      </c>
      <c r="E6466" s="296">
        <v>1</v>
      </c>
      <c r="F6466" s="296">
        <v>0</v>
      </c>
      <c r="G6466" s="296">
        <v>0</v>
      </c>
      <c r="H6466" s="296">
        <v>1</v>
      </c>
      <c r="I6466" s="296">
        <v>0</v>
      </c>
      <c r="J6466" s="296">
        <v>1</v>
      </c>
      <c r="K6466" s="296">
        <v>0</v>
      </c>
      <c r="L6466" s="296">
        <v>0</v>
      </c>
      <c r="M6466" s="296">
        <v>0</v>
      </c>
      <c r="N6466" s="296">
        <v>0</v>
      </c>
      <c r="O6466" s="306">
        <v>0</v>
      </c>
    </row>
    <row r="6467" spans="1:15">
      <c r="A6467" s="288" t="s">
        <v>70</v>
      </c>
      <c r="B6467" s="289" t="s">
        <v>5</v>
      </c>
      <c r="C6467" s="290">
        <v>0.00716845878136201</v>
      </c>
      <c r="D6467" s="291">
        <v>0.0263157894736842</v>
      </c>
      <c r="E6467" s="291">
        <v>0.0714285714285714</v>
      </c>
      <c r="F6467" s="291">
        <v>0</v>
      </c>
      <c r="G6467" s="291">
        <v>0</v>
      </c>
      <c r="H6467" s="291">
        <v>0.0357142857142857</v>
      </c>
      <c r="I6467" s="291">
        <v>0</v>
      </c>
      <c r="J6467" s="291">
        <v>0.02</v>
      </c>
      <c r="K6467" s="291">
        <v>0</v>
      </c>
      <c r="L6467" s="291">
        <v>0</v>
      </c>
      <c r="M6467" s="291">
        <v>0</v>
      </c>
      <c r="N6467" s="291">
        <v>0</v>
      </c>
      <c r="O6467" s="304">
        <v>0</v>
      </c>
    </row>
    <row r="6468" spans="1:15">
      <c r="A6468" s="292" t="s">
        <v>70</v>
      </c>
      <c r="B6468" s="293" t="s">
        <v>6</v>
      </c>
      <c r="C6468" s="294">
        <v>5</v>
      </c>
      <c r="D6468" s="296">
        <v>0</v>
      </c>
      <c r="E6468" s="296">
        <v>0</v>
      </c>
      <c r="F6468" s="296">
        <v>0</v>
      </c>
      <c r="G6468" s="296">
        <v>0</v>
      </c>
      <c r="H6468" s="296">
        <v>2</v>
      </c>
      <c r="I6468" s="296">
        <v>1</v>
      </c>
      <c r="J6468" s="296">
        <v>0</v>
      </c>
      <c r="K6468" s="296">
        <v>0</v>
      </c>
      <c r="L6468" s="296">
        <v>1</v>
      </c>
      <c r="M6468" s="296">
        <v>1</v>
      </c>
      <c r="N6468" s="296">
        <v>0</v>
      </c>
      <c r="O6468" s="306">
        <v>0</v>
      </c>
    </row>
    <row r="6469" ht="14.25" spans="1:15">
      <c r="A6469" s="297" t="s">
        <v>70</v>
      </c>
      <c r="B6469" s="298" t="s">
        <v>64</v>
      </c>
      <c r="C6469" s="299">
        <v>1.25</v>
      </c>
      <c r="D6469" s="300">
        <v>0</v>
      </c>
      <c r="E6469" s="300">
        <v>0</v>
      </c>
      <c r="F6469" s="300">
        <v>0</v>
      </c>
      <c r="G6469" s="300">
        <v>0</v>
      </c>
      <c r="H6469" s="300">
        <v>2</v>
      </c>
      <c r="I6469" s="300">
        <v>0</v>
      </c>
      <c r="J6469" s="300">
        <v>0</v>
      </c>
      <c r="K6469" s="300">
        <v>0</v>
      </c>
      <c r="L6469" s="300">
        <v>0</v>
      </c>
      <c r="M6469" s="300">
        <v>0</v>
      </c>
      <c r="N6469" s="300">
        <v>0</v>
      </c>
      <c r="O6469" s="307">
        <v>0</v>
      </c>
    </row>
    <row r="6470" spans="1:15">
      <c r="A6470" s="288" t="s">
        <v>26</v>
      </c>
      <c r="B6470" s="289" t="s">
        <v>55</v>
      </c>
      <c r="C6470" s="290">
        <v>1.68221941992434</v>
      </c>
      <c r="D6470" s="291">
        <v>0.84</v>
      </c>
      <c r="E6470" s="291">
        <v>0.7875</v>
      </c>
      <c r="F6470" s="291">
        <v>0.828125</v>
      </c>
      <c r="G6470" s="291">
        <v>0.925373134328358</v>
      </c>
      <c r="H6470" s="291">
        <v>0.831081081081081</v>
      </c>
      <c r="I6470" s="291">
        <v>0.823943661971831</v>
      </c>
      <c r="J6470" s="291">
        <v>0.886075949367089</v>
      </c>
      <c r="K6470" s="291">
        <v>58.5</v>
      </c>
      <c r="L6470" s="291" t="e">
        <v>#DIV/0!</v>
      </c>
      <c r="M6470" s="291">
        <v>44.3333333333333</v>
      </c>
      <c r="N6470" s="291" t="e">
        <v>#DIV/0!</v>
      </c>
      <c r="O6470" s="304">
        <v>35.5</v>
      </c>
    </row>
    <row r="6471" spans="1:15">
      <c r="A6471" s="292" t="s">
        <v>26</v>
      </c>
      <c r="B6471" s="293" t="s">
        <v>57</v>
      </c>
      <c r="C6471" s="294">
        <v>793</v>
      </c>
      <c r="D6471" s="295">
        <v>125</v>
      </c>
      <c r="E6471" s="295">
        <v>80</v>
      </c>
      <c r="F6471" s="295">
        <v>64</v>
      </c>
      <c r="G6471" s="295">
        <v>67</v>
      </c>
      <c r="H6471" s="295">
        <v>148</v>
      </c>
      <c r="I6471" s="295">
        <v>142</v>
      </c>
      <c r="J6471" s="295">
        <v>158</v>
      </c>
      <c r="K6471" s="295">
        <v>2</v>
      </c>
      <c r="L6471" s="295">
        <v>0</v>
      </c>
      <c r="M6471" s="295">
        <v>3</v>
      </c>
      <c r="N6471" s="295">
        <v>0</v>
      </c>
      <c r="O6471" s="305">
        <v>4</v>
      </c>
    </row>
    <row r="6472" spans="1:15">
      <c r="A6472" s="288" t="s">
        <v>26</v>
      </c>
      <c r="B6472" s="289" t="s">
        <v>59</v>
      </c>
      <c r="C6472" s="294">
        <v>1334</v>
      </c>
      <c r="D6472" s="295">
        <v>105</v>
      </c>
      <c r="E6472" s="295">
        <v>63</v>
      </c>
      <c r="F6472" s="295">
        <v>53</v>
      </c>
      <c r="G6472" s="295">
        <v>62</v>
      </c>
      <c r="H6472" s="295">
        <v>123</v>
      </c>
      <c r="I6472" s="295">
        <v>117</v>
      </c>
      <c r="J6472" s="295">
        <v>140</v>
      </c>
      <c r="K6472" s="295">
        <v>117</v>
      </c>
      <c r="L6472" s="295">
        <v>139</v>
      </c>
      <c r="M6472" s="295">
        <v>133</v>
      </c>
      <c r="N6472" s="295">
        <v>140</v>
      </c>
      <c r="O6472" s="305">
        <v>142</v>
      </c>
    </row>
    <row r="6473" spans="1:15">
      <c r="A6473" s="292" t="s">
        <v>26</v>
      </c>
      <c r="B6473" s="293" t="s">
        <v>4</v>
      </c>
      <c r="C6473" s="294">
        <v>14</v>
      </c>
      <c r="D6473" s="296">
        <v>1</v>
      </c>
      <c r="E6473" s="296">
        <v>2</v>
      </c>
      <c r="F6473" s="296">
        <v>0</v>
      </c>
      <c r="G6473" s="296">
        <v>1</v>
      </c>
      <c r="H6473" s="296">
        <v>0</v>
      </c>
      <c r="I6473" s="296">
        <v>1</v>
      </c>
      <c r="J6473" s="296">
        <v>0</v>
      </c>
      <c r="K6473" s="296">
        <v>1</v>
      </c>
      <c r="L6473" s="296">
        <v>0</v>
      </c>
      <c r="M6473" s="296">
        <v>2</v>
      </c>
      <c r="N6473" s="296">
        <v>2</v>
      </c>
      <c r="O6473" s="306">
        <v>4</v>
      </c>
    </row>
    <row r="6474" spans="1:15">
      <c r="A6474" s="288" t="s">
        <v>26</v>
      </c>
      <c r="B6474" s="289" t="s">
        <v>5</v>
      </c>
      <c r="C6474" s="290">
        <v>0.0104947526236882</v>
      </c>
      <c r="D6474" s="291">
        <v>0.00952380952380952</v>
      </c>
      <c r="E6474" s="291">
        <v>0.0317460317460317</v>
      </c>
      <c r="F6474" s="291">
        <v>0</v>
      </c>
      <c r="G6474" s="291">
        <v>0.0161290322580645</v>
      </c>
      <c r="H6474" s="291">
        <v>0</v>
      </c>
      <c r="I6474" s="291">
        <v>0.00854700854700855</v>
      </c>
      <c r="J6474" s="291">
        <v>0</v>
      </c>
      <c r="K6474" s="291">
        <v>0.00854700854700855</v>
      </c>
      <c r="L6474" s="291">
        <v>0</v>
      </c>
      <c r="M6474" s="291">
        <v>0.0150375939849624</v>
      </c>
      <c r="N6474" s="291">
        <v>0.0142857142857143</v>
      </c>
      <c r="O6474" s="304">
        <v>0.028169014084507</v>
      </c>
    </row>
    <row r="6475" spans="1:15">
      <c r="A6475" s="292" t="s">
        <v>26</v>
      </c>
      <c r="B6475" s="293" t="s">
        <v>6</v>
      </c>
      <c r="C6475" s="294">
        <v>2</v>
      </c>
      <c r="D6475" s="296">
        <v>0</v>
      </c>
      <c r="E6475" s="296">
        <v>0</v>
      </c>
      <c r="F6475" s="296">
        <v>0</v>
      </c>
      <c r="G6475" s="296">
        <v>0</v>
      </c>
      <c r="H6475" s="296">
        <v>0</v>
      </c>
      <c r="I6475" s="296">
        <v>0</v>
      </c>
      <c r="J6475" s="296">
        <v>0</v>
      </c>
      <c r="K6475" s="296">
        <v>0</v>
      </c>
      <c r="L6475" s="296">
        <v>0</v>
      </c>
      <c r="M6475" s="296">
        <v>1</v>
      </c>
      <c r="N6475" s="296">
        <v>0</v>
      </c>
      <c r="O6475" s="306">
        <v>1</v>
      </c>
    </row>
    <row r="6476" ht="14.25" spans="1:15">
      <c r="A6476" s="297" t="s">
        <v>26</v>
      </c>
      <c r="B6476" s="298" t="s">
        <v>64</v>
      </c>
      <c r="C6476" s="299">
        <v>0.142857142857143</v>
      </c>
      <c r="D6476" s="299">
        <v>0</v>
      </c>
      <c r="E6476" s="299">
        <v>0</v>
      </c>
      <c r="F6476" s="299" t="e">
        <v>#DIV/0!</v>
      </c>
      <c r="G6476" s="299">
        <v>0</v>
      </c>
      <c r="H6476" s="299" t="e">
        <v>#DIV/0!</v>
      </c>
      <c r="I6476" s="299">
        <v>0</v>
      </c>
      <c r="J6476" s="299" t="e">
        <v>#DIV/0!</v>
      </c>
      <c r="K6476" s="299">
        <v>0</v>
      </c>
      <c r="L6476" s="299" t="e">
        <v>#DIV/0!</v>
      </c>
      <c r="M6476" s="299">
        <v>0.5</v>
      </c>
      <c r="N6476" s="299">
        <v>0</v>
      </c>
      <c r="O6476" s="299">
        <v>0.25</v>
      </c>
    </row>
    <row r="6477" spans="1:15">
      <c r="A6477" s="288" t="s">
        <v>71</v>
      </c>
      <c r="B6477" s="289" t="s">
        <v>55</v>
      </c>
      <c r="C6477" s="290" t="e">
        <v>#DIV/0!</v>
      </c>
      <c r="D6477" s="291" t="e">
        <v>#DIV/0!</v>
      </c>
      <c r="E6477" s="291" t="e">
        <v>#DIV/0!</v>
      </c>
      <c r="F6477" s="291" t="e">
        <v>#DIV/0!</v>
      </c>
      <c r="G6477" s="291" t="e">
        <v>#DIV/0!</v>
      </c>
      <c r="H6477" s="291" t="e">
        <v>#DIV/0!</v>
      </c>
      <c r="I6477" s="291" t="e">
        <v>#DIV/0!</v>
      </c>
      <c r="J6477" s="291" t="e">
        <v>#DIV/0!</v>
      </c>
      <c r="K6477" s="291" t="e">
        <v>#DIV/0!</v>
      </c>
      <c r="L6477" s="291" t="e">
        <v>#DIV/0!</v>
      </c>
      <c r="M6477" s="291" t="e">
        <v>#DIV/0!</v>
      </c>
      <c r="N6477" s="291" t="e">
        <v>#DIV/0!</v>
      </c>
      <c r="O6477" s="304" t="e">
        <v>#DIV/0!</v>
      </c>
    </row>
    <row r="6478" spans="1:15">
      <c r="A6478" s="292" t="s">
        <v>71</v>
      </c>
      <c r="B6478" s="293" t="s">
        <v>57</v>
      </c>
      <c r="C6478" s="294">
        <v>0</v>
      </c>
      <c r="D6478" s="295">
        <v>0</v>
      </c>
      <c r="E6478" s="295">
        <v>0</v>
      </c>
      <c r="F6478" s="295">
        <v>0</v>
      </c>
      <c r="G6478" s="295">
        <v>0</v>
      </c>
      <c r="H6478" s="295">
        <v>0</v>
      </c>
      <c r="I6478" s="295">
        <v>0</v>
      </c>
      <c r="J6478" s="295">
        <v>0</v>
      </c>
      <c r="K6478" s="295">
        <v>0</v>
      </c>
      <c r="L6478" s="295">
        <v>0</v>
      </c>
      <c r="M6478" s="295">
        <v>0</v>
      </c>
      <c r="N6478" s="295">
        <v>0</v>
      </c>
      <c r="O6478" s="305">
        <v>0</v>
      </c>
    </row>
    <row r="6479" spans="1:15">
      <c r="A6479" s="288" t="s">
        <v>71</v>
      </c>
      <c r="B6479" s="289" t="s">
        <v>59</v>
      </c>
      <c r="C6479" s="294">
        <v>438</v>
      </c>
      <c r="D6479" s="295">
        <v>30</v>
      </c>
      <c r="E6479" s="295">
        <v>22</v>
      </c>
      <c r="F6479" s="295">
        <v>6</v>
      </c>
      <c r="G6479" s="295">
        <v>8</v>
      </c>
      <c r="H6479" s="295">
        <v>15</v>
      </c>
      <c r="I6479" s="295">
        <v>37</v>
      </c>
      <c r="J6479" s="295">
        <v>67</v>
      </c>
      <c r="K6479" s="295">
        <v>70</v>
      </c>
      <c r="L6479" s="295">
        <v>52</v>
      </c>
      <c r="M6479" s="295">
        <v>45</v>
      </c>
      <c r="N6479" s="295">
        <v>32</v>
      </c>
      <c r="O6479" s="305">
        <v>54</v>
      </c>
    </row>
    <row r="6480" spans="1:15">
      <c r="A6480" s="292" t="s">
        <v>71</v>
      </c>
      <c r="B6480" s="293" t="s">
        <v>4</v>
      </c>
      <c r="C6480" s="294">
        <v>27</v>
      </c>
      <c r="D6480" s="296">
        <v>6</v>
      </c>
      <c r="E6480" s="296">
        <v>2</v>
      </c>
      <c r="F6480" s="296">
        <v>1</v>
      </c>
      <c r="G6480" s="296">
        <v>0</v>
      </c>
      <c r="H6480" s="296">
        <v>1</v>
      </c>
      <c r="I6480" s="296">
        <v>0</v>
      </c>
      <c r="J6480" s="296">
        <v>2</v>
      </c>
      <c r="K6480" s="296">
        <v>4</v>
      </c>
      <c r="L6480" s="296">
        <v>3</v>
      </c>
      <c r="M6480" s="296">
        <v>1</v>
      </c>
      <c r="N6480" s="296">
        <v>1</v>
      </c>
      <c r="O6480" s="306">
        <v>6</v>
      </c>
    </row>
    <row r="6481" spans="1:15">
      <c r="A6481" s="288" t="s">
        <v>71</v>
      </c>
      <c r="B6481" s="289" t="s">
        <v>5</v>
      </c>
      <c r="C6481" s="291">
        <v>0.0616438356164384</v>
      </c>
      <c r="D6481" s="291">
        <v>0.2</v>
      </c>
      <c r="E6481" s="291">
        <v>0.0909090909090909</v>
      </c>
      <c r="F6481" s="291">
        <v>0.166666666666667</v>
      </c>
      <c r="G6481" s="291">
        <v>0</v>
      </c>
      <c r="H6481" s="291">
        <v>0.0666666666666667</v>
      </c>
      <c r="I6481" s="291">
        <v>0</v>
      </c>
      <c r="J6481" s="291">
        <v>0.0298507462686567</v>
      </c>
      <c r="K6481" s="291">
        <v>0.0571428571428571</v>
      </c>
      <c r="L6481" s="291">
        <v>0.0576923076923077</v>
      </c>
      <c r="M6481" s="291">
        <v>0.0222222222222222</v>
      </c>
      <c r="N6481" s="291">
        <v>0.03125</v>
      </c>
      <c r="O6481" s="304">
        <v>0.111111111111111</v>
      </c>
    </row>
    <row r="6482" spans="1:15">
      <c r="A6482" s="292" t="s">
        <v>71</v>
      </c>
      <c r="B6482" s="293" t="s">
        <v>6</v>
      </c>
      <c r="C6482" s="294">
        <v>8</v>
      </c>
      <c r="D6482" s="296">
        <v>1</v>
      </c>
      <c r="E6482" s="296">
        <v>2</v>
      </c>
      <c r="F6482" s="296">
        <v>0</v>
      </c>
      <c r="G6482" s="296">
        <v>0</v>
      </c>
      <c r="H6482" s="296">
        <v>0</v>
      </c>
      <c r="I6482" s="296">
        <v>0</v>
      </c>
      <c r="J6482" s="296">
        <v>2</v>
      </c>
      <c r="K6482" s="296">
        <v>1</v>
      </c>
      <c r="L6482" s="296">
        <v>0</v>
      </c>
      <c r="M6482" s="296">
        <v>0</v>
      </c>
      <c r="N6482" s="296">
        <v>1</v>
      </c>
      <c r="O6482" s="306">
        <v>1</v>
      </c>
    </row>
    <row r="6483" ht="14.25" spans="1:15">
      <c r="A6483" s="297" t="s">
        <v>71</v>
      </c>
      <c r="B6483" s="298" t="s">
        <v>64</v>
      </c>
      <c r="C6483" s="299">
        <v>0.296296296296296</v>
      </c>
      <c r="D6483" s="299">
        <v>0.166666666666667</v>
      </c>
      <c r="E6483" s="299">
        <v>1</v>
      </c>
      <c r="F6483" s="299">
        <v>0</v>
      </c>
      <c r="G6483" s="299" t="e">
        <v>#DIV/0!</v>
      </c>
      <c r="H6483" s="299">
        <v>0</v>
      </c>
      <c r="I6483" s="299" t="e">
        <v>#DIV/0!</v>
      </c>
      <c r="J6483" s="299">
        <v>1</v>
      </c>
      <c r="K6483" s="299">
        <v>0.25</v>
      </c>
      <c r="L6483" s="299">
        <v>0</v>
      </c>
      <c r="M6483" s="299">
        <v>0</v>
      </c>
      <c r="N6483" s="299">
        <v>1</v>
      </c>
      <c r="O6483" s="299">
        <v>0.166666666666667</v>
      </c>
    </row>
    <row r="6484" spans="1:15">
      <c r="A6484" s="288" t="s">
        <v>72</v>
      </c>
      <c r="B6484" s="289" t="s">
        <v>55</v>
      </c>
      <c r="C6484" s="290">
        <v>0.114008489993936</v>
      </c>
      <c r="D6484" s="291">
        <v>0.104651162790698</v>
      </c>
      <c r="E6484" s="291">
        <v>0.176470588235294</v>
      </c>
      <c r="F6484" s="291">
        <v>0.130434782608696</v>
      </c>
      <c r="G6484" s="291">
        <v>0.13953488372093</v>
      </c>
      <c r="H6484" s="291">
        <v>0.112676056338028</v>
      </c>
      <c r="I6484" s="291">
        <v>0.138613861386139</v>
      </c>
      <c r="J6484" s="291">
        <v>0.0845070422535211</v>
      </c>
      <c r="K6484" s="291">
        <v>0.115853658536585</v>
      </c>
      <c r="L6484" s="291">
        <v>0.104477611940299</v>
      </c>
      <c r="M6484" s="291">
        <v>0.131805157593123</v>
      </c>
      <c r="N6484" s="291">
        <v>0.0964749536178108</v>
      </c>
      <c r="O6484" s="304">
        <v>0.110854503464203</v>
      </c>
    </row>
    <row r="6485" spans="1:15">
      <c r="A6485" s="292" t="s">
        <v>72</v>
      </c>
      <c r="B6485" s="293" t="s">
        <v>57</v>
      </c>
      <c r="C6485" s="294">
        <v>3298</v>
      </c>
      <c r="D6485" s="295">
        <v>258</v>
      </c>
      <c r="E6485" s="295">
        <v>136</v>
      </c>
      <c r="F6485" s="295">
        <v>92</v>
      </c>
      <c r="G6485" s="295">
        <v>129</v>
      </c>
      <c r="H6485" s="295">
        <v>213</v>
      </c>
      <c r="I6485" s="295">
        <v>202</v>
      </c>
      <c r="J6485" s="295">
        <v>284</v>
      </c>
      <c r="K6485" s="295">
        <v>328</v>
      </c>
      <c r="L6485" s="295">
        <v>335</v>
      </c>
      <c r="M6485" s="295">
        <v>349</v>
      </c>
      <c r="N6485" s="295">
        <v>539</v>
      </c>
      <c r="O6485" s="305">
        <v>433</v>
      </c>
    </row>
    <row r="6486" spans="1:15">
      <c r="A6486" s="288" t="s">
        <v>72</v>
      </c>
      <c r="B6486" s="289" t="s">
        <v>59</v>
      </c>
      <c r="C6486" s="294">
        <v>376</v>
      </c>
      <c r="D6486" s="295">
        <v>27</v>
      </c>
      <c r="E6486" s="295">
        <v>24</v>
      </c>
      <c r="F6486" s="295">
        <v>12</v>
      </c>
      <c r="G6486" s="295">
        <v>18</v>
      </c>
      <c r="H6486" s="295">
        <v>24</v>
      </c>
      <c r="I6486" s="295">
        <v>28</v>
      </c>
      <c r="J6486" s="295">
        <v>24</v>
      </c>
      <c r="K6486" s="295">
        <v>38</v>
      </c>
      <c r="L6486" s="295">
        <v>35</v>
      </c>
      <c r="M6486" s="295">
        <v>46</v>
      </c>
      <c r="N6486" s="295">
        <v>52</v>
      </c>
      <c r="O6486" s="305">
        <v>48</v>
      </c>
    </row>
    <row r="6487" spans="1:15">
      <c r="A6487" s="292" t="s">
        <v>72</v>
      </c>
      <c r="B6487" s="293" t="s">
        <v>4</v>
      </c>
      <c r="C6487" s="294">
        <v>23</v>
      </c>
      <c r="D6487" s="296">
        <v>3</v>
      </c>
      <c r="E6487" s="296">
        <v>2</v>
      </c>
      <c r="F6487" s="296">
        <v>0</v>
      </c>
      <c r="G6487" s="296">
        <v>1</v>
      </c>
      <c r="H6487" s="296">
        <v>1</v>
      </c>
      <c r="I6487" s="296">
        <v>1</v>
      </c>
      <c r="J6487" s="296">
        <v>2</v>
      </c>
      <c r="K6487" s="296">
        <v>3</v>
      </c>
      <c r="L6487" s="296">
        <v>4</v>
      </c>
      <c r="M6487" s="296">
        <v>1</v>
      </c>
      <c r="N6487" s="296">
        <v>2</v>
      </c>
      <c r="O6487" s="306">
        <v>3</v>
      </c>
    </row>
    <row r="6488" spans="1:15">
      <c r="A6488" s="288" t="s">
        <v>72</v>
      </c>
      <c r="B6488" s="289" t="s">
        <v>5</v>
      </c>
      <c r="C6488" s="290">
        <v>0.0611702127659574</v>
      </c>
      <c r="D6488" s="291">
        <v>0.111111111111111</v>
      </c>
      <c r="E6488" s="291">
        <v>0.0833333333333333</v>
      </c>
      <c r="F6488" s="291">
        <v>0</v>
      </c>
      <c r="G6488" s="291">
        <v>0.0555555555555556</v>
      </c>
      <c r="H6488" s="291">
        <v>0.0416666666666667</v>
      </c>
      <c r="I6488" s="291">
        <v>0.0357142857142857</v>
      </c>
      <c r="J6488" s="291">
        <v>0.0833333333333333</v>
      </c>
      <c r="K6488" s="291">
        <v>0.0789473684210526</v>
      </c>
      <c r="L6488" s="291">
        <v>0.114285714285714</v>
      </c>
      <c r="M6488" s="291">
        <v>0.0217391304347826</v>
      </c>
      <c r="N6488" s="291">
        <v>0.0384615384615385</v>
      </c>
      <c r="O6488" s="304">
        <v>0.0625</v>
      </c>
    </row>
    <row r="6489" spans="1:15">
      <c r="A6489" s="292" t="s">
        <v>72</v>
      </c>
      <c r="B6489" s="293" t="s">
        <v>6</v>
      </c>
      <c r="C6489" s="294">
        <v>5</v>
      </c>
      <c r="D6489" s="296">
        <v>1</v>
      </c>
      <c r="E6489" s="296">
        <v>0</v>
      </c>
      <c r="F6489" s="296">
        <v>0</v>
      </c>
      <c r="G6489" s="296">
        <v>0</v>
      </c>
      <c r="H6489" s="296">
        <v>0</v>
      </c>
      <c r="I6489" s="296">
        <v>1</v>
      </c>
      <c r="J6489" s="296">
        <v>0</v>
      </c>
      <c r="K6489" s="296">
        <v>1</v>
      </c>
      <c r="L6489" s="296">
        <v>1</v>
      </c>
      <c r="M6489" s="296">
        <v>1</v>
      </c>
      <c r="N6489" s="296">
        <v>0</v>
      </c>
      <c r="O6489" s="306">
        <v>0</v>
      </c>
    </row>
    <row r="6490" ht="14.25" spans="1:15">
      <c r="A6490" s="297" t="s">
        <v>72</v>
      </c>
      <c r="B6490" s="298" t="s">
        <v>64</v>
      </c>
      <c r="C6490" s="299">
        <v>0.217391304347826</v>
      </c>
      <c r="D6490" s="299">
        <v>0.333333333333333</v>
      </c>
      <c r="E6490" s="299">
        <v>0</v>
      </c>
      <c r="F6490" s="299" t="e">
        <v>#DIV/0!</v>
      </c>
      <c r="G6490" s="299">
        <v>0</v>
      </c>
      <c r="H6490" s="299">
        <v>0</v>
      </c>
      <c r="I6490" s="299">
        <v>1</v>
      </c>
      <c r="J6490" s="299">
        <v>0</v>
      </c>
      <c r="K6490" s="299">
        <v>0.333333333333333</v>
      </c>
      <c r="L6490" s="299">
        <v>0.25</v>
      </c>
      <c r="M6490" s="299">
        <v>1</v>
      </c>
      <c r="N6490" s="299">
        <v>0</v>
      </c>
      <c r="O6490" s="299">
        <v>0</v>
      </c>
    </row>
    <row r="6491" ht="14.25" spans="1:15">
      <c r="A6491" s="237">
        <v>45119</v>
      </c>
      <c r="B6491" s="237"/>
      <c r="C6491" s="237"/>
      <c r="D6491" s="237"/>
      <c r="E6491" s="237"/>
      <c r="F6491" s="237"/>
      <c r="G6491" s="237"/>
      <c r="H6491" s="237"/>
      <c r="I6491" s="237"/>
      <c r="J6491" s="237"/>
      <c r="K6491" s="237"/>
      <c r="L6491" s="237"/>
      <c r="M6491" s="237"/>
      <c r="N6491" s="237"/>
      <c r="O6491" s="237"/>
    </row>
    <row r="6492" spans="1:15">
      <c r="A6492" s="56" t="s">
        <v>1</v>
      </c>
      <c r="B6492" s="238"/>
      <c r="C6492" s="8" t="s">
        <v>42</v>
      </c>
      <c r="D6492" s="239" t="s">
        <v>43</v>
      </c>
      <c r="E6492" s="239" t="s">
        <v>44</v>
      </c>
      <c r="F6492" s="239" t="s">
        <v>45</v>
      </c>
      <c r="G6492" s="239" t="s">
        <v>46</v>
      </c>
      <c r="H6492" s="239" t="s">
        <v>47</v>
      </c>
      <c r="I6492" s="239" t="s">
        <v>48</v>
      </c>
      <c r="J6492" s="239" t="s">
        <v>49</v>
      </c>
      <c r="K6492" s="239" t="s">
        <v>50</v>
      </c>
      <c r="L6492" s="239" t="s">
        <v>51</v>
      </c>
      <c r="M6492" s="239" t="s">
        <v>52</v>
      </c>
      <c r="N6492" s="239" t="s">
        <v>53</v>
      </c>
      <c r="O6492" s="251" t="s">
        <v>54</v>
      </c>
    </row>
    <row r="6493" spans="1:15">
      <c r="A6493" s="240" t="s">
        <v>22</v>
      </c>
      <c r="B6493" s="47" t="s">
        <v>55</v>
      </c>
      <c r="C6493" s="12">
        <v>0.451612903225806</v>
      </c>
      <c r="D6493" s="241">
        <v>0.543933054393305</v>
      </c>
      <c r="E6493" s="241">
        <v>0.4375</v>
      </c>
      <c r="F6493" s="241">
        <v>0.310344827586207</v>
      </c>
      <c r="G6493" s="241">
        <v>0.557692307692308</v>
      </c>
      <c r="H6493" s="241">
        <v>0.574193548387097</v>
      </c>
      <c r="I6493" s="241">
        <v>0.530487804878049</v>
      </c>
      <c r="J6493" s="241">
        <v>0.396396396396396</v>
      </c>
      <c r="K6493" s="241">
        <v>0.471615720524017</v>
      </c>
      <c r="L6493" s="241">
        <v>0.433035714285714</v>
      </c>
      <c r="M6493" s="241">
        <v>0.505555555555556</v>
      </c>
      <c r="N6493" s="241">
        <v>0.404347826086957</v>
      </c>
      <c r="O6493" s="252">
        <v>0.344827586206897</v>
      </c>
    </row>
    <row r="6494" spans="1:15">
      <c r="A6494" s="242" t="s">
        <v>22</v>
      </c>
      <c r="B6494" s="43" t="s">
        <v>57</v>
      </c>
      <c r="C6494" s="15">
        <v>2294</v>
      </c>
      <c r="D6494" s="243">
        <v>239</v>
      </c>
      <c r="E6494" s="243">
        <v>112</v>
      </c>
      <c r="F6494" s="243">
        <v>116</v>
      </c>
      <c r="G6494" s="243">
        <v>104</v>
      </c>
      <c r="H6494" s="243">
        <v>155</v>
      </c>
      <c r="I6494" s="243">
        <v>164</v>
      </c>
      <c r="J6494" s="243">
        <v>222</v>
      </c>
      <c r="K6494" s="243">
        <v>229</v>
      </c>
      <c r="L6494" s="243">
        <v>224</v>
      </c>
      <c r="M6494" s="243">
        <v>180</v>
      </c>
      <c r="N6494" s="243">
        <v>230</v>
      </c>
      <c r="O6494" s="253">
        <v>319</v>
      </c>
    </row>
    <row r="6495" spans="1:15">
      <c r="A6495" s="240" t="s">
        <v>22</v>
      </c>
      <c r="B6495" s="47" t="s">
        <v>59</v>
      </c>
      <c r="C6495" s="15">
        <v>1036</v>
      </c>
      <c r="D6495" s="243">
        <v>130</v>
      </c>
      <c r="E6495" s="243">
        <v>49</v>
      </c>
      <c r="F6495" s="243">
        <v>36</v>
      </c>
      <c r="G6495" s="243">
        <v>58</v>
      </c>
      <c r="H6495" s="243">
        <v>89</v>
      </c>
      <c r="I6495" s="243">
        <v>87</v>
      </c>
      <c r="J6495" s="243">
        <v>88</v>
      </c>
      <c r="K6495" s="243">
        <v>108</v>
      </c>
      <c r="L6495" s="243">
        <v>97</v>
      </c>
      <c r="M6495" s="243">
        <v>91</v>
      </c>
      <c r="N6495" s="243">
        <v>93</v>
      </c>
      <c r="O6495" s="253">
        <v>110</v>
      </c>
    </row>
    <row r="6496" spans="1:15">
      <c r="A6496" s="242" t="s">
        <v>22</v>
      </c>
      <c r="B6496" s="43" t="s">
        <v>4</v>
      </c>
      <c r="C6496" s="15">
        <v>32</v>
      </c>
      <c r="D6496" s="244">
        <v>0</v>
      </c>
      <c r="E6496" s="244">
        <v>0</v>
      </c>
      <c r="F6496" s="244">
        <v>0</v>
      </c>
      <c r="G6496" s="244">
        <v>0</v>
      </c>
      <c r="H6496" s="244">
        <v>0</v>
      </c>
      <c r="I6496" s="244">
        <v>0</v>
      </c>
      <c r="J6496" s="244">
        <v>0</v>
      </c>
      <c r="K6496" s="244">
        <v>1</v>
      </c>
      <c r="L6496" s="244">
        <v>9</v>
      </c>
      <c r="M6496" s="244">
        <v>7</v>
      </c>
      <c r="N6496" s="244">
        <v>6</v>
      </c>
      <c r="O6496" s="254">
        <v>9</v>
      </c>
    </row>
    <row r="6497" spans="1:15">
      <c r="A6497" s="240" t="s">
        <v>22</v>
      </c>
      <c r="B6497" s="47" t="s">
        <v>5</v>
      </c>
      <c r="C6497" s="12">
        <v>0.0308880308880309</v>
      </c>
      <c r="D6497" s="241">
        <v>0</v>
      </c>
      <c r="E6497" s="241">
        <v>0</v>
      </c>
      <c r="F6497" s="241">
        <v>0</v>
      </c>
      <c r="G6497" s="241">
        <v>0</v>
      </c>
      <c r="H6497" s="241">
        <v>0</v>
      </c>
      <c r="I6497" s="241">
        <v>0</v>
      </c>
      <c r="J6497" s="241">
        <v>0</v>
      </c>
      <c r="K6497" s="241">
        <v>0.00925925925925926</v>
      </c>
      <c r="L6497" s="241">
        <v>0.0927835051546392</v>
      </c>
      <c r="M6497" s="241">
        <v>0.0769230769230769</v>
      </c>
      <c r="N6497" s="241">
        <v>0.0645161290322581</v>
      </c>
      <c r="O6497" s="252">
        <v>0.0818181818181818</v>
      </c>
    </row>
    <row r="6498" spans="1:15">
      <c r="A6498" s="242" t="s">
        <v>22</v>
      </c>
      <c r="B6498" s="43" t="s">
        <v>6</v>
      </c>
      <c r="C6498" s="15">
        <v>18</v>
      </c>
      <c r="D6498" s="244">
        <v>2</v>
      </c>
      <c r="E6498" s="244">
        <v>0</v>
      </c>
      <c r="F6498" s="244">
        <v>0</v>
      </c>
      <c r="G6498" s="244">
        <v>0</v>
      </c>
      <c r="H6498" s="244">
        <v>1</v>
      </c>
      <c r="I6498" s="244">
        <v>0</v>
      </c>
      <c r="J6498" s="244">
        <v>2</v>
      </c>
      <c r="K6498" s="244">
        <v>1</v>
      </c>
      <c r="L6498" s="244">
        <v>5</v>
      </c>
      <c r="M6498" s="244">
        <v>2</v>
      </c>
      <c r="N6498" s="244">
        <v>4</v>
      </c>
      <c r="O6498" s="254">
        <v>1</v>
      </c>
    </row>
    <row r="6499" ht="14.25" spans="1:15">
      <c r="A6499" s="245" t="s">
        <v>22</v>
      </c>
      <c r="B6499" s="52" t="s">
        <v>64</v>
      </c>
      <c r="C6499" s="19">
        <v>0.5625</v>
      </c>
      <c r="D6499" s="246">
        <v>0</v>
      </c>
      <c r="E6499" s="246">
        <v>0</v>
      </c>
      <c r="F6499" s="246">
        <v>0</v>
      </c>
      <c r="G6499" s="246">
        <v>0</v>
      </c>
      <c r="H6499" s="246">
        <v>0</v>
      </c>
      <c r="I6499" s="246">
        <v>0</v>
      </c>
      <c r="J6499" s="246">
        <v>0</v>
      </c>
      <c r="K6499" s="246">
        <v>1</v>
      </c>
      <c r="L6499" s="246">
        <v>0.555555555555556</v>
      </c>
      <c r="M6499" s="246">
        <v>0.285714285714286</v>
      </c>
      <c r="N6499" s="246">
        <v>0.666666666666667</v>
      </c>
      <c r="O6499" s="255">
        <v>0.111111111111111</v>
      </c>
    </row>
    <row r="6500" spans="1:15">
      <c r="A6500" s="247" t="s">
        <v>66</v>
      </c>
      <c r="B6500" s="248" t="s">
        <v>55</v>
      </c>
      <c r="C6500" s="12">
        <v>0.199076745527986</v>
      </c>
      <c r="D6500" s="249">
        <v>0.16</v>
      </c>
      <c r="E6500" s="249">
        <v>0.232323232323232</v>
      </c>
      <c r="F6500" s="249">
        <v>0.0973451327433628</v>
      </c>
      <c r="G6500" s="249">
        <v>0.122950819672131</v>
      </c>
      <c r="H6500" s="249">
        <v>0.251968503937008</v>
      </c>
      <c r="I6500" s="249">
        <v>0.2</v>
      </c>
      <c r="J6500" s="249">
        <v>0.201298701298701</v>
      </c>
      <c r="K6500" s="249">
        <v>0.176470588235294</v>
      </c>
      <c r="L6500" s="249">
        <v>0.198863636363636</v>
      </c>
      <c r="M6500" s="249">
        <v>0.208333333333333</v>
      </c>
      <c r="N6500" s="249">
        <v>0.308176100628931</v>
      </c>
      <c r="O6500" s="256">
        <v>0.209677419354839</v>
      </c>
    </row>
    <row r="6501" spans="1:15">
      <c r="A6501" s="242" t="s">
        <v>66</v>
      </c>
      <c r="B6501" s="43" t="s">
        <v>57</v>
      </c>
      <c r="C6501" s="15">
        <v>1733</v>
      </c>
      <c r="D6501" s="243">
        <v>150</v>
      </c>
      <c r="E6501" s="243">
        <v>99</v>
      </c>
      <c r="F6501" s="243">
        <v>113</v>
      </c>
      <c r="G6501" s="243">
        <v>122</v>
      </c>
      <c r="H6501" s="243">
        <v>127</v>
      </c>
      <c r="I6501" s="243">
        <v>140</v>
      </c>
      <c r="J6501" s="243">
        <v>154</v>
      </c>
      <c r="K6501" s="243">
        <v>187</v>
      </c>
      <c r="L6501" s="243">
        <v>176</v>
      </c>
      <c r="M6501" s="243">
        <v>120</v>
      </c>
      <c r="N6501" s="243">
        <v>159</v>
      </c>
      <c r="O6501" s="253">
        <v>186</v>
      </c>
    </row>
    <row r="6502" spans="1:15">
      <c r="A6502" s="240" t="s">
        <v>66</v>
      </c>
      <c r="B6502" s="47" t="s">
        <v>59</v>
      </c>
      <c r="C6502" s="15">
        <v>345</v>
      </c>
      <c r="D6502" s="243">
        <v>24</v>
      </c>
      <c r="E6502" s="243">
        <v>23</v>
      </c>
      <c r="F6502" s="243">
        <v>11</v>
      </c>
      <c r="G6502" s="243">
        <v>15</v>
      </c>
      <c r="H6502" s="243">
        <v>32</v>
      </c>
      <c r="I6502" s="243">
        <v>28</v>
      </c>
      <c r="J6502" s="243">
        <v>31</v>
      </c>
      <c r="K6502" s="243">
        <v>33</v>
      </c>
      <c r="L6502" s="243">
        <v>35</v>
      </c>
      <c r="M6502" s="243">
        <v>25</v>
      </c>
      <c r="N6502" s="243">
        <v>49</v>
      </c>
      <c r="O6502" s="253">
        <v>39</v>
      </c>
    </row>
    <row r="6503" spans="1:15">
      <c r="A6503" s="242" t="s">
        <v>66</v>
      </c>
      <c r="B6503" s="43" t="s">
        <v>4</v>
      </c>
      <c r="C6503" s="15">
        <v>8</v>
      </c>
      <c r="D6503" s="244">
        <v>0</v>
      </c>
      <c r="E6503" s="244">
        <v>0</v>
      </c>
      <c r="F6503" s="244">
        <v>0</v>
      </c>
      <c r="G6503" s="244">
        <v>0</v>
      </c>
      <c r="H6503" s="244">
        <v>0</v>
      </c>
      <c r="I6503" s="244">
        <v>0</v>
      </c>
      <c r="J6503" s="244">
        <v>0</v>
      </c>
      <c r="K6503" s="244">
        <v>0</v>
      </c>
      <c r="L6503" s="244">
        <v>0</v>
      </c>
      <c r="M6503" s="244">
        <v>2</v>
      </c>
      <c r="N6503" s="244">
        <v>3</v>
      </c>
      <c r="O6503" s="254">
        <v>3</v>
      </c>
    </row>
    <row r="6504" spans="1:15">
      <c r="A6504" s="240" t="s">
        <v>66</v>
      </c>
      <c r="B6504" s="47" t="s">
        <v>5</v>
      </c>
      <c r="C6504" s="12">
        <v>0.0231884057971014</v>
      </c>
      <c r="D6504" s="241">
        <v>0</v>
      </c>
      <c r="E6504" s="241">
        <v>0</v>
      </c>
      <c r="F6504" s="241">
        <v>0</v>
      </c>
      <c r="G6504" s="241">
        <v>0</v>
      </c>
      <c r="H6504" s="241">
        <v>0</v>
      </c>
      <c r="I6504" s="241">
        <v>0</v>
      </c>
      <c r="J6504" s="241">
        <v>0</v>
      </c>
      <c r="K6504" s="241">
        <v>0</v>
      </c>
      <c r="L6504" s="241">
        <v>0</v>
      </c>
      <c r="M6504" s="241">
        <v>0.08</v>
      </c>
      <c r="N6504" s="241">
        <v>0.0612244897959184</v>
      </c>
      <c r="O6504" s="252">
        <v>0.0769230769230769</v>
      </c>
    </row>
    <row r="6505" spans="1:15">
      <c r="A6505" s="242" t="s">
        <v>66</v>
      </c>
      <c r="B6505" s="43" t="s">
        <v>6</v>
      </c>
      <c r="C6505" s="15">
        <v>4</v>
      </c>
      <c r="D6505" s="244">
        <v>1</v>
      </c>
      <c r="E6505" s="244">
        <v>0</v>
      </c>
      <c r="F6505" s="244">
        <v>1</v>
      </c>
      <c r="G6505" s="244">
        <v>1</v>
      </c>
      <c r="H6505" s="244">
        <v>0</v>
      </c>
      <c r="I6505" s="244">
        <v>1</v>
      </c>
      <c r="J6505" s="244">
        <v>0</v>
      </c>
      <c r="K6505" s="244">
        <v>0</v>
      </c>
      <c r="L6505" s="244">
        <v>0</v>
      </c>
      <c r="M6505" s="244">
        <v>0</v>
      </c>
      <c r="N6505" s="244">
        <v>0</v>
      </c>
      <c r="O6505" s="254">
        <v>0</v>
      </c>
    </row>
    <row r="6506" ht="14.25" spans="1:15">
      <c r="A6506" s="245" t="s">
        <v>66</v>
      </c>
      <c r="B6506" s="52" t="s">
        <v>64</v>
      </c>
      <c r="C6506" s="19">
        <v>0.5</v>
      </c>
      <c r="D6506" s="246">
        <v>0</v>
      </c>
      <c r="E6506" s="246">
        <v>0</v>
      </c>
      <c r="F6506" s="246">
        <v>0</v>
      </c>
      <c r="G6506" s="246">
        <v>0</v>
      </c>
      <c r="H6506" s="246">
        <v>0</v>
      </c>
      <c r="I6506" s="246">
        <v>0</v>
      </c>
      <c r="J6506" s="246">
        <v>0</v>
      </c>
      <c r="K6506" s="246">
        <v>0</v>
      </c>
      <c r="L6506" s="246">
        <v>0</v>
      </c>
      <c r="M6506" s="246">
        <v>0</v>
      </c>
      <c r="N6506" s="246">
        <v>0</v>
      </c>
      <c r="O6506" s="255">
        <v>0</v>
      </c>
    </row>
    <row r="6507" spans="1:15">
      <c r="A6507" s="240" t="s">
        <v>67</v>
      </c>
      <c r="B6507" s="47" t="s">
        <v>55</v>
      </c>
      <c r="C6507" s="12">
        <v>0.574074074074074</v>
      </c>
      <c r="D6507" s="241">
        <v>0.509433962264151</v>
      </c>
      <c r="E6507" s="241">
        <v>0.424242424242424</v>
      </c>
      <c r="F6507" s="241">
        <v>0.555555555555556</v>
      </c>
      <c r="G6507" s="241">
        <v>0.666666666666667</v>
      </c>
      <c r="H6507" s="241">
        <v>0.933333333333333</v>
      </c>
      <c r="I6507" s="241">
        <v>0.636363636363636</v>
      </c>
      <c r="J6507" s="241">
        <v>0.666666666666667</v>
      </c>
      <c r="K6507" s="241">
        <v>0.611111111111111</v>
      </c>
      <c r="L6507" s="241">
        <v>0.546666666666667</v>
      </c>
      <c r="M6507" s="241">
        <v>0.611111111111111</v>
      </c>
      <c r="N6507" s="241">
        <v>0.525423728813559</v>
      </c>
      <c r="O6507" s="252">
        <v>0.393939393939394</v>
      </c>
    </row>
    <row r="6508" spans="1:15">
      <c r="A6508" s="242" t="s">
        <v>67</v>
      </c>
      <c r="B6508" s="43" t="s">
        <v>57</v>
      </c>
      <c r="C6508" s="15">
        <v>594</v>
      </c>
      <c r="D6508" s="243">
        <v>53</v>
      </c>
      <c r="E6508" s="243">
        <v>33</v>
      </c>
      <c r="F6508" s="243">
        <v>18</v>
      </c>
      <c r="G6508" s="243">
        <v>15</v>
      </c>
      <c r="H6508" s="243">
        <v>30</v>
      </c>
      <c r="I6508" s="243">
        <v>44</v>
      </c>
      <c r="J6508" s="243">
        <v>57</v>
      </c>
      <c r="K6508" s="243">
        <v>72</v>
      </c>
      <c r="L6508" s="243">
        <v>75</v>
      </c>
      <c r="M6508" s="243">
        <v>72</v>
      </c>
      <c r="N6508" s="243">
        <v>59</v>
      </c>
      <c r="O6508" s="253">
        <v>66</v>
      </c>
    </row>
    <row r="6509" spans="1:15">
      <c r="A6509" s="240" t="s">
        <v>67</v>
      </c>
      <c r="B6509" s="47" t="s">
        <v>59</v>
      </c>
      <c r="C6509" s="15">
        <v>341</v>
      </c>
      <c r="D6509" s="243">
        <v>27</v>
      </c>
      <c r="E6509" s="243">
        <v>14</v>
      </c>
      <c r="F6509" s="243">
        <v>10</v>
      </c>
      <c r="G6509" s="243">
        <v>10</v>
      </c>
      <c r="H6509" s="243">
        <v>28</v>
      </c>
      <c r="I6509" s="243">
        <v>28</v>
      </c>
      <c r="J6509" s="243">
        <v>38</v>
      </c>
      <c r="K6509" s="243">
        <v>44</v>
      </c>
      <c r="L6509" s="243">
        <v>41</v>
      </c>
      <c r="M6509" s="243">
        <v>44</v>
      </c>
      <c r="N6509" s="243">
        <v>31</v>
      </c>
      <c r="O6509" s="253">
        <v>26</v>
      </c>
    </row>
    <row r="6510" spans="1:15">
      <c r="A6510" s="242" t="s">
        <v>67</v>
      </c>
      <c r="B6510" s="43" t="s">
        <v>4</v>
      </c>
      <c r="C6510" s="15">
        <v>10</v>
      </c>
      <c r="D6510" s="244">
        <v>0</v>
      </c>
      <c r="E6510" s="244">
        <v>0</v>
      </c>
      <c r="F6510" s="244">
        <v>0</v>
      </c>
      <c r="G6510" s="244">
        <v>0</v>
      </c>
      <c r="H6510" s="244">
        <v>0</v>
      </c>
      <c r="I6510" s="244">
        <v>0</v>
      </c>
      <c r="J6510" s="244">
        <v>0</v>
      </c>
      <c r="K6510" s="244">
        <v>2</v>
      </c>
      <c r="L6510" s="244">
        <v>0</v>
      </c>
      <c r="M6510" s="244">
        <v>2</v>
      </c>
      <c r="N6510" s="244">
        <v>3</v>
      </c>
      <c r="O6510" s="254">
        <v>3</v>
      </c>
    </row>
    <row r="6511" spans="1:15">
      <c r="A6511" s="240" t="s">
        <v>67</v>
      </c>
      <c r="B6511" s="47" t="s">
        <v>5</v>
      </c>
      <c r="C6511" s="12">
        <v>0.0293255131964809</v>
      </c>
      <c r="D6511" s="241">
        <v>0</v>
      </c>
      <c r="E6511" s="241">
        <v>0</v>
      </c>
      <c r="F6511" s="241">
        <v>0</v>
      </c>
      <c r="G6511" s="241">
        <v>0</v>
      </c>
      <c r="H6511" s="241">
        <v>0</v>
      </c>
      <c r="I6511" s="241">
        <v>0</v>
      </c>
      <c r="J6511" s="241">
        <v>0</v>
      </c>
      <c r="K6511" s="241">
        <v>0.0454545454545455</v>
      </c>
      <c r="L6511" s="241">
        <v>0</v>
      </c>
      <c r="M6511" s="241">
        <v>0.0454545454545455</v>
      </c>
      <c r="N6511" s="241">
        <v>0.0967741935483871</v>
      </c>
      <c r="O6511" s="252">
        <v>0.115384615384615</v>
      </c>
    </row>
    <row r="6512" spans="1:15">
      <c r="A6512" s="242" t="s">
        <v>67</v>
      </c>
      <c r="B6512" s="43" t="s">
        <v>6</v>
      </c>
      <c r="C6512" s="15">
        <v>8</v>
      </c>
      <c r="D6512" s="244">
        <v>1</v>
      </c>
      <c r="E6512" s="244">
        <v>1</v>
      </c>
      <c r="F6512" s="244">
        <v>0</v>
      </c>
      <c r="G6512" s="244">
        <v>0</v>
      </c>
      <c r="H6512" s="244">
        <v>1</v>
      </c>
      <c r="I6512" s="244">
        <v>0</v>
      </c>
      <c r="J6512" s="244">
        <v>2</v>
      </c>
      <c r="K6512" s="244">
        <v>0</v>
      </c>
      <c r="L6512" s="244">
        <v>0</v>
      </c>
      <c r="M6512" s="244">
        <v>0</v>
      </c>
      <c r="N6512" s="244">
        <v>2</v>
      </c>
      <c r="O6512" s="254">
        <v>1</v>
      </c>
    </row>
    <row r="6513" ht="14.25" spans="1:15">
      <c r="A6513" s="245" t="s">
        <v>67</v>
      </c>
      <c r="B6513" s="52" t="s">
        <v>64</v>
      </c>
      <c r="C6513" s="19">
        <v>0.8</v>
      </c>
      <c r="D6513" s="246">
        <v>0</v>
      </c>
      <c r="E6513" s="246">
        <v>0</v>
      </c>
      <c r="F6513" s="246">
        <v>0</v>
      </c>
      <c r="G6513" s="246">
        <v>0</v>
      </c>
      <c r="H6513" s="246">
        <v>0</v>
      </c>
      <c r="I6513" s="246">
        <v>0</v>
      </c>
      <c r="J6513" s="246">
        <v>0</v>
      </c>
      <c r="K6513" s="246">
        <v>0</v>
      </c>
      <c r="L6513" s="246">
        <v>0</v>
      </c>
      <c r="M6513" s="246">
        <v>0</v>
      </c>
      <c r="N6513" s="246">
        <v>0.666666666666667</v>
      </c>
      <c r="O6513" s="255">
        <v>0.333333333333333</v>
      </c>
    </row>
    <row r="6514" spans="1:15">
      <c r="A6514" s="240" t="s">
        <v>68</v>
      </c>
      <c r="B6514" s="47" t="s">
        <v>55</v>
      </c>
      <c r="C6514" s="12">
        <v>0</v>
      </c>
      <c r="D6514" s="241">
        <v>0</v>
      </c>
      <c r="E6514" s="241">
        <v>0</v>
      </c>
      <c r="F6514" s="241">
        <v>0</v>
      </c>
      <c r="G6514" s="241">
        <v>0</v>
      </c>
      <c r="H6514" s="241">
        <v>0</v>
      </c>
      <c r="I6514" s="241">
        <v>0</v>
      </c>
      <c r="J6514" s="241">
        <v>0</v>
      </c>
      <c r="K6514" s="241">
        <v>0</v>
      </c>
      <c r="L6514" s="241">
        <v>0</v>
      </c>
      <c r="M6514" s="241">
        <v>0</v>
      </c>
      <c r="N6514" s="241">
        <v>0</v>
      </c>
      <c r="O6514" s="252">
        <v>0</v>
      </c>
    </row>
    <row r="6515" spans="1:15">
      <c r="A6515" s="242" t="s">
        <v>68</v>
      </c>
      <c r="B6515" s="43" t="s">
        <v>57</v>
      </c>
      <c r="C6515" s="15">
        <v>3681</v>
      </c>
      <c r="D6515" s="243">
        <v>394</v>
      </c>
      <c r="E6515" s="243">
        <v>188</v>
      </c>
      <c r="F6515" s="243">
        <v>195</v>
      </c>
      <c r="G6515" s="243">
        <v>149</v>
      </c>
      <c r="H6515" s="243">
        <v>274</v>
      </c>
      <c r="I6515" s="243">
        <v>281</v>
      </c>
      <c r="J6515" s="243">
        <v>310</v>
      </c>
      <c r="K6515" s="243">
        <v>432</v>
      </c>
      <c r="L6515" s="243">
        <v>452</v>
      </c>
      <c r="M6515" s="243">
        <v>284</v>
      </c>
      <c r="N6515" s="243">
        <v>351</v>
      </c>
      <c r="O6515" s="253">
        <v>371</v>
      </c>
    </row>
    <row r="6516" spans="1:15">
      <c r="A6516" s="240" t="s">
        <v>68</v>
      </c>
      <c r="B6516" s="47" t="s">
        <v>59</v>
      </c>
      <c r="C6516" s="15">
        <v>0</v>
      </c>
      <c r="D6516" s="243">
        <v>0</v>
      </c>
      <c r="E6516" s="243">
        <v>0</v>
      </c>
      <c r="F6516" s="243">
        <v>0</v>
      </c>
      <c r="G6516" s="243">
        <v>0</v>
      </c>
      <c r="H6516" s="243">
        <v>0</v>
      </c>
      <c r="I6516" s="243">
        <v>0</v>
      </c>
      <c r="J6516" s="243">
        <v>0</v>
      </c>
      <c r="K6516" s="243">
        <v>0</v>
      </c>
      <c r="L6516" s="243">
        <v>0</v>
      </c>
      <c r="M6516" s="243">
        <v>0</v>
      </c>
      <c r="N6516" s="243">
        <v>0</v>
      </c>
      <c r="O6516" s="253">
        <v>0</v>
      </c>
    </row>
    <row r="6517" spans="1:15">
      <c r="A6517" s="242" t="s">
        <v>68</v>
      </c>
      <c r="B6517" s="43" t="s">
        <v>4</v>
      </c>
      <c r="C6517" s="15">
        <v>41</v>
      </c>
      <c r="D6517" s="244">
        <v>0</v>
      </c>
      <c r="E6517" s="244">
        <v>0</v>
      </c>
      <c r="F6517" s="244">
        <v>0</v>
      </c>
      <c r="G6517" s="244">
        <v>0</v>
      </c>
      <c r="H6517" s="244">
        <v>0</v>
      </c>
      <c r="I6517" s="244">
        <v>0</v>
      </c>
      <c r="J6517" s="244">
        <v>0</v>
      </c>
      <c r="K6517" s="244">
        <v>6</v>
      </c>
      <c r="L6517" s="244">
        <v>9</v>
      </c>
      <c r="M6517" s="244">
        <v>3</v>
      </c>
      <c r="N6517" s="244">
        <v>9</v>
      </c>
      <c r="O6517" s="254">
        <v>14</v>
      </c>
    </row>
    <row r="6518" spans="1:15">
      <c r="A6518" s="240" t="s">
        <v>68</v>
      </c>
      <c r="B6518" s="47" t="s">
        <v>5</v>
      </c>
      <c r="C6518" s="12" t="e">
        <v>#DIV/0!</v>
      </c>
      <c r="D6518" s="241">
        <v>0</v>
      </c>
      <c r="E6518" s="241">
        <v>0</v>
      </c>
      <c r="F6518" s="241">
        <v>0</v>
      </c>
      <c r="G6518" s="241">
        <v>0</v>
      </c>
      <c r="H6518" s="241">
        <v>0</v>
      </c>
      <c r="I6518" s="241">
        <v>0</v>
      </c>
      <c r="J6518" s="241">
        <v>0</v>
      </c>
      <c r="K6518" s="241">
        <v>0</v>
      </c>
      <c r="L6518" s="241">
        <v>0</v>
      </c>
      <c r="M6518" s="241">
        <v>0</v>
      </c>
      <c r="N6518" s="241">
        <v>0</v>
      </c>
      <c r="O6518" s="252">
        <v>0</v>
      </c>
    </row>
    <row r="6519" spans="1:15">
      <c r="A6519" s="242" t="s">
        <v>68</v>
      </c>
      <c r="B6519" s="43" t="s">
        <v>6</v>
      </c>
      <c r="C6519" s="15">
        <v>28</v>
      </c>
      <c r="D6519" s="244">
        <v>3</v>
      </c>
      <c r="E6519" s="244">
        <v>2</v>
      </c>
      <c r="F6519" s="244">
        <v>1</v>
      </c>
      <c r="G6519" s="244">
        <v>1</v>
      </c>
      <c r="H6519" s="244">
        <v>2</v>
      </c>
      <c r="I6519" s="244">
        <v>1</v>
      </c>
      <c r="J6519" s="244">
        <v>0</v>
      </c>
      <c r="K6519" s="244">
        <v>5</v>
      </c>
      <c r="L6519" s="244">
        <v>1</v>
      </c>
      <c r="M6519" s="244">
        <v>4</v>
      </c>
      <c r="N6519" s="244">
        <v>2</v>
      </c>
      <c r="O6519" s="254">
        <v>6</v>
      </c>
    </row>
    <row r="6520" ht="14.25" spans="1:15">
      <c r="A6520" s="245" t="s">
        <v>68</v>
      </c>
      <c r="B6520" s="52" t="s">
        <v>64</v>
      </c>
      <c r="C6520" s="19">
        <v>0.682926829268293</v>
      </c>
      <c r="D6520" s="246">
        <v>0</v>
      </c>
      <c r="E6520" s="246">
        <v>0</v>
      </c>
      <c r="F6520" s="246">
        <v>0</v>
      </c>
      <c r="G6520" s="246">
        <v>0</v>
      </c>
      <c r="H6520" s="246">
        <v>0</v>
      </c>
      <c r="I6520" s="246">
        <v>0</v>
      </c>
      <c r="J6520" s="246">
        <v>0</v>
      </c>
      <c r="K6520" s="246">
        <v>0.833333333333333</v>
      </c>
      <c r="L6520" s="246">
        <v>0.111111111111111</v>
      </c>
      <c r="M6520" s="246">
        <v>1.33333333333333</v>
      </c>
      <c r="N6520" s="246">
        <v>0.222222222222222</v>
      </c>
      <c r="O6520" s="255">
        <v>0.428571428571429</v>
      </c>
    </row>
    <row r="6521" spans="1:15">
      <c r="A6521" s="240" t="s">
        <v>69</v>
      </c>
      <c r="B6521" s="47" t="s">
        <v>55</v>
      </c>
      <c r="C6521" s="12">
        <v>2.93023255813953</v>
      </c>
      <c r="D6521" s="241">
        <v>3</v>
      </c>
      <c r="E6521" s="241">
        <v>3</v>
      </c>
      <c r="F6521" s="241" t="e">
        <v>#DIV/0!</v>
      </c>
      <c r="G6521" s="241">
        <v>9</v>
      </c>
      <c r="H6521" s="241">
        <v>2</v>
      </c>
      <c r="I6521" s="241">
        <v>8</v>
      </c>
      <c r="J6521" s="241">
        <v>2.83333333333333</v>
      </c>
      <c r="K6521" s="241">
        <v>2</v>
      </c>
      <c r="L6521" s="241">
        <v>5</v>
      </c>
      <c r="M6521" s="241">
        <v>2.28571428571429</v>
      </c>
      <c r="N6521" s="241">
        <v>3.25</v>
      </c>
      <c r="O6521" s="252">
        <v>2</v>
      </c>
    </row>
    <row r="6522" spans="1:15">
      <c r="A6522" s="242" t="s">
        <v>69</v>
      </c>
      <c r="B6522" s="43" t="s">
        <v>57</v>
      </c>
      <c r="C6522" s="15">
        <v>43</v>
      </c>
      <c r="D6522" s="243">
        <v>5</v>
      </c>
      <c r="E6522" s="243">
        <v>3</v>
      </c>
      <c r="F6522" s="243">
        <v>0</v>
      </c>
      <c r="G6522" s="243">
        <v>1</v>
      </c>
      <c r="H6522" s="243">
        <v>5</v>
      </c>
      <c r="I6522" s="243">
        <v>1</v>
      </c>
      <c r="J6522" s="243">
        <v>6</v>
      </c>
      <c r="K6522" s="243">
        <v>4</v>
      </c>
      <c r="L6522" s="243">
        <v>1</v>
      </c>
      <c r="M6522" s="243">
        <v>7</v>
      </c>
      <c r="N6522" s="243">
        <v>4</v>
      </c>
      <c r="O6522" s="253">
        <v>6</v>
      </c>
    </row>
    <row r="6523" spans="1:15">
      <c r="A6523" s="240" t="s">
        <v>69</v>
      </c>
      <c r="B6523" s="47" t="s">
        <v>59</v>
      </c>
      <c r="C6523" s="15">
        <v>126</v>
      </c>
      <c r="D6523" s="243">
        <v>15</v>
      </c>
      <c r="E6523" s="243">
        <v>9</v>
      </c>
      <c r="F6523" s="243">
        <v>4</v>
      </c>
      <c r="G6523" s="243">
        <v>9</v>
      </c>
      <c r="H6523" s="243">
        <v>10</v>
      </c>
      <c r="I6523" s="243">
        <v>8</v>
      </c>
      <c r="J6523" s="243">
        <v>17</v>
      </c>
      <c r="K6523" s="243">
        <v>8</v>
      </c>
      <c r="L6523" s="243">
        <v>5</v>
      </c>
      <c r="M6523" s="243">
        <v>16</v>
      </c>
      <c r="N6523" s="243">
        <v>13</v>
      </c>
      <c r="O6523" s="253">
        <v>12</v>
      </c>
    </row>
    <row r="6524" spans="1:15">
      <c r="A6524" s="242" t="s">
        <v>69</v>
      </c>
      <c r="B6524" s="43" t="s">
        <v>4</v>
      </c>
      <c r="C6524" s="15">
        <v>0</v>
      </c>
      <c r="D6524" s="244">
        <v>0</v>
      </c>
      <c r="E6524" s="244">
        <v>0</v>
      </c>
      <c r="F6524" s="244">
        <v>0</v>
      </c>
      <c r="G6524" s="244">
        <v>0</v>
      </c>
      <c r="H6524" s="244">
        <v>0</v>
      </c>
      <c r="I6524" s="244">
        <v>0</v>
      </c>
      <c r="J6524" s="244">
        <v>0</v>
      </c>
      <c r="K6524" s="244">
        <v>0</v>
      </c>
      <c r="L6524" s="244">
        <v>0</v>
      </c>
      <c r="M6524" s="244">
        <v>0</v>
      </c>
      <c r="N6524" s="244">
        <v>0</v>
      </c>
      <c r="O6524" s="254">
        <v>0</v>
      </c>
    </row>
    <row r="6525" spans="1:15">
      <c r="A6525" s="240" t="s">
        <v>69</v>
      </c>
      <c r="B6525" s="47" t="s">
        <v>5</v>
      </c>
      <c r="C6525" s="12">
        <v>0</v>
      </c>
      <c r="D6525" s="241">
        <v>0</v>
      </c>
      <c r="E6525" s="241">
        <v>0</v>
      </c>
      <c r="F6525" s="241">
        <v>0</v>
      </c>
      <c r="G6525" s="241">
        <v>0</v>
      </c>
      <c r="H6525" s="241">
        <v>0</v>
      </c>
      <c r="I6525" s="241">
        <v>0</v>
      </c>
      <c r="J6525" s="241">
        <v>0</v>
      </c>
      <c r="K6525" s="241">
        <v>0</v>
      </c>
      <c r="L6525" s="241">
        <v>0</v>
      </c>
      <c r="M6525" s="241">
        <v>0</v>
      </c>
      <c r="N6525" s="241">
        <v>0</v>
      </c>
      <c r="O6525" s="252">
        <v>0</v>
      </c>
    </row>
    <row r="6526" spans="1:15">
      <c r="A6526" s="242" t="s">
        <v>69</v>
      </c>
      <c r="B6526" s="43" t="s">
        <v>6</v>
      </c>
      <c r="C6526" s="15">
        <v>4</v>
      </c>
      <c r="D6526" s="244">
        <v>0</v>
      </c>
      <c r="E6526" s="244">
        <v>1</v>
      </c>
      <c r="F6526" s="244">
        <v>0</v>
      </c>
      <c r="G6526" s="244">
        <v>0</v>
      </c>
      <c r="H6526" s="244">
        <v>0</v>
      </c>
      <c r="I6526" s="244">
        <v>1</v>
      </c>
      <c r="J6526" s="244">
        <v>0</v>
      </c>
      <c r="K6526" s="244">
        <v>0</v>
      </c>
      <c r="L6526" s="244">
        <v>0</v>
      </c>
      <c r="M6526" s="244">
        <v>0</v>
      </c>
      <c r="N6526" s="244">
        <v>0</v>
      </c>
      <c r="O6526" s="254">
        <v>2</v>
      </c>
    </row>
    <row r="6527" ht="14.25" spans="1:15">
      <c r="A6527" s="245" t="s">
        <v>69</v>
      </c>
      <c r="B6527" s="52" t="s">
        <v>64</v>
      </c>
      <c r="C6527" s="19" t="e">
        <v>#DIV/0!</v>
      </c>
      <c r="D6527" s="246">
        <v>0</v>
      </c>
      <c r="E6527" s="246">
        <v>0</v>
      </c>
      <c r="F6527" s="246">
        <v>0</v>
      </c>
      <c r="G6527" s="246">
        <v>0</v>
      </c>
      <c r="H6527" s="246">
        <v>0</v>
      </c>
      <c r="I6527" s="246">
        <v>0</v>
      </c>
      <c r="J6527" s="246">
        <v>0</v>
      </c>
      <c r="K6527" s="246">
        <v>0</v>
      </c>
      <c r="L6527" s="246">
        <v>0</v>
      </c>
      <c r="M6527" s="246">
        <v>0</v>
      </c>
      <c r="N6527" s="246">
        <v>0</v>
      </c>
      <c r="O6527" s="255">
        <v>0</v>
      </c>
    </row>
    <row r="6528" spans="1:15">
      <c r="A6528" s="240" t="s">
        <v>70</v>
      </c>
      <c r="B6528" s="47" t="s">
        <v>55</v>
      </c>
      <c r="C6528" s="12">
        <v>0.851648351648352</v>
      </c>
      <c r="D6528" s="241">
        <v>1.14</v>
      </c>
      <c r="E6528" s="241">
        <v>0.818181818181818</v>
      </c>
      <c r="F6528" s="241">
        <v>0.8</v>
      </c>
      <c r="G6528" s="241">
        <v>0.8</v>
      </c>
      <c r="H6528" s="241">
        <v>0.915492957746479</v>
      </c>
      <c r="I6528" s="241">
        <v>0.755813953488372</v>
      </c>
      <c r="J6528" s="241">
        <v>1.32558139534884</v>
      </c>
      <c r="K6528" s="241">
        <v>0.736111111111111</v>
      </c>
      <c r="L6528" s="241">
        <v>0.672</v>
      </c>
      <c r="M6528" s="241">
        <v>0.968253968253968</v>
      </c>
      <c r="N6528" s="241">
        <v>0.881578947368421</v>
      </c>
      <c r="O6528" s="252">
        <v>0.764705882352941</v>
      </c>
    </row>
    <row r="6529" spans="1:15">
      <c r="A6529" s="242" t="s">
        <v>70</v>
      </c>
      <c r="B6529" s="43" t="s">
        <v>57</v>
      </c>
      <c r="C6529" s="15">
        <v>728</v>
      </c>
      <c r="D6529" s="243">
        <v>50</v>
      </c>
      <c r="E6529" s="243">
        <v>22</v>
      </c>
      <c r="F6529" s="243">
        <v>15</v>
      </c>
      <c r="G6529" s="243">
        <v>20</v>
      </c>
      <c r="H6529" s="243">
        <v>71</v>
      </c>
      <c r="I6529" s="243">
        <v>86</v>
      </c>
      <c r="J6529" s="243">
        <v>43</v>
      </c>
      <c r="K6529" s="243">
        <v>72</v>
      </c>
      <c r="L6529" s="243">
        <v>125</v>
      </c>
      <c r="M6529" s="243">
        <v>63</v>
      </c>
      <c r="N6529" s="243">
        <v>76</v>
      </c>
      <c r="O6529" s="253">
        <v>85</v>
      </c>
    </row>
    <row r="6530" spans="1:15">
      <c r="A6530" s="240" t="s">
        <v>70</v>
      </c>
      <c r="B6530" s="47" t="s">
        <v>59</v>
      </c>
      <c r="C6530" s="15">
        <v>620</v>
      </c>
      <c r="D6530" s="243">
        <v>57</v>
      </c>
      <c r="E6530" s="243">
        <v>18</v>
      </c>
      <c r="F6530" s="243">
        <v>12</v>
      </c>
      <c r="G6530" s="243">
        <v>16</v>
      </c>
      <c r="H6530" s="243">
        <v>65</v>
      </c>
      <c r="I6530" s="243">
        <v>65</v>
      </c>
      <c r="J6530" s="243">
        <v>57</v>
      </c>
      <c r="K6530" s="243">
        <v>53</v>
      </c>
      <c r="L6530" s="243">
        <v>84</v>
      </c>
      <c r="M6530" s="243">
        <v>61</v>
      </c>
      <c r="N6530" s="243">
        <v>67</v>
      </c>
      <c r="O6530" s="253">
        <v>65</v>
      </c>
    </row>
    <row r="6531" spans="1:15">
      <c r="A6531" s="242" t="s">
        <v>70</v>
      </c>
      <c r="B6531" s="43" t="s">
        <v>4</v>
      </c>
      <c r="C6531" s="15">
        <v>8</v>
      </c>
      <c r="D6531" s="244">
        <v>0</v>
      </c>
      <c r="E6531" s="244">
        <v>0</v>
      </c>
      <c r="F6531" s="244">
        <v>0</v>
      </c>
      <c r="G6531" s="244">
        <v>0</v>
      </c>
      <c r="H6531" s="244">
        <v>0</v>
      </c>
      <c r="I6531" s="244">
        <v>0</v>
      </c>
      <c r="J6531" s="244">
        <v>0</v>
      </c>
      <c r="K6531" s="244">
        <v>2</v>
      </c>
      <c r="L6531" s="244">
        <v>1</v>
      </c>
      <c r="M6531" s="244">
        <v>0</v>
      </c>
      <c r="N6531" s="244">
        <v>1</v>
      </c>
      <c r="O6531" s="254">
        <v>4</v>
      </c>
    </row>
    <row r="6532" spans="1:15">
      <c r="A6532" s="240" t="s">
        <v>70</v>
      </c>
      <c r="B6532" s="47" t="s">
        <v>5</v>
      </c>
      <c r="C6532" s="12">
        <v>0.0129032258064516</v>
      </c>
      <c r="D6532" s="241">
        <v>0</v>
      </c>
      <c r="E6532" s="241">
        <v>0</v>
      </c>
      <c r="F6532" s="241">
        <v>0</v>
      </c>
      <c r="G6532" s="241">
        <v>0</v>
      </c>
      <c r="H6532" s="241">
        <v>0</v>
      </c>
      <c r="I6532" s="241">
        <v>0</v>
      </c>
      <c r="J6532" s="241">
        <v>0</v>
      </c>
      <c r="K6532" s="241">
        <v>0.0377358490566038</v>
      </c>
      <c r="L6532" s="241">
        <v>0.0119047619047619</v>
      </c>
      <c r="M6532" s="241">
        <v>0</v>
      </c>
      <c r="N6532" s="241">
        <v>0.0149253731343284</v>
      </c>
      <c r="O6532" s="252">
        <v>0.0615384615384615</v>
      </c>
    </row>
    <row r="6533" spans="1:15">
      <c r="A6533" s="242" t="s">
        <v>70</v>
      </c>
      <c r="B6533" s="43" t="s">
        <v>6</v>
      </c>
      <c r="C6533" s="15">
        <v>5</v>
      </c>
      <c r="D6533" s="244">
        <v>0</v>
      </c>
      <c r="E6533" s="244">
        <v>1</v>
      </c>
      <c r="F6533" s="244">
        <v>0</v>
      </c>
      <c r="G6533" s="244">
        <v>0</v>
      </c>
      <c r="H6533" s="244">
        <v>0</v>
      </c>
      <c r="I6533" s="244">
        <v>1</v>
      </c>
      <c r="J6533" s="244">
        <v>1</v>
      </c>
      <c r="K6533" s="244">
        <v>1</v>
      </c>
      <c r="L6533" s="244">
        <v>1</v>
      </c>
      <c r="M6533" s="244">
        <v>0</v>
      </c>
      <c r="N6533" s="244">
        <v>0</v>
      </c>
      <c r="O6533" s="254">
        <v>0</v>
      </c>
    </row>
    <row r="6534" ht="14.25" spans="1:15">
      <c r="A6534" s="245" t="s">
        <v>70</v>
      </c>
      <c r="B6534" s="52" t="s">
        <v>64</v>
      </c>
      <c r="C6534" s="19">
        <v>0.625</v>
      </c>
      <c r="D6534" s="246">
        <v>0</v>
      </c>
      <c r="E6534" s="246">
        <v>0</v>
      </c>
      <c r="F6534" s="246">
        <v>0</v>
      </c>
      <c r="G6534" s="246">
        <v>0</v>
      </c>
      <c r="H6534" s="246">
        <v>0</v>
      </c>
      <c r="I6534" s="246">
        <v>0</v>
      </c>
      <c r="J6534" s="246">
        <v>0</v>
      </c>
      <c r="K6534" s="246">
        <v>0.5</v>
      </c>
      <c r="L6534" s="246">
        <v>1</v>
      </c>
      <c r="M6534" s="246">
        <v>0</v>
      </c>
      <c r="N6534" s="246">
        <v>0</v>
      </c>
      <c r="O6534" s="255">
        <v>0</v>
      </c>
    </row>
    <row r="6535" spans="1:15">
      <c r="A6535" s="240" t="s">
        <v>26</v>
      </c>
      <c r="B6535" s="47" t="s">
        <v>55</v>
      </c>
      <c r="C6535" s="12">
        <v>192</v>
      </c>
      <c r="D6535" s="241">
        <v>27</v>
      </c>
      <c r="E6535" s="241" t="e">
        <v>#DIV/0!</v>
      </c>
      <c r="F6535" s="241" t="e">
        <v>#DIV/0!</v>
      </c>
      <c r="G6535" s="241">
        <v>33</v>
      </c>
      <c r="H6535" s="241">
        <v>118</v>
      </c>
      <c r="I6535" s="241" t="e">
        <v>#DIV/0!</v>
      </c>
      <c r="J6535" s="241" t="e">
        <v>#DIV/0!</v>
      </c>
      <c r="K6535" s="241" t="e">
        <v>#DIV/0!</v>
      </c>
      <c r="L6535" s="241" t="e">
        <v>#DIV/0!</v>
      </c>
      <c r="M6535" s="241" t="e">
        <v>#DIV/0!</v>
      </c>
      <c r="N6535" s="241" t="e">
        <v>#DIV/0!</v>
      </c>
      <c r="O6535" s="252" t="e">
        <v>#DIV/0!</v>
      </c>
    </row>
    <row r="6536" spans="1:15">
      <c r="A6536" s="242" t="s">
        <v>26</v>
      </c>
      <c r="B6536" s="43" t="s">
        <v>57</v>
      </c>
      <c r="C6536" s="15">
        <v>7</v>
      </c>
      <c r="D6536" s="243">
        <v>4</v>
      </c>
      <c r="E6536" s="243">
        <v>0</v>
      </c>
      <c r="F6536" s="243">
        <v>0</v>
      </c>
      <c r="G6536" s="243">
        <v>2</v>
      </c>
      <c r="H6536" s="243">
        <v>1</v>
      </c>
      <c r="I6536" s="243">
        <v>0</v>
      </c>
      <c r="J6536" s="243">
        <v>0</v>
      </c>
      <c r="K6536" s="243">
        <v>0</v>
      </c>
      <c r="L6536" s="243">
        <v>0</v>
      </c>
      <c r="M6536" s="243">
        <v>0</v>
      </c>
      <c r="N6536" s="243">
        <v>0</v>
      </c>
      <c r="O6536" s="253">
        <v>0</v>
      </c>
    </row>
    <row r="6537" spans="1:15">
      <c r="A6537" s="240" t="s">
        <v>26</v>
      </c>
      <c r="B6537" s="47" t="s">
        <v>59</v>
      </c>
      <c r="C6537" s="15">
        <v>1344</v>
      </c>
      <c r="D6537" s="243">
        <v>108</v>
      </c>
      <c r="E6537" s="243">
        <v>66</v>
      </c>
      <c r="F6537" s="243">
        <v>58</v>
      </c>
      <c r="G6537" s="243">
        <v>66</v>
      </c>
      <c r="H6537" s="243">
        <v>118</v>
      </c>
      <c r="I6537" s="243">
        <v>118</v>
      </c>
      <c r="J6537" s="243">
        <v>143</v>
      </c>
      <c r="K6537" s="243">
        <v>142</v>
      </c>
      <c r="L6537" s="243">
        <v>131</v>
      </c>
      <c r="M6537" s="243">
        <v>120</v>
      </c>
      <c r="N6537" s="243">
        <v>136</v>
      </c>
      <c r="O6537" s="253">
        <v>138</v>
      </c>
    </row>
    <row r="6538" spans="1:15">
      <c r="A6538" s="242" t="s">
        <v>26</v>
      </c>
      <c r="B6538" s="43" t="s">
        <v>4</v>
      </c>
      <c r="C6538" s="15">
        <v>11</v>
      </c>
      <c r="D6538" s="244">
        <v>0</v>
      </c>
      <c r="E6538" s="244">
        <v>0</v>
      </c>
      <c r="F6538" s="244">
        <v>0</v>
      </c>
      <c r="G6538" s="244">
        <v>0</v>
      </c>
      <c r="H6538" s="244">
        <v>0</v>
      </c>
      <c r="I6538" s="244">
        <v>0</v>
      </c>
      <c r="J6538" s="244">
        <v>0</v>
      </c>
      <c r="K6538" s="244">
        <v>1</v>
      </c>
      <c r="L6538" s="244">
        <v>3</v>
      </c>
      <c r="M6538" s="244">
        <v>2</v>
      </c>
      <c r="N6538" s="244">
        <v>2</v>
      </c>
      <c r="O6538" s="254">
        <v>3</v>
      </c>
    </row>
    <row r="6539" spans="1:15">
      <c r="A6539" s="240" t="s">
        <v>26</v>
      </c>
      <c r="B6539" s="47" t="s">
        <v>5</v>
      </c>
      <c r="C6539" s="12">
        <v>0.00818452380952381</v>
      </c>
      <c r="D6539" s="241">
        <v>0</v>
      </c>
      <c r="E6539" s="241">
        <v>0</v>
      </c>
      <c r="F6539" s="241">
        <v>0</v>
      </c>
      <c r="G6539" s="241">
        <v>0</v>
      </c>
      <c r="H6539" s="241">
        <v>0</v>
      </c>
      <c r="I6539" s="241">
        <v>0</v>
      </c>
      <c r="J6539" s="241">
        <v>0</v>
      </c>
      <c r="K6539" s="241">
        <v>0.00704225352112676</v>
      </c>
      <c r="L6539" s="241">
        <v>0.0229007633587786</v>
      </c>
      <c r="M6539" s="241">
        <v>0.0166666666666667</v>
      </c>
      <c r="N6539" s="241">
        <v>0.0147058823529412</v>
      </c>
      <c r="O6539" s="252">
        <v>0.0217391304347826</v>
      </c>
    </row>
    <row r="6540" spans="1:15">
      <c r="A6540" s="242" t="s">
        <v>26</v>
      </c>
      <c r="B6540" s="43" t="s">
        <v>6</v>
      </c>
      <c r="C6540" s="15">
        <v>2</v>
      </c>
      <c r="D6540" s="244">
        <v>0</v>
      </c>
      <c r="E6540" s="244">
        <v>0</v>
      </c>
      <c r="F6540" s="244">
        <v>0</v>
      </c>
      <c r="G6540" s="244">
        <v>0</v>
      </c>
      <c r="H6540" s="244">
        <v>0</v>
      </c>
      <c r="I6540" s="244">
        <v>1</v>
      </c>
      <c r="J6540" s="244">
        <v>0</v>
      </c>
      <c r="K6540" s="244">
        <v>0</v>
      </c>
      <c r="L6540" s="244">
        <v>0</v>
      </c>
      <c r="M6540" s="244">
        <v>0</v>
      </c>
      <c r="N6540" s="244">
        <v>0</v>
      </c>
      <c r="O6540" s="254">
        <v>1</v>
      </c>
    </row>
    <row r="6541" ht="14.25" spans="1:15">
      <c r="A6541" s="245" t="s">
        <v>26</v>
      </c>
      <c r="B6541" s="52" t="s">
        <v>64</v>
      </c>
      <c r="C6541" s="19">
        <v>0.181818181818182</v>
      </c>
      <c r="D6541" s="19" t="e">
        <v>#DIV/0!</v>
      </c>
      <c r="E6541" s="19" t="e">
        <v>#DIV/0!</v>
      </c>
      <c r="F6541" s="19" t="e">
        <v>#DIV/0!</v>
      </c>
      <c r="G6541" s="19" t="e">
        <v>#DIV/0!</v>
      </c>
      <c r="H6541" s="19" t="e">
        <v>#DIV/0!</v>
      </c>
      <c r="I6541" s="19" t="e">
        <v>#DIV/0!</v>
      </c>
      <c r="J6541" s="19" t="e">
        <v>#DIV/0!</v>
      </c>
      <c r="K6541" s="19">
        <v>0</v>
      </c>
      <c r="L6541" s="19">
        <v>0</v>
      </c>
      <c r="M6541" s="19">
        <v>0</v>
      </c>
      <c r="N6541" s="19">
        <v>0</v>
      </c>
      <c r="O6541" s="19">
        <v>0.333333333333333</v>
      </c>
    </row>
    <row r="6542" spans="1:15">
      <c r="A6542" s="240" t="s">
        <v>71</v>
      </c>
      <c r="B6542" s="47" t="s">
        <v>55</v>
      </c>
      <c r="C6542" s="12" t="e">
        <v>#DIV/0!</v>
      </c>
      <c r="D6542" s="241" t="e">
        <v>#DIV/0!</v>
      </c>
      <c r="E6542" s="241" t="e">
        <v>#DIV/0!</v>
      </c>
      <c r="F6542" s="241" t="e">
        <v>#DIV/0!</v>
      </c>
      <c r="G6542" s="241" t="e">
        <v>#DIV/0!</v>
      </c>
      <c r="H6542" s="241" t="e">
        <v>#DIV/0!</v>
      </c>
      <c r="I6542" s="241" t="e">
        <v>#DIV/0!</v>
      </c>
      <c r="J6542" s="241" t="e">
        <v>#DIV/0!</v>
      </c>
      <c r="K6542" s="241" t="e">
        <v>#DIV/0!</v>
      </c>
      <c r="L6542" s="241" t="e">
        <v>#DIV/0!</v>
      </c>
      <c r="M6542" s="241" t="e">
        <v>#DIV/0!</v>
      </c>
      <c r="N6542" s="241" t="e">
        <v>#DIV/0!</v>
      </c>
      <c r="O6542" s="252" t="e">
        <v>#DIV/0!</v>
      </c>
    </row>
    <row r="6543" spans="1:15">
      <c r="A6543" s="242" t="s">
        <v>71</v>
      </c>
      <c r="B6543" s="43" t="s">
        <v>57</v>
      </c>
      <c r="C6543" s="15">
        <v>0</v>
      </c>
      <c r="D6543" s="243">
        <v>0</v>
      </c>
      <c r="E6543" s="243">
        <v>0</v>
      </c>
      <c r="F6543" s="243">
        <v>0</v>
      </c>
      <c r="G6543" s="243">
        <v>0</v>
      </c>
      <c r="H6543" s="243">
        <v>0</v>
      </c>
      <c r="I6543" s="243">
        <v>0</v>
      </c>
      <c r="J6543" s="243">
        <v>0</v>
      </c>
      <c r="K6543" s="243">
        <v>0</v>
      </c>
      <c r="L6543" s="243">
        <v>0</v>
      </c>
      <c r="M6543" s="243">
        <v>0</v>
      </c>
      <c r="N6543" s="243">
        <v>0</v>
      </c>
      <c r="O6543" s="253">
        <v>0</v>
      </c>
    </row>
    <row r="6544" spans="1:15">
      <c r="A6544" s="240" t="s">
        <v>71</v>
      </c>
      <c r="B6544" s="47" t="s">
        <v>59</v>
      </c>
      <c r="C6544" s="15">
        <v>295</v>
      </c>
      <c r="D6544" s="243">
        <v>45</v>
      </c>
      <c r="E6544" s="243">
        <v>32</v>
      </c>
      <c r="F6544" s="243">
        <v>30</v>
      </c>
      <c r="G6544" s="243">
        <v>18</v>
      </c>
      <c r="H6544" s="243">
        <v>28</v>
      </c>
      <c r="I6544" s="243">
        <v>44</v>
      </c>
      <c r="J6544" s="243">
        <v>36</v>
      </c>
      <c r="K6544" s="243">
        <v>13</v>
      </c>
      <c r="L6544" s="243">
        <v>12</v>
      </c>
      <c r="M6544" s="243">
        <v>16</v>
      </c>
      <c r="N6544" s="243">
        <v>12</v>
      </c>
      <c r="O6544" s="253">
        <v>9</v>
      </c>
    </row>
    <row r="6545" spans="1:15">
      <c r="A6545" s="242" t="s">
        <v>71</v>
      </c>
      <c r="B6545" s="43" t="s">
        <v>4</v>
      </c>
      <c r="C6545" s="15">
        <v>7</v>
      </c>
      <c r="D6545" s="244">
        <v>0</v>
      </c>
      <c r="E6545" s="244">
        <v>0</v>
      </c>
      <c r="F6545" s="244">
        <v>0</v>
      </c>
      <c r="G6545" s="244">
        <v>0</v>
      </c>
      <c r="H6545" s="244">
        <v>0</v>
      </c>
      <c r="I6545" s="244">
        <v>0</v>
      </c>
      <c r="J6545" s="244">
        <v>0</v>
      </c>
      <c r="K6545" s="244">
        <v>0</v>
      </c>
      <c r="L6545" s="244">
        <v>3</v>
      </c>
      <c r="M6545" s="244">
        <v>0</v>
      </c>
      <c r="N6545" s="244">
        <v>1</v>
      </c>
      <c r="O6545" s="254">
        <v>3</v>
      </c>
    </row>
    <row r="6546" spans="1:15">
      <c r="A6546" s="240" t="s">
        <v>71</v>
      </c>
      <c r="B6546" s="47" t="s">
        <v>5</v>
      </c>
      <c r="C6546" s="241">
        <v>0.023728813559322</v>
      </c>
      <c r="D6546" s="241">
        <v>0</v>
      </c>
      <c r="E6546" s="241">
        <v>0</v>
      </c>
      <c r="F6546" s="241">
        <v>0</v>
      </c>
      <c r="G6546" s="241">
        <v>0</v>
      </c>
      <c r="H6546" s="241">
        <v>0</v>
      </c>
      <c r="I6546" s="241">
        <v>0</v>
      </c>
      <c r="J6546" s="241">
        <v>0</v>
      </c>
      <c r="K6546" s="241">
        <v>0</v>
      </c>
      <c r="L6546" s="241">
        <v>0.25</v>
      </c>
      <c r="M6546" s="241">
        <v>0</v>
      </c>
      <c r="N6546" s="241">
        <v>0.0833333333333333</v>
      </c>
      <c r="O6546" s="252">
        <v>0.333333333333333</v>
      </c>
    </row>
    <row r="6547" spans="1:15">
      <c r="A6547" s="242" t="s">
        <v>71</v>
      </c>
      <c r="B6547" s="43" t="s">
        <v>6</v>
      </c>
      <c r="C6547" s="15">
        <v>6</v>
      </c>
      <c r="D6547" s="244">
        <v>0</v>
      </c>
      <c r="E6547" s="244">
        <v>0</v>
      </c>
      <c r="F6547" s="244">
        <v>1</v>
      </c>
      <c r="G6547" s="244">
        <v>0</v>
      </c>
      <c r="H6547" s="244">
        <v>0</v>
      </c>
      <c r="I6547" s="244">
        <v>0</v>
      </c>
      <c r="J6547" s="244">
        <v>1</v>
      </c>
      <c r="K6547" s="244">
        <v>1</v>
      </c>
      <c r="L6547" s="244">
        <v>0</v>
      </c>
      <c r="M6547" s="244">
        <v>2</v>
      </c>
      <c r="N6547" s="244">
        <v>1</v>
      </c>
      <c r="O6547" s="254">
        <v>0</v>
      </c>
    </row>
    <row r="6548" ht="14.25" spans="1:15">
      <c r="A6548" s="245" t="s">
        <v>71</v>
      </c>
      <c r="B6548" s="52" t="s">
        <v>64</v>
      </c>
      <c r="C6548" s="19">
        <v>0.857142857142857</v>
      </c>
      <c r="D6548" s="19" t="e">
        <v>#DIV/0!</v>
      </c>
      <c r="E6548" s="19" t="e">
        <v>#DIV/0!</v>
      </c>
      <c r="F6548" s="19" t="e">
        <v>#DIV/0!</v>
      </c>
      <c r="G6548" s="19" t="e">
        <v>#DIV/0!</v>
      </c>
      <c r="H6548" s="19" t="e">
        <v>#DIV/0!</v>
      </c>
      <c r="I6548" s="19" t="e">
        <v>#DIV/0!</v>
      </c>
      <c r="J6548" s="19" t="e">
        <v>#DIV/0!</v>
      </c>
      <c r="K6548" s="19" t="e">
        <v>#DIV/0!</v>
      </c>
      <c r="L6548" s="19">
        <v>0</v>
      </c>
      <c r="M6548" s="19" t="e">
        <v>#DIV/0!</v>
      </c>
      <c r="N6548" s="19">
        <v>1</v>
      </c>
      <c r="O6548" s="19">
        <v>0</v>
      </c>
    </row>
    <row r="6549" spans="1:15">
      <c r="A6549" s="240" t="s">
        <v>72</v>
      </c>
      <c r="B6549" s="47" t="s">
        <v>55</v>
      </c>
      <c r="C6549" s="12">
        <v>0.123833452979182</v>
      </c>
      <c r="D6549" s="241">
        <v>0.131736526946108</v>
      </c>
      <c r="E6549" s="241">
        <v>0.142857142857143</v>
      </c>
      <c r="F6549" s="241">
        <v>0.18</v>
      </c>
      <c r="G6549" s="241">
        <v>0.152671755725191</v>
      </c>
      <c r="H6549" s="241">
        <v>0.155080213903743</v>
      </c>
      <c r="I6549" s="241">
        <v>0.11377245508982</v>
      </c>
      <c r="J6549" s="241">
        <v>0.147826086956522</v>
      </c>
      <c r="K6549" s="241">
        <v>0.133064516129032</v>
      </c>
      <c r="L6549" s="241">
        <v>0.0892193308550186</v>
      </c>
      <c r="M6549" s="241">
        <v>0.106976744186047</v>
      </c>
      <c r="N6549" s="241">
        <v>0.104956268221574</v>
      </c>
      <c r="O6549" s="252">
        <v>0.104738154613466</v>
      </c>
    </row>
    <row r="6550" spans="1:15">
      <c r="A6550" s="242" t="s">
        <v>72</v>
      </c>
      <c r="B6550" s="43" t="s">
        <v>57</v>
      </c>
      <c r="C6550" s="15">
        <v>2786</v>
      </c>
      <c r="D6550" s="243">
        <v>334</v>
      </c>
      <c r="E6550" s="243">
        <v>161</v>
      </c>
      <c r="F6550" s="243">
        <v>100</v>
      </c>
      <c r="G6550" s="243">
        <v>131</v>
      </c>
      <c r="H6550" s="243">
        <v>187</v>
      </c>
      <c r="I6550" s="243">
        <v>167</v>
      </c>
      <c r="J6550" s="243">
        <v>230</v>
      </c>
      <c r="K6550" s="243">
        <v>248</v>
      </c>
      <c r="L6550" s="243">
        <v>269</v>
      </c>
      <c r="M6550" s="243">
        <v>215</v>
      </c>
      <c r="N6550" s="243">
        <v>343</v>
      </c>
      <c r="O6550" s="253">
        <v>401</v>
      </c>
    </row>
    <row r="6551" spans="1:15">
      <c r="A6551" s="240" t="s">
        <v>72</v>
      </c>
      <c r="B6551" s="47" t="s">
        <v>59</v>
      </c>
      <c r="C6551" s="15">
        <v>345</v>
      </c>
      <c r="D6551" s="243">
        <v>44</v>
      </c>
      <c r="E6551" s="243">
        <v>23</v>
      </c>
      <c r="F6551" s="243">
        <v>18</v>
      </c>
      <c r="G6551" s="243">
        <v>20</v>
      </c>
      <c r="H6551" s="243">
        <v>29</v>
      </c>
      <c r="I6551" s="243">
        <v>19</v>
      </c>
      <c r="J6551" s="243">
        <v>34</v>
      </c>
      <c r="K6551" s="243">
        <v>33</v>
      </c>
      <c r="L6551" s="243">
        <v>24</v>
      </c>
      <c r="M6551" s="243">
        <v>23</v>
      </c>
      <c r="N6551" s="243">
        <v>36</v>
      </c>
      <c r="O6551" s="253">
        <v>42</v>
      </c>
    </row>
    <row r="6552" spans="1:15">
      <c r="A6552" s="242" t="s">
        <v>72</v>
      </c>
      <c r="B6552" s="43" t="s">
        <v>4</v>
      </c>
      <c r="C6552" s="15">
        <v>8</v>
      </c>
      <c r="D6552" s="244">
        <v>0</v>
      </c>
      <c r="E6552" s="244">
        <v>0</v>
      </c>
      <c r="F6552" s="244">
        <v>0</v>
      </c>
      <c r="G6552" s="244">
        <v>0</v>
      </c>
      <c r="H6552" s="244">
        <v>0</v>
      </c>
      <c r="I6552" s="244">
        <v>0</v>
      </c>
      <c r="J6552" s="244">
        <v>0</v>
      </c>
      <c r="K6552" s="244">
        <v>3</v>
      </c>
      <c r="L6552" s="244">
        <v>1</v>
      </c>
      <c r="M6552" s="244">
        <v>1</v>
      </c>
      <c r="N6552" s="244">
        <v>1</v>
      </c>
      <c r="O6552" s="254">
        <v>2</v>
      </c>
    </row>
    <row r="6553" spans="1:15">
      <c r="A6553" s="240" t="s">
        <v>72</v>
      </c>
      <c r="B6553" s="47" t="s">
        <v>5</v>
      </c>
      <c r="C6553" s="12">
        <v>0.0231884057971014</v>
      </c>
      <c r="D6553" s="241">
        <v>0</v>
      </c>
      <c r="E6553" s="241">
        <v>0</v>
      </c>
      <c r="F6553" s="241">
        <v>0</v>
      </c>
      <c r="G6553" s="241">
        <v>0</v>
      </c>
      <c r="H6553" s="241">
        <v>0</v>
      </c>
      <c r="I6553" s="241">
        <v>0</v>
      </c>
      <c r="J6553" s="241">
        <v>0</v>
      </c>
      <c r="K6553" s="241">
        <v>0.0909090909090909</v>
      </c>
      <c r="L6553" s="241">
        <v>0.0416666666666667</v>
      </c>
      <c r="M6553" s="241">
        <v>0.0434782608695652</v>
      </c>
      <c r="N6553" s="241">
        <v>0.0277777777777778</v>
      </c>
      <c r="O6553" s="252">
        <v>0.0476190476190476</v>
      </c>
    </row>
    <row r="6554" spans="1:15">
      <c r="A6554" s="242" t="s">
        <v>72</v>
      </c>
      <c r="B6554" s="43" t="s">
        <v>6</v>
      </c>
      <c r="C6554" s="15">
        <v>3</v>
      </c>
      <c r="D6554" s="244">
        <v>0</v>
      </c>
      <c r="E6554" s="244">
        <v>1</v>
      </c>
      <c r="F6554" s="244">
        <v>0</v>
      </c>
      <c r="G6554" s="244">
        <v>0</v>
      </c>
      <c r="H6554" s="244">
        <v>0</v>
      </c>
      <c r="I6554" s="244">
        <v>0</v>
      </c>
      <c r="J6554" s="244">
        <v>1</v>
      </c>
      <c r="K6554" s="244">
        <v>0</v>
      </c>
      <c r="L6554" s="244">
        <v>1</v>
      </c>
      <c r="M6554" s="244">
        <v>0</v>
      </c>
      <c r="N6554" s="244">
        <v>0</v>
      </c>
      <c r="O6554" s="254">
        <v>0</v>
      </c>
    </row>
    <row r="6555" ht="14.25" spans="1:15">
      <c r="A6555" s="245" t="s">
        <v>72</v>
      </c>
      <c r="B6555" s="52" t="s">
        <v>64</v>
      </c>
      <c r="C6555" s="19">
        <v>0.375</v>
      </c>
      <c r="D6555" s="19" t="e">
        <v>#DIV/0!</v>
      </c>
      <c r="E6555" s="19" t="e">
        <v>#DIV/0!</v>
      </c>
      <c r="F6555" s="19" t="e">
        <v>#DIV/0!</v>
      </c>
      <c r="G6555" s="19" t="e">
        <v>#DIV/0!</v>
      </c>
      <c r="H6555" s="19" t="e">
        <v>#DIV/0!</v>
      </c>
      <c r="I6555" s="19" t="e">
        <v>#DIV/0!</v>
      </c>
      <c r="J6555" s="19" t="e">
        <v>#DIV/0!</v>
      </c>
      <c r="K6555" s="19">
        <v>0</v>
      </c>
      <c r="L6555" s="19">
        <v>1</v>
      </c>
      <c r="M6555" s="19">
        <v>0</v>
      </c>
      <c r="N6555" s="19">
        <v>0</v>
      </c>
      <c r="O6555" s="19">
        <v>0</v>
      </c>
    </row>
    <row r="6556" ht="14.25" spans="1:15">
      <c r="A6556" s="259">
        <v>45120</v>
      </c>
      <c r="B6556" s="259"/>
      <c r="C6556" s="259"/>
      <c r="D6556" s="259"/>
      <c r="E6556" s="259"/>
      <c r="F6556" s="259"/>
      <c r="G6556" s="259"/>
      <c r="H6556" s="259"/>
      <c r="I6556" s="259"/>
      <c r="J6556" s="259"/>
      <c r="K6556" s="259"/>
      <c r="L6556" s="259"/>
      <c r="M6556" s="259"/>
      <c r="N6556" s="259"/>
      <c r="O6556" s="259"/>
    </row>
    <row r="6557" spans="1:15">
      <c r="A6557" s="260" t="s">
        <v>1</v>
      </c>
      <c r="B6557" s="261"/>
      <c r="C6557" s="8" t="s">
        <v>42</v>
      </c>
      <c r="D6557" s="262" t="s">
        <v>43</v>
      </c>
      <c r="E6557" s="262" t="s">
        <v>44</v>
      </c>
      <c r="F6557" s="262" t="s">
        <v>45</v>
      </c>
      <c r="G6557" s="262" t="s">
        <v>46</v>
      </c>
      <c r="H6557" s="262" t="s">
        <v>47</v>
      </c>
      <c r="I6557" s="262" t="s">
        <v>48</v>
      </c>
      <c r="J6557" s="262" t="s">
        <v>49</v>
      </c>
      <c r="K6557" s="262" t="s">
        <v>50</v>
      </c>
      <c r="L6557" s="262" t="s">
        <v>51</v>
      </c>
      <c r="M6557" s="262" t="s">
        <v>52</v>
      </c>
      <c r="N6557" s="262" t="s">
        <v>53</v>
      </c>
      <c r="O6557" s="276" t="s">
        <v>54</v>
      </c>
    </row>
    <row r="6558" spans="1:15">
      <c r="A6558" s="263" t="s">
        <v>22</v>
      </c>
      <c r="B6558" s="264" t="s">
        <v>55</v>
      </c>
      <c r="C6558" s="12">
        <v>0.464077669902913</v>
      </c>
      <c r="D6558" s="265">
        <v>0.473469387755102</v>
      </c>
      <c r="E6558" s="265">
        <v>0.373913043478261</v>
      </c>
      <c r="F6558" s="265">
        <v>0.34375</v>
      </c>
      <c r="G6558" s="265">
        <v>0.6375</v>
      </c>
      <c r="H6558" s="265">
        <v>0.653846153846154</v>
      </c>
      <c r="I6558" s="265">
        <v>0.591836734693878</v>
      </c>
      <c r="J6558" s="265">
        <v>0.492610837438424</v>
      </c>
      <c r="K6558" s="265">
        <v>0.420168067226891</v>
      </c>
      <c r="L6558" s="265">
        <v>0.447761194029851</v>
      </c>
      <c r="M6558" s="265">
        <v>0.459302325581395</v>
      </c>
      <c r="N6558" s="265">
        <v>0.414285714285714</v>
      </c>
      <c r="O6558" s="277">
        <v>0.409638554216867</v>
      </c>
    </row>
    <row r="6559" spans="1:15">
      <c r="A6559" s="266" t="s">
        <v>22</v>
      </c>
      <c r="B6559" s="267" t="s">
        <v>57</v>
      </c>
      <c r="C6559" s="15">
        <v>2060</v>
      </c>
      <c r="D6559" s="268">
        <v>245</v>
      </c>
      <c r="E6559" s="268">
        <v>115</v>
      </c>
      <c r="F6559" s="268">
        <v>96</v>
      </c>
      <c r="G6559" s="268">
        <v>80</v>
      </c>
      <c r="H6559" s="268">
        <v>104</v>
      </c>
      <c r="I6559" s="268">
        <v>147</v>
      </c>
      <c r="J6559" s="268">
        <v>203</v>
      </c>
      <c r="K6559" s="268">
        <v>238</v>
      </c>
      <c r="L6559" s="268">
        <v>201</v>
      </c>
      <c r="M6559" s="268">
        <v>172</v>
      </c>
      <c r="N6559" s="268">
        <v>210</v>
      </c>
      <c r="O6559" s="278">
        <v>249</v>
      </c>
    </row>
    <row r="6560" spans="1:15">
      <c r="A6560" s="263" t="s">
        <v>22</v>
      </c>
      <c r="B6560" s="264" t="s">
        <v>59</v>
      </c>
      <c r="C6560" s="15">
        <v>956</v>
      </c>
      <c r="D6560" s="268">
        <v>116</v>
      </c>
      <c r="E6560" s="268">
        <v>43</v>
      </c>
      <c r="F6560" s="268">
        <v>33</v>
      </c>
      <c r="G6560" s="268">
        <v>51</v>
      </c>
      <c r="H6560" s="268">
        <v>68</v>
      </c>
      <c r="I6560" s="268">
        <v>87</v>
      </c>
      <c r="J6560" s="268">
        <v>100</v>
      </c>
      <c r="K6560" s="268">
        <v>100</v>
      </c>
      <c r="L6560" s="268">
        <v>90</v>
      </c>
      <c r="M6560" s="268">
        <v>79</v>
      </c>
      <c r="N6560" s="268">
        <v>87</v>
      </c>
      <c r="O6560" s="278">
        <v>102</v>
      </c>
    </row>
    <row r="6561" spans="1:15">
      <c r="A6561" s="266" t="s">
        <v>22</v>
      </c>
      <c r="B6561" s="267" t="s">
        <v>4</v>
      </c>
      <c r="C6561" s="15">
        <v>48</v>
      </c>
      <c r="D6561" s="269">
        <v>6</v>
      </c>
      <c r="E6561" s="269">
        <v>5</v>
      </c>
      <c r="F6561" s="269">
        <v>1</v>
      </c>
      <c r="G6561" s="269">
        <v>2</v>
      </c>
      <c r="H6561" s="269">
        <v>2</v>
      </c>
      <c r="I6561" s="269">
        <v>1</v>
      </c>
      <c r="J6561" s="269">
        <v>10</v>
      </c>
      <c r="K6561" s="269">
        <v>2</v>
      </c>
      <c r="L6561" s="269">
        <v>4</v>
      </c>
      <c r="M6561" s="269">
        <v>4</v>
      </c>
      <c r="N6561" s="269">
        <v>5</v>
      </c>
      <c r="O6561" s="279">
        <v>6</v>
      </c>
    </row>
    <row r="6562" spans="1:15">
      <c r="A6562" s="263" t="s">
        <v>22</v>
      </c>
      <c r="B6562" s="264" t="s">
        <v>5</v>
      </c>
      <c r="C6562" s="12">
        <v>0.0502092050209205</v>
      </c>
      <c r="D6562" s="265">
        <v>0.0517241379310345</v>
      </c>
      <c r="E6562" s="265">
        <v>0.116279069767442</v>
      </c>
      <c r="F6562" s="265">
        <v>0.0303030303030303</v>
      </c>
      <c r="G6562" s="265">
        <v>0.0392156862745098</v>
      </c>
      <c r="H6562" s="265">
        <v>0.0294117647058824</v>
      </c>
      <c r="I6562" s="265">
        <v>0.0114942528735632</v>
      </c>
      <c r="J6562" s="265">
        <v>0.1</v>
      </c>
      <c r="K6562" s="265">
        <v>0.02</v>
      </c>
      <c r="L6562" s="265">
        <v>0.0444444444444444</v>
      </c>
      <c r="M6562" s="265">
        <v>0.0506329113924051</v>
      </c>
      <c r="N6562" s="265">
        <v>0.0574712643678161</v>
      </c>
      <c r="O6562" s="277">
        <v>0.0588235294117647</v>
      </c>
    </row>
    <row r="6563" spans="1:15">
      <c r="A6563" s="266" t="s">
        <v>22</v>
      </c>
      <c r="B6563" s="267" t="s">
        <v>6</v>
      </c>
      <c r="C6563" s="15">
        <v>14</v>
      </c>
      <c r="D6563" s="269">
        <v>2</v>
      </c>
      <c r="E6563" s="269">
        <v>1</v>
      </c>
      <c r="F6563" s="269">
        <v>1</v>
      </c>
      <c r="G6563" s="269">
        <v>1</v>
      </c>
      <c r="H6563" s="269">
        <v>1</v>
      </c>
      <c r="I6563" s="269">
        <v>0</v>
      </c>
      <c r="J6563" s="269">
        <v>3</v>
      </c>
      <c r="K6563" s="269">
        <v>1</v>
      </c>
      <c r="L6563" s="269">
        <v>0</v>
      </c>
      <c r="M6563" s="269">
        <v>3</v>
      </c>
      <c r="N6563" s="269">
        <v>1</v>
      </c>
      <c r="O6563" s="279">
        <v>0</v>
      </c>
    </row>
    <row r="6564" ht="14.25" spans="1:15">
      <c r="A6564" s="270" t="s">
        <v>22</v>
      </c>
      <c r="B6564" s="271" t="s">
        <v>64</v>
      </c>
      <c r="C6564" s="19">
        <v>0.291666666666667</v>
      </c>
      <c r="D6564" s="272">
        <v>0.333333333333333</v>
      </c>
      <c r="E6564" s="272">
        <v>0.2</v>
      </c>
      <c r="F6564" s="272">
        <v>1</v>
      </c>
      <c r="G6564" s="272">
        <v>0.5</v>
      </c>
      <c r="H6564" s="272">
        <v>0.5</v>
      </c>
      <c r="I6564" s="272">
        <v>0</v>
      </c>
      <c r="J6564" s="272">
        <v>0.3</v>
      </c>
      <c r="K6564" s="272">
        <v>0.5</v>
      </c>
      <c r="L6564" s="272">
        <v>0</v>
      </c>
      <c r="M6564" s="272">
        <v>0.75</v>
      </c>
      <c r="N6564" s="272">
        <v>0.2</v>
      </c>
      <c r="O6564" s="280">
        <v>0</v>
      </c>
    </row>
    <row r="6565" spans="1:15">
      <c r="A6565" s="273" t="s">
        <v>66</v>
      </c>
      <c r="B6565" s="274" t="s">
        <v>55</v>
      </c>
      <c r="C6565" s="12">
        <v>0.184013801035078</v>
      </c>
      <c r="D6565" s="275">
        <v>0.231884057971014</v>
      </c>
      <c r="E6565" s="275">
        <v>0.280898876404494</v>
      </c>
      <c r="F6565" s="275">
        <v>0.24390243902439</v>
      </c>
      <c r="G6565" s="275">
        <v>0.132075471698113</v>
      </c>
      <c r="H6565" s="275">
        <v>0.10625</v>
      </c>
      <c r="I6565" s="275">
        <v>0.18</v>
      </c>
      <c r="J6565" s="275">
        <v>0.127388535031847</v>
      </c>
      <c r="K6565" s="275">
        <v>0.236024844720497</v>
      </c>
      <c r="L6565" s="275">
        <v>0.172222222222222</v>
      </c>
      <c r="M6565" s="275">
        <v>0.146198830409357</v>
      </c>
      <c r="N6565" s="275">
        <v>0.210526315789474</v>
      </c>
      <c r="O6565" s="281">
        <v>0.201149425287356</v>
      </c>
    </row>
    <row r="6566" spans="1:15">
      <c r="A6566" s="266" t="s">
        <v>66</v>
      </c>
      <c r="B6566" s="267" t="s">
        <v>57</v>
      </c>
      <c r="C6566" s="15">
        <v>1739</v>
      </c>
      <c r="D6566" s="268">
        <v>138</v>
      </c>
      <c r="E6566" s="268">
        <v>89</v>
      </c>
      <c r="F6566" s="268">
        <v>82</v>
      </c>
      <c r="G6566" s="268">
        <v>106</v>
      </c>
      <c r="H6566" s="268">
        <v>160</v>
      </c>
      <c r="I6566" s="268">
        <v>150</v>
      </c>
      <c r="J6566" s="268">
        <v>157</v>
      </c>
      <c r="K6566" s="268">
        <v>161</v>
      </c>
      <c r="L6566" s="268">
        <v>180</v>
      </c>
      <c r="M6566" s="268">
        <v>171</v>
      </c>
      <c r="N6566" s="268">
        <v>171</v>
      </c>
      <c r="O6566" s="278">
        <v>174</v>
      </c>
    </row>
    <row r="6567" spans="1:15">
      <c r="A6567" s="263" t="s">
        <v>66</v>
      </c>
      <c r="B6567" s="264" t="s">
        <v>59</v>
      </c>
      <c r="C6567" s="15">
        <v>320</v>
      </c>
      <c r="D6567" s="268">
        <v>32</v>
      </c>
      <c r="E6567" s="268">
        <v>25</v>
      </c>
      <c r="F6567" s="268">
        <v>20</v>
      </c>
      <c r="G6567" s="268">
        <v>14</v>
      </c>
      <c r="H6567" s="268">
        <v>17</v>
      </c>
      <c r="I6567" s="268">
        <v>27</v>
      </c>
      <c r="J6567" s="268">
        <v>20</v>
      </c>
      <c r="K6567" s="268">
        <v>38</v>
      </c>
      <c r="L6567" s="268">
        <v>31</v>
      </c>
      <c r="M6567" s="268">
        <v>25</v>
      </c>
      <c r="N6567" s="268">
        <v>36</v>
      </c>
      <c r="O6567" s="278">
        <v>35</v>
      </c>
    </row>
    <row r="6568" spans="1:15">
      <c r="A6568" s="266" t="s">
        <v>66</v>
      </c>
      <c r="B6568" s="267" t="s">
        <v>4</v>
      </c>
      <c r="C6568" s="15">
        <v>3</v>
      </c>
      <c r="D6568" s="269">
        <v>1</v>
      </c>
      <c r="E6568" s="269">
        <v>1</v>
      </c>
      <c r="F6568" s="269">
        <v>0</v>
      </c>
      <c r="G6568" s="269">
        <v>0</v>
      </c>
      <c r="H6568" s="269">
        <v>0</v>
      </c>
      <c r="I6568" s="269">
        <v>0</v>
      </c>
      <c r="J6568" s="269">
        <v>0</v>
      </c>
      <c r="K6568" s="269">
        <v>0</v>
      </c>
      <c r="L6568" s="269">
        <v>1</v>
      </c>
      <c r="M6568" s="269">
        <v>0</v>
      </c>
      <c r="N6568" s="269">
        <v>0</v>
      </c>
      <c r="O6568" s="279">
        <v>0</v>
      </c>
    </row>
    <row r="6569" spans="1:15">
      <c r="A6569" s="263" t="s">
        <v>66</v>
      </c>
      <c r="B6569" s="264" t="s">
        <v>5</v>
      </c>
      <c r="C6569" s="12">
        <v>0.009375</v>
      </c>
      <c r="D6569" s="265">
        <v>0.03125</v>
      </c>
      <c r="E6569" s="265">
        <v>0.04</v>
      </c>
      <c r="F6569" s="265">
        <v>0</v>
      </c>
      <c r="G6569" s="265">
        <v>0</v>
      </c>
      <c r="H6569" s="265">
        <v>0</v>
      </c>
      <c r="I6569" s="265">
        <v>0</v>
      </c>
      <c r="J6569" s="265">
        <v>0</v>
      </c>
      <c r="K6569" s="265">
        <v>0</v>
      </c>
      <c r="L6569" s="265">
        <v>0.032258064516129</v>
      </c>
      <c r="M6569" s="265">
        <v>0</v>
      </c>
      <c r="N6569" s="265">
        <v>0</v>
      </c>
      <c r="O6569" s="277">
        <v>0</v>
      </c>
    </row>
    <row r="6570" spans="1:15">
      <c r="A6570" s="266" t="s">
        <v>66</v>
      </c>
      <c r="B6570" s="267" t="s">
        <v>6</v>
      </c>
      <c r="C6570" s="15">
        <v>1</v>
      </c>
      <c r="D6570" s="269">
        <v>0</v>
      </c>
      <c r="E6570" s="269">
        <v>0</v>
      </c>
      <c r="F6570" s="269">
        <v>0</v>
      </c>
      <c r="G6570" s="269">
        <v>0</v>
      </c>
      <c r="H6570" s="269">
        <v>0</v>
      </c>
      <c r="I6570" s="269">
        <v>0</v>
      </c>
      <c r="J6570" s="269">
        <v>1</v>
      </c>
      <c r="K6570" s="269">
        <v>0</v>
      </c>
      <c r="L6570" s="269">
        <v>0</v>
      </c>
      <c r="M6570" s="269">
        <v>0</v>
      </c>
      <c r="N6570" s="269">
        <v>0</v>
      </c>
      <c r="O6570" s="279">
        <v>0</v>
      </c>
    </row>
    <row r="6571" ht="14.25" spans="1:15">
      <c r="A6571" s="270" t="s">
        <v>66</v>
      </c>
      <c r="B6571" s="271" t="s">
        <v>64</v>
      </c>
      <c r="C6571" s="19">
        <v>0.333333333333333</v>
      </c>
      <c r="D6571" s="272">
        <v>0</v>
      </c>
      <c r="E6571" s="272">
        <v>0</v>
      </c>
      <c r="F6571" s="272">
        <v>0</v>
      </c>
      <c r="G6571" s="272">
        <v>0</v>
      </c>
      <c r="H6571" s="272">
        <v>0</v>
      </c>
      <c r="I6571" s="272">
        <v>0</v>
      </c>
      <c r="J6571" s="272">
        <v>0</v>
      </c>
      <c r="K6571" s="272">
        <v>0</v>
      </c>
      <c r="L6571" s="272">
        <v>0</v>
      </c>
      <c r="M6571" s="272">
        <v>0</v>
      </c>
      <c r="N6571" s="272">
        <v>0</v>
      </c>
      <c r="O6571" s="280">
        <v>0</v>
      </c>
    </row>
    <row r="6572" spans="1:15">
      <c r="A6572" s="263" t="s">
        <v>67</v>
      </c>
      <c r="B6572" s="264" t="s">
        <v>55</v>
      </c>
      <c r="C6572" s="12">
        <v>0.591269841269841</v>
      </c>
      <c r="D6572" s="265">
        <v>0.805555555555556</v>
      </c>
      <c r="E6572" s="265">
        <v>0.619047619047619</v>
      </c>
      <c r="F6572" s="265">
        <v>0.866666666666667</v>
      </c>
      <c r="G6572" s="265">
        <v>0.904761904761905</v>
      </c>
      <c r="H6572" s="265">
        <v>0.558823529411765</v>
      </c>
      <c r="I6572" s="265">
        <v>0.666666666666667</v>
      </c>
      <c r="J6572" s="265">
        <v>0.695652173913043</v>
      </c>
      <c r="K6572" s="265">
        <v>0.529411764705882</v>
      </c>
      <c r="L6572" s="265">
        <v>0.519230769230769</v>
      </c>
      <c r="M6572" s="265">
        <v>0.4375</v>
      </c>
      <c r="N6572" s="265">
        <v>0.482758620689655</v>
      </c>
      <c r="O6572" s="277">
        <v>0.53448275862069</v>
      </c>
    </row>
    <row r="6573" spans="1:15">
      <c r="A6573" s="266" t="s">
        <v>67</v>
      </c>
      <c r="B6573" s="267" t="s">
        <v>57</v>
      </c>
      <c r="C6573" s="15">
        <v>504</v>
      </c>
      <c r="D6573" s="268">
        <v>36</v>
      </c>
      <c r="E6573" s="268">
        <v>21</v>
      </c>
      <c r="F6573" s="268">
        <v>15</v>
      </c>
      <c r="G6573" s="268">
        <v>21</v>
      </c>
      <c r="H6573" s="268">
        <v>34</v>
      </c>
      <c r="I6573" s="268">
        <v>48</v>
      </c>
      <c r="J6573" s="268">
        <v>46</v>
      </c>
      <c r="K6573" s="268">
        <v>51</v>
      </c>
      <c r="L6573" s="268">
        <v>52</v>
      </c>
      <c r="M6573" s="268">
        <v>64</v>
      </c>
      <c r="N6573" s="268">
        <v>58</v>
      </c>
      <c r="O6573" s="278">
        <v>58</v>
      </c>
    </row>
    <row r="6574" spans="1:15">
      <c r="A6574" s="263" t="s">
        <v>67</v>
      </c>
      <c r="B6574" s="264" t="s">
        <v>59</v>
      </c>
      <c r="C6574" s="15">
        <v>298</v>
      </c>
      <c r="D6574" s="268">
        <v>29</v>
      </c>
      <c r="E6574" s="268">
        <v>13</v>
      </c>
      <c r="F6574" s="268">
        <v>13</v>
      </c>
      <c r="G6574" s="268">
        <v>19</v>
      </c>
      <c r="H6574" s="268">
        <v>19</v>
      </c>
      <c r="I6574" s="268">
        <v>32</v>
      </c>
      <c r="J6574" s="268">
        <v>32</v>
      </c>
      <c r="K6574" s="268">
        <v>27</v>
      </c>
      <c r="L6574" s="268">
        <v>27</v>
      </c>
      <c r="M6574" s="268">
        <v>28</v>
      </c>
      <c r="N6574" s="268">
        <v>28</v>
      </c>
      <c r="O6574" s="278">
        <v>31</v>
      </c>
    </row>
    <row r="6575" spans="1:15">
      <c r="A6575" s="266" t="s">
        <v>67</v>
      </c>
      <c r="B6575" s="267" t="s">
        <v>4</v>
      </c>
      <c r="C6575" s="15">
        <v>13</v>
      </c>
      <c r="D6575" s="269">
        <v>0</v>
      </c>
      <c r="E6575" s="269">
        <v>2</v>
      </c>
      <c r="F6575" s="269">
        <v>0</v>
      </c>
      <c r="G6575" s="269">
        <v>0</v>
      </c>
      <c r="H6575" s="269">
        <v>2</v>
      </c>
      <c r="I6575" s="269">
        <v>0</v>
      </c>
      <c r="J6575" s="269">
        <v>4</v>
      </c>
      <c r="K6575" s="269">
        <v>3</v>
      </c>
      <c r="L6575" s="269">
        <v>0</v>
      </c>
      <c r="M6575" s="269">
        <v>0</v>
      </c>
      <c r="N6575" s="269">
        <v>1</v>
      </c>
      <c r="O6575" s="279">
        <v>1</v>
      </c>
    </row>
    <row r="6576" spans="1:15">
      <c r="A6576" s="263" t="s">
        <v>67</v>
      </c>
      <c r="B6576" s="264" t="s">
        <v>5</v>
      </c>
      <c r="C6576" s="12">
        <v>0.0436241610738255</v>
      </c>
      <c r="D6576" s="265">
        <v>0</v>
      </c>
      <c r="E6576" s="265">
        <v>0.153846153846154</v>
      </c>
      <c r="F6576" s="265">
        <v>0</v>
      </c>
      <c r="G6576" s="265">
        <v>0</v>
      </c>
      <c r="H6576" s="265">
        <v>0.105263157894737</v>
      </c>
      <c r="I6576" s="265">
        <v>0</v>
      </c>
      <c r="J6576" s="265">
        <v>0.125</v>
      </c>
      <c r="K6576" s="265">
        <v>0.111111111111111</v>
      </c>
      <c r="L6576" s="265">
        <v>0</v>
      </c>
      <c r="M6576" s="265">
        <v>0</v>
      </c>
      <c r="N6576" s="265">
        <v>0.0357142857142857</v>
      </c>
      <c r="O6576" s="277">
        <v>0.032258064516129</v>
      </c>
    </row>
    <row r="6577" spans="1:15">
      <c r="A6577" s="266" t="s">
        <v>67</v>
      </c>
      <c r="B6577" s="267" t="s">
        <v>6</v>
      </c>
      <c r="C6577" s="15">
        <v>4</v>
      </c>
      <c r="D6577" s="269">
        <v>0</v>
      </c>
      <c r="E6577" s="269">
        <v>0</v>
      </c>
      <c r="F6577" s="269">
        <v>0</v>
      </c>
      <c r="G6577" s="269">
        <v>0</v>
      </c>
      <c r="H6577" s="269">
        <v>0</v>
      </c>
      <c r="I6577" s="269">
        <v>1</v>
      </c>
      <c r="J6577" s="269">
        <v>1</v>
      </c>
      <c r="K6577" s="269">
        <v>0</v>
      </c>
      <c r="L6577" s="269">
        <v>1</v>
      </c>
      <c r="M6577" s="269">
        <v>0</v>
      </c>
      <c r="N6577" s="269">
        <v>0</v>
      </c>
      <c r="O6577" s="279">
        <v>1</v>
      </c>
    </row>
    <row r="6578" ht="14.25" spans="1:15">
      <c r="A6578" s="270" t="s">
        <v>67</v>
      </c>
      <c r="B6578" s="271" t="s">
        <v>64</v>
      </c>
      <c r="C6578" s="19">
        <v>0.307692307692308</v>
      </c>
      <c r="D6578" s="272">
        <v>0</v>
      </c>
      <c r="E6578" s="272">
        <v>0</v>
      </c>
      <c r="F6578" s="272">
        <v>0</v>
      </c>
      <c r="G6578" s="272">
        <v>0</v>
      </c>
      <c r="H6578" s="272">
        <v>0</v>
      </c>
      <c r="I6578" s="272">
        <v>0</v>
      </c>
      <c r="J6578" s="272">
        <v>0.25</v>
      </c>
      <c r="K6578" s="272">
        <v>0</v>
      </c>
      <c r="L6578" s="272">
        <v>0</v>
      </c>
      <c r="M6578" s="272">
        <v>0</v>
      </c>
      <c r="N6578" s="272">
        <v>0</v>
      </c>
      <c r="O6578" s="280">
        <v>1</v>
      </c>
    </row>
    <row r="6579" spans="1:15">
      <c r="A6579" s="263" t="s">
        <v>68</v>
      </c>
      <c r="B6579" s="264" t="s">
        <v>55</v>
      </c>
      <c r="C6579" s="12">
        <v>0</v>
      </c>
      <c r="D6579" s="265">
        <v>0</v>
      </c>
      <c r="E6579" s="265">
        <v>0</v>
      </c>
      <c r="F6579" s="265">
        <v>0</v>
      </c>
      <c r="G6579" s="265">
        <v>0</v>
      </c>
      <c r="H6579" s="265">
        <v>0</v>
      </c>
      <c r="I6579" s="265">
        <v>0</v>
      </c>
      <c r="J6579" s="265">
        <v>0</v>
      </c>
      <c r="K6579" s="265">
        <v>0</v>
      </c>
      <c r="L6579" s="265">
        <v>0</v>
      </c>
      <c r="M6579" s="265">
        <v>0</v>
      </c>
      <c r="N6579" s="265">
        <v>0</v>
      </c>
      <c r="O6579" s="277">
        <v>0</v>
      </c>
    </row>
    <row r="6580" spans="1:15">
      <c r="A6580" s="266" t="s">
        <v>68</v>
      </c>
      <c r="B6580" s="267" t="s">
        <v>57</v>
      </c>
      <c r="C6580" s="15">
        <v>3686</v>
      </c>
      <c r="D6580" s="268">
        <v>349</v>
      </c>
      <c r="E6580" s="268">
        <v>177</v>
      </c>
      <c r="F6580" s="268">
        <v>181</v>
      </c>
      <c r="G6580" s="268">
        <v>157</v>
      </c>
      <c r="H6580" s="268">
        <v>249</v>
      </c>
      <c r="I6580" s="268">
        <v>296</v>
      </c>
      <c r="J6580" s="268">
        <v>352</v>
      </c>
      <c r="K6580" s="268">
        <v>422</v>
      </c>
      <c r="L6580" s="268">
        <v>389</v>
      </c>
      <c r="M6580" s="268">
        <v>344</v>
      </c>
      <c r="N6580" s="268">
        <v>343</v>
      </c>
      <c r="O6580" s="278">
        <v>427</v>
      </c>
    </row>
    <row r="6581" spans="1:15">
      <c r="A6581" s="263" t="s">
        <v>68</v>
      </c>
      <c r="B6581" s="264" t="s">
        <v>59</v>
      </c>
      <c r="C6581" s="15">
        <v>0</v>
      </c>
      <c r="D6581" s="268">
        <v>0</v>
      </c>
      <c r="E6581" s="268">
        <v>0</v>
      </c>
      <c r="F6581" s="268">
        <v>0</v>
      </c>
      <c r="G6581" s="268">
        <v>0</v>
      </c>
      <c r="H6581" s="268">
        <v>0</v>
      </c>
      <c r="I6581" s="268">
        <v>0</v>
      </c>
      <c r="J6581" s="268">
        <v>0</v>
      </c>
      <c r="K6581" s="268">
        <v>0</v>
      </c>
      <c r="L6581" s="268">
        <v>0</v>
      </c>
      <c r="M6581" s="268">
        <v>0</v>
      </c>
      <c r="N6581" s="268">
        <v>0</v>
      </c>
      <c r="O6581" s="278">
        <v>0</v>
      </c>
    </row>
    <row r="6582" spans="1:15">
      <c r="A6582" s="266" t="s">
        <v>68</v>
      </c>
      <c r="B6582" s="267" t="s">
        <v>4</v>
      </c>
      <c r="C6582" s="15">
        <v>79</v>
      </c>
      <c r="D6582" s="269">
        <v>9</v>
      </c>
      <c r="E6582" s="269">
        <v>6</v>
      </c>
      <c r="F6582" s="269">
        <v>2</v>
      </c>
      <c r="G6582" s="269">
        <v>5</v>
      </c>
      <c r="H6582" s="269">
        <v>1</v>
      </c>
      <c r="I6582" s="269">
        <v>6</v>
      </c>
      <c r="J6582" s="269">
        <v>11</v>
      </c>
      <c r="K6582" s="269">
        <v>11</v>
      </c>
      <c r="L6582" s="269">
        <v>10</v>
      </c>
      <c r="M6582" s="269">
        <v>7</v>
      </c>
      <c r="N6582" s="269">
        <v>4</v>
      </c>
      <c r="O6582" s="279">
        <v>7</v>
      </c>
    </row>
    <row r="6583" spans="1:15">
      <c r="A6583" s="263" t="s">
        <v>68</v>
      </c>
      <c r="B6583" s="264" t="s">
        <v>5</v>
      </c>
      <c r="C6583" s="12" t="e">
        <v>#DIV/0!</v>
      </c>
      <c r="D6583" s="265">
        <v>0</v>
      </c>
      <c r="E6583" s="265">
        <v>0</v>
      </c>
      <c r="F6583" s="265">
        <v>0</v>
      </c>
      <c r="G6583" s="265">
        <v>0</v>
      </c>
      <c r="H6583" s="265">
        <v>0</v>
      </c>
      <c r="I6583" s="265">
        <v>0</v>
      </c>
      <c r="J6583" s="265">
        <v>0</v>
      </c>
      <c r="K6583" s="265">
        <v>0</v>
      </c>
      <c r="L6583" s="265">
        <v>0</v>
      </c>
      <c r="M6583" s="265">
        <v>0</v>
      </c>
      <c r="N6583" s="265">
        <v>0</v>
      </c>
      <c r="O6583" s="277">
        <v>0</v>
      </c>
    </row>
    <row r="6584" spans="1:15">
      <c r="A6584" s="266" t="s">
        <v>68</v>
      </c>
      <c r="B6584" s="267" t="s">
        <v>6</v>
      </c>
      <c r="C6584" s="15">
        <v>24</v>
      </c>
      <c r="D6584" s="269">
        <v>5</v>
      </c>
      <c r="E6584" s="269">
        <v>1</v>
      </c>
      <c r="F6584" s="269">
        <v>2</v>
      </c>
      <c r="G6584" s="269">
        <v>1</v>
      </c>
      <c r="H6584" s="269">
        <v>1</v>
      </c>
      <c r="I6584" s="269">
        <v>3</v>
      </c>
      <c r="J6584" s="269">
        <v>3</v>
      </c>
      <c r="K6584" s="269">
        <v>1</v>
      </c>
      <c r="L6584" s="269">
        <v>2</v>
      </c>
      <c r="M6584" s="269">
        <v>2</v>
      </c>
      <c r="N6584" s="269">
        <v>3</v>
      </c>
      <c r="O6584" s="279">
        <v>0</v>
      </c>
    </row>
    <row r="6585" ht="14.25" spans="1:15">
      <c r="A6585" s="270" t="s">
        <v>68</v>
      </c>
      <c r="B6585" s="271" t="s">
        <v>64</v>
      </c>
      <c r="C6585" s="19">
        <v>0.30379746835443</v>
      </c>
      <c r="D6585" s="272">
        <v>0.555555555555556</v>
      </c>
      <c r="E6585" s="272">
        <v>0.166666666666667</v>
      </c>
      <c r="F6585" s="272">
        <v>1</v>
      </c>
      <c r="G6585" s="272">
        <v>0.2</v>
      </c>
      <c r="H6585" s="272">
        <v>1</v>
      </c>
      <c r="I6585" s="272">
        <v>0.5</v>
      </c>
      <c r="J6585" s="272">
        <v>0.272727272727273</v>
      </c>
      <c r="K6585" s="272">
        <v>0.0909090909090909</v>
      </c>
      <c r="L6585" s="272">
        <v>0.2</v>
      </c>
      <c r="M6585" s="272">
        <v>0.285714285714286</v>
      </c>
      <c r="N6585" s="272">
        <v>0.75</v>
      </c>
      <c r="O6585" s="280">
        <v>0</v>
      </c>
    </row>
    <row r="6586" spans="1:15">
      <c r="A6586" s="263" t="s">
        <v>69</v>
      </c>
      <c r="B6586" s="264" t="s">
        <v>55</v>
      </c>
      <c r="C6586" s="12">
        <v>2.66037735849057</v>
      </c>
      <c r="D6586" s="265">
        <v>2.71428571428571</v>
      </c>
      <c r="E6586" s="265">
        <v>1.4</v>
      </c>
      <c r="F6586" s="265">
        <v>4</v>
      </c>
      <c r="G6586" s="265">
        <v>1.5</v>
      </c>
      <c r="H6586" s="265">
        <v>4.66666666666667</v>
      </c>
      <c r="I6586" s="265">
        <v>12</v>
      </c>
      <c r="J6586" s="265">
        <v>3.33333333333333</v>
      </c>
      <c r="K6586" s="265">
        <v>3.16666666666667</v>
      </c>
      <c r="L6586" s="265">
        <v>2.42857142857143</v>
      </c>
      <c r="M6586" s="265">
        <v>2</v>
      </c>
      <c r="N6586" s="265">
        <v>3.33333333333333</v>
      </c>
      <c r="O6586" s="277">
        <v>1.57142857142857</v>
      </c>
    </row>
    <row r="6587" spans="1:15">
      <c r="A6587" s="266" t="s">
        <v>69</v>
      </c>
      <c r="B6587" s="267" t="s">
        <v>57</v>
      </c>
      <c r="C6587" s="15">
        <v>53</v>
      </c>
      <c r="D6587" s="268">
        <v>7</v>
      </c>
      <c r="E6587" s="268">
        <v>5</v>
      </c>
      <c r="F6587" s="268">
        <v>1</v>
      </c>
      <c r="G6587" s="268">
        <v>4</v>
      </c>
      <c r="H6587" s="268">
        <v>3</v>
      </c>
      <c r="I6587" s="268">
        <v>1</v>
      </c>
      <c r="J6587" s="268">
        <v>3</v>
      </c>
      <c r="K6587" s="268">
        <v>6</v>
      </c>
      <c r="L6587" s="268">
        <v>7</v>
      </c>
      <c r="M6587" s="268">
        <v>6</v>
      </c>
      <c r="N6587" s="268">
        <v>3</v>
      </c>
      <c r="O6587" s="278">
        <v>7</v>
      </c>
    </row>
    <row r="6588" spans="1:15">
      <c r="A6588" s="263" t="s">
        <v>69</v>
      </c>
      <c r="B6588" s="264" t="s">
        <v>59</v>
      </c>
      <c r="C6588" s="15">
        <v>141</v>
      </c>
      <c r="D6588" s="268">
        <v>19</v>
      </c>
      <c r="E6588" s="268">
        <v>7</v>
      </c>
      <c r="F6588" s="268">
        <v>4</v>
      </c>
      <c r="G6588" s="268">
        <v>6</v>
      </c>
      <c r="H6588" s="268">
        <v>14</v>
      </c>
      <c r="I6588" s="268">
        <v>12</v>
      </c>
      <c r="J6588" s="268">
        <v>10</v>
      </c>
      <c r="K6588" s="268">
        <v>19</v>
      </c>
      <c r="L6588" s="268">
        <v>17</v>
      </c>
      <c r="M6588" s="268">
        <v>12</v>
      </c>
      <c r="N6588" s="268">
        <v>10</v>
      </c>
      <c r="O6588" s="278">
        <v>11</v>
      </c>
    </row>
    <row r="6589" spans="1:15">
      <c r="A6589" s="266" t="s">
        <v>69</v>
      </c>
      <c r="B6589" s="267" t="s">
        <v>4</v>
      </c>
      <c r="C6589" s="15">
        <v>3</v>
      </c>
      <c r="D6589" s="269">
        <v>0</v>
      </c>
      <c r="E6589" s="269">
        <v>0</v>
      </c>
      <c r="F6589" s="269">
        <v>0</v>
      </c>
      <c r="G6589" s="269">
        <v>0</v>
      </c>
      <c r="H6589" s="269">
        <v>0</v>
      </c>
      <c r="I6589" s="269">
        <v>0</v>
      </c>
      <c r="J6589" s="269">
        <v>0</v>
      </c>
      <c r="K6589" s="269">
        <v>1</v>
      </c>
      <c r="L6589" s="269">
        <v>0</v>
      </c>
      <c r="M6589" s="269">
        <v>1</v>
      </c>
      <c r="N6589" s="269">
        <v>0</v>
      </c>
      <c r="O6589" s="279">
        <v>1</v>
      </c>
    </row>
    <row r="6590" spans="1:15">
      <c r="A6590" s="263" t="s">
        <v>69</v>
      </c>
      <c r="B6590" s="264" t="s">
        <v>5</v>
      </c>
      <c r="C6590" s="12">
        <v>0.0212765957446809</v>
      </c>
      <c r="D6590" s="265">
        <v>0</v>
      </c>
      <c r="E6590" s="265">
        <v>0</v>
      </c>
      <c r="F6590" s="265">
        <v>0</v>
      </c>
      <c r="G6590" s="265">
        <v>0</v>
      </c>
      <c r="H6590" s="265">
        <v>0</v>
      </c>
      <c r="I6590" s="265">
        <v>0</v>
      </c>
      <c r="J6590" s="265">
        <v>0</v>
      </c>
      <c r="K6590" s="265">
        <v>0.0526315789473684</v>
      </c>
      <c r="L6590" s="265">
        <v>0</v>
      </c>
      <c r="M6590" s="265">
        <v>0.0833333333333333</v>
      </c>
      <c r="N6590" s="265">
        <v>0</v>
      </c>
      <c r="O6590" s="277">
        <v>0.0909090909090909</v>
      </c>
    </row>
    <row r="6591" spans="1:15">
      <c r="A6591" s="266" t="s">
        <v>69</v>
      </c>
      <c r="B6591" s="267" t="s">
        <v>6</v>
      </c>
      <c r="C6591" s="15">
        <v>0</v>
      </c>
      <c r="D6591" s="269">
        <v>0</v>
      </c>
      <c r="E6591" s="269">
        <v>0</v>
      </c>
      <c r="F6591" s="269">
        <v>0</v>
      </c>
      <c r="G6591" s="269">
        <v>0</v>
      </c>
      <c r="H6591" s="269">
        <v>0</v>
      </c>
      <c r="I6591" s="269">
        <v>0</v>
      </c>
      <c r="J6591" s="269">
        <v>0</v>
      </c>
      <c r="K6591" s="269">
        <v>0</v>
      </c>
      <c r="L6591" s="269">
        <v>0</v>
      </c>
      <c r="M6591" s="269">
        <v>0</v>
      </c>
      <c r="N6591" s="269">
        <v>0</v>
      </c>
      <c r="O6591" s="279">
        <v>0</v>
      </c>
    </row>
    <row r="6592" ht="14.25" spans="1:15">
      <c r="A6592" s="270" t="s">
        <v>69</v>
      </c>
      <c r="B6592" s="271" t="s">
        <v>64</v>
      </c>
      <c r="C6592" s="19">
        <v>0</v>
      </c>
      <c r="D6592" s="272">
        <v>0</v>
      </c>
      <c r="E6592" s="272">
        <v>0</v>
      </c>
      <c r="F6592" s="272">
        <v>0</v>
      </c>
      <c r="G6592" s="272">
        <v>0</v>
      </c>
      <c r="H6592" s="272">
        <v>0</v>
      </c>
      <c r="I6592" s="272">
        <v>0</v>
      </c>
      <c r="J6592" s="272">
        <v>0</v>
      </c>
      <c r="K6592" s="272">
        <v>0</v>
      </c>
      <c r="L6592" s="272">
        <v>0</v>
      </c>
      <c r="M6592" s="272">
        <v>0</v>
      </c>
      <c r="N6592" s="272">
        <v>0</v>
      </c>
      <c r="O6592" s="280">
        <v>0</v>
      </c>
    </row>
    <row r="6593" spans="1:15">
      <c r="A6593" s="263" t="s">
        <v>70</v>
      </c>
      <c r="B6593" s="264" t="s">
        <v>55</v>
      </c>
      <c r="C6593" s="12">
        <v>0.851421188630491</v>
      </c>
      <c r="D6593" s="265">
        <v>0.977272727272727</v>
      </c>
      <c r="E6593" s="265">
        <v>0.642857142857143</v>
      </c>
      <c r="F6593" s="265">
        <v>0.590909090909091</v>
      </c>
      <c r="G6593" s="265">
        <v>0.888888888888889</v>
      </c>
      <c r="H6593" s="265">
        <v>0.904761904761905</v>
      </c>
      <c r="I6593" s="265">
        <v>0.855670103092783</v>
      </c>
      <c r="J6593" s="265">
        <v>1.05555555555556</v>
      </c>
      <c r="K6593" s="265">
        <v>0.884210526315789</v>
      </c>
      <c r="L6593" s="265">
        <v>0.923728813559322</v>
      </c>
      <c r="M6593" s="265">
        <v>0.75</v>
      </c>
      <c r="N6593" s="265">
        <v>0.782608695652174</v>
      </c>
      <c r="O6593" s="277">
        <v>0.746478873239437</v>
      </c>
    </row>
    <row r="6594" spans="1:15">
      <c r="A6594" s="266" t="s">
        <v>70</v>
      </c>
      <c r="B6594" s="267" t="s">
        <v>57</v>
      </c>
      <c r="C6594" s="15">
        <v>774</v>
      </c>
      <c r="D6594" s="268">
        <v>44</v>
      </c>
      <c r="E6594" s="268">
        <v>28</v>
      </c>
      <c r="F6594" s="268">
        <v>22</v>
      </c>
      <c r="G6594" s="268">
        <v>18</v>
      </c>
      <c r="H6594" s="268">
        <v>63</v>
      </c>
      <c r="I6594" s="268">
        <v>97</v>
      </c>
      <c r="J6594" s="268">
        <v>54</v>
      </c>
      <c r="K6594" s="268">
        <v>95</v>
      </c>
      <c r="L6594" s="268">
        <v>118</v>
      </c>
      <c r="M6594" s="268">
        <v>72</v>
      </c>
      <c r="N6594" s="268">
        <v>92</v>
      </c>
      <c r="O6594" s="278">
        <v>71</v>
      </c>
    </row>
    <row r="6595" spans="1:15">
      <c r="A6595" s="263" t="s">
        <v>70</v>
      </c>
      <c r="B6595" s="264" t="s">
        <v>59</v>
      </c>
      <c r="C6595" s="15">
        <v>659</v>
      </c>
      <c r="D6595" s="268">
        <v>43</v>
      </c>
      <c r="E6595" s="268">
        <v>18</v>
      </c>
      <c r="F6595" s="268">
        <v>13</v>
      </c>
      <c r="G6595" s="268">
        <v>16</v>
      </c>
      <c r="H6595" s="268">
        <v>57</v>
      </c>
      <c r="I6595" s="268">
        <v>83</v>
      </c>
      <c r="J6595" s="268">
        <v>57</v>
      </c>
      <c r="K6595" s="268">
        <v>84</v>
      </c>
      <c r="L6595" s="268">
        <v>109</v>
      </c>
      <c r="M6595" s="268">
        <v>54</v>
      </c>
      <c r="N6595" s="268">
        <v>72</v>
      </c>
      <c r="O6595" s="278">
        <v>53</v>
      </c>
    </row>
    <row r="6596" spans="1:15">
      <c r="A6596" s="266" t="s">
        <v>70</v>
      </c>
      <c r="B6596" s="267" t="s">
        <v>4</v>
      </c>
      <c r="C6596" s="15">
        <v>9</v>
      </c>
      <c r="D6596" s="269">
        <v>0</v>
      </c>
      <c r="E6596" s="269">
        <v>1</v>
      </c>
      <c r="F6596" s="269">
        <v>0</v>
      </c>
      <c r="G6596" s="269">
        <v>1</v>
      </c>
      <c r="H6596" s="269">
        <v>0</v>
      </c>
      <c r="I6596" s="269">
        <v>0</v>
      </c>
      <c r="J6596" s="269">
        <v>1</v>
      </c>
      <c r="K6596" s="269">
        <v>1</v>
      </c>
      <c r="L6596" s="269">
        <v>0</v>
      </c>
      <c r="M6596" s="269">
        <v>2</v>
      </c>
      <c r="N6596" s="269">
        <v>1</v>
      </c>
      <c r="O6596" s="279">
        <v>2</v>
      </c>
    </row>
    <row r="6597" spans="1:15">
      <c r="A6597" s="263" t="s">
        <v>70</v>
      </c>
      <c r="B6597" s="264" t="s">
        <v>5</v>
      </c>
      <c r="C6597" s="12">
        <v>0.0136570561456753</v>
      </c>
      <c r="D6597" s="265">
        <v>0</v>
      </c>
      <c r="E6597" s="265">
        <v>0.0555555555555556</v>
      </c>
      <c r="F6597" s="265">
        <v>0</v>
      </c>
      <c r="G6597" s="265">
        <v>0.0625</v>
      </c>
      <c r="H6597" s="265">
        <v>0</v>
      </c>
      <c r="I6597" s="265">
        <v>0</v>
      </c>
      <c r="J6597" s="265">
        <v>0.0175438596491228</v>
      </c>
      <c r="K6597" s="265">
        <v>0.0119047619047619</v>
      </c>
      <c r="L6597" s="265">
        <v>0</v>
      </c>
      <c r="M6597" s="265">
        <v>0.037037037037037</v>
      </c>
      <c r="N6597" s="265">
        <v>0.0138888888888889</v>
      </c>
      <c r="O6597" s="277">
        <v>0.0377358490566038</v>
      </c>
    </row>
    <row r="6598" spans="1:15">
      <c r="A6598" s="266" t="s">
        <v>70</v>
      </c>
      <c r="B6598" s="267" t="s">
        <v>6</v>
      </c>
      <c r="C6598" s="15">
        <v>5</v>
      </c>
      <c r="D6598" s="269">
        <v>0</v>
      </c>
      <c r="E6598" s="269">
        <v>0</v>
      </c>
      <c r="F6598" s="269">
        <v>0</v>
      </c>
      <c r="G6598" s="269">
        <v>1</v>
      </c>
      <c r="H6598" s="269">
        <v>0</v>
      </c>
      <c r="I6598" s="269">
        <v>1</v>
      </c>
      <c r="J6598" s="269">
        <v>1</v>
      </c>
      <c r="K6598" s="269">
        <v>0</v>
      </c>
      <c r="L6598" s="269">
        <v>2</v>
      </c>
      <c r="M6598" s="269">
        <v>0</v>
      </c>
      <c r="N6598" s="269">
        <v>0</v>
      </c>
      <c r="O6598" s="279">
        <v>0</v>
      </c>
    </row>
    <row r="6599" ht="14.25" spans="1:15">
      <c r="A6599" s="270" t="s">
        <v>70</v>
      </c>
      <c r="B6599" s="271" t="s">
        <v>64</v>
      </c>
      <c r="C6599" s="19">
        <v>0.555555555555556</v>
      </c>
      <c r="D6599" s="272">
        <v>0</v>
      </c>
      <c r="E6599" s="272">
        <v>0</v>
      </c>
      <c r="F6599" s="272">
        <v>0</v>
      </c>
      <c r="G6599" s="272">
        <v>1</v>
      </c>
      <c r="H6599" s="272">
        <v>0</v>
      </c>
      <c r="I6599" s="272">
        <v>0</v>
      </c>
      <c r="J6599" s="272">
        <v>1</v>
      </c>
      <c r="K6599" s="272">
        <v>0</v>
      </c>
      <c r="L6599" s="272">
        <v>0</v>
      </c>
      <c r="M6599" s="272">
        <v>0</v>
      </c>
      <c r="N6599" s="272">
        <v>0</v>
      </c>
      <c r="O6599" s="280">
        <v>0</v>
      </c>
    </row>
    <row r="6600" spans="1:15">
      <c r="A6600" s="263" t="s">
        <v>26</v>
      </c>
      <c r="B6600" s="264" t="s">
        <v>55</v>
      </c>
      <c r="C6600" s="12">
        <v>212.333333333333</v>
      </c>
      <c r="D6600" s="265">
        <v>61.5</v>
      </c>
      <c r="E6600" s="265" t="e">
        <v>#DIV/0!</v>
      </c>
      <c r="F6600" s="265" t="e">
        <v>#DIV/0!</v>
      </c>
      <c r="G6600" s="265" t="e">
        <v>#DIV/0!</v>
      </c>
      <c r="H6600" s="265">
        <v>54.5</v>
      </c>
      <c r="I6600" s="265" t="e">
        <v>#DIV/0!</v>
      </c>
      <c r="J6600" s="265" t="e">
        <v>#DIV/0!</v>
      </c>
      <c r="K6600" s="265">
        <v>75.5</v>
      </c>
      <c r="L6600" s="265" t="e">
        <v>#DIV/0!</v>
      </c>
      <c r="M6600" s="265" t="e">
        <v>#DIV/0!</v>
      </c>
      <c r="N6600" s="265" t="e">
        <v>#DIV/0!</v>
      </c>
      <c r="O6600" s="277" t="e">
        <v>#DIV/0!</v>
      </c>
    </row>
    <row r="6601" spans="1:15">
      <c r="A6601" s="266" t="s">
        <v>26</v>
      </c>
      <c r="B6601" s="267" t="s">
        <v>57</v>
      </c>
      <c r="C6601" s="15">
        <v>6</v>
      </c>
      <c r="D6601" s="268">
        <v>2</v>
      </c>
      <c r="E6601" s="268">
        <v>0</v>
      </c>
      <c r="F6601" s="268">
        <v>0</v>
      </c>
      <c r="G6601" s="268">
        <v>0</v>
      </c>
      <c r="H6601" s="268">
        <v>2</v>
      </c>
      <c r="I6601" s="268">
        <v>0</v>
      </c>
      <c r="J6601" s="268">
        <v>0</v>
      </c>
      <c r="K6601" s="268">
        <v>2</v>
      </c>
      <c r="L6601" s="268">
        <v>0</v>
      </c>
      <c r="M6601" s="268">
        <v>0</v>
      </c>
      <c r="N6601" s="268">
        <v>0</v>
      </c>
      <c r="O6601" s="278">
        <v>0</v>
      </c>
    </row>
    <row r="6602" spans="1:15">
      <c r="A6602" s="263" t="s">
        <v>26</v>
      </c>
      <c r="B6602" s="264" t="s">
        <v>59</v>
      </c>
      <c r="C6602" s="15">
        <v>1274</v>
      </c>
      <c r="D6602" s="268">
        <v>123</v>
      </c>
      <c r="E6602" s="268">
        <v>72</v>
      </c>
      <c r="F6602" s="268">
        <v>55</v>
      </c>
      <c r="G6602" s="268">
        <v>37</v>
      </c>
      <c r="H6602" s="268">
        <v>109</v>
      </c>
      <c r="I6602" s="268">
        <v>123</v>
      </c>
      <c r="J6602" s="268">
        <v>112</v>
      </c>
      <c r="K6602" s="268">
        <v>151</v>
      </c>
      <c r="L6602" s="268">
        <v>120</v>
      </c>
      <c r="M6602" s="268">
        <v>94</v>
      </c>
      <c r="N6602" s="268">
        <v>134</v>
      </c>
      <c r="O6602" s="278">
        <v>144</v>
      </c>
    </row>
    <row r="6603" spans="1:15">
      <c r="A6603" s="266" t="s">
        <v>26</v>
      </c>
      <c r="B6603" s="267" t="s">
        <v>4</v>
      </c>
      <c r="C6603" s="15">
        <v>20</v>
      </c>
      <c r="D6603" s="269">
        <v>3</v>
      </c>
      <c r="E6603" s="269">
        <v>1</v>
      </c>
      <c r="F6603" s="269">
        <v>2</v>
      </c>
      <c r="G6603" s="269">
        <v>0</v>
      </c>
      <c r="H6603" s="269">
        <v>1</v>
      </c>
      <c r="I6603" s="269">
        <v>1</v>
      </c>
      <c r="J6603" s="269">
        <v>3</v>
      </c>
      <c r="K6603" s="269">
        <v>0</v>
      </c>
      <c r="L6603" s="269">
        <v>1</v>
      </c>
      <c r="M6603" s="269">
        <v>3</v>
      </c>
      <c r="N6603" s="269">
        <v>1</v>
      </c>
      <c r="O6603" s="279">
        <v>4</v>
      </c>
    </row>
    <row r="6604" spans="1:15">
      <c r="A6604" s="263" t="s">
        <v>26</v>
      </c>
      <c r="B6604" s="264" t="s">
        <v>5</v>
      </c>
      <c r="C6604" s="12">
        <v>0.0156985871271586</v>
      </c>
      <c r="D6604" s="265">
        <v>0.024390243902439</v>
      </c>
      <c r="E6604" s="265">
        <v>0.0138888888888889</v>
      </c>
      <c r="F6604" s="265">
        <v>0.0363636363636364</v>
      </c>
      <c r="G6604" s="265">
        <v>0</v>
      </c>
      <c r="H6604" s="265">
        <v>0.00917431192660551</v>
      </c>
      <c r="I6604" s="265">
        <v>0.00813008130081301</v>
      </c>
      <c r="J6604" s="265">
        <v>0.0267857142857143</v>
      </c>
      <c r="K6604" s="265">
        <v>0</v>
      </c>
      <c r="L6604" s="265">
        <v>0.00833333333333333</v>
      </c>
      <c r="M6604" s="265">
        <v>0.0319148936170213</v>
      </c>
      <c r="N6604" s="265">
        <v>0.00746268656716418</v>
      </c>
      <c r="O6604" s="277">
        <v>0.0277777777777778</v>
      </c>
    </row>
    <row r="6605" spans="1:15">
      <c r="A6605" s="266" t="s">
        <v>26</v>
      </c>
      <c r="B6605" s="267" t="s">
        <v>6</v>
      </c>
      <c r="C6605" s="15">
        <v>8</v>
      </c>
      <c r="D6605" s="269">
        <v>0</v>
      </c>
      <c r="E6605" s="269">
        <v>1</v>
      </c>
      <c r="F6605" s="269">
        <v>0</v>
      </c>
      <c r="G6605" s="269">
        <v>0</v>
      </c>
      <c r="H6605" s="269">
        <v>1</v>
      </c>
      <c r="I6605" s="269">
        <v>2</v>
      </c>
      <c r="J6605" s="269">
        <v>2</v>
      </c>
      <c r="K6605" s="269">
        <v>0</v>
      </c>
      <c r="L6605" s="269">
        <v>0</v>
      </c>
      <c r="M6605" s="269">
        <v>0</v>
      </c>
      <c r="N6605" s="269">
        <v>0</v>
      </c>
      <c r="O6605" s="279">
        <v>2</v>
      </c>
    </row>
    <row r="6606" ht="14.25" spans="1:15">
      <c r="A6606" s="270" t="s">
        <v>26</v>
      </c>
      <c r="B6606" s="271" t="s">
        <v>64</v>
      </c>
      <c r="C6606" s="19">
        <v>0.4</v>
      </c>
      <c r="D6606" s="19">
        <v>0</v>
      </c>
      <c r="E6606" s="19">
        <v>1</v>
      </c>
      <c r="F6606" s="19">
        <v>0</v>
      </c>
      <c r="G6606" s="19" t="e">
        <v>#DIV/0!</v>
      </c>
      <c r="H6606" s="19">
        <v>1</v>
      </c>
      <c r="I6606" s="19">
        <v>2</v>
      </c>
      <c r="J6606" s="19">
        <v>0.666666666666667</v>
      </c>
      <c r="K6606" s="19" t="e">
        <v>#DIV/0!</v>
      </c>
      <c r="L6606" s="19">
        <v>0</v>
      </c>
      <c r="M6606" s="19">
        <v>0</v>
      </c>
      <c r="N6606" s="19">
        <v>0</v>
      </c>
      <c r="O6606" s="19">
        <v>0.5</v>
      </c>
    </row>
    <row r="6607" spans="1:15">
      <c r="A6607" s="263" t="s">
        <v>71</v>
      </c>
      <c r="B6607" s="264" t="s">
        <v>55</v>
      </c>
      <c r="C6607" s="12" t="e">
        <v>#DIV/0!</v>
      </c>
      <c r="D6607" s="265" t="e">
        <v>#DIV/0!</v>
      </c>
      <c r="E6607" s="265" t="e">
        <v>#DIV/0!</v>
      </c>
      <c r="F6607" s="265" t="e">
        <v>#DIV/0!</v>
      </c>
      <c r="G6607" s="265" t="e">
        <v>#DIV/0!</v>
      </c>
      <c r="H6607" s="265" t="e">
        <v>#DIV/0!</v>
      </c>
      <c r="I6607" s="265" t="e">
        <v>#DIV/0!</v>
      </c>
      <c r="J6607" s="265" t="e">
        <v>#DIV/0!</v>
      </c>
      <c r="K6607" s="265" t="e">
        <v>#DIV/0!</v>
      </c>
      <c r="L6607" s="265" t="e">
        <v>#DIV/0!</v>
      </c>
      <c r="M6607" s="265" t="e">
        <v>#DIV/0!</v>
      </c>
      <c r="N6607" s="265" t="e">
        <v>#DIV/0!</v>
      </c>
      <c r="O6607" s="277" t="e">
        <v>#DIV/0!</v>
      </c>
    </row>
    <row r="6608" spans="1:15">
      <c r="A6608" s="266" t="s">
        <v>71</v>
      </c>
      <c r="B6608" s="267" t="s">
        <v>57</v>
      </c>
      <c r="C6608" s="15">
        <v>0</v>
      </c>
      <c r="D6608" s="268">
        <v>0</v>
      </c>
      <c r="E6608" s="268">
        <v>0</v>
      </c>
      <c r="F6608" s="268">
        <v>0</v>
      </c>
      <c r="G6608" s="268">
        <v>0</v>
      </c>
      <c r="H6608" s="268">
        <v>0</v>
      </c>
      <c r="I6608" s="268">
        <v>0</v>
      </c>
      <c r="J6608" s="268">
        <v>0</v>
      </c>
      <c r="K6608" s="268">
        <v>0</v>
      </c>
      <c r="L6608" s="268">
        <v>0</v>
      </c>
      <c r="M6608" s="268">
        <v>0</v>
      </c>
      <c r="N6608" s="268">
        <v>0</v>
      </c>
      <c r="O6608" s="278">
        <v>0</v>
      </c>
    </row>
    <row r="6609" spans="1:15">
      <c r="A6609" s="263" t="s">
        <v>71</v>
      </c>
      <c r="B6609" s="264" t="s">
        <v>59</v>
      </c>
      <c r="C6609" s="15">
        <v>139</v>
      </c>
      <c r="D6609" s="268">
        <v>11</v>
      </c>
      <c r="E6609" s="268">
        <v>11</v>
      </c>
      <c r="F6609" s="268">
        <v>5</v>
      </c>
      <c r="G6609" s="268">
        <v>7</v>
      </c>
      <c r="H6609" s="268">
        <v>5</v>
      </c>
      <c r="I6609" s="268">
        <v>9</v>
      </c>
      <c r="J6609" s="268">
        <v>7</v>
      </c>
      <c r="K6609" s="268">
        <v>25</v>
      </c>
      <c r="L6609" s="268">
        <v>18</v>
      </c>
      <c r="M6609" s="268">
        <v>17</v>
      </c>
      <c r="N6609" s="268">
        <v>11</v>
      </c>
      <c r="O6609" s="278">
        <v>13</v>
      </c>
    </row>
    <row r="6610" spans="1:15">
      <c r="A6610" s="266" t="s">
        <v>71</v>
      </c>
      <c r="B6610" s="267" t="s">
        <v>4</v>
      </c>
      <c r="C6610" s="15">
        <v>11</v>
      </c>
      <c r="D6610" s="269">
        <v>1</v>
      </c>
      <c r="E6610" s="269">
        <v>0</v>
      </c>
      <c r="F6610" s="269">
        <v>0</v>
      </c>
      <c r="G6610" s="269">
        <v>0</v>
      </c>
      <c r="H6610" s="269">
        <v>0</v>
      </c>
      <c r="I6610" s="269">
        <v>1</v>
      </c>
      <c r="J6610" s="269">
        <v>0</v>
      </c>
      <c r="K6610" s="269">
        <v>2</v>
      </c>
      <c r="L6610" s="269">
        <v>0</v>
      </c>
      <c r="M6610" s="269">
        <v>3</v>
      </c>
      <c r="N6610" s="269">
        <v>1</v>
      </c>
      <c r="O6610" s="279">
        <v>3</v>
      </c>
    </row>
    <row r="6611" spans="1:15">
      <c r="A6611" s="263" t="s">
        <v>71</v>
      </c>
      <c r="B6611" s="264" t="s">
        <v>5</v>
      </c>
      <c r="C6611" s="265">
        <v>0.079136690647482</v>
      </c>
      <c r="D6611" s="265">
        <v>0.0909090909090909</v>
      </c>
      <c r="E6611" s="265">
        <v>0</v>
      </c>
      <c r="F6611" s="265">
        <v>0</v>
      </c>
      <c r="G6611" s="265">
        <v>0</v>
      </c>
      <c r="H6611" s="265">
        <v>0</v>
      </c>
      <c r="I6611" s="265">
        <v>0.111111111111111</v>
      </c>
      <c r="J6611" s="265">
        <v>0</v>
      </c>
      <c r="K6611" s="265">
        <v>0.08</v>
      </c>
      <c r="L6611" s="265">
        <v>0</v>
      </c>
      <c r="M6611" s="265">
        <v>0.176470588235294</v>
      </c>
      <c r="N6611" s="265">
        <v>0.0909090909090909</v>
      </c>
      <c r="O6611" s="277">
        <v>0.230769230769231</v>
      </c>
    </row>
    <row r="6612" spans="1:15">
      <c r="A6612" s="266" t="s">
        <v>71</v>
      </c>
      <c r="B6612" s="267" t="s">
        <v>6</v>
      </c>
      <c r="C6612" s="15">
        <v>4</v>
      </c>
      <c r="D6612" s="269">
        <v>0</v>
      </c>
      <c r="E6612" s="269">
        <v>1</v>
      </c>
      <c r="F6612" s="269">
        <v>0</v>
      </c>
      <c r="G6612" s="269">
        <v>0</v>
      </c>
      <c r="H6612" s="269">
        <v>0</v>
      </c>
      <c r="I6612" s="269">
        <v>1</v>
      </c>
      <c r="J6612" s="269">
        <v>0</v>
      </c>
      <c r="K6612" s="269">
        <v>2</v>
      </c>
      <c r="L6612" s="269">
        <v>0</v>
      </c>
      <c r="M6612" s="269">
        <v>0</v>
      </c>
      <c r="N6612" s="269">
        <v>0</v>
      </c>
      <c r="O6612" s="279">
        <v>0</v>
      </c>
    </row>
    <row r="6613" ht="14.25" spans="1:15">
      <c r="A6613" s="270" t="s">
        <v>71</v>
      </c>
      <c r="B6613" s="271" t="s">
        <v>64</v>
      </c>
      <c r="C6613" s="19">
        <v>0.363636363636364</v>
      </c>
      <c r="D6613" s="19">
        <v>0</v>
      </c>
      <c r="E6613" s="19" t="e">
        <v>#DIV/0!</v>
      </c>
      <c r="F6613" s="19" t="e">
        <v>#DIV/0!</v>
      </c>
      <c r="G6613" s="19" t="e">
        <v>#DIV/0!</v>
      </c>
      <c r="H6613" s="19" t="e">
        <v>#DIV/0!</v>
      </c>
      <c r="I6613" s="19">
        <v>1</v>
      </c>
      <c r="J6613" s="19" t="e">
        <v>#DIV/0!</v>
      </c>
      <c r="K6613" s="19">
        <v>1</v>
      </c>
      <c r="L6613" s="19" t="e">
        <v>#DIV/0!</v>
      </c>
      <c r="M6613" s="19">
        <v>0</v>
      </c>
      <c r="N6613" s="19">
        <v>0</v>
      </c>
      <c r="O6613" s="19">
        <v>0</v>
      </c>
    </row>
    <row r="6614" spans="1:15">
      <c r="A6614" s="263" t="s">
        <v>72</v>
      </c>
      <c r="B6614" s="264" t="s">
        <v>55</v>
      </c>
      <c r="C6614" s="12">
        <v>0.130325814536341</v>
      </c>
      <c r="D6614" s="265">
        <v>0.111570247933884</v>
      </c>
      <c r="E6614" s="265">
        <v>0.224299065420561</v>
      </c>
      <c r="F6614" s="265">
        <v>0.127659574468085</v>
      </c>
      <c r="G6614" s="265">
        <v>0.145038167938931</v>
      </c>
      <c r="H6614" s="265">
        <v>0.178571428571429</v>
      </c>
      <c r="I6614" s="265">
        <v>0.162921348314607</v>
      </c>
      <c r="J6614" s="265">
        <v>0.120879120879121</v>
      </c>
      <c r="K6614" s="265">
        <v>0.110687022900763</v>
      </c>
      <c r="L6614" s="265">
        <v>0.11587982832618</v>
      </c>
      <c r="M6614" s="265">
        <v>0.1</v>
      </c>
      <c r="N6614" s="265">
        <v>0.129129129129129</v>
      </c>
      <c r="O6614" s="277">
        <v>0.119205298013245</v>
      </c>
    </row>
    <row r="6615" spans="1:15">
      <c r="A6615" s="266" t="s">
        <v>72</v>
      </c>
      <c r="B6615" s="267" t="s">
        <v>57</v>
      </c>
      <c r="C6615" s="15">
        <v>2394</v>
      </c>
      <c r="D6615" s="268">
        <v>242</v>
      </c>
      <c r="E6615" s="268">
        <v>107</v>
      </c>
      <c r="F6615" s="268">
        <v>94</v>
      </c>
      <c r="G6615" s="268">
        <v>131</v>
      </c>
      <c r="H6615" s="268">
        <v>140</v>
      </c>
      <c r="I6615" s="268">
        <v>178</v>
      </c>
      <c r="J6615" s="268">
        <v>182</v>
      </c>
      <c r="K6615" s="268">
        <v>262</v>
      </c>
      <c r="L6615" s="268">
        <v>233</v>
      </c>
      <c r="M6615" s="268">
        <v>190</v>
      </c>
      <c r="N6615" s="268">
        <v>333</v>
      </c>
      <c r="O6615" s="278">
        <v>302</v>
      </c>
    </row>
    <row r="6616" spans="1:15">
      <c r="A6616" s="263" t="s">
        <v>72</v>
      </c>
      <c r="B6616" s="264" t="s">
        <v>59</v>
      </c>
      <c r="C6616" s="15">
        <v>312</v>
      </c>
      <c r="D6616" s="268">
        <v>27</v>
      </c>
      <c r="E6616" s="268">
        <v>24</v>
      </c>
      <c r="F6616" s="268">
        <v>12</v>
      </c>
      <c r="G6616" s="268">
        <v>19</v>
      </c>
      <c r="H6616" s="268">
        <v>25</v>
      </c>
      <c r="I6616" s="268">
        <v>29</v>
      </c>
      <c r="J6616" s="268">
        <v>22</v>
      </c>
      <c r="K6616" s="268">
        <v>29</v>
      </c>
      <c r="L6616" s="268">
        <v>27</v>
      </c>
      <c r="M6616" s="268">
        <v>19</v>
      </c>
      <c r="N6616" s="268">
        <v>43</v>
      </c>
      <c r="O6616" s="278">
        <v>36</v>
      </c>
    </row>
    <row r="6617" spans="1:15">
      <c r="A6617" s="266" t="s">
        <v>72</v>
      </c>
      <c r="B6617" s="267" t="s">
        <v>4</v>
      </c>
      <c r="C6617" s="15">
        <v>16</v>
      </c>
      <c r="D6617" s="269">
        <v>1</v>
      </c>
      <c r="E6617" s="269">
        <v>0</v>
      </c>
      <c r="F6617" s="269">
        <v>2</v>
      </c>
      <c r="G6617" s="269">
        <v>2</v>
      </c>
      <c r="H6617" s="269">
        <v>0</v>
      </c>
      <c r="I6617" s="269">
        <v>1</v>
      </c>
      <c r="J6617" s="269">
        <v>1</v>
      </c>
      <c r="K6617" s="269">
        <v>1</v>
      </c>
      <c r="L6617" s="269">
        <v>1</v>
      </c>
      <c r="M6617" s="269">
        <v>1</v>
      </c>
      <c r="N6617" s="269">
        <v>3</v>
      </c>
      <c r="O6617" s="279">
        <v>3</v>
      </c>
    </row>
    <row r="6618" spans="1:15">
      <c r="A6618" s="263" t="s">
        <v>72</v>
      </c>
      <c r="B6618" s="264" t="s">
        <v>5</v>
      </c>
      <c r="C6618" s="12">
        <v>0.0512820512820513</v>
      </c>
      <c r="D6618" s="265">
        <v>0.037037037037037</v>
      </c>
      <c r="E6618" s="265">
        <v>0</v>
      </c>
      <c r="F6618" s="265">
        <v>0.166666666666667</v>
      </c>
      <c r="G6618" s="265">
        <v>0.105263157894737</v>
      </c>
      <c r="H6618" s="265">
        <v>0</v>
      </c>
      <c r="I6618" s="265">
        <v>0.0344827586206897</v>
      </c>
      <c r="J6618" s="265">
        <v>0.0454545454545455</v>
      </c>
      <c r="K6618" s="265">
        <v>0.0344827586206897</v>
      </c>
      <c r="L6618" s="265">
        <v>0.037037037037037</v>
      </c>
      <c r="M6618" s="265">
        <v>0.0526315789473684</v>
      </c>
      <c r="N6618" s="265">
        <v>0.0697674418604651</v>
      </c>
      <c r="O6618" s="277">
        <v>0.0833333333333333</v>
      </c>
    </row>
    <row r="6619" spans="1:15">
      <c r="A6619" s="266" t="s">
        <v>72</v>
      </c>
      <c r="B6619" s="267" t="s">
        <v>6</v>
      </c>
      <c r="C6619" s="15">
        <v>4</v>
      </c>
      <c r="D6619" s="269">
        <v>0</v>
      </c>
      <c r="E6619" s="269">
        <v>0</v>
      </c>
      <c r="F6619" s="269">
        <v>0</v>
      </c>
      <c r="G6619" s="269">
        <v>1</v>
      </c>
      <c r="H6619" s="269">
        <v>1</v>
      </c>
      <c r="I6619" s="269">
        <v>0</v>
      </c>
      <c r="J6619" s="269">
        <v>0</v>
      </c>
      <c r="K6619" s="269">
        <v>0</v>
      </c>
      <c r="L6619" s="269">
        <v>0</v>
      </c>
      <c r="M6619" s="269">
        <v>1</v>
      </c>
      <c r="N6619" s="269">
        <v>1</v>
      </c>
      <c r="O6619" s="279">
        <v>0</v>
      </c>
    </row>
    <row r="6620" ht="14.25" spans="1:15">
      <c r="A6620" s="270" t="s">
        <v>72</v>
      </c>
      <c r="B6620" s="271" t="s">
        <v>64</v>
      </c>
      <c r="C6620" s="19">
        <v>0.25</v>
      </c>
      <c r="D6620" s="19">
        <v>0</v>
      </c>
      <c r="E6620" s="19" t="e">
        <v>#DIV/0!</v>
      </c>
      <c r="F6620" s="19">
        <v>0</v>
      </c>
      <c r="G6620" s="19">
        <v>0.5</v>
      </c>
      <c r="H6620" s="19" t="e">
        <v>#DIV/0!</v>
      </c>
      <c r="I6620" s="19">
        <v>0</v>
      </c>
      <c r="J6620" s="19">
        <v>0</v>
      </c>
      <c r="K6620" s="19">
        <v>0</v>
      </c>
      <c r="L6620" s="19">
        <v>0</v>
      </c>
      <c r="M6620" s="19">
        <v>1</v>
      </c>
      <c r="N6620" s="19">
        <v>0.333333333333333</v>
      </c>
      <c r="O6620" s="19">
        <v>0</v>
      </c>
    </row>
    <row r="6621" ht="14.25" spans="1:15">
      <c r="A6621" s="259">
        <v>45121</v>
      </c>
      <c r="B6621" s="259"/>
      <c r="C6621" s="259"/>
      <c r="D6621" s="259"/>
      <c r="E6621" s="259"/>
      <c r="F6621" s="259"/>
      <c r="G6621" s="259"/>
      <c r="H6621" s="259"/>
      <c r="I6621" s="259"/>
      <c r="J6621" s="259"/>
      <c r="K6621" s="259"/>
      <c r="L6621" s="259"/>
      <c r="M6621" s="259"/>
      <c r="N6621" s="259"/>
      <c r="O6621" s="259"/>
    </row>
    <row r="6622" spans="1:15">
      <c r="A6622" s="260" t="s">
        <v>1</v>
      </c>
      <c r="B6622" s="261"/>
      <c r="C6622" s="8" t="s">
        <v>42</v>
      </c>
      <c r="D6622" s="262" t="s">
        <v>43</v>
      </c>
      <c r="E6622" s="262" t="s">
        <v>44</v>
      </c>
      <c r="F6622" s="262" t="s">
        <v>45</v>
      </c>
      <c r="G6622" s="262" t="s">
        <v>46</v>
      </c>
      <c r="H6622" s="262" t="s">
        <v>47</v>
      </c>
      <c r="I6622" s="262" t="s">
        <v>48</v>
      </c>
      <c r="J6622" s="262" t="s">
        <v>49</v>
      </c>
      <c r="K6622" s="262" t="s">
        <v>50</v>
      </c>
      <c r="L6622" s="262" t="s">
        <v>51</v>
      </c>
      <c r="M6622" s="262" t="s">
        <v>52</v>
      </c>
      <c r="N6622" s="262" t="s">
        <v>53</v>
      </c>
      <c r="O6622" s="276" t="s">
        <v>54</v>
      </c>
    </row>
    <row r="6623" spans="1:15">
      <c r="A6623" s="263" t="s">
        <v>22</v>
      </c>
      <c r="B6623" s="264" t="s">
        <v>55</v>
      </c>
      <c r="C6623" s="12">
        <v>0.475752935171006</v>
      </c>
      <c r="D6623" s="265">
        <v>0.58974358974359</v>
      </c>
      <c r="E6623" s="265">
        <v>0.358490566037736</v>
      </c>
      <c r="F6623" s="265">
        <v>0.5</v>
      </c>
      <c r="G6623" s="265">
        <v>0.516483516483517</v>
      </c>
      <c r="H6623" s="265">
        <v>0.583333333333333</v>
      </c>
      <c r="I6623" s="265">
        <v>0.494186046511628</v>
      </c>
      <c r="J6623" s="265">
        <v>0.431952662721893</v>
      </c>
      <c r="K6623" s="265">
        <v>0.441860465116279</v>
      </c>
      <c r="L6623" s="265">
        <v>0.440860215053763</v>
      </c>
      <c r="M6623" s="265">
        <v>0.429447852760736</v>
      </c>
      <c r="N6623" s="265">
        <v>0.420792079207921</v>
      </c>
      <c r="O6623" s="277">
        <v>0.493273542600897</v>
      </c>
    </row>
    <row r="6624" spans="1:15">
      <c r="A6624" s="266" t="s">
        <v>22</v>
      </c>
      <c r="B6624" s="267" t="s">
        <v>57</v>
      </c>
      <c r="C6624" s="15">
        <v>1959</v>
      </c>
      <c r="D6624" s="268">
        <v>234</v>
      </c>
      <c r="E6624" s="268">
        <v>106</v>
      </c>
      <c r="F6624" s="268">
        <v>78</v>
      </c>
      <c r="G6624" s="268">
        <v>91</v>
      </c>
      <c r="H6624" s="268">
        <v>120</v>
      </c>
      <c r="I6624" s="268">
        <v>172</v>
      </c>
      <c r="J6624" s="268">
        <v>169</v>
      </c>
      <c r="K6624" s="268">
        <v>215</v>
      </c>
      <c r="L6624" s="268">
        <v>186</v>
      </c>
      <c r="M6624" s="268">
        <v>163</v>
      </c>
      <c r="N6624" s="268">
        <v>202</v>
      </c>
      <c r="O6624" s="278">
        <v>223</v>
      </c>
    </row>
    <row r="6625" spans="1:15">
      <c r="A6625" s="263" t="s">
        <v>22</v>
      </c>
      <c r="B6625" s="264" t="s">
        <v>59</v>
      </c>
      <c r="C6625" s="15">
        <v>932</v>
      </c>
      <c r="D6625" s="268">
        <v>138</v>
      </c>
      <c r="E6625" s="268">
        <v>38</v>
      </c>
      <c r="F6625" s="268">
        <v>39</v>
      </c>
      <c r="G6625" s="268">
        <v>47</v>
      </c>
      <c r="H6625" s="268">
        <v>70</v>
      </c>
      <c r="I6625" s="268">
        <v>85</v>
      </c>
      <c r="J6625" s="268">
        <v>73</v>
      </c>
      <c r="K6625" s="268">
        <v>95</v>
      </c>
      <c r="L6625" s="268">
        <v>82</v>
      </c>
      <c r="M6625" s="268">
        <v>70</v>
      </c>
      <c r="N6625" s="268">
        <v>85</v>
      </c>
      <c r="O6625" s="278">
        <v>110</v>
      </c>
    </row>
    <row r="6626" spans="1:15">
      <c r="A6626" s="266" t="s">
        <v>22</v>
      </c>
      <c r="B6626" s="267" t="s">
        <v>4</v>
      </c>
      <c r="C6626" s="15">
        <v>33</v>
      </c>
      <c r="D6626" s="269">
        <v>6</v>
      </c>
      <c r="E6626" s="269">
        <v>0</v>
      </c>
      <c r="F6626" s="269">
        <v>2</v>
      </c>
      <c r="G6626" s="269">
        <v>2</v>
      </c>
      <c r="H6626" s="269">
        <v>0</v>
      </c>
      <c r="I6626" s="269">
        <v>2</v>
      </c>
      <c r="J6626" s="269">
        <v>1</v>
      </c>
      <c r="K6626" s="269">
        <v>3</v>
      </c>
      <c r="L6626" s="269">
        <v>4</v>
      </c>
      <c r="M6626" s="269">
        <v>3</v>
      </c>
      <c r="N6626" s="269">
        <v>1</v>
      </c>
      <c r="O6626" s="279">
        <v>9</v>
      </c>
    </row>
    <row r="6627" spans="1:15">
      <c r="A6627" s="263" t="s">
        <v>22</v>
      </c>
      <c r="B6627" s="264" t="s">
        <v>5</v>
      </c>
      <c r="C6627" s="12">
        <v>0.0354077253218884</v>
      </c>
      <c r="D6627" s="265">
        <v>0.0434782608695652</v>
      </c>
      <c r="E6627" s="265">
        <v>0</v>
      </c>
      <c r="F6627" s="265">
        <v>0.0512820512820513</v>
      </c>
      <c r="G6627" s="265">
        <v>0.0425531914893617</v>
      </c>
      <c r="H6627" s="265">
        <v>0</v>
      </c>
      <c r="I6627" s="265">
        <v>0.0235294117647059</v>
      </c>
      <c r="J6627" s="265">
        <v>0.0136986301369863</v>
      </c>
      <c r="K6627" s="265">
        <v>0.0315789473684211</v>
      </c>
      <c r="L6627" s="265">
        <v>0.0487804878048781</v>
      </c>
      <c r="M6627" s="265">
        <v>0.0428571428571429</v>
      </c>
      <c r="N6627" s="265">
        <v>0.0117647058823529</v>
      </c>
      <c r="O6627" s="277">
        <v>0.0818181818181818</v>
      </c>
    </row>
    <row r="6628" spans="1:15">
      <c r="A6628" s="266" t="s">
        <v>22</v>
      </c>
      <c r="B6628" s="267" t="s">
        <v>6</v>
      </c>
      <c r="C6628" s="15">
        <v>15</v>
      </c>
      <c r="D6628" s="269">
        <v>2</v>
      </c>
      <c r="E6628" s="269">
        <v>0</v>
      </c>
      <c r="F6628" s="269">
        <v>1</v>
      </c>
      <c r="G6628" s="269">
        <v>1</v>
      </c>
      <c r="H6628" s="269">
        <v>3</v>
      </c>
      <c r="I6628" s="269">
        <v>0</v>
      </c>
      <c r="J6628" s="269">
        <v>1</v>
      </c>
      <c r="K6628" s="269">
        <v>1</v>
      </c>
      <c r="L6628" s="269">
        <v>2</v>
      </c>
      <c r="M6628" s="269">
        <v>1</v>
      </c>
      <c r="N6628" s="269">
        <v>0</v>
      </c>
      <c r="O6628" s="279">
        <v>3</v>
      </c>
    </row>
    <row r="6629" ht="14.25" spans="1:15">
      <c r="A6629" s="270" t="s">
        <v>22</v>
      </c>
      <c r="B6629" s="271" t="s">
        <v>64</v>
      </c>
      <c r="C6629" s="19">
        <v>0.454545454545455</v>
      </c>
      <c r="D6629" s="272">
        <v>0.333333333333333</v>
      </c>
      <c r="E6629" s="272">
        <v>0</v>
      </c>
      <c r="F6629" s="272">
        <v>0.5</v>
      </c>
      <c r="G6629" s="272">
        <v>0.5</v>
      </c>
      <c r="H6629" s="272">
        <v>0</v>
      </c>
      <c r="I6629" s="272">
        <v>0</v>
      </c>
      <c r="J6629" s="272">
        <v>1</v>
      </c>
      <c r="K6629" s="272">
        <v>0.333333333333333</v>
      </c>
      <c r="L6629" s="272">
        <v>0.5</v>
      </c>
      <c r="M6629" s="272">
        <v>0.333333333333333</v>
      </c>
      <c r="N6629" s="272">
        <v>0</v>
      </c>
      <c r="O6629" s="280">
        <v>0.333333333333333</v>
      </c>
    </row>
    <row r="6630" spans="1:15">
      <c r="A6630" s="273" t="s">
        <v>66</v>
      </c>
      <c r="B6630" s="274" t="s">
        <v>55</v>
      </c>
      <c r="C6630" s="12">
        <v>0.172413793103448</v>
      </c>
      <c r="D6630" s="275">
        <v>0.248275862068966</v>
      </c>
      <c r="E6630" s="275">
        <v>0.138211382113821</v>
      </c>
      <c r="F6630" s="275">
        <v>0.162162162162162</v>
      </c>
      <c r="G6630" s="275">
        <v>0.15625</v>
      </c>
      <c r="H6630" s="275">
        <v>0.167785234899329</v>
      </c>
      <c r="I6630" s="275">
        <v>0.0909090909090909</v>
      </c>
      <c r="J6630" s="275">
        <v>0.147727272727273</v>
      </c>
      <c r="K6630" s="275">
        <v>0.16751269035533</v>
      </c>
      <c r="L6630" s="275">
        <v>0.218390804597701</v>
      </c>
      <c r="M6630" s="275">
        <v>0.186046511627907</v>
      </c>
      <c r="N6630" s="275">
        <v>0.202453987730061</v>
      </c>
      <c r="O6630" s="281">
        <v>0.18</v>
      </c>
    </row>
    <row r="6631" spans="1:15">
      <c r="A6631" s="266" t="s">
        <v>66</v>
      </c>
      <c r="B6631" s="267" t="s">
        <v>57</v>
      </c>
      <c r="C6631" s="15">
        <v>1914</v>
      </c>
      <c r="D6631" s="268">
        <v>145</v>
      </c>
      <c r="E6631" s="268">
        <v>123</v>
      </c>
      <c r="F6631" s="268">
        <v>111</v>
      </c>
      <c r="G6631" s="268">
        <v>128</v>
      </c>
      <c r="H6631" s="268">
        <v>149</v>
      </c>
      <c r="I6631" s="268">
        <v>176</v>
      </c>
      <c r="J6631" s="268">
        <v>176</v>
      </c>
      <c r="K6631" s="268">
        <v>197</v>
      </c>
      <c r="L6631" s="268">
        <v>174</v>
      </c>
      <c r="M6631" s="268">
        <v>172</v>
      </c>
      <c r="N6631" s="268">
        <v>163</v>
      </c>
      <c r="O6631" s="278">
        <v>200</v>
      </c>
    </row>
    <row r="6632" spans="1:15">
      <c r="A6632" s="263" t="s">
        <v>66</v>
      </c>
      <c r="B6632" s="264" t="s">
        <v>59</v>
      </c>
      <c r="C6632" s="15">
        <v>330</v>
      </c>
      <c r="D6632" s="268">
        <v>36</v>
      </c>
      <c r="E6632" s="268">
        <v>17</v>
      </c>
      <c r="F6632" s="268">
        <v>18</v>
      </c>
      <c r="G6632" s="268">
        <v>20</v>
      </c>
      <c r="H6632" s="268">
        <v>25</v>
      </c>
      <c r="I6632" s="268">
        <v>16</v>
      </c>
      <c r="J6632" s="268">
        <v>26</v>
      </c>
      <c r="K6632" s="268">
        <v>33</v>
      </c>
      <c r="L6632" s="268">
        <v>38</v>
      </c>
      <c r="M6632" s="268">
        <v>32</v>
      </c>
      <c r="N6632" s="268">
        <v>33</v>
      </c>
      <c r="O6632" s="278">
        <v>36</v>
      </c>
    </row>
    <row r="6633" spans="1:15">
      <c r="A6633" s="266" t="s">
        <v>66</v>
      </c>
      <c r="B6633" s="267" t="s">
        <v>4</v>
      </c>
      <c r="C6633" s="15">
        <v>9</v>
      </c>
      <c r="D6633" s="269">
        <v>2</v>
      </c>
      <c r="E6633" s="269">
        <v>1</v>
      </c>
      <c r="F6633" s="269">
        <v>1</v>
      </c>
      <c r="G6633" s="269">
        <v>1</v>
      </c>
      <c r="H6633" s="269">
        <v>1</v>
      </c>
      <c r="I6633" s="269">
        <v>0</v>
      </c>
      <c r="J6633" s="269">
        <v>0</v>
      </c>
      <c r="K6633" s="269">
        <v>0</v>
      </c>
      <c r="L6633" s="269">
        <v>1</v>
      </c>
      <c r="M6633" s="269">
        <v>1</v>
      </c>
      <c r="N6633" s="269">
        <v>0</v>
      </c>
      <c r="O6633" s="279">
        <v>1</v>
      </c>
    </row>
    <row r="6634" spans="1:15">
      <c r="A6634" s="263" t="s">
        <v>66</v>
      </c>
      <c r="B6634" s="264" t="s">
        <v>5</v>
      </c>
      <c r="C6634" s="12">
        <v>0.0272727272727273</v>
      </c>
      <c r="D6634" s="265">
        <v>0.0555555555555556</v>
      </c>
      <c r="E6634" s="265">
        <v>0.0588235294117647</v>
      </c>
      <c r="F6634" s="265">
        <v>0.0555555555555556</v>
      </c>
      <c r="G6634" s="265">
        <v>0.05</v>
      </c>
      <c r="H6634" s="265">
        <v>0.04</v>
      </c>
      <c r="I6634" s="265">
        <v>0</v>
      </c>
      <c r="J6634" s="265">
        <v>0</v>
      </c>
      <c r="K6634" s="265">
        <v>0</v>
      </c>
      <c r="L6634" s="265">
        <v>0.0263157894736842</v>
      </c>
      <c r="M6634" s="265">
        <v>0.03125</v>
      </c>
      <c r="N6634" s="265">
        <v>0</v>
      </c>
      <c r="O6634" s="277">
        <v>0.0277777777777778</v>
      </c>
    </row>
    <row r="6635" spans="1:15">
      <c r="A6635" s="266" t="s">
        <v>66</v>
      </c>
      <c r="B6635" s="267" t="s">
        <v>6</v>
      </c>
      <c r="C6635" s="15">
        <v>4</v>
      </c>
      <c r="D6635" s="269">
        <v>0</v>
      </c>
      <c r="E6635" s="269">
        <v>0</v>
      </c>
      <c r="F6635" s="269">
        <v>0</v>
      </c>
      <c r="G6635" s="269">
        <v>0</v>
      </c>
      <c r="H6635" s="269">
        <v>1</v>
      </c>
      <c r="I6635" s="269">
        <v>0</v>
      </c>
      <c r="J6635" s="269">
        <v>2</v>
      </c>
      <c r="K6635" s="269">
        <v>0</v>
      </c>
      <c r="L6635" s="269">
        <v>0</v>
      </c>
      <c r="M6635" s="269">
        <v>0</v>
      </c>
      <c r="N6635" s="269">
        <v>0</v>
      </c>
      <c r="O6635" s="279">
        <v>1</v>
      </c>
    </row>
    <row r="6636" ht="14.25" spans="1:15">
      <c r="A6636" s="270" t="s">
        <v>66</v>
      </c>
      <c r="B6636" s="271" t="s">
        <v>64</v>
      </c>
      <c r="C6636" s="19">
        <v>0.444444444444444</v>
      </c>
      <c r="D6636" s="272">
        <v>0</v>
      </c>
      <c r="E6636" s="272">
        <v>0</v>
      </c>
      <c r="F6636" s="272">
        <v>0</v>
      </c>
      <c r="G6636" s="272">
        <v>0</v>
      </c>
      <c r="H6636" s="272">
        <v>1</v>
      </c>
      <c r="I6636" s="272">
        <v>0</v>
      </c>
      <c r="J6636" s="272">
        <v>0</v>
      </c>
      <c r="K6636" s="272">
        <v>0</v>
      </c>
      <c r="L6636" s="272">
        <v>0</v>
      </c>
      <c r="M6636" s="272">
        <v>0</v>
      </c>
      <c r="N6636" s="272">
        <v>0</v>
      </c>
      <c r="O6636" s="280">
        <v>1</v>
      </c>
    </row>
    <row r="6637" spans="1:15">
      <c r="A6637" s="263" t="s">
        <v>67</v>
      </c>
      <c r="B6637" s="264" t="s">
        <v>55</v>
      </c>
      <c r="C6637" s="12">
        <v>0.640384615384615</v>
      </c>
      <c r="D6637" s="265">
        <v>0.530612244897959</v>
      </c>
      <c r="E6637" s="265">
        <v>0.5</v>
      </c>
      <c r="F6637" s="265">
        <v>0.478260869565217</v>
      </c>
      <c r="G6637" s="265">
        <v>0.681818181818182</v>
      </c>
      <c r="H6637" s="265">
        <v>0.75</v>
      </c>
      <c r="I6637" s="265">
        <v>0.771428571428571</v>
      </c>
      <c r="J6637" s="265">
        <v>0.622222222222222</v>
      </c>
      <c r="K6637" s="265">
        <v>0.683333333333333</v>
      </c>
      <c r="L6637" s="265">
        <v>0.710526315789474</v>
      </c>
      <c r="M6637" s="265">
        <v>0.576923076923077</v>
      </c>
      <c r="N6637" s="265">
        <v>0.585714285714286</v>
      </c>
      <c r="O6637" s="277">
        <v>0.730769230769231</v>
      </c>
    </row>
    <row r="6638" spans="1:15">
      <c r="A6638" s="266" t="s">
        <v>67</v>
      </c>
      <c r="B6638" s="267" t="s">
        <v>57</v>
      </c>
      <c r="C6638" s="15">
        <v>520</v>
      </c>
      <c r="D6638" s="268">
        <v>49</v>
      </c>
      <c r="E6638" s="268">
        <v>26</v>
      </c>
      <c r="F6638" s="268">
        <v>23</v>
      </c>
      <c r="G6638" s="268">
        <v>22</v>
      </c>
      <c r="H6638" s="268">
        <v>48</v>
      </c>
      <c r="I6638" s="268">
        <v>35</v>
      </c>
      <c r="J6638" s="268">
        <v>45</v>
      </c>
      <c r="K6638" s="268">
        <v>60</v>
      </c>
      <c r="L6638" s="268">
        <v>38</v>
      </c>
      <c r="M6638" s="268">
        <v>52</v>
      </c>
      <c r="N6638" s="268">
        <v>70</v>
      </c>
      <c r="O6638" s="278">
        <v>52</v>
      </c>
    </row>
    <row r="6639" spans="1:15">
      <c r="A6639" s="263" t="s">
        <v>67</v>
      </c>
      <c r="B6639" s="264" t="s">
        <v>59</v>
      </c>
      <c r="C6639" s="15">
        <v>333</v>
      </c>
      <c r="D6639" s="268">
        <v>26</v>
      </c>
      <c r="E6639" s="268">
        <v>13</v>
      </c>
      <c r="F6639" s="268">
        <v>11</v>
      </c>
      <c r="G6639" s="268">
        <v>15</v>
      </c>
      <c r="H6639" s="268">
        <v>36</v>
      </c>
      <c r="I6639" s="268">
        <v>27</v>
      </c>
      <c r="J6639" s="268">
        <v>28</v>
      </c>
      <c r="K6639" s="268">
        <v>41</v>
      </c>
      <c r="L6639" s="268">
        <v>27</v>
      </c>
      <c r="M6639" s="268">
        <v>30</v>
      </c>
      <c r="N6639" s="268">
        <v>41</v>
      </c>
      <c r="O6639" s="278">
        <v>38</v>
      </c>
    </row>
    <row r="6640" spans="1:15">
      <c r="A6640" s="266" t="s">
        <v>67</v>
      </c>
      <c r="B6640" s="267" t="s">
        <v>4</v>
      </c>
      <c r="C6640" s="15">
        <v>10</v>
      </c>
      <c r="D6640" s="269">
        <v>2</v>
      </c>
      <c r="E6640" s="269">
        <v>0</v>
      </c>
      <c r="F6640" s="269">
        <v>1</v>
      </c>
      <c r="G6640" s="269">
        <v>1</v>
      </c>
      <c r="H6640" s="269">
        <v>2</v>
      </c>
      <c r="I6640" s="269">
        <v>0</v>
      </c>
      <c r="J6640" s="269">
        <v>1</v>
      </c>
      <c r="K6640" s="269">
        <v>1</v>
      </c>
      <c r="L6640" s="269">
        <v>0</v>
      </c>
      <c r="M6640" s="269">
        <v>1</v>
      </c>
      <c r="N6640" s="269">
        <v>1</v>
      </c>
      <c r="O6640" s="279">
        <v>0</v>
      </c>
    </row>
    <row r="6641" spans="1:15">
      <c r="A6641" s="263" t="s">
        <v>67</v>
      </c>
      <c r="B6641" s="264" t="s">
        <v>5</v>
      </c>
      <c r="C6641" s="12">
        <v>0.03003003003003</v>
      </c>
      <c r="D6641" s="265">
        <v>0.0769230769230769</v>
      </c>
      <c r="E6641" s="265">
        <v>0</v>
      </c>
      <c r="F6641" s="265">
        <v>0.0909090909090909</v>
      </c>
      <c r="G6641" s="265">
        <v>0.0666666666666667</v>
      </c>
      <c r="H6641" s="265">
        <v>0.0555555555555556</v>
      </c>
      <c r="I6641" s="265">
        <v>0</v>
      </c>
      <c r="J6641" s="265">
        <v>0.0357142857142857</v>
      </c>
      <c r="K6641" s="265">
        <v>0.024390243902439</v>
      </c>
      <c r="L6641" s="265">
        <v>0</v>
      </c>
      <c r="M6641" s="265">
        <v>0.0333333333333333</v>
      </c>
      <c r="N6641" s="265">
        <v>0.024390243902439</v>
      </c>
      <c r="O6641" s="277">
        <v>0</v>
      </c>
    </row>
    <row r="6642" spans="1:15">
      <c r="A6642" s="266" t="s">
        <v>67</v>
      </c>
      <c r="B6642" s="267" t="s">
        <v>6</v>
      </c>
      <c r="C6642" s="15">
        <v>2</v>
      </c>
      <c r="D6642" s="269">
        <v>0</v>
      </c>
      <c r="E6642" s="269">
        <v>0</v>
      </c>
      <c r="F6642" s="269">
        <v>0</v>
      </c>
      <c r="G6642" s="269">
        <v>0</v>
      </c>
      <c r="H6642" s="269">
        <v>0</v>
      </c>
      <c r="I6642" s="269">
        <v>0</v>
      </c>
      <c r="J6642" s="269">
        <v>0</v>
      </c>
      <c r="K6642" s="269">
        <v>1</v>
      </c>
      <c r="L6642" s="269">
        <v>1</v>
      </c>
      <c r="M6642" s="269">
        <v>0</v>
      </c>
      <c r="N6642" s="269">
        <v>0</v>
      </c>
      <c r="O6642" s="279">
        <v>0</v>
      </c>
    </row>
    <row r="6643" ht="14.25" spans="1:15">
      <c r="A6643" s="270" t="s">
        <v>67</v>
      </c>
      <c r="B6643" s="271" t="s">
        <v>64</v>
      </c>
      <c r="C6643" s="19">
        <v>0.2</v>
      </c>
      <c r="D6643" s="272">
        <v>0</v>
      </c>
      <c r="E6643" s="272">
        <v>0</v>
      </c>
      <c r="F6643" s="272">
        <v>0</v>
      </c>
      <c r="G6643" s="272">
        <v>0</v>
      </c>
      <c r="H6643" s="272">
        <v>0</v>
      </c>
      <c r="I6643" s="272">
        <v>0</v>
      </c>
      <c r="J6643" s="272">
        <v>0</v>
      </c>
      <c r="K6643" s="272">
        <v>1</v>
      </c>
      <c r="L6643" s="272">
        <v>0</v>
      </c>
      <c r="M6643" s="272">
        <v>0</v>
      </c>
      <c r="N6643" s="272">
        <v>0</v>
      </c>
      <c r="O6643" s="280">
        <v>0</v>
      </c>
    </row>
    <row r="6644" spans="1:15">
      <c r="A6644" s="263" t="s">
        <v>68</v>
      </c>
      <c r="B6644" s="264" t="s">
        <v>55</v>
      </c>
      <c r="C6644" s="12">
        <v>0</v>
      </c>
      <c r="D6644" s="265">
        <v>0</v>
      </c>
      <c r="E6644" s="265">
        <v>0</v>
      </c>
      <c r="F6644" s="265">
        <v>0</v>
      </c>
      <c r="G6644" s="265">
        <v>0</v>
      </c>
      <c r="H6644" s="265">
        <v>0</v>
      </c>
      <c r="I6644" s="265">
        <v>0</v>
      </c>
      <c r="J6644" s="265">
        <v>0</v>
      </c>
      <c r="K6644" s="265">
        <v>0</v>
      </c>
      <c r="L6644" s="265">
        <v>0</v>
      </c>
      <c r="M6644" s="265">
        <v>0</v>
      </c>
      <c r="N6644" s="265">
        <v>0</v>
      </c>
      <c r="O6644" s="277">
        <v>0</v>
      </c>
    </row>
    <row r="6645" spans="1:15">
      <c r="A6645" s="266" t="s">
        <v>68</v>
      </c>
      <c r="B6645" s="267" t="s">
        <v>57</v>
      </c>
      <c r="C6645" s="15">
        <v>3702</v>
      </c>
      <c r="D6645" s="268">
        <v>364</v>
      </c>
      <c r="E6645" s="268">
        <v>366</v>
      </c>
      <c r="F6645" s="268">
        <v>165</v>
      </c>
      <c r="G6645" s="268">
        <v>154</v>
      </c>
      <c r="H6645" s="268">
        <v>263</v>
      </c>
      <c r="I6645" s="268">
        <v>324</v>
      </c>
      <c r="J6645" s="268">
        <v>305</v>
      </c>
      <c r="K6645" s="268">
        <v>365</v>
      </c>
      <c r="L6645" s="268">
        <v>422</v>
      </c>
      <c r="M6645" s="268">
        <v>272</v>
      </c>
      <c r="N6645" s="268">
        <v>315</v>
      </c>
      <c r="O6645" s="278">
        <v>387</v>
      </c>
    </row>
    <row r="6646" spans="1:15">
      <c r="A6646" s="263" t="s">
        <v>68</v>
      </c>
      <c r="B6646" s="264" t="s">
        <v>59</v>
      </c>
      <c r="C6646" s="15">
        <v>0</v>
      </c>
      <c r="D6646" s="268">
        <v>0</v>
      </c>
      <c r="E6646" s="268">
        <v>0</v>
      </c>
      <c r="F6646" s="268">
        <v>0</v>
      </c>
      <c r="G6646" s="268">
        <v>0</v>
      </c>
      <c r="H6646" s="268">
        <v>0</v>
      </c>
      <c r="I6646" s="268">
        <v>0</v>
      </c>
      <c r="J6646" s="268">
        <v>0</v>
      </c>
      <c r="K6646" s="268">
        <v>0</v>
      </c>
      <c r="L6646" s="268">
        <v>0</v>
      </c>
      <c r="M6646" s="268">
        <v>0</v>
      </c>
      <c r="N6646" s="268">
        <v>0</v>
      </c>
      <c r="O6646" s="278">
        <v>0</v>
      </c>
    </row>
    <row r="6647" spans="1:15">
      <c r="A6647" s="266" t="s">
        <v>68</v>
      </c>
      <c r="B6647" s="267" t="s">
        <v>4</v>
      </c>
      <c r="C6647" s="15">
        <v>65</v>
      </c>
      <c r="D6647" s="269">
        <v>5</v>
      </c>
      <c r="E6647" s="269">
        <v>5</v>
      </c>
      <c r="F6647" s="269">
        <v>2</v>
      </c>
      <c r="G6647" s="269">
        <v>2</v>
      </c>
      <c r="H6647" s="269">
        <v>5</v>
      </c>
      <c r="I6647" s="269">
        <v>6</v>
      </c>
      <c r="J6647" s="269">
        <v>7</v>
      </c>
      <c r="K6647" s="269">
        <v>7</v>
      </c>
      <c r="L6647" s="269">
        <v>12</v>
      </c>
      <c r="M6647" s="269">
        <v>3</v>
      </c>
      <c r="N6647" s="269">
        <v>4</v>
      </c>
      <c r="O6647" s="279">
        <v>7</v>
      </c>
    </row>
    <row r="6648" spans="1:15">
      <c r="A6648" s="263" t="s">
        <v>68</v>
      </c>
      <c r="B6648" s="264" t="s">
        <v>5</v>
      </c>
      <c r="C6648" s="12" t="e">
        <v>#DIV/0!</v>
      </c>
      <c r="D6648" s="265">
        <v>0</v>
      </c>
      <c r="E6648" s="265">
        <v>0</v>
      </c>
      <c r="F6648" s="265">
        <v>0</v>
      </c>
      <c r="G6648" s="265">
        <v>0</v>
      </c>
      <c r="H6648" s="265">
        <v>0</v>
      </c>
      <c r="I6648" s="265">
        <v>0</v>
      </c>
      <c r="J6648" s="265">
        <v>0</v>
      </c>
      <c r="K6648" s="265">
        <v>0</v>
      </c>
      <c r="L6648" s="265">
        <v>0</v>
      </c>
      <c r="M6648" s="265">
        <v>0</v>
      </c>
      <c r="N6648" s="265">
        <v>0</v>
      </c>
      <c r="O6648" s="277">
        <v>0</v>
      </c>
    </row>
    <row r="6649" spans="1:15">
      <c r="A6649" s="266" t="s">
        <v>68</v>
      </c>
      <c r="B6649" s="267" t="s">
        <v>6</v>
      </c>
      <c r="C6649" s="15">
        <v>21</v>
      </c>
      <c r="D6649" s="269">
        <v>1</v>
      </c>
      <c r="E6649" s="269">
        <v>1</v>
      </c>
      <c r="F6649" s="269">
        <v>1</v>
      </c>
      <c r="G6649" s="269">
        <v>1</v>
      </c>
      <c r="H6649" s="269">
        <v>1</v>
      </c>
      <c r="I6649" s="269">
        <v>1</v>
      </c>
      <c r="J6649" s="269">
        <v>2</v>
      </c>
      <c r="K6649" s="269">
        <v>6</v>
      </c>
      <c r="L6649" s="269">
        <v>6</v>
      </c>
      <c r="M6649" s="269">
        <v>1</v>
      </c>
      <c r="N6649" s="269">
        <v>0</v>
      </c>
      <c r="O6649" s="279">
        <v>0</v>
      </c>
    </row>
    <row r="6650" ht="14.25" spans="1:15">
      <c r="A6650" s="270" t="s">
        <v>68</v>
      </c>
      <c r="B6650" s="271" t="s">
        <v>64</v>
      </c>
      <c r="C6650" s="19">
        <v>0.323076923076923</v>
      </c>
      <c r="D6650" s="272">
        <v>0.2</v>
      </c>
      <c r="E6650" s="272">
        <v>0.2</v>
      </c>
      <c r="F6650" s="272">
        <v>0.5</v>
      </c>
      <c r="G6650" s="272">
        <v>0.5</v>
      </c>
      <c r="H6650" s="272">
        <v>0.2</v>
      </c>
      <c r="I6650" s="272">
        <v>0.166666666666667</v>
      </c>
      <c r="J6650" s="272">
        <v>0.285714285714286</v>
      </c>
      <c r="K6650" s="272">
        <v>0.857142857142857</v>
      </c>
      <c r="L6650" s="272">
        <v>0.5</v>
      </c>
      <c r="M6650" s="272">
        <v>0.333333333333333</v>
      </c>
      <c r="N6650" s="272">
        <v>0</v>
      </c>
      <c r="O6650" s="280">
        <v>0</v>
      </c>
    </row>
    <row r="6651" spans="1:15">
      <c r="A6651" s="263" t="s">
        <v>69</v>
      </c>
      <c r="B6651" s="264" t="s">
        <v>55</v>
      </c>
      <c r="C6651" s="12">
        <v>2.25</v>
      </c>
      <c r="D6651" s="265">
        <v>1.44444444444444</v>
      </c>
      <c r="E6651" s="265">
        <v>1</v>
      </c>
      <c r="F6651" s="265">
        <v>1.125</v>
      </c>
      <c r="G6651" s="265">
        <v>4.5</v>
      </c>
      <c r="H6651" s="265">
        <v>3</v>
      </c>
      <c r="I6651" s="265">
        <v>3.75</v>
      </c>
      <c r="J6651" s="265">
        <v>2.66666666666667</v>
      </c>
      <c r="K6651" s="265">
        <v>5.33333333333333</v>
      </c>
      <c r="L6651" s="265">
        <v>2.4</v>
      </c>
      <c r="M6651" s="265">
        <v>3</v>
      </c>
      <c r="N6651" s="265">
        <v>1.5</v>
      </c>
      <c r="O6651" s="277">
        <v>2.25</v>
      </c>
    </row>
    <row r="6652" spans="1:15">
      <c r="A6652" s="266" t="s">
        <v>69</v>
      </c>
      <c r="B6652" s="267" t="s">
        <v>57</v>
      </c>
      <c r="C6652" s="15">
        <v>56</v>
      </c>
      <c r="D6652" s="268">
        <v>9</v>
      </c>
      <c r="E6652" s="268">
        <v>5</v>
      </c>
      <c r="F6652" s="268">
        <v>8</v>
      </c>
      <c r="G6652" s="268">
        <v>2</v>
      </c>
      <c r="H6652" s="268">
        <v>3</v>
      </c>
      <c r="I6652" s="268">
        <v>4</v>
      </c>
      <c r="J6652" s="268">
        <v>3</v>
      </c>
      <c r="K6652" s="268">
        <v>3</v>
      </c>
      <c r="L6652" s="268">
        <v>5</v>
      </c>
      <c r="M6652" s="268">
        <v>4</v>
      </c>
      <c r="N6652" s="268">
        <v>6</v>
      </c>
      <c r="O6652" s="278">
        <v>4</v>
      </c>
    </row>
    <row r="6653" spans="1:15">
      <c r="A6653" s="263" t="s">
        <v>69</v>
      </c>
      <c r="B6653" s="264" t="s">
        <v>59</v>
      </c>
      <c r="C6653" s="15">
        <v>126</v>
      </c>
      <c r="D6653" s="268">
        <v>13</v>
      </c>
      <c r="E6653" s="268">
        <v>5</v>
      </c>
      <c r="F6653" s="268">
        <v>9</v>
      </c>
      <c r="G6653" s="268">
        <v>9</v>
      </c>
      <c r="H6653" s="268">
        <v>9</v>
      </c>
      <c r="I6653" s="268">
        <v>15</v>
      </c>
      <c r="J6653" s="268">
        <v>8</v>
      </c>
      <c r="K6653" s="268">
        <v>16</v>
      </c>
      <c r="L6653" s="268">
        <v>12</v>
      </c>
      <c r="M6653" s="268">
        <v>12</v>
      </c>
      <c r="N6653" s="268">
        <v>9</v>
      </c>
      <c r="O6653" s="278">
        <v>9</v>
      </c>
    </row>
    <row r="6654" spans="1:15">
      <c r="A6654" s="266" t="s">
        <v>69</v>
      </c>
      <c r="B6654" s="267" t="s">
        <v>4</v>
      </c>
      <c r="C6654" s="15">
        <v>2</v>
      </c>
      <c r="D6654" s="269">
        <v>0</v>
      </c>
      <c r="E6654" s="269">
        <v>0</v>
      </c>
      <c r="F6654" s="269">
        <v>0</v>
      </c>
      <c r="G6654" s="269">
        <v>0</v>
      </c>
      <c r="H6654" s="269">
        <v>0</v>
      </c>
      <c r="I6654" s="269">
        <v>0</v>
      </c>
      <c r="J6654" s="269">
        <v>1</v>
      </c>
      <c r="K6654" s="269">
        <v>0</v>
      </c>
      <c r="L6654" s="269">
        <v>0</v>
      </c>
      <c r="M6654" s="269">
        <v>0</v>
      </c>
      <c r="N6654" s="269">
        <v>1</v>
      </c>
      <c r="O6654" s="279">
        <v>0</v>
      </c>
    </row>
    <row r="6655" spans="1:15">
      <c r="A6655" s="263" t="s">
        <v>69</v>
      </c>
      <c r="B6655" s="264" t="s">
        <v>5</v>
      </c>
      <c r="C6655" s="12">
        <v>0.0158730158730159</v>
      </c>
      <c r="D6655" s="265">
        <v>0</v>
      </c>
      <c r="E6655" s="265">
        <v>0</v>
      </c>
      <c r="F6655" s="265">
        <v>0</v>
      </c>
      <c r="G6655" s="265">
        <v>0</v>
      </c>
      <c r="H6655" s="265">
        <v>0</v>
      </c>
      <c r="I6655" s="265">
        <v>0</v>
      </c>
      <c r="J6655" s="265">
        <v>0.125</v>
      </c>
      <c r="K6655" s="265">
        <v>0</v>
      </c>
      <c r="L6655" s="265">
        <v>0</v>
      </c>
      <c r="M6655" s="265">
        <v>0</v>
      </c>
      <c r="N6655" s="265">
        <v>0.111111111111111</v>
      </c>
      <c r="O6655" s="277">
        <v>0</v>
      </c>
    </row>
    <row r="6656" spans="1:15">
      <c r="A6656" s="266" t="s">
        <v>69</v>
      </c>
      <c r="B6656" s="267" t="s">
        <v>6</v>
      </c>
      <c r="C6656" s="15">
        <v>6</v>
      </c>
      <c r="D6656" s="269">
        <v>0</v>
      </c>
      <c r="E6656" s="269">
        <v>1</v>
      </c>
      <c r="F6656" s="269">
        <v>0</v>
      </c>
      <c r="G6656" s="269">
        <v>0</v>
      </c>
      <c r="H6656" s="269">
        <v>0</v>
      </c>
      <c r="I6656" s="269">
        <v>0</v>
      </c>
      <c r="J6656" s="269">
        <v>2</v>
      </c>
      <c r="K6656" s="269">
        <v>0</v>
      </c>
      <c r="L6656" s="269">
        <v>1</v>
      </c>
      <c r="M6656" s="269">
        <v>1</v>
      </c>
      <c r="N6656" s="269">
        <v>1</v>
      </c>
      <c r="O6656" s="279">
        <v>0</v>
      </c>
    </row>
    <row r="6657" ht="14.25" spans="1:15">
      <c r="A6657" s="270" t="s">
        <v>69</v>
      </c>
      <c r="B6657" s="271" t="s">
        <v>64</v>
      </c>
      <c r="C6657" s="19">
        <v>3</v>
      </c>
      <c r="D6657" s="272">
        <v>0</v>
      </c>
      <c r="E6657" s="272">
        <v>0</v>
      </c>
      <c r="F6657" s="272">
        <v>0</v>
      </c>
      <c r="G6657" s="272">
        <v>0</v>
      </c>
      <c r="H6657" s="272">
        <v>0</v>
      </c>
      <c r="I6657" s="272">
        <v>0</v>
      </c>
      <c r="J6657" s="272">
        <v>2</v>
      </c>
      <c r="K6657" s="272">
        <v>0</v>
      </c>
      <c r="L6657" s="272">
        <v>0</v>
      </c>
      <c r="M6657" s="272">
        <v>0</v>
      </c>
      <c r="N6657" s="272">
        <v>1</v>
      </c>
      <c r="O6657" s="280">
        <v>0</v>
      </c>
    </row>
    <row r="6658" spans="1:15">
      <c r="A6658" s="263" t="s">
        <v>70</v>
      </c>
      <c r="B6658" s="264" t="s">
        <v>55</v>
      </c>
      <c r="C6658" s="12">
        <v>0.767058823529412</v>
      </c>
      <c r="D6658" s="265">
        <v>0.736842105263158</v>
      </c>
      <c r="E6658" s="265">
        <v>0.724137931034483</v>
      </c>
      <c r="F6658" s="265">
        <v>0.526315789473684</v>
      </c>
      <c r="G6658" s="265">
        <v>0.882352941176471</v>
      </c>
      <c r="H6658" s="265">
        <v>0.935897435897436</v>
      </c>
      <c r="I6658" s="265">
        <v>0.869565217391304</v>
      </c>
      <c r="J6658" s="265">
        <v>0.652777777777778</v>
      </c>
      <c r="K6658" s="265">
        <v>0.544117647058823</v>
      </c>
      <c r="L6658" s="265">
        <v>0.779816513761468</v>
      </c>
      <c r="M6658" s="265">
        <v>0.747126436781609</v>
      </c>
      <c r="N6658" s="265">
        <v>0.897058823529412</v>
      </c>
      <c r="O6658" s="277">
        <v>0.918604651162791</v>
      </c>
    </row>
    <row r="6659" spans="1:15">
      <c r="A6659" s="266" t="s">
        <v>70</v>
      </c>
      <c r="B6659" s="267" t="s">
        <v>57</v>
      </c>
      <c r="C6659" s="15">
        <v>850</v>
      </c>
      <c r="D6659" s="268">
        <v>57</v>
      </c>
      <c r="E6659" s="268">
        <v>29</v>
      </c>
      <c r="F6659" s="268">
        <v>19</v>
      </c>
      <c r="G6659" s="268">
        <v>17</v>
      </c>
      <c r="H6659" s="268">
        <v>78</v>
      </c>
      <c r="I6659" s="268">
        <v>92</v>
      </c>
      <c r="J6659" s="268">
        <v>72</v>
      </c>
      <c r="K6659" s="268">
        <v>136</v>
      </c>
      <c r="L6659" s="268">
        <v>109</v>
      </c>
      <c r="M6659" s="268">
        <v>87</v>
      </c>
      <c r="N6659" s="268">
        <v>68</v>
      </c>
      <c r="O6659" s="278">
        <v>86</v>
      </c>
    </row>
    <row r="6660" spans="1:15">
      <c r="A6660" s="263" t="s">
        <v>70</v>
      </c>
      <c r="B6660" s="264" t="s">
        <v>59</v>
      </c>
      <c r="C6660" s="15">
        <v>652</v>
      </c>
      <c r="D6660" s="268">
        <v>42</v>
      </c>
      <c r="E6660" s="268">
        <v>21</v>
      </c>
      <c r="F6660" s="268">
        <v>10</v>
      </c>
      <c r="G6660" s="268">
        <v>15</v>
      </c>
      <c r="H6660" s="268">
        <v>73</v>
      </c>
      <c r="I6660" s="268">
        <v>80</v>
      </c>
      <c r="J6660" s="268">
        <v>47</v>
      </c>
      <c r="K6660" s="268">
        <v>74</v>
      </c>
      <c r="L6660" s="268">
        <v>85</v>
      </c>
      <c r="M6660" s="268">
        <v>65</v>
      </c>
      <c r="N6660" s="268">
        <v>61</v>
      </c>
      <c r="O6660" s="278">
        <v>79</v>
      </c>
    </row>
    <row r="6661" spans="1:15">
      <c r="A6661" s="266" t="s">
        <v>70</v>
      </c>
      <c r="B6661" s="267" t="s">
        <v>4</v>
      </c>
      <c r="C6661" s="15">
        <v>10</v>
      </c>
      <c r="D6661" s="269">
        <v>0</v>
      </c>
      <c r="E6661" s="269">
        <v>0</v>
      </c>
      <c r="F6661" s="269">
        <v>2</v>
      </c>
      <c r="G6661" s="269">
        <v>1</v>
      </c>
      <c r="H6661" s="269">
        <v>1</v>
      </c>
      <c r="I6661" s="269">
        <v>1</v>
      </c>
      <c r="J6661" s="269">
        <v>0</v>
      </c>
      <c r="K6661" s="269">
        <v>1</v>
      </c>
      <c r="L6661" s="269">
        <v>2</v>
      </c>
      <c r="M6661" s="269">
        <v>2</v>
      </c>
      <c r="N6661" s="269">
        <v>0</v>
      </c>
      <c r="O6661" s="279">
        <v>0</v>
      </c>
    </row>
    <row r="6662" spans="1:15">
      <c r="A6662" s="263" t="s">
        <v>70</v>
      </c>
      <c r="B6662" s="264" t="s">
        <v>5</v>
      </c>
      <c r="C6662" s="12">
        <v>0.0153374233128834</v>
      </c>
      <c r="D6662" s="265">
        <v>0</v>
      </c>
      <c r="E6662" s="265">
        <v>0</v>
      </c>
      <c r="F6662" s="265">
        <v>0.2</v>
      </c>
      <c r="G6662" s="265">
        <v>0.0666666666666667</v>
      </c>
      <c r="H6662" s="265">
        <v>0.0136986301369863</v>
      </c>
      <c r="I6662" s="265">
        <v>0.0125</v>
      </c>
      <c r="J6662" s="265">
        <v>0</v>
      </c>
      <c r="K6662" s="265">
        <v>0.0135135135135135</v>
      </c>
      <c r="L6662" s="265">
        <v>0.0235294117647059</v>
      </c>
      <c r="M6662" s="265">
        <v>0.0307692307692308</v>
      </c>
      <c r="N6662" s="265">
        <v>0</v>
      </c>
      <c r="O6662" s="277">
        <v>0</v>
      </c>
    </row>
    <row r="6663" spans="1:15">
      <c r="A6663" s="266" t="s">
        <v>70</v>
      </c>
      <c r="B6663" s="267" t="s">
        <v>6</v>
      </c>
      <c r="C6663" s="15">
        <v>3</v>
      </c>
      <c r="D6663" s="269">
        <v>0</v>
      </c>
      <c r="E6663" s="269">
        <v>0</v>
      </c>
      <c r="F6663" s="269">
        <v>1</v>
      </c>
      <c r="G6663" s="269">
        <v>0</v>
      </c>
      <c r="H6663" s="269">
        <v>0</v>
      </c>
      <c r="I6663" s="269">
        <v>0</v>
      </c>
      <c r="J6663" s="269">
        <v>0</v>
      </c>
      <c r="K6663" s="269">
        <v>0</v>
      </c>
      <c r="L6663" s="269">
        <v>1</v>
      </c>
      <c r="M6663" s="269">
        <v>1</v>
      </c>
      <c r="N6663" s="269">
        <v>0</v>
      </c>
      <c r="O6663" s="279">
        <v>0</v>
      </c>
    </row>
    <row r="6664" ht="14.25" spans="1:15">
      <c r="A6664" s="270" t="s">
        <v>70</v>
      </c>
      <c r="B6664" s="271" t="s">
        <v>64</v>
      </c>
      <c r="C6664" s="19">
        <v>0.3</v>
      </c>
      <c r="D6664" s="272">
        <v>0</v>
      </c>
      <c r="E6664" s="272">
        <v>0</v>
      </c>
      <c r="F6664" s="272">
        <v>0.5</v>
      </c>
      <c r="G6664" s="272">
        <v>0</v>
      </c>
      <c r="H6664" s="272">
        <v>0</v>
      </c>
      <c r="I6664" s="272">
        <v>0</v>
      </c>
      <c r="J6664" s="272">
        <v>0</v>
      </c>
      <c r="K6664" s="272">
        <v>0</v>
      </c>
      <c r="L6664" s="272">
        <v>0.5</v>
      </c>
      <c r="M6664" s="272">
        <v>0.5</v>
      </c>
      <c r="N6664" s="272">
        <v>0</v>
      </c>
      <c r="O6664" s="280">
        <v>0</v>
      </c>
    </row>
    <row r="6665" spans="1:15">
      <c r="A6665" s="263" t="s">
        <v>26</v>
      </c>
      <c r="B6665" s="264" t="s">
        <v>55</v>
      </c>
      <c r="C6665" s="12">
        <v>631.5</v>
      </c>
      <c r="D6665" s="265" t="e">
        <v>#DIV/0!</v>
      </c>
      <c r="E6665" s="265" t="e">
        <v>#DIV/0!</v>
      </c>
      <c r="F6665" s="265" t="e">
        <v>#DIV/0!</v>
      </c>
      <c r="G6665" s="265">
        <v>30.5</v>
      </c>
      <c r="H6665" s="265" t="e">
        <v>#DIV/0!</v>
      </c>
      <c r="I6665" s="265" t="e">
        <v>#DIV/0!</v>
      </c>
      <c r="J6665" s="265" t="e">
        <v>#DIV/0!</v>
      </c>
      <c r="K6665" s="265" t="e">
        <v>#DIV/0!</v>
      </c>
      <c r="L6665" s="265" t="e">
        <v>#DIV/0!</v>
      </c>
      <c r="M6665" s="265" t="e">
        <v>#DIV/0!</v>
      </c>
      <c r="N6665" s="265" t="e">
        <v>#DIV/0!</v>
      </c>
      <c r="O6665" s="277" t="e">
        <v>#DIV/0!</v>
      </c>
    </row>
    <row r="6666" spans="1:15">
      <c r="A6666" s="266" t="s">
        <v>26</v>
      </c>
      <c r="B6666" s="267" t="s">
        <v>57</v>
      </c>
      <c r="C6666" s="15">
        <v>2</v>
      </c>
      <c r="D6666" s="268">
        <v>0</v>
      </c>
      <c r="E6666" s="268">
        <v>0</v>
      </c>
      <c r="F6666" s="268">
        <v>0</v>
      </c>
      <c r="G6666" s="268">
        <v>2</v>
      </c>
      <c r="H6666" s="268">
        <v>0</v>
      </c>
      <c r="I6666" s="268">
        <v>0</v>
      </c>
      <c r="J6666" s="268">
        <v>0</v>
      </c>
      <c r="K6666" s="268">
        <v>0</v>
      </c>
      <c r="L6666" s="268">
        <v>0</v>
      </c>
      <c r="M6666" s="268">
        <v>0</v>
      </c>
      <c r="N6666" s="268">
        <v>0</v>
      </c>
      <c r="O6666" s="278">
        <v>0</v>
      </c>
    </row>
    <row r="6667" spans="1:15">
      <c r="A6667" s="263" t="s">
        <v>26</v>
      </c>
      <c r="B6667" s="264" t="s">
        <v>59</v>
      </c>
      <c r="C6667" s="15">
        <v>1263</v>
      </c>
      <c r="D6667" s="268">
        <v>123</v>
      </c>
      <c r="E6667" s="268">
        <v>74</v>
      </c>
      <c r="F6667" s="268">
        <v>55</v>
      </c>
      <c r="G6667" s="268">
        <v>61</v>
      </c>
      <c r="H6667" s="268">
        <v>100</v>
      </c>
      <c r="I6667" s="268">
        <v>108</v>
      </c>
      <c r="J6667" s="268">
        <v>126</v>
      </c>
      <c r="K6667" s="268">
        <v>151</v>
      </c>
      <c r="L6667" s="268">
        <v>124</v>
      </c>
      <c r="M6667" s="268">
        <v>93</v>
      </c>
      <c r="N6667" s="268">
        <v>120</v>
      </c>
      <c r="O6667" s="278">
        <v>128</v>
      </c>
    </row>
    <row r="6668" spans="1:15">
      <c r="A6668" s="266" t="s">
        <v>26</v>
      </c>
      <c r="B6668" s="267" t="s">
        <v>4</v>
      </c>
      <c r="C6668" s="15">
        <v>14</v>
      </c>
      <c r="D6668" s="269">
        <v>0</v>
      </c>
      <c r="E6668" s="269">
        <v>2</v>
      </c>
      <c r="F6668" s="269">
        <v>0</v>
      </c>
      <c r="G6668" s="269">
        <v>0</v>
      </c>
      <c r="H6668" s="269">
        <v>0</v>
      </c>
      <c r="I6668" s="269">
        <v>0</v>
      </c>
      <c r="J6668" s="269">
        <v>2</v>
      </c>
      <c r="K6668" s="269">
        <v>2</v>
      </c>
      <c r="L6668" s="269">
        <v>3</v>
      </c>
      <c r="M6668" s="269">
        <v>0</v>
      </c>
      <c r="N6668" s="269">
        <v>2</v>
      </c>
      <c r="O6668" s="279">
        <v>3</v>
      </c>
    </row>
    <row r="6669" spans="1:15">
      <c r="A6669" s="263" t="s">
        <v>26</v>
      </c>
      <c r="B6669" s="264" t="s">
        <v>5</v>
      </c>
      <c r="C6669" s="12">
        <v>0.0110847189231987</v>
      </c>
      <c r="D6669" s="265">
        <v>0</v>
      </c>
      <c r="E6669" s="265">
        <v>0.027027027027027</v>
      </c>
      <c r="F6669" s="265">
        <v>0</v>
      </c>
      <c r="G6669" s="265">
        <v>0</v>
      </c>
      <c r="H6669" s="265">
        <v>0</v>
      </c>
      <c r="I6669" s="265">
        <v>0</v>
      </c>
      <c r="J6669" s="265">
        <v>0.0158730158730159</v>
      </c>
      <c r="K6669" s="265">
        <v>0.0132450331125828</v>
      </c>
      <c r="L6669" s="265">
        <v>0.0241935483870968</v>
      </c>
      <c r="M6669" s="265">
        <v>0</v>
      </c>
      <c r="N6669" s="265">
        <v>0.0166666666666667</v>
      </c>
      <c r="O6669" s="277">
        <v>0.0234375</v>
      </c>
    </row>
    <row r="6670" spans="1:15">
      <c r="A6670" s="266" t="s">
        <v>26</v>
      </c>
      <c r="B6670" s="267" t="s">
        <v>6</v>
      </c>
      <c r="C6670" s="15">
        <v>3</v>
      </c>
      <c r="D6670" s="269">
        <v>0</v>
      </c>
      <c r="E6670" s="269">
        <v>0</v>
      </c>
      <c r="F6670" s="269">
        <v>0</v>
      </c>
      <c r="G6670" s="269">
        <v>0</v>
      </c>
      <c r="H6670" s="269">
        <v>0</v>
      </c>
      <c r="I6670" s="269">
        <v>0</v>
      </c>
      <c r="J6670" s="269">
        <v>0</v>
      </c>
      <c r="K6670" s="269">
        <v>2</v>
      </c>
      <c r="L6670" s="269">
        <v>1</v>
      </c>
      <c r="M6670" s="269">
        <v>0</v>
      </c>
      <c r="N6670" s="269">
        <v>0</v>
      </c>
      <c r="O6670" s="279">
        <v>0</v>
      </c>
    </row>
    <row r="6671" ht="14.25" spans="1:15">
      <c r="A6671" s="270" t="s">
        <v>26</v>
      </c>
      <c r="B6671" s="271" t="s">
        <v>64</v>
      </c>
      <c r="C6671" s="19">
        <v>0.214285714285714</v>
      </c>
      <c r="D6671" s="19" t="e">
        <v>#DIV/0!</v>
      </c>
      <c r="E6671" s="19">
        <v>0</v>
      </c>
      <c r="F6671" s="19" t="e">
        <v>#DIV/0!</v>
      </c>
      <c r="G6671" s="19" t="e">
        <v>#DIV/0!</v>
      </c>
      <c r="H6671" s="19" t="e">
        <v>#DIV/0!</v>
      </c>
      <c r="I6671" s="19" t="e">
        <v>#DIV/0!</v>
      </c>
      <c r="J6671" s="19">
        <v>0</v>
      </c>
      <c r="K6671" s="19">
        <v>1</v>
      </c>
      <c r="L6671" s="19">
        <v>0.333333333333333</v>
      </c>
      <c r="M6671" s="19" t="e">
        <v>#DIV/0!</v>
      </c>
      <c r="N6671" s="19">
        <v>0</v>
      </c>
      <c r="O6671" s="19">
        <v>0</v>
      </c>
    </row>
    <row r="6672" spans="1:15">
      <c r="A6672" s="263" t="s">
        <v>71</v>
      </c>
      <c r="B6672" s="264" t="s">
        <v>55</v>
      </c>
      <c r="C6672" s="12" t="e">
        <v>#DIV/0!</v>
      </c>
      <c r="D6672" s="265" t="e">
        <v>#DIV/0!</v>
      </c>
      <c r="E6672" s="265" t="e">
        <v>#DIV/0!</v>
      </c>
      <c r="F6672" s="265" t="e">
        <v>#DIV/0!</v>
      </c>
      <c r="G6672" s="265" t="e">
        <v>#DIV/0!</v>
      </c>
      <c r="H6672" s="265" t="e">
        <v>#DIV/0!</v>
      </c>
      <c r="I6672" s="265" t="e">
        <v>#DIV/0!</v>
      </c>
      <c r="J6672" s="265" t="e">
        <v>#DIV/0!</v>
      </c>
      <c r="K6672" s="265" t="e">
        <v>#DIV/0!</v>
      </c>
      <c r="L6672" s="265" t="e">
        <v>#DIV/0!</v>
      </c>
      <c r="M6672" s="265" t="e">
        <v>#DIV/0!</v>
      </c>
      <c r="N6672" s="265" t="e">
        <v>#DIV/0!</v>
      </c>
      <c r="O6672" s="277" t="e">
        <v>#DIV/0!</v>
      </c>
    </row>
    <row r="6673" spans="1:15">
      <c r="A6673" s="266" t="s">
        <v>71</v>
      </c>
      <c r="B6673" s="267" t="s">
        <v>57</v>
      </c>
      <c r="C6673" s="15">
        <v>0</v>
      </c>
      <c r="D6673" s="268">
        <v>0</v>
      </c>
      <c r="E6673" s="268">
        <v>0</v>
      </c>
      <c r="F6673" s="268">
        <v>0</v>
      </c>
      <c r="G6673" s="268">
        <v>0</v>
      </c>
      <c r="H6673" s="268">
        <v>0</v>
      </c>
      <c r="I6673" s="268">
        <v>0</v>
      </c>
      <c r="J6673" s="268">
        <v>0</v>
      </c>
      <c r="K6673" s="268">
        <v>0</v>
      </c>
      <c r="L6673" s="268">
        <v>0</v>
      </c>
      <c r="M6673" s="268">
        <v>0</v>
      </c>
      <c r="N6673" s="268">
        <v>0</v>
      </c>
      <c r="O6673" s="278">
        <v>0</v>
      </c>
    </row>
    <row r="6674" spans="1:15">
      <c r="A6674" s="263" t="s">
        <v>71</v>
      </c>
      <c r="B6674" s="264" t="s">
        <v>59</v>
      </c>
      <c r="C6674" s="15">
        <v>187</v>
      </c>
      <c r="D6674" s="268">
        <v>20</v>
      </c>
      <c r="E6674" s="268">
        <v>12</v>
      </c>
      <c r="F6674" s="268">
        <v>10</v>
      </c>
      <c r="G6674" s="268">
        <v>11</v>
      </c>
      <c r="H6674" s="268">
        <v>19</v>
      </c>
      <c r="I6674" s="268">
        <v>16</v>
      </c>
      <c r="J6674" s="268">
        <v>8</v>
      </c>
      <c r="K6674" s="268">
        <v>18</v>
      </c>
      <c r="L6674" s="268">
        <v>11</v>
      </c>
      <c r="M6674" s="268">
        <v>16</v>
      </c>
      <c r="N6674" s="268">
        <v>23</v>
      </c>
      <c r="O6674" s="278">
        <v>23</v>
      </c>
    </row>
    <row r="6675" spans="1:15">
      <c r="A6675" s="266" t="s">
        <v>71</v>
      </c>
      <c r="B6675" s="267" t="s">
        <v>4</v>
      </c>
      <c r="C6675" s="15">
        <v>18</v>
      </c>
      <c r="D6675" s="269">
        <v>1</v>
      </c>
      <c r="E6675" s="269">
        <v>0</v>
      </c>
      <c r="F6675" s="269">
        <v>1</v>
      </c>
      <c r="G6675" s="269">
        <v>3</v>
      </c>
      <c r="H6675" s="269">
        <v>0</v>
      </c>
      <c r="I6675" s="269">
        <v>6</v>
      </c>
      <c r="J6675" s="269">
        <v>1</v>
      </c>
      <c r="K6675" s="269">
        <v>1</v>
      </c>
      <c r="L6675" s="269">
        <v>0</v>
      </c>
      <c r="M6675" s="269">
        <v>0</v>
      </c>
      <c r="N6675" s="269">
        <v>3</v>
      </c>
      <c r="O6675" s="279">
        <v>2</v>
      </c>
    </row>
    <row r="6676" spans="1:15">
      <c r="A6676" s="263" t="s">
        <v>71</v>
      </c>
      <c r="B6676" s="264" t="s">
        <v>5</v>
      </c>
      <c r="C6676" s="265">
        <v>0.0962566844919786</v>
      </c>
      <c r="D6676" s="265">
        <v>0.05</v>
      </c>
      <c r="E6676" s="265">
        <v>0</v>
      </c>
      <c r="F6676" s="265">
        <v>0.1</v>
      </c>
      <c r="G6676" s="265">
        <v>0.272727272727273</v>
      </c>
      <c r="H6676" s="265">
        <v>0</v>
      </c>
      <c r="I6676" s="265">
        <v>0.375</v>
      </c>
      <c r="J6676" s="265">
        <v>0.125</v>
      </c>
      <c r="K6676" s="265">
        <v>0.0555555555555556</v>
      </c>
      <c r="L6676" s="265">
        <v>0</v>
      </c>
      <c r="M6676" s="265">
        <v>0</v>
      </c>
      <c r="N6676" s="265">
        <v>0.130434782608696</v>
      </c>
      <c r="O6676" s="277">
        <v>0.0869565217391304</v>
      </c>
    </row>
    <row r="6677" spans="1:15">
      <c r="A6677" s="266" t="s">
        <v>71</v>
      </c>
      <c r="B6677" s="267" t="s">
        <v>6</v>
      </c>
      <c r="C6677" s="15">
        <v>6</v>
      </c>
      <c r="D6677" s="269">
        <v>1</v>
      </c>
      <c r="E6677" s="269">
        <v>0</v>
      </c>
      <c r="F6677" s="269">
        <v>0</v>
      </c>
      <c r="G6677" s="269">
        <v>0</v>
      </c>
      <c r="H6677" s="269">
        <v>0</v>
      </c>
      <c r="I6677" s="269">
        <v>2</v>
      </c>
      <c r="J6677" s="269">
        <v>1</v>
      </c>
      <c r="K6677" s="269">
        <v>0</v>
      </c>
      <c r="L6677" s="269">
        <v>0</v>
      </c>
      <c r="M6677" s="269">
        <v>0</v>
      </c>
      <c r="N6677" s="269">
        <v>0</v>
      </c>
      <c r="O6677" s="279">
        <v>2</v>
      </c>
    </row>
    <row r="6678" ht="14.25" spans="1:15">
      <c r="A6678" s="270" t="s">
        <v>71</v>
      </c>
      <c r="B6678" s="271" t="s">
        <v>64</v>
      </c>
      <c r="C6678" s="19">
        <v>0.333333333333333</v>
      </c>
      <c r="D6678" s="19">
        <v>1</v>
      </c>
      <c r="E6678" s="19" t="e">
        <v>#DIV/0!</v>
      </c>
      <c r="F6678" s="19">
        <v>0</v>
      </c>
      <c r="G6678" s="19">
        <v>0</v>
      </c>
      <c r="H6678" s="19" t="e">
        <v>#DIV/0!</v>
      </c>
      <c r="I6678" s="19">
        <v>0.333333333333333</v>
      </c>
      <c r="J6678" s="19">
        <v>1</v>
      </c>
      <c r="K6678" s="19">
        <v>0</v>
      </c>
      <c r="L6678" s="19" t="e">
        <v>#DIV/0!</v>
      </c>
      <c r="M6678" s="19" t="e">
        <v>#DIV/0!</v>
      </c>
      <c r="N6678" s="19">
        <v>0</v>
      </c>
      <c r="O6678" s="19">
        <v>1</v>
      </c>
    </row>
    <row r="6679" spans="1:15">
      <c r="A6679" s="263" t="s">
        <v>72</v>
      </c>
      <c r="B6679" s="264" t="s">
        <v>55</v>
      </c>
      <c r="C6679" s="12">
        <v>0.117113402061856</v>
      </c>
      <c r="D6679" s="265">
        <v>0.124528301886792</v>
      </c>
      <c r="E6679" s="265">
        <v>0.145833333333333</v>
      </c>
      <c r="F6679" s="265">
        <v>0.0729166666666667</v>
      </c>
      <c r="G6679" s="265">
        <v>0.130434782608696</v>
      </c>
      <c r="H6679" s="265">
        <v>0.0852017937219731</v>
      </c>
      <c r="I6679" s="265">
        <v>0.15</v>
      </c>
      <c r="J6679" s="265">
        <v>0.095959595959596</v>
      </c>
      <c r="K6679" s="265">
        <v>0.104265402843602</v>
      </c>
      <c r="L6679" s="265">
        <v>0.0851063829787234</v>
      </c>
      <c r="M6679" s="265">
        <v>0.141463414634146</v>
      </c>
      <c r="N6679" s="265">
        <v>0.12797619047619</v>
      </c>
      <c r="O6679" s="277">
        <v>0.125</v>
      </c>
    </row>
    <row r="6680" spans="1:15">
      <c r="A6680" s="266" t="s">
        <v>72</v>
      </c>
      <c r="B6680" s="267" t="s">
        <v>57</v>
      </c>
      <c r="C6680" s="15">
        <v>2425</v>
      </c>
      <c r="D6680" s="268">
        <v>265</v>
      </c>
      <c r="E6680" s="268">
        <v>144</v>
      </c>
      <c r="F6680" s="268">
        <v>96</v>
      </c>
      <c r="G6680" s="268">
        <v>115</v>
      </c>
      <c r="H6680" s="268">
        <v>223</v>
      </c>
      <c r="I6680" s="268">
        <v>180</v>
      </c>
      <c r="J6680" s="268">
        <v>198</v>
      </c>
      <c r="K6680" s="268">
        <v>211</v>
      </c>
      <c r="L6680" s="268">
        <v>188</v>
      </c>
      <c r="M6680" s="268">
        <v>205</v>
      </c>
      <c r="N6680" s="268">
        <v>336</v>
      </c>
      <c r="O6680" s="278">
        <v>264</v>
      </c>
    </row>
    <row r="6681" spans="1:15">
      <c r="A6681" s="263" t="s">
        <v>72</v>
      </c>
      <c r="B6681" s="264" t="s">
        <v>59</v>
      </c>
      <c r="C6681" s="15">
        <v>284</v>
      </c>
      <c r="D6681" s="268">
        <v>33</v>
      </c>
      <c r="E6681" s="268">
        <v>21</v>
      </c>
      <c r="F6681" s="268">
        <v>7</v>
      </c>
      <c r="G6681" s="268">
        <v>15</v>
      </c>
      <c r="H6681" s="268">
        <v>19</v>
      </c>
      <c r="I6681" s="268">
        <v>27</v>
      </c>
      <c r="J6681" s="268">
        <v>19</v>
      </c>
      <c r="K6681" s="268">
        <v>22</v>
      </c>
      <c r="L6681" s="268">
        <v>16</v>
      </c>
      <c r="M6681" s="268">
        <v>29</v>
      </c>
      <c r="N6681" s="268">
        <v>43</v>
      </c>
      <c r="O6681" s="278">
        <v>33</v>
      </c>
    </row>
    <row r="6682" spans="1:15">
      <c r="A6682" s="266" t="s">
        <v>72</v>
      </c>
      <c r="B6682" s="267" t="s">
        <v>4</v>
      </c>
      <c r="C6682" s="15">
        <v>12</v>
      </c>
      <c r="D6682" s="269">
        <v>4</v>
      </c>
      <c r="E6682" s="269">
        <v>1</v>
      </c>
      <c r="F6682" s="269">
        <v>1</v>
      </c>
      <c r="G6682" s="269">
        <v>0</v>
      </c>
      <c r="H6682" s="269">
        <v>0</v>
      </c>
      <c r="I6682" s="269">
        <v>0</v>
      </c>
      <c r="J6682" s="269">
        <v>0</v>
      </c>
      <c r="K6682" s="269">
        <v>2</v>
      </c>
      <c r="L6682" s="269">
        <v>0</v>
      </c>
      <c r="M6682" s="269">
        <v>1</v>
      </c>
      <c r="N6682" s="269">
        <v>1</v>
      </c>
      <c r="O6682" s="279">
        <v>2</v>
      </c>
    </row>
    <row r="6683" spans="1:15">
      <c r="A6683" s="263" t="s">
        <v>72</v>
      </c>
      <c r="B6683" s="264" t="s">
        <v>5</v>
      </c>
      <c r="C6683" s="12">
        <v>0.0422535211267606</v>
      </c>
      <c r="D6683" s="265">
        <v>0.121212121212121</v>
      </c>
      <c r="E6683" s="265">
        <v>0.0476190476190476</v>
      </c>
      <c r="F6683" s="265">
        <v>0.142857142857143</v>
      </c>
      <c r="G6683" s="265">
        <v>0</v>
      </c>
      <c r="H6683" s="265">
        <v>0</v>
      </c>
      <c r="I6683" s="265">
        <v>0</v>
      </c>
      <c r="J6683" s="265">
        <v>0</v>
      </c>
      <c r="K6683" s="265">
        <v>0.0909090909090909</v>
      </c>
      <c r="L6683" s="265">
        <v>0</v>
      </c>
      <c r="M6683" s="265">
        <v>0.0344827586206897</v>
      </c>
      <c r="N6683" s="265">
        <v>0.0232558139534884</v>
      </c>
      <c r="O6683" s="277">
        <v>0.0606060606060606</v>
      </c>
    </row>
    <row r="6684" spans="1:15">
      <c r="A6684" s="266" t="s">
        <v>72</v>
      </c>
      <c r="B6684" s="267" t="s">
        <v>6</v>
      </c>
      <c r="C6684" s="15">
        <v>3</v>
      </c>
      <c r="D6684" s="269">
        <v>2</v>
      </c>
      <c r="E6684" s="269">
        <v>0</v>
      </c>
      <c r="F6684" s="269">
        <v>0</v>
      </c>
      <c r="G6684" s="269">
        <v>0</v>
      </c>
      <c r="H6684" s="269">
        <v>0</v>
      </c>
      <c r="I6684" s="269">
        <v>0</v>
      </c>
      <c r="J6684" s="269">
        <v>0</v>
      </c>
      <c r="K6684" s="269">
        <v>0</v>
      </c>
      <c r="L6684" s="269">
        <v>0</v>
      </c>
      <c r="M6684" s="269">
        <v>0</v>
      </c>
      <c r="N6684" s="269">
        <v>0</v>
      </c>
      <c r="O6684" s="279">
        <v>1</v>
      </c>
    </row>
    <row r="6685" ht="14.25" spans="1:15">
      <c r="A6685" s="270" t="s">
        <v>72</v>
      </c>
      <c r="B6685" s="271" t="s">
        <v>64</v>
      </c>
      <c r="C6685" s="19">
        <v>0.25</v>
      </c>
      <c r="D6685" s="19">
        <v>0.5</v>
      </c>
      <c r="E6685" s="19">
        <v>0</v>
      </c>
      <c r="F6685" s="19">
        <v>0</v>
      </c>
      <c r="G6685" s="19" t="e">
        <v>#DIV/0!</v>
      </c>
      <c r="H6685" s="19" t="e">
        <v>#DIV/0!</v>
      </c>
      <c r="I6685" s="19" t="e">
        <v>#DIV/0!</v>
      </c>
      <c r="J6685" s="19" t="e">
        <v>#DIV/0!</v>
      </c>
      <c r="K6685" s="19">
        <v>0</v>
      </c>
      <c r="L6685" s="19" t="e">
        <v>#DIV/0!</v>
      </c>
      <c r="M6685" s="19">
        <v>0</v>
      </c>
      <c r="N6685" s="19">
        <v>0</v>
      </c>
      <c r="O6685" s="19">
        <v>0.5</v>
      </c>
    </row>
    <row r="6686" ht="14.25" spans="1:15">
      <c r="A6686" s="237">
        <v>45122</v>
      </c>
      <c r="B6686" s="237"/>
      <c r="C6686" s="237"/>
      <c r="D6686" s="237"/>
      <c r="E6686" s="237"/>
      <c r="F6686" s="237"/>
      <c r="G6686" s="237"/>
      <c r="H6686" s="237"/>
      <c r="I6686" s="237"/>
      <c r="J6686" s="237"/>
      <c r="K6686" s="237"/>
      <c r="L6686" s="237"/>
      <c r="M6686" s="237"/>
      <c r="N6686" s="237"/>
      <c r="O6686" s="237"/>
    </row>
    <row r="6687" spans="1:15">
      <c r="A6687" s="56" t="s">
        <v>1</v>
      </c>
      <c r="B6687" s="238"/>
      <c r="C6687" s="8" t="s">
        <v>42</v>
      </c>
      <c r="D6687" s="239" t="s">
        <v>43</v>
      </c>
      <c r="E6687" s="239" t="s">
        <v>44</v>
      </c>
      <c r="F6687" s="239" t="s">
        <v>45</v>
      </c>
      <c r="G6687" s="239" t="s">
        <v>46</v>
      </c>
      <c r="H6687" s="239" t="s">
        <v>47</v>
      </c>
      <c r="I6687" s="239" t="s">
        <v>48</v>
      </c>
      <c r="J6687" s="239" t="s">
        <v>49</v>
      </c>
      <c r="K6687" s="239" t="s">
        <v>50</v>
      </c>
      <c r="L6687" s="239" t="s">
        <v>51</v>
      </c>
      <c r="M6687" s="239" t="s">
        <v>52</v>
      </c>
      <c r="N6687" s="239" t="s">
        <v>53</v>
      </c>
      <c r="O6687" s="251" t="s">
        <v>54</v>
      </c>
    </row>
    <row r="6688" spans="1:15">
      <c r="A6688" s="240" t="s">
        <v>22</v>
      </c>
      <c r="B6688" s="47" t="s">
        <v>55</v>
      </c>
      <c r="C6688" s="12">
        <v>0.485686559922368</v>
      </c>
      <c r="D6688" s="241">
        <v>0.559808612440191</v>
      </c>
      <c r="E6688" s="241">
        <v>0.621052631578947</v>
      </c>
      <c r="F6688" s="241">
        <v>0.582089552238806</v>
      </c>
      <c r="G6688" s="241">
        <v>0.602150537634409</v>
      </c>
      <c r="H6688" s="241">
        <v>0.6</v>
      </c>
      <c r="I6688" s="241">
        <v>0.496894409937888</v>
      </c>
      <c r="J6688" s="241">
        <v>0.470588235294118</v>
      </c>
      <c r="K6688" s="241">
        <v>0.343629343629344</v>
      </c>
      <c r="L6688" s="241">
        <v>0.41991341991342</v>
      </c>
      <c r="M6688" s="241">
        <v>0.563291139240506</v>
      </c>
      <c r="N6688" s="241">
        <v>0.458715596330275</v>
      </c>
      <c r="O6688" s="252">
        <v>0.430830039525692</v>
      </c>
    </row>
    <row r="6689" spans="1:15">
      <c r="A6689" s="242" t="s">
        <v>22</v>
      </c>
      <c r="B6689" s="43" t="s">
        <v>57</v>
      </c>
      <c r="C6689" s="15">
        <v>2061</v>
      </c>
      <c r="D6689" s="243">
        <v>209</v>
      </c>
      <c r="E6689" s="243">
        <v>95</v>
      </c>
      <c r="F6689" s="243">
        <v>67</v>
      </c>
      <c r="G6689" s="243">
        <v>93</v>
      </c>
      <c r="H6689" s="243">
        <v>130</v>
      </c>
      <c r="I6689" s="243">
        <v>161</v>
      </c>
      <c r="J6689" s="243">
        <v>187</v>
      </c>
      <c r="K6689" s="243">
        <v>259</v>
      </c>
      <c r="L6689" s="243">
        <v>231</v>
      </c>
      <c r="M6689" s="243">
        <v>158</v>
      </c>
      <c r="N6689" s="243">
        <v>218</v>
      </c>
      <c r="O6689" s="253">
        <v>253</v>
      </c>
    </row>
    <row r="6690" spans="1:15">
      <c r="A6690" s="240" t="s">
        <v>22</v>
      </c>
      <c r="B6690" s="47" t="s">
        <v>59</v>
      </c>
      <c r="C6690" s="15">
        <v>1001</v>
      </c>
      <c r="D6690" s="243">
        <v>117</v>
      </c>
      <c r="E6690" s="243">
        <v>59</v>
      </c>
      <c r="F6690" s="243">
        <v>39</v>
      </c>
      <c r="G6690" s="243">
        <v>56</v>
      </c>
      <c r="H6690" s="243">
        <v>78</v>
      </c>
      <c r="I6690" s="243">
        <v>80</v>
      </c>
      <c r="J6690" s="243">
        <v>88</v>
      </c>
      <c r="K6690" s="243">
        <v>89</v>
      </c>
      <c r="L6690" s="243">
        <v>97</v>
      </c>
      <c r="M6690" s="243">
        <v>89</v>
      </c>
      <c r="N6690" s="243">
        <v>100</v>
      </c>
      <c r="O6690" s="253">
        <v>109</v>
      </c>
    </row>
    <row r="6691" spans="1:15">
      <c r="A6691" s="242" t="s">
        <v>22</v>
      </c>
      <c r="B6691" s="43" t="s">
        <v>4</v>
      </c>
      <c r="C6691" s="15">
        <v>70</v>
      </c>
      <c r="D6691" s="244">
        <v>8</v>
      </c>
      <c r="E6691" s="244">
        <v>5</v>
      </c>
      <c r="F6691" s="244">
        <v>3</v>
      </c>
      <c r="G6691" s="244">
        <v>5</v>
      </c>
      <c r="H6691" s="244">
        <v>2</v>
      </c>
      <c r="I6691" s="244">
        <v>5</v>
      </c>
      <c r="J6691" s="244">
        <v>3</v>
      </c>
      <c r="K6691" s="244">
        <v>3</v>
      </c>
      <c r="L6691" s="244">
        <v>9</v>
      </c>
      <c r="M6691" s="244">
        <v>4</v>
      </c>
      <c r="N6691" s="244">
        <v>5</v>
      </c>
      <c r="O6691" s="254">
        <v>18</v>
      </c>
    </row>
    <row r="6692" spans="1:15">
      <c r="A6692" s="240" t="s">
        <v>22</v>
      </c>
      <c r="B6692" s="47" t="s">
        <v>5</v>
      </c>
      <c r="C6692" s="12">
        <v>0.0699300699300699</v>
      </c>
      <c r="D6692" s="241">
        <v>0.0683760683760684</v>
      </c>
      <c r="E6692" s="241">
        <v>0.0847457627118644</v>
      </c>
      <c r="F6692" s="241">
        <v>0.0769230769230769</v>
      </c>
      <c r="G6692" s="241">
        <v>0.0892857142857143</v>
      </c>
      <c r="H6692" s="241">
        <v>0.0256410256410256</v>
      </c>
      <c r="I6692" s="241">
        <v>0.0625</v>
      </c>
      <c r="J6692" s="241">
        <v>0.0340909090909091</v>
      </c>
      <c r="K6692" s="241">
        <v>0.0337078651685393</v>
      </c>
      <c r="L6692" s="241">
        <v>0.0927835051546392</v>
      </c>
      <c r="M6692" s="241">
        <v>0.0449438202247191</v>
      </c>
      <c r="N6692" s="241">
        <v>0.05</v>
      </c>
      <c r="O6692" s="252">
        <v>0.165137614678899</v>
      </c>
    </row>
    <row r="6693" spans="1:15">
      <c r="A6693" s="242" t="s">
        <v>22</v>
      </c>
      <c r="B6693" s="43" t="s">
        <v>6</v>
      </c>
      <c r="C6693" s="15">
        <v>27</v>
      </c>
      <c r="D6693" s="244">
        <v>4</v>
      </c>
      <c r="E6693" s="244">
        <v>2</v>
      </c>
      <c r="F6693" s="244">
        <v>3</v>
      </c>
      <c r="G6693" s="244">
        <v>1</v>
      </c>
      <c r="H6693" s="244">
        <v>3</v>
      </c>
      <c r="I6693" s="244">
        <v>1</v>
      </c>
      <c r="J6693" s="244">
        <v>2</v>
      </c>
      <c r="K6693" s="244">
        <v>2</v>
      </c>
      <c r="L6693" s="244">
        <v>2</v>
      </c>
      <c r="M6693" s="244">
        <v>2</v>
      </c>
      <c r="N6693" s="244">
        <v>0</v>
      </c>
      <c r="O6693" s="254">
        <v>5</v>
      </c>
    </row>
    <row r="6694" ht="14.25" spans="1:15">
      <c r="A6694" s="245" t="s">
        <v>22</v>
      </c>
      <c r="B6694" s="52" t="s">
        <v>64</v>
      </c>
      <c r="C6694" s="19">
        <v>0.385714285714286</v>
      </c>
      <c r="D6694" s="246">
        <v>0.5</v>
      </c>
      <c r="E6694" s="246">
        <v>0.4</v>
      </c>
      <c r="F6694" s="246">
        <v>1</v>
      </c>
      <c r="G6694" s="246">
        <v>0.2</v>
      </c>
      <c r="H6694" s="246">
        <v>1.5</v>
      </c>
      <c r="I6694" s="246">
        <v>0.2</v>
      </c>
      <c r="J6694" s="246">
        <v>0.666666666666667</v>
      </c>
      <c r="K6694" s="246">
        <v>0.666666666666667</v>
      </c>
      <c r="L6694" s="246">
        <v>0.222222222222222</v>
      </c>
      <c r="M6694" s="246">
        <v>0.5</v>
      </c>
      <c r="N6694" s="246">
        <v>0</v>
      </c>
      <c r="O6694" s="255">
        <v>0.277777777777778</v>
      </c>
    </row>
    <row r="6695" spans="1:15">
      <c r="A6695" s="247" t="s">
        <v>66</v>
      </c>
      <c r="B6695" s="248" t="s">
        <v>55</v>
      </c>
      <c r="C6695" s="12">
        <v>0.159962581852198</v>
      </c>
      <c r="D6695" s="249">
        <v>0.207100591715976</v>
      </c>
      <c r="E6695" s="249">
        <v>0.131944444444444</v>
      </c>
      <c r="F6695" s="249">
        <v>0.12037037037037</v>
      </c>
      <c r="G6695" s="249">
        <v>0.099236641221374</v>
      </c>
      <c r="H6695" s="249">
        <v>0.117948717948718</v>
      </c>
      <c r="I6695" s="249">
        <v>0.0747663551401869</v>
      </c>
      <c r="J6695" s="249">
        <v>0.147783251231527</v>
      </c>
      <c r="K6695" s="249">
        <v>0.176744186046512</v>
      </c>
      <c r="L6695" s="249">
        <v>0.1875</v>
      </c>
      <c r="M6695" s="249">
        <v>0.215189873417722</v>
      </c>
      <c r="N6695" s="249">
        <v>0.245989304812834</v>
      </c>
      <c r="O6695" s="256">
        <v>0.175675675675676</v>
      </c>
    </row>
    <row r="6696" spans="1:15">
      <c r="A6696" s="242" t="s">
        <v>66</v>
      </c>
      <c r="B6696" s="43" t="s">
        <v>57</v>
      </c>
      <c r="C6696" s="15">
        <v>2138</v>
      </c>
      <c r="D6696" s="243">
        <v>169</v>
      </c>
      <c r="E6696" s="243">
        <v>144</v>
      </c>
      <c r="F6696" s="243">
        <v>108</v>
      </c>
      <c r="G6696" s="243">
        <v>131</v>
      </c>
      <c r="H6696" s="243">
        <v>195</v>
      </c>
      <c r="I6696" s="243">
        <v>214</v>
      </c>
      <c r="J6696" s="243">
        <v>203</v>
      </c>
      <c r="K6696" s="243">
        <v>215</v>
      </c>
      <c r="L6696" s="243">
        <v>192</v>
      </c>
      <c r="M6696" s="243">
        <v>158</v>
      </c>
      <c r="N6696" s="243">
        <v>187</v>
      </c>
      <c r="O6696" s="253">
        <v>222</v>
      </c>
    </row>
    <row r="6697" spans="1:15">
      <c r="A6697" s="240" t="s">
        <v>66</v>
      </c>
      <c r="B6697" s="47" t="s">
        <v>59</v>
      </c>
      <c r="C6697" s="15">
        <v>342</v>
      </c>
      <c r="D6697" s="243">
        <v>35</v>
      </c>
      <c r="E6697" s="243">
        <v>19</v>
      </c>
      <c r="F6697" s="243">
        <v>13</v>
      </c>
      <c r="G6697" s="243">
        <v>13</v>
      </c>
      <c r="H6697" s="243">
        <v>23</v>
      </c>
      <c r="I6697" s="243">
        <v>16</v>
      </c>
      <c r="J6697" s="243">
        <v>30</v>
      </c>
      <c r="K6697" s="243">
        <v>38</v>
      </c>
      <c r="L6697" s="243">
        <v>36</v>
      </c>
      <c r="M6697" s="243">
        <v>34</v>
      </c>
      <c r="N6697" s="243">
        <v>46</v>
      </c>
      <c r="O6697" s="253">
        <v>39</v>
      </c>
    </row>
    <row r="6698" spans="1:15">
      <c r="A6698" s="242" t="s">
        <v>66</v>
      </c>
      <c r="B6698" s="43" t="s">
        <v>4</v>
      </c>
      <c r="C6698" s="15">
        <v>12</v>
      </c>
      <c r="D6698" s="244">
        <v>2</v>
      </c>
      <c r="E6698" s="244">
        <v>0</v>
      </c>
      <c r="F6698" s="244">
        <v>0</v>
      </c>
      <c r="G6698" s="244">
        <v>0</v>
      </c>
      <c r="H6698" s="244">
        <v>1</v>
      </c>
      <c r="I6698" s="244">
        <v>1</v>
      </c>
      <c r="J6698" s="244">
        <v>1</v>
      </c>
      <c r="K6698" s="244">
        <v>2</v>
      </c>
      <c r="L6698" s="244">
        <v>2</v>
      </c>
      <c r="M6698" s="244">
        <v>0</v>
      </c>
      <c r="N6698" s="244">
        <v>1</v>
      </c>
      <c r="O6698" s="254">
        <v>2</v>
      </c>
    </row>
    <row r="6699" spans="1:15">
      <c r="A6699" s="240" t="s">
        <v>66</v>
      </c>
      <c r="B6699" s="47" t="s">
        <v>5</v>
      </c>
      <c r="C6699" s="12">
        <v>0.0350877192982456</v>
      </c>
      <c r="D6699" s="241">
        <v>0.0571428571428571</v>
      </c>
      <c r="E6699" s="241">
        <v>0</v>
      </c>
      <c r="F6699" s="241">
        <v>0</v>
      </c>
      <c r="G6699" s="241">
        <v>0</v>
      </c>
      <c r="H6699" s="241">
        <v>0.0434782608695652</v>
      </c>
      <c r="I6699" s="241">
        <v>0.0625</v>
      </c>
      <c r="J6699" s="241">
        <v>0.0333333333333333</v>
      </c>
      <c r="K6699" s="241">
        <v>0.0526315789473684</v>
      </c>
      <c r="L6699" s="241">
        <v>0.0555555555555556</v>
      </c>
      <c r="M6699" s="241">
        <v>0</v>
      </c>
      <c r="N6699" s="241">
        <v>0.0217391304347826</v>
      </c>
      <c r="O6699" s="252">
        <v>0.0512820512820513</v>
      </c>
    </row>
    <row r="6700" spans="1:15">
      <c r="A6700" s="242" t="s">
        <v>66</v>
      </c>
      <c r="B6700" s="43" t="s">
        <v>6</v>
      </c>
      <c r="C6700" s="15">
        <v>3</v>
      </c>
      <c r="D6700" s="244">
        <v>0</v>
      </c>
      <c r="E6700" s="244">
        <v>1</v>
      </c>
      <c r="F6700" s="244">
        <v>0</v>
      </c>
      <c r="G6700" s="244">
        <v>0</v>
      </c>
      <c r="H6700" s="244">
        <v>1</v>
      </c>
      <c r="I6700" s="244">
        <v>0</v>
      </c>
      <c r="J6700" s="244">
        <v>1</v>
      </c>
      <c r="K6700" s="244">
        <v>0</v>
      </c>
      <c r="L6700" s="244">
        <v>0</v>
      </c>
      <c r="M6700" s="244">
        <v>0</v>
      </c>
      <c r="N6700" s="244">
        <v>0</v>
      </c>
      <c r="O6700" s="254">
        <v>0</v>
      </c>
    </row>
    <row r="6701" ht="14.25" spans="1:15">
      <c r="A6701" s="245" t="s">
        <v>66</v>
      </c>
      <c r="B6701" s="52" t="s">
        <v>64</v>
      </c>
      <c r="C6701" s="19">
        <v>0.25</v>
      </c>
      <c r="D6701" s="246">
        <v>0</v>
      </c>
      <c r="E6701" s="246">
        <v>0</v>
      </c>
      <c r="F6701" s="246">
        <v>0</v>
      </c>
      <c r="G6701" s="246">
        <v>0</v>
      </c>
      <c r="H6701" s="246">
        <v>1</v>
      </c>
      <c r="I6701" s="246">
        <v>0</v>
      </c>
      <c r="J6701" s="246">
        <v>1</v>
      </c>
      <c r="K6701" s="246">
        <v>0</v>
      </c>
      <c r="L6701" s="246">
        <v>0</v>
      </c>
      <c r="M6701" s="246">
        <v>0</v>
      </c>
      <c r="N6701" s="246">
        <v>0</v>
      </c>
      <c r="O6701" s="255">
        <v>0</v>
      </c>
    </row>
    <row r="6702" spans="1:15">
      <c r="A6702" s="240" t="s">
        <v>67</v>
      </c>
      <c r="B6702" s="47" t="s">
        <v>55</v>
      </c>
      <c r="C6702" s="12">
        <v>0.593117408906883</v>
      </c>
      <c r="D6702" s="241">
        <v>0.649122807017544</v>
      </c>
      <c r="E6702" s="241">
        <v>0.607142857142857</v>
      </c>
      <c r="F6702" s="241">
        <v>0.416666666666667</v>
      </c>
      <c r="G6702" s="241">
        <v>0.588235294117647</v>
      </c>
      <c r="H6702" s="241">
        <v>0.717948717948718</v>
      </c>
      <c r="I6702" s="241">
        <v>0.5625</v>
      </c>
      <c r="J6702" s="241">
        <v>0.558139534883721</v>
      </c>
      <c r="K6702" s="241">
        <v>0.591836734693878</v>
      </c>
      <c r="L6702" s="241">
        <v>0.7</v>
      </c>
      <c r="M6702" s="241">
        <v>0.441860465116279</v>
      </c>
      <c r="N6702" s="241">
        <v>0.638297872340426</v>
      </c>
      <c r="O6702" s="252">
        <v>0.541666666666667</v>
      </c>
    </row>
    <row r="6703" spans="1:15">
      <c r="A6703" s="242" t="s">
        <v>67</v>
      </c>
      <c r="B6703" s="43" t="s">
        <v>57</v>
      </c>
      <c r="C6703" s="15">
        <v>494</v>
      </c>
      <c r="D6703" s="243">
        <v>57</v>
      </c>
      <c r="E6703" s="243">
        <v>28</v>
      </c>
      <c r="F6703" s="243">
        <v>24</v>
      </c>
      <c r="G6703" s="243">
        <v>34</v>
      </c>
      <c r="H6703" s="243">
        <v>39</v>
      </c>
      <c r="I6703" s="243">
        <v>32</v>
      </c>
      <c r="J6703" s="243">
        <v>43</v>
      </c>
      <c r="K6703" s="243">
        <v>49</v>
      </c>
      <c r="L6703" s="243">
        <v>50</v>
      </c>
      <c r="M6703" s="243">
        <v>43</v>
      </c>
      <c r="N6703" s="243">
        <v>47</v>
      </c>
      <c r="O6703" s="253">
        <v>48</v>
      </c>
    </row>
    <row r="6704" spans="1:15">
      <c r="A6704" s="240" t="s">
        <v>67</v>
      </c>
      <c r="B6704" s="47" t="s">
        <v>59</v>
      </c>
      <c r="C6704" s="15">
        <v>293</v>
      </c>
      <c r="D6704" s="243">
        <v>37</v>
      </c>
      <c r="E6704" s="243">
        <v>17</v>
      </c>
      <c r="F6704" s="243">
        <v>10</v>
      </c>
      <c r="G6704" s="243">
        <v>20</v>
      </c>
      <c r="H6704" s="243">
        <v>28</v>
      </c>
      <c r="I6704" s="243">
        <v>18</v>
      </c>
      <c r="J6704" s="243">
        <v>24</v>
      </c>
      <c r="K6704" s="243">
        <v>29</v>
      </c>
      <c r="L6704" s="243">
        <v>35</v>
      </c>
      <c r="M6704" s="243">
        <v>19</v>
      </c>
      <c r="N6704" s="243">
        <v>30</v>
      </c>
      <c r="O6704" s="253">
        <v>26</v>
      </c>
    </row>
    <row r="6705" spans="1:15">
      <c r="A6705" s="242" t="s">
        <v>67</v>
      </c>
      <c r="B6705" s="43" t="s">
        <v>4</v>
      </c>
      <c r="C6705" s="15">
        <v>10</v>
      </c>
      <c r="D6705" s="244">
        <v>1</v>
      </c>
      <c r="E6705" s="244">
        <v>0</v>
      </c>
      <c r="F6705" s="244">
        <v>1</v>
      </c>
      <c r="G6705" s="244">
        <v>1</v>
      </c>
      <c r="H6705" s="244">
        <v>1</v>
      </c>
      <c r="I6705" s="244">
        <v>1</v>
      </c>
      <c r="J6705" s="244">
        <v>1</v>
      </c>
      <c r="K6705" s="244">
        <v>0</v>
      </c>
      <c r="L6705" s="244">
        <v>1</v>
      </c>
      <c r="M6705" s="244">
        <v>0</v>
      </c>
      <c r="N6705" s="244">
        <v>1</v>
      </c>
      <c r="O6705" s="254">
        <v>2</v>
      </c>
    </row>
    <row r="6706" spans="1:15">
      <c r="A6706" s="240" t="s">
        <v>67</v>
      </c>
      <c r="B6706" s="47" t="s">
        <v>5</v>
      </c>
      <c r="C6706" s="12">
        <v>0.0341296928327645</v>
      </c>
      <c r="D6706" s="241">
        <v>0.027027027027027</v>
      </c>
      <c r="E6706" s="241">
        <v>0</v>
      </c>
      <c r="F6706" s="241">
        <v>0.1</v>
      </c>
      <c r="G6706" s="241">
        <v>0.05</v>
      </c>
      <c r="H6706" s="241">
        <v>0.0357142857142857</v>
      </c>
      <c r="I6706" s="241">
        <v>0.0555555555555556</v>
      </c>
      <c r="J6706" s="241">
        <v>0.0416666666666667</v>
      </c>
      <c r="K6706" s="241">
        <v>0</v>
      </c>
      <c r="L6706" s="241">
        <v>0.0285714285714286</v>
      </c>
      <c r="M6706" s="241">
        <v>0</v>
      </c>
      <c r="N6706" s="241">
        <v>0.0333333333333333</v>
      </c>
      <c r="O6706" s="252">
        <v>0.0769230769230769</v>
      </c>
    </row>
    <row r="6707" spans="1:15">
      <c r="A6707" s="242" t="s">
        <v>67</v>
      </c>
      <c r="B6707" s="43" t="s">
        <v>6</v>
      </c>
      <c r="C6707" s="15">
        <v>7</v>
      </c>
      <c r="D6707" s="244">
        <v>0</v>
      </c>
      <c r="E6707" s="244">
        <v>0</v>
      </c>
      <c r="F6707" s="244">
        <v>0</v>
      </c>
      <c r="G6707" s="244">
        <v>0</v>
      </c>
      <c r="H6707" s="244">
        <v>0</v>
      </c>
      <c r="I6707" s="244">
        <v>2</v>
      </c>
      <c r="J6707" s="244">
        <v>2</v>
      </c>
      <c r="K6707" s="244">
        <v>0</v>
      </c>
      <c r="L6707" s="244">
        <v>1</v>
      </c>
      <c r="M6707" s="244">
        <v>1</v>
      </c>
      <c r="N6707" s="244">
        <v>1</v>
      </c>
      <c r="O6707" s="254">
        <v>0</v>
      </c>
    </row>
    <row r="6708" ht="14.25" spans="1:15">
      <c r="A6708" s="245" t="s">
        <v>67</v>
      </c>
      <c r="B6708" s="52" t="s">
        <v>64</v>
      </c>
      <c r="C6708" s="19">
        <v>0.7</v>
      </c>
      <c r="D6708" s="246">
        <v>0</v>
      </c>
      <c r="E6708" s="246">
        <v>0</v>
      </c>
      <c r="F6708" s="246">
        <v>0</v>
      </c>
      <c r="G6708" s="246">
        <v>0</v>
      </c>
      <c r="H6708" s="246">
        <v>0</v>
      </c>
      <c r="I6708" s="246">
        <v>2</v>
      </c>
      <c r="J6708" s="246">
        <v>2</v>
      </c>
      <c r="K6708" s="246">
        <v>0</v>
      </c>
      <c r="L6708" s="246">
        <v>1</v>
      </c>
      <c r="M6708" s="246">
        <v>0</v>
      </c>
      <c r="N6708" s="246">
        <v>1</v>
      </c>
      <c r="O6708" s="255">
        <v>0</v>
      </c>
    </row>
    <row r="6709" spans="1:15">
      <c r="A6709" s="240" t="s">
        <v>68</v>
      </c>
      <c r="B6709" s="47" t="s">
        <v>55</v>
      </c>
      <c r="C6709" s="12">
        <v>0.107791446983011</v>
      </c>
      <c r="D6709" s="241">
        <v>0</v>
      </c>
      <c r="E6709" s="241">
        <v>0</v>
      </c>
      <c r="F6709" s="241">
        <v>0</v>
      </c>
      <c r="G6709" s="241">
        <v>0</v>
      </c>
      <c r="H6709" s="241">
        <v>0</v>
      </c>
      <c r="I6709" s="241">
        <v>0.0107142857142857</v>
      </c>
      <c r="J6709" s="241">
        <v>0.166666666666667</v>
      </c>
      <c r="K6709" s="241">
        <v>0.199404761904762</v>
      </c>
      <c r="L6709" s="241">
        <v>0.156626506024096</v>
      </c>
      <c r="M6709" s="241">
        <v>0.166153846153846</v>
      </c>
      <c r="N6709" s="241">
        <v>0.148883374689826</v>
      </c>
      <c r="O6709" s="252">
        <v>0.175519630484988</v>
      </c>
    </row>
    <row r="6710" spans="1:15">
      <c r="A6710" s="242" t="s">
        <v>68</v>
      </c>
      <c r="B6710" s="43" t="s">
        <v>57</v>
      </c>
      <c r="C6710" s="15">
        <v>3414</v>
      </c>
      <c r="D6710" s="243">
        <v>295</v>
      </c>
      <c r="E6710" s="243">
        <v>168</v>
      </c>
      <c r="F6710" s="243">
        <v>156</v>
      </c>
      <c r="G6710" s="243">
        <v>122</v>
      </c>
      <c r="H6710" s="243">
        <v>228</v>
      </c>
      <c r="I6710" s="243">
        <v>280</v>
      </c>
      <c r="J6710" s="243">
        <v>336</v>
      </c>
      <c r="K6710" s="243">
        <v>336</v>
      </c>
      <c r="L6710" s="243">
        <v>332</v>
      </c>
      <c r="M6710" s="243">
        <v>325</v>
      </c>
      <c r="N6710" s="243">
        <v>403</v>
      </c>
      <c r="O6710" s="253">
        <v>433</v>
      </c>
    </row>
    <row r="6711" spans="1:15">
      <c r="A6711" s="240" t="s">
        <v>68</v>
      </c>
      <c r="B6711" s="47" t="s">
        <v>59</v>
      </c>
      <c r="C6711" s="15">
        <v>368</v>
      </c>
      <c r="D6711" s="243">
        <v>0</v>
      </c>
      <c r="E6711" s="243">
        <v>0</v>
      </c>
      <c r="F6711" s="243">
        <v>0</v>
      </c>
      <c r="G6711" s="243">
        <v>0</v>
      </c>
      <c r="H6711" s="243">
        <v>0</v>
      </c>
      <c r="I6711" s="243">
        <v>3</v>
      </c>
      <c r="J6711" s="243">
        <v>56</v>
      </c>
      <c r="K6711" s="243">
        <v>67</v>
      </c>
      <c r="L6711" s="243">
        <v>52</v>
      </c>
      <c r="M6711" s="243">
        <v>54</v>
      </c>
      <c r="N6711" s="243">
        <v>60</v>
      </c>
      <c r="O6711" s="253">
        <v>76</v>
      </c>
    </row>
    <row r="6712" spans="1:15">
      <c r="A6712" s="242" t="s">
        <v>68</v>
      </c>
      <c r="B6712" s="43" t="s">
        <v>4</v>
      </c>
      <c r="C6712" s="15">
        <v>74</v>
      </c>
      <c r="D6712" s="244">
        <v>10</v>
      </c>
      <c r="E6712" s="244">
        <v>3</v>
      </c>
      <c r="F6712" s="244">
        <v>3</v>
      </c>
      <c r="G6712" s="244">
        <v>3</v>
      </c>
      <c r="H6712" s="244">
        <v>2</v>
      </c>
      <c r="I6712" s="244">
        <v>9</v>
      </c>
      <c r="J6712" s="244">
        <v>8</v>
      </c>
      <c r="K6712" s="244">
        <v>10</v>
      </c>
      <c r="L6712" s="244">
        <v>7</v>
      </c>
      <c r="M6712" s="244">
        <v>5</v>
      </c>
      <c r="N6712" s="244">
        <v>4</v>
      </c>
      <c r="O6712" s="254">
        <v>10</v>
      </c>
    </row>
    <row r="6713" spans="1:15">
      <c r="A6713" s="240" t="s">
        <v>68</v>
      </c>
      <c r="B6713" s="47" t="s">
        <v>5</v>
      </c>
      <c r="C6713" s="12">
        <v>0.201086956521739</v>
      </c>
      <c r="D6713" s="241">
        <v>0</v>
      </c>
      <c r="E6713" s="241">
        <v>0</v>
      </c>
      <c r="F6713" s="241">
        <v>0</v>
      </c>
      <c r="G6713" s="241">
        <v>0</v>
      </c>
      <c r="H6713" s="241">
        <v>0</v>
      </c>
      <c r="I6713" s="241">
        <v>3</v>
      </c>
      <c r="J6713" s="241">
        <v>0.142857142857143</v>
      </c>
      <c r="K6713" s="241">
        <v>0.149253731343284</v>
      </c>
      <c r="L6713" s="241">
        <v>0.134615384615385</v>
      </c>
      <c r="M6713" s="241">
        <v>0.0925925925925926</v>
      </c>
      <c r="N6713" s="241">
        <v>0.0666666666666667</v>
      </c>
      <c r="O6713" s="252">
        <v>0.131578947368421</v>
      </c>
    </row>
    <row r="6714" spans="1:15">
      <c r="A6714" s="242" t="s">
        <v>68</v>
      </c>
      <c r="B6714" s="43" t="s">
        <v>6</v>
      </c>
      <c r="C6714" s="15">
        <v>24</v>
      </c>
      <c r="D6714" s="244">
        <v>2</v>
      </c>
      <c r="E6714" s="244">
        <v>2</v>
      </c>
      <c r="F6714" s="244">
        <v>1</v>
      </c>
      <c r="G6714" s="244">
        <v>1</v>
      </c>
      <c r="H6714" s="244">
        <v>1</v>
      </c>
      <c r="I6714" s="244">
        <v>3</v>
      </c>
      <c r="J6714" s="244">
        <v>4</v>
      </c>
      <c r="K6714" s="244">
        <v>1</v>
      </c>
      <c r="L6714" s="244">
        <v>4</v>
      </c>
      <c r="M6714" s="244">
        <v>1</v>
      </c>
      <c r="N6714" s="244">
        <v>2</v>
      </c>
      <c r="O6714" s="254">
        <v>2</v>
      </c>
    </row>
    <row r="6715" ht="14.25" spans="1:15">
      <c r="A6715" s="245" t="s">
        <v>68</v>
      </c>
      <c r="B6715" s="52" t="s">
        <v>64</v>
      </c>
      <c r="C6715" s="19">
        <v>0.324324324324324</v>
      </c>
      <c r="D6715" s="246">
        <v>0.2</v>
      </c>
      <c r="E6715" s="246">
        <v>0.666666666666667</v>
      </c>
      <c r="F6715" s="246">
        <v>0.333333333333333</v>
      </c>
      <c r="G6715" s="246">
        <v>0.333333333333333</v>
      </c>
      <c r="H6715" s="246">
        <v>0.5</v>
      </c>
      <c r="I6715" s="246">
        <v>0.333333333333333</v>
      </c>
      <c r="J6715" s="246">
        <v>0.5</v>
      </c>
      <c r="K6715" s="246">
        <v>0.1</v>
      </c>
      <c r="L6715" s="246">
        <v>0.571428571428571</v>
      </c>
      <c r="M6715" s="246">
        <v>0.2</v>
      </c>
      <c r="N6715" s="246">
        <v>0.5</v>
      </c>
      <c r="O6715" s="255">
        <v>0.2</v>
      </c>
    </row>
    <row r="6716" spans="1:15">
      <c r="A6716" s="240" t="s">
        <v>69</v>
      </c>
      <c r="B6716" s="47" t="s">
        <v>55</v>
      </c>
      <c r="C6716" s="12">
        <v>2.92307692307692</v>
      </c>
      <c r="D6716" s="241">
        <v>2.6</v>
      </c>
      <c r="E6716" s="241">
        <v>1.4</v>
      </c>
      <c r="F6716" s="241">
        <v>1.25</v>
      </c>
      <c r="G6716" s="241">
        <v>2.2</v>
      </c>
      <c r="H6716" s="241">
        <v>2.5</v>
      </c>
      <c r="I6716" s="241">
        <v>3.33333333333333</v>
      </c>
      <c r="J6716" s="241">
        <v>3.33333333333333</v>
      </c>
      <c r="K6716" s="241">
        <v>7.5</v>
      </c>
      <c r="L6716" s="241">
        <v>1.66666666666667</v>
      </c>
      <c r="M6716" s="241">
        <v>7</v>
      </c>
      <c r="N6716" s="241">
        <v>5</v>
      </c>
      <c r="O6716" s="252" t="e">
        <v>#DIV/0!</v>
      </c>
    </row>
    <row r="6717" spans="1:15">
      <c r="A6717" s="242" t="s">
        <v>69</v>
      </c>
      <c r="B6717" s="43" t="s">
        <v>57</v>
      </c>
      <c r="C6717" s="15">
        <v>39</v>
      </c>
      <c r="D6717" s="243">
        <v>5</v>
      </c>
      <c r="E6717" s="243">
        <v>5</v>
      </c>
      <c r="F6717" s="243">
        <v>4</v>
      </c>
      <c r="G6717" s="243">
        <v>5</v>
      </c>
      <c r="H6717" s="243">
        <v>6</v>
      </c>
      <c r="I6717" s="243">
        <v>3</v>
      </c>
      <c r="J6717" s="243">
        <v>3</v>
      </c>
      <c r="K6717" s="243">
        <v>2</v>
      </c>
      <c r="L6717" s="243">
        <v>3</v>
      </c>
      <c r="M6717" s="243">
        <v>1</v>
      </c>
      <c r="N6717" s="243">
        <v>2</v>
      </c>
      <c r="O6717" s="253">
        <v>0</v>
      </c>
    </row>
    <row r="6718" spans="1:15">
      <c r="A6718" s="240" t="s">
        <v>69</v>
      </c>
      <c r="B6718" s="47" t="s">
        <v>59</v>
      </c>
      <c r="C6718" s="15">
        <v>114</v>
      </c>
      <c r="D6718" s="243">
        <v>13</v>
      </c>
      <c r="E6718" s="243">
        <v>7</v>
      </c>
      <c r="F6718" s="243">
        <v>5</v>
      </c>
      <c r="G6718" s="243">
        <v>11</v>
      </c>
      <c r="H6718" s="243">
        <v>15</v>
      </c>
      <c r="I6718" s="243">
        <v>10</v>
      </c>
      <c r="J6718" s="243">
        <v>10</v>
      </c>
      <c r="K6718" s="243">
        <v>15</v>
      </c>
      <c r="L6718" s="243">
        <v>5</v>
      </c>
      <c r="M6718" s="243">
        <v>7</v>
      </c>
      <c r="N6718" s="243">
        <v>10</v>
      </c>
      <c r="O6718" s="253">
        <v>6</v>
      </c>
    </row>
    <row r="6719" spans="1:15">
      <c r="A6719" s="242" t="s">
        <v>69</v>
      </c>
      <c r="B6719" s="43" t="s">
        <v>4</v>
      </c>
      <c r="C6719" s="15">
        <v>1</v>
      </c>
      <c r="D6719" s="244">
        <v>0</v>
      </c>
      <c r="E6719" s="244">
        <v>0</v>
      </c>
      <c r="F6719" s="244">
        <v>0</v>
      </c>
      <c r="G6719" s="244">
        <v>0</v>
      </c>
      <c r="H6719" s="244">
        <v>0</v>
      </c>
      <c r="I6719" s="244">
        <v>1</v>
      </c>
      <c r="J6719" s="244">
        <v>0</v>
      </c>
      <c r="K6719" s="244">
        <v>0</v>
      </c>
      <c r="L6719" s="244">
        <v>0</v>
      </c>
      <c r="M6719" s="244">
        <v>0</v>
      </c>
      <c r="N6719" s="244">
        <v>0</v>
      </c>
      <c r="O6719" s="254">
        <v>0</v>
      </c>
    </row>
    <row r="6720" spans="1:15">
      <c r="A6720" s="240" t="s">
        <v>69</v>
      </c>
      <c r="B6720" s="47" t="s">
        <v>5</v>
      </c>
      <c r="C6720" s="12">
        <v>0.0087719298245614</v>
      </c>
      <c r="D6720" s="241">
        <v>0</v>
      </c>
      <c r="E6720" s="241">
        <v>0</v>
      </c>
      <c r="F6720" s="241">
        <v>0</v>
      </c>
      <c r="G6720" s="241">
        <v>0</v>
      </c>
      <c r="H6720" s="241">
        <v>0</v>
      </c>
      <c r="I6720" s="241">
        <v>0.1</v>
      </c>
      <c r="J6720" s="241">
        <v>0</v>
      </c>
      <c r="K6720" s="241">
        <v>0</v>
      </c>
      <c r="L6720" s="241">
        <v>0</v>
      </c>
      <c r="M6720" s="241">
        <v>0</v>
      </c>
      <c r="N6720" s="241">
        <v>0</v>
      </c>
      <c r="O6720" s="252">
        <v>0</v>
      </c>
    </row>
    <row r="6721" spans="1:15">
      <c r="A6721" s="242" t="s">
        <v>69</v>
      </c>
      <c r="B6721" s="43" t="s">
        <v>6</v>
      </c>
      <c r="C6721" s="15">
        <v>2</v>
      </c>
      <c r="D6721" s="244">
        <v>0</v>
      </c>
      <c r="E6721" s="244">
        <v>0</v>
      </c>
      <c r="F6721" s="244">
        <v>0</v>
      </c>
      <c r="G6721" s="244">
        <v>0</v>
      </c>
      <c r="H6721" s="244">
        <v>0</v>
      </c>
      <c r="I6721" s="244">
        <v>1</v>
      </c>
      <c r="J6721" s="244">
        <v>0</v>
      </c>
      <c r="K6721" s="244">
        <v>0</v>
      </c>
      <c r="L6721" s="244">
        <v>0</v>
      </c>
      <c r="M6721" s="244">
        <v>1</v>
      </c>
      <c r="N6721" s="244">
        <v>0</v>
      </c>
      <c r="O6721" s="254">
        <v>0</v>
      </c>
    </row>
    <row r="6722" ht="14.25" spans="1:15">
      <c r="A6722" s="245" t="s">
        <v>69</v>
      </c>
      <c r="B6722" s="52" t="s">
        <v>64</v>
      </c>
      <c r="C6722" s="19">
        <v>2</v>
      </c>
      <c r="D6722" s="246">
        <v>0</v>
      </c>
      <c r="E6722" s="246">
        <v>0</v>
      </c>
      <c r="F6722" s="246">
        <v>0</v>
      </c>
      <c r="G6722" s="246">
        <v>0</v>
      </c>
      <c r="H6722" s="246">
        <v>0</v>
      </c>
      <c r="I6722" s="246">
        <v>1</v>
      </c>
      <c r="J6722" s="246">
        <v>0</v>
      </c>
      <c r="K6722" s="246">
        <v>0</v>
      </c>
      <c r="L6722" s="246">
        <v>0</v>
      </c>
      <c r="M6722" s="246">
        <v>0</v>
      </c>
      <c r="N6722" s="246">
        <v>0</v>
      </c>
      <c r="O6722" s="255">
        <v>0</v>
      </c>
    </row>
    <row r="6723" spans="1:15">
      <c r="A6723" s="240" t="s">
        <v>70</v>
      </c>
      <c r="B6723" s="47" t="s">
        <v>55</v>
      </c>
      <c r="C6723" s="12">
        <v>0.86993006993007</v>
      </c>
      <c r="D6723" s="241">
        <v>1</v>
      </c>
      <c r="E6723" s="241">
        <v>0.862068965517241</v>
      </c>
      <c r="F6723" s="241">
        <v>0.933333333333333</v>
      </c>
      <c r="G6723" s="241">
        <v>1.06666666666667</v>
      </c>
      <c r="H6723" s="241">
        <v>0.979591836734694</v>
      </c>
      <c r="I6723" s="241">
        <v>0.779220779220779</v>
      </c>
      <c r="J6723" s="241">
        <v>0.773333333333333</v>
      </c>
      <c r="K6723" s="241">
        <v>0.8125</v>
      </c>
      <c r="L6723" s="241">
        <v>1</v>
      </c>
      <c r="M6723" s="241">
        <v>0.986301369863014</v>
      </c>
      <c r="N6723" s="241">
        <v>0.686046511627907</v>
      </c>
      <c r="O6723" s="252">
        <v>0.855263157894737</v>
      </c>
    </row>
    <row r="6724" spans="1:15">
      <c r="A6724" s="242" t="s">
        <v>70</v>
      </c>
      <c r="B6724" s="43" t="s">
        <v>57</v>
      </c>
      <c r="C6724" s="15">
        <v>715</v>
      </c>
      <c r="D6724" s="243">
        <v>58</v>
      </c>
      <c r="E6724" s="243">
        <v>29</v>
      </c>
      <c r="F6724" s="243">
        <v>15</v>
      </c>
      <c r="G6724" s="243">
        <v>15</v>
      </c>
      <c r="H6724" s="243">
        <v>49</v>
      </c>
      <c r="I6724" s="243">
        <v>77</v>
      </c>
      <c r="J6724" s="243">
        <v>75</v>
      </c>
      <c r="K6724" s="243">
        <v>80</v>
      </c>
      <c r="L6724" s="243">
        <v>82</v>
      </c>
      <c r="M6724" s="243">
        <v>73</v>
      </c>
      <c r="N6724" s="243">
        <v>86</v>
      </c>
      <c r="O6724" s="253">
        <v>76</v>
      </c>
    </row>
    <row r="6725" spans="1:15">
      <c r="A6725" s="240" t="s">
        <v>70</v>
      </c>
      <c r="B6725" s="47" t="s">
        <v>59</v>
      </c>
      <c r="C6725" s="15">
        <v>622</v>
      </c>
      <c r="D6725" s="243">
        <v>58</v>
      </c>
      <c r="E6725" s="243">
        <v>25</v>
      </c>
      <c r="F6725" s="243">
        <v>14</v>
      </c>
      <c r="G6725" s="243">
        <v>16</v>
      </c>
      <c r="H6725" s="243">
        <v>48</v>
      </c>
      <c r="I6725" s="243">
        <v>60</v>
      </c>
      <c r="J6725" s="243">
        <v>58</v>
      </c>
      <c r="K6725" s="243">
        <v>65</v>
      </c>
      <c r="L6725" s="243">
        <v>82</v>
      </c>
      <c r="M6725" s="243">
        <v>72</v>
      </c>
      <c r="N6725" s="243">
        <v>59</v>
      </c>
      <c r="O6725" s="253">
        <v>65</v>
      </c>
    </row>
    <row r="6726" spans="1:15">
      <c r="A6726" s="242" t="s">
        <v>70</v>
      </c>
      <c r="B6726" s="43" t="s">
        <v>4</v>
      </c>
      <c r="C6726" s="15">
        <v>7</v>
      </c>
      <c r="D6726" s="244">
        <v>3</v>
      </c>
      <c r="E6726" s="244">
        <v>0</v>
      </c>
      <c r="F6726" s="244">
        <v>0</v>
      </c>
      <c r="G6726" s="244">
        <v>0</v>
      </c>
      <c r="H6726" s="244">
        <v>1</v>
      </c>
      <c r="I6726" s="244">
        <v>1</v>
      </c>
      <c r="J6726" s="244">
        <v>0</v>
      </c>
      <c r="K6726" s="244">
        <v>0</v>
      </c>
      <c r="L6726" s="244">
        <v>0</v>
      </c>
      <c r="M6726" s="244">
        <v>1</v>
      </c>
      <c r="N6726" s="244">
        <v>0</v>
      </c>
      <c r="O6726" s="254">
        <v>1</v>
      </c>
    </row>
    <row r="6727" spans="1:15">
      <c r="A6727" s="240" t="s">
        <v>70</v>
      </c>
      <c r="B6727" s="47" t="s">
        <v>5</v>
      </c>
      <c r="C6727" s="12">
        <v>0.0112540192926045</v>
      </c>
      <c r="D6727" s="241">
        <v>0.0517241379310345</v>
      </c>
      <c r="E6727" s="241">
        <v>0</v>
      </c>
      <c r="F6727" s="241">
        <v>0</v>
      </c>
      <c r="G6727" s="241">
        <v>0</v>
      </c>
      <c r="H6727" s="241">
        <v>0.0208333333333333</v>
      </c>
      <c r="I6727" s="241">
        <v>0.0166666666666667</v>
      </c>
      <c r="J6727" s="241">
        <v>0</v>
      </c>
      <c r="K6727" s="241">
        <v>0</v>
      </c>
      <c r="L6727" s="241">
        <v>0</v>
      </c>
      <c r="M6727" s="241">
        <v>0.0138888888888889</v>
      </c>
      <c r="N6727" s="241">
        <v>0</v>
      </c>
      <c r="O6727" s="252">
        <v>0.0153846153846154</v>
      </c>
    </row>
    <row r="6728" spans="1:15">
      <c r="A6728" s="242" t="s">
        <v>70</v>
      </c>
      <c r="B6728" s="43" t="s">
        <v>6</v>
      </c>
      <c r="C6728" s="15">
        <v>3</v>
      </c>
      <c r="D6728" s="244">
        <v>1</v>
      </c>
      <c r="E6728" s="244">
        <v>0</v>
      </c>
      <c r="F6728" s="244">
        <v>0</v>
      </c>
      <c r="G6728" s="244">
        <v>0</v>
      </c>
      <c r="H6728" s="244">
        <v>0</v>
      </c>
      <c r="I6728" s="244">
        <v>0</v>
      </c>
      <c r="J6728" s="244">
        <v>1</v>
      </c>
      <c r="K6728" s="244">
        <v>0</v>
      </c>
      <c r="L6728" s="244">
        <v>0</v>
      </c>
      <c r="M6728" s="244">
        <v>0</v>
      </c>
      <c r="N6728" s="244">
        <v>1</v>
      </c>
      <c r="O6728" s="254">
        <v>0</v>
      </c>
    </row>
    <row r="6729" ht="14.25" spans="1:15">
      <c r="A6729" s="245" t="s">
        <v>70</v>
      </c>
      <c r="B6729" s="52" t="s">
        <v>64</v>
      </c>
      <c r="C6729" s="19">
        <v>0.428571428571429</v>
      </c>
      <c r="D6729" s="246">
        <v>0.333333333333333</v>
      </c>
      <c r="E6729" s="246">
        <v>0</v>
      </c>
      <c r="F6729" s="246">
        <v>0</v>
      </c>
      <c r="G6729" s="246">
        <v>0</v>
      </c>
      <c r="H6729" s="246">
        <v>0</v>
      </c>
      <c r="I6729" s="246">
        <v>0</v>
      </c>
      <c r="J6729" s="246">
        <v>0</v>
      </c>
      <c r="K6729" s="246">
        <v>0</v>
      </c>
      <c r="L6729" s="246">
        <v>0</v>
      </c>
      <c r="M6729" s="246">
        <v>0</v>
      </c>
      <c r="N6729" s="246">
        <v>0</v>
      </c>
      <c r="O6729" s="255">
        <v>0</v>
      </c>
    </row>
    <row r="6730" spans="1:15">
      <c r="A6730" s="240" t="s">
        <v>26</v>
      </c>
      <c r="B6730" s="47" t="s">
        <v>55</v>
      </c>
      <c r="C6730" s="12">
        <v>2.41613588110403</v>
      </c>
      <c r="D6730" s="241" t="e">
        <v>#DIV/0!</v>
      </c>
      <c r="E6730" s="241" t="e">
        <v>#DIV/0!</v>
      </c>
      <c r="F6730" s="241" t="e">
        <v>#DIV/0!</v>
      </c>
      <c r="G6730" s="241" t="e">
        <v>#DIV/0!</v>
      </c>
      <c r="H6730" s="241" t="e">
        <v>#DIV/0!</v>
      </c>
      <c r="I6730" s="241" t="e">
        <v>#DIV/0!</v>
      </c>
      <c r="J6730" s="241" t="e">
        <v>#DIV/0!</v>
      </c>
      <c r="K6730" s="241">
        <v>39</v>
      </c>
      <c r="L6730" s="241">
        <v>0.991150442477876</v>
      </c>
      <c r="M6730" s="241">
        <v>1.02752293577982</v>
      </c>
      <c r="N6730" s="241">
        <v>1.14912280701754</v>
      </c>
      <c r="O6730" s="252">
        <v>0.916666666666667</v>
      </c>
    </row>
    <row r="6731" spans="1:15">
      <c r="A6731" s="242" t="s">
        <v>26</v>
      </c>
      <c r="B6731" s="43" t="s">
        <v>57</v>
      </c>
      <c r="C6731" s="15">
        <v>471</v>
      </c>
      <c r="D6731" s="243">
        <v>0</v>
      </c>
      <c r="E6731" s="243">
        <v>0</v>
      </c>
      <c r="F6731" s="243">
        <v>0</v>
      </c>
      <c r="G6731" s="243">
        <v>0</v>
      </c>
      <c r="H6731" s="243">
        <v>0</v>
      </c>
      <c r="I6731" s="243">
        <v>0</v>
      </c>
      <c r="J6731" s="243">
        <v>0</v>
      </c>
      <c r="K6731" s="243">
        <v>3</v>
      </c>
      <c r="L6731" s="243">
        <v>113</v>
      </c>
      <c r="M6731" s="243">
        <v>109</v>
      </c>
      <c r="N6731" s="243">
        <v>114</v>
      </c>
      <c r="O6731" s="253">
        <v>132</v>
      </c>
    </row>
    <row r="6732" spans="1:15">
      <c r="A6732" s="240" t="s">
        <v>26</v>
      </c>
      <c r="B6732" s="47" t="s">
        <v>59</v>
      </c>
      <c r="C6732" s="15">
        <v>1138</v>
      </c>
      <c r="D6732" s="243">
        <v>109</v>
      </c>
      <c r="E6732" s="243">
        <v>72</v>
      </c>
      <c r="F6732" s="243">
        <v>65</v>
      </c>
      <c r="G6732" s="243">
        <v>44</v>
      </c>
      <c r="H6732" s="243">
        <v>81</v>
      </c>
      <c r="I6732" s="243">
        <v>84</v>
      </c>
      <c r="J6732" s="243">
        <v>90</v>
      </c>
      <c r="K6732" s="243">
        <v>117</v>
      </c>
      <c r="L6732" s="243">
        <v>112</v>
      </c>
      <c r="M6732" s="243">
        <v>112</v>
      </c>
      <c r="N6732" s="243">
        <v>131</v>
      </c>
      <c r="O6732" s="253">
        <v>121</v>
      </c>
    </row>
    <row r="6733" spans="1:15">
      <c r="A6733" s="242" t="s">
        <v>26</v>
      </c>
      <c r="B6733" s="43" t="s">
        <v>4</v>
      </c>
      <c r="C6733" s="15">
        <v>19</v>
      </c>
      <c r="D6733" s="244">
        <v>1</v>
      </c>
      <c r="E6733" s="244">
        <v>2</v>
      </c>
      <c r="F6733" s="244">
        <v>1</v>
      </c>
      <c r="G6733" s="244">
        <v>1</v>
      </c>
      <c r="H6733" s="244">
        <v>1</v>
      </c>
      <c r="I6733" s="244">
        <v>1</v>
      </c>
      <c r="J6733" s="244">
        <v>0</v>
      </c>
      <c r="K6733" s="244">
        <v>1</v>
      </c>
      <c r="L6733" s="244">
        <v>1</v>
      </c>
      <c r="M6733" s="244">
        <v>3</v>
      </c>
      <c r="N6733" s="244">
        <v>3</v>
      </c>
      <c r="O6733" s="254">
        <v>4</v>
      </c>
    </row>
    <row r="6734" spans="1:15">
      <c r="A6734" s="240" t="s">
        <v>26</v>
      </c>
      <c r="B6734" s="47" t="s">
        <v>5</v>
      </c>
      <c r="C6734" s="12">
        <v>0.0166959578207381</v>
      </c>
      <c r="D6734" s="241">
        <v>0.00917431192660551</v>
      </c>
      <c r="E6734" s="241">
        <v>0.0277777777777778</v>
      </c>
      <c r="F6734" s="241">
        <v>0.0153846153846154</v>
      </c>
      <c r="G6734" s="241">
        <v>0.0227272727272727</v>
      </c>
      <c r="H6734" s="241">
        <v>0.0123456790123457</v>
      </c>
      <c r="I6734" s="241">
        <v>0.0119047619047619</v>
      </c>
      <c r="J6734" s="241">
        <v>0</v>
      </c>
      <c r="K6734" s="241">
        <v>0.00854700854700855</v>
      </c>
      <c r="L6734" s="241">
        <v>0.00892857142857143</v>
      </c>
      <c r="M6734" s="241">
        <v>0.0267857142857143</v>
      </c>
      <c r="N6734" s="241">
        <v>0.0229007633587786</v>
      </c>
      <c r="O6734" s="252">
        <v>0.0330578512396694</v>
      </c>
    </row>
    <row r="6735" spans="1:15">
      <c r="A6735" s="242" t="s">
        <v>26</v>
      </c>
      <c r="B6735" s="43" t="s">
        <v>6</v>
      </c>
      <c r="C6735" s="15">
        <v>6</v>
      </c>
      <c r="D6735" s="244">
        <v>0</v>
      </c>
      <c r="E6735" s="244">
        <v>1</v>
      </c>
      <c r="F6735" s="244">
        <v>1</v>
      </c>
      <c r="G6735" s="244">
        <v>0</v>
      </c>
      <c r="H6735" s="244">
        <v>0</v>
      </c>
      <c r="I6735" s="244">
        <v>1</v>
      </c>
      <c r="J6735" s="244">
        <v>0</v>
      </c>
      <c r="K6735" s="244">
        <v>0</v>
      </c>
      <c r="L6735" s="244">
        <v>0</v>
      </c>
      <c r="M6735" s="244">
        <v>0</v>
      </c>
      <c r="N6735" s="244">
        <v>1</v>
      </c>
      <c r="O6735" s="254">
        <v>2</v>
      </c>
    </row>
    <row r="6736" ht="14.25" spans="1:15">
      <c r="A6736" s="245" t="s">
        <v>26</v>
      </c>
      <c r="B6736" s="52" t="s">
        <v>64</v>
      </c>
      <c r="C6736" s="19">
        <v>0.315789473684211</v>
      </c>
      <c r="D6736" s="19">
        <v>0</v>
      </c>
      <c r="E6736" s="19">
        <v>0.5</v>
      </c>
      <c r="F6736" s="19">
        <v>1</v>
      </c>
      <c r="G6736" s="19">
        <v>0</v>
      </c>
      <c r="H6736" s="19">
        <v>0</v>
      </c>
      <c r="I6736" s="19">
        <v>1</v>
      </c>
      <c r="J6736" s="19" t="e">
        <v>#DIV/0!</v>
      </c>
      <c r="K6736" s="19">
        <v>0</v>
      </c>
      <c r="L6736" s="19">
        <v>0</v>
      </c>
      <c r="M6736" s="19">
        <v>0</v>
      </c>
      <c r="N6736" s="19">
        <v>0.333333333333333</v>
      </c>
      <c r="O6736" s="19">
        <v>0.5</v>
      </c>
    </row>
    <row r="6737" spans="1:15">
      <c r="A6737" s="240" t="s">
        <v>71</v>
      </c>
      <c r="B6737" s="47" t="s">
        <v>55</v>
      </c>
      <c r="C6737" s="12">
        <v>1.03398058252427</v>
      </c>
      <c r="D6737" s="241" t="e">
        <v>#DIV/0!</v>
      </c>
      <c r="E6737" s="241" t="e">
        <v>#DIV/0!</v>
      </c>
      <c r="F6737" s="241" t="e">
        <v>#DIV/0!</v>
      </c>
      <c r="G6737" s="241" t="e">
        <v>#DIV/0!</v>
      </c>
      <c r="H6737" s="241" t="e">
        <v>#DIV/0!</v>
      </c>
      <c r="I6737" s="241" t="e">
        <v>#DIV/0!</v>
      </c>
      <c r="J6737" s="241" t="e">
        <v>#DIV/0!</v>
      </c>
      <c r="K6737" s="241">
        <v>1.20689655172414</v>
      </c>
      <c r="L6737" s="241">
        <v>0.525</v>
      </c>
      <c r="M6737" s="241">
        <v>0.636363636363636</v>
      </c>
      <c r="N6737" s="241">
        <v>0.239130434782609</v>
      </c>
      <c r="O6737" s="252">
        <v>0.304347826086957</v>
      </c>
    </row>
    <row r="6738" spans="1:15">
      <c r="A6738" s="242" t="s">
        <v>71</v>
      </c>
      <c r="B6738" s="43" t="s">
        <v>57</v>
      </c>
      <c r="C6738" s="15">
        <v>206</v>
      </c>
      <c r="D6738" s="243">
        <v>0</v>
      </c>
      <c r="E6738" s="243">
        <v>0</v>
      </c>
      <c r="F6738" s="243">
        <v>0</v>
      </c>
      <c r="G6738" s="243">
        <v>0</v>
      </c>
      <c r="H6738" s="243">
        <v>0</v>
      </c>
      <c r="I6738" s="243">
        <v>0</v>
      </c>
      <c r="J6738" s="243">
        <v>0</v>
      </c>
      <c r="K6738" s="243">
        <v>29</v>
      </c>
      <c r="L6738" s="243">
        <v>40</v>
      </c>
      <c r="M6738" s="243">
        <v>22</v>
      </c>
      <c r="N6738" s="243">
        <v>46</v>
      </c>
      <c r="O6738" s="253">
        <v>69</v>
      </c>
    </row>
    <row r="6739" spans="1:15">
      <c r="A6739" s="240" t="s">
        <v>71</v>
      </c>
      <c r="B6739" s="47" t="s">
        <v>59</v>
      </c>
      <c r="C6739" s="15">
        <v>213</v>
      </c>
      <c r="D6739" s="243">
        <v>18</v>
      </c>
      <c r="E6739" s="243">
        <v>11</v>
      </c>
      <c r="F6739" s="243">
        <v>5</v>
      </c>
      <c r="G6739" s="243">
        <v>8</v>
      </c>
      <c r="H6739" s="243">
        <v>20</v>
      </c>
      <c r="I6739" s="243">
        <v>26</v>
      </c>
      <c r="J6739" s="243">
        <v>23</v>
      </c>
      <c r="K6739" s="243">
        <v>35</v>
      </c>
      <c r="L6739" s="243">
        <v>21</v>
      </c>
      <c r="M6739" s="243">
        <v>14</v>
      </c>
      <c r="N6739" s="243">
        <v>11</v>
      </c>
      <c r="O6739" s="253">
        <v>21</v>
      </c>
    </row>
    <row r="6740" spans="1:15">
      <c r="A6740" s="242" t="s">
        <v>71</v>
      </c>
      <c r="B6740" s="43" t="s">
        <v>4</v>
      </c>
      <c r="C6740" s="15">
        <v>22</v>
      </c>
      <c r="D6740" s="244">
        <v>0</v>
      </c>
      <c r="E6740" s="244">
        <v>2</v>
      </c>
      <c r="F6740" s="244">
        <v>1</v>
      </c>
      <c r="G6740" s="244">
        <v>0</v>
      </c>
      <c r="H6740" s="244">
        <v>1</v>
      </c>
      <c r="I6740" s="244">
        <v>4</v>
      </c>
      <c r="J6740" s="244">
        <v>2</v>
      </c>
      <c r="K6740" s="244">
        <v>0</v>
      </c>
      <c r="L6740" s="244">
        <v>0</v>
      </c>
      <c r="M6740" s="244">
        <v>1</v>
      </c>
      <c r="N6740" s="244">
        <v>4</v>
      </c>
      <c r="O6740" s="254">
        <v>7</v>
      </c>
    </row>
    <row r="6741" spans="1:15">
      <c r="A6741" s="240" t="s">
        <v>71</v>
      </c>
      <c r="B6741" s="47" t="s">
        <v>5</v>
      </c>
      <c r="C6741" s="241">
        <v>0.103286384976526</v>
      </c>
      <c r="D6741" s="241">
        <v>0</v>
      </c>
      <c r="E6741" s="241">
        <v>0.181818181818182</v>
      </c>
      <c r="F6741" s="241">
        <v>0.2</v>
      </c>
      <c r="G6741" s="241">
        <v>0</v>
      </c>
      <c r="H6741" s="241">
        <v>0.05</v>
      </c>
      <c r="I6741" s="241">
        <v>0.153846153846154</v>
      </c>
      <c r="J6741" s="241">
        <v>0.0869565217391304</v>
      </c>
      <c r="K6741" s="241">
        <v>0</v>
      </c>
      <c r="L6741" s="241">
        <v>0</v>
      </c>
      <c r="M6741" s="241">
        <v>0.0714285714285714</v>
      </c>
      <c r="N6741" s="241">
        <v>0.363636363636364</v>
      </c>
      <c r="O6741" s="252">
        <v>0.333333333333333</v>
      </c>
    </row>
    <row r="6742" spans="1:15">
      <c r="A6742" s="242" t="s">
        <v>71</v>
      </c>
      <c r="B6742" s="43" t="s">
        <v>6</v>
      </c>
      <c r="C6742" s="15">
        <v>8</v>
      </c>
      <c r="D6742" s="244">
        <v>0</v>
      </c>
      <c r="E6742" s="244">
        <v>0</v>
      </c>
      <c r="F6742" s="244">
        <v>1</v>
      </c>
      <c r="G6742" s="244">
        <v>1</v>
      </c>
      <c r="H6742" s="244">
        <v>1</v>
      </c>
      <c r="I6742" s="244">
        <v>2</v>
      </c>
      <c r="J6742" s="244">
        <v>0</v>
      </c>
      <c r="K6742" s="244">
        <v>0</v>
      </c>
      <c r="L6742" s="244">
        <v>1</v>
      </c>
      <c r="M6742" s="244">
        <v>0</v>
      </c>
      <c r="N6742" s="244">
        <v>1</v>
      </c>
      <c r="O6742" s="254">
        <v>1</v>
      </c>
    </row>
    <row r="6743" ht="14.25" spans="1:15">
      <c r="A6743" s="245" t="s">
        <v>71</v>
      </c>
      <c r="B6743" s="52" t="s">
        <v>64</v>
      </c>
      <c r="C6743" s="19">
        <v>0.363636363636364</v>
      </c>
      <c r="D6743" s="19" t="e">
        <v>#DIV/0!</v>
      </c>
      <c r="E6743" s="19">
        <v>0</v>
      </c>
      <c r="F6743" s="19">
        <v>1</v>
      </c>
      <c r="G6743" s="19" t="e">
        <v>#DIV/0!</v>
      </c>
      <c r="H6743" s="19">
        <v>1</v>
      </c>
      <c r="I6743" s="19">
        <v>0.5</v>
      </c>
      <c r="J6743" s="19">
        <v>0</v>
      </c>
      <c r="K6743" s="19" t="e">
        <v>#DIV/0!</v>
      </c>
      <c r="L6743" s="19" t="e">
        <v>#DIV/0!</v>
      </c>
      <c r="M6743" s="19">
        <v>0</v>
      </c>
      <c r="N6743" s="19">
        <v>0.25</v>
      </c>
      <c r="O6743" s="19">
        <v>0.142857142857143</v>
      </c>
    </row>
    <row r="6744" spans="1:15">
      <c r="A6744" s="240" t="s">
        <v>72</v>
      </c>
      <c r="B6744" s="47" t="s">
        <v>55</v>
      </c>
      <c r="C6744" s="12">
        <v>0.13321412606169</v>
      </c>
      <c r="D6744" s="241">
        <v>0.217616580310881</v>
      </c>
      <c r="E6744" s="241">
        <v>0.141414141414141</v>
      </c>
      <c r="F6744" s="241">
        <v>0.0958904109589041</v>
      </c>
      <c r="G6744" s="241">
        <v>0.209090909090909</v>
      </c>
      <c r="H6744" s="241">
        <v>0.192</v>
      </c>
      <c r="I6744" s="241">
        <v>0.11046511627907</v>
      </c>
      <c r="J6744" s="241">
        <v>0.136363636363636</v>
      </c>
      <c r="K6744" s="241">
        <v>0.120689655172414</v>
      </c>
      <c r="L6744" s="241">
        <v>0.112676056338028</v>
      </c>
      <c r="M6744" s="241">
        <v>0.130841121495327</v>
      </c>
      <c r="N6744" s="241">
        <v>0.0945945945945946</v>
      </c>
      <c r="O6744" s="252">
        <v>0.116352201257862</v>
      </c>
    </row>
    <row r="6745" spans="1:15">
      <c r="A6745" s="242" t="s">
        <v>72</v>
      </c>
      <c r="B6745" s="43" t="s">
        <v>57</v>
      </c>
      <c r="C6745" s="15">
        <v>2237</v>
      </c>
      <c r="D6745" s="243">
        <v>193</v>
      </c>
      <c r="E6745" s="243">
        <v>99</v>
      </c>
      <c r="F6745" s="243">
        <v>73</v>
      </c>
      <c r="G6745" s="243">
        <v>110</v>
      </c>
      <c r="H6745" s="243">
        <v>125</v>
      </c>
      <c r="I6745" s="243">
        <v>172</v>
      </c>
      <c r="J6745" s="243">
        <v>176</v>
      </c>
      <c r="K6745" s="243">
        <v>174</v>
      </c>
      <c r="L6745" s="243">
        <v>213</v>
      </c>
      <c r="M6745" s="243">
        <v>214</v>
      </c>
      <c r="N6745" s="243">
        <v>370</v>
      </c>
      <c r="O6745" s="253">
        <v>318</v>
      </c>
    </row>
    <row r="6746" spans="1:15">
      <c r="A6746" s="240" t="s">
        <v>72</v>
      </c>
      <c r="B6746" s="47" t="s">
        <v>59</v>
      </c>
      <c r="C6746" s="15">
        <v>298</v>
      </c>
      <c r="D6746" s="243">
        <v>42</v>
      </c>
      <c r="E6746" s="243">
        <v>14</v>
      </c>
      <c r="F6746" s="243">
        <v>7</v>
      </c>
      <c r="G6746" s="243">
        <v>23</v>
      </c>
      <c r="H6746" s="243">
        <v>24</v>
      </c>
      <c r="I6746" s="243">
        <v>19</v>
      </c>
      <c r="J6746" s="243">
        <v>24</v>
      </c>
      <c r="K6746" s="243">
        <v>21</v>
      </c>
      <c r="L6746" s="243">
        <v>24</v>
      </c>
      <c r="M6746" s="243">
        <v>28</v>
      </c>
      <c r="N6746" s="243">
        <v>35</v>
      </c>
      <c r="O6746" s="253">
        <v>37</v>
      </c>
    </row>
    <row r="6747" spans="1:15">
      <c r="A6747" s="242" t="s">
        <v>72</v>
      </c>
      <c r="B6747" s="43" t="s">
        <v>4</v>
      </c>
      <c r="C6747" s="15">
        <v>11</v>
      </c>
      <c r="D6747" s="244">
        <v>3</v>
      </c>
      <c r="E6747" s="244">
        <v>0</v>
      </c>
      <c r="F6747" s="244">
        <v>0</v>
      </c>
      <c r="G6747" s="244">
        <v>1</v>
      </c>
      <c r="H6747" s="244">
        <v>2</v>
      </c>
      <c r="I6747" s="244">
        <v>0</v>
      </c>
      <c r="J6747" s="244">
        <v>1</v>
      </c>
      <c r="K6747" s="244">
        <v>0</v>
      </c>
      <c r="L6747" s="244">
        <v>1</v>
      </c>
      <c r="M6747" s="244">
        <v>1</v>
      </c>
      <c r="N6747" s="244">
        <v>2</v>
      </c>
      <c r="O6747" s="254">
        <v>0</v>
      </c>
    </row>
    <row r="6748" spans="1:15">
      <c r="A6748" s="240" t="s">
        <v>72</v>
      </c>
      <c r="B6748" s="47" t="s">
        <v>5</v>
      </c>
      <c r="C6748" s="12">
        <v>0.0369127516778524</v>
      </c>
      <c r="D6748" s="241">
        <v>0.0714285714285714</v>
      </c>
      <c r="E6748" s="241">
        <v>0</v>
      </c>
      <c r="F6748" s="241">
        <v>0</v>
      </c>
      <c r="G6748" s="241">
        <v>0.0434782608695652</v>
      </c>
      <c r="H6748" s="241">
        <v>0.0833333333333333</v>
      </c>
      <c r="I6748" s="241">
        <v>0</v>
      </c>
      <c r="J6748" s="241">
        <v>0.0416666666666667</v>
      </c>
      <c r="K6748" s="241">
        <v>0</v>
      </c>
      <c r="L6748" s="241">
        <v>0.0416666666666667</v>
      </c>
      <c r="M6748" s="241">
        <v>0.0357142857142857</v>
      </c>
      <c r="N6748" s="241">
        <v>0.0571428571428571</v>
      </c>
      <c r="O6748" s="252">
        <v>0</v>
      </c>
    </row>
    <row r="6749" spans="1:15">
      <c r="A6749" s="242" t="s">
        <v>72</v>
      </c>
      <c r="B6749" s="43" t="s">
        <v>6</v>
      </c>
      <c r="C6749" s="15">
        <v>3</v>
      </c>
      <c r="D6749" s="244">
        <v>0</v>
      </c>
      <c r="E6749" s="244">
        <v>0</v>
      </c>
      <c r="F6749" s="244">
        <v>0</v>
      </c>
      <c r="G6749" s="244">
        <v>1</v>
      </c>
      <c r="H6749" s="244">
        <v>1</v>
      </c>
      <c r="I6749" s="244">
        <v>0</v>
      </c>
      <c r="J6749" s="244">
        <v>0</v>
      </c>
      <c r="K6749" s="244">
        <v>0</v>
      </c>
      <c r="L6749" s="244">
        <v>1</v>
      </c>
      <c r="M6749" s="244">
        <v>0</v>
      </c>
      <c r="N6749" s="244">
        <v>0</v>
      </c>
      <c r="O6749" s="254">
        <v>0</v>
      </c>
    </row>
    <row r="6750" ht="14.25" spans="1:15">
      <c r="A6750" s="245" t="s">
        <v>72</v>
      </c>
      <c r="B6750" s="52" t="s">
        <v>64</v>
      </c>
      <c r="C6750" s="19">
        <v>0.272727272727273</v>
      </c>
      <c r="D6750" s="19">
        <v>0</v>
      </c>
      <c r="E6750" s="19" t="e">
        <v>#DIV/0!</v>
      </c>
      <c r="F6750" s="19" t="e">
        <v>#DIV/0!</v>
      </c>
      <c r="G6750" s="19">
        <v>1</v>
      </c>
      <c r="H6750" s="19">
        <v>0.5</v>
      </c>
      <c r="I6750" s="19" t="e">
        <v>#DIV/0!</v>
      </c>
      <c r="J6750" s="19">
        <v>0</v>
      </c>
      <c r="K6750" s="19" t="e">
        <v>#DIV/0!</v>
      </c>
      <c r="L6750" s="19">
        <v>1</v>
      </c>
      <c r="M6750" s="19">
        <v>0</v>
      </c>
      <c r="N6750" s="19">
        <v>0</v>
      </c>
      <c r="O6750" s="19" t="e">
        <v>#DIV/0!</v>
      </c>
    </row>
    <row r="6751" ht="14.25" spans="1:15">
      <c r="A6751" s="237">
        <v>45123</v>
      </c>
      <c r="B6751" s="237"/>
      <c r="C6751" s="237"/>
      <c r="D6751" s="237"/>
      <c r="E6751" s="237"/>
      <c r="F6751" s="237"/>
      <c r="G6751" s="237"/>
      <c r="H6751" s="237"/>
      <c r="I6751" s="237"/>
      <c r="J6751" s="237"/>
      <c r="K6751" s="237"/>
      <c r="L6751" s="237"/>
      <c r="M6751" s="237"/>
      <c r="N6751" s="237"/>
      <c r="O6751" s="237"/>
    </row>
    <row r="6752" spans="1:15">
      <c r="A6752" s="56" t="s">
        <v>1</v>
      </c>
      <c r="B6752" s="238"/>
      <c r="C6752" s="8" t="s">
        <v>42</v>
      </c>
      <c r="D6752" s="239" t="s">
        <v>43</v>
      </c>
      <c r="E6752" s="239" t="s">
        <v>44</v>
      </c>
      <c r="F6752" s="239" t="s">
        <v>45</v>
      </c>
      <c r="G6752" s="239" t="s">
        <v>46</v>
      </c>
      <c r="H6752" s="239" t="s">
        <v>47</v>
      </c>
      <c r="I6752" s="239" t="s">
        <v>48</v>
      </c>
      <c r="J6752" s="239" t="s">
        <v>49</v>
      </c>
      <c r="K6752" s="239" t="s">
        <v>50</v>
      </c>
      <c r="L6752" s="239" t="s">
        <v>51</v>
      </c>
      <c r="M6752" s="239" t="s">
        <v>52</v>
      </c>
      <c r="N6752" s="239" t="s">
        <v>53</v>
      </c>
      <c r="O6752" s="251" t="s">
        <v>54</v>
      </c>
    </row>
    <row r="6753" spans="1:15">
      <c r="A6753" s="240" t="s">
        <v>22</v>
      </c>
      <c r="B6753" s="47" t="s">
        <v>55</v>
      </c>
      <c r="C6753" s="12">
        <v>0.430731707317073</v>
      </c>
      <c r="D6753" s="241">
        <v>0.592356687898089</v>
      </c>
      <c r="E6753" s="241">
        <v>0.615384615384615</v>
      </c>
      <c r="F6753" s="241">
        <v>0.4</v>
      </c>
      <c r="G6753" s="241">
        <v>0.75</v>
      </c>
      <c r="H6753" s="241">
        <v>0.530434782608696</v>
      </c>
      <c r="I6753" s="241">
        <v>0.440677966101695</v>
      </c>
      <c r="J6753" s="241">
        <v>0.429268292682927</v>
      </c>
      <c r="K6753" s="241">
        <v>0.378839590443686</v>
      </c>
      <c r="L6753" s="241">
        <v>0.263829787234043</v>
      </c>
      <c r="M6753" s="241">
        <v>0.41869918699187</v>
      </c>
      <c r="N6753" s="241">
        <v>0.463963963963964</v>
      </c>
      <c r="O6753" s="252">
        <v>0.343891402714932</v>
      </c>
    </row>
    <row r="6754" spans="1:15">
      <c r="A6754" s="242" t="s">
        <v>22</v>
      </c>
      <c r="B6754" s="43" t="s">
        <v>57</v>
      </c>
      <c r="C6754" s="15">
        <v>2050</v>
      </c>
      <c r="D6754" s="243">
        <v>157</v>
      </c>
      <c r="E6754" s="243">
        <v>78</v>
      </c>
      <c r="F6754" s="243">
        <v>45</v>
      </c>
      <c r="G6754" s="243">
        <v>56</v>
      </c>
      <c r="H6754" s="243">
        <v>115</v>
      </c>
      <c r="I6754" s="243">
        <v>177</v>
      </c>
      <c r="J6754" s="243">
        <v>205</v>
      </c>
      <c r="K6754" s="243">
        <v>293</v>
      </c>
      <c r="L6754" s="243">
        <v>235</v>
      </c>
      <c r="M6754" s="243">
        <v>246</v>
      </c>
      <c r="N6754" s="243">
        <v>222</v>
      </c>
      <c r="O6754" s="253">
        <v>221</v>
      </c>
    </row>
    <row r="6755" spans="1:15">
      <c r="A6755" s="240" t="s">
        <v>22</v>
      </c>
      <c r="B6755" s="47" t="s">
        <v>59</v>
      </c>
      <c r="C6755" s="15">
        <v>883</v>
      </c>
      <c r="D6755" s="243">
        <v>93</v>
      </c>
      <c r="E6755" s="243">
        <v>48</v>
      </c>
      <c r="F6755" s="243">
        <v>18</v>
      </c>
      <c r="G6755" s="243">
        <v>42</v>
      </c>
      <c r="H6755" s="243">
        <v>61</v>
      </c>
      <c r="I6755" s="243">
        <v>78</v>
      </c>
      <c r="J6755" s="243">
        <v>88</v>
      </c>
      <c r="K6755" s="243">
        <v>111</v>
      </c>
      <c r="L6755" s="243">
        <v>62</v>
      </c>
      <c r="M6755" s="243">
        <v>103</v>
      </c>
      <c r="N6755" s="243">
        <v>103</v>
      </c>
      <c r="O6755" s="253">
        <v>76</v>
      </c>
    </row>
    <row r="6756" spans="1:15">
      <c r="A6756" s="242" t="s">
        <v>22</v>
      </c>
      <c r="B6756" s="43" t="s">
        <v>4</v>
      </c>
      <c r="C6756" s="15">
        <v>42</v>
      </c>
      <c r="D6756" s="244">
        <v>7</v>
      </c>
      <c r="E6756" s="244">
        <v>1</v>
      </c>
      <c r="F6756" s="244">
        <v>2</v>
      </c>
      <c r="G6756" s="244">
        <v>1</v>
      </c>
      <c r="H6756" s="244">
        <v>1</v>
      </c>
      <c r="I6756" s="244">
        <v>5</v>
      </c>
      <c r="J6756" s="244">
        <v>3</v>
      </c>
      <c r="K6756" s="244">
        <v>4</v>
      </c>
      <c r="L6756" s="244">
        <v>1</v>
      </c>
      <c r="M6756" s="244">
        <v>3</v>
      </c>
      <c r="N6756" s="244">
        <v>8</v>
      </c>
      <c r="O6756" s="254">
        <v>6</v>
      </c>
    </row>
    <row r="6757" spans="1:15">
      <c r="A6757" s="240" t="s">
        <v>22</v>
      </c>
      <c r="B6757" s="47" t="s">
        <v>5</v>
      </c>
      <c r="C6757" s="12">
        <v>0.0475651189127973</v>
      </c>
      <c r="D6757" s="241">
        <v>0.0752688172043011</v>
      </c>
      <c r="E6757" s="241">
        <v>0.0208333333333333</v>
      </c>
      <c r="F6757" s="241">
        <v>0.111111111111111</v>
      </c>
      <c r="G6757" s="241">
        <v>0.0238095238095238</v>
      </c>
      <c r="H6757" s="241">
        <v>0.0163934426229508</v>
      </c>
      <c r="I6757" s="241">
        <v>0.0641025641025641</v>
      </c>
      <c r="J6757" s="241">
        <v>0.0340909090909091</v>
      </c>
      <c r="K6757" s="241">
        <v>0.036036036036036</v>
      </c>
      <c r="L6757" s="241">
        <v>0.0161290322580645</v>
      </c>
      <c r="M6757" s="241">
        <v>0.029126213592233</v>
      </c>
      <c r="N6757" s="241">
        <v>0.0776699029126214</v>
      </c>
      <c r="O6757" s="252">
        <v>0.0789473684210526</v>
      </c>
    </row>
    <row r="6758" spans="1:15">
      <c r="A6758" s="242" t="s">
        <v>22</v>
      </c>
      <c r="B6758" s="43" t="s">
        <v>6</v>
      </c>
      <c r="C6758" s="15">
        <v>21</v>
      </c>
      <c r="D6758" s="244">
        <v>2</v>
      </c>
      <c r="E6758" s="244">
        <v>1</v>
      </c>
      <c r="F6758" s="244">
        <v>1</v>
      </c>
      <c r="G6758" s="244">
        <v>0</v>
      </c>
      <c r="H6758" s="244">
        <v>1</v>
      </c>
      <c r="I6758" s="244">
        <v>2</v>
      </c>
      <c r="J6758" s="244">
        <v>4</v>
      </c>
      <c r="K6758" s="244">
        <v>1</v>
      </c>
      <c r="L6758" s="244">
        <v>2</v>
      </c>
      <c r="M6758" s="244">
        <v>0</v>
      </c>
      <c r="N6758" s="244">
        <v>4</v>
      </c>
      <c r="O6758" s="254">
        <v>3</v>
      </c>
    </row>
    <row r="6759" ht="14.25" spans="1:15">
      <c r="A6759" s="245" t="s">
        <v>22</v>
      </c>
      <c r="B6759" s="52" t="s">
        <v>64</v>
      </c>
      <c r="C6759" s="19">
        <v>0.5</v>
      </c>
      <c r="D6759" s="246">
        <v>0.285714285714286</v>
      </c>
      <c r="E6759" s="246">
        <v>1</v>
      </c>
      <c r="F6759" s="246">
        <v>0.5</v>
      </c>
      <c r="G6759" s="246">
        <v>0</v>
      </c>
      <c r="H6759" s="246">
        <v>1</v>
      </c>
      <c r="I6759" s="246">
        <v>0.4</v>
      </c>
      <c r="J6759" s="246">
        <v>1.33333333333333</v>
      </c>
      <c r="K6759" s="246">
        <v>0.25</v>
      </c>
      <c r="L6759" s="246">
        <v>2</v>
      </c>
      <c r="M6759" s="246">
        <v>0</v>
      </c>
      <c r="N6759" s="246">
        <v>0.5</v>
      </c>
      <c r="O6759" s="255">
        <v>0.5</v>
      </c>
    </row>
    <row r="6760" spans="1:15">
      <c r="A6760" s="247" t="s">
        <v>66</v>
      </c>
      <c r="B6760" s="248" t="s">
        <v>55</v>
      </c>
      <c r="C6760" s="12">
        <v>0.150629496402878</v>
      </c>
      <c r="D6760" s="249">
        <v>0.193548387096774</v>
      </c>
      <c r="E6760" s="249">
        <v>0.212121212121212</v>
      </c>
      <c r="F6760" s="249">
        <v>0.15929203539823</v>
      </c>
      <c r="G6760" s="249">
        <v>0.13013698630137</v>
      </c>
      <c r="H6760" s="249">
        <v>0.0845771144278607</v>
      </c>
      <c r="I6760" s="249">
        <v>0.102222222222222</v>
      </c>
      <c r="J6760" s="249">
        <v>0.112107623318386</v>
      </c>
      <c r="K6760" s="249">
        <v>0.163157894736842</v>
      </c>
      <c r="L6760" s="249">
        <v>0.193877551020408</v>
      </c>
      <c r="M6760" s="249">
        <v>0.175</v>
      </c>
      <c r="N6760" s="249">
        <v>0.156521739130435</v>
      </c>
      <c r="O6760" s="256">
        <v>0.162162162162162</v>
      </c>
    </row>
    <row r="6761" spans="1:15">
      <c r="A6761" s="242" t="s">
        <v>66</v>
      </c>
      <c r="B6761" s="43" t="s">
        <v>57</v>
      </c>
      <c r="C6761" s="15">
        <v>2224</v>
      </c>
      <c r="D6761" s="243">
        <v>186</v>
      </c>
      <c r="E6761" s="243">
        <v>132</v>
      </c>
      <c r="F6761" s="243">
        <v>113</v>
      </c>
      <c r="G6761" s="243">
        <v>146</v>
      </c>
      <c r="H6761" s="243">
        <v>201</v>
      </c>
      <c r="I6761" s="243">
        <v>225</v>
      </c>
      <c r="J6761" s="243">
        <v>223</v>
      </c>
      <c r="K6761" s="243">
        <v>190</v>
      </c>
      <c r="L6761" s="243">
        <v>196</v>
      </c>
      <c r="M6761" s="243">
        <v>160</v>
      </c>
      <c r="N6761" s="243">
        <v>230</v>
      </c>
      <c r="O6761" s="253">
        <v>222</v>
      </c>
    </row>
    <row r="6762" spans="1:15">
      <c r="A6762" s="240" t="s">
        <v>66</v>
      </c>
      <c r="B6762" s="47" t="s">
        <v>59</v>
      </c>
      <c r="C6762" s="15">
        <v>335</v>
      </c>
      <c r="D6762" s="243">
        <v>36</v>
      </c>
      <c r="E6762" s="243">
        <v>28</v>
      </c>
      <c r="F6762" s="243">
        <v>18</v>
      </c>
      <c r="G6762" s="243">
        <v>19</v>
      </c>
      <c r="H6762" s="243">
        <v>17</v>
      </c>
      <c r="I6762" s="243">
        <v>23</v>
      </c>
      <c r="J6762" s="243">
        <v>25</v>
      </c>
      <c r="K6762" s="243">
        <v>31</v>
      </c>
      <c r="L6762" s="243">
        <v>38</v>
      </c>
      <c r="M6762" s="243">
        <v>28</v>
      </c>
      <c r="N6762" s="243">
        <v>36</v>
      </c>
      <c r="O6762" s="253">
        <v>36</v>
      </c>
    </row>
    <row r="6763" spans="1:15">
      <c r="A6763" s="242" t="s">
        <v>66</v>
      </c>
      <c r="B6763" s="43" t="s">
        <v>4</v>
      </c>
      <c r="C6763" s="15">
        <v>9</v>
      </c>
      <c r="D6763" s="244">
        <v>1</v>
      </c>
      <c r="E6763" s="244">
        <v>2</v>
      </c>
      <c r="F6763" s="244">
        <v>0</v>
      </c>
      <c r="G6763" s="244">
        <v>1</v>
      </c>
      <c r="H6763" s="244">
        <v>1</v>
      </c>
      <c r="I6763" s="244">
        <v>1</v>
      </c>
      <c r="J6763" s="244">
        <v>2</v>
      </c>
      <c r="K6763" s="244">
        <v>0</v>
      </c>
      <c r="L6763" s="244">
        <v>0</v>
      </c>
      <c r="M6763" s="244">
        <v>0</v>
      </c>
      <c r="N6763" s="244">
        <v>0</v>
      </c>
      <c r="O6763" s="254">
        <v>1</v>
      </c>
    </row>
    <row r="6764" spans="1:15">
      <c r="A6764" s="240" t="s">
        <v>66</v>
      </c>
      <c r="B6764" s="47" t="s">
        <v>5</v>
      </c>
      <c r="C6764" s="12">
        <v>0.026865671641791</v>
      </c>
      <c r="D6764" s="241">
        <v>0.0277777777777778</v>
      </c>
      <c r="E6764" s="241">
        <v>0.0714285714285714</v>
      </c>
      <c r="F6764" s="241">
        <v>0</v>
      </c>
      <c r="G6764" s="241">
        <v>0.0526315789473684</v>
      </c>
      <c r="H6764" s="241">
        <v>0.0588235294117647</v>
      </c>
      <c r="I6764" s="241">
        <v>0.0434782608695652</v>
      </c>
      <c r="J6764" s="241">
        <v>0.08</v>
      </c>
      <c r="K6764" s="241">
        <v>0</v>
      </c>
      <c r="L6764" s="241">
        <v>0</v>
      </c>
      <c r="M6764" s="241">
        <v>0</v>
      </c>
      <c r="N6764" s="241">
        <v>0</v>
      </c>
      <c r="O6764" s="252">
        <v>0.0277777777777778</v>
      </c>
    </row>
    <row r="6765" spans="1:15">
      <c r="A6765" s="242" t="s">
        <v>66</v>
      </c>
      <c r="B6765" s="43" t="s">
        <v>6</v>
      </c>
      <c r="C6765" s="15">
        <v>3</v>
      </c>
      <c r="D6765" s="244">
        <v>0</v>
      </c>
      <c r="E6765" s="244">
        <v>1</v>
      </c>
      <c r="F6765" s="244">
        <v>0</v>
      </c>
      <c r="G6765" s="244">
        <v>0</v>
      </c>
      <c r="H6765" s="244">
        <v>1</v>
      </c>
      <c r="I6765" s="244">
        <v>0</v>
      </c>
      <c r="J6765" s="244">
        <v>1</v>
      </c>
      <c r="K6765" s="244">
        <v>0</v>
      </c>
      <c r="L6765" s="244">
        <v>0</v>
      </c>
      <c r="M6765" s="244">
        <v>0</v>
      </c>
      <c r="N6765" s="244">
        <v>0</v>
      </c>
      <c r="O6765" s="254">
        <v>0</v>
      </c>
    </row>
    <row r="6766" ht="14.25" spans="1:15">
      <c r="A6766" s="245" t="s">
        <v>66</v>
      </c>
      <c r="B6766" s="52" t="s">
        <v>64</v>
      </c>
      <c r="C6766" s="19">
        <v>0.333333333333333</v>
      </c>
      <c r="D6766" s="246">
        <v>0</v>
      </c>
      <c r="E6766" s="246">
        <v>0.5</v>
      </c>
      <c r="F6766" s="246">
        <v>0</v>
      </c>
      <c r="G6766" s="246">
        <v>0</v>
      </c>
      <c r="H6766" s="246">
        <v>1</v>
      </c>
      <c r="I6766" s="246">
        <v>0</v>
      </c>
      <c r="J6766" s="246">
        <v>0.5</v>
      </c>
      <c r="K6766" s="246">
        <v>0</v>
      </c>
      <c r="L6766" s="246">
        <v>0</v>
      </c>
      <c r="M6766" s="246">
        <v>0</v>
      </c>
      <c r="N6766" s="246">
        <v>0</v>
      </c>
      <c r="O6766" s="255">
        <v>0</v>
      </c>
    </row>
    <row r="6767" spans="1:15">
      <c r="A6767" s="240" t="s">
        <v>67</v>
      </c>
      <c r="B6767" s="47" t="s">
        <v>55</v>
      </c>
      <c r="C6767" s="12">
        <v>0.569789674952199</v>
      </c>
      <c r="D6767" s="241">
        <v>0.592592592592593</v>
      </c>
      <c r="E6767" s="241">
        <v>0.521739130434783</v>
      </c>
      <c r="F6767" s="241">
        <v>0.6</v>
      </c>
      <c r="G6767" s="241">
        <v>0.631578947368421</v>
      </c>
      <c r="H6767" s="241">
        <v>0.7</v>
      </c>
      <c r="I6767" s="241">
        <v>0.709677419354839</v>
      </c>
      <c r="J6767" s="241">
        <v>0.631578947368421</v>
      </c>
      <c r="K6767" s="241">
        <v>0.414634146341463</v>
      </c>
      <c r="L6767" s="241">
        <v>0.508474576271186</v>
      </c>
      <c r="M6767" s="241">
        <v>0.642857142857143</v>
      </c>
      <c r="N6767" s="241">
        <v>0.5</v>
      </c>
      <c r="O6767" s="252">
        <v>0.485294117647059</v>
      </c>
    </row>
    <row r="6768" spans="1:15">
      <c r="A6768" s="242" t="s">
        <v>67</v>
      </c>
      <c r="B6768" s="43" t="s">
        <v>57</v>
      </c>
      <c r="C6768" s="15">
        <v>523</v>
      </c>
      <c r="D6768" s="243">
        <v>54</v>
      </c>
      <c r="E6768" s="243">
        <v>23</v>
      </c>
      <c r="F6768" s="243">
        <v>25</v>
      </c>
      <c r="G6768" s="243">
        <v>19</v>
      </c>
      <c r="H6768" s="243">
        <v>50</v>
      </c>
      <c r="I6768" s="243">
        <v>31</v>
      </c>
      <c r="J6768" s="243">
        <v>57</v>
      </c>
      <c r="K6768" s="243">
        <v>41</v>
      </c>
      <c r="L6768" s="243">
        <v>59</v>
      </c>
      <c r="M6768" s="243">
        <v>42</v>
      </c>
      <c r="N6768" s="243">
        <v>54</v>
      </c>
      <c r="O6768" s="253">
        <v>68</v>
      </c>
    </row>
    <row r="6769" spans="1:15">
      <c r="A6769" s="240" t="s">
        <v>67</v>
      </c>
      <c r="B6769" s="47" t="s">
        <v>59</v>
      </c>
      <c r="C6769" s="15">
        <v>298</v>
      </c>
      <c r="D6769" s="243">
        <v>32</v>
      </c>
      <c r="E6769" s="243">
        <v>12</v>
      </c>
      <c r="F6769" s="243">
        <v>15</v>
      </c>
      <c r="G6769" s="243">
        <v>12</v>
      </c>
      <c r="H6769" s="243">
        <v>35</v>
      </c>
      <c r="I6769" s="243">
        <v>22</v>
      </c>
      <c r="J6769" s="243">
        <v>36</v>
      </c>
      <c r="K6769" s="243">
        <v>17</v>
      </c>
      <c r="L6769" s="243">
        <v>30</v>
      </c>
      <c r="M6769" s="243">
        <v>27</v>
      </c>
      <c r="N6769" s="243">
        <v>27</v>
      </c>
      <c r="O6769" s="253">
        <v>33</v>
      </c>
    </row>
    <row r="6770" spans="1:15">
      <c r="A6770" s="242" t="s">
        <v>67</v>
      </c>
      <c r="B6770" s="43" t="s">
        <v>4</v>
      </c>
      <c r="C6770" s="15">
        <v>11</v>
      </c>
      <c r="D6770" s="244">
        <v>2</v>
      </c>
      <c r="E6770" s="244">
        <v>1</v>
      </c>
      <c r="F6770" s="244">
        <v>1</v>
      </c>
      <c r="G6770" s="244">
        <v>0</v>
      </c>
      <c r="H6770" s="244">
        <v>0</v>
      </c>
      <c r="I6770" s="244">
        <v>0</v>
      </c>
      <c r="J6770" s="244">
        <v>0</v>
      </c>
      <c r="K6770" s="244">
        <v>3</v>
      </c>
      <c r="L6770" s="244">
        <v>1</v>
      </c>
      <c r="M6770" s="244">
        <v>1</v>
      </c>
      <c r="N6770" s="244">
        <v>0</v>
      </c>
      <c r="O6770" s="254">
        <v>2</v>
      </c>
    </row>
    <row r="6771" spans="1:15">
      <c r="A6771" s="240" t="s">
        <v>67</v>
      </c>
      <c r="B6771" s="47" t="s">
        <v>5</v>
      </c>
      <c r="C6771" s="12">
        <v>0.0369127516778524</v>
      </c>
      <c r="D6771" s="241">
        <v>0.0625</v>
      </c>
      <c r="E6771" s="241">
        <v>0.0833333333333333</v>
      </c>
      <c r="F6771" s="241">
        <v>0.0666666666666667</v>
      </c>
      <c r="G6771" s="241">
        <v>0</v>
      </c>
      <c r="H6771" s="241">
        <v>0</v>
      </c>
      <c r="I6771" s="241">
        <v>0</v>
      </c>
      <c r="J6771" s="241">
        <v>0</v>
      </c>
      <c r="K6771" s="241">
        <v>0.176470588235294</v>
      </c>
      <c r="L6771" s="241">
        <v>0.0333333333333333</v>
      </c>
      <c r="M6771" s="241">
        <v>0.037037037037037</v>
      </c>
      <c r="N6771" s="241">
        <v>0</v>
      </c>
      <c r="O6771" s="252">
        <v>0.0606060606060606</v>
      </c>
    </row>
    <row r="6772" spans="1:15">
      <c r="A6772" s="242" t="s">
        <v>67</v>
      </c>
      <c r="B6772" s="43" t="s">
        <v>6</v>
      </c>
      <c r="C6772" s="15">
        <v>4</v>
      </c>
      <c r="D6772" s="244">
        <v>0</v>
      </c>
      <c r="E6772" s="244">
        <v>0</v>
      </c>
      <c r="F6772" s="244">
        <v>1</v>
      </c>
      <c r="G6772" s="244">
        <v>0</v>
      </c>
      <c r="H6772" s="244">
        <v>0</v>
      </c>
      <c r="I6772" s="244">
        <v>1</v>
      </c>
      <c r="J6772" s="244">
        <v>0</v>
      </c>
      <c r="K6772" s="244">
        <v>0</v>
      </c>
      <c r="L6772" s="244">
        <v>2</v>
      </c>
      <c r="M6772" s="244">
        <v>0</v>
      </c>
      <c r="N6772" s="244">
        <v>0</v>
      </c>
      <c r="O6772" s="254">
        <v>0</v>
      </c>
    </row>
    <row r="6773" ht="14.25" spans="1:15">
      <c r="A6773" s="245" t="s">
        <v>67</v>
      </c>
      <c r="B6773" s="52" t="s">
        <v>64</v>
      </c>
      <c r="C6773" s="19">
        <v>0.363636363636364</v>
      </c>
      <c r="D6773" s="246">
        <v>0</v>
      </c>
      <c r="E6773" s="246">
        <v>0</v>
      </c>
      <c r="F6773" s="246">
        <v>1</v>
      </c>
      <c r="G6773" s="246">
        <v>0</v>
      </c>
      <c r="H6773" s="246">
        <v>0</v>
      </c>
      <c r="I6773" s="246">
        <v>0</v>
      </c>
      <c r="J6773" s="246">
        <v>0</v>
      </c>
      <c r="K6773" s="246">
        <v>0</v>
      </c>
      <c r="L6773" s="246">
        <v>2</v>
      </c>
      <c r="M6773" s="246">
        <v>0</v>
      </c>
      <c r="N6773" s="246">
        <v>0</v>
      </c>
      <c r="O6773" s="255">
        <v>0</v>
      </c>
    </row>
    <row r="6774" spans="1:15">
      <c r="A6774" s="240" t="s">
        <v>68</v>
      </c>
      <c r="B6774" s="47" t="s">
        <v>55</v>
      </c>
      <c r="C6774" s="12">
        <v>0.172966781214204</v>
      </c>
      <c r="D6774" s="241">
        <v>0.262295081967213</v>
      </c>
      <c r="E6774" s="241">
        <v>0.240566037735849</v>
      </c>
      <c r="F6774" s="241">
        <v>0.155688622754491</v>
      </c>
      <c r="G6774" s="241">
        <v>0.313868613138686</v>
      </c>
      <c r="H6774" s="241">
        <v>0.221789883268482</v>
      </c>
      <c r="I6774" s="241">
        <v>0.147260273972603</v>
      </c>
      <c r="J6774" s="241">
        <v>0.167173252279635</v>
      </c>
      <c r="K6774" s="241">
        <v>0.133689839572193</v>
      </c>
      <c r="L6774" s="241">
        <v>0.132768361581921</v>
      </c>
      <c r="M6774" s="241">
        <v>0.146964856230032</v>
      </c>
      <c r="N6774" s="241">
        <v>0.0971786833855799</v>
      </c>
      <c r="O6774" s="252">
        <v>0.158602150537634</v>
      </c>
    </row>
    <row r="6775" spans="1:15">
      <c r="A6775" s="242" t="s">
        <v>68</v>
      </c>
      <c r="B6775" s="43" t="s">
        <v>57</v>
      </c>
      <c r="C6775" s="15">
        <v>3492</v>
      </c>
      <c r="D6775" s="243">
        <v>366</v>
      </c>
      <c r="E6775" s="243">
        <v>212</v>
      </c>
      <c r="F6775" s="243">
        <v>167</v>
      </c>
      <c r="G6775" s="243">
        <v>137</v>
      </c>
      <c r="H6775" s="243">
        <v>257</v>
      </c>
      <c r="I6775" s="243">
        <v>292</v>
      </c>
      <c r="J6775" s="243">
        <v>329</v>
      </c>
      <c r="K6775" s="243">
        <v>374</v>
      </c>
      <c r="L6775" s="243">
        <v>354</v>
      </c>
      <c r="M6775" s="243">
        <v>313</v>
      </c>
      <c r="N6775" s="243">
        <v>319</v>
      </c>
      <c r="O6775" s="253">
        <v>372</v>
      </c>
    </row>
    <row r="6776" spans="1:15">
      <c r="A6776" s="240" t="s">
        <v>68</v>
      </c>
      <c r="B6776" s="47" t="s">
        <v>59</v>
      </c>
      <c r="C6776" s="15">
        <v>604</v>
      </c>
      <c r="D6776" s="243">
        <v>96</v>
      </c>
      <c r="E6776" s="243">
        <v>51</v>
      </c>
      <c r="F6776" s="243">
        <v>26</v>
      </c>
      <c r="G6776" s="243">
        <v>43</v>
      </c>
      <c r="H6776" s="243">
        <v>57</v>
      </c>
      <c r="I6776" s="243">
        <v>43</v>
      </c>
      <c r="J6776" s="243">
        <v>55</v>
      </c>
      <c r="K6776" s="243">
        <v>50</v>
      </c>
      <c r="L6776" s="243">
        <v>47</v>
      </c>
      <c r="M6776" s="243">
        <v>46</v>
      </c>
      <c r="N6776" s="243">
        <v>31</v>
      </c>
      <c r="O6776" s="253">
        <v>59</v>
      </c>
    </row>
    <row r="6777" spans="1:15">
      <c r="A6777" s="242" t="s">
        <v>68</v>
      </c>
      <c r="B6777" s="43" t="s">
        <v>4</v>
      </c>
      <c r="C6777" s="15">
        <v>74</v>
      </c>
      <c r="D6777" s="244">
        <v>15</v>
      </c>
      <c r="E6777" s="244">
        <v>10</v>
      </c>
      <c r="F6777" s="244">
        <v>4</v>
      </c>
      <c r="G6777" s="244">
        <v>1</v>
      </c>
      <c r="H6777" s="244">
        <v>5</v>
      </c>
      <c r="I6777" s="244">
        <v>6</v>
      </c>
      <c r="J6777" s="244">
        <v>5</v>
      </c>
      <c r="K6777" s="244">
        <v>8</v>
      </c>
      <c r="L6777" s="244">
        <v>5</v>
      </c>
      <c r="M6777" s="244">
        <v>3</v>
      </c>
      <c r="N6777" s="244">
        <v>7</v>
      </c>
      <c r="O6777" s="254">
        <v>5</v>
      </c>
    </row>
    <row r="6778" spans="1:15">
      <c r="A6778" s="240" t="s">
        <v>68</v>
      </c>
      <c r="B6778" s="47" t="s">
        <v>5</v>
      </c>
      <c r="C6778" s="12">
        <v>0.122516556291391</v>
      </c>
      <c r="D6778" s="241">
        <v>0.15625</v>
      </c>
      <c r="E6778" s="241">
        <v>0.196078431372549</v>
      </c>
      <c r="F6778" s="241">
        <v>0.153846153846154</v>
      </c>
      <c r="G6778" s="241">
        <v>0.0232558139534884</v>
      </c>
      <c r="H6778" s="241">
        <v>0.087719298245614</v>
      </c>
      <c r="I6778" s="241">
        <v>0.13953488372093</v>
      </c>
      <c r="J6778" s="241">
        <v>0.0909090909090909</v>
      </c>
      <c r="K6778" s="241">
        <v>0.16</v>
      </c>
      <c r="L6778" s="241">
        <v>0.106382978723404</v>
      </c>
      <c r="M6778" s="241">
        <v>0.0652173913043478</v>
      </c>
      <c r="N6778" s="241">
        <v>0.225806451612903</v>
      </c>
      <c r="O6778" s="252">
        <v>0.0847457627118644</v>
      </c>
    </row>
    <row r="6779" spans="1:15">
      <c r="A6779" s="242" t="s">
        <v>68</v>
      </c>
      <c r="B6779" s="43" t="s">
        <v>6</v>
      </c>
      <c r="C6779" s="15">
        <v>20</v>
      </c>
      <c r="D6779" s="244">
        <v>5</v>
      </c>
      <c r="E6779" s="244">
        <v>2</v>
      </c>
      <c r="F6779" s="244">
        <v>0</v>
      </c>
      <c r="G6779" s="244">
        <v>1</v>
      </c>
      <c r="H6779" s="244">
        <v>0</v>
      </c>
      <c r="I6779" s="244">
        <v>1</v>
      </c>
      <c r="J6779" s="244">
        <v>1</v>
      </c>
      <c r="K6779" s="244">
        <v>2</v>
      </c>
      <c r="L6779" s="244">
        <v>4</v>
      </c>
      <c r="M6779" s="244">
        <v>2</v>
      </c>
      <c r="N6779" s="244">
        <v>2</v>
      </c>
      <c r="O6779" s="254">
        <v>0</v>
      </c>
    </row>
    <row r="6780" ht="14.25" spans="1:15">
      <c r="A6780" s="245" t="s">
        <v>68</v>
      </c>
      <c r="B6780" s="52" t="s">
        <v>64</v>
      </c>
      <c r="C6780" s="19">
        <v>0.27027027027027</v>
      </c>
      <c r="D6780" s="246">
        <v>0.333333333333333</v>
      </c>
      <c r="E6780" s="246">
        <v>0.2</v>
      </c>
      <c r="F6780" s="246">
        <v>0</v>
      </c>
      <c r="G6780" s="246">
        <v>1</v>
      </c>
      <c r="H6780" s="246">
        <v>0</v>
      </c>
      <c r="I6780" s="246">
        <v>0.166666666666667</v>
      </c>
      <c r="J6780" s="246">
        <v>0.2</v>
      </c>
      <c r="K6780" s="246">
        <v>0.25</v>
      </c>
      <c r="L6780" s="246">
        <v>0.8</v>
      </c>
      <c r="M6780" s="246">
        <v>0.666666666666667</v>
      </c>
      <c r="N6780" s="246">
        <v>0.285714285714286</v>
      </c>
      <c r="O6780" s="255">
        <v>0</v>
      </c>
    </row>
    <row r="6781" spans="1:15">
      <c r="A6781" s="240" t="s">
        <v>69</v>
      </c>
      <c r="B6781" s="47" t="s">
        <v>55</v>
      </c>
      <c r="C6781" s="12">
        <v>2.93939393939394</v>
      </c>
      <c r="D6781" s="241">
        <v>1.66666666666667</v>
      </c>
      <c r="E6781" s="241">
        <v>1.5</v>
      </c>
      <c r="F6781" s="241">
        <v>1.5</v>
      </c>
      <c r="G6781" s="241">
        <v>7</v>
      </c>
      <c r="H6781" s="241">
        <v>2.66666666666667</v>
      </c>
      <c r="I6781" s="241">
        <v>3.5</v>
      </c>
      <c r="J6781" s="241">
        <v>4.66666666666667</v>
      </c>
      <c r="K6781" s="241">
        <v>6</v>
      </c>
      <c r="L6781" s="241">
        <v>2.75</v>
      </c>
      <c r="M6781" s="241">
        <v>2.5</v>
      </c>
      <c r="N6781" s="241">
        <v>4</v>
      </c>
      <c r="O6781" s="252">
        <v>7</v>
      </c>
    </row>
    <row r="6782" spans="1:15">
      <c r="A6782" s="242" t="s">
        <v>69</v>
      </c>
      <c r="B6782" s="43" t="s">
        <v>57</v>
      </c>
      <c r="C6782" s="15">
        <v>33</v>
      </c>
      <c r="D6782" s="243">
        <v>6</v>
      </c>
      <c r="E6782" s="243">
        <v>4</v>
      </c>
      <c r="F6782" s="243">
        <v>2</v>
      </c>
      <c r="G6782" s="243">
        <v>1</v>
      </c>
      <c r="H6782" s="243">
        <v>3</v>
      </c>
      <c r="I6782" s="243">
        <v>2</v>
      </c>
      <c r="J6782" s="243">
        <v>3</v>
      </c>
      <c r="K6782" s="243">
        <v>1</v>
      </c>
      <c r="L6782" s="243">
        <v>4</v>
      </c>
      <c r="M6782" s="243">
        <v>4</v>
      </c>
      <c r="N6782" s="243">
        <v>2</v>
      </c>
      <c r="O6782" s="253">
        <v>1</v>
      </c>
    </row>
    <row r="6783" spans="1:15">
      <c r="A6783" s="240" t="s">
        <v>69</v>
      </c>
      <c r="B6783" s="47" t="s">
        <v>59</v>
      </c>
      <c r="C6783" s="15">
        <v>97</v>
      </c>
      <c r="D6783" s="243">
        <v>10</v>
      </c>
      <c r="E6783" s="243">
        <v>6</v>
      </c>
      <c r="F6783" s="243">
        <v>3</v>
      </c>
      <c r="G6783" s="243">
        <v>7</v>
      </c>
      <c r="H6783" s="243">
        <v>8</v>
      </c>
      <c r="I6783" s="243">
        <v>7</v>
      </c>
      <c r="J6783" s="243">
        <v>14</v>
      </c>
      <c r="K6783" s="243">
        <v>6</v>
      </c>
      <c r="L6783" s="243">
        <v>11</v>
      </c>
      <c r="M6783" s="243">
        <v>10</v>
      </c>
      <c r="N6783" s="243">
        <v>8</v>
      </c>
      <c r="O6783" s="253">
        <v>7</v>
      </c>
    </row>
    <row r="6784" spans="1:15">
      <c r="A6784" s="242" t="s">
        <v>69</v>
      </c>
      <c r="B6784" s="43" t="s">
        <v>4</v>
      </c>
      <c r="C6784" s="15">
        <v>1</v>
      </c>
      <c r="D6784" s="244">
        <v>0</v>
      </c>
      <c r="E6784" s="244">
        <v>0</v>
      </c>
      <c r="F6784" s="244">
        <v>0</v>
      </c>
      <c r="G6784" s="244">
        <v>0</v>
      </c>
      <c r="H6784" s="244">
        <v>0</v>
      </c>
      <c r="I6784" s="244">
        <v>0</v>
      </c>
      <c r="J6784" s="244">
        <v>1</v>
      </c>
      <c r="K6784" s="244">
        <v>0</v>
      </c>
      <c r="L6784" s="244">
        <v>0</v>
      </c>
      <c r="M6784" s="244">
        <v>0</v>
      </c>
      <c r="N6784" s="244">
        <v>0</v>
      </c>
      <c r="O6784" s="254">
        <v>0</v>
      </c>
    </row>
    <row r="6785" spans="1:15">
      <c r="A6785" s="240" t="s">
        <v>69</v>
      </c>
      <c r="B6785" s="47" t="s">
        <v>5</v>
      </c>
      <c r="C6785" s="12">
        <v>0.0103092783505155</v>
      </c>
      <c r="D6785" s="241">
        <v>0</v>
      </c>
      <c r="E6785" s="241">
        <v>0</v>
      </c>
      <c r="F6785" s="241">
        <v>0</v>
      </c>
      <c r="G6785" s="241">
        <v>0</v>
      </c>
      <c r="H6785" s="241">
        <v>0</v>
      </c>
      <c r="I6785" s="241">
        <v>0</v>
      </c>
      <c r="J6785" s="241">
        <v>0.0714285714285714</v>
      </c>
      <c r="K6785" s="241">
        <v>0</v>
      </c>
      <c r="L6785" s="241">
        <v>0</v>
      </c>
      <c r="M6785" s="241">
        <v>0</v>
      </c>
      <c r="N6785" s="241">
        <v>0</v>
      </c>
      <c r="O6785" s="252">
        <v>0</v>
      </c>
    </row>
    <row r="6786" spans="1:15">
      <c r="A6786" s="242" t="s">
        <v>69</v>
      </c>
      <c r="B6786" s="43" t="s">
        <v>6</v>
      </c>
      <c r="C6786" s="15">
        <v>1</v>
      </c>
      <c r="D6786" s="244">
        <v>0</v>
      </c>
      <c r="E6786" s="244">
        <v>0</v>
      </c>
      <c r="F6786" s="244">
        <v>0</v>
      </c>
      <c r="G6786" s="244">
        <v>0</v>
      </c>
      <c r="H6786" s="244">
        <v>0</v>
      </c>
      <c r="I6786" s="244">
        <v>0</v>
      </c>
      <c r="J6786" s="244">
        <v>0</v>
      </c>
      <c r="K6786" s="244">
        <v>0</v>
      </c>
      <c r="L6786" s="244">
        <v>1</v>
      </c>
      <c r="M6786" s="244">
        <v>0</v>
      </c>
      <c r="N6786" s="244">
        <v>0</v>
      </c>
      <c r="O6786" s="254">
        <v>0</v>
      </c>
    </row>
    <row r="6787" ht="14.25" spans="1:15">
      <c r="A6787" s="245" t="s">
        <v>69</v>
      </c>
      <c r="B6787" s="52" t="s">
        <v>64</v>
      </c>
      <c r="C6787" s="19">
        <v>1</v>
      </c>
      <c r="D6787" s="246">
        <v>0</v>
      </c>
      <c r="E6787" s="246">
        <v>0</v>
      </c>
      <c r="F6787" s="246">
        <v>0</v>
      </c>
      <c r="G6787" s="246">
        <v>0</v>
      </c>
      <c r="H6787" s="246">
        <v>0</v>
      </c>
      <c r="I6787" s="246">
        <v>0</v>
      </c>
      <c r="J6787" s="246">
        <v>0</v>
      </c>
      <c r="K6787" s="246">
        <v>0</v>
      </c>
      <c r="L6787" s="246">
        <v>0</v>
      </c>
      <c r="M6787" s="246">
        <v>0</v>
      </c>
      <c r="N6787" s="246">
        <v>0</v>
      </c>
      <c r="O6787" s="255">
        <v>0</v>
      </c>
    </row>
    <row r="6788" spans="1:15">
      <c r="A6788" s="240" t="s">
        <v>70</v>
      </c>
      <c r="B6788" s="47" t="s">
        <v>55</v>
      </c>
      <c r="C6788" s="12">
        <v>0.833333333333333</v>
      </c>
      <c r="D6788" s="241">
        <v>0.740740740740741</v>
      </c>
      <c r="E6788" s="241">
        <v>0.853658536585366</v>
      </c>
      <c r="F6788" s="241">
        <v>0.565217391304348</v>
      </c>
      <c r="G6788" s="241">
        <v>0.76</v>
      </c>
      <c r="H6788" s="241">
        <v>1.06666666666667</v>
      </c>
      <c r="I6788" s="241">
        <v>0.675675675675676</v>
      </c>
      <c r="J6788" s="241">
        <v>0.808219178082192</v>
      </c>
      <c r="K6788" s="241">
        <v>0.871794871794872</v>
      </c>
      <c r="L6788" s="241">
        <v>0.911111111111111</v>
      </c>
      <c r="M6788" s="241">
        <v>0.761194029850746</v>
      </c>
      <c r="N6788" s="241">
        <v>0.821052631578947</v>
      </c>
      <c r="O6788" s="252">
        <v>0.986301369863014</v>
      </c>
    </row>
    <row r="6789" spans="1:15">
      <c r="A6789" s="242" t="s">
        <v>70</v>
      </c>
      <c r="B6789" s="43" t="s">
        <v>57</v>
      </c>
      <c r="C6789" s="15">
        <v>738</v>
      </c>
      <c r="D6789" s="243">
        <v>54</v>
      </c>
      <c r="E6789" s="243">
        <v>41</v>
      </c>
      <c r="F6789" s="243">
        <v>23</v>
      </c>
      <c r="G6789" s="243">
        <v>25</v>
      </c>
      <c r="H6789" s="243">
        <v>45</v>
      </c>
      <c r="I6789" s="243">
        <v>74</v>
      </c>
      <c r="J6789" s="243">
        <v>73</v>
      </c>
      <c r="K6789" s="243">
        <v>78</v>
      </c>
      <c r="L6789" s="243">
        <v>90</v>
      </c>
      <c r="M6789" s="243">
        <v>67</v>
      </c>
      <c r="N6789" s="243">
        <v>95</v>
      </c>
      <c r="O6789" s="253">
        <v>73</v>
      </c>
    </row>
    <row r="6790" spans="1:15">
      <c r="A6790" s="240" t="s">
        <v>70</v>
      </c>
      <c r="B6790" s="47" t="s">
        <v>59</v>
      </c>
      <c r="C6790" s="15">
        <v>615</v>
      </c>
      <c r="D6790" s="243">
        <v>40</v>
      </c>
      <c r="E6790" s="243">
        <v>35</v>
      </c>
      <c r="F6790" s="243">
        <v>13</v>
      </c>
      <c r="G6790" s="243">
        <v>19</v>
      </c>
      <c r="H6790" s="243">
        <v>48</v>
      </c>
      <c r="I6790" s="243">
        <v>50</v>
      </c>
      <c r="J6790" s="243">
        <v>59</v>
      </c>
      <c r="K6790" s="243">
        <v>68</v>
      </c>
      <c r="L6790" s="243">
        <v>82</v>
      </c>
      <c r="M6790" s="243">
        <v>51</v>
      </c>
      <c r="N6790" s="243">
        <v>78</v>
      </c>
      <c r="O6790" s="253">
        <v>72</v>
      </c>
    </row>
    <row r="6791" spans="1:15">
      <c r="A6791" s="242" t="s">
        <v>70</v>
      </c>
      <c r="B6791" s="43" t="s">
        <v>4</v>
      </c>
      <c r="C6791" s="15">
        <v>9</v>
      </c>
      <c r="D6791" s="244">
        <v>1</v>
      </c>
      <c r="E6791" s="244">
        <v>0</v>
      </c>
      <c r="F6791" s="244">
        <v>0</v>
      </c>
      <c r="G6791" s="244">
        <v>0</v>
      </c>
      <c r="H6791" s="244">
        <v>0</v>
      </c>
      <c r="I6791" s="244">
        <v>0</v>
      </c>
      <c r="J6791" s="244">
        <v>2</v>
      </c>
      <c r="K6791" s="244">
        <v>2</v>
      </c>
      <c r="L6791" s="244">
        <v>2</v>
      </c>
      <c r="M6791" s="244">
        <v>1</v>
      </c>
      <c r="N6791" s="244">
        <v>1</v>
      </c>
      <c r="O6791" s="254">
        <v>0</v>
      </c>
    </row>
    <row r="6792" spans="1:15">
      <c r="A6792" s="240" t="s">
        <v>70</v>
      </c>
      <c r="B6792" s="47" t="s">
        <v>5</v>
      </c>
      <c r="C6792" s="12">
        <v>0.0146341463414634</v>
      </c>
      <c r="D6792" s="241">
        <v>0.025</v>
      </c>
      <c r="E6792" s="241">
        <v>0</v>
      </c>
      <c r="F6792" s="241">
        <v>0</v>
      </c>
      <c r="G6792" s="241">
        <v>0</v>
      </c>
      <c r="H6792" s="241">
        <v>0</v>
      </c>
      <c r="I6792" s="241">
        <v>0</v>
      </c>
      <c r="J6792" s="241">
        <v>0.0338983050847458</v>
      </c>
      <c r="K6792" s="241">
        <v>0.0294117647058824</v>
      </c>
      <c r="L6792" s="241">
        <v>0.024390243902439</v>
      </c>
      <c r="M6792" s="241">
        <v>0.0196078431372549</v>
      </c>
      <c r="N6792" s="241">
        <v>0.0128205128205128</v>
      </c>
      <c r="O6792" s="252">
        <v>0</v>
      </c>
    </row>
    <row r="6793" spans="1:15">
      <c r="A6793" s="242" t="s">
        <v>70</v>
      </c>
      <c r="B6793" s="43" t="s">
        <v>6</v>
      </c>
      <c r="C6793" s="15">
        <v>3</v>
      </c>
      <c r="D6793" s="244">
        <v>0</v>
      </c>
      <c r="E6793" s="244">
        <v>0</v>
      </c>
      <c r="F6793" s="244">
        <v>0</v>
      </c>
      <c r="G6793" s="244">
        <v>0</v>
      </c>
      <c r="H6793" s="244">
        <v>0</v>
      </c>
      <c r="I6793" s="244">
        <v>0</v>
      </c>
      <c r="J6793" s="244">
        <v>1</v>
      </c>
      <c r="K6793" s="244">
        <v>0</v>
      </c>
      <c r="L6793" s="244">
        <v>1</v>
      </c>
      <c r="M6793" s="244">
        <v>0</v>
      </c>
      <c r="N6793" s="244">
        <v>1</v>
      </c>
      <c r="O6793" s="254">
        <v>0</v>
      </c>
    </row>
    <row r="6794" ht="14.25" spans="1:15">
      <c r="A6794" s="245" t="s">
        <v>70</v>
      </c>
      <c r="B6794" s="52" t="s">
        <v>64</v>
      </c>
      <c r="C6794" s="19">
        <v>0.333333333333333</v>
      </c>
      <c r="D6794" s="246">
        <v>0</v>
      </c>
      <c r="E6794" s="246">
        <v>0</v>
      </c>
      <c r="F6794" s="246">
        <v>0</v>
      </c>
      <c r="G6794" s="246">
        <v>0</v>
      </c>
      <c r="H6794" s="246">
        <v>0</v>
      </c>
      <c r="I6794" s="246">
        <v>0</v>
      </c>
      <c r="J6794" s="246">
        <v>0.5</v>
      </c>
      <c r="K6794" s="246">
        <v>0</v>
      </c>
      <c r="L6794" s="246">
        <v>0.5</v>
      </c>
      <c r="M6794" s="246">
        <v>0</v>
      </c>
      <c r="N6794" s="246">
        <v>1</v>
      </c>
      <c r="O6794" s="255">
        <v>0</v>
      </c>
    </row>
    <row r="6795" spans="1:15">
      <c r="A6795" s="240" t="s">
        <v>26</v>
      </c>
      <c r="B6795" s="47" t="s">
        <v>55</v>
      </c>
      <c r="C6795" s="12">
        <v>1.01277501774308</v>
      </c>
      <c r="D6795" s="241">
        <v>1.22321428571429</v>
      </c>
      <c r="E6795" s="241">
        <v>0.839506172839506</v>
      </c>
      <c r="F6795" s="241">
        <v>1.13636363636364</v>
      </c>
      <c r="G6795" s="241">
        <v>1.171875</v>
      </c>
      <c r="H6795" s="241">
        <v>1.05681818181818</v>
      </c>
      <c r="I6795" s="241">
        <v>1.05217391304348</v>
      </c>
      <c r="J6795" s="241">
        <v>1.09433962264151</v>
      </c>
      <c r="K6795" s="241">
        <v>1.03759398496241</v>
      </c>
      <c r="L6795" s="241">
        <v>0.944099378881988</v>
      </c>
      <c r="M6795" s="241">
        <v>0.892215568862275</v>
      </c>
      <c r="N6795" s="241">
        <v>0.960264900662252</v>
      </c>
      <c r="O6795" s="252">
        <v>0.957575757575758</v>
      </c>
    </row>
    <row r="6796" spans="1:15">
      <c r="A6796" s="242" t="s">
        <v>26</v>
      </c>
      <c r="B6796" s="43" t="s">
        <v>57</v>
      </c>
      <c r="C6796" s="15">
        <v>1409</v>
      </c>
      <c r="D6796" s="243">
        <v>112</v>
      </c>
      <c r="E6796" s="243">
        <v>81</v>
      </c>
      <c r="F6796" s="243">
        <v>66</v>
      </c>
      <c r="G6796" s="243">
        <v>64</v>
      </c>
      <c r="H6796" s="243">
        <v>88</v>
      </c>
      <c r="I6796" s="243">
        <v>115</v>
      </c>
      <c r="J6796" s="243">
        <v>106</v>
      </c>
      <c r="K6796" s="243">
        <v>133</v>
      </c>
      <c r="L6796" s="243">
        <v>161</v>
      </c>
      <c r="M6796" s="243">
        <v>167</v>
      </c>
      <c r="N6796" s="243">
        <v>151</v>
      </c>
      <c r="O6796" s="253">
        <v>165</v>
      </c>
    </row>
    <row r="6797" spans="1:15">
      <c r="A6797" s="240" t="s">
        <v>26</v>
      </c>
      <c r="B6797" s="47" t="s">
        <v>59</v>
      </c>
      <c r="C6797" s="15">
        <v>1427</v>
      </c>
      <c r="D6797" s="243">
        <v>137</v>
      </c>
      <c r="E6797" s="243">
        <v>68</v>
      </c>
      <c r="F6797" s="243">
        <v>75</v>
      </c>
      <c r="G6797" s="243">
        <v>75</v>
      </c>
      <c r="H6797" s="243">
        <v>93</v>
      </c>
      <c r="I6797" s="243">
        <v>121</v>
      </c>
      <c r="J6797" s="243">
        <v>116</v>
      </c>
      <c r="K6797" s="243">
        <v>138</v>
      </c>
      <c r="L6797" s="243">
        <v>152</v>
      </c>
      <c r="M6797" s="243">
        <v>149</v>
      </c>
      <c r="N6797" s="243">
        <v>145</v>
      </c>
      <c r="O6797" s="253">
        <v>158</v>
      </c>
    </row>
    <row r="6798" spans="1:15">
      <c r="A6798" s="242" t="s">
        <v>26</v>
      </c>
      <c r="B6798" s="43" t="s">
        <v>4</v>
      </c>
      <c r="C6798" s="15">
        <v>15</v>
      </c>
      <c r="D6798" s="244">
        <v>0</v>
      </c>
      <c r="E6798" s="244">
        <v>0</v>
      </c>
      <c r="F6798" s="244">
        <v>2</v>
      </c>
      <c r="G6798" s="244">
        <v>0</v>
      </c>
      <c r="H6798" s="244">
        <v>0</v>
      </c>
      <c r="I6798" s="244">
        <v>1</v>
      </c>
      <c r="J6798" s="244">
        <v>2</v>
      </c>
      <c r="K6798" s="244">
        <v>2</v>
      </c>
      <c r="L6798" s="244">
        <v>1</v>
      </c>
      <c r="M6798" s="244">
        <v>3</v>
      </c>
      <c r="N6798" s="244">
        <v>0</v>
      </c>
      <c r="O6798" s="254">
        <v>4</v>
      </c>
    </row>
    <row r="6799" spans="1:15">
      <c r="A6799" s="240" t="s">
        <v>26</v>
      </c>
      <c r="B6799" s="47" t="s">
        <v>5</v>
      </c>
      <c r="C6799" s="12">
        <v>0.0105115627189909</v>
      </c>
      <c r="D6799" s="241">
        <v>0</v>
      </c>
      <c r="E6799" s="241">
        <v>0</v>
      </c>
      <c r="F6799" s="241">
        <v>0.0266666666666667</v>
      </c>
      <c r="G6799" s="241">
        <v>0</v>
      </c>
      <c r="H6799" s="241">
        <v>0</v>
      </c>
      <c r="I6799" s="241">
        <v>0.00826446280991736</v>
      </c>
      <c r="J6799" s="241">
        <v>0.0172413793103448</v>
      </c>
      <c r="K6799" s="241">
        <v>0.0144927536231884</v>
      </c>
      <c r="L6799" s="241">
        <v>0.00657894736842105</v>
      </c>
      <c r="M6799" s="241">
        <v>0.0201342281879195</v>
      </c>
      <c r="N6799" s="241">
        <v>0</v>
      </c>
      <c r="O6799" s="252">
        <v>0.0253164556962025</v>
      </c>
    </row>
    <row r="6800" spans="1:15">
      <c r="A6800" s="242" t="s">
        <v>26</v>
      </c>
      <c r="B6800" s="43" t="s">
        <v>6</v>
      </c>
      <c r="C6800" s="15">
        <v>7</v>
      </c>
      <c r="D6800" s="244">
        <v>0</v>
      </c>
      <c r="E6800" s="244">
        <v>0</v>
      </c>
      <c r="F6800" s="244">
        <v>1</v>
      </c>
      <c r="G6800" s="244">
        <v>0</v>
      </c>
      <c r="H6800" s="244">
        <v>1</v>
      </c>
      <c r="I6800" s="244">
        <v>1</v>
      </c>
      <c r="J6800" s="244">
        <v>1</v>
      </c>
      <c r="K6800" s="244">
        <v>1</v>
      </c>
      <c r="L6800" s="244">
        <v>1</v>
      </c>
      <c r="M6800" s="244">
        <v>0</v>
      </c>
      <c r="N6800" s="244">
        <v>0</v>
      </c>
      <c r="O6800" s="254">
        <v>1</v>
      </c>
    </row>
    <row r="6801" ht="14.25" spans="1:15">
      <c r="A6801" s="245" t="s">
        <v>26</v>
      </c>
      <c r="B6801" s="52" t="s">
        <v>64</v>
      </c>
      <c r="C6801" s="19">
        <v>0.466666666666667</v>
      </c>
      <c r="D6801" s="19" t="e">
        <v>#DIV/0!</v>
      </c>
      <c r="E6801" s="19" t="e">
        <v>#DIV/0!</v>
      </c>
      <c r="F6801" s="19">
        <v>0.5</v>
      </c>
      <c r="G6801" s="19" t="e">
        <v>#DIV/0!</v>
      </c>
      <c r="H6801" s="19" t="e">
        <v>#DIV/0!</v>
      </c>
      <c r="I6801" s="19">
        <v>1</v>
      </c>
      <c r="J6801" s="19">
        <v>0.5</v>
      </c>
      <c r="K6801" s="19">
        <v>0.5</v>
      </c>
      <c r="L6801" s="19">
        <v>1</v>
      </c>
      <c r="M6801" s="19">
        <v>0</v>
      </c>
      <c r="N6801" s="19" t="e">
        <v>#DIV/0!</v>
      </c>
      <c r="O6801" s="19">
        <v>0.25</v>
      </c>
    </row>
    <row r="6802" spans="1:15">
      <c r="A6802" s="240" t="s">
        <v>71</v>
      </c>
      <c r="B6802" s="47" t="s">
        <v>55</v>
      </c>
      <c r="C6802" s="12">
        <v>0.293181818181818</v>
      </c>
      <c r="D6802" s="241">
        <v>0.295081967213115</v>
      </c>
      <c r="E6802" s="241">
        <v>0.4</v>
      </c>
      <c r="F6802" s="241">
        <v>0.32</v>
      </c>
      <c r="G6802" s="241">
        <v>0.571428571428571</v>
      </c>
      <c r="H6802" s="241">
        <v>0.214285714285714</v>
      </c>
      <c r="I6802" s="241">
        <v>0.222222222222222</v>
      </c>
      <c r="J6802" s="241">
        <v>0.380952380952381</v>
      </c>
      <c r="K6802" s="241">
        <v>0.357142857142857</v>
      </c>
      <c r="L6802" s="241">
        <v>0.30952380952381</v>
      </c>
      <c r="M6802" s="241">
        <v>0.171428571428571</v>
      </c>
      <c r="N6802" s="241">
        <v>0.244444444444444</v>
      </c>
      <c r="O6802" s="252">
        <v>0.222222222222222</v>
      </c>
    </row>
    <row r="6803" spans="1:15">
      <c r="A6803" s="242" t="s">
        <v>71</v>
      </c>
      <c r="B6803" s="43" t="s">
        <v>57</v>
      </c>
      <c r="C6803" s="15">
        <v>440</v>
      </c>
      <c r="D6803" s="243">
        <v>61</v>
      </c>
      <c r="E6803" s="243">
        <v>25</v>
      </c>
      <c r="F6803" s="243">
        <v>25</v>
      </c>
      <c r="G6803" s="243">
        <v>14</v>
      </c>
      <c r="H6803" s="243">
        <v>28</v>
      </c>
      <c r="I6803" s="243">
        <v>27</v>
      </c>
      <c r="J6803" s="243">
        <v>42</v>
      </c>
      <c r="K6803" s="243">
        <v>42</v>
      </c>
      <c r="L6803" s="243">
        <v>42</v>
      </c>
      <c r="M6803" s="243">
        <v>35</v>
      </c>
      <c r="N6803" s="243">
        <v>45</v>
      </c>
      <c r="O6803" s="253">
        <v>54</v>
      </c>
    </row>
    <row r="6804" spans="1:15">
      <c r="A6804" s="240" t="s">
        <v>71</v>
      </c>
      <c r="B6804" s="47" t="s">
        <v>59</v>
      </c>
      <c r="C6804" s="15">
        <v>129</v>
      </c>
      <c r="D6804" s="243">
        <v>18</v>
      </c>
      <c r="E6804" s="243">
        <v>10</v>
      </c>
      <c r="F6804" s="243">
        <v>8</v>
      </c>
      <c r="G6804" s="243">
        <v>8</v>
      </c>
      <c r="H6804" s="243">
        <v>6</v>
      </c>
      <c r="I6804" s="243">
        <v>6</v>
      </c>
      <c r="J6804" s="243">
        <v>16</v>
      </c>
      <c r="K6804" s="243">
        <v>15</v>
      </c>
      <c r="L6804" s="243">
        <v>13</v>
      </c>
      <c r="M6804" s="243">
        <v>6</v>
      </c>
      <c r="N6804" s="243">
        <v>11</v>
      </c>
      <c r="O6804" s="253">
        <v>12</v>
      </c>
    </row>
    <row r="6805" spans="1:15">
      <c r="A6805" s="242" t="s">
        <v>71</v>
      </c>
      <c r="B6805" s="43" t="s">
        <v>4</v>
      </c>
      <c r="C6805" s="15">
        <v>23</v>
      </c>
      <c r="D6805" s="244">
        <v>7</v>
      </c>
      <c r="E6805" s="244">
        <v>2</v>
      </c>
      <c r="F6805" s="244">
        <v>1</v>
      </c>
      <c r="G6805" s="244">
        <v>0</v>
      </c>
      <c r="H6805" s="244">
        <v>0</v>
      </c>
      <c r="I6805" s="244">
        <v>1</v>
      </c>
      <c r="J6805" s="244">
        <v>4</v>
      </c>
      <c r="K6805" s="244">
        <v>4</v>
      </c>
      <c r="L6805" s="244">
        <v>2</v>
      </c>
      <c r="M6805" s="244">
        <v>0</v>
      </c>
      <c r="N6805" s="244">
        <v>1</v>
      </c>
      <c r="O6805" s="254">
        <v>1</v>
      </c>
    </row>
    <row r="6806" spans="1:15">
      <c r="A6806" s="240" t="s">
        <v>71</v>
      </c>
      <c r="B6806" s="47" t="s">
        <v>5</v>
      </c>
      <c r="C6806" s="241">
        <v>0.178294573643411</v>
      </c>
      <c r="D6806" s="241">
        <v>0.388888888888889</v>
      </c>
      <c r="E6806" s="241">
        <v>0.2</v>
      </c>
      <c r="F6806" s="241">
        <v>0.125</v>
      </c>
      <c r="G6806" s="241">
        <v>0</v>
      </c>
      <c r="H6806" s="241">
        <v>0</v>
      </c>
      <c r="I6806" s="241">
        <v>0.166666666666667</v>
      </c>
      <c r="J6806" s="241">
        <v>0.25</v>
      </c>
      <c r="K6806" s="241">
        <v>0.266666666666667</v>
      </c>
      <c r="L6806" s="241">
        <v>0.153846153846154</v>
      </c>
      <c r="M6806" s="241">
        <v>0</v>
      </c>
      <c r="N6806" s="241">
        <v>0.0909090909090909</v>
      </c>
      <c r="O6806" s="252">
        <v>0.0833333333333333</v>
      </c>
    </row>
    <row r="6807" spans="1:15">
      <c r="A6807" s="242" t="s">
        <v>71</v>
      </c>
      <c r="B6807" s="43" t="s">
        <v>6</v>
      </c>
      <c r="C6807" s="15">
        <v>5</v>
      </c>
      <c r="D6807" s="244">
        <v>0</v>
      </c>
      <c r="E6807" s="244">
        <v>0</v>
      </c>
      <c r="F6807" s="244">
        <v>0</v>
      </c>
      <c r="G6807" s="244">
        <v>0</v>
      </c>
      <c r="H6807" s="244">
        <v>0</v>
      </c>
      <c r="I6807" s="244">
        <v>0</v>
      </c>
      <c r="J6807" s="244">
        <v>1</v>
      </c>
      <c r="K6807" s="244">
        <v>2</v>
      </c>
      <c r="L6807" s="244">
        <v>1</v>
      </c>
      <c r="M6807" s="244">
        <v>0</v>
      </c>
      <c r="N6807" s="244">
        <v>0</v>
      </c>
      <c r="O6807" s="254">
        <v>1</v>
      </c>
    </row>
    <row r="6808" ht="14.25" spans="1:15">
      <c r="A6808" s="245" t="s">
        <v>71</v>
      </c>
      <c r="B6808" s="52" t="s">
        <v>64</v>
      </c>
      <c r="C6808" s="19">
        <v>0.217391304347826</v>
      </c>
      <c r="D6808" s="19">
        <v>0</v>
      </c>
      <c r="E6808" s="19">
        <v>0</v>
      </c>
      <c r="F6808" s="19">
        <v>0</v>
      </c>
      <c r="G6808" s="19" t="e">
        <v>#DIV/0!</v>
      </c>
      <c r="H6808" s="19" t="e">
        <v>#DIV/0!</v>
      </c>
      <c r="I6808" s="19">
        <v>0</v>
      </c>
      <c r="J6808" s="19">
        <v>0.25</v>
      </c>
      <c r="K6808" s="19">
        <v>0.5</v>
      </c>
      <c r="L6808" s="19">
        <v>0.5</v>
      </c>
      <c r="M6808" s="19" t="e">
        <v>#DIV/0!</v>
      </c>
      <c r="N6808" s="19">
        <v>0</v>
      </c>
      <c r="O6808" s="19">
        <v>1</v>
      </c>
    </row>
    <row r="6809" spans="1:15">
      <c r="A6809" s="240" t="s">
        <v>72</v>
      </c>
      <c r="B6809" s="47" t="s">
        <v>55</v>
      </c>
      <c r="C6809" s="12">
        <v>0.055996769417149</v>
      </c>
      <c r="D6809" s="241">
        <v>0.162995594713656</v>
      </c>
      <c r="E6809" s="241">
        <v>0.208</v>
      </c>
      <c r="F6809" s="241">
        <v>0.154639175257732</v>
      </c>
      <c r="G6809" s="241">
        <v>0.16030534351145</v>
      </c>
      <c r="H6809" s="241">
        <v>0.15028901734104</v>
      </c>
      <c r="I6809" s="241">
        <v>0.106060606060606</v>
      </c>
      <c r="J6809" s="241">
        <v>0.143564356435644</v>
      </c>
      <c r="K6809" s="241">
        <v>0.0699029126213592</v>
      </c>
      <c r="L6809" s="241">
        <v>0.0259831460674157</v>
      </c>
      <c r="M6809" s="241">
        <v>0.0310457516339869</v>
      </c>
      <c r="N6809" s="241">
        <v>0.0438652256834075</v>
      </c>
      <c r="O6809" s="252">
        <v>0.0396103896103896</v>
      </c>
    </row>
    <row r="6810" spans="1:15">
      <c r="A6810" s="242" t="s">
        <v>72</v>
      </c>
      <c r="B6810" s="43" t="s">
        <v>57</v>
      </c>
      <c r="C6810" s="15">
        <v>7429</v>
      </c>
      <c r="D6810" s="243">
        <v>227</v>
      </c>
      <c r="E6810" s="243">
        <v>125</v>
      </c>
      <c r="F6810" s="243">
        <v>97</v>
      </c>
      <c r="G6810" s="243">
        <v>131</v>
      </c>
      <c r="H6810" s="243">
        <v>173</v>
      </c>
      <c r="I6810" s="243">
        <v>198</v>
      </c>
      <c r="J6810" s="243">
        <v>202</v>
      </c>
      <c r="K6810" s="243">
        <v>515</v>
      </c>
      <c r="L6810" s="243">
        <v>1424</v>
      </c>
      <c r="M6810" s="243">
        <v>1224</v>
      </c>
      <c r="N6810" s="243">
        <v>1573</v>
      </c>
      <c r="O6810" s="253">
        <v>1540</v>
      </c>
    </row>
    <row r="6811" spans="1:15">
      <c r="A6811" s="240" t="s">
        <v>72</v>
      </c>
      <c r="B6811" s="47" t="s">
        <v>59</v>
      </c>
      <c r="C6811" s="15">
        <v>416</v>
      </c>
      <c r="D6811" s="243">
        <v>37</v>
      </c>
      <c r="E6811" s="243">
        <v>26</v>
      </c>
      <c r="F6811" s="243">
        <v>15</v>
      </c>
      <c r="G6811" s="243">
        <v>21</v>
      </c>
      <c r="H6811" s="243">
        <v>26</v>
      </c>
      <c r="I6811" s="243">
        <v>21</v>
      </c>
      <c r="J6811" s="243">
        <v>29</v>
      </c>
      <c r="K6811" s="243">
        <v>36</v>
      </c>
      <c r="L6811" s="243">
        <v>37</v>
      </c>
      <c r="M6811" s="243">
        <v>38</v>
      </c>
      <c r="N6811" s="243">
        <v>69</v>
      </c>
      <c r="O6811" s="253">
        <v>61</v>
      </c>
    </row>
    <row r="6812" spans="1:15">
      <c r="A6812" s="242" t="s">
        <v>72</v>
      </c>
      <c r="B6812" s="43" t="s">
        <v>4</v>
      </c>
      <c r="C6812" s="15">
        <v>18</v>
      </c>
      <c r="D6812" s="244">
        <v>3</v>
      </c>
      <c r="E6812" s="244">
        <v>1</v>
      </c>
      <c r="F6812" s="244">
        <v>0</v>
      </c>
      <c r="G6812" s="244">
        <v>3</v>
      </c>
      <c r="H6812" s="244">
        <v>1</v>
      </c>
      <c r="I6812" s="244">
        <v>0</v>
      </c>
      <c r="J6812" s="244">
        <v>0</v>
      </c>
      <c r="K6812" s="244">
        <v>0</v>
      </c>
      <c r="L6812" s="244">
        <v>1</v>
      </c>
      <c r="M6812" s="244">
        <v>2</v>
      </c>
      <c r="N6812" s="244">
        <v>3</v>
      </c>
      <c r="O6812" s="254">
        <v>4</v>
      </c>
    </row>
    <row r="6813" spans="1:15">
      <c r="A6813" s="240" t="s">
        <v>72</v>
      </c>
      <c r="B6813" s="47" t="s">
        <v>5</v>
      </c>
      <c r="C6813" s="12">
        <v>0.0432692307692308</v>
      </c>
      <c r="D6813" s="241">
        <v>0.0810810810810811</v>
      </c>
      <c r="E6813" s="241">
        <v>0.0384615384615385</v>
      </c>
      <c r="F6813" s="241">
        <v>0</v>
      </c>
      <c r="G6813" s="241">
        <v>0.142857142857143</v>
      </c>
      <c r="H6813" s="241">
        <v>0.0384615384615385</v>
      </c>
      <c r="I6813" s="241">
        <v>0</v>
      </c>
      <c r="J6813" s="241">
        <v>0</v>
      </c>
      <c r="K6813" s="241">
        <v>0</v>
      </c>
      <c r="L6813" s="241">
        <v>0.027027027027027</v>
      </c>
      <c r="M6813" s="241">
        <v>0.0526315789473684</v>
      </c>
      <c r="N6813" s="241">
        <v>0.0434782608695652</v>
      </c>
      <c r="O6813" s="252">
        <v>0.0655737704918033</v>
      </c>
    </row>
    <row r="6814" spans="1:15">
      <c r="A6814" s="242" t="s">
        <v>72</v>
      </c>
      <c r="B6814" s="43" t="s">
        <v>6</v>
      </c>
      <c r="C6814" s="15">
        <v>3</v>
      </c>
      <c r="D6814" s="244">
        <v>0</v>
      </c>
      <c r="E6814" s="244">
        <v>0</v>
      </c>
      <c r="F6814" s="244">
        <v>0</v>
      </c>
      <c r="G6814" s="244">
        <v>0</v>
      </c>
      <c r="H6814" s="244">
        <v>1</v>
      </c>
      <c r="I6814" s="244">
        <v>0</v>
      </c>
      <c r="J6814" s="244">
        <v>0</v>
      </c>
      <c r="K6814" s="244">
        <v>0</v>
      </c>
      <c r="L6814" s="244">
        <v>0</v>
      </c>
      <c r="M6814" s="244">
        <v>0</v>
      </c>
      <c r="N6814" s="244">
        <v>2</v>
      </c>
      <c r="O6814" s="254">
        <v>0</v>
      </c>
    </row>
    <row r="6815" ht="14.25" spans="1:15">
      <c r="A6815" s="245" t="s">
        <v>72</v>
      </c>
      <c r="B6815" s="52" t="s">
        <v>64</v>
      </c>
      <c r="C6815" s="19">
        <v>0.166666666666667</v>
      </c>
      <c r="D6815" s="19">
        <v>0</v>
      </c>
      <c r="E6815" s="19">
        <v>0</v>
      </c>
      <c r="F6815" s="19" t="e">
        <v>#DIV/0!</v>
      </c>
      <c r="G6815" s="19">
        <v>0</v>
      </c>
      <c r="H6815" s="19">
        <v>1</v>
      </c>
      <c r="I6815" s="19" t="e">
        <v>#DIV/0!</v>
      </c>
      <c r="J6815" s="19" t="e">
        <v>#DIV/0!</v>
      </c>
      <c r="K6815" s="19" t="e">
        <v>#DIV/0!</v>
      </c>
      <c r="L6815" s="19">
        <v>0</v>
      </c>
      <c r="M6815" s="19">
        <v>0</v>
      </c>
      <c r="N6815" s="19">
        <v>0.666666666666667</v>
      </c>
      <c r="O6815" s="19">
        <v>0</v>
      </c>
    </row>
    <row r="6816" ht="14.25" spans="1:15">
      <c r="A6816" s="259">
        <v>45124</v>
      </c>
      <c r="B6816" s="259"/>
      <c r="C6816" s="259"/>
      <c r="D6816" s="259"/>
      <c r="E6816" s="259"/>
      <c r="F6816" s="259"/>
      <c r="G6816" s="259"/>
      <c r="H6816" s="259"/>
      <c r="I6816" s="259"/>
      <c r="J6816" s="259"/>
      <c r="K6816" s="259"/>
      <c r="L6816" s="259"/>
      <c r="M6816" s="259"/>
      <c r="N6816" s="259"/>
      <c r="O6816" s="259"/>
    </row>
    <row r="6817" spans="1:15">
      <c r="A6817" s="260" t="s">
        <v>1</v>
      </c>
      <c r="B6817" s="261"/>
      <c r="C6817" s="8" t="s">
        <v>42</v>
      </c>
      <c r="D6817" s="262" t="s">
        <v>43</v>
      </c>
      <c r="E6817" s="262" t="s">
        <v>44</v>
      </c>
      <c r="F6817" s="262" t="s">
        <v>45</v>
      </c>
      <c r="G6817" s="262" t="s">
        <v>46</v>
      </c>
      <c r="H6817" s="262" t="s">
        <v>47</v>
      </c>
      <c r="I6817" s="262" t="s">
        <v>48</v>
      </c>
      <c r="J6817" s="262" t="s">
        <v>49</v>
      </c>
      <c r="K6817" s="262" t="s">
        <v>50</v>
      </c>
      <c r="L6817" s="262" t="s">
        <v>51</v>
      </c>
      <c r="M6817" s="262" t="s">
        <v>52</v>
      </c>
      <c r="N6817" s="262" t="s">
        <v>53</v>
      </c>
      <c r="O6817" s="276" t="s">
        <v>54</v>
      </c>
    </row>
    <row r="6818" spans="1:15">
      <c r="A6818" s="263" t="s">
        <v>22</v>
      </c>
      <c r="B6818" s="264" t="s">
        <v>55</v>
      </c>
      <c r="C6818" s="12">
        <v>0.448087431693989</v>
      </c>
      <c r="D6818" s="265">
        <v>0.486725663716814</v>
      </c>
      <c r="E6818" s="265">
        <v>0.360544217687075</v>
      </c>
      <c r="F6818" s="265">
        <v>0.409836065573771</v>
      </c>
      <c r="G6818" s="265">
        <v>0.617283950617284</v>
      </c>
      <c r="H6818" s="265">
        <v>0.556338028169014</v>
      </c>
      <c r="I6818" s="265">
        <v>0.530120481927711</v>
      </c>
      <c r="J6818" s="265">
        <v>0.560975609756098</v>
      </c>
      <c r="K6818" s="265">
        <v>0.351351351351351</v>
      </c>
      <c r="L6818" s="265">
        <v>0.368983957219251</v>
      </c>
      <c r="M6818" s="265">
        <v>0.444444444444444</v>
      </c>
      <c r="N6818" s="265">
        <v>0.41871921182266</v>
      </c>
      <c r="O6818" s="277">
        <v>0.397435897435897</v>
      </c>
    </row>
    <row r="6819" spans="1:15">
      <c r="A6819" s="266" t="s">
        <v>22</v>
      </c>
      <c r="B6819" s="267" t="s">
        <v>57</v>
      </c>
      <c r="C6819" s="15">
        <v>2013</v>
      </c>
      <c r="D6819" s="268">
        <v>226</v>
      </c>
      <c r="E6819" s="268">
        <v>147</v>
      </c>
      <c r="F6819" s="268">
        <v>61</v>
      </c>
      <c r="G6819" s="268">
        <v>81</v>
      </c>
      <c r="H6819" s="268">
        <v>142</v>
      </c>
      <c r="I6819" s="268">
        <v>166</v>
      </c>
      <c r="J6819" s="268">
        <v>164</v>
      </c>
      <c r="K6819" s="268">
        <v>222</v>
      </c>
      <c r="L6819" s="268">
        <v>187</v>
      </c>
      <c r="M6819" s="268">
        <v>180</v>
      </c>
      <c r="N6819" s="268">
        <v>203</v>
      </c>
      <c r="O6819" s="278">
        <v>234</v>
      </c>
    </row>
    <row r="6820" spans="1:15">
      <c r="A6820" s="263" t="s">
        <v>22</v>
      </c>
      <c r="B6820" s="264" t="s">
        <v>59</v>
      </c>
      <c r="C6820" s="15">
        <v>902</v>
      </c>
      <c r="D6820" s="268">
        <v>110</v>
      </c>
      <c r="E6820" s="268">
        <v>53</v>
      </c>
      <c r="F6820" s="268">
        <v>25</v>
      </c>
      <c r="G6820" s="268">
        <v>50</v>
      </c>
      <c r="H6820" s="268">
        <v>79</v>
      </c>
      <c r="I6820" s="268">
        <v>88</v>
      </c>
      <c r="J6820" s="268">
        <v>92</v>
      </c>
      <c r="K6820" s="268">
        <v>78</v>
      </c>
      <c r="L6820" s="268">
        <v>69</v>
      </c>
      <c r="M6820" s="268">
        <v>80</v>
      </c>
      <c r="N6820" s="268">
        <v>85</v>
      </c>
      <c r="O6820" s="278">
        <v>93</v>
      </c>
    </row>
    <row r="6821" spans="1:15">
      <c r="A6821" s="266" t="s">
        <v>22</v>
      </c>
      <c r="B6821" s="267" t="s">
        <v>4</v>
      </c>
      <c r="C6821" s="15">
        <v>42</v>
      </c>
      <c r="D6821" s="269">
        <v>8</v>
      </c>
      <c r="E6821" s="269">
        <v>4</v>
      </c>
      <c r="F6821" s="269">
        <v>0</v>
      </c>
      <c r="G6821" s="269">
        <v>2</v>
      </c>
      <c r="H6821" s="269">
        <v>1</v>
      </c>
      <c r="I6821" s="269">
        <v>1</v>
      </c>
      <c r="J6821" s="269">
        <v>3</v>
      </c>
      <c r="K6821" s="269">
        <v>3</v>
      </c>
      <c r="L6821" s="269">
        <v>4</v>
      </c>
      <c r="M6821" s="269">
        <v>3</v>
      </c>
      <c r="N6821" s="269">
        <v>7</v>
      </c>
      <c r="O6821" s="279">
        <v>6</v>
      </c>
    </row>
    <row r="6822" spans="1:15">
      <c r="A6822" s="263" t="s">
        <v>22</v>
      </c>
      <c r="B6822" s="264" t="s">
        <v>5</v>
      </c>
      <c r="C6822" s="12">
        <v>0.0465631929046563</v>
      </c>
      <c r="D6822" s="265">
        <v>0.0727272727272727</v>
      </c>
      <c r="E6822" s="265">
        <v>0.0754716981132075</v>
      </c>
      <c r="F6822" s="265">
        <v>0</v>
      </c>
      <c r="G6822" s="265">
        <v>0.04</v>
      </c>
      <c r="H6822" s="265">
        <v>0.0126582278481013</v>
      </c>
      <c r="I6822" s="265">
        <v>0.0113636363636364</v>
      </c>
      <c r="J6822" s="265">
        <v>0.0326086956521739</v>
      </c>
      <c r="K6822" s="265">
        <v>0.0384615384615385</v>
      </c>
      <c r="L6822" s="265">
        <v>0.0579710144927536</v>
      </c>
      <c r="M6822" s="265">
        <v>0.0375</v>
      </c>
      <c r="N6822" s="265">
        <v>0.0823529411764706</v>
      </c>
      <c r="O6822" s="277">
        <v>0.0645161290322581</v>
      </c>
    </row>
    <row r="6823" spans="1:15">
      <c r="A6823" s="266" t="s">
        <v>22</v>
      </c>
      <c r="B6823" s="267" t="s">
        <v>6</v>
      </c>
      <c r="C6823" s="15">
        <v>16</v>
      </c>
      <c r="D6823" s="269">
        <v>2</v>
      </c>
      <c r="E6823" s="269">
        <v>1</v>
      </c>
      <c r="F6823" s="269">
        <v>0</v>
      </c>
      <c r="G6823" s="269">
        <v>1</v>
      </c>
      <c r="H6823" s="269">
        <v>1</v>
      </c>
      <c r="I6823" s="269">
        <v>0</v>
      </c>
      <c r="J6823" s="269">
        <v>3</v>
      </c>
      <c r="K6823" s="269">
        <v>2</v>
      </c>
      <c r="L6823" s="269">
        <v>3</v>
      </c>
      <c r="M6823" s="269">
        <v>1</v>
      </c>
      <c r="N6823" s="269">
        <v>1</v>
      </c>
      <c r="O6823" s="279">
        <v>1</v>
      </c>
    </row>
    <row r="6824" ht="14.25" spans="1:15">
      <c r="A6824" s="270" t="s">
        <v>22</v>
      </c>
      <c r="B6824" s="271" t="s">
        <v>64</v>
      </c>
      <c r="C6824" s="19">
        <v>0.380952380952381</v>
      </c>
      <c r="D6824" s="272">
        <v>0.25</v>
      </c>
      <c r="E6824" s="272">
        <v>0.25</v>
      </c>
      <c r="F6824" s="272">
        <v>0</v>
      </c>
      <c r="G6824" s="272">
        <v>0.5</v>
      </c>
      <c r="H6824" s="272">
        <v>1</v>
      </c>
      <c r="I6824" s="272">
        <v>0</v>
      </c>
      <c r="J6824" s="272">
        <v>1</v>
      </c>
      <c r="K6824" s="272">
        <v>0.666666666666667</v>
      </c>
      <c r="L6824" s="272">
        <v>0.75</v>
      </c>
      <c r="M6824" s="272">
        <v>0.333333333333333</v>
      </c>
      <c r="N6824" s="272">
        <v>0.142857142857143</v>
      </c>
      <c r="O6824" s="280">
        <v>0.166666666666667</v>
      </c>
    </row>
    <row r="6825" spans="1:15">
      <c r="A6825" s="273" t="s">
        <v>66</v>
      </c>
      <c r="B6825" s="274" t="s">
        <v>55</v>
      </c>
      <c r="C6825" s="12">
        <v>0.154347826086957</v>
      </c>
      <c r="D6825" s="275">
        <v>0.248520710059172</v>
      </c>
      <c r="E6825" s="275">
        <v>0.168067226890756</v>
      </c>
      <c r="F6825" s="275">
        <v>0.150793650793651</v>
      </c>
      <c r="G6825" s="275">
        <v>0.0827586206896552</v>
      </c>
      <c r="H6825" s="275">
        <v>0.163522012578616</v>
      </c>
      <c r="I6825" s="275">
        <v>0.133689839572193</v>
      </c>
      <c r="J6825" s="275">
        <v>0.130434782608696</v>
      </c>
      <c r="K6825" s="275">
        <v>0.166666666666667</v>
      </c>
      <c r="L6825" s="275">
        <v>0.161157024793388</v>
      </c>
      <c r="M6825" s="275">
        <v>0.159420289855072</v>
      </c>
      <c r="N6825" s="275">
        <v>0.137777777777778</v>
      </c>
      <c r="O6825" s="281">
        <v>0.148854961832061</v>
      </c>
    </row>
    <row r="6826" spans="1:15">
      <c r="A6826" s="266" t="s">
        <v>66</v>
      </c>
      <c r="B6826" s="267" t="s">
        <v>57</v>
      </c>
      <c r="C6826" s="15">
        <v>2300</v>
      </c>
      <c r="D6826" s="268">
        <v>169</v>
      </c>
      <c r="E6826" s="268">
        <v>119</v>
      </c>
      <c r="F6826" s="268">
        <v>126</v>
      </c>
      <c r="G6826" s="268">
        <v>145</v>
      </c>
      <c r="H6826" s="268">
        <v>159</v>
      </c>
      <c r="I6826" s="268">
        <v>187</v>
      </c>
      <c r="J6826" s="268">
        <v>207</v>
      </c>
      <c r="K6826" s="268">
        <v>252</v>
      </c>
      <c r="L6826" s="268">
        <v>242</v>
      </c>
      <c r="M6826" s="268">
        <v>207</v>
      </c>
      <c r="N6826" s="268">
        <v>225</v>
      </c>
      <c r="O6826" s="278">
        <v>262</v>
      </c>
    </row>
    <row r="6827" spans="1:15">
      <c r="A6827" s="263" t="s">
        <v>66</v>
      </c>
      <c r="B6827" s="264" t="s">
        <v>59</v>
      </c>
      <c r="C6827" s="15">
        <v>355</v>
      </c>
      <c r="D6827" s="268">
        <v>42</v>
      </c>
      <c r="E6827" s="268">
        <v>20</v>
      </c>
      <c r="F6827" s="268">
        <v>19</v>
      </c>
      <c r="G6827" s="268">
        <v>12</v>
      </c>
      <c r="H6827" s="268">
        <v>26</v>
      </c>
      <c r="I6827" s="268">
        <v>25</v>
      </c>
      <c r="J6827" s="268">
        <v>27</v>
      </c>
      <c r="K6827" s="268">
        <v>42</v>
      </c>
      <c r="L6827" s="268">
        <v>39</v>
      </c>
      <c r="M6827" s="268">
        <v>33</v>
      </c>
      <c r="N6827" s="268">
        <v>31</v>
      </c>
      <c r="O6827" s="278">
        <v>39</v>
      </c>
    </row>
    <row r="6828" spans="1:15">
      <c r="A6828" s="266" t="s">
        <v>66</v>
      </c>
      <c r="B6828" s="267" t="s">
        <v>4</v>
      </c>
      <c r="C6828" s="15">
        <v>12</v>
      </c>
      <c r="D6828" s="269">
        <v>2</v>
      </c>
      <c r="E6828" s="269">
        <v>1</v>
      </c>
      <c r="F6828" s="269">
        <v>2</v>
      </c>
      <c r="G6828" s="269">
        <v>1</v>
      </c>
      <c r="H6828" s="269">
        <v>1</v>
      </c>
      <c r="I6828" s="269">
        <v>0</v>
      </c>
      <c r="J6828" s="269">
        <v>0</v>
      </c>
      <c r="K6828" s="269">
        <v>1</v>
      </c>
      <c r="L6828" s="269">
        <v>1</v>
      </c>
      <c r="M6828" s="269">
        <v>2</v>
      </c>
      <c r="N6828" s="269">
        <v>0</v>
      </c>
      <c r="O6828" s="279">
        <v>1</v>
      </c>
    </row>
    <row r="6829" spans="1:15">
      <c r="A6829" s="263" t="s">
        <v>66</v>
      </c>
      <c r="B6829" s="264" t="s">
        <v>5</v>
      </c>
      <c r="C6829" s="12">
        <v>0.0338028169014084</v>
      </c>
      <c r="D6829" s="265">
        <v>0.0476190476190476</v>
      </c>
      <c r="E6829" s="265">
        <v>0.05</v>
      </c>
      <c r="F6829" s="265">
        <v>0.105263157894737</v>
      </c>
      <c r="G6829" s="265">
        <v>0.0833333333333333</v>
      </c>
      <c r="H6829" s="265">
        <v>0.0384615384615385</v>
      </c>
      <c r="I6829" s="265">
        <v>0</v>
      </c>
      <c r="J6829" s="265">
        <v>0</v>
      </c>
      <c r="K6829" s="265">
        <v>0.0238095238095238</v>
      </c>
      <c r="L6829" s="265">
        <v>0.0256410256410256</v>
      </c>
      <c r="M6829" s="265">
        <v>0.0606060606060606</v>
      </c>
      <c r="N6829" s="265">
        <v>0</v>
      </c>
      <c r="O6829" s="277">
        <v>0.0256410256410256</v>
      </c>
    </row>
    <row r="6830" spans="1:15">
      <c r="A6830" s="266" t="s">
        <v>66</v>
      </c>
      <c r="B6830" s="267" t="s">
        <v>6</v>
      </c>
      <c r="C6830" s="15">
        <v>4</v>
      </c>
      <c r="D6830" s="269">
        <v>2</v>
      </c>
      <c r="E6830" s="269">
        <v>0</v>
      </c>
      <c r="F6830" s="269">
        <v>0</v>
      </c>
      <c r="G6830" s="269">
        <v>0</v>
      </c>
      <c r="H6830" s="269">
        <v>0</v>
      </c>
      <c r="I6830" s="269">
        <v>0</v>
      </c>
      <c r="J6830" s="269">
        <v>0</v>
      </c>
      <c r="K6830" s="269">
        <v>1</v>
      </c>
      <c r="L6830" s="269">
        <v>0</v>
      </c>
      <c r="M6830" s="269">
        <v>1</v>
      </c>
      <c r="N6830" s="269">
        <v>0</v>
      </c>
      <c r="O6830" s="279">
        <v>0</v>
      </c>
    </row>
    <row r="6831" ht="14.25" spans="1:15">
      <c r="A6831" s="270" t="s">
        <v>66</v>
      </c>
      <c r="B6831" s="271" t="s">
        <v>64</v>
      </c>
      <c r="C6831" s="19">
        <v>0.333333333333333</v>
      </c>
      <c r="D6831" s="272">
        <v>1</v>
      </c>
      <c r="E6831" s="272">
        <v>0</v>
      </c>
      <c r="F6831" s="272">
        <v>0</v>
      </c>
      <c r="G6831" s="272">
        <v>0</v>
      </c>
      <c r="H6831" s="272">
        <v>0</v>
      </c>
      <c r="I6831" s="272">
        <v>0</v>
      </c>
      <c r="J6831" s="272">
        <v>0</v>
      </c>
      <c r="K6831" s="272">
        <v>1</v>
      </c>
      <c r="L6831" s="272">
        <v>0</v>
      </c>
      <c r="M6831" s="272">
        <v>0.5</v>
      </c>
      <c r="N6831" s="272">
        <v>0</v>
      </c>
      <c r="O6831" s="280">
        <v>0</v>
      </c>
    </row>
    <row r="6832" spans="1:15">
      <c r="A6832" s="263" t="s">
        <v>67</v>
      </c>
      <c r="B6832" s="264" t="s">
        <v>55</v>
      </c>
      <c r="C6832" s="12">
        <v>0.537151702786378</v>
      </c>
      <c r="D6832" s="265">
        <v>0.611111111111111</v>
      </c>
      <c r="E6832" s="265">
        <v>0.4</v>
      </c>
      <c r="F6832" s="265">
        <v>0.6</v>
      </c>
      <c r="G6832" s="265">
        <v>0.395833333333333</v>
      </c>
      <c r="H6832" s="265">
        <v>0.84375</v>
      </c>
      <c r="I6832" s="265">
        <v>0.666666666666667</v>
      </c>
      <c r="J6832" s="265">
        <v>0.450704225352113</v>
      </c>
      <c r="K6832" s="265">
        <v>0.492063492063492</v>
      </c>
      <c r="L6832" s="265">
        <v>0.641509433962264</v>
      </c>
      <c r="M6832" s="265">
        <v>0.622641509433962</v>
      </c>
      <c r="N6832" s="265">
        <v>0.422535211267606</v>
      </c>
      <c r="O6832" s="277">
        <v>0.466666666666667</v>
      </c>
    </row>
    <row r="6833" spans="1:15">
      <c r="A6833" s="266" t="s">
        <v>67</v>
      </c>
      <c r="B6833" s="267" t="s">
        <v>57</v>
      </c>
      <c r="C6833" s="15">
        <v>646</v>
      </c>
      <c r="D6833" s="268">
        <v>54</v>
      </c>
      <c r="E6833" s="268">
        <v>35</v>
      </c>
      <c r="F6833" s="268">
        <v>25</v>
      </c>
      <c r="G6833" s="268">
        <v>48</v>
      </c>
      <c r="H6833" s="268">
        <v>32</v>
      </c>
      <c r="I6833" s="268">
        <v>66</v>
      </c>
      <c r="J6833" s="268">
        <v>71</v>
      </c>
      <c r="K6833" s="268">
        <v>63</v>
      </c>
      <c r="L6833" s="268">
        <v>53</v>
      </c>
      <c r="M6833" s="268">
        <v>53</v>
      </c>
      <c r="N6833" s="268">
        <v>71</v>
      </c>
      <c r="O6833" s="278">
        <v>75</v>
      </c>
    </row>
    <row r="6834" spans="1:15">
      <c r="A6834" s="263" t="s">
        <v>67</v>
      </c>
      <c r="B6834" s="264" t="s">
        <v>59</v>
      </c>
      <c r="C6834" s="15">
        <v>347</v>
      </c>
      <c r="D6834" s="268">
        <v>33</v>
      </c>
      <c r="E6834" s="268">
        <v>14</v>
      </c>
      <c r="F6834" s="268">
        <v>15</v>
      </c>
      <c r="G6834" s="268">
        <v>19</v>
      </c>
      <c r="H6834" s="268">
        <v>27</v>
      </c>
      <c r="I6834" s="268">
        <v>44</v>
      </c>
      <c r="J6834" s="268">
        <v>32</v>
      </c>
      <c r="K6834" s="268">
        <v>31</v>
      </c>
      <c r="L6834" s="268">
        <v>34</v>
      </c>
      <c r="M6834" s="268">
        <v>33</v>
      </c>
      <c r="N6834" s="268">
        <v>30</v>
      </c>
      <c r="O6834" s="278">
        <v>35</v>
      </c>
    </row>
    <row r="6835" spans="1:15">
      <c r="A6835" s="266" t="s">
        <v>67</v>
      </c>
      <c r="B6835" s="267" t="s">
        <v>4</v>
      </c>
      <c r="C6835" s="15">
        <v>12</v>
      </c>
      <c r="D6835" s="269">
        <v>2</v>
      </c>
      <c r="E6835" s="269">
        <v>1</v>
      </c>
      <c r="F6835" s="269">
        <v>0</v>
      </c>
      <c r="G6835" s="269">
        <v>0</v>
      </c>
      <c r="H6835" s="269">
        <v>0</v>
      </c>
      <c r="I6835" s="269">
        <v>1</v>
      </c>
      <c r="J6835" s="269">
        <v>1</v>
      </c>
      <c r="K6835" s="269">
        <v>1</v>
      </c>
      <c r="L6835" s="269">
        <v>1</v>
      </c>
      <c r="M6835" s="269">
        <v>1</v>
      </c>
      <c r="N6835" s="269">
        <v>4</v>
      </c>
      <c r="O6835" s="279">
        <v>0</v>
      </c>
    </row>
    <row r="6836" spans="1:15">
      <c r="A6836" s="263" t="s">
        <v>67</v>
      </c>
      <c r="B6836" s="264" t="s">
        <v>5</v>
      </c>
      <c r="C6836" s="12">
        <v>0.0345821325648415</v>
      </c>
      <c r="D6836" s="265">
        <v>0.0606060606060606</v>
      </c>
      <c r="E6836" s="265">
        <v>0.0714285714285714</v>
      </c>
      <c r="F6836" s="265">
        <v>0</v>
      </c>
      <c r="G6836" s="265">
        <v>0</v>
      </c>
      <c r="H6836" s="265">
        <v>0</v>
      </c>
      <c r="I6836" s="265">
        <v>0.0227272727272727</v>
      </c>
      <c r="J6836" s="265">
        <v>0.03125</v>
      </c>
      <c r="K6836" s="265">
        <v>0.032258064516129</v>
      </c>
      <c r="L6836" s="265">
        <v>0.0294117647058824</v>
      </c>
      <c r="M6836" s="265">
        <v>0.0303030303030303</v>
      </c>
      <c r="N6836" s="265">
        <v>0.133333333333333</v>
      </c>
      <c r="O6836" s="277">
        <v>0</v>
      </c>
    </row>
    <row r="6837" spans="1:15">
      <c r="A6837" s="266" t="s">
        <v>67</v>
      </c>
      <c r="B6837" s="267" t="s">
        <v>6</v>
      </c>
      <c r="C6837" s="15">
        <v>8</v>
      </c>
      <c r="D6837" s="269">
        <v>0</v>
      </c>
      <c r="E6837" s="269">
        <v>0</v>
      </c>
      <c r="F6837" s="269">
        <v>0</v>
      </c>
      <c r="G6837" s="269">
        <v>0</v>
      </c>
      <c r="H6837" s="269">
        <v>1</v>
      </c>
      <c r="I6837" s="269">
        <v>0</v>
      </c>
      <c r="J6837" s="269">
        <v>1</v>
      </c>
      <c r="K6837" s="269">
        <v>1</v>
      </c>
      <c r="L6837" s="269">
        <v>1</v>
      </c>
      <c r="M6837" s="269">
        <v>0</v>
      </c>
      <c r="N6837" s="269">
        <v>4</v>
      </c>
      <c r="O6837" s="279">
        <v>0</v>
      </c>
    </row>
    <row r="6838" ht="14.25" spans="1:15">
      <c r="A6838" s="270" t="s">
        <v>67</v>
      </c>
      <c r="B6838" s="271" t="s">
        <v>64</v>
      </c>
      <c r="C6838" s="19">
        <v>0.666666666666667</v>
      </c>
      <c r="D6838" s="272">
        <v>0</v>
      </c>
      <c r="E6838" s="272">
        <v>0</v>
      </c>
      <c r="F6838" s="272">
        <v>0</v>
      </c>
      <c r="G6838" s="272">
        <v>0</v>
      </c>
      <c r="H6838" s="272">
        <v>0</v>
      </c>
      <c r="I6838" s="272">
        <v>0</v>
      </c>
      <c r="J6838" s="272">
        <v>1</v>
      </c>
      <c r="K6838" s="272">
        <v>1</v>
      </c>
      <c r="L6838" s="272">
        <v>1</v>
      </c>
      <c r="M6838" s="272">
        <v>0</v>
      </c>
      <c r="N6838" s="272">
        <v>1</v>
      </c>
      <c r="O6838" s="280">
        <v>0</v>
      </c>
    </row>
    <row r="6839" spans="1:15">
      <c r="A6839" s="263" t="s">
        <v>68</v>
      </c>
      <c r="B6839" s="264" t="s">
        <v>55</v>
      </c>
      <c r="C6839" s="12">
        <v>0.169102894812267</v>
      </c>
      <c r="D6839" s="265">
        <v>0.1925</v>
      </c>
      <c r="E6839" s="265">
        <v>0.213592233009709</v>
      </c>
      <c r="F6839" s="265">
        <v>0.188235294117647</v>
      </c>
      <c r="G6839" s="265">
        <v>0.255639097744361</v>
      </c>
      <c r="H6839" s="265">
        <v>0.148550724637681</v>
      </c>
      <c r="I6839" s="265">
        <v>0.180451127819549</v>
      </c>
      <c r="J6839" s="265">
        <v>0.156862745098039</v>
      </c>
      <c r="K6839" s="265">
        <v>0.127027027027027</v>
      </c>
      <c r="L6839" s="265">
        <v>0.185185185185185</v>
      </c>
      <c r="M6839" s="265">
        <v>0.154798761609907</v>
      </c>
      <c r="N6839" s="265">
        <v>0.116766467065868</v>
      </c>
      <c r="O6839" s="277">
        <v>0.18361581920904</v>
      </c>
    </row>
    <row r="6840" spans="1:15">
      <c r="A6840" s="266" t="s">
        <v>68</v>
      </c>
      <c r="B6840" s="267" t="s">
        <v>57</v>
      </c>
      <c r="C6840" s="15">
        <v>3489</v>
      </c>
      <c r="D6840" s="268">
        <v>400</v>
      </c>
      <c r="E6840" s="268">
        <v>206</v>
      </c>
      <c r="F6840" s="268">
        <v>170</v>
      </c>
      <c r="G6840" s="268">
        <v>133</v>
      </c>
      <c r="H6840" s="268">
        <v>276</v>
      </c>
      <c r="I6840" s="268">
        <v>266</v>
      </c>
      <c r="J6840" s="268">
        <v>306</v>
      </c>
      <c r="K6840" s="268">
        <v>370</v>
      </c>
      <c r="L6840" s="268">
        <v>351</v>
      </c>
      <c r="M6840" s="268">
        <v>323</v>
      </c>
      <c r="N6840" s="268">
        <v>334</v>
      </c>
      <c r="O6840" s="278">
        <v>354</v>
      </c>
    </row>
    <row r="6841" spans="1:15">
      <c r="A6841" s="263" t="s">
        <v>68</v>
      </c>
      <c r="B6841" s="264" t="s">
        <v>59</v>
      </c>
      <c r="C6841" s="15">
        <v>590</v>
      </c>
      <c r="D6841" s="268">
        <v>77</v>
      </c>
      <c r="E6841" s="268">
        <v>44</v>
      </c>
      <c r="F6841" s="268">
        <v>32</v>
      </c>
      <c r="G6841" s="268">
        <v>34</v>
      </c>
      <c r="H6841" s="268">
        <v>41</v>
      </c>
      <c r="I6841" s="268">
        <v>48</v>
      </c>
      <c r="J6841" s="268">
        <v>48</v>
      </c>
      <c r="K6841" s="268">
        <v>47</v>
      </c>
      <c r="L6841" s="268">
        <v>65</v>
      </c>
      <c r="M6841" s="268">
        <v>50</v>
      </c>
      <c r="N6841" s="268">
        <v>39</v>
      </c>
      <c r="O6841" s="278">
        <v>65</v>
      </c>
    </row>
    <row r="6842" spans="1:15">
      <c r="A6842" s="266" t="s">
        <v>68</v>
      </c>
      <c r="B6842" s="267" t="s">
        <v>4</v>
      </c>
      <c r="C6842" s="15">
        <v>65</v>
      </c>
      <c r="D6842" s="269">
        <v>9</v>
      </c>
      <c r="E6842" s="269">
        <v>6</v>
      </c>
      <c r="F6842" s="269">
        <v>3</v>
      </c>
      <c r="G6842" s="269">
        <v>1</v>
      </c>
      <c r="H6842" s="269">
        <v>2</v>
      </c>
      <c r="I6842" s="269">
        <v>8</v>
      </c>
      <c r="J6842" s="269">
        <v>8</v>
      </c>
      <c r="K6842" s="269">
        <v>5</v>
      </c>
      <c r="L6842" s="269">
        <v>5</v>
      </c>
      <c r="M6842" s="269">
        <v>5</v>
      </c>
      <c r="N6842" s="269">
        <v>6</v>
      </c>
      <c r="O6842" s="279">
        <v>7</v>
      </c>
    </row>
    <row r="6843" spans="1:15">
      <c r="A6843" s="263" t="s">
        <v>68</v>
      </c>
      <c r="B6843" s="264" t="s">
        <v>5</v>
      </c>
      <c r="C6843" s="12">
        <v>0.110169491525424</v>
      </c>
      <c r="D6843" s="265">
        <v>0.116883116883117</v>
      </c>
      <c r="E6843" s="265">
        <v>0.136363636363636</v>
      </c>
      <c r="F6843" s="265">
        <v>0.09375</v>
      </c>
      <c r="G6843" s="265">
        <v>0.0294117647058824</v>
      </c>
      <c r="H6843" s="265">
        <v>0.0487804878048781</v>
      </c>
      <c r="I6843" s="265">
        <v>0.166666666666667</v>
      </c>
      <c r="J6843" s="265">
        <v>0.166666666666667</v>
      </c>
      <c r="K6843" s="265">
        <v>0.106382978723404</v>
      </c>
      <c r="L6843" s="265">
        <v>0.0769230769230769</v>
      </c>
      <c r="M6843" s="265">
        <v>0.1</v>
      </c>
      <c r="N6843" s="265">
        <v>0.153846153846154</v>
      </c>
      <c r="O6843" s="277">
        <v>0.107692307692308</v>
      </c>
    </row>
    <row r="6844" spans="1:15">
      <c r="A6844" s="266" t="s">
        <v>68</v>
      </c>
      <c r="B6844" s="267" t="s">
        <v>6</v>
      </c>
      <c r="C6844" s="15">
        <v>25</v>
      </c>
      <c r="D6844" s="269">
        <v>0</v>
      </c>
      <c r="E6844" s="269">
        <v>3</v>
      </c>
      <c r="F6844" s="269">
        <v>1</v>
      </c>
      <c r="G6844" s="269">
        <v>1</v>
      </c>
      <c r="H6844" s="269">
        <v>0</v>
      </c>
      <c r="I6844" s="269">
        <v>3</v>
      </c>
      <c r="J6844" s="269">
        <v>1</v>
      </c>
      <c r="K6844" s="269">
        <v>1</v>
      </c>
      <c r="L6844" s="269">
        <v>5</v>
      </c>
      <c r="M6844" s="269">
        <v>5</v>
      </c>
      <c r="N6844" s="269">
        <v>1</v>
      </c>
      <c r="O6844" s="279">
        <v>4</v>
      </c>
    </row>
    <row r="6845" ht="14.25" spans="1:15">
      <c r="A6845" s="270" t="s">
        <v>68</v>
      </c>
      <c r="B6845" s="271" t="s">
        <v>64</v>
      </c>
      <c r="C6845" s="19">
        <v>0.384615384615385</v>
      </c>
      <c r="D6845" s="272">
        <v>0</v>
      </c>
      <c r="E6845" s="272">
        <v>0.5</v>
      </c>
      <c r="F6845" s="272">
        <v>0.333333333333333</v>
      </c>
      <c r="G6845" s="272">
        <v>1</v>
      </c>
      <c r="H6845" s="272">
        <v>0</v>
      </c>
      <c r="I6845" s="272">
        <v>0.375</v>
      </c>
      <c r="J6845" s="272">
        <v>0.125</v>
      </c>
      <c r="K6845" s="272">
        <v>0.2</v>
      </c>
      <c r="L6845" s="272">
        <v>1</v>
      </c>
      <c r="M6845" s="272">
        <v>1</v>
      </c>
      <c r="N6845" s="272">
        <v>0.166666666666667</v>
      </c>
      <c r="O6845" s="280">
        <v>0.571428571428571</v>
      </c>
    </row>
    <row r="6846" spans="1:15">
      <c r="A6846" s="263" t="s">
        <v>69</v>
      </c>
      <c r="B6846" s="264" t="s">
        <v>55</v>
      </c>
      <c r="C6846" s="12">
        <v>2.53571428571429</v>
      </c>
      <c r="D6846" s="265">
        <v>3</v>
      </c>
      <c r="E6846" s="265">
        <v>2.66666666666667</v>
      </c>
      <c r="F6846" s="265">
        <v>3</v>
      </c>
      <c r="G6846" s="265">
        <v>12</v>
      </c>
      <c r="H6846" s="265">
        <v>5</v>
      </c>
      <c r="I6846" s="265">
        <v>12</v>
      </c>
      <c r="J6846" s="265">
        <v>1.83333333333333</v>
      </c>
      <c r="K6846" s="265">
        <v>1.83333333333333</v>
      </c>
      <c r="L6846" s="265">
        <v>2.33333333333333</v>
      </c>
      <c r="M6846" s="265">
        <v>2.6</v>
      </c>
      <c r="N6846" s="265">
        <v>1.5</v>
      </c>
      <c r="O6846" s="277">
        <v>1.3</v>
      </c>
    </row>
    <row r="6847" spans="1:15">
      <c r="A6847" s="266" t="s">
        <v>69</v>
      </c>
      <c r="B6847" s="267" t="s">
        <v>57</v>
      </c>
      <c r="C6847" s="15">
        <v>56</v>
      </c>
      <c r="D6847" s="268">
        <v>6</v>
      </c>
      <c r="E6847" s="268">
        <v>3</v>
      </c>
      <c r="F6847" s="268">
        <v>1</v>
      </c>
      <c r="G6847" s="268">
        <v>1</v>
      </c>
      <c r="H6847" s="268">
        <v>3</v>
      </c>
      <c r="I6847" s="268">
        <v>1</v>
      </c>
      <c r="J6847" s="268">
        <v>6</v>
      </c>
      <c r="K6847" s="268">
        <v>6</v>
      </c>
      <c r="L6847" s="268">
        <v>6</v>
      </c>
      <c r="M6847" s="268">
        <v>5</v>
      </c>
      <c r="N6847" s="268">
        <v>8</v>
      </c>
      <c r="O6847" s="278">
        <v>10</v>
      </c>
    </row>
    <row r="6848" spans="1:15">
      <c r="A6848" s="263" t="s">
        <v>69</v>
      </c>
      <c r="B6848" s="264" t="s">
        <v>59</v>
      </c>
      <c r="C6848" s="15">
        <v>142</v>
      </c>
      <c r="D6848" s="268">
        <v>18</v>
      </c>
      <c r="E6848" s="268">
        <v>8</v>
      </c>
      <c r="F6848" s="268">
        <v>3</v>
      </c>
      <c r="G6848" s="268">
        <v>12</v>
      </c>
      <c r="H6848" s="268">
        <v>15</v>
      </c>
      <c r="I6848" s="268">
        <v>12</v>
      </c>
      <c r="J6848" s="268">
        <v>11</v>
      </c>
      <c r="K6848" s="268">
        <v>11</v>
      </c>
      <c r="L6848" s="268">
        <v>14</v>
      </c>
      <c r="M6848" s="268">
        <v>13</v>
      </c>
      <c r="N6848" s="268">
        <v>12</v>
      </c>
      <c r="O6848" s="278">
        <v>13</v>
      </c>
    </row>
    <row r="6849" spans="1:15">
      <c r="A6849" s="266" t="s">
        <v>69</v>
      </c>
      <c r="B6849" s="267" t="s">
        <v>4</v>
      </c>
      <c r="C6849" s="15">
        <v>2</v>
      </c>
      <c r="D6849" s="269">
        <v>1</v>
      </c>
      <c r="E6849" s="269">
        <v>0</v>
      </c>
      <c r="F6849" s="269">
        <v>0</v>
      </c>
      <c r="G6849" s="269">
        <v>0</v>
      </c>
      <c r="H6849" s="269">
        <v>0</v>
      </c>
      <c r="I6849" s="269">
        <v>0</v>
      </c>
      <c r="J6849" s="269">
        <v>0</v>
      </c>
      <c r="K6849" s="269">
        <v>0</v>
      </c>
      <c r="L6849" s="269">
        <v>1</v>
      </c>
      <c r="M6849" s="269">
        <v>0</v>
      </c>
      <c r="N6849" s="269">
        <v>0</v>
      </c>
      <c r="O6849" s="279">
        <v>0</v>
      </c>
    </row>
    <row r="6850" spans="1:15">
      <c r="A6850" s="263" t="s">
        <v>69</v>
      </c>
      <c r="B6850" s="264" t="s">
        <v>5</v>
      </c>
      <c r="C6850" s="12">
        <v>0.0140845070422535</v>
      </c>
      <c r="D6850" s="265">
        <v>0.0555555555555556</v>
      </c>
      <c r="E6850" s="265">
        <v>0</v>
      </c>
      <c r="F6850" s="265">
        <v>0</v>
      </c>
      <c r="G6850" s="265">
        <v>0</v>
      </c>
      <c r="H6850" s="265">
        <v>0</v>
      </c>
      <c r="I6850" s="265">
        <v>0</v>
      </c>
      <c r="J6850" s="265">
        <v>0</v>
      </c>
      <c r="K6850" s="265">
        <v>0</v>
      </c>
      <c r="L6850" s="265">
        <v>0.0714285714285714</v>
      </c>
      <c r="M6850" s="265">
        <v>0</v>
      </c>
      <c r="N6850" s="265">
        <v>0</v>
      </c>
      <c r="O6850" s="277">
        <v>0</v>
      </c>
    </row>
    <row r="6851" spans="1:15">
      <c r="A6851" s="266" t="s">
        <v>69</v>
      </c>
      <c r="B6851" s="267" t="s">
        <v>6</v>
      </c>
      <c r="C6851" s="15">
        <v>2</v>
      </c>
      <c r="D6851" s="269">
        <v>1</v>
      </c>
      <c r="E6851" s="269">
        <v>0</v>
      </c>
      <c r="F6851" s="269">
        <v>0</v>
      </c>
      <c r="G6851" s="269">
        <v>0</v>
      </c>
      <c r="H6851" s="269">
        <v>0</v>
      </c>
      <c r="I6851" s="269">
        <v>1</v>
      </c>
      <c r="J6851" s="269">
        <v>0</v>
      </c>
      <c r="K6851" s="269">
        <v>0</v>
      </c>
      <c r="L6851" s="269">
        <v>0</v>
      </c>
      <c r="M6851" s="269">
        <v>0</v>
      </c>
      <c r="N6851" s="269">
        <v>0</v>
      </c>
      <c r="O6851" s="279">
        <v>0</v>
      </c>
    </row>
    <row r="6852" ht="14.25" spans="1:15">
      <c r="A6852" s="270" t="s">
        <v>69</v>
      </c>
      <c r="B6852" s="271" t="s">
        <v>64</v>
      </c>
      <c r="C6852" s="19">
        <v>1</v>
      </c>
      <c r="D6852" s="272">
        <v>1</v>
      </c>
      <c r="E6852" s="272">
        <v>0</v>
      </c>
      <c r="F6852" s="272">
        <v>0</v>
      </c>
      <c r="G6852" s="272">
        <v>0</v>
      </c>
      <c r="H6852" s="272">
        <v>0</v>
      </c>
      <c r="I6852" s="272">
        <v>0</v>
      </c>
      <c r="J6852" s="272">
        <v>0</v>
      </c>
      <c r="K6852" s="272">
        <v>0</v>
      </c>
      <c r="L6852" s="272">
        <v>0</v>
      </c>
      <c r="M6852" s="272">
        <v>0</v>
      </c>
      <c r="N6852" s="272">
        <v>0</v>
      </c>
      <c r="O6852" s="280">
        <v>0</v>
      </c>
    </row>
    <row r="6853" spans="1:15">
      <c r="A6853" s="263" t="s">
        <v>70</v>
      </c>
      <c r="B6853" s="264" t="s">
        <v>55</v>
      </c>
      <c r="C6853" s="12">
        <v>0.794587945879459</v>
      </c>
      <c r="D6853" s="265">
        <v>1.13461538461538</v>
      </c>
      <c r="E6853" s="265">
        <v>1.0952380952381</v>
      </c>
      <c r="F6853" s="265">
        <v>0.764705882352941</v>
      </c>
      <c r="G6853" s="265">
        <v>1.08333333333333</v>
      </c>
      <c r="H6853" s="265">
        <v>0.828125</v>
      </c>
      <c r="I6853" s="265">
        <v>0.83</v>
      </c>
      <c r="J6853" s="265">
        <v>0.953125</v>
      </c>
      <c r="K6853" s="265">
        <v>0.591666666666667</v>
      </c>
      <c r="L6853" s="265">
        <v>0.698275862068966</v>
      </c>
      <c r="M6853" s="265">
        <v>0.75609756097561</v>
      </c>
      <c r="N6853" s="265">
        <v>0.697674418604651</v>
      </c>
      <c r="O6853" s="277">
        <v>0.848101265822785</v>
      </c>
    </row>
    <row r="6854" spans="1:15">
      <c r="A6854" s="266" t="s">
        <v>70</v>
      </c>
      <c r="B6854" s="267" t="s">
        <v>57</v>
      </c>
      <c r="C6854" s="15">
        <v>813</v>
      </c>
      <c r="D6854" s="268">
        <v>52</v>
      </c>
      <c r="E6854" s="268">
        <v>21</v>
      </c>
      <c r="F6854" s="268">
        <v>17</v>
      </c>
      <c r="G6854" s="268">
        <v>12</v>
      </c>
      <c r="H6854" s="268">
        <v>64</v>
      </c>
      <c r="I6854" s="268">
        <v>100</v>
      </c>
      <c r="J6854" s="268">
        <v>64</v>
      </c>
      <c r="K6854" s="268">
        <v>120</v>
      </c>
      <c r="L6854" s="268">
        <v>116</v>
      </c>
      <c r="M6854" s="268">
        <v>82</v>
      </c>
      <c r="N6854" s="268">
        <v>86</v>
      </c>
      <c r="O6854" s="278">
        <v>79</v>
      </c>
    </row>
    <row r="6855" spans="1:15">
      <c r="A6855" s="263" t="s">
        <v>70</v>
      </c>
      <c r="B6855" s="264" t="s">
        <v>59</v>
      </c>
      <c r="C6855" s="15">
        <v>646</v>
      </c>
      <c r="D6855" s="268">
        <v>59</v>
      </c>
      <c r="E6855" s="268">
        <v>23</v>
      </c>
      <c r="F6855" s="268">
        <v>13</v>
      </c>
      <c r="G6855" s="268">
        <v>13</v>
      </c>
      <c r="H6855" s="268">
        <v>53</v>
      </c>
      <c r="I6855" s="268">
        <v>83</v>
      </c>
      <c r="J6855" s="268">
        <v>61</v>
      </c>
      <c r="K6855" s="268">
        <v>71</v>
      </c>
      <c r="L6855" s="268">
        <v>81</v>
      </c>
      <c r="M6855" s="268">
        <v>62</v>
      </c>
      <c r="N6855" s="268">
        <v>60</v>
      </c>
      <c r="O6855" s="278">
        <v>67</v>
      </c>
    </row>
    <row r="6856" spans="1:15">
      <c r="A6856" s="266" t="s">
        <v>70</v>
      </c>
      <c r="B6856" s="267" t="s">
        <v>4</v>
      </c>
      <c r="C6856" s="15">
        <v>14</v>
      </c>
      <c r="D6856" s="269">
        <v>1</v>
      </c>
      <c r="E6856" s="269">
        <v>2</v>
      </c>
      <c r="F6856" s="269">
        <v>0</v>
      </c>
      <c r="G6856" s="269">
        <v>1</v>
      </c>
      <c r="H6856" s="269">
        <v>1</v>
      </c>
      <c r="I6856" s="269">
        <v>1</v>
      </c>
      <c r="J6856" s="269">
        <v>2</v>
      </c>
      <c r="K6856" s="269">
        <v>2</v>
      </c>
      <c r="L6856" s="269">
        <v>2</v>
      </c>
      <c r="M6856" s="269">
        <v>0</v>
      </c>
      <c r="N6856" s="269">
        <v>1</v>
      </c>
      <c r="O6856" s="279">
        <v>1</v>
      </c>
    </row>
    <row r="6857" spans="1:15">
      <c r="A6857" s="263" t="s">
        <v>70</v>
      </c>
      <c r="B6857" s="264" t="s">
        <v>5</v>
      </c>
      <c r="C6857" s="12">
        <v>0.021671826625387</v>
      </c>
      <c r="D6857" s="265">
        <v>0.0169491525423729</v>
      </c>
      <c r="E6857" s="265">
        <v>0.0869565217391304</v>
      </c>
      <c r="F6857" s="265">
        <v>0</v>
      </c>
      <c r="G6857" s="265">
        <v>0.0769230769230769</v>
      </c>
      <c r="H6857" s="265">
        <v>0.0188679245283019</v>
      </c>
      <c r="I6857" s="265">
        <v>0.0120481927710843</v>
      </c>
      <c r="J6857" s="265">
        <v>0.0327868852459016</v>
      </c>
      <c r="K6857" s="265">
        <v>0.028169014084507</v>
      </c>
      <c r="L6857" s="265">
        <v>0.0246913580246914</v>
      </c>
      <c r="M6857" s="265">
        <v>0</v>
      </c>
      <c r="N6857" s="265">
        <v>0.0166666666666667</v>
      </c>
      <c r="O6857" s="277">
        <v>0.0149253731343284</v>
      </c>
    </row>
    <row r="6858" spans="1:15">
      <c r="A6858" s="266" t="s">
        <v>70</v>
      </c>
      <c r="B6858" s="267" t="s">
        <v>6</v>
      </c>
      <c r="C6858" s="15">
        <v>2</v>
      </c>
      <c r="D6858" s="269">
        <v>0</v>
      </c>
      <c r="E6858" s="269">
        <v>0</v>
      </c>
      <c r="F6858" s="269">
        <v>0</v>
      </c>
      <c r="G6858" s="269">
        <v>0</v>
      </c>
      <c r="H6858" s="269">
        <v>0</v>
      </c>
      <c r="I6858" s="269">
        <v>1</v>
      </c>
      <c r="J6858" s="269">
        <v>0</v>
      </c>
      <c r="K6858" s="269">
        <v>0</v>
      </c>
      <c r="L6858" s="269">
        <v>1</v>
      </c>
      <c r="M6858" s="269">
        <v>0</v>
      </c>
      <c r="N6858" s="269">
        <v>0</v>
      </c>
      <c r="O6858" s="279">
        <v>0</v>
      </c>
    </row>
    <row r="6859" ht="14.25" spans="1:15">
      <c r="A6859" s="270" t="s">
        <v>70</v>
      </c>
      <c r="B6859" s="271" t="s">
        <v>64</v>
      </c>
      <c r="C6859" s="19">
        <v>0.142857142857143</v>
      </c>
      <c r="D6859" s="272">
        <v>0</v>
      </c>
      <c r="E6859" s="272">
        <v>0</v>
      </c>
      <c r="F6859" s="272">
        <v>0</v>
      </c>
      <c r="G6859" s="272">
        <v>0</v>
      </c>
      <c r="H6859" s="272">
        <v>0</v>
      </c>
      <c r="I6859" s="272">
        <v>1</v>
      </c>
      <c r="J6859" s="272">
        <v>0</v>
      </c>
      <c r="K6859" s="272">
        <v>0</v>
      </c>
      <c r="L6859" s="272">
        <v>0.5</v>
      </c>
      <c r="M6859" s="272">
        <v>0</v>
      </c>
      <c r="N6859" s="272">
        <v>0</v>
      </c>
      <c r="O6859" s="280">
        <v>0</v>
      </c>
    </row>
    <row r="6860" spans="1:15">
      <c r="A6860" s="263" t="s">
        <v>26</v>
      </c>
      <c r="B6860" s="264" t="s">
        <v>55</v>
      </c>
      <c r="C6860" s="12">
        <v>0.963813900057438</v>
      </c>
      <c r="D6860" s="265">
        <v>0.972222222222222</v>
      </c>
      <c r="E6860" s="265">
        <v>0.917525773195876</v>
      </c>
      <c r="F6860" s="265">
        <v>0.847058823529412</v>
      </c>
      <c r="G6860" s="265">
        <v>0.866666666666667</v>
      </c>
      <c r="H6860" s="265">
        <v>1.04651162790698</v>
      </c>
      <c r="I6860" s="265">
        <v>0.924050632911392</v>
      </c>
      <c r="J6860" s="265">
        <v>0.976190476190476</v>
      </c>
      <c r="K6860" s="265">
        <v>0.95360824742268</v>
      </c>
      <c r="L6860" s="265">
        <v>1.09411764705882</v>
      </c>
      <c r="M6860" s="265">
        <v>0.93491124260355</v>
      </c>
      <c r="N6860" s="265">
        <v>1.01234567901235</v>
      </c>
      <c r="O6860" s="277">
        <v>0.91578947368421</v>
      </c>
    </row>
    <row r="6861" spans="1:15">
      <c r="A6861" s="266" t="s">
        <v>26</v>
      </c>
      <c r="B6861" s="267" t="s">
        <v>57</v>
      </c>
      <c r="C6861" s="15">
        <v>1741</v>
      </c>
      <c r="D6861" s="268">
        <v>144</v>
      </c>
      <c r="E6861" s="268">
        <v>97</v>
      </c>
      <c r="F6861" s="268">
        <v>85</v>
      </c>
      <c r="G6861" s="268">
        <v>75</v>
      </c>
      <c r="H6861" s="268">
        <v>129</v>
      </c>
      <c r="I6861" s="268">
        <v>158</v>
      </c>
      <c r="J6861" s="268">
        <v>168</v>
      </c>
      <c r="K6861" s="268">
        <v>194</v>
      </c>
      <c r="L6861" s="268">
        <v>170</v>
      </c>
      <c r="M6861" s="268">
        <v>169</v>
      </c>
      <c r="N6861" s="268">
        <v>162</v>
      </c>
      <c r="O6861" s="278">
        <v>190</v>
      </c>
    </row>
    <row r="6862" spans="1:15">
      <c r="A6862" s="263" t="s">
        <v>26</v>
      </c>
      <c r="B6862" s="264" t="s">
        <v>59</v>
      </c>
      <c r="C6862" s="15">
        <v>1678</v>
      </c>
      <c r="D6862" s="268">
        <v>140</v>
      </c>
      <c r="E6862" s="268">
        <v>89</v>
      </c>
      <c r="F6862" s="268">
        <v>72</v>
      </c>
      <c r="G6862" s="268">
        <v>65</v>
      </c>
      <c r="H6862" s="268">
        <v>135</v>
      </c>
      <c r="I6862" s="268">
        <v>146</v>
      </c>
      <c r="J6862" s="268">
        <v>164</v>
      </c>
      <c r="K6862" s="268">
        <v>185</v>
      </c>
      <c r="L6862" s="268">
        <v>186</v>
      </c>
      <c r="M6862" s="268">
        <v>158</v>
      </c>
      <c r="N6862" s="268">
        <v>164</v>
      </c>
      <c r="O6862" s="278">
        <v>174</v>
      </c>
    </row>
    <row r="6863" spans="1:15">
      <c r="A6863" s="266" t="s">
        <v>26</v>
      </c>
      <c r="B6863" s="267" t="s">
        <v>4</v>
      </c>
      <c r="C6863" s="15">
        <v>27</v>
      </c>
      <c r="D6863" s="269">
        <v>2</v>
      </c>
      <c r="E6863" s="269">
        <v>2</v>
      </c>
      <c r="F6863" s="269">
        <v>1</v>
      </c>
      <c r="G6863" s="269">
        <v>0</v>
      </c>
      <c r="H6863" s="269">
        <v>0</v>
      </c>
      <c r="I6863" s="269">
        <v>2</v>
      </c>
      <c r="J6863" s="269">
        <v>5</v>
      </c>
      <c r="K6863" s="269">
        <v>2</v>
      </c>
      <c r="L6863" s="269">
        <v>6</v>
      </c>
      <c r="M6863" s="269">
        <v>3</v>
      </c>
      <c r="N6863" s="269">
        <v>2</v>
      </c>
      <c r="O6863" s="279">
        <v>2</v>
      </c>
    </row>
    <row r="6864" spans="1:15">
      <c r="A6864" s="263" t="s">
        <v>26</v>
      </c>
      <c r="B6864" s="264" t="s">
        <v>5</v>
      </c>
      <c r="C6864" s="12">
        <v>0.0160905840286055</v>
      </c>
      <c r="D6864" s="265">
        <v>0.0142857142857143</v>
      </c>
      <c r="E6864" s="265">
        <v>0.0224719101123595</v>
      </c>
      <c r="F6864" s="265">
        <v>0.0138888888888889</v>
      </c>
      <c r="G6864" s="265">
        <v>0</v>
      </c>
      <c r="H6864" s="265">
        <v>0</v>
      </c>
      <c r="I6864" s="265">
        <v>0.0136986301369863</v>
      </c>
      <c r="J6864" s="265">
        <v>0.0304878048780488</v>
      </c>
      <c r="K6864" s="265">
        <v>0.0108108108108108</v>
      </c>
      <c r="L6864" s="265">
        <v>0.032258064516129</v>
      </c>
      <c r="M6864" s="265">
        <v>0.0189873417721519</v>
      </c>
      <c r="N6864" s="265">
        <v>0.0121951219512195</v>
      </c>
      <c r="O6864" s="277">
        <v>0.0114942528735632</v>
      </c>
    </row>
    <row r="6865" spans="1:15">
      <c r="A6865" s="266" t="s">
        <v>26</v>
      </c>
      <c r="B6865" s="267" t="s">
        <v>6</v>
      </c>
      <c r="C6865" s="15">
        <v>4</v>
      </c>
      <c r="D6865" s="269">
        <v>0</v>
      </c>
      <c r="E6865" s="269">
        <v>1</v>
      </c>
      <c r="F6865" s="269">
        <v>0</v>
      </c>
      <c r="G6865" s="269">
        <v>0</v>
      </c>
      <c r="H6865" s="269">
        <v>0</v>
      </c>
      <c r="I6865" s="269">
        <v>0</v>
      </c>
      <c r="J6865" s="269">
        <v>1</v>
      </c>
      <c r="K6865" s="269">
        <v>0</v>
      </c>
      <c r="L6865" s="269">
        <v>1</v>
      </c>
      <c r="M6865" s="269">
        <v>1</v>
      </c>
      <c r="N6865" s="269">
        <v>0</v>
      </c>
      <c r="O6865" s="279">
        <v>0</v>
      </c>
    </row>
    <row r="6866" ht="14.25" spans="1:15">
      <c r="A6866" s="270" t="s">
        <v>26</v>
      </c>
      <c r="B6866" s="271" t="s">
        <v>64</v>
      </c>
      <c r="C6866" s="19">
        <v>0.148148148148148</v>
      </c>
      <c r="D6866" s="19">
        <v>0</v>
      </c>
      <c r="E6866" s="19">
        <v>0.5</v>
      </c>
      <c r="F6866" s="19">
        <v>0</v>
      </c>
      <c r="G6866" s="19" t="e">
        <v>#DIV/0!</v>
      </c>
      <c r="H6866" s="19" t="e">
        <v>#DIV/0!</v>
      </c>
      <c r="I6866" s="19">
        <v>0</v>
      </c>
      <c r="J6866" s="19">
        <v>0.2</v>
      </c>
      <c r="K6866" s="19">
        <v>0</v>
      </c>
      <c r="L6866" s="19">
        <v>0.166666666666667</v>
      </c>
      <c r="M6866" s="19">
        <v>0.333333333333333</v>
      </c>
      <c r="N6866" s="19">
        <v>0</v>
      </c>
      <c r="O6866" s="19">
        <v>0</v>
      </c>
    </row>
    <row r="6867" spans="1:15">
      <c r="A6867" s="263" t="s">
        <v>71</v>
      </c>
      <c r="B6867" s="264" t="s">
        <v>55</v>
      </c>
      <c r="C6867" s="12">
        <v>0.352</v>
      </c>
      <c r="D6867" s="265">
        <v>0.405405405405405</v>
      </c>
      <c r="E6867" s="265">
        <v>0.333333333333333</v>
      </c>
      <c r="F6867" s="265">
        <v>0.263157894736842</v>
      </c>
      <c r="G6867" s="265">
        <v>0.263157894736842</v>
      </c>
      <c r="H6867" s="265">
        <v>0.482758620689655</v>
      </c>
      <c r="I6867" s="265">
        <v>0.416666666666667</v>
      </c>
      <c r="J6867" s="265">
        <v>0.44</v>
      </c>
      <c r="K6867" s="265">
        <v>0.393939393939394</v>
      </c>
      <c r="L6867" s="265">
        <v>0.428571428571429</v>
      </c>
      <c r="M6867" s="265">
        <v>0.21875</v>
      </c>
      <c r="N6867" s="265">
        <v>0.228070175438596</v>
      </c>
      <c r="O6867" s="277">
        <v>0.404761904761905</v>
      </c>
    </row>
    <row r="6868" spans="1:15">
      <c r="A6868" s="266" t="s">
        <v>71</v>
      </c>
      <c r="B6868" s="267" t="s">
        <v>57</v>
      </c>
      <c r="C6868" s="15">
        <v>375</v>
      </c>
      <c r="D6868" s="268">
        <v>37</v>
      </c>
      <c r="E6868" s="268">
        <v>30</v>
      </c>
      <c r="F6868" s="268">
        <v>19</v>
      </c>
      <c r="G6868" s="268">
        <v>19</v>
      </c>
      <c r="H6868" s="268">
        <v>29</v>
      </c>
      <c r="I6868" s="268">
        <v>24</v>
      </c>
      <c r="J6868" s="268">
        <v>25</v>
      </c>
      <c r="K6868" s="268">
        <v>33</v>
      </c>
      <c r="L6868" s="268">
        <v>28</v>
      </c>
      <c r="M6868" s="268">
        <v>32</v>
      </c>
      <c r="N6868" s="268">
        <v>57</v>
      </c>
      <c r="O6868" s="278">
        <v>42</v>
      </c>
    </row>
    <row r="6869" spans="1:15">
      <c r="A6869" s="263" t="s">
        <v>71</v>
      </c>
      <c r="B6869" s="264" t="s">
        <v>59</v>
      </c>
      <c r="C6869" s="15">
        <v>132</v>
      </c>
      <c r="D6869" s="268">
        <v>15</v>
      </c>
      <c r="E6869" s="268">
        <v>10</v>
      </c>
      <c r="F6869" s="268">
        <v>5</v>
      </c>
      <c r="G6869" s="268">
        <v>5</v>
      </c>
      <c r="H6869" s="268">
        <v>14</v>
      </c>
      <c r="I6869" s="268">
        <v>10</v>
      </c>
      <c r="J6869" s="268">
        <v>11</v>
      </c>
      <c r="K6869" s="268">
        <v>13</v>
      </c>
      <c r="L6869" s="268">
        <v>12</v>
      </c>
      <c r="M6869" s="268">
        <v>7</v>
      </c>
      <c r="N6869" s="268">
        <v>13</v>
      </c>
      <c r="O6869" s="278">
        <v>17</v>
      </c>
    </row>
    <row r="6870" spans="1:15">
      <c r="A6870" s="266" t="s">
        <v>71</v>
      </c>
      <c r="B6870" s="267" t="s">
        <v>4</v>
      </c>
      <c r="C6870" s="15">
        <v>23</v>
      </c>
      <c r="D6870" s="269">
        <v>3</v>
      </c>
      <c r="E6870" s="269">
        <v>0</v>
      </c>
      <c r="F6870" s="269">
        <v>2</v>
      </c>
      <c r="G6870" s="269">
        <v>0</v>
      </c>
      <c r="H6870" s="269">
        <v>1</v>
      </c>
      <c r="I6870" s="269">
        <v>2</v>
      </c>
      <c r="J6870" s="269">
        <v>0</v>
      </c>
      <c r="K6870" s="269">
        <v>4</v>
      </c>
      <c r="L6870" s="269">
        <v>2</v>
      </c>
      <c r="M6870" s="269">
        <v>0</v>
      </c>
      <c r="N6870" s="269">
        <v>2</v>
      </c>
      <c r="O6870" s="279">
        <v>7</v>
      </c>
    </row>
    <row r="6871" spans="1:15">
      <c r="A6871" s="263" t="s">
        <v>71</v>
      </c>
      <c r="B6871" s="264" t="s">
        <v>5</v>
      </c>
      <c r="C6871" s="265">
        <v>0.174242424242424</v>
      </c>
      <c r="D6871" s="265">
        <v>0.2</v>
      </c>
      <c r="E6871" s="265">
        <v>0</v>
      </c>
      <c r="F6871" s="265">
        <v>0.4</v>
      </c>
      <c r="G6871" s="265">
        <v>0</v>
      </c>
      <c r="H6871" s="265">
        <v>0.0714285714285714</v>
      </c>
      <c r="I6871" s="265">
        <v>0.2</v>
      </c>
      <c r="J6871" s="265">
        <v>0</v>
      </c>
      <c r="K6871" s="265">
        <v>0.307692307692308</v>
      </c>
      <c r="L6871" s="265">
        <v>0.166666666666667</v>
      </c>
      <c r="M6871" s="265">
        <v>0</v>
      </c>
      <c r="N6871" s="265">
        <v>0.153846153846154</v>
      </c>
      <c r="O6871" s="277">
        <v>0.411764705882353</v>
      </c>
    </row>
    <row r="6872" spans="1:15">
      <c r="A6872" s="266" t="s">
        <v>71</v>
      </c>
      <c r="B6872" s="267" t="s">
        <v>6</v>
      </c>
      <c r="C6872" s="15">
        <v>3</v>
      </c>
      <c r="D6872" s="269">
        <v>0</v>
      </c>
      <c r="E6872" s="269">
        <v>0</v>
      </c>
      <c r="F6872" s="269">
        <v>0</v>
      </c>
      <c r="G6872" s="269">
        <v>0</v>
      </c>
      <c r="H6872" s="269">
        <v>0</v>
      </c>
      <c r="I6872" s="269">
        <v>0</v>
      </c>
      <c r="J6872" s="269">
        <v>0</v>
      </c>
      <c r="K6872" s="269">
        <v>2</v>
      </c>
      <c r="L6872" s="269">
        <v>0</v>
      </c>
      <c r="M6872" s="269">
        <v>0</v>
      </c>
      <c r="N6872" s="269">
        <v>0</v>
      </c>
      <c r="O6872" s="279">
        <v>1</v>
      </c>
    </row>
    <row r="6873" ht="14.25" spans="1:15">
      <c r="A6873" s="270" t="s">
        <v>71</v>
      </c>
      <c r="B6873" s="271" t="s">
        <v>64</v>
      </c>
      <c r="C6873" s="19">
        <v>0.130434782608696</v>
      </c>
      <c r="D6873" s="19">
        <v>0</v>
      </c>
      <c r="E6873" s="19" t="e">
        <v>#DIV/0!</v>
      </c>
      <c r="F6873" s="19">
        <v>0</v>
      </c>
      <c r="G6873" s="19" t="e">
        <v>#DIV/0!</v>
      </c>
      <c r="H6873" s="19">
        <v>0</v>
      </c>
      <c r="I6873" s="19">
        <v>0</v>
      </c>
      <c r="J6873" s="19" t="e">
        <v>#DIV/0!</v>
      </c>
      <c r="K6873" s="19">
        <v>0.5</v>
      </c>
      <c r="L6873" s="19">
        <v>0</v>
      </c>
      <c r="M6873" s="19" t="e">
        <v>#DIV/0!</v>
      </c>
      <c r="N6873" s="19">
        <v>0</v>
      </c>
      <c r="O6873" s="19">
        <v>0.142857142857143</v>
      </c>
    </row>
    <row r="6874" spans="1:15">
      <c r="A6874" s="263" t="s">
        <v>72</v>
      </c>
      <c r="B6874" s="264" t="s">
        <v>55</v>
      </c>
      <c r="C6874" s="12">
        <v>0.0389412617839014</v>
      </c>
      <c r="D6874" s="265">
        <v>0.0696576151121606</v>
      </c>
      <c r="E6874" s="265">
        <v>0.0473372781065089</v>
      </c>
      <c r="F6874" s="265">
        <v>0.0703517587939698</v>
      </c>
      <c r="G6874" s="265">
        <v>0.0395256916996047</v>
      </c>
      <c r="H6874" s="265">
        <v>0.0255885363357216</v>
      </c>
      <c r="I6874" s="265">
        <v>0.0266457680250784</v>
      </c>
      <c r="J6874" s="265">
        <v>0.0307797537619699</v>
      </c>
      <c r="K6874" s="265">
        <v>0.0369595536959554</v>
      </c>
      <c r="L6874" s="265">
        <v>0.038056206088993</v>
      </c>
      <c r="M6874" s="265">
        <v>0.0344379467186485</v>
      </c>
      <c r="N6874" s="265">
        <v>0.0412735849056604</v>
      </c>
      <c r="O6874" s="277">
        <v>0.0459070796460177</v>
      </c>
    </row>
    <row r="6875" spans="1:15">
      <c r="A6875" s="266" t="s">
        <v>72</v>
      </c>
      <c r="B6875" s="267" t="s">
        <v>57</v>
      </c>
      <c r="C6875" s="15">
        <v>13790</v>
      </c>
      <c r="D6875" s="268">
        <v>847</v>
      </c>
      <c r="E6875" s="268">
        <v>338</v>
      </c>
      <c r="F6875" s="268">
        <v>199</v>
      </c>
      <c r="G6875" s="268">
        <v>506</v>
      </c>
      <c r="H6875" s="268">
        <v>977</v>
      </c>
      <c r="I6875" s="268">
        <v>1276</v>
      </c>
      <c r="J6875" s="268">
        <v>1462</v>
      </c>
      <c r="K6875" s="268">
        <v>1434</v>
      </c>
      <c r="L6875" s="268">
        <v>1708</v>
      </c>
      <c r="M6875" s="268">
        <v>1539</v>
      </c>
      <c r="N6875" s="268">
        <v>1696</v>
      </c>
      <c r="O6875" s="278">
        <v>1808</v>
      </c>
    </row>
    <row r="6876" spans="1:15">
      <c r="A6876" s="263" t="s">
        <v>72</v>
      </c>
      <c r="B6876" s="264" t="s">
        <v>59</v>
      </c>
      <c r="C6876" s="15">
        <v>537</v>
      </c>
      <c r="D6876" s="268">
        <v>59</v>
      </c>
      <c r="E6876" s="268">
        <v>16</v>
      </c>
      <c r="F6876" s="268">
        <v>14</v>
      </c>
      <c r="G6876" s="268">
        <v>20</v>
      </c>
      <c r="H6876" s="268">
        <v>25</v>
      </c>
      <c r="I6876" s="268">
        <v>34</v>
      </c>
      <c r="J6876" s="268">
        <v>45</v>
      </c>
      <c r="K6876" s="268">
        <v>53</v>
      </c>
      <c r="L6876" s="268">
        <v>65</v>
      </c>
      <c r="M6876" s="268">
        <v>53</v>
      </c>
      <c r="N6876" s="268">
        <v>70</v>
      </c>
      <c r="O6876" s="278">
        <v>83</v>
      </c>
    </row>
    <row r="6877" spans="1:15">
      <c r="A6877" s="266" t="s">
        <v>72</v>
      </c>
      <c r="B6877" s="267" t="s">
        <v>4</v>
      </c>
      <c r="C6877" s="15">
        <v>38</v>
      </c>
      <c r="D6877" s="269">
        <v>4</v>
      </c>
      <c r="E6877" s="269">
        <v>3</v>
      </c>
      <c r="F6877" s="269">
        <v>2</v>
      </c>
      <c r="G6877" s="269">
        <v>0</v>
      </c>
      <c r="H6877" s="269">
        <v>0</v>
      </c>
      <c r="I6877" s="269">
        <v>3</v>
      </c>
      <c r="J6877" s="269">
        <v>1</v>
      </c>
      <c r="K6877" s="269">
        <v>2</v>
      </c>
      <c r="L6877" s="269">
        <v>5</v>
      </c>
      <c r="M6877" s="269">
        <v>5</v>
      </c>
      <c r="N6877" s="269">
        <v>5</v>
      </c>
      <c r="O6877" s="279">
        <v>8</v>
      </c>
    </row>
    <row r="6878" spans="1:15">
      <c r="A6878" s="263" t="s">
        <v>72</v>
      </c>
      <c r="B6878" s="264" t="s">
        <v>5</v>
      </c>
      <c r="C6878" s="12">
        <v>0.0707635009310987</v>
      </c>
      <c r="D6878" s="265">
        <v>0.0677966101694915</v>
      </c>
      <c r="E6878" s="265">
        <v>0.1875</v>
      </c>
      <c r="F6878" s="265">
        <v>0.142857142857143</v>
      </c>
      <c r="G6878" s="265">
        <v>0</v>
      </c>
      <c r="H6878" s="265">
        <v>0</v>
      </c>
      <c r="I6878" s="265">
        <v>0.0882352941176471</v>
      </c>
      <c r="J6878" s="265">
        <v>0.0222222222222222</v>
      </c>
      <c r="K6878" s="265">
        <v>0.0377358490566038</v>
      </c>
      <c r="L6878" s="265">
        <v>0.0769230769230769</v>
      </c>
      <c r="M6878" s="265">
        <v>0.0943396226415094</v>
      </c>
      <c r="N6878" s="265">
        <v>0.0714285714285714</v>
      </c>
      <c r="O6878" s="277">
        <v>0.0963855421686747</v>
      </c>
    </row>
    <row r="6879" spans="1:15">
      <c r="A6879" s="266" t="s">
        <v>72</v>
      </c>
      <c r="B6879" s="267" t="s">
        <v>6</v>
      </c>
      <c r="C6879" s="15">
        <v>5</v>
      </c>
      <c r="D6879" s="269">
        <v>1</v>
      </c>
      <c r="E6879" s="269">
        <v>0</v>
      </c>
      <c r="F6879" s="269">
        <v>0</v>
      </c>
      <c r="G6879" s="269">
        <v>0</v>
      </c>
      <c r="H6879" s="269">
        <v>0</v>
      </c>
      <c r="I6879" s="269">
        <v>1</v>
      </c>
      <c r="J6879" s="269">
        <v>0</v>
      </c>
      <c r="K6879" s="269">
        <v>0</v>
      </c>
      <c r="L6879" s="269">
        <v>0</v>
      </c>
      <c r="M6879" s="269">
        <v>1</v>
      </c>
      <c r="N6879" s="269">
        <v>2</v>
      </c>
      <c r="O6879" s="279">
        <v>0</v>
      </c>
    </row>
    <row r="6880" ht="14.25" spans="1:15">
      <c r="A6880" s="270" t="s">
        <v>72</v>
      </c>
      <c r="B6880" s="271" t="s">
        <v>64</v>
      </c>
      <c r="C6880" s="19">
        <v>0.131578947368421</v>
      </c>
      <c r="D6880" s="19">
        <v>0.25</v>
      </c>
      <c r="E6880" s="19">
        <v>0</v>
      </c>
      <c r="F6880" s="19">
        <v>0</v>
      </c>
      <c r="G6880" s="19" t="e">
        <v>#DIV/0!</v>
      </c>
      <c r="H6880" s="19" t="e">
        <v>#DIV/0!</v>
      </c>
      <c r="I6880" s="19">
        <v>0.333333333333333</v>
      </c>
      <c r="J6880" s="19">
        <v>0</v>
      </c>
      <c r="K6880" s="19">
        <v>0</v>
      </c>
      <c r="L6880" s="19">
        <v>0</v>
      </c>
      <c r="M6880" s="19">
        <v>0.2</v>
      </c>
      <c r="N6880" s="19">
        <v>0.4</v>
      </c>
      <c r="O6880" s="19">
        <v>0</v>
      </c>
    </row>
    <row r="6881" ht="14.25" spans="1:15">
      <c r="A6881" s="259">
        <v>45125</v>
      </c>
      <c r="B6881" s="259"/>
      <c r="C6881" s="259"/>
      <c r="D6881" s="259"/>
      <c r="E6881" s="259"/>
      <c r="F6881" s="259"/>
      <c r="G6881" s="259"/>
      <c r="H6881" s="259"/>
      <c r="I6881" s="259"/>
      <c r="J6881" s="259"/>
      <c r="K6881" s="259"/>
      <c r="L6881" s="259"/>
      <c r="M6881" s="259"/>
      <c r="N6881" s="259"/>
      <c r="O6881" s="259"/>
    </row>
    <row r="6882" spans="1:15">
      <c r="A6882" s="260" t="s">
        <v>1</v>
      </c>
      <c r="B6882" s="261"/>
      <c r="C6882" s="8" t="s">
        <v>42</v>
      </c>
      <c r="D6882" s="262" t="s">
        <v>43</v>
      </c>
      <c r="E6882" s="262" t="s">
        <v>44</v>
      </c>
      <c r="F6882" s="262" t="s">
        <v>45</v>
      </c>
      <c r="G6882" s="262" t="s">
        <v>46</v>
      </c>
      <c r="H6882" s="262" t="s">
        <v>47</v>
      </c>
      <c r="I6882" s="262" t="s">
        <v>48</v>
      </c>
      <c r="J6882" s="262" t="s">
        <v>49</v>
      </c>
      <c r="K6882" s="262" t="s">
        <v>50</v>
      </c>
      <c r="L6882" s="262" t="s">
        <v>51</v>
      </c>
      <c r="M6882" s="262" t="s">
        <v>52</v>
      </c>
      <c r="N6882" s="262" t="s">
        <v>53</v>
      </c>
      <c r="O6882" s="276" t="s">
        <v>54</v>
      </c>
    </row>
    <row r="6883" spans="1:15">
      <c r="A6883" s="263" t="s">
        <v>22</v>
      </c>
      <c r="B6883" s="264" t="s">
        <v>55</v>
      </c>
      <c r="C6883" s="12">
        <v>0.385504201680672</v>
      </c>
      <c r="D6883" s="265">
        <v>0.474178403755869</v>
      </c>
      <c r="E6883" s="265">
        <v>0.411764705882353</v>
      </c>
      <c r="F6883" s="265">
        <v>0.580645161290323</v>
      </c>
      <c r="G6883" s="265">
        <v>0.546666666666667</v>
      </c>
      <c r="H6883" s="265">
        <v>0.4140625</v>
      </c>
      <c r="I6883" s="265">
        <v>0.353658536585366</v>
      </c>
      <c r="J6883" s="265">
        <v>0.422885572139304</v>
      </c>
      <c r="K6883" s="265">
        <v>0.246753246753247</v>
      </c>
      <c r="L6883" s="265">
        <v>0.345454545454545</v>
      </c>
      <c r="M6883" s="265">
        <v>0.361111111111111</v>
      </c>
      <c r="N6883" s="265">
        <v>0.344262295081967</v>
      </c>
      <c r="O6883" s="277">
        <v>0.374429223744292</v>
      </c>
    </row>
    <row r="6884" spans="1:15">
      <c r="A6884" s="266" t="s">
        <v>22</v>
      </c>
      <c r="B6884" s="267" t="s">
        <v>57</v>
      </c>
      <c r="C6884" s="15">
        <v>1904</v>
      </c>
      <c r="D6884" s="268">
        <v>213</v>
      </c>
      <c r="E6884" s="268">
        <v>119</v>
      </c>
      <c r="F6884" s="268">
        <v>62</v>
      </c>
      <c r="G6884" s="268">
        <v>75</v>
      </c>
      <c r="H6884" s="268">
        <v>128</v>
      </c>
      <c r="I6884" s="268">
        <v>164</v>
      </c>
      <c r="J6884" s="268">
        <v>201</v>
      </c>
      <c r="K6884" s="268">
        <v>231</v>
      </c>
      <c r="L6884" s="268">
        <v>165</v>
      </c>
      <c r="M6884" s="268">
        <v>144</v>
      </c>
      <c r="N6884" s="268">
        <v>183</v>
      </c>
      <c r="O6884" s="278">
        <v>219</v>
      </c>
    </row>
    <row r="6885" spans="1:15">
      <c r="A6885" s="263" t="s">
        <v>22</v>
      </c>
      <c r="B6885" s="264" t="s">
        <v>59</v>
      </c>
      <c r="C6885" s="15">
        <v>734</v>
      </c>
      <c r="D6885" s="268">
        <v>101</v>
      </c>
      <c r="E6885" s="268">
        <v>49</v>
      </c>
      <c r="F6885" s="268">
        <v>36</v>
      </c>
      <c r="G6885" s="268">
        <v>41</v>
      </c>
      <c r="H6885" s="268">
        <v>53</v>
      </c>
      <c r="I6885" s="268">
        <v>58</v>
      </c>
      <c r="J6885" s="268">
        <v>85</v>
      </c>
      <c r="K6885" s="268">
        <v>57</v>
      </c>
      <c r="L6885" s="268">
        <v>57</v>
      </c>
      <c r="M6885" s="268">
        <v>52</v>
      </c>
      <c r="N6885" s="268">
        <v>63</v>
      </c>
      <c r="O6885" s="278">
        <v>82</v>
      </c>
    </row>
    <row r="6886" spans="1:15">
      <c r="A6886" s="266" t="s">
        <v>22</v>
      </c>
      <c r="B6886" s="267" t="s">
        <v>4</v>
      </c>
      <c r="C6886" s="15">
        <v>24</v>
      </c>
      <c r="D6886" s="269">
        <v>3</v>
      </c>
      <c r="E6886" s="269">
        <v>3</v>
      </c>
      <c r="F6886" s="269">
        <v>0</v>
      </c>
      <c r="G6886" s="269">
        <v>0</v>
      </c>
      <c r="H6886" s="269">
        <v>3</v>
      </c>
      <c r="I6886" s="269">
        <v>0</v>
      </c>
      <c r="J6886" s="269">
        <v>0</v>
      </c>
      <c r="K6886" s="269">
        <v>2</v>
      </c>
      <c r="L6886" s="269">
        <v>2</v>
      </c>
      <c r="M6886" s="269">
        <v>2</v>
      </c>
      <c r="N6886" s="269">
        <v>4</v>
      </c>
      <c r="O6886" s="279">
        <v>5</v>
      </c>
    </row>
    <row r="6887" spans="1:15">
      <c r="A6887" s="263" t="s">
        <v>22</v>
      </c>
      <c r="B6887" s="264" t="s">
        <v>5</v>
      </c>
      <c r="C6887" s="12">
        <v>0.0326975476839237</v>
      </c>
      <c r="D6887" s="265">
        <v>0.0297029702970297</v>
      </c>
      <c r="E6887" s="265">
        <v>0.0612244897959184</v>
      </c>
      <c r="F6887" s="265">
        <v>0</v>
      </c>
      <c r="G6887" s="265">
        <v>0</v>
      </c>
      <c r="H6887" s="265">
        <v>0.0566037735849057</v>
      </c>
      <c r="I6887" s="265">
        <v>0</v>
      </c>
      <c r="J6887" s="265">
        <v>0</v>
      </c>
      <c r="K6887" s="265">
        <v>0.0350877192982456</v>
      </c>
      <c r="L6887" s="265">
        <v>0.0350877192982456</v>
      </c>
      <c r="M6887" s="265">
        <v>0.0384615384615385</v>
      </c>
      <c r="N6887" s="265">
        <v>0.0634920634920635</v>
      </c>
      <c r="O6887" s="277">
        <v>0.0609756097560976</v>
      </c>
    </row>
    <row r="6888" spans="1:15">
      <c r="A6888" s="266" t="s">
        <v>22</v>
      </c>
      <c r="B6888" s="267" t="s">
        <v>6</v>
      </c>
      <c r="C6888" s="15">
        <v>10</v>
      </c>
      <c r="D6888" s="269">
        <v>4</v>
      </c>
      <c r="E6888" s="269">
        <v>1</v>
      </c>
      <c r="F6888" s="269">
        <v>0</v>
      </c>
      <c r="G6888" s="269">
        <v>0</v>
      </c>
      <c r="H6888" s="269">
        <v>0</v>
      </c>
      <c r="I6888" s="269">
        <v>0</v>
      </c>
      <c r="J6888" s="269">
        <v>0</v>
      </c>
      <c r="K6888" s="269">
        <v>1</v>
      </c>
      <c r="L6888" s="269">
        <v>1</v>
      </c>
      <c r="M6888" s="269">
        <v>0</v>
      </c>
      <c r="N6888" s="269">
        <v>2</v>
      </c>
      <c r="O6888" s="279">
        <v>1</v>
      </c>
    </row>
    <row r="6889" ht="14.25" spans="1:15">
      <c r="A6889" s="270" t="s">
        <v>22</v>
      </c>
      <c r="B6889" s="271" t="s">
        <v>64</v>
      </c>
      <c r="C6889" s="19">
        <v>0.416666666666667</v>
      </c>
      <c r="D6889" s="272">
        <v>1.33333333333333</v>
      </c>
      <c r="E6889" s="272">
        <v>0.333333333333333</v>
      </c>
      <c r="F6889" s="272">
        <v>0</v>
      </c>
      <c r="G6889" s="272">
        <v>0</v>
      </c>
      <c r="H6889" s="272">
        <v>0</v>
      </c>
      <c r="I6889" s="272">
        <v>0</v>
      </c>
      <c r="J6889" s="272">
        <v>0</v>
      </c>
      <c r="K6889" s="272">
        <v>0.5</v>
      </c>
      <c r="L6889" s="272">
        <v>0.5</v>
      </c>
      <c r="M6889" s="272">
        <v>0</v>
      </c>
      <c r="N6889" s="272">
        <v>0.5</v>
      </c>
      <c r="O6889" s="280">
        <v>0.2</v>
      </c>
    </row>
    <row r="6890" spans="1:15">
      <c r="A6890" s="273" t="s">
        <v>66</v>
      </c>
      <c r="B6890" s="274" t="s">
        <v>55</v>
      </c>
      <c r="C6890" s="12">
        <v>0.145390070921986</v>
      </c>
      <c r="D6890" s="275">
        <v>0.190751445086705</v>
      </c>
      <c r="E6890" s="275">
        <v>0.1375</v>
      </c>
      <c r="F6890" s="275">
        <v>0.0909090909090909</v>
      </c>
      <c r="G6890" s="275">
        <v>0.0944444444444444</v>
      </c>
      <c r="H6890" s="275">
        <v>0.108695652173913</v>
      </c>
      <c r="I6890" s="275">
        <v>0.160642570281124</v>
      </c>
      <c r="J6890" s="275">
        <v>0.175925925925926</v>
      </c>
      <c r="K6890" s="275">
        <v>0.118367346938776</v>
      </c>
      <c r="L6890" s="275">
        <v>0.141630901287554</v>
      </c>
      <c r="M6890" s="275">
        <v>0.169082125603865</v>
      </c>
      <c r="N6890" s="275">
        <v>0.154761904761905</v>
      </c>
      <c r="O6890" s="281">
        <v>0.176245210727969</v>
      </c>
    </row>
    <row r="6891" spans="1:15">
      <c r="A6891" s="266" t="s">
        <v>66</v>
      </c>
      <c r="B6891" s="267" t="s">
        <v>57</v>
      </c>
      <c r="C6891" s="15">
        <v>2538</v>
      </c>
      <c r="D6891" s="268">
        <v>173</v>
      </c>
      <c r="E6891" s="268">
        <v>160</v>
      </c>
      <c r="F6891" s="268">
        <v>132</v>
      </c>
      <c r="G6891" s="268">
        <v>180</v>
      </c>
      <c r="H6891" s="268">
        <v>230</v>
      </c>
      <c r="I6891" s="268">
        <v>249</v>
      </c>
      <c r="J6891" s="268">
        <v>216</v>
      </c>
      <c r="K6891" s="268">
        <v>245</v>
      </c>
      <c r="L6891" s="268">
        <v>233</v>
      </c>
      <c r="M6891" s="268">
        <v>207</v>
      </c>
      <c r="N6891" s="268">
        <v>252</v>
      </c>
      <c r="O6891" s="278">
        <v>261</v>
      </c>
    </row>
    <row r="6892" spans="1:15">
      <c r="A6892" s="263" t="s">
        <v>66</v>
      </c>
      <c r="B6892" s="264" t="s">
        <v>59</v>
      </c>
      <c r="C6892" s="15">
        <v>369</v>
      </c>
      <c r="D6892" s="268">
        <v>33</v>
      </c>
      <c r="E6892" s="268">
        <v>22</v>
      </c>
      <c r="F6892" s="268">
        <v>12</v>
      </c>
      <c r="G6892" s="268">
        <v>17</v>
      </c>
      <c r="H6892" s="268">
        <v>25</v>
      </c>
      <c r="I6892" s="268">
        <v>40</v>
      </c>
      <c r="J6892" s="268">
        <v>38</v>
      </c>
      <c r="K6892" s="268">
        <v>29</v>
      </c>
      <c r="L6892" s="268">
        <v>33</v>
      </c>
      <c r="M6892" s="268">
        <v>35</v>
      </c>
      <c r="N6892" s="268">
        <v>39</v>
      </c>
      <c r="O6892" s="278">
        <v>46</v>
      </c>
    </row>
    <row r="6893" spans="1:15">
      <c r="A6893" s="266" t="s">
        <v>66</v>
      </c>
      <c r="B6893" s="267" t="s">
        <v>4</v>
      </c>
      <c r="C6893" s="15">
        <v>12</v>
      </c>
      <c r="D6893" s="269">
        <v>0</v>
      </c>
      <c r="E6893" s="269">
        <v>1</v>
      </c>
      <c r="F6893" s="269">
        <v>0</v>
      </c>
      <c r="G6893" s="269">
        <v>0</v>
      </c>
      <c r="H6893" s="269">
        <v>1</v>
      </c>
      <c r="I6893" s="269">
        <v>3</v>
      </c>
      <c r="J6893" s="269">
        <v>1</v>
      </c>
      <c r="K6893" s="269">
        <v>0</v>
      </c>
      <c r="L6893" s="269">
        <v>0</v>
      </c>
      <c r="M6893" s="269">
        <v>1</v>
      </c>
      <c r="N6893" s="269">
        <v>0</v>
      </c>
      <c r="O6893" s="279">
        <v>5</v>
      </c>
    </row>
    <row r="6894" spans="1:15">
      <c r="A6894" s="263" t="s">
        <v>66</v>
      </c>
      <c r="B6894" s="264" t="s">
        <v>5</v>
      </c>
      <c r="C6894" s="12">
        <v>0.032520325203252</v>
      </c>
      <c r="D6894" s="265">
        <v>0</v>
      </c>
      <c r="E6894" s="265">
        <v>0.0454545454545455</v>
      </c>
      <c r="F6894" s="265">
        <v>0</v>
      </c>
      <c r="G6894" s="265">
        <v>0</v>
      </c>
      <c r="H6894" s="265">
        <v>0.04</v>
      </c>
      <c r="I6894" s="265">
        <v>0.075</v>
      </c>
      <c r="J6894" s="265">
        <v>0.0263157894736842</v>
      </c>
      <c r="K6894" s="265">
        <v>0</v>
      </c>
      <c r="L6894" s="265">
        <v>0</v>
      </c>
      <c r="M6894" s="265">
        <v>0.0285714285714286</v>
      </c>
      <c r="N6894" s="265">
        <v>0</v>
      </c>
      <c r="O6894" s="277">
        <v>0.108695652173913</v>
      </c>
    </row>
    <row r="6895" spans="1:15">
      <c r="A6895" s="266" t="s">
        <v>66</v>
      </c>
      <c r="B6895" s="267" t="s">
        <v>6</v>
      </c>
      <c r="C6895" s="15">
        <v>3</v>
      </c>
      <c r="D6895" s="269">
        <v>0</v>
      </c>
      <c r="E6895" s="269">
        <v>0</v>
      </c>
      <c r="F6895" s="269">
        <v>0</v>
      </c>
      <c r="G6895" s="269">
        <v>0</v>
      </c>
      <c r="H6895" s="269">
        <v>0</v>
      </c>
      <c r="I6895" s="269">
        <v>1</v>
      </c>
      <c r="J6895" s="269">
        <v>0</v>
      </c>
      <c r="K6895" s="269">
        <v>1</v>
      </c>
      <c r="L6895" s="269">
        <v>0</v>
      </c>
      <c r="M6895" s="269">
        <v>1</v>
      </c>
      <c r="N6895" s="269">
        <v>0</v>
      </c>
      <c r="O6895" s="279">
        <v>0</v>
      </c>
    </row>
    <row r="6896" ht="14.25" spans="1:15">
      <c r="A6896" s="270" t="s">
        <v>66</v>
      </c>
      <c r="B6896" s="271" t="s">
        <v>64</v>
      </c>
      <c r="C6896" s="19">
        <v>0.25</v>
      </c>
      <c r="D6896" s="272">
        <v>0</v>
      </c>
      <c r="E6896" s="272">
        <v>0</v>
      </c>
      <c r="F6896" s="272">
        <v>0</v>
      </c>
      <c r="G6896" s="272">
        <v>0</v>
      </c>
      <c r="H6896" s="272">
        <v>0</v>
      </c>
      <c r="I6896" s="272">
        <v>0.333333333333333</v>
      </c>
      <c r="J6896" s="272">
        <v>0</v>
      </c>
      <c r="K6896" s="272">
        <v>0</v>
      </c>
      <c r="L6896" s="272">
        <v>0</v>
      </c>
      <c r="M6896" s="272">
        <v>1</v>
      </c>
      <c r="N6896" s="272">
        <v>0</v>
      </c>
      <c r="O6896" s="280">
        <v>0</v>
      </c>
    </row>
    <row r="6897" spans="1:15">
      <c r="A6897" s="263" t="s">
        <v>67</v>
      </c>
      <c r="B6897" s="264" t="s">
        <v>55</v>
      </c>
      <c r="C6897" s="12">
        <v>0.51150895140665</v>
      </c>
      <c r="D6897" s="265">
        <v>0.740740740740741</v>
      </c>
      <c r="E6897" s="265">
        <v>0.386363636363636</v>
      </c>
      <c r="F6897" s="265">
        <v>0.407407407407407</v>
      </c>
      <c r="G6897" s="265">
        <v>0.580645161290323</v>
      </c>
      <c r="H6897" s="265">
        <v>0.622641509433962</v>
      </c>
      <c r="I6897" s="265">
        <v>0.432098765432099</v>
      </c>
      <c r="J6897" s="265">
        <v>0.483333333333333</v>
      </c>
      <c r="K6897" s="265">
        <v>0.470588235294118</v>
      </c>
      <c r="L6897" s="265">
        <v>0.494252873563218</v>
      </c>
      <c r="M6897" s="265">
        <v>0.536842105263158</v>
      </c>
      <c r="N6897" s="265">
        <v>0.565217391304348</v>
      </c>
      <c r="O6897" s="277">
        <v>0.433333333333333</v>
      </c>
    </row>
    <row r="6898" spans="1:15">
      <c r="A6898" s="266" t="s">
        <v>67</v>
      </c>
      <c r="B6898" s="267" t="s">
        <v>57</v>
      </c>
      <c r="C6898" s="15">
        <v>782</v>
      </c>
      <c r="D6898" s="268">
        <v>54</v>
      </c>
      <c r="E6898" s="268">
        <v>44</v>
      </c>
      <c r="F6898" s="268">
        <v>27</v>
      </c>
      <c r="G6898" s="268">
        <v>31</v>
      </c>
      <c r="H6898" s="268">
        <v>53</v>
      </c>
      <c r="I6898" s="268">
        <v>81</v>
      </c>
      <c r="J6898" s="268">
        <v>60</v>
      </c>
      <c r="K6898" s="268">
        <v>68</v>
      </c>
      <c r="L6898" s="268">
        <v>87</v>
      </c>
      <c r="M6898" s="268">
        <v>95</v>
      </c>
      <c r="N6898" s="268">
        <v>92</v>
      </c>
      <c r="O6898" s="278">
        <v>90</v>
      </c>
    </row>
    <row r="6899" spans="1:15">
      <c r="A6899" s="263" t="s">
        <v>67</v>
      </c>
      <c r="B6899" s="264" t="s">
        <v>59</v>
      </c>
      <c r="C6899" s="15">
        <v>400</v>
      </c>
      <c r="D6899" s="268">
        <v>40</v>
      </c>
      <c r="E6899" s="268">
        <v>17</v>
      </c>
      <c r="F6899" s="268">
        <v>11</v>
      </c>
      <c r="G6899" s="268">
        <v>18</v>
      </c>
      <c r="H6899" s="268">
        <v>33</v>
      </c>
      <c r="I6899" s="268">
        <v>35</v>
      </c>
      <c r="J6899" s="268">
        <v>29</v>
      </c>
      <c r="K6899" s="268">
        <v>32</v>
      </c>
      <c r="L6899" s="268">
        <v>43</v>
      </c>
      <c r="M6899" s="268">
        <v>51</v>
      </c>
      <c r="N6899" s="268">
        <v>52</v>
      </c>
      <c r="O6899" s="278">
        <v>39</v>
      </c>
    </row>
    <row r="6900" spans="1:15">
      <c r="A6900" s="266" t="s">
        <v>67</v>
      </c>
      <c r="B6900" s="267" t="s">
        <v>4</v>
      </c>
      <c r="C6900" s="15">
        <v>7</v>
      </c>
      <c r="D6900" s="269">
        <v>1</v>
      </c>
      <c r="E6900" s="269">
        <v>2</v>
      </c>
      <c r="F6900" s="269">
        <v>0</v>
      </c>
      <c r="G6900" s="269">
        <v>0</v>
      </c>
      <c r="H6900" s="269">
        <v>0</v>
      </c>
      <c r="I6900" s="269">
        <v>0</v>
      </c>
      <c r="J6900" s="269">
        <v>1</v>
      </c>
      <c r="K6900" s="269">
        <v>0</v>
      </c>
      <c r="L6900" s="269">
        <v>1</v>
      </c>
      <c r="M6900" s="269">
        <v>0</v>
      </c>
      <c r="N6900" s="269">
        <v>2</v>
      </c>
      <c r="O6900" s="279">
        <v>0</v>
      </c>
    </row>
    <row r="6901" spans="1:15">
      <c r="A6901" s="263" t="s">
        <v>67</v>
      </c>
      <c r="B6901" s="264" t="s">
        <v>5</v>
      </c>
      <c r="C6901" s="12">
        <v>0.0175</v>
      </c>
      <c r="D6901" s="265">
        <v>0.025</v>
      </c>
      <c r="E6901" s="265">
        <v>0.117647058823529</v>
      </c>
      <c r="F6901" s="265">
        <v>0</v>
      </c>
      <c r="G6901" s="265">
        <v>0</v>
      </c>
      <c r="H6901" s="265">
        <v>0</v>
      </c>
      <c r="I6901" s="265">
        <v>0</v>
      </c>
      <c r="J6901" s="265">
        <v>0.0344827586206897</v>
      </c>
      <c r="K6901" s="265">
        <v>0</v>
      </c>
      <c r="L6901" s="265">
        <v>0.0232558139534884</v>
      </c>
      <c r="M6901" s="265">
        <v>0</v>
      </c>
      <c r="N6901" s="265">
        <v>0.0384615384615385</v>
      </c>
      <c r="O6901" s="277">
        <v>0</v>
      </c>
    </row>
    <row r="6902" spans="1:15">
      <c r="A6902" s="266" t="s">
        <v>67</v>
      </c>
      <c r="B6902" s="267" t="s">
        <v>6</v>
      </c>
      <c r="C6902" s="15">
        <v>4</v>
      </c>
      <c r="D6902" s="269">
        <v>0</v>
      </c>
      <c r="E6902" s="269">
        <v>1</v>
      </c>
      <c r="F6902" s="269">
        <v>0</v>
      </c>
      <c r="G6902" s="269">
        <v>0</v>
      </c>
      <c r="H6902" s="269">
        <v>0</v>
      </c>
      <c r="I6902" s="269">
        <v>0</v>
      </c>
      <c r="J6902" s="269">
        <v>0</v>
      </c>
      <c r="K6902" s="269">
        <v>1</v>
      </c>
      <c r="L6902" s="269">
        <v>2</v>
      </c>
      <c r="M6902" s="269">
        <v>0</v>
      </c>
      <c r="N6902" s="269">
        <v>0</v>
      </c>
      <c r="O6902" s="279">
        <v>0</v>
      </c>
    </row>
    <row r="6903" ht="14.25" spans="1:15">
      <c r="A6903" s="270" t="s">
        <v>67</v>
      </c>
      <c r="B6903" s="271" t="s">
        <v>64</v>
      </c>
      <c r="C6903" s="19">
        <v>0.571428571428571</v>
      </c>
      <c r="D6903" s="272">
        <v>0</v>
      </c>
      <c r="E6903" s="272">
        <v>0.5</v>
      </c>
      <c r="F6903" s="272">
        <v>0</v>
      </c>
      <c r="G6903" s="272">
        <v>0</v>
      </c>
      <c r="H6903" s="272">
        <v>0</v>
      </c>
      <c r="I6903" s="272">
        <v>0</v>
      </c>
      <c r="J6903" s="272">
        <v>0</v>
      </c>
      <c r="K6903" s="272">
        <v>0</v>
      </c>
      <c r="L6903" s="272">
        <v>2</v>
      </c>
      <c r="M6903" s="272">
        <v>0</v>
      </c>
      <c r="N6903" s="272">
        <v>0</v>
      </c>
      <c r="O6903" s="280">
        <v>0</v>
      </c>
    </row>
    <row r="6904" spans="1:15">
      <c r="A6904" s="263" t="s">
        <v>68</v>
      </c>
      <c r="B6904" s="264" t="s">
        <v>55</v>
      </c>
      <c r="C6904" s="12">
        <v>0.181789239095829</v>
      </c>
      <c r="D6904" s="265">
        <v>0.197222222222222</v>
      </c>
      <c r="E6904" s="265">
        <v>0.144927536231884</v>
      </c>
      <c r="F6904" s="265">
        <v>0.151515151515152</v>
      </c>
      <c r="G6904" s="265">
        <v>0.272727272727273</v>
      </c>
      <c r="H6904" s="265">
        <v>0.222689075630252</v>
      </c>
      <c r="I6904" s="265">
        <v>0.192660550458716</v>
      </c>
      <c r="J6904" s="265">
        <v>0.204081632653061</v>
      </c>
      <c r="K6904" s="265">
        <v>0.171428571428571</v>
      </c>
      <c r="L6904" s="265">
        <v>0.143322475570033</v>
      </c>
      <c r="M6904" s="265">
        <v>0.16140350877193</v>
      </c>
      <c r="N6904" s="265">
        <v>0.174721189591078</v>
      </c>
      <c r="O6904" s="277">
        <v>0.171052631578947</v>
      </c>
    </row>
    <row r="6905" spans="1:15">
      <c r="A6905" s="266" t="s">
        <v>68</v>
      </c>
      <c r="B6905" s="267" t="s">
        <v>57</v>
      </c>
      <c r="C6905" s="15">
        <v>3141</v>
      </c>
      <c r="D6905" s="268">
        <v>360</v>
      </c>
      <c r="E6905" s="268">
        <v>207</v>
      </c>
      <c r="F6905" s="268">
        <v>165</v>
      </c>
      <c r="G6905" s="268">
        <v>154</v>
      </c>
      <c r="H6905" s="268">
        <v>238</v>
      </c>
      <c r="I6905" s="268">
        <v>327</v>
      </c>
      <c r="J6905" s="268">
        <v>245</v>
      </c>
      <c r="K6905" s="268">
        <v>280</v>
      </c>
      <c r="L6905" s="268">
        <v>307</v>
      </c>
      <c r="M6905" s="268">
        <v>285</v>
      </c>
      <c r="N6905" s="268">
        <v>269</v>
      </c>
      <c r="O6905" s="278">
        <v>304</v>
      </c>
    </row>
    <row r="6906" spans="1:15">
      <c r="A6906" s="263" t="s">
        <v>68</v>
      </c>
      <c r="B6906" s="264" t="s">
        <v>59</v>
      </c>
      <c r="C6906" s="15">
        <v>571</v>
      </c>
      <c r="D6906" s="268">
        <v>71</v>
      </c>
      <c r="E6906" s="268">
        <v>30</v>
      </c>
      <c r="F6906" s="268">
        <v>25</v>
      </c>
      <c r="G6906" s="268">
        <v>42</v>
      </c>
      <c r="H6906" s="268">
        <v>53</v>
      </c>
      <c r="I6906" s="268">
        <v>63</v>
      </c>
      <c r="J6906" s="268">
        <v>50</v>
      </c>
      <c r="K6906" s="268">
        <v>48</v>
      </c>
      <c r="L6906" s="268">
        <v>44</v>
      </c>
      <c r="M6906" s="268">
        <v>46</v>
      </c>
      <c r="N6906" s="268">
        <v>47</v>
      </c>
      <c r="O6906" s="278">
        <v>52</v>
      </c>
    </row>
    <row r="6907" spans="1:15">
      <c r="A6907" s="266" t="s">
        <v>68</v>
      </c>
      <c r="B6907" s="267" t="s">
        <v>4</v>
      </c>
      <c r="C6907" s="15">
        <v>57</v>
      </c>
      <c r="D6907" s="269">
        <v>5</v>
      </c>
      <c r="E6907" s="269">
        <v>6</v>
      </c>
      <c r="F6907" s="269">
        <v>1</v>
      </c>
      <c r="G6907" s="269">
        <v>7</v>
      </c>
      <c r="H6907" s="269">
        <v>1</v>
      </c>
      <c r="I6907" s="269">
        <v>2</v>
      </c>
      <c r="J6907" s="269">
        <v>7</v>
      </c>
      <c r="K6907" s="269">
        <v>2</v>
      </c>
      <c r="L6907" s="269">
        <v>8</v>
      </c>
      <c r="M6907" s="269">
        <v>9</v>
      </c>
      <c r="N6907" s="269">
        <v>3</v>
      </c>
      <c r="O6907" s="279">
        <v>6</v>
      </c>
    </row>
    <row r="6908" spans="1:15">
      <c r="A6908" s="263" t="s">
        <v>68</v>
      </c>
      <c r="B6908" s="264" t="s">
        <v>5</v>
      </c>
      <c r="C6908" s="12">
        <v>0.0998248686514886</v>
      </c>
      <c r="D6908" s="265">
        <v>0.0704225352112676</v>
      </c>
      <c r="E6908" s="265">
        <v>0.2</v>
      </c>
      <c r="F6908" s="265">
        <v>0.04</v>
      </c>
      <c r="G6908" s="265">
        <v>0.166666666666667</v>
      </c>
      <c r="H6908" s="265">
        <v>0.0188679245283019</v>
      </c>
      <c r="I6908" s="265">
        <v>0.0317460317460317</v>
      </c>
      <c r="J6908" s="265">
        <v>0.14</v>
      </c>
      <c r="K6908" s="265">
        <v>0.0416666666666667</v>
      </c>
      <c r="L6908" s="265">
        <v>0.181818181818182</v>
      </c>
      <c r="M6908" s="265">
        <v>0.195652173913043</v>
      </c>
      <c r="N6908" s="265">
        <v>0.0638297872340425</v>
      </c>
      <c r="O6908" s="277">
        <v>0.115384615384615</v>
      </c>
    </row>
    <row r="6909" spans="1:15">
      <c r="A6909" s="266" t="s">
        <v>68</v>
      </c>
      <c r="B6909" s="267" t="s">
        <v>6</v>
      </c>
      <c r="C6909" s="15">
        <v>15</v>
      </c>
      <c r="D6909" s="269">
        <v>1</v>
      </c>
      <c r="E6909" s="269">
        <v>1</v>
      </c>
      <c r="F6909" s="269">
        <v>0</v>
      </c>
      <c r="G6909" s="269">
        <v>1</v>
      </c>
      <c r="H6909" s="269">
        <v>0</v>
      </c>
      <c r="I6909" s="269">
        <v>3</v>
      </c>
      <c r="J6909" s="269">
        <v>0</v>
      </c>
      <c r="K6909" s="269">
        <v>0</v>
      </c>
      <c r="L6909" s="269">
        <v>5</v>
      </c>
      <c r="M6909" s="269">
        <v>1</v>
      </c>
      <c r="N6909" s="269">
        <v>3</v>
      </c>
      <c r="O6909" s="279">
        <v>0</v>
      </c>
    </row>
    <row r="6910" ht="14.25" spans="1:15">
      <c r="A6910" s="270" t="s">
        <v>68</v>
      </c>
      <c r="B6910" s="271" t="s">
        <v>64</v>
      </c>
      <c r="C6910" s="19">
        <v>0.263157894736842</v>
      </c>
      <c r="D6910" s="272">
        <v>0.2</v>
      </c>
      <c r="E6910" s="272">
        <v>0.166666666666667</v>
      </c>
      <c r="F6910" s="272">
        <v>0</v>
      </c>
      <c r="G6910" s="272">
        <v>0.142857142857143</v>
      </c>
      <c r="H6910" s="272">
        <v>0</v>
      </c>
      <c r="I6910" s="272">
        <v>1.5</v>
      </c>
      <c r="J6910" s="272">
        <v>0</v>
      </c>
      <c r="K6910" s="272">
        <v>0</v>
      </c>
      <c r="L6910" s="272">
        <v>0.625</v>
      </c>
      <c r="M6910" s="272">
        <v>0.111111111111111</v>
      </c>
      <c r="N6910" s="272">
        <v>1</v>
      </c>
      <c r="O6910" s="280">
        <v>0</v>
      </c>
    </row>
    <row r="6911" spans="1:15">
      <c r="A6911" s="263" t="s">
        <v>69</v>
      </c>
      <c r="B6911" s="264" t="s">
        <v>55</v>
      </c>
      <c r="C6911" s="12">
        <v>1.73255813953488</v>
      </c>
      <c r="D6911" s="265">
        <v>1.42857142857143</v>
      </c>
      <c r="E6911" s="265">
        <v>1</v>
      </c>
      <c r="F6911" s="265">
        <v>1.33333333333333</v>
      </c>
      <c r="G6911" s="265">
        <v>2</v>
      </c>
      <c r="H6911" s="265">
        <v>1.75</v>
      </c>
      <c r="I6911" s="265">
        <v>1.75</v>
      </c>
      <c r="J6911" s="265">
        <v>3.4</v>
      </c>
      <c r="K6911" s="265">
        <v>3.66666666666667</v>
      </c>
      <c r="L6911" s="265">
        <v>1.66666666666667</v>
      </c>
      <c r="M6911" s="265">
        <v>1.44444444444444</v>
      </c>
      <c r="N6911" s="265">
        <v>1.5</v>
      </c>
      <c r="O6911" s="277">
        <v>2.28571428571429</v>
      </c>
    </row>
    <row r="6912" spans="1:15">
      <c r="A6912" s="266" t="s">
        <v>69</v>
      </c>
      <c r="B6912" s="267" t="s">
        <v>57</v>
      </c>
      <c r="C6912" s="15">
        <v>86</v>
      </c>
      <c r="D6912" s="268">
        <v>14</v>
      </c>
      <c r="E6912" s="268">
        <v>10</v>
      </c>
      <c r="F6912" s="268">
        <v>3</v>
      </c>
      <c r="G6912" s="268">
        <v>2</v>
      </c>
      <c r="H6912" s="268">
        <v>8</v>
      </c>
      <c r="I6912" s="268">
        <v>4</v>
      </c>
      <c r="J6912" s="268">
        <v>5</v>
      </c>
      <c r="K6912" s="268">
        <v>3</v>
      </c>
      <c r="L6912" s="268">
        <v>9</v>
      </c>
      <c r="M6912" s="268">
        <v>9</v>
      </c>
      <c r="N6912" s="268">
        <v>12</v>
      </c>
      <c r="O6912" s="278">
        <v>7</v>
      </c>
    </row>
    <row r="6913" spans="1:15">
      <c r="A6913" s="263" t="s">
        <v>69</v>
      </c>
      <c r="B6913" s="264" t="s">
        <v>59</v>
      </c>
      <c r="C6913" s="15">
        <v>149</v>
      </c>
      <c r="D6913" s="268">
        <v>20</v>
      </c>
      <c r="E6913" s="268">
        <v>10</v>
      </c>
      <c r="F6913" s="268">
        <v>4</v>
      </c>
      <c r="G6913" s="268">
        <v>4</v>
      </c>
      <c r="H6913" s="268">
        <v>14</v>
      </c>
      <c r="I6913" s="268">
        <v>7</v>
      </c>
      <c r="J6913" s="268">
        <v>17</v>
      </c>
      <c r="K6913" s="268">
        <v>11</v>
      </c>
      <c r="L6913" s="268">
        <v>15</v>
      </c>
      <c r="M6913" s="268">
        <v>13</v>
      </c>
      <c r="N6913" s="268">
        <v>18</v>
      </c>
      <c r="O6913" s="278">
        <v>16</v>
      </c>
    </row>
    <row r="6914" spans="1:15">
      <c r="A6914" s="266" t="s">
        <v>69</v>
      </c>
      <c r="B6914" s="267" t="s">
        <v>4</v>
      </c>
      <c r="C6914" s="15">
        <v>5</v>
      </c>
      <c r="D6914" s="269">
        <v>0</v>
      </c>
      <c r="E6914" s="269">
        <v>0</v>
      </c>
      <c r="F6914" s="269">
        <v>0</v>
      </c>
      <c r="G6914" s="269">
        <v>0</v>
      </c>
      <c r="H6914" s="269">
        <v>0</v>
      </c>
      <c r="I6914" s="269">
        <v>1</v>
      </c>
      <c r="J6914" s="269">
        <v>0</v>
      </c>
      <c r="K6914" s="269">
        <v>0</v>
      </c>
      <c r="L6914" s="269">
        <v>0</v>
      </c>
      <c r="M6914" s="269">
        <v>1</v>
      </c>
      <c r="N6914" s="269">
        <v>0</v>
      </c>
      <c r="O6914" s="279">
        <v>3</v>
      </c>
    </row>
    <row r="6915" spans="1:15">
      <c r="A6915" s="263" t="s">
        <v>69</v>
      </c>
      <c r="B6915" s="264" t="s">
        <v>5</v>
      </c>
      <c r="C6915" s="12">
        <v>0.0335570469798658</v>
      </c>
      <c r="D6915" s="265">
        <v>0</v>
      </c>
      <c r="E6915" s="265">
        <v>0</v>
      </c>
      <c r="F6915" s="265">
        <v>0</v>
      </c>
      <c r="G6915" s="265">
        <v>0</v>
      </c>
      <c r="H6915" s="265">
        <v>0</v>
      </c>
      <c r="I6915" s="265">
        <v>0.142857142857143</v>
      </c>
      <c r="J6915" s="265">
        <v>0</v>
      </c>
      <c r="K6915" s="265">
        <v>0</v>
      </c>
      <c r="L6915" s="265">
        <v>0</v>
      </c>
      <c r="M6915" s="265">
        <v>0.0769230769230769</v>
      </c>
      <c r="N6915" s="265">
        <v>0</v>
      </c>
      <c r="O6915" s="277">
        <v>0.1875</v>
      </c>
    </row>
    <row r="6916" spans="1:15">
      <c r="A6916" s="266" t="s">
        <v>69</v>
      </c>
      <c r="B6916" s="267" t="s">
        <v>6</v>
      </c>
      <c r="C6916" s="15">
        <v>3</v>
      </c>
      <c r="D6916" s="269">
        <v>0</v>
      </c>
      <c r="E6916" s="269">
        <v>0</v>
      </c>
      <c r="F6916" s="269">
        <v>0</v>
      </c>
      <c r="G6916" s="269">
        <v>0</v>
      </c>
      <c r="H6916" s="269">
        <v>0</v>
      </c>
      <c r="I6916" s="269">
        <v>0</v>
      </c>
      <c r="J6916" s="269">
        <v>0</v>
      </c>
      <c r="K6916" s="269">
        <v>1</v>
      </c>
      <c r="L6916" s="269">
        <v>0</v>
      </c>
      <c r="M6916" s="269">
        <v>0</v>
      </c>
      <c r="N6916" s="269">
        <v>0</v>
      </c>
      <c r="O6916" s="279">
        <v>2</v>
      </c>
    </row>
    <row r="6917" ht="14.25" spans="1:15">
      <c r="A6917" s="270" t="s">
        <v>69</v>
      </c>
      <c r="B6917" s="271" t="s">
        <v>64</v>
      </c>
      <c r="C6917" s="19">
        <v>0.6</v>
      </c>
      <c r="D6917" s="272">
        <v>0</v>
      </c>
      <c r="E6917" s="272">
        <v>0</v>
      </c>
      <c r="F6917" s="272">
        <v>0</v>
      </c>
      <c r="G6917" s="272">
        <v>0</v>
      </c>
      <c r="H6917" s="272">
        <v>0</v>
      </c>
      <c r="I6917" s="272">
        <v>0</v>
      </c>
      <c r="J6917" s="272">
        <v>0</v>
      </c>
      <c r="K6917" s="272">
        <v>0</v>
      </c>
      <c r="L6917" s="272">
        <v>0</v>
      </c>
      <c r="M6917" s="272">
        <v>0</v>
      </c>
      <c r="N6917" s="272">
        <v>0</v>
      </c>
      <c r="O6917" s="280">
        <v>0.666666666666667</v>
      </c>
    </row>
    <row r="6918" spans="1:15">
      <c r="A6918" s="263" t="s">
        <v>70</v>
      </c>
      <c r="B6918" s="264" t="s">
        <v>55</v>
      </c>
      <c r="C6918" s="12">
        <v>0.839611178614824</v>
      </c>
      <c r="D6918" s="265">
        <v>1</v>
      </c>
      <c r="E6918" s="265">
        <v>1.2</v>
      </c>
      <c r="F6918" s="265">
        <v>0.933333333333333</v>
      </c>
      <c r="G6918" s="265">
        <v>0.523809523809524</v>
      </c>
      <c r="H6918" s="265">
        <v>0.96551724137931</v>
      </c>
      <c r="I6918" s="265">
        <v>0.811320754716981</v>
      </c>
      <c r="J6918" s="265">
        <v>0.7875</v>
      </c>
      <c r="K6918" s="265">
        <v>0.776785714285714</v>
      </c>
      <c r="L6918" s="265">
        <v>0.858333333333333</v>
      </c>
      <c r="M6918" s="265">
        <v>0.861538461538462</v>
      </c>
      <c r="N6918" s="265">
        <v>0.811111111111111</v>
      </c>
      <c r="O6918" s="277">
        <v>0.771084337349398</v>
      </c>
    </row>
    <row r="6919" spans="1:15">
      <c r="A6919" s="266" t="s">
        <v>70</v>
      </c>
      <c r="B6919" s="267" t="s">
        <v>57</v>
      </c>
      <c r="C6919" s="15">
        <v>823</v>
      </c>
      <c r="D6919" s="268">
        <v>48</v>
      </c>
      <c r="E6919" s="268">
        <v>25</v>
      </c>
      <c r="F6919" s="268">
        <v>15</v>
      </c>
      <c r="G6919" s="268">
        <v>21</v>
      </c>
      <c r="H6919" s="268">
        <v>58</v>
      </c>
      <c r="I6919" s="268">
        <v>106</v>
      </c>
      <c r="J6919" s="268">
        <v>80</v>
      </c>
      <c r="K6919" s="268">
        <v>112</v>
      </c>
      <c r="L6919" s="268">
        <v>120</v>
      </c>
      <c r="M6919" s="268">
        <v>65</v>
      </c>
      <c r="N6919" s="268">
        <v>90</v>
      </c>
      <c r="O6919" s="278">
        <v>83</v>
      </c>
    </row>
    <row r="6920" spans="1:15">
      <c r="A6920" s="263" t="s">
        <v>70</v>
      </c>
      <c r="B6920" s="264" t="s">
        <v>59</v>
      </c>
      <c r="C6920" s="15">
        <v>691</v>
      </c>
      <c r="D6920" s="268">
        <v>48</v>
      </c>
      <c r="E6920" s="268">
        <v>30</v>
      </c>
      <c r="F6920" s="268">
        <v>14</v>
      </c>
      <c r="G6920" s="268">
        <v>11</v>
      </c>
      <c r="H6920" s="268">
        <v>56</v>
      </c>
      <c r="I6920" s="268">
        <v>86</v>
      </c>
      <c r="J6920" s="268">
        <v>63</v>
      </c>
      <c r="K6920" s="268">
        <v>87</v>
      </c>
      <c r="L6920" s="268">
        <v>103</v>
      </c>
      <c r="M6920" s="268">
        <v>56</v>
      </c>
      <c r="N6920" s="268">
        <v>73</v>
      </c>
      <c r="O6920" s="278">
        <v>64</v>
      </c>
    </row>
    <row r="6921" spans="1:15">
      <c r="A6921" s="266" t="s">
        <v>70</v>
      </c>
      <c r="B6921" s="267" t="s">
        <v>4</v>
      </c>
      <c r="C6921" s="15">
        <v>10</v>
      </c>
      <c r="D6921" s="269">
        <v>0</v>
      </c>
      <c r="E6921" s="269">
        <v>3</v>
      </c>
      <c r="F6921" s="269">
        <v>0</v>
      </c>
      <c r="G6921" s="269">
        <v>0</v>
      </c>
      <c r="H6921" s="269">
        <v>1</v>
      </c>
      <c r="I6921" s="269">
        <v>2</v>
      </c>
      <c r="J6921" s="269">
        <v>0</v>
      </c>
      <c r="K6921" s="269">
        <v>1</v>
      </c>
      <c r="L6921" s="269">
        <v>3</v>
      </c>
      <c r="M6921" s="269">
        <v>0</v>
      </c>
      <c r="N6921" s="269">
        <v>0</v>
      </c>
      <c r="O6921" s="279">
        <v>0</v>
      </c>
    </row>
    <row r="6922" spans="1:15">
      <c r="A6922" s="263" t="s">
        <v>70</v>
      </c>
      <c r="B6922" s="264" t="s">
        <v>5</v>
      </c>
      <c r="C6922" s="12">
        <v>0.0144717800289436</v>
      </c>
      <c r="D6922" s="265">
        <v>0</v>
      </c>
      <c r="E6922" s="265">
        <v>0.1</v>
      </c>
      <c r="F6922" s="265">
        <v>0</v>
      </c>
      <c r="G6922" s="265">
        <v>0</v>
      </c>
      <c r="H6922" s="265">
        <v>0.0178571428571429</v>
      </c>
      <c r="I6922" s="265">
        <v>0.0232558139534884</v>
      </c>
      <c r="J6922" s="265">
        <v>0</v>
      </c>
      <c r="K6922" s="265">
        <v>0.0114942528735632</v>
      </c>
      <c r="L6922" s="265">
        <v>0.029126213592233</v>
      </c>
      <c r="M6922" s="265">
        <v>0</v>
      </c>
      <c r="N6922" s="265">
        <v>0</v>
      </c>
      <c r="O6922" s="277">
        <v>0</v>
      </c>
    </row>
    <row r="6923" spans="1:15">
      <c r="A6923" s="266" t="s">
        <v>70</v>
      </c>
      <c r="B6923" s="267" t="s">
        <v>6</v>
      </c>
      <c r="C6923" s="15">
        <v>6</v>
      </c>
      <c r="D6923" s="269">
        <v>0</v>
      </c>
      <c r="E6923" s="269">
        <v>1</v>
      </c>
      <c r="F6923" s="269">
        <v>0</v>
      </c>
      <c r="G6923" s="269">
        <v>0</v>
      </c>
      <c r="H6923" s="269">
        <v>0</v>
      </c>
      <c r="I6923" s="269">
        <v>0</v>
      </c>
      <c r="J6923" s="269">
        <v>0</v>
      </c>
      <c r="K6923" s="269">
        <v>1</v>
      </c>
      <c r="L6923" s="269">
        <v>2</v>
      </c>
      <c r="M6923" s="269">
        <v>0</v>
      </c>
      <c r="N6923" s="269">
        <v>1</v>
      </c>
      <c r="O6923" s="279">
        <v>1</v>
      </c>
    </row>
    <row r="6924" ht="14.25" spans="1:15">
      <c r="A6924" s="270" t="s">
        <v>70</v>
      </c>
      <c r="B6924" s="271" t="s">
        <v>64</v>
      </c>
      <c r="C6924" s="19">
        <v>0.6</v>
      </c>
      <c r="D6924" s="272">
        <v>0</v>
      </c>
      <c r="E6924" s="272">
        <v>0.333333333333333</v>
      </c>
      <c r="F6924" s="272">
        <v>0</v>
      </c>
      <c r="G6924" s="272">
        <v>0</v>
      </c>
      <c r="H6924" s="272">
        <v>0</v>
      </c>
      <c r="I6924" s="272">
        <v>0</v>
      </c>
      <c r="J6924" s="272">
        <v>0</v>
      </c>
      <c r="K6924" s="272">
        <v>1</v>
      </c>
      <c r="L6924" s="272">
        <v>0.666666666666667</v>
      </c>
      <c r="M6924" s="272">
        <v>0</v>
      </c>
      <c r="N6924" s="272">
        <v>0</v>
      </c>
      <c r="O6924" s="280">
        <v>0</v>
      </c>
    </row>
    <row r="6925" spans="1:15">
      <c r="A6925" s="263" t="s">
        <v>26</v>
      </c>
      <c r="B6925" s="264" t="s">
        <v>55</v>
      </c>
      <c r="C6925" s="12">
        <v>0.904632152588556</v>
      </c>
      <c r="D6925" s="265">
        <v>0.932098765432099</v>
      </c>
      <c r="E6925" s="265">
        <v>0.813084112149533</v>
      </c>
      <c r="F6925" s="265">
        <v>0.909090909090909</v>
      </c>
      <c r="G6925" s="265">
        <v>1.05633802816901</v>
      </c>
      <c r="H6925" s="265">
        <v>0.947019867549669</v>
      </c>
      <c r="I6925" s="265">
        <v>0.826815642458101</v>
      </c>
      <c r="J6925" s="265">
        <v>0.899408284023669</v>
      </c>
      <c r="K6925" s="265">
        <v>1.05555555555556</v>
      </c>
      <c r="L6925" s="265">
        <v>0.85625</v>
      </c>
      <c r="M6925" s="265">
        <v>0.888235294117647</v>
      </c>
      <c r="N6925" s="265">
        <v>0.831050228310502</v>
      </c>
      <c r="O6925" s="277">
        <v>0.91578947368421</v>
      </c>
    </row>
    <row r="6926" spans="1:15">
      <c r="A6926" s="266" t="s">
        <v>26</v>
      </c>
      <c r="B6926" s="267" t="s">
        <v>57</v>
      </c>
      <c r="C6926" s="15">
        <v>1835</v>
      </c>
      <c r="D6926" s="268">
        <v>162</v>
      </c>
      <c r="E6926" s="268">
        <v>107</v>
      </c>
      <c r="F6926" s="268">
        <v>77</v>
      </c>
      <c r="G6926" s="268">
        <v>71</v>
      </c>
      <c r="H6926" s="268">
        <v>151</v>
      </c>
      <c r="I6926" s="268">
        <v>179</v>
      </c>
      <c r="J6926" s="268">
        <v>169</v>
      </c>
      <c r="K6926" s="268">
        <v>180</v>
      </c>
      <c r="L6926" s="268">
        <v>160</v>
      </c>
      <c r="M6926" s="268">
        <v>170</v>
      </c>
      <c r="N6926" s="268">
        <v>219</v>
      </c>
      <c r="O6926" s="278">
        <v>190</v>
      </c>
    </row>
    <row r="6927" spans="1:15">
      <c r="A6927" s="263" t="s">
        <v>26</v>
      </c>
      <c r="B6927" s="264" t="s">
        <v>59</v>
      </c>
      <c r="C6927" s="15">
        <v>1660</v>
      </c>
      <c r="D6927" s="268">
        <v>151</v>
      </c>
      <c r="E6927" s="268">
        <v>87</v>
      </c>
      <c r="F6927" s="268">
        <v>70</v>
      </c>
      <c r="G6927" s="268">
        <v>75</v>
      </c>
      <c r="H6927" s="268">
        <v>143</v>
      </c>
      <c r="I6927" s="268">
        <v>148</v>
      </c>
      <c r="J6927" s="268">
        <v>152</v>
      </c>
      <c r="K6927" s="268">
        <v>190</v>
      </c>
      <c r="L6927" s="268">
        <v>137</v>
      </c>
      <c r="M6927" s="268">
        <v>151</v>
      </c>
      <c r="N6927" s="268">
        <v>182</v>
      </c>
      <c r="O6927" s="278">
        <v>174</v>
      </c>
    </row>
    <row r="6928" spans="1:15">
      <c r="A6928" s="266" t="s">
        <v>26</v>
      </c>
      <c r="B6928" s="267" t="s">
        <v>4</v>
      </c>
      <c r="C6928" s="15">
        <v>22</v>
      </c>
      <c r="D6928" s="269">
        <v>3</v>
      </c>
      <c r="E6928" s="269">
        <v>2</v>
      </c>
      <c r="F6928" s="269">
        <v>1</v>
      </c>
      <c r="G6928" s="269">
        <v>1</v>
      </c>
      <c r="H6928" s="269">
        <v>0</v>
      </c>
      <c r="I6928" s="269">
        <v>2</v>
      </c>
      <c r="J6928" s="269">
        <v>3</v>
      </c>
      <c r="K6928" s="269">
        <v>3</v>
      </c>
      <c r="L6928" s="269">
        <v>3</v>
      </c>
      <c r="M6928" s="269">
        <v>2</v>
      </c>
      <c r="N6928" s="269">
        <v>0</v>
      </c>
      <c r="O6928" s="279">
        <v>2</v>
      </c>
    </row>
    <row r="6929" spans="1:15">
      <c r="A6929" s="263" t="s">
        <v>26</v>
      </c>
      <c r="B6929" s="264" t="s">
        <v>5</v>
      </c>
      <c r="C6929" s="12">
        <v>0.0132530120481928</v>
      </c>
      <c r="D6929" s="265">
        <v>0.0198675496688742</v>
      </c>
      <c r="E6929" s="265">
        <v>0.0229885057471264</v>
      </c>
      <c r="F6929" s="265">
        <v>0.0142857142857143</v>
      </c>
      <c r="G6929" s="265">
        <v>0.0133333333333333</v>
      </c>
      <c r="H6929" s="265">
        <v>0</v>
      </c>
      <c r="I6929" s="265">
        <v>0.0135135135135135</v>
      </c>
      <c r="J6929" s="265">
        <v>0.0197368421052632</v>
      </c>
      <c r="K6929" s="265">
        <v>0.0157894736842105</v>
      </c>
      <c r="L6929" s="265">
        <v>0.0218978102189781</v>
      </c>
      <c r="M6929" s="265">
        <v>0.0132450331125828</v>
      </c>
      <c r="N6929" s="265">
        <v>0</v>
      </c>
      <c r="O6929" s="277">
        <v>0.0114942528735632</v>
      </c>
    </row>
    <row r="6930" spans="1:15">
      <c r="A6930" s="266" t="s">
        <v>26</v>
      </c>
      <c r="B6930" s="267" t="s">
        <v>6</v>
      </c>
      <c r="C6930" s="15">
        <v>6</v>
      </c>
      <c r="D6930" s="269">
        <v>1</v>
      </c>
      <c r="E6930" s="269">
        <v>0</v>
      </c>
      <c r="F6930" s="269">
        <v>2</v>
      </c>
      <c r="G6930" s="269">
        <v>0</v>
      </c>
      <c r="H6930" s="269">
        <v>0</v>
      </c>
      <c r="I6930" s="269">
        <v>0</v>
      </c>
      <c r="J6930" s="269">
        <v>0</v>
      </c>
      <c r="K6930" s="269">
        <v>0</v>
      </c>
      <c r="L6930" s="269">
        <v>3</v>
      </c>
      <c r="M6930" s="269">
        <v>0</v>
      </c>
      <c r="N6930" s="269">
        <v>0</v>
      </c>
      <c r="O6930" s="279">
        <v>0</v>
      </c>
    </row>
    <row r="6931" ht="14.25" spans="1:15">
      <c r="A6931" s="270" t="s">
        <v>26</v>
      </c>
      <c r="B6931" s="271" t="s">
        <v>64</v>
      </c>
      <c r="C6931" s="19">
        <v>0.272727272727273</v>
      </c>
      <c r="D6931" s="19">
        <v>0.333333333333333</v>
      </c>
      <c r="E6931" s="19">
        <v>0</v>
      </c>
      <c r="F6931" s="19">
        <v>2</v>
      </c>
      <c r="G6931" s="19">
        <v>0</v>
      </c>
      <c r="H6931" s="19" t="e">
        <v>#DIV/0!</v>
      </c>
      <c r="I6931" s="19">
        <v>0</v>
      </c>
      <c r="J6931" s="19">
        <v>0</v>
      </c>
      <c r="K6931" s="19">
        <v>0</v>
      </c>
      <c r="L6931" s="19">
        <v>1</v>
      </c>
      <c r="M6931" s="19">
        <v>0</v>
      </c>
      <c r="N6931" s="19" t="e">
        <v>#DIV/0!</v>
      </c>
      <c r="O6931" s="19">
        <v>0</v>
      </c>
    </row>
    <row r="6932" spans="1:15">
      <c r="A6932" s="263" t="s">
        <v>71</v>
      </c>
      <c r="B6932" s="264" t="s">
        <v>55</v>
      </c>
      <c r="C6932" s="12">
        <v>0.280742459396752</v>
      </c>
      <c r="D6932" s="265">
        <v>0.452380952380952</v>
      </c>
      <c r="E6932" s="265">
        <v>0.434782608695652</v>
      </c>
      <c r="F6932" s="265">
        <v>0.421052631578947</v>
      </c>
      <c r="G6932" s="265">
        <v>0.166666666666667</v>
      </c>
      <c r="H6932" s="265">
        <v>0.241379310344828</v>
      </c>
      <c r="I6932" s="265">
        <v>0.333333333333333</v>
      </c>
      <c r="J6932" s="265">
        <v>0.419354838709677</v>
      </c>
      <c r="K6932" s="265">
        <v>0.35</v>
      </c>
      <c r="L6932" s="265">
        <v>0.111111111111111</v>
      </c>
      <c r="M6932" s="265">
        <v>0.175</v>
      </c>
      <c r="N6932" s="265">
        <v>0.172413793103448</v>
      </c>
      <c r="O6932" s="277">
        <v>0.264150943396226</v>
      </c>
    </row>
    <row r="6933" spans="1:15">
      <c r="A6933" s="266" t="s">
        <v>71</v>
      </c>
      <c r="B6933" s="267" t="s">
        <v>57</v>
      </c>
      <c r="C6933" s="15">
        <v>431</v>
      </c>
      <c r="D6933" s="268">
        <v>42</v>
      </c>
      <c r="E6933" s="268">
        <v>23</v>
      </c>
      <c r="F6933" s="268">
        <v>19</v>
      </c>
      <c r="G6933" s="268">
        <v>18</v>
      </c>
      <c r="H6933" s="268">
        <v>29</v>
      </c>
      <c r="I6933" s="268">
        <v>33</v>
      </c>
      <c r="J6933" s="268">
        <v>31</v>
      </c>
      <c r="K6933" s="268">
        <v>40</v>
      </c>
      <c r="L6933" s="268">
        <v>45</v>
      </c>
      <c r="M6933" s="268">
        <v>40</v>
      </c>
      <c r="N6933" s="268">
        <v>58</v>
      </c>
      <c r="O6933" s="278">
        <v>53</v>
      </c>
    </row>
    <row r="6934" spans="1:15">
      <c r="A6934" s="263" t="s">
        <v>71</v>
      </c>
      <c r="B6934" s="264" t="s">
        <v>59</v>
      </c>
      <c r="C6934" s="15">
        <v>121</v>
      </c>
      <c r="D6934" s="268">
        <v>19</v>
      </c>
      <c r="E6934" s="268">
        <v>10</v>
      </c>
      <c r="F6934" s="268">
        <v>8</v>
      </c>
      <c r="G6934" s="268">
        <v>3</v>
      </c>
      <c r="H6934" s="268">
        <v>7</v>
      </c>
      <c r="I6934" s="268">
        <v>11</v>
      </c>
      <c r="J6934" s="268">
        <v>13</v>
      </c>
      <c r="K6934" s="268">
        <v>14</v>
      </c>
      <c r="L6934" s="268">
        <v>5</v>
      </c>
      <c r="M6934" s="268">
        <v>7</v>
      </c>
      <c r="N6934" s="268">
        <v>10</v>
      </c>
      <c r="O6934" s="278">
        <v>14</v>
      </c>
    </row>
    <row r="6935" spans="1:15">
      <c r="A6935" s="266" t="s">
        <v>71</v>
      </c>
      <c r="B6935" s="267" t="s">
        <v>4</v>
      </c>
      <c r="C6935" s="15">
        <v>17</v>
      </c>
      <c r="D6935" s="269">
        <v>3</v>
      </c>
      <c r="E6935" s="269">
        <v>0</v>
      </c>
      <c r="F6935" s="269">
        <v>1</v>
      </c>
      <c r="G6935" s="269">
        <v>0</v>
      </c>
      <c r="H6935" s="269">
        <v>0</v>
      </c>
      <c r="I6935" s="269">
        <v>3</v>
      </c>
      <c r="J6935" s="269">
        <v>1</v>
      </c>
      <c r="K6935" s="269">
        <v>2</v>
      </c>
      <c r="L6935" s="269">
        <v>1</v>
      </c>
      <c r="M6935" s="269">
        <v>1</v>
      </c>
      <c r="N6935" s="269">
        <v>1</v>
      </c>
      <c r="O6935" s="279">
        <v>4</v>
      </c>
    </row>
    <row r="6936" spans="1:15">
      <c r="A6936" s="263" t="s">
        <v>71</v>
      </c>
      <c r="B6936" s="264" t="s">
        <v>5</v>
      </c>
      <c r="C6936" s="265">
        <v>0.140495867768595</v>
      </c>
      <c r="D6936" s="265">
        <v>0.157894736842105</v>
      </c>
      <c r="E6936" s="265">
        <v>0</v>
      </c>
      <c r="F6936" s="265">
        <v>0.125</v>
      </c>
      <c r="G6936" s="265">
        <v>0</v>
      </c>
      <c r="H6936" s="265">
        <v>0</v>
      </c>
      <c r="I6936" s="265">
        <v>0.272727272727273</v>
      </c>
      <c r="J6936" s="265">
        <v>0.0769230769230769</v>
      </c>
      <c r="K6936" s="265">
        <v>0.142857142857143</v>
      </c>
      <c r="L6936" s="265">
        <v>0.2</v>
      </c>
      <c r="M6936" s="265">
        <v>0.142857142857143</v>
      </c>
      <c r="N6936" s="265">
        <v>0.1</v>
      </c>
      <c r="O6936" s="277">
        <v>0.285714285714286</v>
      </c>
    </row>
    <row r="6937" spans="1:15">
      <c r="A6937" s="266" t="s">
        <v>71</v>
      </c>
      <c r="B6937" s="267" t="s">
        <v>6</v>
      </c>
      <c r="C6937" s="15">
        <v>3</v>
      </c>
      <c r="D6937" s="269">
        <v>1</v>
      </c>
      <c r="E6937" s="269">
        <v>0</v>
      </c>
      <c r="F6937" s="269">
        <v>0</v>
      </c>
      <c r="G6937" s="269">
        <v>0</v>
      </c>
      <c r="H6937" s="269">
        <v>0</v>
      </c>
      <c r="I6937" s="269">
        <v>1</v>
      </c>
      <c r="J6937" s="269">
        <v>0</v>
      </c>
      <c r="K6937" s="269">
        <v>0</v>
      </c>
      <c r="L6937" s="269">
        <v>0</v>
      </c>
      <c r="M6937" s="269">
        <v>0</v>
      </c>
      <c r="N6937" s="269">
        <v>0</v>
      </c>
      <c r="O6937" s="279">
        <v>1</v>
      </c>
    </row>
    <row r="6938" ht="14.25" spans="1:15">
      <c r="A6938" s="270" t="s">
        <v>71</v>
      </c>
      <c r="B6938" s="271" t="s">
        <v>64</v>
      </c>
      <c r="C6938" s="19">
        <v>0.176470588235294</v>
      </c>
      <c r="D6938" s="19">
        <v>0.333333333333333</v>
      </c>
      <c r="E6938" s="19" t="e">
        <v>#DIV/0!</v>
      </c>
      <c r="F6938" s="19">
        <v>0</v>
      </c>
      <c r="G6938" s="19" t="e">
        <v>#DIV/0!</v>
      </c>
      <c r="H6938" s="19" t="e">
        <v>#DIV/0!</v>
      </c>
      <c r="I6938" s="19">
        <v>0.333333333333333</v>
      </c>
      <c r="J6938" s="19">
        <v>0</v>
      </c>
      <c r="K6938" s="19">
        <v>0</v>
      </c>
      <c r="L6938" s="19">
        <v>0</v>
      </c>
      <c r="M6938" s="19">
        <v>0</v>
      </c>
      <c r="N6938" s="19">
        <v>0</v>
      </c>
      <c r="O6938" s="19">
        <v>0.25</v>
      </c>
    </row>
    <row r="6939" spans="1:15">
      <c r="A6939" s="263" t="s">
        <v>72</v>
      </c>
      <c r="B6939" s="264" t="s">
        <v>55</v>
      </c>
      <c r="C6939" s="12">
        <v>0.0423240291262136</v>
      </c>
      <c r="D6939" s="265">
        <v>0.062111801242236</v>
      </c>
      <c r="E6939" s="265">
        <v>0.106741573033708</v>
      </c>
      <c r="F6939" s="265">
        <v>0.0856164383561644</v>
      </c>
      <c r="G6939" s="265">
        <v>0.0450281425891182</v>
      </c>
      <c r="H6939" s="265">
        <v>0.0377002827521206</v>
      </c>
      <c r="I6939" s="265">
        <v>0.0452224653537564</v>
      </c>
      <c r="J6939" s="265">
        <v>0.0324074074074074</v>
      </c>
      <c r="K6939" s="265">
        <v>0.0361958836053939</v>
      </c>
      <c r="L6939" s="265">
        <v>0.0345744680851064</v>
      </c>
      <c r="M6939" s="265">
        <v>0.0399373531714957</v>
      </c>
      <c r="N6939" s="265">
        <v>0.0425925925925926</v>
      </c>
      <c r="O6939" s="277">
        <v>0.0325301204819277</v>
      </c>
    </row>
    <row r="6940" spans="1:15">
      <c r="A6940" s="266" t="s">
        <v>72</v>
      </c>
      <c r="B6940" s="267" t="s">
        <v>57</v>
      </c>
      <c r="C6940" s="15">
        <v>13184</v>
      </c>
      <c r="D6940" s="268">
        <v>805</v>
      </c>
      <c r="E6940" s="268">
        <v>356</v>
      </c>
      <c r="F6940" s="268">
        <v>292</v>
      </c>
      <c r="G6940" s="268">
        <v>533</v>
      </c>
      <c r="H6940" s="268">
        <v>1061</v>
      </c>
      <c r="I6940" s="268">
        <v>1371</v>
      </c>
      <c r="J6940" s="268">
        <v>1296</v>
      </c>
      <c r="K6940" s="268">
        <v>1409</v>
      </c>
      <c r="L6940" s="268">
        <v>1504</v>
      </c>
      <c r="M6940" s="268">
        <v>1277</v>
      </c>
      <c r="N6940" s="268">
        <v>1620</v>
      </c>
      <c r="O6940" s="278">
        <v>1660</v>
      </c>
    </row>
    <row r="6941" spans="1:15">
      <c r="A6941" s="263" t="s">
        <v>72</v>
      </c>
      <c r="B6941" s="264" t="s">
        <v>59</v>
      </c>
      <c r="C6941" s="15">
        <v>558</v>
      </c>
      <c r="D6941" s="268">
        <v>50</v>
      </c>
      <c r="E6941" s="268">
        <v>38</v>
      </c>
      <c r="F6941" s="268">
        <v>25</v>
      </c>
      <c r="G6941" s="268">
        <v>24</v>
      </c>
      <c r="H6941" s="268">
        <v>40</v>
      </c>
      <c r="I6941" s="268">
        <v>62</v>
      </c>
      <c r="J6941" s="268">
        <v>42</v>
      </c>
      <c r="K6941" s="268">
        <v>51</v>
      </c>
      <c r="L6941" s="268">
        <v>52</v>
      </c>
      <c r="M6941" s="268">
        <v>51</v>
      </c>
      <c r="N6941" s="268">
        <v>69</v>
      </c>
      <c r="O6941" s="278">
        <v>54</v>
      </c>
    </row>
    <row r="6942" spans="1:15">
      <c r="A6942" s="266" t="s">
        <v>72</v>
      </c>
      <c r="B6942" s="267" t="s">
        <v>4</v>
      </c>
      <c r="C6942" s="15">
        <v>43</v>
      </c>
      <c r="D6942" s="269">
        <v>4</v>
      </c>
      <c r="E6942" s="269">
        <v>3</v>
      </c>
      <c r="F6942" s="269">
        <v>3</v>
      </c>
      <c r="G6942" s="269">
        <v>3</v>
      </c>
      <c r="H6942" s="269">
        <v>4</v>
      </c>
      <c r="I6942" s="269">
        <v>2</v>
      </c>
      <c r="J6942" s="269">
        <v>4</v>
      </c>
      <c r="K6942" s="269">
        <v>5</v>
      </c>
      <c r="L6942" s="269">
        <v>1</v>
      </c>
      <c r="M6942" s="269">
        <v>2</v>
      </c>
      <c r="N6942" s="269">
        <v>6</v>
      </c>
      <c r="O6942" s="279">
        <v>6</v>
      </c>
    </row>
    <row r="6943" spans="1:15">
      <c r="A6943" s="263" t="s">
        <v>72</v>
      </c>
      <c r="B6943" s="264" t="s">
        <v>5</v>
      </c>
      <c r="C6943" s="12">
        <v>0.0770609318996416</v>
      </c>
      <c r="D6943" s="265">
        <v>0.08</v>
      </c>
      <c r="E6943" s="265">
        <v>0.0789473684210526</v>
      </c>
      <c r="F6943" s="265">
        <v>0.12</v>
      </c>
      <c r="G6943" s="265">
        <v>0.125</v>
      </c>
      <c r="H6943" s="265">
        <v>0.1</v>
      </c>
      <c r="I6943" s="265">
        <v>0.032258064516129</v>
      </c>
      <c r="J6943" s="265">
        <v>0.0952380952380952</v>
      </c>
      <c r="K6943" s="265">
        <v>0.0980392156862745</v>
      </c>
      <c r="L6943" s="265">
        <v>0.0192307692307692</v>
      </c>
      <c r="M6943" s="265">
        <v>0.0392156862745098</v>
      </c>
      <c r="N6943" s="265">
        <v>0.0869565217391304</v>
      </c>
      <c r="O6943" s="277">
        <v>0.111111111111111</v>
      </c>
    </row>
    <row r="6944" spans="1:15">
      <c r="A6944" s="266" t="s">
        <v>72</v>
      </c>
      <c r="B6944" s="267" t="s">
        <v>6</v>
      </c>
      <c r="C6944" s="15">
        <v>9</v>
      </c>
      <c r="D6944" s="269">
        <v>1</v>
      </c>
      <c r="E6944" s="269">
        <v>1</v>
      </c>
      <c r="F6944" s="269">
        <v>0</v>
      </c>
      <c r="G6944" s="269">
        <v>1</v>
      </c>
      <c r="H6944" s="269">
        <v>0</v>
      </c>
      <c r="I6944" s="269">
        <v>0</v>
      </c>
      <c r="J6944" s="269">
        <v>1</v>
      </c>
      <c r="K6944" s="269">
        <v>2</v>
      </c>
      <c r="L6944" s="269">
        <v>0</v>
      </c>
      <c r="M6944" s="269">
        <v>1</v>
      </c>
      <c r="N6944" s="269">
        <v>1</v>
      </c>
      <c r="O6944" s="279">
        <v>1</v>
      </c>
    </row>
    <row r="6945" ht="14.25" spans="1:15">
      <c r="A6945" s="270" t="s">
        <v>72</v>
      </c>
      <c r="B6945" s="271" t="s">
        <v>64</v>
      </c>
      <c r="C6945" s="19">
        <v>0.209302325581395</v>
      </c>
      <c r="D6945" s="19">
        <v>0.25</v>
      </c>
      <c r="E6945" s="19">
        <v>0.333333333333333</v>
      </c>
      <c r="F6945" s="19">
        <v>0</v>
      </c>
      <c r="G6945" s="19">
        <v>0.333333333333333</v>
      </c>
      <c r="H6945" s="19">
        <v>0</v>
      </c>
      <c r="I6945" s="19">
        <v>0</v>
      </c>
      <c r="J6945" s="19">
        <v>0.25</v>
      </c>
      <c r="K6945" s="19">
        <v>0.4</v>
      </c>
      <c r="L6945" s="19">
        <v>0</v>
      </c>
      <c r="M6945" s="19">
        <v>0.5</v>
      </c>
      <c r="N6945" s="19">
        <v>0.166666666666667</v>
      </c>
      <c r="O6945" s="19">
        <v>0.166666666666667</v>
      </c>
    </row>
    <row r="6946" ht="14.25" spans="1:15">
      <c r="A6946" s="237">
        <v>45126</v>
      </c>
      <c r="B6946" s="237"/>
      <c r="C6946" s="237"/>
      <c r="D6946" s="237"/>
      <c r="E6946" s="237"/>
      <c r="F6946" s="237"/>
      <c r="G6946" s="237"/>
      <c r="H6946" s="237"/>
      <c r="I6946" s="237"/>
      <c r="J6946" s="237"/>
      <c r="K6946" s="237"/>
      <c r="L6946" s="237"/>
      <c r="M6946" s="237"/>
      <c r="N6946" s="237"/>
      <c r="O6946" s="237"/>
    </row>
    <row r="6947" spans="1:15">
      <c r="A6947" s="56" t="s">
        <v>1</v>
      </c>
      <c r="B6947" s="238"/>
      <c r="C6947" s="8" t="s">
        <v>42</v>
      </c>
      <c r="D6947" s="239" t="s">
        <v>43</v>
      </c>
      <c r="E6947" s="239" t="s">
        <v>44</v>
      </c>
      <c r="F6947" s="239" t="s">
        <v>45</v>
      </c>
      <c r="G6947" s="239" t="s">
        <v>46</v>
      </c>
      <c r="H6947" s="239" t="s">
        <v>47</v>
      </c>
      <c r="I6947" s="239" t="s">
        <v>48</v>
      </c>
      <c r="J6947" s="239" t="s">
        <v>49</v>
      </c>
      <c r="K6947" s="239" t="s">
        <v>50</v>
      </c>
      <c r="L6947" s="239" t="s">
        <v>51</v>
      </c>
      <c r="M6947" s="239" t="s">
        <v>52</v>
      </c>
      <c r="N6947" s="239" t="s">
        <v>53</v>
      </c>
      <c r="O6947" s="251" t="s">
        <v>54</v>
      </c>
    </row>
    <row r="6948" spans="1:15">
      <c r="A6948" s="240" t="s">
        <v>22</v>
      </c>
      <c r="B6948" s="47" t="s">
        <v>55</v>
      </c>
      <c r="C6948" s="12">
        <v>0.377483443708609</v>
      </c>
      <c r="D6948" s="241">
        <v>0.39047619047619</v>
      </c>
      <c r="E6948" s="241">
        <v>0.397590361445783</v>
      </c>
      <c r="F6948" s="241">
        <v>0.423913043478261</v>
      </c>
      <c r="G6948" s="241">
        <v>0.564516129032258</v>
      </c>
      <c r="H6948" s="241">
        <v>0.343065693430657</v>
      </c>
      <c r="I6948" s="241">
        <v>0.428571428571429</v>
      </c>
      <c r="J6948" s="241">
        <v>0.379084967320261</v>
      </c>
      <c r="K6948" s="241">
        <v>0.342105263157895</v>
      </c>
      <c r="L6948" s="241">
        <v>0.402298850574713</v>
      </c>
      <c r="M6948" s="241">
        <v>0.382198952879581</v>
      </c>
      <c r="N6948" s="241">
        <v>0.442307692307692</v>
      </c>
      <c r="O6948" s="252">
        <v>0.282051282051282</v>
      </c>
    </row>
    <row r="6949" spans="1:15">
      <c r="A6949" s="242" t="s">
        <v>22</v>
      </c>
      <c r="B6949" s="43" t="s">
        <v>57</v>
      </c>
      <c r="C6949" s="15">
        <v>1963</v>
      </c>
      <c r="D6949" s="243">
        <v>210</v>
      </c>
      <c r="E6949" s="243">
        <v>83</v>
      </c>
      <c r="F6949" s="243">
        <v>92</v>
      </c>
      <c r="G6949" s="243">
        <v>62</v>
      </c>
      <c r="H6949" s="243">
        <v>137</v>
      </c>
      <c r="I6949" s="243">
        <v>112</v>
      </c>
      <c r="J6949" s="243">
        <v>153</v>
      </c>
      <c r="K6949" s="243">
        <v>190</v>
      </c>
      <c r="L6949" s="243">
        <v>174</v>
      </c>
      <c r="M6949" s="243">
        <v>191</v>
      </c>
      <c r="N6949" s="243">
        <v>208</v>
      </c>
      <c r="O6949" s="253">
        <v>351</v>
      </c>
    </row>
    <row r="6950" spans="1:15">
      <c r="A6950" s="240" t="s">
        <v>22</v>
      </c>
      <c r="B6950" s="47" t="s">
        <v>59</v>
      </c>
      <c r="C6950" s="15">
        <v>741</v>
      </c>
      <c r="D6950" s="243">
        <v>82</v>
      </c>
      <c r="E6950" s="243">
        <v>33</v>
      </c>
      <c r="F6950" s="243">
        <v>39</v>
      </c>
      <c r="G6950" s="243">
        <v>35</v>
      </c>
      <c r="H6950" s="243">
        <v>47</v>
      </c>
      <c r="I6950" s="243">
        <v>48</v>
      </c>
      <c r="J6950" s="243">
        <v>58</v>
      </c>
      <c r="K6950" s="243">
        <v>65</v>
      </c>
      <c r="L6950" s="243">
        <v>70</v>
      </c>
      <c r="M6950" s="243">
        <v>73</v>
      </c>
      <c r="N6950" s="243">
        <v>92</v>
      </c>
      <c r="O6950" s="253">
        <v>99</v>
      </c>
    </row>
    <row r="6951" spans="1:15">
      <c r="A6951" s="242" t="s">
        <v>22</v>
      </c>
      <c r="B6951" s="43" t="s">
        <v>4</v>
      </c>
      <c r="C6951" s="15">
        <v>28</v>
      </c>
      <c r="D6951" s="244">
        <v>4</v>
      </c>
      <c r="E6951" s="244">
        <v>1</v>
      </c>
      <c r="F6951" s="244">
        <v>3</v>
      </c>
      <c r="G6951" s="244">
        <v>0</v>
      </c>
      <c r="H6951" s="244">
        <v>0</v>
      </c>
      <c r="I6951" s="244">
        <v>2</v>
      </c>
      <c r="J6951" s="244">
        <v>2</v>
      </c>
      <c r="K6951" s="244">
        <v>4</v>
      </c>
      <c r="L6951" s="244">
        <v>2</v>
      </c>
      <c r="M6951" s="244">
        <v>2</v>
      </c>
      <c r="N6951" s="244">
        <v>4</v>
      </c>
      <c r="O6951" s="254">
        <v>4</v>
      </c>
    </row>
    <row r="6952" spans="1:15">
      <c r="A6952" s="240" t="s">
        <v>22</v>
      </c>
      <c r="B6952" s="47" t="s">
        <v>5</v>
      </c>
      <c r="C6952" s="12">
        <v>0.0377867746288799</v>
      </c>
      <c r="D6952" s="241">
        <v>0.0487804878048781</v>
      </c>
      <c r="E6952" s="241">
        <v>0.0303030303030303</v>
      </c>
      <c r="F6952" s="241">
        <v>0.0769230769230769</v>
      </c>
      <c r="G6952" s="241">
        <v>0</v>
      </c>
      <c r="H6952" s="241">
        <v>0</v>
      </c>
      <c r="I6952" s="241">
        <v>0.0416666666666667</v>
      </c>
      <c r="J6952" s="241">
        <v>0.0344827586206897</v>
      </c>
      <c r="K6952" s="241">
        <v>0.0615384615384615</v>
      </c>
      <c r="L6952" s="241">
        <v>0.0285714285714286</v>
      </c>
      <c r="M6952" s="241">
        <v>0.0273972602739726</v>
      </c>
      <c r="N6952" s="241">
        <v>0.0434782608695652</v>
      </c>
      <c r="O6952" s="252">
        <v>0.0404040404040404</v>
      </c>
    </row>
    <row r="6953" spans="1:15">
      <c r="A6953" s="242" t="s">
        <v>22</v>
      </c>
      <c r="B6953" s="43" t="s">
        <v>6</v>
      </c>
      <c r="C6953" s="15">
        <v>11</v>
      </c>
      <c r="D6953" s="244">
        <v>4</v>
      </c>
      <c r="E6953" s="244">
        <v>1</v>
      </c>
      <c r="F6953" s="244">
        <v>0</v>
      </c>
      <c r="G6953" s="244">
        <v>1</v>
      </c>
      <c r="H6953" s="244">
        <v>0</v>
      </c>
      <c r="I6953" s="244">
        <v>1</v>
      </c>
      <c r="J6953" s="244">
        <v>1</v>
      </c>
      <c r="K6953" s="244">
        <v>0</v>
      </c>
      <c r="L6953" s="244">
        <v>2</v>
      </c>
      <c r="M6953" s="244">
        <v>0</v>
      </c>
      <c r="N6953" s="244">
        <v>1</v>
      </c>
      <c r="O6953" s="254">
        <v>0</v>
      </c>
    </row>
    <row r="6954" ht="14.25" spans="1:15">
      <c r="A6954" s="245" t="s">
        <v>22</v>
      </c>
      <c r="B6954" s="52" t="s">
        <v>64</v>
      </c>
      <c r="C6954" s="19">
        <v>0.392857142857143</v>
      </c>
      <c r="D6954" s="246">
        <v>1</v>
      </c>
      <c r="E6954" s="246">
        <v>1</v>
      </c>
      <c r="F6954" s="246">
        <v>0</v>
      </c>
      <c r="G6954" s="246">
        <v>0</v>
      </c>
      <c r="H6954" s="246">
        <v>0</v>
      </c>
      <c r="I6954" s="246">
        <v>0.5</v>
      </c>
      <c r="J6954" s="246">
        <v>0.5</v>
      </c>
      <c r="K6954" s="246">
        <v>0</v>
      </c>
      <c r="L6954" s="246">
        <v>1</v>
      </c>
      <c r="M6954" s="246">
        <v>0</v>
      </c>
      <c r="N6954" s="246">
        <v>0.25</v>
      </c>
      <c r="O6954" s="255">
        <v>0</v>
      </c>
    </row>
    <row r="6955" spans="1:15">
      <c r="A6955" s="247" t="s">
        <v>66</v>
      </c>
      <c r="B6955" s="248" t="s">
        <v>55</v>
      </c>
      <c r="C6955" s="12">
        <v>0.135722455203965</v>
      </c>
      <c r="D6955" s="249">
        <v>0.140350877192982</v>
      </c>
      <c r="E6955" s="249">
        <v>0.216783216783217</v>
      </c>
      <c r="F6955" s="249">
        <v>0.154411764705882</v>
      </c>
      <c r="G6955" s="249">
        <v>0.0645161290322581</v>
      </c>
      <c r="H6955" s="249">
        <v>0.0867579908675799</v>
      </c>
      <c r="I6955" s="249">
        <v>0.0780487804878049</v>
      </c>
      <c r="J6955" s="249">
        <v>0.0704845814977974</v>
      </c>
      <c r="K6955" s="249">
        <v>0.113207547169811</v>
      </c>
      <c r="L6955" s="249">
        <v>0.15748031496063</v>
      </c>
      <c r="M6955" s="249">
        <v>0.159420289855072</v>
      </c>
      <c r="N6955" s="249">
        <v>0.174721189591078</v>
      </c>
      <c r="O6955" s="256">
        <v>0.193650793650794</v>
      </c>
    </row>
    <row r="6956" spans="1:15">
      <c r="A6956" s="242" t="s">
        <v>66</v>
      </c>
      <c r="B6956" s="43" t="s">
        <v>57</v>
      </c>
      <c r="C6956" s="15">
        <v>2623</v>
      </c>
      <c r="D6956" s="243">
        <v>228</v>
      </c>
      <c r="E6956" s="243">
        <v>143</v>
      </c>
      <c r="F6956" s="243">
        <v>136</v>
      </c>
      <c r="G6956" s="243">
        <v>155</v>
      </c>
      <c r="H6956" s="243">
        <v>219</v>
      </c>
      <c r="I6956" s="243">
        <v>205</v>
      </c>
      <c r="J6956" s="243">
        <v>227</v>
      </c>
      <c r="K6956" s="243">
        <v>265</v>
      </c>
      <c r="L6956" s="243">
        <v>254</v>
      </c>
      <c r="M6956" s="243">
        <v>207</v>
      </c>
      <c r="N6956" s="243">
        <v>269</v>
      </c>
      <c r="O6956" s="253">
        <v>315</v>
      </c>
    </row>
    <row r="6957" spans="1:15">
      <c r="A6957" s="240" t="s">
        <v>66</v>
      </c>
      <c r="B6957" s="47" t="s">
        <v>59</v>
      </c>
      <c r="C6957" s="15">
        <v>356</v>
      </c>
      <c r="D6957" s="243">
        <v>32</v>
      </c>
      <c r="E6957" s="243">
        <v>31</v>
      </c>
      <c r="F6957" s="243">
        <v>21</v>
      </c>
      <c r="G6957" s="243">
        <v>10</v>
      </c>
      <c r="H6957" s="243">
        <v>19</v>
      </c>
      <c r="I6957" s="243">
        <v>16</v>
      </c>
      <c r="J6957" s="243">
        <v>16</v>
      </c>
      <c r="K6957" s="243">
        <v>30</v>
      </c>
      <c r="L6957" s="243">
        <v>40</v>
      </c>
      <c r="M6957" s="243">
        <v>33</v>
      </c>
      <c r="N6957" s="243">
        <v>47</v>
      </c>
      <c r="O6957" s="253">
        <v>61</v>
      </c>
    </row>
    <row r="6958" spans="1:15">
      <c r="A6958" s="242" t="s">
        <v>66</v>
      </c>
      <c r="B6958" s="43" t="s">
        <v>4</v>
      </c>
      <c r="C6958" s="15">
        <v>11</v>
      </c>
      <c r="D6958" s="244">
        <v>0</v>
      </c>
      <c r="E6958" s="244">
        <v>0</v>
      </c>
      <c r="F6958" s="244">
        <v>0</v>
      </c>
      <c r="G6958" s="244">
        <v>0</v>
      </c>
      <c r="H6958" s="244">
        <v>2</v>
      </c>
      <c r="I6958" s="244">
        <v>0</v>
      </c>
      <c r="J6958" s="244">
        <v>2</v>
      </c>
      <c r="K6958" s="244">
        <v>2</v>
      </c>
      <c r="L6958" s="244">
        <v>2</v>
      </c>
      <c r="M6958" s="244">
        <v>0</v>
      </c>
      <c r="N6958" s="244">
        <v>2</v>
      </c>
      <c r="O6958" s="254">
        <v>1</v>
      </c>
    </row>
    <row r="6959" spans="1:15">
      <c r="A6959" s="240" t="s">
        <v>66</v>
      </c>
      <c r="B6959" s="47" t="s">
        <v>5</v>
      </c>
      <c r="C6959" s="12">
        <v>0.0308988764044944</v>
      </c>
      <c r="D6959" s="241">
        <v>0</v>
      </c>
      <c r="E6959" s="241">
        <v>0</v>
      </c>
      <c r="F6959" s="241">
        <v>0</v>
      </c>
      <c r="G6959" s="241">
        <v>0</v>
      </c>
      <c r="H6959" s="241">
        <v>0.105263157894737</v>
      </c>
      <c r="I6959" s="241">
        <v>0</v>
      </c>
      <c r="J6959" s="241">
        <v>0.125</v>
      </c>
      <c r="K6959" s="241">
        <v>0.0666666666666667</v>
      </c>
      <c r="L6959" s="241">
        <v>0.05</v>
      </c>
      <c r="M6959" s="241">
        <v>0</v>
      </c>
      <c r="N6959" s="241">
        <v>0.0425531914893617</v>
      </c>
      <c r="O6959" s="252">
        <v>0.0163934426229508</v>
      </c>
    </row>
    <row r="6960" spans="1:15">
      <c r="A6960" s="242" t="s">
        <v>66</v>
      </c>
      <c r="B6960" s="43" t="s">
        <v>6</v>
      </c>
      <c r="C6960" s="15">
        <v>4</v>
      </c>
      <c r="D6960" s="244">
        <v>0</v>
      </c>
      <c r="E6960" s="244">
        <v>0</v>
      </c>
      <c r="F6960" s="244">
        <v>0</v>
      </c>
      <c r="G6960" s="244">
        <v>0</v>
      </c>
      <c r="H6960" s="244">
        <v>0</v>
      </c>
      <c r="I6960" s="244">
        <v>2</v>
      </c>
      <c r="J6960" s="244">
        <v>0</v>
      </c>
      <c r="K6960" s="244">
        <v>0</v>
      </c>
      <c r="L6960" s="244">
        <v>2</v>
      </c>
      <c r="M6960" s="244">
        <v>0</v>
      </c>
      <c r="N6960" s="244">
        <v>0</v>
      </c>
      <c r="O6960" s="254">
        <v>0</v>
      </c>
    </row>
    <row r="6961" ht="14.25" spans="1:15">
      <c r="A6961" s="245" t="s">
        <v>66</v>
      </c>
      <c r="B6961" s="52" t="s">
        <v>64</v>
      </c>
      <c r="C6961" s="19">
        <v>0.363636363636364</v>
      </c>
      <c r="D6961" s="246">
        <v>0</v>
      </c>
      <c r="E6961" s="246">
        <v>0</v>
      </c>
      <c r="F6961" s="246">
        <v>0</v>
      </c>
      <c r="G6961" s="246">
        <v>0</v>
      </c>
      <c r="H6961" s="246">
        <v>0</v>
      </c>
      <c r="I6961" s="246">
        <v>0</v>
      </c>
      <c r="J6961" s="246">
        <v>0</v>
      </c>
      <c r="K6961" s="246">
        <v>0</v>
      </c>
      <c r="L6961" s="246">
        <v>1</v>
      </c>
      <c r="M6961" s="246">
        <v>0</v>
      </c>
      <c r="N6961" s="246">
        <v>0</v>
      </c>
      <c r="O6961" s="255">
        <v>0</v>
      </c>
    </row>
    <row r="6962" spans="1:15">
      <c r="A6962" s="240" t="s">
        <v>67</v>
      </c>
      <c r="B6962" s="47" t="s">
        <v>55</v>
      </c>
      <c r="C6962" s="12">
        <v>0.565217391304348</v>
      </c>
      <c r="D6962" s="241">
        <v>0.559322033898305</v>
      </c>
      <c r="E6962" s="241">
        <v>0.724137931034483</v>
      </c>
      <c r="F6962" s="241">
        <v>0.321428571428571</v>
      </c>
      <c r="G6962" s="241">
        <v>0.40625</v>
      </c>
      <c r="H6962" s="241">
        <v>0.763157894736842</v>
      </c>
      <c r="I6962" s="241">
        <v>0.724137931034483</v>
      </c>
      <c r="J6962" s="241">
        <v>0.490909090909091</v>
      </c>
      <c r="K6962" s="241">
        <v>0.666666666666667</v>
      </c>
      <c r="L6962" s="241">
        <v>0.576271186440678</v>
      </c>
      <c r="M6962" s="241">
        <v>0.575</v>
      </c>
      <c r="N6962" s="241">
        <v>0.48</v>
      </c>
      <c r="O6962" s="252">
        <v>0.532258064516129</v>
      </c>
    </row>
    <row r="6963" spans="1:15">
      <c r="A6963" s="242" t="s">
        <v>67</v>
      </c>
      <c r="B6963" s="43" t="s">
        <v>57</v>
      </c>
      <c r="C6963" s="15">
        <v>529</v>
      </c>
      <c r="D6963" s="243">
        <v>59</v>
      </c>
      <c r="E6963" s="243">
        <v>29</v>
      </c>
      <c r="F6963" s="243">
        <v>28</v>
      </c>
      <c r="G6963" s="243">
        <v>32</v>
      </c>
      <c r="H6963" s="243">
        <v>38</v>
      </c>
      <c r="I6963" s="243">
        <v>29</v>
      </c>
      <c r="J6963" s="243">
        <v>55</v>
      </c>
      <c r="K6963" s="243">
        <v>48</v>
      </c>
      <c r="L6963" s="243">
        <v>59</v>
      </c>
      <c r="M6963" s="243">
        <v>40</v>
      </c>
      <c r="N6963" s="243">
        <v>50</v>
      </c>
      <c r="O6963" s="253">
        <v>62</v>
      </c>
    </row>
    <row r="6964" spans="1:15">
      <c r="A6964" s="240" t="s">
        <v>67</v>
      </c>
      <c r="B6964" s="47" t="s">
        <v>59</v>
      </c>
      <c r="C6964" s="15">
        <v>299</v>
      </c>
      <c r="D6964" s="243">
        <v>33</v>
      </c>
      <c r="E6964" s="243">
        <v>21</v>
      </c>
      <c r="F6964" s="243">
        <v>9</v>
      </c>
      <c r="G6964" s="243">
        <v>13</v>
      </c>
      <c r="H6964" s="243">
        <v>29</v>
      </c>
      <c r="I6964" s="243">
        <v>21</v>
      </c>
      <c r="J6964" s="243">
        <v>27</v>
      </c>
      <c r="K6964" s="243">
        <v>32</v>
      </c>
      <c r="L6964" s="243">
        <v>34</v>
      </c>
      <c r="M6964" s="243">
        <v>23</v>
      </c>
      <c r="N6964" s="243">
        <v>24</v>
      </c>
      <c r="O6964" s="253">
        <v>33</v>
      </c>
    </row>
    <row r="6965" spans="1:15">
      <c r="A6965" s="242" t="s">
        <v>67</v>
      </c>
      <c r="B6965" s="43" t="s">
        <v>4</v>
      </c>
      <c r="C6965" s="15">
        <v>7</v>
      </c>
      <c r="D6965" s="244">
        <v>0</v>
      </c>
      <c r="E6965" s="244">
        <v>1</v>
      </c>
      <c r="F6965" s="244">
        <v>0</v>
      </c>
      <c r="G6965" s="244">
        <v>0</v>
      </c>
      <c r="H6965" s="244">
        <v>1</v>
      </c>
      <c r="I6965" s="244">
        <v>0</v>
      </c>
      <c r="J6965" s="244">
        <v>0</v>
      </c>
      <c r="K6965" s="244">
        <v>2</v>
      </c>
      <c r="L6965" s="244">
        <v>1</v>
      </c>
      <c r="M6965" s="244">
        <v>1</v>
      </c>
      <c r="N6965" s="244">
        <v>0</v>
      </c>
      <c r="O6965" s="254">
        <v>1</v>
      </c>
    </row>
    <row r="6966" spans="1:15">
      <c r="A6966" s="240" t="s">
        <v>67</v>
      </c>
      <c r="B6966" s="47" t="s">
        <v>5</v>
      </c>
      <c r="C6966" s="12">
        <v>0.0234113712374582</v>
      </c>
      <c r="D6966" s="241">
        <v>0</v>
      </c>
      <c r="E6966" s="241">
        <v>0.0476190476190476</v>
      </c>
      <c r="F6966" s="241">
        <v>0</v>
      </c>
      <c r="G6966" s="241">
        <v>0</v>
      </c>
      <c r="H6966" s="241">
        <v>0.0344827586206897</v>
      </c>
      <c r="I6966" s="241">
        <v>0</v>
      </c>
      <c r="J6966" s="241">
        <v>0</v>
      </c>
      <c r="K6966" s="241">
        <v>0.0625</v>
      </c>
      <c r="L6966" s="241">
        <v>0.0294117647058824</v>
      </c>
      <c r="M6966" s="241">
        <v>0.0434782608695652</v>
      </c>
      <c r="N6966" s="241">
        <v>0</v>
      </c>
      <c r="O6966" s="252">
        <v>0.0303030303030303</v>
      </c>
    </row>
    <row r="6967" spans="1:15">
      <c r="A6967" s="242" t="s">
        <v>67</v>
      </c>
      <c r="B6967" s="43" t="s">
        <v>6</v>
      </c>
      <c r="C6967" s="15">
        <v>2</v>
      </c>
      <c r="D6967" s="244">
        <v>0</v>
      </c>
      <c r="E6967" s="244">
        <v>0</v>
      </c>
      <c r="F6967" s="244">
        <v>0</v>
      </c>
      <c r="G6967" s="244">
        <v>0</v>
      </c>
      <c r="H6967" s="244">
        <v>0</v>
      </c>
      <c r="I6967" s="244">
        <v>0</v>
      </c>
      <c r="J6967" s="244">
        <v>0</v>
      </c>
      <c r="K6967" s="244">
        <v>0</v>
      </c>
      <c r="L6967" s="244">
        <v>1</v>
      </c>
      <c r="M6967" s="244">
        <v>1</v>
      </c>
      <c r="N6967" s="244">
        <v>0</v>
      </c>
      <c r="O6967" s="254">
        <v>0</v>
      </c>
    </row>
    <row r="6968" ht="14.25" spans="1:15">
      <c r="A6968" s="245" t="s">
        <v>67</v>
      </c>
      <c r="B6968" s="52" t="s">
        <v>64</v>
      </c>
      <c r="C6968" s="19">
        <v>0.285714285714286</v>
      </c>
      <c r="D6968" s="246">
        <v>0</v>
      </c>
      <c r="E6968" s="246">
        <v>0</v>
      </c>
      <c r="F6968" s="246">
        <v>0</v>
      </c>
      <c r="G6968" s="246">
        <v>0</v>
      </c>
      <c r="H6968" s="246">
        <v>0</v>
      </c>
      <c r="I6968" s="246">
        <v>0</v>
      </c>
      <c r="J6968" s="246">
        <v>0</v>
      </c>
      <c r="K6968" s="246">
        <v>0</v>
      </c>
      <c r="L6968" s="246">
        <v>1</v>
      </c>
      <c r="M6968" s="246">
        <v>1</v>
      </c>
      <c r="N6968" s="246">
        <v>0</v>
      </c>
      <c r="O6968" s="255">
        <v>0</v>
      </c>
    </row>
    <row r="6969" spans="1:15">
      <c r="A6969" s="240" t="s">
        <v>68</v>
      </c>
      <c r="B6969" s="47" t="s">
        <v>55</v>
      </c>
      <c r="C6969" s="12">
        <v>0.161356628982528</v>
      </c>
      <c r="D6969" s="241">
        <v>0.175438596491228</v>
      </c>
      <c r="E6969" s="241">
        <v>0.164835164835165</v>
      </c>
      <c r="F6969" s="241">
        <v>0.115107913669065</v>
      </c>
      <c r="G6969" s="241">
        <v>0.169491525423729</v>
      </c>
      <c r="H6969" s="241">
        <v>0.172413793103448</v>
      </c>
      <c r="I6969" s="241">
        <v>0.166666666666667</v>
      </c>
      <c r="J6969" s="241">
        <v>0.144067796610169</v>
      </c>
      <c r="K6969" s="241">
        <v>0.130769230769231</v>
      </c>
      <c r="L6969" s="241">
        <v>0.157534246575342</v>
      </c>
      <c r="M6969" s="241">
        <v>0.196911196911197</v>
      </c>
      <c r="N6969" s="241">
        <v>0.183673469387755</v>
      </c>
      <c r="O6969" s="252">
        <v>0.14327485380117</v>
      </c>
    </row>
    <row r="6970" spans="1:15">
      <c r="A6970" s="242" t="s">
        <v>68</v>
      </c>
      <c r="B6970" s="43" t="s">
        <v>57</v>
      </c>
      <c r="C6970" s="15">
        <v>2919</v>
      </c>
      <c r="D6970" s="243">
        <v>342</v>
      </c>
      <c r="E6970" s="243">
        <v>182</v>
      </c>
      <c r="F6970" s="243">
        <v>139</v>
      </c>
      <c r="G6970" s="243">
        <v>118</v>
      </c>
      <c r="H6970" s="243">
        <v>203</v>
      </c>
      <c r="I6970" s="243">
        <v>252</v>
      </c>
      <c r="J6970" s="243">
        <v>236</v>
      </c>
      <c r="K6970" s="243">
        <v>260</v>
      </c>
      <c r="L6970" s="243">
        <v>292</v>
      </c>
      <c r="M6970" s="243">
        <v>259</v>
      </c>
      <c r="N6970" s="243">
        <v>294</v>
      </c>
      <c r="O6970" s="253">
        <v>342</v>
      </c>
    </row>
    <row r="6971" spans="1:15">
      <c r="A6971" s="240" t="s">
        <v>68</v>
      </c>
      <c r="B6971" s="47" t="s">
        <v>59</v>
      </c>
      <c r="C6971" s="15">
        <v>471</v>
      </c>
      <c r="D6971" s="243">
        <v>60</v>
      </c>
      <c r="E6971" s="243">
        <v>30</v>
      </c>
      <c r="F6971" s="243">
        <v>16</v>
      </c>
      <c r="G6971" s="243">
        <v>20</v>
      </c>
      <c r="H6971" s="243">
        <v>35</v>
      </c>
      <c r="I6971" s="243">
        <v>42</v>
      </c>
      <c r="J6971" s="243">
        <v>34</v>
      </c>
      <c r="K6971" s="243">
        <v>34</v>
      </c>
      <c r="L6971" s="243">
        <v>46</v>
      </c>
      <c r="M6971" s="243">
        <v>51</v>
      </c>
      <c r="N6971" s="243">
        <v>54</v>
      </c>
      <c r="O6971" s="253">
        <v>49</v>
      </c>
    </row>
    <row r="6972" spans="1:15">
      <c r="A6972" s="242" t="s">
        <v>68</v>
      </c>
      <c r="B6972" s="43" t="s">
        <v>4</v>
      </c>
      <c r="C6972" s="15">
        <v>60</v>
      </c>
      <c r="D6972" s="244">
        <v>10</v>
      </c>
      <c r="E6972" s="244">
        <v>2</v>
      </c>
      <c r="F6972" s="244">
        <v>3</v>
      </c>
      <c r="G6972" s="244">
        <v>1</v>
      </c>
      <c r="H6972" s="244">
        <v>2</v>
      </c>
      <c r="I6972" s="244">
        <v>7</v>
      </c>
      <c r="J6972" s="244">
        <v>5</v>
      </c>
      <c r="K6972" s="244">
        <v>5</v>
      </c>
      <c r="L6972" s="244">
        <v>2</v>
      </c>
      <c r="M6972" s="244">
        <v>12</v>
      </c>
      <c r="N6972" s="244">
        <v>4</v>
      </c>
      <c r="O6972" s="254">
        <v>7</v>
      </c>
    </row>
    <row r="6973" spans="1:15">
      <c r="A6973" s="240" t="s">
        <v>68</v>
      </c>
      <c r="B6973" s="47" t="s">
        <v>5</v>
      </c>
      <c r="C6973" s="12">
        <v>0.127388535031847</v>
      </c>
      <c r="D6973" s="241">
        <v>0.166666666666667</v>
      </c>
      <c r="E6973" s="241">
        <v>0.0666666666666667</v>
      </c>
      <c r="F6973" s="241">
        <v>0.1875</v>
      </c>
      <c r="G6973" s="241">
        <v>0.05</v>
      </c>
      <c r="H6973" s="241">
        <v>0.0571428571428571</v>
      </c>
      <c r="I6973" s="241">
        <v>0.166666666666667</v>
      </c>
      <c r="J6973" s="241">
        <v>0.147058823529412</v>
      </c>
      <c r="K6973" s="241">
        <v>0.147058823529412</v>
      </c>
      <c r="L6973" s="241">
        <v>0.0434782608695652</v>
      </c>
      <c r="M6973" s="241">
        <v>0.235294117647059</v>
      </c>
      <c r="N6973" s="241">
        <v>0.0740740740740741</v>
      </c>
      <c r="O6973" s="252">
        <v>0.142857142857143</v>
      </c>
    </row>
    <row r="6974" spans="1:15">
      <c r="A6974" s="242" t="s">
        <v>68</v>
      </c>
      <c r="B6974" s="43" t="s">
        <v>6</v>
      </c>
      <c r="C6974" s="15">
        <v>25</v>
      </c>
      <c r="D6974" s="244">
        <v>7</v>
      </c>
      <c r="E6974" s="244">
        <v>1</v>
      </c>
      <c r="F6974" s="244">
        <v>0</v>
      </c>
      <c r="G6974" s="244">
        <v>0</v>
      </c>
      <c r="H6974" s="244">
        <v>2</v>
      </c>
      <c r="I6974" s="244">
        <v>2</v>
      </c>
      <c r="J6974" s="244">
        <v>1</v>
      </c>
      <c r="K6974" s="244">
        <v>2</v>
      </c>
      <c r="L6974" s="244">
        <v>3</v>
      </c>
      <c r="M6974" s="244">
        <v>4</v>
      </c>
      <c r="N6974" s="244">
        <v>2</v>
      </c>
      <c r="O6974" s="254">
        <v>1</v>
      </c>
    </row>
    <row r="6975" ht="14.25" spans="1:15">
      <c r="A6975" s="245" t="s">
        <v>68</v>
      </c>
      <c r="B6975" s="52" t="s">
        <v>64</v>
      </c>
      <c r="C6975" s="19">
        <v>0.416666666666667</v>
      </c>
      <c r="D6975" s="246">
        <v>0.7</v>
      </c>
      <c r="E6975" s="246">
        <v>0.5</v>
      </c>
      <c r="F6975" s="246">
        <v>0</v>
      </c>
      <c r="G6975" s="246">
        <v>0</v>
      </c>
      <c r="H6975" s="246">
        <v>1</v>
      </c>
      <c r="I6975" s="246">
        <v>0.285714285714286</v>
      </c>
      <c r="J6975" s="246">
        <v>0.2</v>
      </c>
      <c r="K6975" s="246">
        <v>0.4</v>
      </c>
      <c r="L6975" s="246">
        <v>1.5</v>
      </c>
      <c r="M6975" s="246">
        <v>0.333333333333333</v>
      </c>
      <c r="N6975" s="246">
        <v>0.5</v>
      </c>
      <c r="O6975" s="255">
        <v>0.142857142857143</v>
      </c>
    </row>
    <row r="6976" spans="1:15">
      <c r="A6976" s="240" t="s">
        <v>69</v>
      </c>
      <c r="B6976" s="47" t="s">
        <v>55</v>
      </c>
      <c r="C6976" s="12">
        <v>1.64220183486239</v>
      </c>
      <c r="D6976" s="241">
        <v>1.54545454545455</v>
      </c>
      <c r="E6976" s="241">
        <v>1.71428571428571</v>
      </c>
      <c r="F6976" s="241">
        <v>1.28571428571429</v>
      </c>
      <c r="G6976" s="241">
        <v>1.875</v>
      </c>
      <c r="H6976" s="241">
        <v>3.66666666666667</v>
      </c>
      <c r="I6976" s="241">
        <v>1.2</v>
      </c>
      <c r="J6976" s="241">
        <v>2</v>
      </c>
      <c r="K6976" s="241">
        <v>1.45454545454545</v>
      </c>
      <c r="L6976" s="241">
        <v>1.11111111111111</v>
      </c>
      <c r="M6976" s="241">
        <v>2.75</v>
      </c>
      <c r="N6976" s="241">
        <v>1.66666666666667</v>
      </c>
      <c r="O6976" s="252">
        <v>1.3125</v>
      </c>
    </row>
    <row r="6977" spans="1:15">
      <c r="A6977" s="242" t="s">
        <v>69</v>
      </c>
      <c r="B6977" s="43" t="s">
        <v>57</v>
      </c>
      <c r="C6977" s="15">
        <v>109</v>
      </c>
      <c r="D6977" s="243">
        <v>11</v>
      </c>
      <c r="E6977" s="243">
        <v>7</v>
      </c>
      <c r="F6977" s="243">
        <v>7</v>
      </c>
      <c r="G6977" s="243">
        <v>8</v>
      </c>
      <c r="H6977" s="243">
        <v>3</v>
      </c>
      <c r="I6977" s="243">
        <v>10</v>
      </c>
      <c r="J6977" s="243">
        <v>7</v>
      </c>
      <c r="K6977" s="243">
        <v>11</v>
      </c>
      <c r="L6977" s="243">
        <v>9</v>
      </c>
      <c r="M6977" s="243">
        <v>8</v>
      </c>
      <c r="N6977" s="243">
        <v>12</v>
      </c>
      <c r="O6977" s="253">
        <v>16</v>
      </c>
    </row>
    <row r="6978" spans="1:15">
      <c r="A6978" s="240" t="s">
        <v>69</v>
      </c>
      <c r="B6978" s="47" t="s">
        <v>59</v>
      </c>
      <c r="C6978" s="15">
        <v>179</v>
      </c>
      <c r="D6978" s="243">
        <v>17</v>
      </c>
      <c r="E6978" s="243">
        <v>12</v>
      </c>
      <c r="F6978" s="243">
        <v>9</v>
      </c>
      <c r="G6978" s="243">
        <v>15</v>
      </c>
      <c r="H6978" s="243">
        <v>11</v>
      </c>
      <c r="I6978" s="243">
        <v>12</v>
      </c>
      <c r="J6978" s="243">
        <v>14</v>
      </c>
      <c r="K6978" s="243">
        <v>16</v>
      </c>
      <c r="L6978" s="243">
        <v>10</v>
      </c>
      <c r="M6978" s="243">
        <v>22</v>
      </c>
      <c r="N6978" s="243">
        <v>20</v>
      </c>
      <c r="O6978" s="253">
        <v>21</v>
      </c>
    </row>
    <row r="6979" spans="1:15">
      <c r="A6979" s="242" t="s">
        <v>69</v>
      </c>
      <c r="B6979" s="43" t="s">
        <v>4</v>
      </c>
      <c r="C6979" s="15">
        <v>4</v>
      </c>
      <c r="D6979" s="244">
        <v>0</v>
      </c>
      <c r="E6979" s="244">
        <v>2</v>
      </c>
      <c r="F6979" s="244">
        <v>0</v>
      </c>
      <c r="G6979" s="244">
        <v>0</v>
      </c>
      <c r="H6979" s="244">
        <v>0</v>
      </c>
      <c r="I6979" s="244">
        <v>0</v>
      </c>
      <c r="J6979" s="244">
        <v>0</v>
      </c>
      <c r="K6979" s="244">
        <v>2</v>
      </c>
      <c r="L6979" s="244">
        <v>0</v>
      </c>
      <c r="M6979" s="244">
        <v>0</v>
      </c>
      <c r="N6979" s="244">
        <v>0</v>
      </c>
      <c r="O6979" s="254">
        <v>0</v>
      </c>
    </row>
    <row r="6980" spans="1:15">
      <c r="A6980" s="240" t="s">
        <v>69</v>
      </c>
      <c r="B6980" s="47" t="s">
        <v>5</v>
      </c>
      <c r="C6980" s="12">
        <v>0.0223463687150838</v>
      </c>
      <c r="D6980" s="241">
        <v>0</v>
      </c>
      <c r="E6980" s="241">
        <v>0.166666666666667</v>
      </c>
      <c r="F6980" s="241">
        <v>0</v>
      </c>
      <c r="G6980" s="241">
        <v>0</v>
      </c>
      <c r="H6980" s="241">
        <v>0</v>
      </c>
      <c r="I6980" s="241">
        <v>0</v>
      </c>
      <c r="J6980" s="241">
        <v>0</v>
      </c>
      <c r="K6980" s="241">
        <v>0.125</v>
      </c>
      <c r="L6980" s="241">
        <v>0</v>
      </c>
      <c r="M6980" s="241">
        <v>0</v>
      </c>
      <c r="N6980" s="241">
        <v>0</v>
      </c>
      <c r="O6980" s="252">
        <v>0</v>
      </c>
    </row>
    <row r="6981" spans="1:15">
      <c r="A6981" s="242" t="s">
        <v>69</v>
      </c>
      <c r="B6981" s="43" t="s">
        <v>6</v>
      </c>
      <c r="C6981" s="15">
        <v>1</v>
      </c>
      <c r="D6981" s="244">
        <v>0</v>
      </c>
      <c r="E6981" s="244">
        <v>0</v>
      </c>
      <c r="F6981" s="244">
        <v>0</v>
      </c>
      <c r="G6981" s="244">
        <v>0</v>
      </c>
      <c r="H6981" s="244">
        <v>0</v>
      </c>
      <c r="I6981" s="244">
        <v>0</v>
      </c>
      <c r="J6981" s="244">
        <v>1</v>
      </c>
      <c r="K6981" s="244">
        <v>0</v>
      </c>
      <c r="L6981" s="244">
        <v>0</v>
      </c>
      <c r="M6981" s="244">
        <v>0</v>
      </c>
      <c r="N6981" s="244">
        <v>0</v>
      </c>
      <c r="O6981" s="254">
        <v>0</v>
      </c>
    </row>
    <row r="6982" ht="14.25" spans="1:15">
      <c r="A6982" s="245" t="s">
        <v>69</v>
      </c>
      <c r="B6982" s="52" t="s">
        <v>64</v>
      </c>
      <c r="C6982" s="19">
        <v>0.25</v>
      </c>
      <c r="D6982" s="246">
        <v>0</v>
      </c>
      <c r="E6982" s="246">
        <v>0</v>
      </c>
      <c r="F6982" s="246">
        <v>0</v>
      </c>
      <c r="G6982" s="246">
        <v>0</v>
      </c>
      <c r="H6982" s="246">
        <v>0</v>
      </c>
      <c r="I6982" s="246">
        <v>0</v>
      </c>
      <c r="J6982" s="246">
        <v>0</v>
      </c>
      <c r="K6982" s="246">
        <v>0</v>
      </c>
      <c r="L6982" s="246">
        <v>0</v>
      </c>
      <c r="M6982" s="246">
        <v>0</v>
      </c>
      <c r="N6982" s="246">
        <v>0</v>
      </c>
      <c r="O6982" s="255">
        <v>0</v>
      </c>
    </row>
    <row r="6983" spans="1:15">
      <c r="A6983" s="240" t="s">
        <v>70</v>
      </c>
      <c r="B6983" s="47" t="s">
        <v>55</v>
      </c>
      <c r="C6983" s="12">
        <v>0.771526980482204</v>
      </c>
      <c r="D6983" s="241">
        <v>0.94</v>
      </c>
      <c r="E6983" s="241">
        <v>0.863636363636364</v>
      </c>
      <c r="F6983" s="241">
        <v>0.681818181818182</v>
      </c>
      <c r="G6983" s="241">
        <v>1.46153846153846</v>
      </c>
      <c r="H6983" s="241">
        <v>0.716216216216216</v>
      </c>
      <c r="I6983" s="241">
        <v>0.7</v>
      </c>
      <c r="J6983" s="241">
        <v>0.697368421052632</v>
      </c>
      <c r="K6983" s="241">
        <v>0.706896551724138</v>
      </c>
      <c r="L6983" s="241">
        <v>0.708333333333333</v>
      </c>
      <c r="M6983" s="241">
        <v>1</v>
      </c>
      <c r="N6983" s="241">
        <v>0.776595744680851</v>
      </c>
      <c r="O6983" s="252">
        <v>0.721153846153846</v>
      </c>
    </row>
    <row r="6984" spans="1:15">
      <c r="A6984" s="242" t="s">
        <v>70</v>
      </c>
      <c r="B6984" s="43" t="s">
        <v>57</v>
      </c>
      <c r="C6984" s="15">
        <v>871</v>
      </c>
      <c r="D6984" s="243">
        <v>50</v>
      </c>
      <c r="E6984" s="243">
        <v>22</v>
      </c>
      <c r="F6984" s="243">
        <v>22</v>
      </c>
      <c r="G6984" s="243">
        <v>13</v>
      </c>
      <c r="H6984" s="243">
        <v>74</v>
      </c>
      <c r="I6984" s="243">
        <v>120</v>
      </c>
      <c r="J6984" s="243">
        <v>76</v>
      </c>
      <c r="K6984" s="243">
        <v>116</v>
      </c>
      <c r="L6984" s="243">
        <v>96</v>
      </c>
      <c r="M6984" s="243">
        <v>84</v>
      </c>
      <c r="N6984" s="243">
        <v>94</v>
      </c>
      <c r="O6984" s="253">
        <v>104</v>
      </c>
    </row>
    <row r="6985" spans="1:15">
      <c r="A6985" s="240" t="s">
        <v>70</v>
      </c>
      <c r="B6985" s="47" t="s">
        <v>59</v>
      </c>
      <c r="C6985" s="15">
        <v>672</v>
      </c>
      <c r="D6985" s="243">
        <v>47</v>
      </c>
      <c r="E6985" s="243">
        <v>19</v>
      </c>
      <c r="F6985" s="243">
        <v>15</v>
      </c>
      <c r="G6985" s="243">
        <v>19</v>
      </c>
      <c r="H6985" s="243">
        <v>53</v>
      </c>
      <c r="I6985" s="243">
        <v>84</v>
      </c>
      <c r="J6985" s="243">
        <v>53</v>
      </c>
      <c r="K6985" s="243">
        <v>82</v>
      </c>
      <c r="L6985" s="243">
        <v>68</v>
      </c>
      <c r="M6985" s="243">
        <v>84</v>
      </c>
      <c r="N6985" s="243">
        <v>73</v>
      </c>
      <c r="O6985" s="253">
        <v>75</v>
      </c>
    </row>
    <row r="6986" spans="1:15">
      <c r="A6986" s="242" t="s">
        <v>70</v>
      </c>
      <c r="B6986" s="43" t="s">
        <v>4</v>
      </c>
      <c r="C6986" s="15">
        <v>9</v>
      </c>
      <c r="D6986" s="244">
        <v>1</v>
      </c>
      <c r="E6986" s="244">
        <v>0</v>
      </c>
      <c r="F6986" s="244">
        <v>0</v>
      </c>
      <c r="G6986" s="244">
        <v>1</v>
      </c>
      <c r="H6986" s="244">
        <v>0</v>
      </c>
      <c r="I6986" s="244">
        <v>1</v>
      </c>
      <c r="J6986" s="244">
        <v>1</v>
      </c>
      <c r="K6986" s="244">
        <v>0</v>
      </c>
      <c r="L6986" s="244">
        <v>0</v>
      </c>
      <c r="M6986" s="244">
        <v>2</v>
      </c>
      <c r="N6986" s="244">
        <v>2</v>
      </c>
      <c r="O6986" s="254">
        <v>1</v>
      </c>
    </row>
    <row r="6987" spans="1:15">
      <c r="A6987" s="240" t="s">
        <v>70</v>
      </c>
      <c r="B6987" s="47" t="s">
        <v>5</v>
      </c>
      <c r="C6987" s="12">
        <v>0.0133928571428571</v>
      </c>
      <c r="D6987" s="241">
        <v>0.0212765957446809</v>
      </c>
      <c r="E6987" s="241">
        <v>0</v>
      </c>
      <c r="F6987" s="241">
        <v>0</v>
      </c>
      <c r="G6987" s="241">
        <v>0.0526315789473684</v>
      </c>
      <c r="H6987" s="241">
        <v>0</v>
      </c>
      <c r="I6987" s="241">
        <v>0.0119047619047619</v>
      </c>
      <c r="J6987" s="241">
        <v>0.0188679245283019</v>
      </c>
      <c r="K6987" s="241">
        <v>0</v>
      </c>
      <c r="L6987" s="241">
        <v>0</v>
      </c>
      <c r="M6987" s="241">
        <v>0.0238095238095238</v>
      </c>
      <c r="N6987" s="241">
        <v>0.0273972602739726</v>
      </c>
      <c r="O6987" s="252">
        <v>0.0133333333333333</v>
      </c>
    </row>
    <row r="6988" spans="1:15">
      <c r="A6988" s="242" t="s">
        <v>70</v>
      </c>
      <c r="B6988" s="43" t="s">
        <v>6</v>
      </c>
      <c r="C6988" s="15">
        <v>3</v>
      </c>
      <c r="D6988" s="244">
        <v>0</v>
      </c>
      <c r="E6988" s="244">
        <v>0</v>
      </c>
      <c r="F6988" s="244">
        <v>1</v>
      </c>
      <c r="G6988" s="244">
        <v>0</v>
      </c>
      <c r="H6988" s="244">
        <v>0</v>
      </c>
      <c r="I6988" s="244">
        <v>2</v>
      </c>
      <c r="J6988" s="244">
        <v>0</v>
      </c>
      <c r="K6988" s="244">
        <v>0</v>
      </c>
      <c r="L6988" s="244">
        <v>0</v>
      </c>
      <c r="M6988" s="244">
        <v>0</v>
      </c>
      <c r="N6988" s="244">
        <v>0</v>
      </c>
      <c r="O6988" s="254">
        <v>0</v>
      </c>
    </row>
    <row r="6989" ht="14.25" spans="1:15">
      <c r="A6989" s="245" t="s">
        <v>70</v>
      </c>
      <c r="B6989" s="52" t="s">
        <v>64</v>
      </c>
      <c r="C6989" s="19">
        <v>0.333333333333333</v>
      </c>
      <c r="D6989" s="246">
        <v>0</v>
      </c>
      <c r="E6989" s="246">
        <v>0</v>
      </c>
      <c r="F6989" s="246">
        <v>0</v>
      </c>
      <c r="G6989" s="246">
        <v>0</v>
      </c>
      <c r="H6989" s="246">
        <v>0</v>
      </c>
      <c r="I6989" s="246">
        <v>2</v>
      </c>
      <c r="J6989" s="246">
        <v>0</v>
      </c>
      <c r="K6989" s="246">
        <v>0</v>
      </c>
      <c r="L6989" s="246">
        <v>0</v>
      </c>
      <c r="M6989" s="246">
        <v>0</v>
      </c>
      <c r="N6989" s="246">
        <v>0</v>
      </c>
      <c r="O6989" s="255">
        <v>0</v>
      </c>
    </row>
    <row r="6990" spans="1:15">
      <c r="A6990" s="240" t="s">
        <v>26</v>
      </c>
      <c r="B6990" s="47" t="s">
        <v>55</v>
      </c>
      <c r="C6990" s="12">
        <v>0.851612903225806</v>
      </c>
      <c r="D6990" s="241">
        <v>0.818181818181818</v>
      </c>
      <c r="E6990" s="241">
        <v>0.880952380952381</v>
      </c>
      <c r="F6990" s="241">
        <v>0.835443037974684</v>
      </c>
      <c r="G6990" s="241">
        <v>0.927536231884058</v>
      </c>
      <c r="H6990" s="241">
        <v>0.935251798561151</v>
      </c>
      <c r="I6990" s="241">
        <v>0.942528735632184</v>
      </c>
      <c r="J6990" s="241">
        <v>0.798076923076923</v>
      </c>
      <c r="K6990" s="241">
        <v>0.863387978142076</v>
      </c>
      <c r="L6990" s="241">
        <v>0.887096774193548</v>
      </c>
      <c r="M6990" s="241">
        <v>0.806603773584906</v>
      </c>
      <c r="N6990" s="241">
        <v>0.813229571984436</v>
      </c>
      <c r="O6990" s="252">
        <v>0.826254826254826</v>
      </c>
    </row>
    <row r="6991" spans="1:15">
      <c r="A6991" s="242" t="s">
        <v>26</v>
      </c>
      <c r="B6991" s="43" t="s">
        <v>57</v>
      </c>
      <c r="C6991" s="15">
        <v>2015</v>
      </c>
      <c r="D6991" s="243">
        <v>165</v>
      </c>
      <c r="E6991" s="243">
        <v>84</v>
      </c>
      <c r="F6991" s="243">
        <v>79</v>
      </c>
      <c r="G6991" s="243">
        <v>69</v>
      </c>
      <c r="H6991" s="243">
        <v>139</v>
      </c>
      <c r="I6991" s="243">
        <v>174</v>
      </c>
      <c r="J6991" s="243">
        <v>208</v>
      </c>
      <c r="K6991" s="243">
        <v>183</v>
      </c>
      <c r="L6991" s="243">
        <v>186</v>
      </c>
      <c r="M6991" s="243">
        <v>212</v>
      </c>
      <c r="N6991" s="243">
        <v>257</v>
      </c>
      <c r="O6991" s="253">
        <v>259</v>
      </c>
    </row>
    <row r="6992" spans="1:15">
      <c r="A6992" s="240" t="s">
        <v>26</v>
      </c>
      <c r="B6992" s="47" t="s">
        <v>59</v>
      </c>
      <c r="C6992" s="15">
        <v>1716</v>
      </c>
      <c r="D6992" s="243">
        <v>135</v>
      </c>
      <c r="E6992" s="243">
        <v>74</v>
      </c>
      <c r="F6992" s="243">
        <v>66</v>
      </c>
      <c r="G6992" s="243">
        <v>64</v>
      </c>
      <c r="H6992" s="243">
        <v>130</v>
      </c>
      <c r="I6992" s="243">
        <v>164</v>
      </c>
      <c r="J6992" s="243">
        <v>166</v>
      </c>
      <c r="K6992" s="243">
        <v>158</v>
      </c>
      <c r="L6992" s="243">
        <v>165</v>
      </c>
      <c r="M6992" s="243">
        <v>171</v>
      </c>
      <c r="N6992" s="243">
        <v>209</v>
      </c>
      <c r="O6992" s="253">
        <v>214</v>
      </c>
    </row>
    <row r="6993" spans="1:15">
      <c r="A6993" s="242" t="s">
        <v>26</v>
      </c>
      <c r="B6993" s="43" t="s">
        <v>4</v>
      </c>
      <c r="C6993" s="15">
        <v>24</v>
      </c>
      <c r="D6993" s="244">
        <v>1</v>
      </c>
      <c r="E6993" s="244">
        <v>4</v>
      </c>
      <c r="F6993" s="244">
        <v>2</v>
      </c>
      <c r="G6993" s="244">
        <v>1</v>
      </c>
      <c r="H6993" s="244">
        <v>1</v>
      </c>
      <c r="I6993" s="244">
        <v>2</v>
      </c>
      <c r="J6993" s="244">
        <v>2</v>
      </c>
      <c r="K6993" s="244">
        <v>1</v>
      </c>
      <c r="L6993" s="244">
        <v>2</v>
      </c>
      <c r="M6993" s="244">
        <v>3</v>
      </c>
      <c r="N6993" s="244">
        <v>0</v>
      </c>
      <c r="O6993" s="254">
        <v>5</v>
      </c>
    </row>
    <row r="6994" spans="1:15">
      <c r="A6994" s="240" t="s">
        <v>26</v>
      </c>
      <c r="B6994" s="47" t="s">
        <v>5</v>
      </c>
      <c r="C6994" s="12">
        <v>0.013986013986014</v>
      </c>
      <c r="D6994" s="241">
        <v>0.00740740740740741</v>
      </c>
      <c r="E6994" s="241">
        <v>0.0540540540540541</v>
      </c>
      <c r="F6994" s="241">
        <v>0.0303030303030303</v>
      </c>
      <c r="G6994" s="241">
        <v>0.015625</v>
      </c>
      <c r="H6994" s="241">
        <v>0.00769230769230769</v>
      </c>
      <c r="I6994" s="241">
        <v>0.0121951219512195</v>
      </c>
      <c r="J6994" s="241">
        <v>0.0120481927710843</v>
      </c>
      <c r="K6994" s="241">
        <v>0.00632911392405063</v>
      </c>
      <c r="L6994" s="241">
        <v>0.0121212121212121</v>
      </c>
      <c r="M6994" s="241">
        <v>0.0175438596491228</v>
      </c>
      <c r="N6994" s="241">
        <v>0</v>
      </c>
      <c r="O6994" s="252">
        <v>0.0233644859813084</v>
      </c>
    </row>
    <row r="6995" spans="1:15">
      <c r="A6995" s="242" t="s">
        <v>26</v>
      </c>
      <c r="B6995" s="43" t="s">
        <v>6</v>
      </c>
      <c r="C6995" s="15">
        <v>5</v>
      </c>
      <c r="D6995" s="244">
        <v>0</v>
      </c>
      <c r="E6995" s="244">
        <v>1</v>
      </c>
      <c r="F6995" s="244">
        <v>0</v>
      </c>
      <c r="G6995" s="244">
        <v>0</v>
      </c>
      <c r="H6995" s="244">
        <v>1</v>
      </c>
      <c r="I6995" s="244">
        <v>0</v>
      </c>
      <c r="J6995" s="244">
        <v>0</v>
      </c>
      <c r="K6995" s="244">
        <v>0</v>
      </c>
      <c r="L6995" s="244">
        <v>0</v>
      </c>
      <c r="M6995" s="244">
        <v>1</v>
      </c>
      <c r="N6995" s="244">
        <v>0</v>
      </c>
      <c r="O6995" s="254">
        <v>2</v>
      </c>
    </row>
    <row r="6996" ht="14.25" spans="1:15">
      <c r="A6996" s="245" t="s">
        <v>26</v>
      </c>
      <c r="B6996" s="52" t="s">
        <v>64</v>
      </c>
      <c r="C6996" s="19">
        <v>0.208333333333333</v>
      </c>
      <c r="D6996" s="19">
        <v>0</v>
      </c>
      <c r="E6996" s="19">
        <v>0.25</v>
      </c>
      <c r="F6996" s="19">
        <v>0</v>
      </c>
      <c r="G6996" s="19">
        <v>0</v>
      </c>
      <c r="H6996" s="19">
        <v>1</v>
      </c>
      <c r="I6996" s="19">
        <v>0</v>
      </c>
      <c r="J6996" s="19">
        <v>0</v>
      </c>
      <c r="K6996" s="19">
        <v>0</v>
      </c>
      <c r="L6996" s="19">
        <v>0</v>
      </c>
      <c r="M6996" s="19">
        <v>0.333333333333333</v>
      </c>
      <c r="N6996" s="19" t="e">
        <v>#DIV/0!</v>
      </c>
      <c r="O6996" s="19">
        <v>0.4</v>
      </c>
    </row>
    <row r="6997" spans="1:15">
      <c r="A6997" s="240" t="s">
        <v>71</v>
      </c>
      <c r="B6997" s="47" t="s">
        <v>55</v>
      </c>
      <c r="C6997" s="12">
        <v>0.227488151658768</v>
      </c>
      <c r="D6997" s="241">
        <v>0.170731707317073</v>
      </c>
      <c r="E6997" s="241">
        <v>0.272727272727273</v>
      </c>
      <c r="F6997" s="241">
        <v>0.611111111111111</v>
      </c>
      <c r="G6997" s="241">
        <v>0.222222222222222</v>
      </c>
      <c r="H6997" s="241">
        <v>0.205882352941176</v>
      </c>
      <c r="I6997" s="241">
        <v>0.25</v>
      </c>
      <c r="J6997" s="241">
        <v>0.0869565217391304</v>
      </c>
      <c r="K6997" s="241">
        <v>0.294117647058824</v>
      </c>
      <c r="L6997" s="241">
        <v>0.260869565217391</v>
      </c>
      <c r="M6997" s="241">
        <v>0.266666666666667</v>
      </c>
      <c r="N6997" s="241">
        <v>0.275</v>
      </c>
      <c r="O6997" s="252">
        <v>0.113207547169811</v>
      </c>
    </row>
    <row r="6998" spans="1:15">
      <c r="A6998" s="242" t="s">
        <v>71</v>
      </c>
      <c r="B6998" s="43" t="s">
        <v>57</v>
      </c>
      <c r="C6998" s="15">
        <v>422</v>
      </c>
      <c r="D6998" s="243">
        <v>41</v>
      </c>
      <c r="E6998" s="243">
        <v>22</v>
      </c>
      <c r="F6998" s="243">
        <v>18</v>
      </c>
      <c r="G6998" s="243">
        <v>18</v>
      </c>
      <c r="H6998" s="243">
        <v>34</v>
      </c>
      <c r="I6998" s="243">
        <v>40</v>
      </c>
      <c r="J6998" s="243">
        <v>46</v>
      </c>
      <c r="K6998" s="243">
        <v>34</v>
      </c>
      <c r="L6998" s="243">
        <v>46</v>
      </c>
      <c r="M6998" s="243">
        <v>30</v>
      </c>
      <c r="N6998" s="243">
        <v>40</v>
      </c>
      <c r="O6998" s="253">
        <v>53</v>
      </c>
    </row>
    <row r="6999" spans="1:15">
      <c r="A6999" s="240" t="s">
        <v>71</v>
      </c>
      <c r="B6999" s="47" t="s">
        <v>59</v>
      </c>
      <c r="C6999" s="15">
        <v>96</v>
      </c>
      <c r="D6999" s="243">
        <v>7</v>
      </c>
      <c r="E6999" s="243">
        <v>6</v>
      </c>
      <c r="F6999" s="243">
        <v>11</v>
      </c>
      <c r="G6999" s="243">
        <v>4</v>
      </c>
      <c r="H6999" s="243">
        <v>7</v>
      </c>
      <c r="I6999" s="243">
        <v>10</v>
      </c>
      <c r="J6999" s="243">
        <v>4</v>
      </c>
      <c r="K6999" s="243">
        <v>10</v>
      </c>
      <c r="L6999" s="243">
        <v>12</v>
      </c>
      <c r="M6999" s="243">
        <v>8</v>
      </c>
      <c r="N6999" s="243">
        <v>11</v>
      </c>
      <c r="O6999" s="253">
        <v>6</v>
      </c>
    </row>
    <row r="7000" spans="1:15">
      <c r="A7000" s="242" t="s">
        <v>71</v>
      </c>
      <c r="B7000" s="43" t="s">
        <v>4</v>
      </c>
      <c r="C7000" s="15">
        <v>16</v>
      </c>
      <c r="D7000" s="244">
        <v>3</v>
      </c>
      <c r="E7000" s="244">
        <v>2</v>
      </c>
      <c r="F7000" s="244">
        <v>2</v>
      </c>
      <c r="G7000" s="244">
        <v>0</v>
      </c>
      <c r="H7000" s="244">
        <v>2</v>
      </c>
      <c r="I7000" s="244">
        <v>0</v>
      </c>
      <c r="J7000" s="244">
        <v>1</v>
      </c>
      <c r="K7000" s="244">
        <v>0</v>
      </c>
      <c r="L7000" s="244">
        <v>0</v>
      </c>
      <c r="M7000" s="244">
        <v>2</v>
      </c>
      <c r="N7000" s="244">
        <v>1</v>
      </c>
      <c r="O7000" s="254">
        <v>3</v>
      </c>
    </row>
    <row r="7001" spans="1:15">
      <c r="A7001" s="240" t="s">
        <v>71</v>
      </c>
      <c r="B7001" s="47" t="s">
        <v>5</v>
      </c>
      <c r="C7001" s="241">
        <v>0.166666666666667</v>
      </c>
      <c r="D7001" s="241">
        <v>0.428571428571429</v>
      </c>
      <c r="E7001" s="241">
        <v>0.333333333333333</v>
      </c>
      <c r="F7001" s="241">
        <v>0.181818181818182</v>
      </c>
      <c r="G7001" s="241">
        <v>0</v>
      </c>
      <c r="H7001" s="241">
        <v>0.285714285714286</v>
      </c>
      <c r="I7001" s="241">
        <v>0</v>
      </c>
      <c r="J7001" s="241">
        <v>0.25</v>
      </c>
      <c r="K7001" s="241">
        <v>0</v>
      </c>
      <c r="L7001" s="241">
        <v>0</v>
      </c>
      <c r="M7001" s="241">
        <v>0.25</v>
      </c>
      <c r="N7001" s="241">
        <v>0.0909090909090909</v>
      </c>
      <c r="O7001" s="252">
        <v>0.5</v>
      </c>
    </row>
    <row r="7002" spans="1:15">
      <c r="A7002" s="242" t="s">
        <v>71</v>
      </c>
      <c r="B7002" s="43" t="s">
        <v>6</v>
      </c>
      <c r="C7002" s="15">
        <v>6</v>
      </c>
      <c r="D7002" s="244">
        <v>1</v>
      </c>
      <c r="E7002" s="244">
        <v>0</v>
      </c>
      <c r="F7002" s="244">
        <v>1</v>
      </c>
      <c r="G7002" s="244">
        <v>0</v>
      </c>
      <c r="H7002" s="244">
        <v>1</v>
      </c>
      <c r="I7002" s="244">
        <v>0</v>
      </c>
      <c r="J7002" s="244">
        <v>1</v>
      </c>
      <c r="K7002" s="244">
        <v>0</v>
      </c>
      <c r="L7002" s="244">
        <v>1</v>
      </c>
      <c r="M7002" s="244">
        <v>0</v>
      </c>
      <c r="N7002" s="244">
        <v>0</v>
      </c>
      <c r="O7002" s="254">
        <v>1</v>
      </c>
    </row>
    <row r="7003" ht="14.25" spans="1:15">
      <c r="A7003" s="245" t="s">
        <v>71</v>
      </c>
      <c r="B7003" s="52" t="s">
        <v>64</v>
      </c>
      <c r="C7003" s="19">
        <v>0.375</v>
      </c>
      <c r="D7003" s="19">
        <v>0.333333333333333</v>
      </c>
      <c r="E7003" s="19">
        <v>0</v>
      </c>
      <c r="F7003" s="19">
        <v>0.5</v>
      </c>
      <c r="G7003" s="19" t="e">
        <v>#DIV/0!</v>
      </c>
      <c r="H7003" s="19">
        <v>0.5</v>
      </c>
      <c r="I7003" s="19" t="e">
        <v>#DIV/0!</v>
      </c>
      <c r="J7003" s="19">
        <v>1</v>
      </c>
      <c r="K7003" s="19" t="e">
        <v>#DIV/0!</v>
      </c>
      <c r="L7003" s="19" t="e">
        <v>#DIV/0!</v>
      </c>
      <c r="M7003" s="19">
        <v>0</v>
      </c>
      <c r="N7003" s="19">
        <v>0</v>
      </c>
      <c r="O7003" s="19">
        <v>0.333333333333333</v>
      </c>
    </row>
    <row r="7004" spans="1:15">
      <c r="A7004" s="240" t="s">
        <v>72</v>
      </c>
      <c r="B7004" s="47" t="s">
        <v>55</v>
      </c>
      <c r="C7004" s="12">
        <v>0.0410537576892217</v>
      </c>
      <c r="D7004" s="241">
        <v>0.0638297872340425</v>
      </c>
      <c r="E7004" s="241">
        <v>0.0927835051546392</v>
      </c>
      <c r="F7004" s="241">
        <v>0.0615384615384615</v>
      </c>
      <c r="G7004" s="241">
        <v>0.0385674931129477</v>
      </c>
      <c r="H7004" s="241">
        <v>0.0377697841726619</v>
      </c>
      <c r="I7004" s="241">
        <v>0.0290148448043185</v>
      </c>
      <c r="J7004" s="241">
        <v>0.0266864343958488</v>
      </c>
      <c r="K7004" s="241">
        <v>0.035110533159948</v>
      </c>
      <c r="L7004" s="241">
        <v>0.0343580470162749</v>
      </c>
      <c r="M7004" s="241">
        <v>0.0375</v>
      </c>
      <c r="N7004" s="241">
        <v>0.0399400898652022</v>
      </c>
      <c r="O7004" s="252">
        <v>0.0524252817246448</v>
      </c>
    </row>
    <row r="7005" spans="1:15">
      <c r="A7005" s="242" t="s">
        <v>72</v>
      </c>
      <c r="B7005" s="43" t="s">
        <v>57</v>
      </c>
      <c r="C7005" s="15">
        <v>14956</v>
      </c>
      <c r="D7005" s="243">
        <v>893</v>
      </c>
      <c r="E7005" s="243">
        <v>388</v>
      </c>
      <c r="F7005" s="243">
        <v>325</v>
      </c>
      <c r="G7005" s="243">
        <v>726</v>
      </c>
      <c r="H7005" s="243">
        <v>1112</v>
      </c>
      <c r="I7005" s="243">
        <v>1482</v>
      </c>
      <c r="J7005" s="243">
        <v>1349</v>
      </c>
      <c r="K7005" s="243">
        <v>1538</v>
      </c>
      <c r="L7005" s="243">
        <v>1659</v>
      </c>
      <c r="M7005" s="243">
        <v>1440</v>
      </c>
      <c r="N7005" s="243">
        <v>2003</v>
      </c>
      <c r="O7005" s="253">
        <v>2041</v>
      </c>
    </row>
    <row r="7006" spans="1:15">
      <c r="A7006" s="240" t="s">
        <v>72</v>
      </c>
      <c r="B7006" s="47" t="s">
        <v>59</v>
      </c>
      <c r="C7006" s="15">
        <v>614</v>
      </c>
      <c r="D7006" s="243">
        <v>57</v>
      </c>
      <c r="E7006" s="243">
        <v>36</v>
      </c>
      <c r="F7006" s="243">
        <v>20</v>
      </c>
      <c r="G7006" s="243">
        <v>28</v>
      </c>
      <c r="H7006" s="243">
        <v>42</v>
      </c>
      <c r="I7006" s="243">
        <v>43</v>
      </c>
      <c r="J7006" s="243">
        <v>36</v>
      </c>
      <c r="K7006" s="243">
        <v>54</v>
      </c>
      <c r="L7006" s="243">
        <v>57</v>
      </c>
      <c r="M7006" s="243">
        <v>54</v>
      </c>
      <c r="N7006" s="243">
        <v>80</v>
      </c>
      <c r="O7006" s="253">
        <v>107</v>
      </c>
    </row>
    <row r="7007" spans="1:15">
      <c r="A7007" s="242" t="s">
        <v>72</v>
      </c>
      <c r="B7007" s="43" t="s">
        <v>4</v>
      </c>
      <c r="C7007" s="15">
        <v>41</v>
      </c>
      <c r="D7007" s="244">
        <v>4</v>
      </c>
      <c r="E7007" s="244">
        <v>4</v>
      </c>
      <c r="F7007" s="244">
        <v>2</v>
      </c>
      <c r="G7007" s="244">
        <v>2</v>
      </c>
      <c r="H7007" s="244">
        <v>2</v>
      </c>
      <c r="I7007" s="244">
        <v>2</v>
      </c>
      <c r="J7007" s="244">
        <v>2</v>
      </c>
      <c r="K7007" s="244">
        <v>4</v>
      </c>
      <c r="L7007" s="244">
        <v>1</v>
      </c>
      <c r="M7007" s="244">
        <v>6</v>
      </c>
      <c r="N7007" s="244">
        <v>5</v>
      </c>
      <c r="O7007" s="254">
        <v>7</v>
      </c>
    </row>
    <row r="7008" spans="1:15">
      <c r="A7008" s="240" t="s">
        <v>72</v>
      </c>
      <c r="B7008" s="47" t="s">
        <v>5</v>
      </c>
      <c r="C7008" s="12">
        <v>0.0667752442996743</v>
      </c>
      <c r="D7008" s="241">
        <v>0.0701754385964912</v>
      </c>
      <c r="E7008" s="241">
        <v>0.111111111111111</v>
      </c>
      <c r="F7008" s="241">
        <v>0.1</v>
      </c>
      <c r="G7008" s="241">
        <v>0.0714285714285714</v>
      </c>
      <c r="H7008" s="241">
        <v>0.0476190476190476</v>
      </c>
      <c r="I7008" s="241">
        <v>0.0465116279069767</v>
      </c>
      <c r="J7008" s="241">
        <v>0.0555555555555556</v>
      </c>
      <c r="K7008" s="241">
        <v>0.0740740740740741</v>
      </c>
      <c r="L7008" s="241">
        <v>0.0175438596491228</v>
      </c>
      <c r="M7008" s="241">
        <v>0.111111111111111</v>
      </c>
      <c r="N7008" s="241">
        <v>0.0625</v>
      </c>
      <c r="O7008" s="252">
        <v>0.0654205607476635</v>
      </c>
    </row>
    <row r="7009" spans="1:15">
      <c r="A7009" s="242" t="s">
        <v>72</v>
      </c>
      <c r="B7009" s="43" t="s">
        <v>6</v>
      </c>
      <c r="C7009" s="15">
        <v>12</v>
      </c>
      <c r="D7009" s="244">
        <v>2</v>
      </c>
      <c r="E7009" s="244">
        <v>2</v>
      </c>
      <c r="F7009" s="244">
        <v>1</v>
      </c>
      <c r="G7009" s="244">
        <v>0</v>
      </c>
      <c r="H7009" s="244">
        <v>1</v>
      </c>
      <c r="I7009" s="244">
        <v>1</v>
      </c>
      <c r="J7009" s="244">
        <v>1</v>
      </c>
      <c r="K7009" s="244">
        <v>2</v>
      </c>
      <c r="L7009" s="244">
        <v>0</v>
      </c>
      <c r="M7009" s="244">
        <v>1</v>
      </c>
      <c r="N7009" s="244">
        <v>1</v>
      </c>
      <c r="O7009" s="254">
        <v>0</v>
      </c>
    </row>
    <row r="7010" ht="14.25" spans="1:15">
      <c r="A7010" s="245" t="s">
        <v>72</v>
      </c>
      <c r="B7010" s="52" t="s">
        <v>64</v>
      </c>
      <c r="C7010" s="19">
        <v>0.292682926829268</v>
      </c>
      <c r="D7010" s="19">
        <v>0.5</v>
      </c>
      <c r="E7010" s="19">
        <v>0.5</v>
      </c>
      <c r="F7010" s="19">
        <v>0.5</v>
      </c>
      <c r="G7010" s="19">
        <v>0</v>
      </c>
      <c r="H7010" s="19">
        <v>0.5</v>
      </c>
      <c r="I7010" s="19">
        <v>0.5</v>
      </c>
      <c r="J7010" s="19">
        <v>0.5</v>
      </c>
      <c r="K7010" s="19">
        <v>0.5</v>
      </c>
      <c r="L7010" s="19">
        <v>0</v>
      </c>
      <c r="M7010" s="19">
        <v>0.166666666666667</v>
      </c>
      <c r="N7010" s="19">
        <v>0.2</v>
      </c>
      <c r="O7010" s="19">
        <v>0</v>
      </c>
    </row>
    <row r="7011" ht="14.25" spans="1:15">
      <c r="A7011" s="237">
        <v>45127</v>
      </c>
      <c r="B7011" s="237"/>
      <c r="C7011" s="237"/>
      <c r="D7011" s="237"/>
      <c r="E7011" s="237"/>
      <c r="F7011" s="237"/>
      <c r="G7011" s="237"/>
      <c r="H7011" s="237"/>
      <c r="I7011" s="237"/>
      <c r="J7011" s="237"/>
      <c r="K7011" s="237"/>
      <c r="L7011" s="237"/>
      <c r="M7011" s="237"/>
      <c r="N7011" s="237"/>
      <c r="O7011" s="237"/>
    </row>
    <row r="7012" spans="1:15">
      <c r="A7012" s="56" t="s">
        <v>1</v>
      </c>
      <c r="B7012" s="238"/>
      <c r="C7012" s="8" t="s">
        <v>42</v>
      </c>
      <c r="D7012" s="239" t="s">
        <v>43</v>
      </c>
      <c r="E7012" s="239" t="s">
        <v>44</v>
      </c>
      <c r="F7012" s="239" t="s">
        <v>45</v>
      </c>
      <c r="G7012" s="239" t="s">
        <v>46</v>
      </c>
      <c r="H7012" s="239" t="s">
        <v>47</v>
      </c>
      <c r="I7012" s="239" t="s">
        <v>48</v>
      </c>
      <c r="J7012" s="239" t="s">
        <v>49</v>
      </c>
      <c r="K7012" s="239" t="s">
        <v>50</v>
      </c>
      <c r="L7012" s="239" t="s">
        <v>51</v>
      </c>
      <c r="M7012" s="239" t="s">
        <v>52</v>
      </c>
      <c r="N7012" s="239" t="s">
        <v>53</v>
      </c>
      <c r="O7012" s="251" t="s">
        <v>54</v>
      </c>
    </row>
    <row r="7013" spans="1:15">
      <c r="A7013" s="240" t="s">
        <v>22</v>
      </c>
      <c r="B7013" s="47" t="s">
        <v>55</v>
      </c>
      <c r="C7013" s="12">
        <v>0.408614025400331</v>
      </c>
      <c r="D7013" s="241">
        <v>0.38695652173913</v>
      </c>
      <c r="E7013" s="241">
        <v>0.347457627118644</v>
      </c>
      <c r="F7013" s="241">
        <v>0.303030303030303</v>
      </c>
      <c r="G7013" s="241">
        <v>0.383838383838384</v>
      </c>
      <c r="H7013" s="241">
        <v>0.380645161290323</v>
      </c>
      <c r="I7013" s="241">
        <v>0.397350993377483</v>
      </c>
      <c r="J7013" s="241">
        <v>0.445161290322581</v>
      </c>
      <c r="K7013" s="241">
        <v>0.50609756097561</v>
      </c>
      <c r="L7013" s="241">
        <v>0.506493506493506</v>
      </c>
      <c r="M7013" s="241">
        <v>0.442028985507246</v>
      </c>
      <c r="N7013" s="241">
        <v>0.431952662721893</v>
      </c>
      <c r="O7013" s="252">
        <v>0.329608938547486</v>
      </c>
    </row>
    <row r="7014" spans="1:15">
      <c r="A7014" s="242" t="s">
        <v>22</v>
      </c>
      <c r="B7014" s="43" t="s">
        <v>57</v>
      </c>
      <c r="C7014" s="15">
        <v>1811</v>
      </c>
      <c r="D7014" s="243">
        <v>230</v>
      </c>
      <c r="E7014" s="243">
        <v>118</v>
      </c>
      <c r="F7014" s="243">
        <v>99</v>
      </c>
      <c r="G7014" s="243">
        <v>99</v>
      </c>
      <c r="H7014" s="243">
        <v>155</v>
      </c>
      <c r="I7014" s="243">
        <v>151</v>
      </c>
      <c r="J7014" s="243">
        <v>155</v>
      </c>
      <c r="K7014" s="243">
        <v>164</v>
      </c>
      <c r="L7014" s="243">
        <v>154</v>
      </c>
      <c r="M7014" s="243">
        <v>138</v>
      </c>
      <c r="N7014" s="243">
        <v>169</v>
      </c>
      <c r="O7014" s="253">
        <v>179</v>
      </c>
    </row>
    <row r="7015" spans="1:15">
      <c r="A7015" s="240" t="s">
        <v>22</v>
      </c>
      <c r="B7015" s="47" t="s">
        <v>59</v>
      </c>
      <c r="C7015" s="15">
        <v>740</v>
      </c>
      <c r="D7015" s="243">
        <v>89</v>
      </c>
      <c r="E7015" s="243">
        <v>41</v>
      </c>
      <c r="F7015" s="243">
        <v>30</v>
      </c>
      <c r="G7015" s="243">
        <v>38</v>
      </c>
      <c r="H7015" s="243">
        <v>59</v>
      </c>
      <c r="I7015" s="243">
        <v>60</v>
      </c>
      <c r="J7015" s="243">
        <v>69</v>
      </c>
      <c r="K7015" s="243">
        <v>83</v>
      </c>
      <c r="L7015" s="243">
        <v>78</v>
      </c>
      <c r="M7015" s="243">
        <v>61</v>
      </c>
      <c r="N7015" s="243">
        <v>73</v>
      </c>
      <c r="O7015" s="253">
        <v>59</v>
      </c>
    </row>
    <row r="7016" spans="1:15">
      <c r="A7016" s="242" t="s">
        <v>22</v>
      </c>
      <c r="B7016" s="43" t="s">
        <v>4</v>
      </c>
      <c r="C7016" s="15">
        <v>44</v>
      </c>
      <c r="D7016" s="244">
        <v>9</v>
      </c>
      <c r="E7016" s="244">
        <v>4</v>
      </c>
      <c r="F7016" s="244">
        <v>2</v>
      </c>
      <c r="G7016" s="244">
        <v>3</v>
      </c>
      <c r="H7016" s="244">
        <v>2</v>
      </c>
      <c r="I7016" s="244">
        <v>3</v>
      </c>
      <c r="J7016" s="244">
        <v>2</v>
      </c>
      <c r="K7016" s="244">
        <v>4</v>
      </c>
      <c r="L7016" s="244">
        <v>4</v>
      </c>
      <c r="M7016" s="244">
        <v>1</v>
      </c>
      <c r="N7016" s="244">
        <v>3</v>
      </c>
      <c r="O7016" s="254">
        <v>7</v>
      </c>
    </row>
    <row r="7017" spans="1:15">
      <c r="A7017" s="240" t="s">
        <v>22</v>
      </c>
      <c r="B7017" s="47" t="s">
        <v>5</v>
      </c>
      <c r="C7017" s="12">
        <v>0.0594594594594595</v>
      </c>
      <c r="D7017" s="241">
        <v>0.101123595505618</v>
      </c>
      <c r="E7017" s="241">
        <v>0.0975609756097561</v>
      </c>
      <c r="F7017" s="241">
        <v>0.0666666666666667</v>
      </c>
      <c r="G7017" s="241">
        <v>0.0789473684210526</v>
      </c>
      <c r="H7017" s="241">
        <v>0.0338983050847458</v>
      </c>
      <c r="I7017" s="241">
        <v>0.05</v>
      </c>
      <c r="J7017" s="241">
        <v>0.0289855072463768</v>
      </c>
      <c r="K7017" s="241">
        <v>0.0481927710843374</v>
      </c>
      <c r="L7017" s="241">
        <v>0.0512820512820513</v>
      </c>
      <c r="M7017" s="241">
        <v>0.0163934426229508</v>
      </c>
      <c r="N7017" s="241">
        <v>0.0410958904109589</v>
      </c>
      <c r="O7017" s="252">
        <v>0.11864406779661</v>
      </c>
    </row>
    <row r="7018" spans="1:15">
      <c r="A7018" s="242" t="s">
        <v>22</v>
      </c>
      <c r="B7018" s="43" t="s">
        <v>6</v>
      </c>
      <c r="C7018" s="15">
        <v>13</v>
      </c>
      <c r="D7018" s="244">
        <v>3</v>
      </c>
      <c r="E7018" s="244">
        <v>1</v>
      </c>
      <c r="F7018" s="244">
        <v>1</v>
      </c>
      <c r="G7018" s="244">
        <v>1</v>
      </c>
      <c r="H7018" s="244">
        <v>0</v>
      </c>
      <c r="I7018" s="244">
        <v>5</v>
      </c>
      <c r="J7018" s="244">
        <v>0</v>
      </c>
      <c r="K7018" s="244">
        <v>1</v>
      </c>
      <c r="L7018" s="244">
        <v>0</v>
      </c>
      <c r="M7018" s="244">
        <v>0</v>
      </c>
      <c r="N7018" s="244">
        <v>1</v>
      </c>
      <c r="O7018" s="254">
        <v>0</v>
      </c>
    </row>
    <row r="7019" ht="14.25" spans="1:15">
      <c r="A7019" s="245" t="s">
        <v>22</v>
      </c>
      <c r="B7019" s="52" t="s">
        <v>64</v>
      </c>
      <c r="C7019" s="19">
        <v>0.295454545454545</v>
      </c>
      <c r="D7019" s="246">
        <v>0.333333333333333</v>
      </c>
      <c r="E7019" s="246">
        <v>0.25</v>
      </c>
      <c r="F7019" s="246">
        <v>0.5</v>
      </c>
      <c r="G7019" s="246">
        <v>0.333333333333333</v>
      </c>
      <c r="H7019" s="246">
        <v>0</v>
      </c>
      <c r="I7019" s="246">
        <v>1.66666666666667</v>
      </c>
      <c r="J7019" s="246">
        <v>0</v>
      </c>
      <c r="K7019" s="246">
        <v>0.25</v>
      </c>
      <c r="L7019" s="246">
        <v>0</v>
      </c>
      <c r="M7019" s="246">
        <v>0</v>
      </c>
      <c r="N7019" s="246">
        <v>0.333333333333333</v>
      </c>
      <c r="O7019" s="255">
        <v>0</v>
      </c>
    </row>
    <row r="7020" spans="1:15">
      <c r="A7020" s="247" t="s">
        <v>66</v>
      </c>
      <c r="B7020" s="248" t="s">
        <v>55</v>
      </c>
      <c r="C7020" s="12">
        <v>0.131302521008403</v>
      </c>
      <c r="D7020" s="249">
        <v>0.121771217712177</v>
      </c>
      <c r="E7020" s="249">
        <v>0.129411764705882</v>
      </c>
      <c r="F7020" s="249">
        <v>0.132450331125828</v>
      </c>
      <c r="G7020" s="249">
        <v>0.0913978494623656</v>
      </c>
      <c r="H7020" s="249">
        <v>0.0805084745762712</v>
      </c>
      <c r="I7020" s="249">
        <v>0.133891213389121</v>
      </c>
      <c r="J7020" s="249">
        <v>0.132142857142857</v>
      </c>
      <c r="K7020" s="249">
        <v>0.154639175257732</v>
      </c>
      <c r="L7020" s="249">
        <v>0.146258503401361</v>
      </c>
      <c r="M7020" s="249">
        <v>0.173267326732673</v>
      </c>
      <c r="N7020" s="249">
        <v>0.154166666666667</v>
      </c>
      <c r="O7020" s="256">
        <v>0.118243243243243</v>
      </c>
    </row>
    <row r="7021" spans="1:15">
      <c r="A7021" s="242" t="s">
        <v>66</v>
      </c>
      <c r="B7021" s="43" t="s">
        <v>57</v>
      </c>
      <c r="C7021" s="15">
        <v>2856</v>
      </c>
      <c r="D7021" s="243">
        <v>271</v>
      </c>
      <c r="E7021" s="243">
        <v>170</v>
      </c>
      <c r="F7021" s="243">
        <v>151</v>
      </c>
      <c r="G7021" s="243">
        <v>186</v>
      </c>
      <c r="H7021" s="243">
        <v>236</v>
      </c>
      <c r="I7021" s="243">
        <v>239</v>
      </c>
      <c r="J7021" s="243">
        <v>280</v>
      </c>
      <c r="K7021" s="243">
        <v>291</v>
      </c>
      <c r="L7021" s="243">
        <v>294</v>
      </c>
      <c r="M7021" s="243">
        <v>202</v>
      </c>
      <c r="N7021" s="243">
        <v>240</v>
      </c>
      <c r="O7021" s="253">
        <v>296</v>
      </c>
    </row>
    <row r="7022" spans="1:15">
      <c r="A7022" s="240" t="s">
        <v>66</v>
      </c>
      <c r="B7022" s="47" t="s">
        <v>59</v>
      </c>
      <c r="C7022" s="15">
        <v>375</v>
      </c>
      <c r="D7022" s="243">
        <v>33</v>
      </c>
      <c r="E7022" s="243">
        <v>22</v>
      </c>
      <c r="F7022" s="243">
        <v>20</v>
      </c>
      <c r="G7022" s="243">
        <v>17</v>
      </c>
      <c r="H7022" s="243">
        <v>19</v>
      </c>
      <c r="I7022" s="243">
        <v>32</v>
      </c>
      <c r="J7022" s="243">
        <v>37</v>
      </c>
      <c r="K7022" s="243">
        <v>45</v>
      </c>
      <c r="L7022" s="243">
        <v>43</v>
      </c>
      <c r="M7022" s="243">
        <v>35</v>
      </c>
      <c r="N7022" s="243">
        <v>37</v>
      </c>
      <c r="O7022" s="253">
        <v>35</v>
      </c>
    </row>
    <row r="7023" spans="1:15">
      <c r="A7023" s="242" t="s">
        <v>66</v>
      </c>
      <c r="B7023" s="43" t="s">
        <v>4</v>
      </c>
      <c r="C7023" s="15">
        <v>17</v>
      </c>
      <c r="D7023" s="244">
        <v>0</v>
      </c>
      <c r="E7023" s="244">
        <v>2</v>
      </c>
      <c r="F7023" s="244">
        <v>3</v>
      </c>
      <c r="G7023" s="244">
        <v>1</v>
      </c>
      <c r="H7023" s="244">
        <v>0</v>
      </c>
      <c r="I7023" s="244">
        <v>0</v>
      </c>
      <c r="J7023" s="244">
        <v>4</v>
      </c>
      <c r="K7023" s="244">
        <v>1</v>
      </c>
      <c r="L7023" s="244">
        <v>2</v>
      </c>
      <c r="M7023" s="244">
        <v>0</v>
      </c>
      <c r="N7023" s="244">
        <v>3</v>
      </c>
      <c r="O7023" s="254">
        <v>1</v>
      </c>
    </row>
    <row r="7024" spans="1:15">
      <c r="A7024" s="240" t="s">
        <v>66</v>
      </c>
      <c r="B7024" s="47" t="s">
        <v>5</v>
      </c>
      <c r="C7024" s="12">
        <v>0.0453333333333333</v>
      </c>
      <c r="D7024" s="241">
        <v>0</v>
      </c>
      <c r="E7024" s="241">
        <v>0.0909090909090909</v>
      </c>
      <c r="F7024" s="241">
        <v>0.15</v>
      </c>
      <c r="G7024" s="241">
        <v>0.0588235294117647</v>
      </c>
      <c r="H7024" s="241">
        <v>0</v>
      </c>
      <c r="I7024" s="241">
        <v>0</v>
      </c>
      <c r="J7024" s="241">
        <v>0.108108108108108</v>
      </c>
      <c r="K7024" s="241">
        <v>0.0222222222222222</v>
      </c>
      <c r="L7024" s="241">
        <v>0.0465116279069767</v>
      </c>
      <c r="M7024" s="241">
        <v>0</v>
      </c>
      <c r="N7024" s="241">
        <v>0.0810810810810811</v>
      </c>
      <c r="O7024" s="252">
        <v>0.0285714285714286</v>
      </c>
    </row>
    <row r="7025" spans="1:15">
      <c r="A7025" s="242" t="s">
        <v>66</v>
      </c>
      <c r="B7025" s="43" t="s">
        <v>6</v>
      </c>
      <c r="C7025" s="15">
        <v>2</v>
      </c>
      <c r="D7025" s="244">
        <v>0</v>
      </c>
      <c r="E7025" s="244">
        <v>0</v>
      </c>
      <c r="F7025" s="244">
        <v>1</v>
      </c>
      <c r="G7025" s="244">
        <v>0</v>
      </c>
      <c r="H7025" s="244">
        <v>1</v>
      </c>
      <c r="I7025" s="244">
        <v>0</v>
      </c>
      <c r="J7025" s="244">
        <v>0</v>
      </c>
      <c r="K7025" s="244">
        <v>0</v>
      </c>
      <c r="L7025" s="244">
        <v>0</v>
      </c>
      <c r="M7025" s="244">
        <v>0</v>
      </c>
      <c r="N7025" s="244">
        <v>0</v>
      </c>
      <c r="O7025" s="254">
        <v>0</v>
      </c>
    </row>
    <row r="7026" ht="14.25" spans="1:15">
      <c r="A7026" s="245" t="s">
        <v>66</v>
      </c>
      <c r="B7026" s="52" t="s">
        <v>64</v>
      </c>
      <c r="C7026" s="19">
        <v>0.117647058823529</v>
      </c>
      <c r="D7026" s="246">
        <v>0</v>
      </c>
      <c r="E7026" s="246">
        <v>0</v>
      </c>
      <c r="F7026" s="246">
        <v>0.333333333333333</v>
      </c>
      <c r="G7026" s="246">
        <v>0</v>
      </c>
      <c r="H7026" s="246">
        <v>0</v>
      </c>
      <c r="I7026" s="246">
        <v>0</v>
      </c>
      <c r="J7026" s="246">
        <v>0</v>
      </c>
      <c r="K7026" s="246">
        <v>0</v>
      </c>
      <c r="L7026" s="246">
        <v>0</v>
      </c>
      <c r="M7026" s="246">
        <v>0</v>
      </c>
      <c r="N7026" s="246">
        <v>0</v>
      </c>
      <c r="O7026" s="255">
        <v>0</v>
      </c>
    </row>
    <row r="7027" spans="1:15">
      <c r="A7027" s="240" t="s">
        <v>67</v>
      </c>
      <c r="B7027" s="47" t="s">
        <v>55</v>
      </c>
      <c r="C7027" s="12">
        <v>0.434782608695652</v>
      </c>
      <c r="D7027" s="241">
        <v>0.415384615384615</v>
      </c>
      <c r="E7027" s="241">
        <v>0.533333333333333</v>
      </c>
      <c r="F7027" s="241">
        <v>0.578947368421053</v>
      </c>
      <c r="G7027" s="241">
        <v>0.567567567567568</v>
      </c>
      <c r="H7027" s="241">
        <v>0.656716417910448</v>
      </c>
      <c r="I7027" s="241">
        <v>0.325581395348837</v>
      </c>
      <c r="J7027" s="241">
        <v>0.415584415584416</v>
      </c>
      <c r="K7027" s="241">
        <v>0.468354430379747</v>
      </c>
      <c r="L7027" s="241">
        <v>0.414141414141414</v>
      </c>
      <c r="M7027" s="241">
        <v>0.362745098039216</v>
      </c>
      <c r="N7027" s="241">
        <v>0.340659340659341</v>
      </c>
      <c r="O7027" s="252">
        <v>0.397260273972603</v>
      </c>
    </row>
    <row r="7028" spans="1:15">
      <c r="A7028" s="242" t="s">
        <v>67</v>
      </c>
      <c r="B7028" s="43" t="s">
        <v>57</v>
      </c>
      <c r="C7028" s="15">
        <v>782</v>
      </c>
      <c r="D7028" s="243">
        <v>65</v>
      </c>
      <c r="E7028" s="243">
        <v>30</v>
      </c>
      <c r="F7028" s="243">
        <v>19</v>
      </c>
      <c r="G7028" s="243">
        <v>37</v>
      </c>
      <c r="H7028" s="243">
        <v>67</v>
      </c>
      <c r="I7028" s="243">
        <v>43</v>
      </c>
      <c r="J7028" s="243">
        <v>77</v>
      </c>
      <c r="K7028" s="243">
        <v>79</v>
      </c>
      <c r="L7028" s="243">
        <v>99</v>
      </c>
      <c r="M7028" s="243">
        <v>102</v>
      </c>
      <c r="N7028" s="243">
        <v>91</v>
      </c>
      <c r="O7028" s="253">
        <v>73</v>
      </c>
    </row>
    <row r="7029" spans="1:15">
      <c r="A7029" s="240" t="s">
        <v>67</v>
      </c>
      <c r="B7029" s="47" t="s">
        <v>59</v>
      </c>
      <c r="C7029" s="15">
        <v>340</v>
      </c>
      <c r="D7029" s="243">
        <v>27</v>
      </c>
      <c r="E7029" s="243">
        <v>16</v>
      </c>
      <c r="F7029" s="243">
        <v>11</v>
      </c>
      <c r="G7029" s="243">
        <v>21</v>
      </c>
      <c r="H7029" s="243">
        <v>44</v>
      </c>
      <c r="I7029" s="243">
        <v>14</v>
      </c>
      <c r="J7029" s="243">
        <v>32</v>
      </c>
      <c r="K7029" s="243">
        <v>37</v>
      </c>
      <c r="L7029" s="243">
        <v>41</v>
      </c>
      <c r="M7029" s="243">
        <v>37</v>
      </c>
      <c r="N7029" s="243">
        <v>31</v>
      </c>
      <c r="O7029" s="253">
        <v>29</v>
      </c>
    </row>
    <row r="7030" spans="1:15">
      <c r="A7030" s="242" t="s">
        <v>67</v>
      </c>
      <c r="B7030" s="43" t="s">
        <v>4</v>
      </c>
      <c r="C7030" s="15">
        <v>17</v>
      </c>
      <c r="D7030" s="244">
        <v>2</v>
      </c>
      <c r="E7030" s="244">
        <v>1</v>
      </c>
      <c r="F7030" s="244">
        <v>0</v>
      </c>
      <c r="G7030" s="244">
        <v>0</v>
      </c>
      <c r="H7030" s="244">
        <v>0</v>
      </c>
      <c r="I7030" s="244">
        <v>1</v>
      </c>
      <c r="J7030" s="244">
        <v>1</v>
      </c>
      <c r="K7030" s="244">
        <v>3</v>
      </c>
      <c r="L7030" s="244">
        <v>2</v>
      </c>
      <c r="M7030" s="244">
        <v>3</v>
      </c>
      <c r="N7030" s="244">
        <v>2</v>
      </c>
      <c r="O7030" s="254">
        <v>2</v>
      </c>
    </row>
    <row r="7031" spans="1:15">
      <c r="A7031" s="240" t="s">
        <v>67</v>
      </c>
      <c r="B7031" s="47" t="s">
        <v>5</v>
      </c>
      <c r="C7031" s="12">
        <v>0.05</v>
      </c>
      <c r="D7031" s="241">
        <v>0.0740740740740741</v>
      </c>
      <c r="E7031" s="241">
        <v>0.0625</v>
      </c>
      <c r="F7031" s="241">
        <v>0</v>
      </c>
      <c r="G7031" s="241">
        <v>0</v>
      </c>
      <c r="H7031" s="241">
        <v>0</v>
      </c>
      <c r="I7031" s="241">
        <v>0.0714285714285714</v>
      </c>
      <c r="J7031" s="241">
        <v>0.03125</v>
      </c>
      <c r="K7031" s="241">
        <v>0.0810810810810811</v>
      </c>
      <c r="L7031" s="241">
        <v>0.0487804878048781</v>
      </c>
      <c r="M7031" s="241">
        <v>0.0810810810810811</v>
      </c>
      <c r="N7031" s="241">
        <v>0.0645161290322581</v>
      </c>
      <c r="O7031" s="252">
        <v>0.0689655172413793</v>
      </c>
    </row>
    <row r="7032" spans="1:15">
      <c r="A7032" s="242" t="s">
        <v>67</v>
      </c>
      <c r="B7032" s="43" t="s">
        <v>6</v>
      </c>
      <c r="C7032" s="15">
        <v>4</v>
      </c>
      <c r="D7032" s="244">
        <v>0</v>
      </c>
      <c r="E7032" s="244">
        <v>0</v>
      </c>
      <c r="F7032" s="244">
        <v>0</v>
      </c>
      <c r="G7032" s="244">
        <v>0</v>
      </c>
      <c r="H7032" s="244">
        <v>0</v>
      </c>
      <c r="I7032" s="244">
        <v>0</v>
      </c>
      <c r="J7032" s="244">
        <v>0</v>
      </c>
      <c r="K7032" s="244">
        <v>1</v>
      </c>
      <c r="L7032" s="244">
        <v>2</v>
      </c>
      <c r="M7032" s="244">
        <v>0</v>
      </c>
      <c r="N7032" s="244">
        <v>1</v>
      </c>
      <c r="O7032" s="254">
        <v>0</v>
      </c>
    </row>
    <row r="7033" ht="14.25" spans="1:15">
      <c r="A7033" s="245" t="s">
        <v>67</v>
      </c>
      <c r="B7033" s="52" t="s">
        <v>64</v>
      </c>
      <c r="C7033" s="19">
        <v>0.235294117647059</v>
      </c>
      <c r="D7033" s="246">
        <v>0</v>
      </c>
      <c r="E7033" s="246">
        <v>0</v>
      </c>
      <c r="F7033" s="246">
        <v>0</v>
      </c>
      <c r="G7033" s="246">
        <v>0</v>
      </c>
      <c r="H7033" s="246">
        <v>0</v>
      </c>
      <c r="I7033" s="246">
        <v>0</v>
      </c>
      <c r="J7033" s="246">
        <v>0</v>
      </c>
      <c r="K7033" s="246">
        <v>0.333333333333333</v>
      </c>
      <c r="L7033" s="246">
        <v>1</v>
      </c>
      <c r="M7033" s="246">
        <v>0</v>
      </c>
      <c r="N7033" s="246">
        <v>0.5</v>
      </c>
      <c r="O7033" s="255">
        <v>0</v>
      </c>
    </row>
    <row r="7034" spans="1:15">
      <c r="A7034" s="240" t="s">
        <v>68</v>
      </c>
      <c r="B7034" s="47" t="s">
        <v>55</v>
      </c>
      <c r="C7034" s="12">
        <v>0.183763586956522</v>
      </c>
      <c r="D7034" s="241">
        <v>0.185667752442997</v>
      </c>
      <c r="E7034" s="241">
        <v>0.214689265536723</v>
      </c>
      <c r="F7034" s="241">
        <v>0.0807453416149068</v>
      </c>
      <c r="G7034" s="241">
        <v>0.333333333333333</v>
      </c>
      <c r="H7034" s="241">
        <v>0.206896551724138</v>
      </c>
      <c r="I7034" s="241">
        <v>0.14410480349345</v>
      </c>
      <c r="J7034" s="241">
        <v>0.144981412639405</v>
      </c>
      <c r="K7034" s="241">
        <v>0.198369565217391</v>
      </c>
      <c r="L7034" s="241">
        <v>0.156521739130435</v>
      </c>
      <c r="M7034" s="241">
        <v>0.2</v>
      </c>
      <c r="N7034" s="241">
        <v>0.2375</v>
      </c>
      <c r="O7034" s="252">
        <v>0.172413793103448</v>
      </c>
    </row>
    <row r="7035" spans="1:15">
      <c r="A7035" s="242" t="s">
        <v>68</v>
      </c>
      <c r="B7035" s="43" t="s">
        <v>57</v>
      </c>
      <c r="C7035" s="15">
        <v>2944</v>
      </c>
      <c r="D7035" s="243">
        <v>307</v>
      </c>
      <c r="E7035" s="243">
        <v>177</v>
      </c>
      <c r="F7035" s="243">
        <v>161</v>
      </c>
      <c r="G7035" s="243">
        <v>111</v>
      </c>
      <c r="H7035" s="243">
        <v>203</v>
      </c>
      <c r="I7035" s="243">
        <v>229</v>
      </c>
      <c r="J7035" s="243">
        <v>269</v>
      </c>
      <c r="K7035" s="243">
        <v>368</v>
      </c>
      <c r="L7035" s="243">
        <v>345</v>
      </c>
      <c r="M7035" s="243">
        <v>215</v>
      </c>
      <c r="N7035" s="243">
        <v>240</v>
      </c>
      <c r="O7035" s="253">
        <v>319</v>
      </c>
    </row>
    <row r="7036" spans="1:15">
      <c r="A7036" s="240" t="s">
        <v>68</v>
      </c>
      <c r="B7036" s="47" t="s">
        <v>59</v>
      </c>
      <c r="C7036" s="15">
        <v>541</v>
      </c>
      <c r="D7036" s="243">
        <v>57</v>
      </c>
      <c r="E7036" s="243">
        <v>38</v>
      </c>
      <c r="F7036" s="243">
        <v>13</v>
      </c>
      <c r="G7036" s="243">
        <v>37</v>
      </c>
      <c r="H7036" s="243">
        <v>42</v>
      </c>
      <c r="I7036" s="243">
        <v>33</v>
      </c>
      <c r="J7036" s="243">
        <v>39</v>
      </c>
      <c r="K7036" s="243">
        <v>73</v>
      </c>
      <c r="L7036" s="243">
        <v>54</v>
      </c>
      <c r="M7036" s="243">
        <v>43</v>
      </c>
      <c r="N7036" s="243">
        <v>57</v>
      </c>
      <c r="O7036" s="253">
        <v>55</v>
      </c>
    </row>
    <row r="7037" spans="1:15">
      <c r="A7037" s="242" t="s">
        <v>68</v>
      </c>
      <c r="B7037" s="43" t="s">
        <v>4</v>
      </c>
      <c r="C7037" s="15">
        <v>59</v>
      </c>
      <c r="D7037" s="244">
        <v>5</v>
      </c>
      <c r="E7037" s="244">
        <v>7</v>
      </c>
      <c r="F7037" s="244">
        <v>2</v>
      </c>
      <c r="G7037" s="244">
        <v>3</v>
      </c>
      <c r="H7037" s="244">
        <v>2</v>
      </c>
      <c r="I7037" s="244">
        <v>3</v>
      </c>
      <c r="J7037" s="244">
        <v>5</v>
      </c>
      <c r="K7037" s="244">
        <v>7</v>
      </c>
      <c r="L7037" s="244">
        <v>5</v>
      </c>
      <c r="M7037" s="244">
        <v>6</v>
      </c>
      <c r="N7037" s="244">
        <v>4</v>
      </c>
      <c r="O7037" s="254">
        <v>10</v>
      </c>
    </row>
    <row r="7038" spans="1:15">
      <c r="A7038" s="240" t="s">
        <v>68</v>
      </c>
      <c r="B7038" s="47" t="s">
        <v>5</v>
      </c>
      <c r="C7038" s="12">
        <v>0.1090573012939</v>
      </c>
      <c r="D7038" s="241">
        <v>0.087719298245614</v>
      </c>
      <c r="E7038" s="241">
        <v>0.184210526315789</v>
      </c>
      <c r="F7038" s="241">
        <v>0.153846153846154</v>
      </c>
      <c r="G7038" s="241">
        <v>0.0810810810810811</v>
      </c>
      <c r="H7038" s="241">
        <v>0.0476190476190476</v>
      </c>
      <c r="I7038" s="241">
        <v>0.0909090909090909</v>
      </c>
      <c r="J7038" s="241">
        <v>0.128205128205128</v>
      </c>
      <c r="K7038" s="241">
        <v>0.0958904109589041</v>
      </c>
      <c r="L7038" s="241">
        <v>0.0925925925925926</v>
      </c>
      <c r="M7038" s="241">
        <v>0.13953488372093</v>
      </c>
      <c r="N7038" s="241">
        <v>0.0701754385964912</v>
      </c>
      <c r="O7038" s="252">
        <v>0.181818181818182</v>
      </c>
    </row>
    <row r="7039" spans="1:15">
      <c r="A7039" s="242" t="s">
        <v>68</v>
      </c>
      <c r="B7039" s="43" t="s">
        <v>6</v>
      </c>
      <c r="C7039" s="15">
        <v>22</v>
      </c>
      <c r="D7039" s="244">
        <v>3</v>
      </c>
      <c r="E7039" s="244">
        <v>2</v>
      </c>
      <c r="F7039" s="244">
        <v>0</v>
      </c>
      <c r="G7039" s="244">
        <v>0</v>
      </c>
      <c r="H7039" s="244">
        <v>2</v>
      </c>
      <c r="I7039" s="244">
        <v>0</v>
      </c>
      <c r="J7039" s="244">
        <v>1</v>
      </c>
      <c r="K7039" s="244">
        <v>2</v>
      </c>
      <c r="L7039" s="244">
        <v>1</v>
      </c>
      <c r="M7039" s="244">
        <v>5</v>
      </c>
      <c r="N7039" s="244">
        <v>6</v>
      </c>
      <c r="O7039" s="254">
        <v>0</v>
      </c>
    </row>
    <row r="7040" ht="14.25" spans="1:15">
      <c r="A7040" s="245" t="s">
        <v>68</v>
      </c>
      <c r="B7040" s="52" t="s">
        <v>64</v>
      </c>
      <c r="C7040" s="19">
        <v>0.372881355932203</v>
      </c>
      <c r="D7040" s="246">
        <v>0.6</v>
      </c>
      <c r="E7040" s="246">
        <v>0.285714285714286</v>
      </c>
      <c r="F7040" s="246">
        <v>0</v>
      </c>
      <c r="G7040" s="246">
        <v>0</v>
      </c>
      <c r="H7040" s="246">
        <v>1</v>
      </c>
      <c r="I7040" s="246">
        <v>0</v>
      </c>
      <c r="J7040" s="246">
        <v>0.2</v>
      </c>
      <c r="K7040" s="246">
        <v>0.285714285714286</v>
      </c>
      <c r="L7040" s="246">
        <v>0.2</v>
      </c>
      <c r="M7040" s="246">
        <v>0.833333333333333</v>
      </c>
      <c r="N7040" s="246">
        <v>1.5</v>
      </c>
      <c r="O7040" s="255">
        <v>0</v>
      </c>
    </row>
    <row r="7041" spans="1:15">
      <c r="A7041" s="240" t="s">
        <v>69</v>
      </c>
      <c r="B7041" s="47" t="s">
        <v>55</v>
      </c>
      <c r="C7041" s="12">
        <v>1.80555555555556</v>
      </c>
      <c r="D7041" s="241">
        <v>1.47058823529412</v>
      </c>
      <c r="E7041" s="241">
        <v>1.57142857142857</v>
      </c>
      <c r="F7041" s="241">
        <v>1</v>
      </c>
      <c r="G7041" s="241">
        <v>0.714285714285714</v>
      </c>
      <c r="H7041" s="241">
        <v>1.625</v>
      </c>
      <c r="I7041" s="241">
        <v>3.8</v>
      </c>
      <c r="J7041" s="241">
        <v>1.75</v>
      </c>
      <c r="K7041" s="241">
        <v>1.75</v>
      </c>
      <c r="L7041" s="241">
        <v>2.3</v>
      </c>
      <c r="M7041" s="241">
        <v>2.66666666666667</v>
      </c>
      <c r="N7041" s="241">
        <v>2.8</v>
      </c>
      <c r="O7041" s="252">
        <v>1.72727272727273</v>
      </c>
    </row>
    <row r="7042" spans="1:15">
      <c r="A7042" s="242" t="s">
        <v>69</v>
      </c>
      <c r="B7042" s="43" t="s">
        <v>57</v>
      </c>
      <c r="C7042" s="15">
        <v>108</v>
      </c>
      <c r="D7042" s="243">
        <v>17</v>
      </c>
      <c r="E7042" s="243">
        <v>7</v>
      </c>
      <c r="F7042" s="243">
        <v>8</v>
      </c>
      <c r="G7042" s="243">
        <v>7</v>
      </c>
      <c r="H7042" s="243">
        <v>8</v>
      </c>
      <c r="I7042" s="243">
        <v>5</v>
      </c>
      <c r="J7042" s="243">
        <v>12</v>
      </c>
      <c r="K7042" s="243">
        <v>12</v>
      </c>
      <c r="L7042" s="243">
        <v>10</v>
      </c>
      <c r="M7042" s="243">
        <v>6</v>
      </c>
      <c r="N7042" s="243">
        <v>5</v>
      </c>
      <c r="O7042" s="253">
        <v>11</v>
      </c>
    </row>
    <row r="7043" spans="1:15">
      <c r="A7043" s="240" t="s">
        <v>69</v>
      </c>
      <c r="B7043" s="47" t="s">
        <v>59</v>
      </c>
      <c r="C7043" s="15">
        <v>195</v>
      </c>
      <c r="D7043" s="243">
        <v>25</v>
      </c>
      <c r="E7043" s="243">
        <v>11</v>
      </c>
      <c r="F7043" s="243">
        <v>8</v>
      </c>
      <c r="G7043" s="243">
        <v>5</v>
      </c>
      <c r="H7043" s="243">
        <v>13</v>
      </c>
      <c r="I7043" s="243">
        <v>19</v>
      </c>
      <c r="J7043" s="243">
        <v>21</v>
      </c>
      <c r="K7043" s="243">
        <v>21</v>
      </c>
      <c r="L7043" s="243">
        <v>23</v>
      </c>
      <c r="M7043" s="243">
        <v>16</v>
      </c>
      <c r="N7043" s="243">
        <v>14</v>
      </c>
      <c r="O7043" s="253">
        <v>19</v>
      </c>
    </row>
    <row r="7044" spans="1:15">
      <c r="A7044" s="242" t="s">
        <v>69</v>
      </c>
      <c r="B7044" s="43" t="s">
        <v>4</v>
      </c>
      <c r="C7044" s="15">
        <v>4</v>
      </c>
      <c r="D7044" s="244">
        <v>0</v>
      </c>
      <c r="E7044" s="244">
        <v>0</v>
      </c>
      <c r="F7044" s="244">
        <v>2</v>
      </c>
      <c r="G7044" s="244">
        <v>0</v>
      </c>
      <c r="H7044" s="244">
        <v>0</v>
      </c>
      <c r="I7044" s="244">
        <v>0</v>
      </c>
      <c r="J7044" s="244">
        <v>0</v>
      </c>
      <c r="K7044" s="244">
        <v>0</v>
      </c>
      <c r="L7044" s="244">
        <v>1</v>
      </c>
      <c r="M7044" s="244">
        <v>0</v>
      </c>
      <c r="N7044" s="244">
        <v>1</v>
      </c>
      <c r="O7044" s="254">
        <v>0</v>
      </c>
    </row>
    <row r="7045" spans="1:15">
      <c r="A7045" s="240" t="s">
        <v>69</v>
      </c>
      <c r="B7045" s="47" t="s">
        <v>5</v>
      </c>
      <c r="C7045" s="12">
        <v>0.0205128205128205</v>
      </c>
      <c r="D7045" s="241">
        <v>0</v>
      </c>
      <c r="E7045" s="241">
        <v>0</v>
      </c>
      <c r="F7045" s="241">
        <v>0.25</v>
      </c>
      <c r="G7045" s="241">
        <v>0</v>
      </c>
      <c r="H7045" s="241">
        <v>0</v>
      </c>
      <c r="I7045" s="241">
        <v>0</v>
      </c>
      <c r="J7045" s="241">
        <v>0</v>
      </c>
      <c r="K7045" s="241">
        <v>0</v>
      </c>
      <c r="L7045" s="241">
        <v>0.0434782608695652</v>
      </c>
      <c r="M7045" s="241">
        <v>0</v>
      </c>
      <c r="N7045" s="241">
        <v>0.0714285714285714</v>
      </c>
      <c r="O7045" s="252">
        <v>0</v>
      </c>
    </row>
    <row r="7046" spans="1:15">
      <c r="A7046" s="242" t="s">
        <v>69</v>
      </c>
      <c r="B7046" s="43" t="s">
        <v>6</v>
      </c>
      <c r="C7046" s="15">
        <v>3</v>
      </c>
      <c r="D7046" s="244">
        <v>0</v>
      </c>
      <c r="E7046" s="244">
        <v>0</v>
      </c>
      <c r="F7046" s="244">
        <v>1</v>
      </c>
      <c r="G7046" s="244">
        <v>0</v>
      </c>
      <c r="H7046" s="244">
        <v>0</v>
      </c>
      <c r="I7046" s="244">
        <v>1</v>
      </c>
      <c r="J7046" s="244">
        <v>0</v>
      </c>
      <c r="K7046" s="244">
        <v>0</v>
      </c>
      <c r="L7046" s="244">
        <v>0</v>
      </c>
      <c r="M7046" s="244">
        <v>0</v>
      </c>
      <c r="N7046" s="244">
        <v>1</v>
      </c>
      <c r="O7046" s="254">
        <v>0</v>
      </c>
    </row>
    <row r="7047" ht="14.25" spans="1:15">
      <c r="A7047" s="245" t="s">
        <v>69</v>
      </c>
      <c r="B7047" s="52" t="s">
        <v>64</v>
      </c>
      <c r="C7047" s="19">
        <v>0.75</v>
      </c>
      <c r="D7047" s="246">
        <v>0</v>
      </c>
      <c r="E7047" s="246">
        <v>0</v>
      </c>
      <c r="F7047" s="246">
        <v>0.5</v>
      </c>
      <c r="G7047" s="246">
        <v>0</v>
      </c>
      <c r="H7047" s="246">
        <v>0</v>
      </c>
      <c r="I7047" s="246">
        <v>0</v>
      </c>
      <c r="J7047" s="246">
        <v>0</v>
      </c>
      <c r="K7047" s="246">
        <v>0</v>
      </c>
      <c r="L7047" s="246">
        <v>0</v>
      </c>
      <c r="M7047" s="246">
        <v>0</v>
      </c>
      <c r="N7047" s="246">
        <v>1</v>
      </c>
      <c r="O7047" s="255">
        <v>0</v>
      </c>
    </row>
    <row r="7048" spans="1:15">
      <c r="A7048" s="240" t="s">
        <v>70</v>
      </c>
      <c r="B7048" s="47" t="s">
        <v>55</v>
      </c>
      <c r="C7048" s="12">
        <v>0.741621621621622</v>
      </c>
      <c r="D7048" s="241">
        <v>0.625</v>
      </c>
      <c r="E7048" s="241">
        <v>0.88</v>
      </c>
      <c r="F7048" s="241">
        <v>0.681818181818182</v>
      </c>
      <c r="G7048" s="241">
        <v>0.952380952380952</v>
      </c>
      <c r="H7048" s="241">
        <v>0.888888888888889</v>
      </c>
      <c r="I7048" s="241">
        <v>0.565217391304348</v>
      </c>
      <c r="J7048" s="241">
        <v>0.853658536585366</v>
      </c>
      <c r="K7048" s="241">
        <v>0.7421875</v>
      </c>
      <c r="L7048" s="241">
        <v>0.660869565217391</v>
      </c>
      <c r="M7048" s="241">
        <v>0.673469387755102</v>
      </c>
      <c r="N7048" s="241">
        <v>0.787037037037037</v>
      </c>
      <c r="O7048" s="252">
        <v>0.879518072289157</v>
      </c>
    </row>
    <row r="7049" spans="1:15">
      <c r="A7049" s="242" t="s">
        <v>70</v>
      </c>
      <c r="B7049" s="43" t="s">
        <v>57</v>
      </c>
      <c r="C7049" s="15">
        <v>925</v>
      </c>
      <c r="D7049" s="243">
        <v>56</v>
      </c>
      <c r="E7049" s="243">
        <v>25</v>
      </c>
      <c r="F7049" s="243">
        <v>22</v>
      </c>
      <c r="G7049" s="243">
        <v>21</v>
      </c>
      <c r="H7049" s="243">
        <v>72</v>
      </c>
      <c r="I7049" s="243">
        <v>115</v>
      </c>
      <c r="J7049" s="243">
        <v>82</v>
      </c>
      <c r="K7049" s="243">
        <v>128</v>
      </c>
      <c r="L7049" s="243">
        <v>115</v>
      </c>
      <c r="M7049" s="243">
        <v>98</v>
      </c>
      <c r="N7049" s="243">
        <v>108</v>
      </c>
      <c r="O7049" s="253">
        <v>83</v>
      </c>
    </row>
    <row r="7050" spans="1:15">
      <c r="A7050" s="240" t="s">
        <v>70</v>
      </c>
      <c r="B7050" s="47" t="s">
        <v>59</v>
      </c>
      <c r="C7050" s="15">
        <v>686</v>
      </c>
      <c r="D7050" s="243">
        <v>35</v>
      </c>
      <c r="E7050" s="243">
        <v>22</v>
      </c>
      <c r="F7050" s="243">
        <v>15</v>
      </c>
      <c r="G7050" s="243">
        <v>20</v>
      </c>
      <c r="H7050" s="243">
        <v>64</v>
      </c>
      <c r="I7050" s="243">
        <v>65</v>
      </c>
      <c r="J7050" s="243">
        <v>70</v>
      </c>
      <c r="K7050" s="243">
        <v>95</v>
      </c>
      <c r="L7050" s="243">
        <v>76</v>
      </c>
      <c r="M7050" s="243">
        <v>66</v>
      </c>
      <c r="N7050" s="243">
        <v>85</v>
      </c>
      <c r="O7050" s="253">
        <v>73</v>
      </c>
    </row>
    <row r="7051" spans="1:15">
      <c r="A7051" s="242" t="s">
        <v>70</v>
      </c>
      <c r="B7051" s="43" t="s">
        <v>4</v>
      </c>
      <c r="C7051" s="15">
        <v>16</v>
      </c>
      <c r="D7051" s="244">
        <v>1</v>
      </c>
      <c r="E7051" s="244">
        <v>2</v>
      </c>
      <c r="F7051" s="244">
        <v>0</v>
      </c>
      <c r="G7051" s="244">
        <v>1</v>
      </c>
      <c r="H7051" s="244">
        <v>3</v>
      </c>
      <c r="I7051" s="244">
        <v>1</v>
      </c>
      <c r="J7051" s="244">
        <v>3</v>
      </c>
      <c r="K7051" s="244">
        <v>0</v>
      </c>
      <c r="L7051" s="244">
        <v>2</v>
      </c>
      <c r="M7051" s="244">
        <v>0</v>
      </c>
      <c r="N7051" s="244">
        <v>2</v>
      </c>
      <c r="O7051" s="254">
        <v>1</v>
      </c>
    </row>
    <row r="7052" spans="1:15">
      <c r="A7052" s="240" t="s">
        <v>70</v>
      </c>
      <c r="B7052" s="47" t="s">
        <v>5</v>
      </c>
      <c r="C7052" s="12">
        <v>0.0233236151603499</v>
      </c>
      <c r="D7052" s="241">
        <v>0.0285714285714286</v>
      </c>
      <c r="E7052" s="241">
        <v>0.0909090909090909</v>
      </c>
      <c r="F7052" s="241">
        <v>0</v>
      </c>
      <c r="G7052" s="241">
        <v>0.05</v>
      </c>
      <c r="H7052" s="241">
        <v>0.046875</v>
      </c>
      <c r="I7052" s="241">
        <v>0.0153846153846154</v>
      </c>
      <c r="J7052" s="241">
        <v>0.0428571428571429</v>
      </c>
      <c r="K7052" s="241">
        <v>0</v>
      </c>
      <c r="L7052" s="241">
        <v>0.0263157894736842</v>
      </c>
      <c r="M7052" s="241">
        <v>0</v>
      </c>
      <c r="N7052" s="241">
        <v>0.0235294117647059</v>
      </c>
      <c r="O7052" s="252">
        <v>0.0136986301369863</v>
      </c>
    </row>
    <row r="7053" spans="1:15">
      <c r="A7053" s="242" t="s">
        <v>70</v>
      </c>
      <c r="B7053" s="43" t="s">
        <v>6</v>
      </c>
      <c r="C7053" s="15">
        <v>12</v>
      </c>
      <c r="D7053" s="244">
        <v>1</v>
      </c>
      <c r="E7053" s="244">
        <v>0</v>
      </c>
      <c r="F7053" s="244">
        <v>0</v>
      </c>
      <c r="G7053" s="244">
        <v>0</v>
      </c>
      <c r="H7053" s="244">
        <v>0</v>
      </c>
      <c r="I7053" s="244">
        <v>0</v>
      </c>
      <c r="J7053" s="244">
        <v>2</v>
      </c>
      <c r="K7053" s="244">
        <v>2</v>
      </c>
      <c r="L7053" s="244">
        <v>2</v>
      </c>
      <c r="M7053" s="244">
        <v>1</v>
      </c>
      <c r="N7053" s="244">
        <v>2</v>
      </c>
      <c r="O7053" s="254">
        <v>2</v>
      </c>
    </row>
    <row r="7054" ht="14.25" spans="1:15">
      <c r="A7054" s="245" t="s">
        <v>70</v>
      </c>
      <c r="B7054" s="52" t="s">
        <v>64</v>
      </c>
      <c r="C7054" s="19">
        <v>0.75</v>
      </c>
      <c r="D7054" s="246">
        <v>1</v>
      </c>
      <c r="E7054" s="246">
        <v>0</v>
      </c>
      <c r="F7054" s="246">
        <v>0</v>
      </c>
      <c r="G7054" s="246">
        <v>0</v>
      </c>
      <c r="H7054" s="246">
        <v>0</v>
      </c>
      <c r="I7054" s="246">
        <v>0</v>
      </c>
      <c r="J7054" s="246">
        <v>0.666666666666667</v>
      </c>
      <c r="K7054" s="246">
        <v>0</v>
      </c>
      <c r="L7054" s="246">
        <v>1</v>
      </c>
      <c r="M7054" s="246">
        <v>0</v>
      </c>
      <c r="N7054" s="246">
        <v>1</v>
      </c>
      <c r="O7054" s="255">
        <v>2</v>
      </c>
    </row>
    <row r="7055" spans="1:15">
      <c r="A7055" s="240" t="s">
        <v>26</v>
      </c>
      <c r="B7055" s="47" t="s">
        <v>55</v>
      </c>
      <c r="C7055" s="12">
        <v>0.931347804139324</v>
      </c>
      <c r="D7055" s="241">
        <v>0.846994535519126</v>
      </c>
      <c r="E7055" s="241">
        <v>0.908045977011494</v>
      </c>
      <c r="F7055" s="241">
        <v>0.817307692307692</v>
      </c>
      <c r="G7055" s="241">
        <v>1.11428571428571</v>
      </c>
      <c r="H7055" s="241">
        <v>0.972222222222222</v>
      </c>
      <c r="I7055" s="241">
        <v>0.985915492957746</v>
      </c>
      <c r="J7055" s="241">
        <v>0.893617021276596</v>
      </c>
      <c r="K7055" s="241">
        <v>0.871428571428571</v>
      </c>
      <c r="L7055" s="241">
        <v>0.95</v>
      </c>
      <c r="M7055" s="241">
        <v>0.978835978835979</v>
      </c>
      <c r="N7055" s="241">
        <v>1.04255319148936</v>
      </c>
      <c r="O7055" s="252">
        <v>0.890829694323144</v>
      </c>
    </row>
    <row r="7056" spans="1:15">
      <c r="A7056" s="242" t="s">
        <v>26</v>
      </c>
      <c r="B7056" s="43" t="s">
        <v>57</v>
      </c>
      <c r="C7056" s="15">
        <v>1981</v>
      </c>
      <c r="D7056" s="243">
        <v>183</v>
      </c>
      <c r="E7056" s="243">
        <v>87</v>
      </c>
      <c r="F7056" s="243">
        <v>104</v>
      </c>
      <c r="G7056" s="243">
        <v>70</v>
      </c>
      <c r="H7056" s="243">
        <v>144</v>
      </c>
      <c r="I7056" s="243">
        <v>142</v>
      </c>
      <c r="J7056" s="243">
        <v>235</v>
      </c>
      <c r="K7056" s="243">
        <v>210</v>
      </c>
      <c r="L7056" s="243">
        <v>200</v>
      </c>
      <c r="M7056" s="243">
        <v>189</v>
      </c>
      <c r="N7056" s="243">
        <v>188</v>
      </c>
      <c r="O7056" s="253">
        <v>229</v>
      </c>
    </row>
    <row r="7057" spans="1:15">
      <c r="A7057" s="240" t="s">
        <v>26</v>
      </c>
      <c r="B7057" s="47" t="s">
        <v>59</v>
      </c>
      <c r="C7057" s="15">
        <v>1845</v>
      </c>
      <c r="D7057" s="243">
        <v>155</v>
      </c>
      <c r="E7057" s="243">
        <v>79</v>
      </c>
      <c r="F7057" s="243">
        <v>85</v>
      </c>
      <c r="G7057" s="243">
        <v>78</v>
      </c>
      <c r="H7057" s="243">
        <v>140</v>
      </c>
      <c r="I7057" s="243">
        <v>140</v>
      </c>
      <c r="J7057" s="243">
        <v>210</v>
      </c>
      <c r="K7057" s="243">
        <v>183</v>
      </c>
      <c r="L7057" s="243">
        <v>190</v>
      </c>
      <c r="M7057" s="243">
        <v>185</v>
      </c>
      <c r="N7057" s="243">
        <v>196</v>
      </c>
      <c r="O7057" s="253">
        <v>204</v>
      </c>
    </row>
    <row r="7058" spans="1:15">
      <c r="A7058" s="242" t="s">
        <v>26</v>
      </c>
      <c r="B7058" s="43" t="s">
        <v>4</v>
      </c>
      <c r="C7058" s="15">
        <v>31</v>
      </c>
      <c r="D7058" s="244">
        <v>6</v>
      </c>
      <c r="E7058" s="244">
        <v>2</v>
      </c>
      <c r="F7058" s="244">
        <v>2</v>
      </c>
      <c r="G7058" s="244">
        <v>1</v>
      </c>
      <c r="H7058" s="244">
        <v>1</v>
      </c>
      <c r="I7058" s="244">
        <v>1</v>
      </c>
      <c r="J7058" s="244">
        <v>6</v>
      </c>
      <c r="K7058" s="244">
        <v>3</v>
      </c>
      <c r="L7058" s="244">
        <v>0</v>
      </c>
      <c r="M7058" s="244">
        <v>3</v>
      </c>
      <c r="N7058" s="244">
        <v>1</v>
      </c>
      <c r="O7058" s="254">
        <v>5</v>
      </c>
    </row>
    <row r="7059" spans="1:15">
      <c r="A7059" s="240" t="s">
        <v>26</v>
      </c>
      <c r="B7059" s="47" t="s">
        <v>5</v>
      </c>
      <c r="C7059" s="12">
        <v>0.0168021680216802</v>
      </c>
      <c r="D7059" s="241">
        <v>0.0387096774193548</v>
      </c>
      <c r="E7059" s="241">
        <v>0.0253164556962025</v>
      </c>
      <c r="F7059" s="241">
        <v>0.0235294117647059</v>
      </c>
      <c r="G7059" s="241">
        <v>0.0128205128205128</v>
      </c>
      <c r="H7059" s="241">
        <v>0.00714285714285714</v>
      </c>
      <c r="I7059" s="241">
        <v>0.00714285714285714</v>
      </c>
      <c r="J7059" s="241">
        <v>0.0285714285714286</v>
      </c>
      <c r="K7059" s="241">
        <v>0.0163934426229508</v>
      </c>
      <c r="L7059" s="241">
        <v>0</v>
      </c>
      <c r="M7059" s="241">
        <v>0.0162162162162162</v>
      </c>
      <c r="N7059" s="241">
        <v>0.00510204081632653</v>
      </c>
      <c r="O7059" s="252">
        <v>0.0245098039215686</v>
      </c>
    </row>
    <row r="7060" spans="1:15">
      <c r="A7060" s="242" t="s">
        <v>26</v>
      </c>
      <c r="B7060" s="43" t="s">
        <v>6</v>
      </c>
      <c r="C7060" s="15">
        <v>12</v>
      </c>
      <c r="D7060" s="244">
        <v>1</v>
      </c>
      <c r="E7060" s="244">
        <v>1</v>
      </c>
      <c r="F7060" s="244">
        <v>0</v>
      </c>
      <c r="G7060" s="244">
        <v>0</v>
      </c>
      <c r="H7060" s="244">
        <v>1</v>
      </c>
      <c r="I7060" s="244">
        <v>1</v>
      </c>
      <c r="J7060" s="244">
        <v>3</v>
      </c>
      <c r="K7060" s="244">
        <v>0</v>
      </c>
      <c r="L7060" s="244">
        <v>0</v>
      </c>
      <c r="M7060" s="244">
        <v>3</v>
      </c>
      <c r="N7060" s="244">
        <v>1</v>
      </c>
      <c r="O7060" s="254">
        <v>1</v>
      </c>
    </row>
    <row r="7061" ht="14.25" spans="1:15">
      <c r="A7061" s="245" t="s">
        <v>26</v>
      </c>
      <c r="B7061" s="52" t="s">
        <v>64</v>
      </c>
      <c r="C7061" s="19">
        <v>0.387096774193548</v>
      </c>
      <c r="D7061" s="19">
        <v>0.166666666666667</v>
      </c>
      <c r="E7061" s="19">
        <v>0.5</v>
      </c>
      <c r="F7061" s="19">
        <v>0</v>
      </c>
      <c r="G7061" s="19">
        <v>0</v>
      </c>
      <c r="H7061" s="19">
        <v>1</v>
      </c>
      <c r="I7061" s="19">
        <v>1</v>
      </c>
      <c r="J7061" s="19">
        <v>0.5</v>
      </c>
      <c r="K7061" s="19">
        <v>0</v>
      </c>
      <c r="L7061" s="19" t="e">
        <v>#DIV/0!</v>
      </c>
      <c r="M7061" s="19">
        <v>1</v>
      </c>
      <c r="N7061" s="19">
        <v>1</v>
      </c>
      <c r="O7061" s="19">
        <v>0.2</v>
      </c>
    </row>
    <row r="7062" spans="1:15">
      <c r="A7062" s="240" t="s">
        <v>71</v>
      </c>
      <c r="B7062" s="47" t="s">
        <v>55</v>
      </c>
      <c r="C7062" s="12">
        <v>0.215596330275229</v>
      </c>
      <c r="D7062" s="241">
        <v>0.25</v>
      </c>
      <c r="E7062" s="241">
        <v>0.393939393939394</v>
      </c>
      <c r="F7062" s="241">
        <v>0.230769230769231</v>
      </c>
      <c r="G7062" s="241">
        <v>0.2</v>
      </c>
      <c r="H7062" s="241">
        <v>0.2</v>
      </c>
      <c r="I7062" s="241">
        <v>0.19047619047619</v>
      </c>
      <c r="J7062" s="241">
        <v>0.285714285714286</v>
      </c>
      <c r="K7062" s="241">
        <v>0.194444444444444</v>
      </c>
      <c r="L7062" s="241">
        <v>0.27906976744186</v>
      </c>
      <c r="M7062" s="241">
        <v>0.127659574468085</v>
      </c>
      <c r="N7062" s="241">
        <v>0.238095238095238</v>
      </c>
      <c r="O7062" s="252">
        <v>0.0784313725490196</v>
      </c>
    </row>
    <row r="7063" spans="1:15">
      <c r="A7063" s="242" t="s">
        <v>71</v>
      </c>
      <c r="B7063" s="43" t="s">
        <v>57</v>
      </c>
      <c r="C7063" s="15">
        <v>436</v>
      </c>
      <c r="D7063" s="243">
        <v>44</v>
      </c>
      <c r="E7063" s="243">
        <v>33</v>
      </c>
      <c r="F7063" s="243">
        <v>13</v>
      </c>
      <c r="G7063" s="243">
        <v>20</v>
      </c>
      <c r="H7063" s="243">
        <v>30</v>
      </c>
      <c r="I7063" s="243">
        <v>42</v>
      </c>
      <c r="J7063" s="243">
        <v>35</v>
      </c>
      <c r="K7063" s="243">
        <v>36</v>
      </c>
      <c r="L7063" s="243">
        <v>43</v>
      </c>
      <c r="M7063" s="243">
        <v>47</v>
      </c>
      <c r="N7063" s="243">
        <v>42</v>
      </c>
      <c r="O7063" s="253">
        <v>51</v>
      </c>
    </row>
    <row r="7064" spans="1:15">
      <c r="A7064" s="240" t="s">
        <v>71</v>
      </c>
      <c r="B7064" s="47" t="s">
        <v>59</v>
      </c>
      <c r="C7064" s="15">
        <v>94</v>
      </c>
      <c r="D7064" s="243">
        <v>11</v>
      </c>
      <c r="E7064" s="243">
        <v>13</v>
      </c>
      <c r="F7064" s="243">
        <v>3</v>
      </c>
      <c r="G7064" s="243">
        <v>4</v>
      </c>
      <c r="H7064" s="243">
        <v>6</v>
      </c>
      <c r="I7064" s="243">
        <v>8</v>
      </c>
      <c r="J7064" s="243">
        <v>10</v>
      </c>
      <c r="K7064" s="243">
        <v>7</v>
      </c>
      <c r="L7064" s="243">
        <v>12</v>
      </c>
      <c r="M7064" s="243">
        <v>6</v>
      </c>
      <c r="N7064" s="243">
        <v>10</v>
      </c>
      <c r="O7064" s="253">
        <v>4</v>
      </c>
    </row>
    <row r="7065" spans="1:15">
      <c r="A7065" s="242" t="s">
        <v>71</v>
      </c>
      <c r="B7065" s="43" t="s">
        <v>4</v>
      </c>
      <c r="C7065" s="15">
        <v>23</v>
      </c>
      <c r="D7065" s="244">
        <v>2</v>
      </c>
      <c r="E7065" s="244">
        <v>4</v>
      </c>
      <c r="F7065" s="244">
        <v>0</v>
      </c>
      <c r="G7065" s="244">
        <v>0</v>
      </c>
      <c r="H7065" s="244">
        <v>1</v>
      </c>
      <c r="I7065" s="244">
        <v>0</v>
      </c>
      <c r="J7065" s="244">
        <v>3</v>
      </c>
      <c r="K7065" s="244">
        <v>1</v>
      </c>
      <c r="L7065" s="244">
        <v>6</v>
      </c>
      <c r="M7065" s="244">
        <v>1</v>
      </c>
      <c r="N7065" s="244">
        <v>3</v>
      </c>
      <c r="O7065" s="254">
        <v>2</v>
      </c>
    </row>
    <row r="7066" spans="1:15">
      <c r="A7066" s="240" t="s">
        <v>71</v>
      </c>
      <c r="B7066" s="47" t="s">
        <v>5</v>
      </c>
      <c r="C7066" s="241">
        <v>0.24468085106383</v>
      </c>
      <c r="D7066" s="241">
        <v>0.181818181818182</v>
      </c>
      <c r="E7066" s="241">
        <v>0.307692307692308</v>
      </c>
      <c r="F7066" s="241">
        <v>0</v>
      </c>
      <c r="G7066" s="241">
        <v>0</v>
      </c>
      <c r="H7066" s="241">
        <v>0.166666666666667</v>
      </c>
      <c r="I7066" s="241">
        <v>0</v>
      </c>
      <c r="J7066" s="241">
        <v>0.3</v>
      </c>
      <c r="K7066" s="241">
        <v>0.142857142857143</v>
      </c>
      <c r="L7066" s="241">
        <v>0.5</v>
      </c>
      <c r="M7066" s="241">
        <v>0.166666666666667</v>
      </c>
      <c r="N7066" s="241">
        <v>0.3</v>
      </c>
      <c r="O7066" s="252">
        <v>0.5</v>
      </c>
    </row>
    <row r="7067" spans="1:15">
      <c r="A7067" s="242" t="s">
        <v>71</v>
      </c>
      <c r="B7067" s="43" t="s">
        <v>6</v>
      </c>
      <c r="C7067" s="15">
        <v>6</v>
      </c>
      <c r="D7067" s="244">
        <v>0</v>
      </c>
      <c r="E7067" s="244">
        <v>1</v>
      </c>
      <c r="F7067" s="244">
        <v>0</v>
      </c>
      <c r="G7067" s="244">
        <v>0</v>
      </c>
      <c r="H7067" s="244">
        <v>1</v>
      </c>
      <c r="I7067" s="244">
        <v>0</v>
      </c>
      <c r="J7067" s="244">
        <v>2</v>
      </c>
      <c r="K7067" s="244">
        <v>0</v>
      </c>
      <c r="L7067" s="244">
        <v>1</v>
      </c>
      <c r="M7067" s="244">
        <v>1</v>
      </c>
      <c r="N7067" s="244">
        <v>0</v>
      </c>
      <c r="O7067" s="254">
        <v>0</v>
      </c>
    </row>
    <row r="7068" ht="14.25" spans="1:15">
      <c r="A7068" s="245" t="s">
        <v>71</v>
      </c>
      <c r="B7068" s="52" t="s">
        <v>64</v>
      </c>
      <c r="C7068" s="19">
        <v>0.260869565217391</v>
      </c>
      <c r="D7068" s="19">
        <v>0</v>
      </c>
      <c r="E7068" s="19">
        <v>0.25</v>
      </c>
      <c r="F7068" s="19" t="e">
        <v>#DIV/0!</v>
      </c>
      <c r="G7068" s="19" t="e">
        <v>#DIV/0!</v>
      </c>
      <c r="H7068" s="19">
        <v>1</v>
      </c>
      <c r="I7068" s="19" t="e">
        <v>#DIV/0!</v>
      </c>
      <c r="J7068" s="19">
        <v>0.666666666666667</v>
      </c>
      <c r="K7068" s="19">
        <v>0</v>
      </c>
      <c r="L7068" s="19">
        <v>0.166666666666667</v>
      </c>
      <c r="M7068" s="19">
        <v>1</v>
      </c>
      <c r="N7068" s="19">
        <v>0</v>
      </c>
      <c r="O7068" s="19">
        <v>0</v>
      </c>
    </row>
    <row r="7069" spans="1:15">
      <c r="A7069" s="240" t="s">
        <v>72</v>
      </c>
      <c r="B7069" s="47" t="s">
        <v>55</v>
      </c>
      <c r="C7069" s="12">
        <v>0.0466580009577889</v>
      </c>
      <c r="D7069" s="241">
        <v>0.0670241286863271</v>
      </c>
      <c r="E7069" s="241">
        <v>0.0662251655629139</v>
      </c>
      <c r="F7069" s="241">
        <v>0.0269413629160063</v>
      </c>
      <c r="G7069" s="241">
        <v>0.0539568345323741</v>
      </c>
      <c r="H7069" s="241">
        <v>0.0471785383903793</v>
      </c>
      <c r="I7069" s="241">
        <v>0.0324503311258278</v>
      </c>
      <c r="J7069" s="241">
        <v>0.0299651567944251</v>
      </c>
      <c r="K7069" s="241">
        <v>0.0477453580901857</v>
      </c>
      <c r="L7069" s="241">
        <v>0.0545112781954887</v>
      </c>
      <c r="M7069" s="241">
        <v>0.0522058823529412</v>
      </c>
      <c r="N7069" s="241">
        <v>0.0498853211009174</v>
      </c>
      <c r="O7069" s="252">
        <v>0.0431034482758621</v>
      </c>
    </row>
    <row r="7070" spans="1:15">
      <c r="A7070" s="242" t="s">
        <v>72</v>
      </c>
      <c r="B7070" s="43" t="s">
        <v>57</v>
      </c>
      <c r="C7070" s="15">
        <v>14617</v>
      </c>
      <c r="D7070" s="243">
        <v>1119</v>
      </c>
      <c r="E7070" s="243">
        <v>453</v>
      </c>
      <c r="F7070" s="243">
        <v>631</v>
      </c>
      <c r="G7070" s="243">
        <v>556</v>
      </c>
      <c r="H7070" s="243">
        <v>1081</v>
      </c>
      <c r="I7070" s="243">
        <v>1510</v>
      </c>
      <c r="J7070" s="243">
        <v>1435</v>
      </c>
      <c r="K7070" s="243">
        <v>1508</v>
      </c>
      <c r="L7070" s="243">
        <v>1596</v>
      </c>
      <c r="M7070" s="243">
        <v>1360</v>
      </c>
      <c r="N7070" s="243">
        <v>1744</v>
      </c>
      <c r="O7070" s="253">
        <v>1624</v>
      </c>
    </row>
    <row r="7071" spans="1:15">
      <c r="A7071" s="240" t="s">
        <v>72</v>
      </c>
      <c r="B7071" s="47" t="s">
        <v>59</v>
      </c>
      <c r="C7071" s="15">
        <v>682</v>
      </c>
      <c r="D7071" s="243">
        <v>75</v>
      </c>
      <c r="E7071" s="243">
        <v>30</v>
      </c>
      <c r="F7071" s="243">
        <v>17</v>
      </c>
      <c r="G7071" s="243">
        <v>30</v>
      </c>
      <c r="H7071" s="243">
        <v>51</v>
      </c>
      <c r="I7071" s="243">
        <v>49</v>
      </c>
      <c r="J7071" s="243">
        <v>43</v>
      </c>
      <c r="K7071" s="243">
        <v>72</v>
      </c>
      <c r="L7071" s="243">
        <v>87</v>
      </c>
      <c r="M7071" s="243">
        <v>71</v>
      </c>
      <c r="N7071" s="243">
        <v>87</v>
      </c>
      <c r="O7071" s="253">
        <v>70</v>
      </c>
    </row>
    <row r="7072" spans="1:15">
      <c r="A7072" s="242" t="s">
        <v>72</v>
      </c>
      <c r="B7072" s="43" t="s">
        <v>4</v>
      </c>
      <c r="C7072" s="15">
        <v>39</v>
      </c>
      <c r="D7072" s="244">
        <v>4</v>
      </c>
      <c r="E7072" s="244">
        <v>3</v>
      </c>
      <c r="F7072" s="244">
        <v>1</v>
      </c>
      <c r="G7072" s="244">
        <v>1</v>
      </c>
      <c r="H7072" s="244">
        <v>3</v>
      </c>
      <c r="I7072" s="244">
        <v>1</v>
      </c>
      <c r="J7072" s="244">
        <v>4</v>
      </c>
      <c r="K7072" s="244">
        <v>1</v>
      </c>
      <c r="L7072" s="244">
        <v>9</v>
      </c>
      <c r="M7072" s="244">
        <v>3</v>
      </c>
      <c r="N7072" s="244">
        <v>6</v>
      </c>
      <c r="O7072" s="254">
        <v>3</v>
      </c>
    </row>
    <row r="7073" spans="1:15">
      <c r="A7073" s="240" t="s">
        <v>72</v>
      </c>
      <c r="B7073" s="47" t="s">
        <v>5</v>
      </c>
      <c r="C7073" s="12">
        <v>0.0571847507331378</v>
      </c>
      <c r="D7073" s="241">
        <v>0.0533333333333333</v>
      </c>
      <c r="E7073" s="241">
        <v>0.1</v>
      </c>
      <c r="F7073" s="241">
        <v>0.0588235294117647</v>
      </c>
      <c r="G7073" s="241">
        <v>0.0333333333333333</v>
      </c>
      <c r="H7073" s="241">
        <v>0.0588235294117647</v>
      </c>
      <c r="I7073" s="241">
        <v>0.0204081632653061</v>
      </c>
      <c r="J7073" s="241">
        <v>0.0930232558139535</v>
      </c>
      <c r="K7073" s="241">
        <v>0.0138888888888889</v>
      </c>
      <c r="L7073" s="241">
        <v>0.103448275862069</v>
      </c>
      <c r="M7073" s="241">
        <v>0.0422535211267606</v>
      </c>
      <c r="N7073" s="241">
        <v>0.0689655172413793</v>
      </c>
      <c r="O7073" s="252">
        <v>0.0428571428571429</v>
      </c>
    </row>
    <row r="7074" spans="1:15">
      <c r="A7074" s="242" t="s">
        <v>72</v>
      </c>
      <c r="B7074" s="43" t="s">
        <v>6</v>
      </c>
      <c r="C7074" s="15">
        <v>7</v>
      </c>
      <c r="D7074" s="244">
        <v>0</v>
      </c>
      <c r="E7074" s="244">
        <v>1</v>
      </c>
      <c r="F7074" s="244">
        <v>1</v>
      </c>
      <c r="G7074" s="244">
        <v>0</v>
      </c>
      <c r="H7074" s="244">
        <v>1</v>
      </c>
      <c r="I7074" s="244">
        <v>0</v>
      </c>
      <c r="J7074" s="244">
        <v>0</v>
      </c>
      <c r="K7074" s="244">
        <v>0</v>
      </c>
      <c r="L7074" s="244">
        <v>2</v>
      </c>
      <c r="M7074" s="244">
        <v>0</v>
      </c>
      <c r="N7074" s="244">
        <v>1</v>
      </c>
      <c r="O7074" s="254">
        <v>1</v>
      </c>
    </row>
    <row r="7075" ht="14.25" spans="1:15">
      <c r="A7075" s="245" t="s">
        <v>72</v>
      </c>
      <c r="B7075" s="52" t="s">
        <v>64</v>
      </c>
      <c r="C7075" s="19">
        <v>0.179487179487179</v>
      </c>
      <c r="D7075" s="19">
        <v>0</v>
      </c>
      <c r="E7075" s="19">
        <v>0.333333333333333</v>
      </c>
      <c r="F7075" s="19">
        <v>1</v>
      </c>
      <c r="G7075" s="19">
        <v>0</v>
      </c>
      <c r="H7075" s="19">
        <v>0.333333333333333</v>
      </c>
      <c r="I7075" s="19">
        <v>0</v>
      </c>
      <c r="J7075" s="19">
        <v>0</v>
      </c>
      <c r="K7075" s="19">
        <v>0</v>
      </c>
      <c r="L7075" s="19">
        <v>0.222222222222222</v>
      </c>
      <c r="M7075" s="19">
        <v>0</v>
      </c>
      <c r="N7075" s="19">
        <v>0.166666666666667</v>
      </c>
      <c r="O7075" s="19">
        <v>0.333333333333333</v>
      </c>
    </row>
    <row r="7076" ht="14.25" spans="1:15">
      <c r="A7076" s="237">
        <v>45128</v>
      </c>
      <c r="B7076" s="237"/>
      <c r="C7076" s="237"/>
      <c r="D7076" s="237"/>
      <c r="E7076" s="237"/>
      <c r="F7076" s="237"/>
      <c r="G7076" s="237"/>
      <c r="H7076" s="237"/>
      <c r="I7076" s="237"/>
      <c r="J7076" s="237"/>
      <c r="K7076" s="237"/>
      <c r="L7076" s="237"/>
      <c r="M7076" s="237"/>
      <c r="N7076" s="237"/>
      <c r="O7076" s="237"/>
    </row>
    <row r="7077" spans="1:15">
      <c r="A7077" s="56" t="s">
        <v>1</v>
      </c>
      <c r="B7077" s="238"/>
      <c r="C7077" s="8" t="s">
        <v>42</v>
      </c>
      <c r="D7077" s="239" t="s">
        <v>43</v>
      </c>
      <c r="E7077" s="239" t="s">
        <v>44</v>
      </c>
      <c r="F7077" s="239" t="s">
        <v>45</v>
      </c>
      <c r="G7077" s="239" t="s">
        <v>46</v>
      </c>
      <c r="H7077" s="239" t="s">
        <v>47</v>
      </c>
      <c r="I7077" s="239" t="s">
        <v>48</v>
      </c>
      <c r="J7077" s="239" t="s">
        <v>49</v>
      </c>
      <c r="K7077" s="239" t="s">
        <v>50</v>
      </c>
      <c r="L7077" s="239" t="s">
        <v>51</v>
      </c>
      <c r="M7077" s="239" t="s">
        <v>52</v>
      </c>
      <c r="N7077" s="239" t="s">
        <v>53</v>
      </c>
      <c r="O7077" s="251" t="s">
        <v>54</v>
      </c>
    </row>
    <row r="7078" spans="1:15">
      <c r="A7078" s="240" t="s">
        <v>22</v>
      </c>
      <c r="B7078" s="47" t="s">
        <v>55</v>
      </c>
      <c r="C7078" s="12">
        <v>0.477360931435964</v>
      </c>
      <c r="D7078" s="241">
        <v>0.490909090909091</v>
      </c>
      <c r="E7078" s="241">
        <v>0.482352941176471</v>
      </c>
      <c r="F7078" s="241">
        <v>0.382352941176471</v>
      </c>
      <c r="G7078" s="241">
        <v>0.56</v>
      </c>
      <c r="H7078" s="241">
        <v>0.622641509433962</v>
      </c>
      <c r="I7078" s="241">
        <v>0.449275362318841</v>
      </c>
      <c r="J7078" s="241">
        <v>0.451851851851852</v>
      </c>
      <c r="K7078" s="241">
        <v>0.39873417721519</v>
      </c>
      <c r="L7078" s="241">
        <v>0.467948717948718</v>
      </c>
      <c r="M7078" s="241">
        <v>0.511278195488722</v>
      </c>
      <c r="N7078" s="241">
        <v>0.467455621301775</v>
      </c>
      <c r="O7078" s="252">
        <v>0.481012658227848</v>
      </c>
    </row>
    <row r="7079" spans="1:15">
      <c r="A7079" s="242" t="s">
        <v>22</v>
      </c>
      <c r="B7079" s="43" t="s">
        <v>57</v>
      </c>
      <c r="C7079" s="15">
        <v>1546</v>
      </c>
      <c r="D7079" s="243">
        <v>165</v>
      </c>
      <c r="E7079" s="243">
        <v>85</v>
      </c>
      <c r="F7079" s="243">
        <v>68</v>
      </c>
      <c r="G7079" s="243">
        <v>75</v>
      </c>
      <c r="H7079" s="243">
        <v>106</v>
      </c>
      <c r="I7079" s="243">
        <v>138</v>
      </c>
      <c r="J7079" s="243">
        <v>135</v>
      </c>
      <c r="K7079" s="243">
        <v>158</v>
      </c>
      <c r="L7079" s="243">
        <v>156</v>
      </c>
      <c r="M7079" s="243">
        <v>133</v>
      </c>
      <c r="N7079" s="243">
        <v>169</v>
      </c>
      <c r="O7079" s="253">
        <v>158</v>
      </c>
    </row>
    <row r="7080" spans="1:15">
      <c r="A7080" s="240" t="s">
        <v>22</v>
      </c>
      <c r="B7080" s="47" t="s">
        <v>59</v>
      </c>
      <c r="C7080" s="15">
        <v>738</v>
      </c>
      <c r="D7080" s="243">
        <v>81</v>
      </c>
      <c r="E7080" s="243">
        <v>41</v>
      </c>
      <c r="F7080" s="243">
        <v>26</v>
      </c>
      <c r="G7080" s="243">
        <v>42</v>
      </c>
      <c r="H7080" s="243">
        <v>66</v>
      </c>
      <c r="I7080" s="243">
        <v>62</v>
      </c>
      <c r="J7080" s="243">
        <v>61</v>
      </c>
      <c r="K7080" s="243">
        <v>63</v>
      </c>
      <c r="L7080" s="243">
        <v>73</v>
      </c>
      <c r="M7080" s="243">
        <v>68</v>
      </c>
      <c r="N7080" s="243">
        <v>79</v>
      </c>
      <c r="O7080" s="253">
        <v>76</v>
      </c>
    </row>
    <row r="7081" spans="1:15">
      <c r="A7081" s="242" t="s">
        <v>22</v>
      </c>
      <c r="B7081" s="43" t="s">
        <v>4</v>
      </c>
      <c r="C7081" s="15">
        <v>40</v>
      </c>
      <c r="D7081" s="244">
        <v>6</v>
      </c>
      <c r="E7081" s="244">
        <v>3</v>
      </c>
      <c r="F7081" s="244">
        <v>2</v>
      </c>
      <c r="G7081" s="244">
        <v>0</v>
      </c>
      <c r="H7081" s="244">
        <v>1</v>
      </c>
      <c r="I7081" s="244">
        <v>2</v>
      </c>
      <c r="J7081" s="244">
        <v>3</v>
      </c>
      <c r="K7081" s="244">
        <v>4</v>
      </c>
      <c r="L7081" s="244">
        <v>1</v>
      </c>
      <c r="M7081" s="244">
        <v>5</v>
      </c>
      <c r="N7081" s="244">
        <v>3</v>
      </c>
      <c r="O7081" s="254">
        <v>10</v>
      </c>
    </row>
    <row r="7082" spans="1:15">
      <c r="A7082" s="240" t="s">
        <v>22</v>
      </c>
      <c r="B7082" s="47" t="s">
        <v>5</v>
      </c>
      <c r="C7082" s="12">
        <v>0.0542005420054201</v>
      </c>
      <c r="D7082" s="241">
        <v>0.0740740740740741</v>
      </c>
      <c r="E7082" s="241">
        <v>0.0731707317073171</v>
      </c>
      <c r="F7082" s="241">
        <v>0.0769230769230769</v>
      </c>
      <c r="G7082" s="241">
        <v>0</v>
      </c>
      <c r="H7082" s="241">
        <v>0.0151515151515152</v>
      </c>
      <c r="I7082" s="241">
        <v>0.032258064516129</v>
      </c>
      <c r="J7082" s="241">
        <v>0.0491803278688525</v>
      </c>
      <c r="K7082" s="241">
        <v>0.0634920634920635</v>
      </c>
      <c r="L7082" s="241">
        <v>0.0136986301369863</v>
      </c>
      <c r="M7082" s="241">
        <v>0.0735294117647059</v>
      </c>
      <c r="N7082" s="241">
        <v>0.0379746835443038</v>
      </c>
      <c r="O7082" s="252">
        <v>0.131578947368421</v>
      </c>
    </row>
    <row r="7083" spans="1:15">
      <c r="A7083" s="242" t="s">
        <v>22</v>
      </c>
      <c r="B7083" s="43" t="s">
        <v>6</v>
      </c>
      <c r="C7083" s="15">
        <v>13</v>
      </c>
      <c r="D7083" s="244">
        <v>2</v>
      </c>
      <c r="E7083" s="244">
        <v>0</v>
      </c>
      <c r="F7083" s="244">
        <v>3</v>
      </c>
      <c r="G7083" s="244">
        <v>0</v>
      </c>
      <c r="H7083" s="244">
        <v>1</v>
      </c>
      <c r="I7083" s="244">
        <v>2</v>
      </c>
      <c r="J7083" s="244">
        <v>0</v>
      </c>
      <c r="K7083" s="244">
        <v>0</v>
      </c>
      <c r="L7083" s="244">
        <v>1</v>
      </c>
      <c r="M7083" s="244">
        <v>1</v>
      </c>
      <c r="N7083" s="244">
        <v>1</v>
      </c>
      <c r="O7083" s="254">
        <v>2</v>
      </c>
    </row>
    <row r="7084" ht="14.25" spans="1:15">
      <c r="A7084" s="245" t="s">
        <v>22</v>
      </c>
      <c r="B7084" s="52" t="s">
        <v>64</v>
      </c>
      <c r="C7084" s="19">
        <v>0.325</v>
      </c>
      <c r="D7084" s="246">
        <v>0.333333333333333</v>
      </c>
      <c r="E7084" s="246">
        <v>0</v>
      </c>
      <c r="F7084" s="246">
        <v>1.5</v>
      </c>
      <c r="G7084" s="246">
        <v>0</v>
      </c>
      <c r="H7084" s="246">
        <v>1</v>
      </c>
      <c r="I7084" s="246">
        <v>1</v>
      </c>
      <c r="J7084" s="246">
        <v>0</v>
      </c>
      <c r="K7084" s="246">
        <v>0</v>
      </c>
      <c r="L7084" s="246">
        <v>1</v>
      </c>
      <c r="M7084" s="246">
        <v>0.2</v>
      </c>
      <c r="N7084" s="246">
        <v>0.333333333333333</v>
      </c>
      <c r="O7084" s="255">
        <v>0.2</v>
      </c>
    </row>
    <row r="7085" spans="1:15">
      <c r="A7085" s="247" t="s">
        <v>66</v>
      </c>
      <c r="B7085" s="248" t="s">
        <v>55</v>
      </c>
      <c r="C7085" s="12">
        <v>0.156991602774735</v>
      </c>
      <c r="D7085" s="249">
        <v>0.16260162601626</v>
      </c>
      <c r="E7085" s="249">
        <v>0.153846153846154</v>
      </c>
      <c r="F7085" s="249">
        <v>0.140845070422535</v>
      </c>
      <c r="G7085" s="249">
        <v>0.0994475138121547</v>
      </c>
      <c r="H7085" s="249">
        <v>0.162303664921466</v>
      </c>
      <c r="I7085" s="249">
        <v>0.0957854406130268</v>
      </c>
      <c r="J7085" s="249">
        <v>0.111969111969112</v>
      </c>
      <c r="K7085" s="249">
        <v>0.188191881918819</v>
      </c>
      <c r="L7085" s="249">
        <v>0.182879377431907</v>
      </c>
      <c r="M7085" s="249">
        <v>0.163636363636364</v>
      </c>
      <c r="N7085" s="249">
        <v>0.185770750988142</v>
      </c>
      <c r="O7085" s="256">
        <v>0.205298013245033</v>
      </c>
    </row>
    <row r="7086" spans="1:15">
      <c r="A7086" s="242" t="s">
        <v>66</v>
      </c>
      <c r="B7086" s="43" t="s">
        <v>57</v>
      </c>
      <c r="C7086" s="15">
        <v>2739</v>
      </c>
      <c r="D7086" s="243">
        <v>246</v>
      </c>
      <c r="E7086" s="243">
        <v>156</v>
      </c>
      <c r="F7086" s="243">
        <v>142</v>
      </c>
      <c r="G7086" s="243">
        <v>181</v>
      </c>
      <c r="H7086" s="243">
        <v>191</v>
      </c>
      <c r="I7086" s="243">
        <v>261</v>
      </c>
      <c r="J7086" s="243">
        <v>259</v>
      </c>
      <c r="K7086" s="243">
        <v>271</v>
      </c>
      <c r="L7086" s="243">
        <v>257</v>
      </c>
      <c r="M7086" s="243">
        <v>220</v>
      </c>
      <c r="N7086" s="243">
        <v>253</v>
      </c>
      <c r="O7086" s="253">
        <v>302</v>
      </c>
    </row>
    <row r="7087" spans="1:15">
      <c r="A7087" s="240" t="s">
        <v>66</v>
      </c>
      <c r="B7087" s="47" t="s">
        <v>59</v>
      </c>
      <c r="C7087" s="15">
        <v>430</v>
      </c>
      <c r="D7087" s="243">
        <v>40</v>
      </c>
      <c r="E7087" s="243">
        <v>24</v>
      </c>
      <c r="F7087" s="243">
        <v>20</v>
      </c>
      <c r="G7087" s="243">
        <v>18</v>
      </c>
      <c r="H7087" s="243">
        <v>31</v>
      </c>
      <c r="I7087" s="243">
        <v>25</v>
      </c>
      <c r="J7087" s="243">
        <v>29</v>
      </c>
      <c r="K7087" s="243">
        <v>51</v>
      </c>
      <c r="L7087" s="243">
        <v>47</v>
      </c>
      <c r="M7087" s="243">
        <v>36</v>
      </c>
      <c r="N7087" s="243">
        <v>47</v>
      </c>
      <c r="O7087" s="253">
        <v>62</v>
      </c>
    </row>
    <row r="7088" spans="1:15">
      <c r="A7088" s="242" t="s">
        <v>66</v>
      </c>
      <c r="B7088" s="43" t="s">
        <v>4</v>
      </c>
      <c r="C7088" s="15">
        <v>9</v>
      </c>
      <c r="D7088" s="244">
        <v>0</v>
      </c>
      <c r="E7088" s="244">
        <v>0</v>
      </c>
      <c r="F7088" s="244">
        <v>1</v>
      </c>
      <c r="G7088" s="244">
        <v>0</v>
      </c>
      <c r="H7088" s="244">
        <v>0</v>
      </c>
      <c r="I7088" s="244">
        <v>0</v>
      </c>
      <c r="J7088" s="244">
        <v>1</v>
      </c>
      <c r="K7088" s="244">
        <v>1</v>
      </c>
      <c r="L7088" s="244">
        <v>0</v>
      </c>
      <c r="M7088" s="244">
        <v>1</v>
      </c>
      <c r="N7088" s="244">
        <v>2</v>
      </c>
      <c r="O7088" s="254">
        <v>3</v>
      </c>
    </row>
    <row r="7089" spans="1:15">
      <c r="A7089" s="240" t="s">
        <v>66</v>
      </c>
      <c r="B7089" s="47" t="s">
        <v>5</v>
      </c>
      <c r="C7089" s="12">
        <v>0.0209302325581395</v>
      </c>
      <c r="D7089" s="241">
        <v>0</v>
      </c>
      <c r="E7089" s="241">
        <v>0</v>
      </c>
      <c r="F7089" s="241">
        <v>0.05</v>
      </c>
      <c r="G7089" s="241">
        <v>0</v>
      </c>
      <c r="H7089" s="241">
        <v>0</v>
      </c>
      <c r="I7089" s="241">
        <v>0</v>
      </c>
      <c r="J7089" s="241">
        <v>0.0344827586206897</v>
      </c>
      <c r="K7089" s="241">
        <v>0.0196078431372549</v>
      </c>
      <c r="L7089" s="241">
        <v>0</v>
      </c>
      <c r="M7089" s="241">
        <v>0.0277777777777778</v>
      </c>
      <c r="N7089" s="241">
        <v>0.0425531914893617</v>
      </c>
      <c r="O7089" s="252">
        <v>0.0483870967741935</v>
      </c>
    </row>
    <row r="7090" spans="1:15">
      <c r="A7090" s="242" t="s">
        <v>66</v>
      </c>
      <c r="B7090" s="43" t="s">
        <v>6</v>
      </c>
      <c r="C7090" s="15">
        <v>2</v>
      </c>
      <c r="D7090" s="244">
        <v>0</v>
      </c>
      <c r="E7090" s="244">
        <v>0</v>
      </c>
      <c r="F7090" s="244">
        <v>0</v>
      </c>
      <c r="G7090" s="244">
        <v>0</v>
      </c>
      <c r="H7090" s="244">
        <v>1</v>
      </c>
      <c r="I7090" s="244">
        <v>0</v>
      </c>
      <c r="J7090" s="244">
        <v>0</v>
      </c>
      <c r="K7090" s="244">
        <v>0</v>
      </c>
      <c r="L7090" s="244">
        <v>0</v>
      </c>
      <c r="M7090" s="244">
        <v>1</v>
      </c>
      <c r="N7090" s="244">
        <v>0</v>
      </c>
      <c r="O7090" s="254">
        <v>0</v>
      </c>
    </row>
    <row r="7091" ht="14.25" spans="1:15">
      <c r="A7091" s="245" t="s">
        <v>66</v>
      </c>
      <c r="B7091" s="52" t="s">
        <v>64</v>
      </c>
      <c r="C7091" s="19">
        <v>0.222222222222222</v>
      </c>
      <c r="D7091" s="246">
        <v>0</v>
      </c>
      <c r="E7091" s="246">
        <v>0</v>
      </c>
      <c r="F7091" s="246">
        <v>0</v>
      </c>
      <c r="G7091" s="246">
        <v>0</v>
      </c>
      <c r="H7091" s="246">
        <v>0</v>
      </c>
      <c r="I7091" s="246">
        <v>0</v>
      </c>
      <c r="J7091" s="246">
        <v>0</v>
      </c>
      <c r="K7091" s="246">
        <v>0</v>
      </c>
      <c r="L7091" s="246">
        <v>0</v>
      </c>
      <c r="M7091" s="246">
        <v>1</v>
      </c>
      <c r="N7091" s="246">
        <v>0</v>
      </c>
      <c r="O7091" s="255">
        <v>0</v>
      </c>
    </row>
    <row r="7092" spans="1:15">
      <c r="A7092" s="240" t="s">
        <v>67</v>
      </c>
      <c r="B7092" s="47" t="s">
        <v>55</v>
      </c>
      <c r="C7092" s="12">
        <v>0.466007416563659</v>
      </c>
      <c r="D7092" s="241">
        <v>0.480519480519481</v>
      </c>
      <c r="E7092" s="241">
        <v>0.439024390243902</v>
      </c>
      <c r="F7092" s="241">
        <v>0.333333333333333</v>
      </c>
      <c r="G7092" s="241">
        <v>0.372093023255814</v>
      </c>
      <c r="H7092" s="241">
        <v>0.6</v>
      </c>
      <c r="I7092" s="241">
        <v>0.378787878787879</v>
      </c>
      <c r="J7092" s="241">
        <v>0.416666666666667</v>
      </c>
      <c r="K7092" s="241">
        <v>0.527777777777778</v>
      </c>
      <c r="L7092" s="241">
        <v>0.505263157894737</v>
      </c>
      <c r="M7092" s="241">
        <v>0.523076923076923</v>
      </c>
      <c r="N7092" s="241">
        <v>0.536082474226804</v>
      </c>
      <c r="O7092" s="252">
        <v>0.366666666666667</v>
      </c>
    </row>
    <row r="7093" spans="1:15">
      <c r="A7093" s="242" t="s">
        <v>67</v>
      </c>
      <c r="B7093" s="43" t="s">
        <v>57</v>
      </c>
      <c r="C7093" s="15">
        <v>809</v>
      </c>
      <c r="D7093" s="243">
        <v>77</v>
      </c>
      <c r="E7093" s="243">
        <v>41</v>
      </c>
      <c r="F7093" s="243">
        <v>24</v>
      </c>
      <c r="G7093" s="243">
        <v>43</v>
      </c>
      <c r="H7093" s="243">
        <v>55</v>
      </c>
      <c r="I7093" s="243">
        <v>66</v>
      </c>
      <c r="J7093" s="243">
        <v>84</v>
      </c>
      <c r="K7093" s="243">
        <v>72</v>
      </c>
      <c r="L7093" s="243">
        <v>95</v>
      </c>
      <c r="M7093" s="243">
        <v>65</v>
      </c>
      <c r="N7093" s="243">
        <v>97</v>
      </c>
      <c r="O7093" s="253">
        <v>90</v>
      </c>
    </row>
    <row r="7094" spans="1:15">
      <c r="A7094" s="240" t="s">
        <v>67</v>
      </c>
      <c r="B7094" s="47" t="s">
        <v>59</v>
      </c>
      <c r="C7094" s="15">
        <v>377</v>
      </c>
      <c r="D7094" s="243">
        <v>37</v>
      </c>
      <c r="E7094" s="243">
        <v>18</v>
      </c>
      <c r="F7094" s="243">
        <v>8</v>
      </c>
      <c r="G7094" s="243">
        <v>16</v>
      </c>
      <c r="H7094" s="243">
        <v>33</v>
      </c>
      <c r="I7094" s="243">
        <v>25</v>
      </c>
      <c r="J7094" s="243">
        <v>35</v>
      </c>
      <c r="K7094" s="243">
        <v>38</v>
      </c>
      <c r="L7094" s="243">
        <v>48</v>
      </c>
      <c r="M7094" s="243">
        <v>34</v>
      </c>
      <c r="N7094" s="243">
        <v>52</v>
      </c>
      <c r="O7094" s="253">
        <v>33</v>
      </c>
    </row>
    <row r="7095" spans="1:15">
      <c r="A7095" s="242" t="s">
        <v>67</v>
      </c>
      <c r="B7095" s="43" t="s">
        <v>4</v>
      </c>
      <c r="C7095" s="15">
        <v>17</v>
      </c>
      <c r="D7095" s="244">
        <v>2</v>
      </c>
      <c r="E7095" s="244">
        <v>1</v>
      </c>
      <c r="F7095" s="244">
        <v>0</v>
      </c>
      <c r="G7095" s="244">
        <v>0</v>
      </c>
      <c r="H7095" s="244">
        <v>0</v>
      </c>
      <c r="I7095" s="244">
        <v>2</v>
      </c>
      <c r="J7095" s="244">
        <v>1</v>
      </c>
      <c r="K7095" s="244">
        <v>3</v>
      </c>
      <c r="L7095" s="244">
        <v>2</v>
      </c>
      <c r="M7095" s="244">
        <v>0</v>
      </c>
      <c r="N7095" s="244">
        <v>2</v>
      </c>
      <c r="O7095" s="254">
        <v>4</v>
      </c>
    </row>
    <row r="7096" spans="1:15">
      <c r="A7096" s="240" t="s">
        <v>67</v>
      </c>
      <c r="B7096" s="47" t="s">
        <v>5</v>
      </c>
      <c r="C7096" s="12">
        <v>0.0450928381962865</v>
      </c>
      <c r="D7096" s="241">
        <v>0.0540540540540541</v>
      </c>
      <c r="E7096" s="241">
        <v>0.0555555555555556</v>
      </c>
      <c r="F7096" s="241">
        <v>0</v>
      </c>
      <c r="G7096" s="241">
        <v>0</v>
      </c>
      <c r="H7096" s="241">
        <v>0</v>
      </c>
      <c r="I7096" s="241">
        <v>0.08</v>
      </c>
      <c r="J7096" s="241">
        <v>0.0285714285714286</v>
      </c>
      <c r="K7096" s="241">
        <v>0.0789473684210526</v>
      </c>
      <c r="L7096" s="241">
        <v>0.0416666666666667</v>
      </c>
      <c r="M7096" s="241">
        <v>0</v>
      </c>
      <c r="N7096" s="241">
        <v>0.0384615384615385</v>
      </c>
      <c r="O7096" s="252">
        <v>0.121212121212121</v>
      </c>
    </row>
    <row r="7097" spans="1:15">
      <c r="A7097" s="242" t="s">
        <v>67</v>
      </c>
      <c r="B7097" s="43" t="s">
        <v>6</v>
      </c>
      <c r="C7097" s="15">
        <v>5</v>
      </c>
      <c r="D7097" s="244">
        <v>1</v>
      </c>
      <c r="E7097" s="244">
        <v>0</v>
      </c>
      <c r="F7097" s="244">
        <v>0</v>
      </c>
      <c r="G7097" s="244">
        <v>0</v>
      </c>
      <c r="H7097" s="244">
        <v>0</v>
      </c>
      <c r="I7097" s="244">
        <v>0</v>
      </c>
      <c r="J7097" s="244">
        <v>1</v>
      </c>
      <c r="K7097" s="244">
        <v>1</v>
      </c>
      <c r="L7097" s="244">
        <v>1</v>
      </c>
      <c r="M7097" s="244">
        <v>0</v>
      </c>
      <c r="N7097" s="244">
        <v>0</v>
      </c>
      <c r="O7097" s="254">
        <v>1</v>
      </c>
    </row>
    <row r="7098" ht="14.25" spans="1:15">
      <c r="A7098" s="245" t="s">
        <v>67</v>
      </c>
      <c r="B7098" s="52" t="s">
        <v>64</v>
      </c>
      <c r="C7098" s="19">
        <v>0.294117647058824</v>
      </c>
      <c r="D7098" s="246">
        <v>0.5</v>
      </c>
      <c r="E7098" s="246">
        <v>0</v>
      </c>
      <c r="F7098" s="246">
        <v>0</v>
      </c>
      <c r="G7098" s="246">
        <v>0</v>
      </c>
      <c r="H7098" s="246">
        <v>0</v>
      </c>
      <c r="I7098" s="246">
        <v>0</v>
      </c>
      <c r="J7098" s="246">
        <v>1</v>
      </c>
      <c r="K7098" s="246">
        <v>0.333333333333333</v>
      </c>
      <c r="L7098" s="246">
        <v>0.5</v>
      </c>
      <c r="M7098" s="246">
        <v>0</v>
      </c>
      <c r="N7098" s="246">
        <v>0</v>
      </c>
      <c r="O7098" s="255">
        <v>0.25</v>
      </c>
    </row>
    <row r="7099" spans="1:15">
      <c r="A7099" s="240" t="s">
        <v>68</v>
      </c>
      <c r="B7099" s="47" t="s">
        <v>55</v>
      </c>
      <c r="C7099" s="12">
        <v>0.177025707777416</v>
      </c>
      <c r="D7099" s="241">
        <v>0.168831168831169</v>
      </c>
      <c r="E7099" s="241">
        <v>0.211920529801325</v>
      </c>
      <c r="F7099" s="241">
        <v>0.161016949152542</v>
      </c>
      <c r="G7099" s="241">
        <v>0.316176470588235</v>
      </c>
      <c r="H7099" s="241">
        <v>0.236994219653179</v>
      </c>
      <c r="I7099" s="241">
        <v>0.180212014134276</v>
      </c>
      <c r="J7099" s="241">
        <v>0.180487804878049</v>
      </c>
      <c r="K7099" s="241">
        <v>0.129120879120879</v>
      </c>
      <c r="L7099" s="241">
        <v>0.150326797385621</v>
      </c>
      <c r="M7099" s="241">
        <v>0.210526315789474</v>
      </c>
      <c r="N7099" s="241">
        <v>0.160664819944598</v>
      </c>
      <c r="O7099" s="252">
        <v>0.156769596199525</v>
      </c>
    </row>
    <row r="7100" spans="1:15">
      <c r="A7100" s="242" t="s">
        <v>68</v>
      </c>
      <c r="B7100" s="43" t="s">
        <v>57</v>
      </c>
      <c r="C7100" s="15">
        <v>3073</v>
      </c>
      <c r="D7100" s="243">
        <v>308</v>
      </c>
      <c r="E7100" s="243">
        <v>151</v>
      </c>
      <c r="F7100" s="243">
        <v>118</v>
      </c>
      <c r="G7100" s="243">
        <v>136</v>
      </c>
      <c r="H7100" s="243">
        <v>173</v>
      </c>
      <c r="I7100" s="243">
        <v>283</v>
      </c>
      <c r="J7100" s="243">
        <v>205</v>
      </c>
      <c r="K7100" s="243">
        <v>364</v>
      </c>
      <c r="L7100" s="243">
        <v>306</v>
      </c>
      <c r="M7100" s="243">
        <v>247</v>
      </c>
      <c r="N7100" s="243">
        <v>361</v>
      </c>
      <c r="O7100" s="253">
        <v>421</v>
      </c>
    </row>
    <row r="7101" spans="1:15">
      <c r="A7101" s="240" t="s">
        <v>68</v>
      </c>
      <c r="B7101" s="47" t="s">
        <v>59</v>
      </c>
      <c r="C7101" s="15">
        <v>544</v>
      </c>
      <c r="D7101" s="243">
        <v>52</v>
      </c>
      <c r="E7101" s="243">
        <v>32</v>
      </c>
      <c r="F7101" s="243">
        <v>19</v>
      </c>
      <c r="G7101" s="243">
        <v>43</v>
      </c>
      <c r="H7101" s="243">
        <v>41</v>
      </c>
      <c r="I7101" s="243">
        <v>51</v>
      </c>
      <c r="J7101" s="243">
        <v>37</v>
      </c>
      <c r="K7101" s="243">
        <v>47</v>
      </c>
      <c r="L7101" s="243">
        <v>46</v>
      </c>
      <c r="M7101" s="243">
        <v>52</v>
      </c>
      <c r="N7101" s="243">
        <v>58</v>
      </c>
      <c r="O7101" s="253">
        <v>66</v>
      </c>
    </row>
    <row r="7102" spans="1:15">
      <c r="A7102" s="242" t="s">
        <v>68</v>
      </c>
      <c r="B7102" s="43" t="s">
        <v>4</v>
      </c>
      <c r="C7102" s="15">
        <v>53</v>
      </c>
      <c r="D7102" s="244">
        <v>7</v>
      </c>
      <c r="E7102" s="244">
        <v>5</v>
      </c>
      <c r="F7102" s="244">
        <v>2</v>
      </c>
      <c r="G7102" s="244">
        <v>1</v>
      </c>
      <c r="H7102" s="244">
        <v>4</v>
      </c>
      <c r="I7102" s="244">
        <v>6</v>
      </c>
      <c r="J7102" s="244">
        <v>6</v>
      </c>
      <c r="K7102" s="244">
        <v>4</v>
      </c>
      <c r="L7102" s="244">
        <v>5</v>
      </c>
      <c r="M7102" s="244">
        <v>3</v>
      </c>
      <c r="N7102" s="244">
        <v>6</v>
      </c>
      <c r="O7102" s="254">
        <v>4</v>
      </c>
    </row>
    <row r="7103" spans="1:15">
      <c r="A7103" s="240" t="s">
        <v>68</v>
      </c>
      <c r="B7103" s="47" t="s">
        <v>5</v>
      </c>
      <c r="C7103" s="12">
        <v>0.0974264705882353</v>
      </c>
      <c r="D7103" s="241">
        <v>0.134615384615385</v>
      </c>
      <c r="E7103" s="241">
        <v>0.15625</v>
      </c>
      <c r="F7103" s="241">
        <v>0.105263157894737</v>
      </c>
      <c r="G7103" s="241">
        <v>0.0232558139534884</v>
      </c>
      <c r="H7103" s="241">
        <v>0.0975609756097561</v>
      </c>
      <c r="I7103" s="241">
        <v>0.117647058823529</v>
      </c>
      <c r="J7103" s="241">
        <v>0.162162162162162</v>
      </c>
      <c r="K7103" s="241">
        <v>0.0851063829787234</v>
      </c>
      <c r="L7103" s="241">
        <v>0.108695652173913</v>
      </c>
      <c r="M7103" s="241">
        <v>0.0576923076923077</v>
      </c>
      <c r="N7103" s="241">
        <v>0.103448275862069</v>
      </c>
      <c r="O7103" s="252">
        <v>0.0606060606060606</v>
      </c>
    </row>
    <row r="7104" spans="1:15">
      <c r="A7104" s="242" t="s">
        <v>68</v>
      </c>
      <c r="B7104" s="43" t="s">
        <v>6</v>
      </c>
      <c r="C7104" s="15">
        <v>18</v>
      </c>
      <c r="D7104" s="244">
        <v>3</v>
      </c>
      <c r="E7104" s="244">
        <v>3</v>
      </c>
      <c r="F7104" s="244">
        <v>1</v>
      </c>
      <c r="G7104" s="244">
        <v>0</v>
      </c>
      <c r="H7104" s="244">
        <v>0</v>
      </c>
      <c r="I7104" s="244">
        <v>2</v>
      </c>
      <c r="J7104" s="244">
        <v>3</v>
      </c>
      <c r="K7104" s="244">
        <v>1</v>
      </c>
      <c r="L7104" s="244">
        <v>0</v>
      </c>
      <c r="M7104" s="244">
        <v>1</v>
      </c>
      <c r="N7104" s="244">
        <v>2</v>
      </c>
      <c r="O7104" s="254">
        <v>2</v>
      </c>
    </row>
    <row r="7105" ht="14.25" spans="1:15">
      <c r="A7105" s="245" t="s">
        <v>68</v>
      </c>
      <c r="B7105" s="52" t="s">
        <v>64</v>
      </c>
      <c r="C7105" s="19">
        <v>0.339622641509434</v>
      </c>
      <c r="D7105" s="246">
        <v>0.428571428571429</v>
      </c>
      <c r="E7105" s="246">
        <v>0.6</v>
      </c>
      <c r="F7105" s="246">
        <v>0.5</v>
      </c>
      <c r="G7105" s="246">
        <v>0</v>
      </c>
      <c r="H7105" s="246">
        <v>0</v>
      </c>
      <c r="I7105" s="246">
        <v>0.333333333333333</v>
      </c>
      <c r="J7105" s="246">
        <v>0.5</v>
      </c>
      <c r="K7105" s="246">
        <v>0.25</v>
      </c>
      <c r="L7105" s="246">
        <v>0</v>
      </c>
      <c r="M7105" s="246">
        <v>0.333333333333333</v>
      </c>
      <c r="N7105" s="246">
        <v>0.333333333333333</v>
      </c>
      <c r="O7105" s="255">
        <v>0.5</v>
      </c>
    </row>
    <row r="7106" spans="1:15">
      <c r="A7106" s="240" t="s">
        <v>69</v>
      </c>
      <c r="B7106" s="47" t="s">
        <v>55</v>
      </c>
      <c r="C7106" s="12">
        <v>1.50735294117647</v>
      </c>
      <c r="D7106" s="241">
        <v>1.71428571428571</v>
      </c>
      <c r="E7106" s="241">
        <v>1.375</v>
      </c>
      <c r="F7106" s="241">
        <v>1.14285714285714</v>
      </c>
      <c r="G7106" s="241">
        <v>2</v>
      </c>
      <c r="H7106" s="241">
        <v>2.5</v>
      </c>
      <c r="I7106" s="241">
        <v>1.4</v>
      </c>
      <c r="J7106" s="241">
        <v>1.16666666666667</v>
      </c>
      <c r="K7106" s="241">
        <v>1.75</v>
      </c>
      <c r="L7106" s="241">
        <v>1.31818181818182</v>
      </c>
      <c r="M7106" s="241">
        <v>1.66666666666667</v>
      </c>
      <c r="N7106" s="241">
        <v>1.78571428571429</v>
      </c>
      <c r="O7106" s="252">
        <v>1.15</v>
      </c>
    </row>
    <row r="7107" spans="1:15">
      <c r="A7107" s="242" t="s">
        <v>69</v>
      </c>
      <c r="B7107" s="43" t="s">
        <v>57</v>
      </c>
      <c r="C7107" s="15">
        <v>136</v>
      </c>
      <c r="D7107" s="243">
        <v>14</v>
      </c>
      <c r="E7107" s="243">
        <v>8</v>
      </c>
      <c r="F7107" s="243">
        <v>7</v>
      </c>
      <c r="G7107" s="243">
        <v>5</v>
      </c>
      <c r="H7107" s="243">
        <v>6</v>
      </c>
      <c r="I7107" s="243">
        <v>5</v>
      </c>
      <c r="J7107" s="243">
        <v>12</v>
      </c>
      <c r="K7107" s="243">
        <v>8</v>
      </c>
      <c r="L7107" s="243">
        <v>22</v>
      </c>
      <c r="M7107" s="243">
        <v>15</v>
      </c>
      <c r="N7107" s="243">
        <v>14</v>
      </c>
      <c r="O7107" s="253">
        <v>20</v>
      </c>
    </row>
    <row r="7108" spans="1:15">
      <c r="A7108" s="240" t="s">
        <v>69</v>
      </c>
      <c r="B7108" s="47" t="s">
        <v>59</v>
      </c>
      <c r="C7108" s="15">
        <v>205</v>
      </c>
      <c r="D7108" s="243">
        <v>24</v>
      </c>
      <c r="E7108" s="243">
        <v>11</v>
      </c>
      <c r="F7108" s="243">
        <v>8</v>
      </c>
      <c r="G7108" s="243">
        <v>10</v>
      </c>
      <c r="H7108" s="243">
        <v>15</v>
      </c>
      <c r="I7108" s="243">
        <v>7</v>
      </c>
      <c r="J7108" s="243">
        <v>14</v>
      </c>
      <c r="K7108" s="243">
        <v>14</v>
      </c>
      <c r="L7108" s="243">
        <v>29</v>
      </c>
      <c r="M7108" s="243">
        <v>25</v>
      </c>
      <c r="N7108" s="243">
        <v>25</v>
      </c>
      <c r="O7108" s="253">
        <v>23</v>
      </c>
    </row>
    <row r="7109" spans="1:15">
      <c r="A7109" s="242" t="s">
        <v>69</v>
      </c>
      <c r="B7109" s="43" t="s">
        <v>4</v>
      </c>
      <c r="C7109" s="15">
        <v>3</v>
      </c>
      <c r="D7109" s="244">
        <v>0</v>
      </c>
      <c r="E7109" s="244">
        <v>0</v>
      </c>
      <c r="F7109" s="244">
        <v>0</v>
      </c>
      <c r="G7109" s="244">
        <v>0</v>
      </c>
      <c r="H7109" s="244">
        <v>0</v>
      </c>
      <c r="I7109" s="244">
        <v>0</v>
      </c>
      <c r="J7109" s="244">
        <v>1</v>
      </c>
      <c r="K7109" s="244">
        <v>0</v>
      </c>
      <c r="L7109" s="244">
        <v>2</v>
      </c>
      <c r="M7109" s="244">
        <v>0</v>
      </c>
      <c r="N7109" s="244">
        <v>0</v>
      </c>
      <c r="O7109" s="254">
        <v>0</v>
      </c>
    </row>
    <row r="7110" spans="1:15">
      <c r="A7110" s="240" t="s">
        <v>69</v>
      </c>
      <c r="B7110" s="47" t="s">
        <v>5</v>
      </c>
      <c r="C7110" s="12">
        <v>0.0146341463414634</v>
      </c>
      <c r="D7110" s="241">
        <v>0</v>
      </c>
      <c r="E7110" s="241">
        <v>0</v>
      </c>
      <c r="F7110" s="241">
        <v>0</v>
      </c>
      <c r="G7110" s="241">
        <v>0</v>
      </c>
      <c r="H7110" s="241">
        <v>0</v>
      </c>
      <c r="I7110" s="241">
        <v>0</v>
      </c>
      <c r="J7110" s="241">
        <v>0.0714285714285714</v>
      </c>
      <c r="K7110" s="241">
        <v>0</v>
      </c>
      <c r="L7110" s="241">
        <v>0.0689655172413793</v>
      </c>
      <c r="M7110" s="241">
        <v>0</v>
      </c>
      <c r="N7110" s="241">
        <v>0</v>
      </c>
      <c r="O7110" s="252">
        <v>0</v>
      </c>
    </row>
    <row r="7111" spans="1:15">
      <c r="A7111" s="242" t="s">
        <v>69</v>
      </c>
      <c r="B7111" s="43" t="s">
        <v>6</v>
      </c>
      <c r="C7111" s="15">
        <v>3</v>
      </c>
      <c r="D7111" s="244">
        <v>1</v>
      </c>
      <c r="E7111" s="244">
        <v>0</v>
      </c>
      <c r="F7111" s="244">
        <v>0</v>
      </c>
      <c r="G7111" s="244">
        <v>0</v>
      </c>
      <c r="H7111" s="244">
        <v>0</v>
      </c>
      <c r="I7111" s="244">
        <v>1</v>
      </c>
      <c r="J7111" s="244">
        <v>0</v>
      </c>
      <c r="K7111" s="244">
        <v>0</v>
      </c>
      <c r="L7111" s="244">
        <v>1</v>
      </c>
      <c r="M7111" s="244">
        <v>0</v>
      </c>
      <c r="N7111" s="244">
        <v>0</v>
      </c>
      <c r="O7111" s="254">
        <v>0</v>
      </c>
    </row>
    <row r="7112" ht="14.25" spans="1:15">
      <c r="A7112" s="245" t="s">
        <v>69</v>
      </c>
      <c r="B7112" s="52" t="s">
        <v>64</v>
      </c>
      <c r="C7112" s="19">
        <v>1</v>
      </c>
      <c r="D7112" s="246">
        <v>0</v>
      </c>
      <c r="E7112" s="246">
        <v>0</v>
      </c>
      <c r="F7112" s="246">
        <v>0</v>
      </c>
      <c r="G7112" s="246">
        <v>0</v>
      </c>
      <c r="H7112" s="246">
        <v>0</v>
      </c>
      <c r="I7112" s="246">
        <v>0</v>
      </c>
      <c r="J7112" s="246">
        <v>0</v>
      </c>
      <c r="K7112" s="246">
        <v>0</v>
      </c>
      <c r="L7112" s="246">
        <v>0.5</v>
      </c>
      <c r="M7112" s="246">
        <v>0</v>
      </c>
      <c r="N7112" s="246">
        <v>0</v>
      </c>
      <c r="O7112" s="255">
        <v>0</v>
      </c>
    </row>
    <row r="7113" spans="1:15">
      <c r="A7113" s="240" t="s">
        <v>70</v>
      </c>
      <c r="B7113" s="47" t="s">
        <v>55</v>
      </c>
      <c r="C7113" s="12">
        <v>0.78314606741573</v>
      </c>
      <c r="D7113" s="241">
        <v>1.19565217391304</v>
      </c>
      <c r="E7113" s="241">
        <v>0.710526315789474</v>
      </c>
      <c r="F7113" s="241">
        <v>0.65</v>
      </c>
      <c r="G7113" s="241">
        <v>0.576923076923077</v>
      </c>
      <c r="H7113" s="241">
        <v>0.728571428571429</v>
      </c>
      <c r="I7113" s="241">
        <v>0.727272727272727</v>
      </c>
      <c r="J7113" s="241">
        <v>0.828947368421053</v>
      </c>
      <c r="K7113" s="241">
        <v>0.839622641509434</v>
      </c>
      <c r="L7113" s="241">
        <v>0.735042735042735</v>
      </c>
      <c r="M7113" s="241">
        <v>0.7875</v>
      </c>
      <c r="N7113" s="241">
        <v>0.735294117647059</v>
      </c>
      <c r="O7113" s="252">
        <v>0.808080808080808</v>
      </c>
    </row>
    <row r="7114" spans="1:15">
      <c r="A7114" s="242" t="s">
        <v>70</v>
      </c>
      <c r="B7114" s="43" t="s">
        <v>57</v>
      </c>
      <c r="C7114" s="15">
        <v>890</v>
      </c>
      <c r="D7114" s="243">
        <v>46</v>
      </c>
      <c r="E7114" s="243">
        <v>38</v>
      </c>
      <c r="F7114" s="243">
        <v>20</v>
      </c>
      <c r="G7114" s="243">
        <v>26</v>
      </c>
      <c r="H7114" s="243">
        <v>70</v>
      </c>
      <c r="I7114" s="243">
        <v>110</v>
      </c>
      <c r="J7114" s="243">
        <v>76</v>
      </c>
      <c r="K7114" s="243">
        <v>106</v>
      </c>
      <c r="L7114" s="243">
        <v>117</v>
      </c>
      <c r="M7114" s="243">
        <v>80</v>
      </c>
      <c r="N7114" s="243">
        <v>102</v>
      </c>
      <c r="O7114" s="253">
        <v>99</v>
      </c>
    </row>
    <row r="7115" spans="1:15">
      <c r="A7115" s="240" t="s">
        <v>70</v>
      </c>
      <c r="B7115" s="47" t="s">
        <v>59</v>
      </c>
      <c r="C7115" s="15">
        <v>697</v>
      </c>
      <c r="D7115" s="243">
        <v>55</v>
      </c>
      <c r="E7115" s="243">
        <v>27</v>
      </c>
      <c r="F7115" s="243">
        <v>13</v>
      </c>
      <c r="G7115" s="243">
        <v>15</v>
      </c>
      <c r="H7115" s="243">
        <v>51</v>
      </c>
      <c r="I7115" s="243">
        <v>80</v>
      </c>
      <c r="J7115" s="243">
        <v>63</v>
      </c>
      <c r="K7115" s="243">
        <v>89</v>
      </c>
      <c r="L7115" s="243">
        <v>86</v>
      </c>
      <c r="M7115" s="243">
        <v>63</v>
      </c>
      <c r="N7115" s="243">
        <v>75</v>
      </c>
      <c r="O7115" s="253">
        <v>80</v>
      </c>
    </row>
    <row r="7116" spans="1:15">
      <c r="A7116" s="242" t="s">
        <v>70</v>
      </c>
      <c r="B7116" s="43" t="s">
        <v>4</v>
      </c>
      <c r="C7116" s="15">
        <v>20</v>
      </c>
      <c r="D7116" s="244">
        <v>1</v>
      </c>
      <c r="E7116" s="244">
        <v>3</v>
      </c>
      <c r="F7116" s="244">
        <v>1</v>
      </c>
      <c r="G7116" s="244">
        <v>2</v>
      </c>
      <c r="H7116" s="244">
        <v>0</v>
      </c>
      <c r="I7116" s="244">
        <v>2</v>
      </c>
      <c r="J7116" s="244">
        <v>2</v>
      </c>
      <c r="K7116" s="244">
        <v>3</v>
      </c>
      <c r="L7116" s="244">
        <v>2</v>
      </c>
      <c r="M7116" s="244">
        <v>1</v>
      </c>
      <c r="N7116" s="244">
        <v>1</v>
      </c>
      <c r="O7116" s="254">
        <v>2</v>
      </c>
    </row>
    <row r="7117" spans="1:15">
      <c r="A7117" s="240" t="s">
        <v>70</v>
      </c>
      <c r="B7117" s="47" t="s">
        <v>5</v>
      </c>
      <c r="C7117" s="12">
        <v>0.0286944045911047</v>
      </c>
      <c r="D7117" s="241">
        <v>0.0181818181818182</v>
      </c>
      <c r="E7117" s="241">
        <v>0.111111111111111</v>
      </c>
      <c r="F7117" s="241">
        <v>0.0769230769230769</v>
      </c>
      <c r="G7117" s="241">
        <v>0.133333333333333</v>
      </c>
      <c r="H7117" s="241">
        <v>0</v>
      </c>
      <c r="I7117" s="241">
        <v>0.025</v>
      </c>
      <c r="J7117" s="241">
        <v>0.0317460317460317</v>
      </c>
      <c r="K7117" s="241">
        <v>0.0337078651685393</v>
      </c>
      <c r="L7117" s="241">
        <v>0.0232558139534884</v>
      </c>
      <c r="M7117" s="241">
        <v>0.0158730158730159</v>
      </c>
      <c r="N7117" s="241">
        <v>0.0133333333333333</v>
      </c>
      <c r="O7117" s="252">
        <v>0.025</v>
      </c>
    </row>
    <row r="7118" spans="1:15">
      <c r="A7118" s="242" t="s">
        <v>70</v>
      </c>
      <c r="B7118" s="43" t="s">
        <v>6</v>
      </c>
      <c r="C7118" s="15">
        <v>4</v>
      </c>
      <c r="D7118" s="244">
        <v>0</v>
      </c>
      <c r="E7118" s="244">
        <v>0</v>
      </c>
      <c r="F7118" s="244">
        <v>0</v>
      </c>
      <c r="G7118" s="244">
        <v>1</v>
      </c>
      <c r="H7118" s="244">
        <v>0</v>
      </c>
      <c r="I7118" s="244">
        <v>1</v>
      </c>
      <c r="J7118" s="244">
        <v>0</v>
      </c>
      <c r="K7118" s="244">
        <v>1</v>
      </c>
      <c r="L7118" s="244">
        <v>0</v>
      </c>
      <c r="M7118" s="244">
        <v>1</v>
      </c>
      <c r="N7118" s="244">
        <v>0</v>
      </c>
      <c r="O7118" s="254">
        <v>0</v>
      </c>
    </row>
    <row r="7119" ht="14.25" spans="1:15">
      <c r="A7119" s="245" t="s">
        <v>70</v>
      </c>
      <c r="B7119" s="52" t="s">
        <v>64</v>
      </c>
      <c r="C7119" s="19">
        <v>0.2</v>
      </c>
      <c r="D7119" s="246">
        <v>0</v>
      </c>
      <c r="E7119" s="246">
        <v>0</v>
      </c>
      <c r="F7119" s="246">
        <v>0</v>
      </c>
      <c r="G7119" s="246">
        <v>0.5</v>
      </c>
      <c r="H7119" s="246">
        <v>0</v>
      </c>
      <c r="I7119" s="246">
        <v>0.5</v>
      </c>
      <c r="J7119" s="246">
        <v>0</v>
      </c>
      <c r="K7119" s="246">
        <v>0.333333333333333</v>
      </c>
      <c r="L7119" s="246">
        <v>0</v>
      </c>
      <c r="M7119" s="246">
        <v>1</v>
      </c>
      <c r="N7119" s="246">
        <v>0</v>
      </c>
      <c r="O7119" s="255">
        <v>0</v>
      </c>
    </row>
    <row r="7120" spans="1:15">
      <c r="A7120" s="240" t="s">
        <v>26</v>
      </c>
      <c r="B7120" s="47" t="s">
        <v>55</v>
      </c>
      <c r="C7120" s="12">
        <v>0.955</v>
      </c>
      <c r="D7120" s="241">
        <v>1</v>
      </c>
      <c r="E7120" s="241">
        <v>0.948453608247423</v>
      </c>
      <c r="F7120" s="241">
        <v>1.05479452054795</v>
      </c>
      <c r="G7120" s="241">
        <v>1.11111111111111</v>
      </c>
      <c r="H7120" s="241">
        <v>1.078125</v>
      </c>
      <c r="I7120" s="241">
        <v>0.94578313253012</v>
      </c>
      <c r="J7120" s="241">
        <v>0.835897435897436</v>
      </c>
      <c r="K7120" s="241">
        <v>0.884444444444444</v>
      </c>
      <c r="L7120" s="241">
        <v>0.830769230769231</v>
      </c>
      <c r="M7120" s="241">
        <v>1.00769230769231</v>
      </c>
      <c r="N7120" s="241">
        <v>1.13333333333333</v>
      </c>
      <c r="O7120" s="252">
        <v>0.920560747663551</v>
      </c>
    </row>
    <row r="7121" spans="1:15">
      <c r="A7121" s="242" t="s">
        <v>26</v>
      </c>
      <c r="B7121" s="43" t="s">
        <v>57</v>
      </c>
      <c r="C7121" s="15">
        <v>1800</v>
      </c>
      <c r="D7121" s="243">
        <v>170</v>
      </c>
      <c r="E7121" s="243">
        <v>97</v>
      </c>
      <c r="F7121" s="243">
        <v>73</v>
      </c>
      <c r="G7121" s="243">
        <v>72</v>
      </c>
      <c r="H7121" s="243">
        <v>128</v>
      </c>
      <c r="I7121" s="243">
        <v>166</v>
      </c>
      <c r="J7121" s="243">
        <v>195</v>
      </c>
      <c r="K7121" s="243">
        <v>225</v>
      </c>
      <c r="L7121" s="243">
        <v>195</v>
      </c>
      <c r="M7121" s="243">
        <v>130</v>
      </c>
      <c r="N7121" s="243">
        <v>135</v>
      </c>
      <c r="O7121" s="253">
        <v>214</v>
      </c>
    </row>
    <row r="7122" spans="1:15">
      <c r="A7122" s="240" t="s">
        <v>26</v>
      </c>
      <c r="B7122" s="47" t="s">
        <v>59</v>
      </c>
      <c r="C7122" s="15">
        <v>1719</v>
      </c>
      <c r="D7122" s="243">
        <v>170</v>
      </c>
      <c r="E7122" s="243">
        <v>92</v>
      </c>
      <c r="F7122" s="243">
        <v>77</v>
      </c>
      <c r="G7122" s="243">
        <v>80</v>
      </c>
      <c r="H7122" s="243">
        <v>138</v>
      </c>
      <c r="I7122" s="243">
        <v>157</v>
      </c>
      <c r="J7122" s="243">
        <v>163</v>
      </c>
      <c r="K7122" s="243">
        <v>199</v>
      </c>
      <c r="L7122" s="243">
        <v>162</v>
      </c>
      <c r="M7122" s="243">
        <v>131</v>
      </c>
      <c r="N7122" s="243">
        <v>153</v>
      </c>
      <c r="O7122" s="253">
        <v>197</v>
      </c>
    </row>
    <row r="7123" spans="1:15">
      <c r="A7123" s="242" t="s">
        <v>26</v>
      </c>
      <c r="B7123" s="43" t="s">
        <v>4</v>
      </c>
      <c r="C7123" s="15">
        <v>27</v>
      </c>
      <c r="D7123" s="244">
        <v>5</v>
      </c>
      <c r="E7123" s="244">
        <v>1</v>
      </c>
      <c r="F7123" s="244">
        <v>2</v>
      </c>
      <c r="G7123" s="244">
        <v>3</v>
      </c>
      <c r="H7123" s="244">
        <v>1</v>
      </c>
      <c r="I7123" s="244">
        <v>1</v>
      </c>
      <c r="J7123" s="244">
        <v>2</v>
      </c>
      <c r="K7123" s="244">
        <v>6</v>
      </c>
      <c r="L7123" s="244">
        <v>3</v>
      </c>
      <c r="M7123" s="244">
        <v>1</v>
      </c>
      <c r="N7123" s="244">
        <v>1</v>
      </c>
      <c r="O7123" s="254">
        <v>1</v>
      </c>
    </row>
    <row r="7124" spans="1:15">
      <c r="A7124" s="240" t="s">
        <v>26</v>
      </c>
      <c r="B7124" s="47" t="s">
        <v>5</v>
      </c>
      <c r="C7124" s="12">
        <v>0.0157068062827225</v>
      </c>
      <c r="D7124" s="241">
        <v>0.0294117647058824</v>
      </c>
      <c r="E7124" s="241">
        <v>0.0108695652173913</v>
      </c>
      <c r="F7124" s="241">
        <v>0.025974025974026</v>
      </c>
      <c r="G7124" s="241">
        <v>0.0375</v>
      </c>
      <c r="H7124" s="241">
        <v>0.0072463768115942</v>
      </c>
      <c r="I7124" s="241">
        <v>0.00636942675159236</v>
      </c>
      <c r="J7124" s="241">
        <v>0.0122699386503067</v>
      </c>
      <c r="K7124" s="241">
        <v>0.0301507537688442</v>
      </c>
      <c r="L7124" s="241">
        <v>0.0185185185185185</v>
      </c>
      <c r="M7124" s="241">
        <v>0.00763358778625954</v>
      </c>
      <c r="N7124" s="241">
        <v>0.0065359477124183</v>
      </c>
      <c r="O7124" s="252">
        <v>0.0050761421319797</v>
      </c>
    </row>
    <row r="7125" spans="1:15">
      <c r="A7125" s="242" t="s">
        <v>26</v>
      </c>
      <c r="B7125" s="43" t="s">
        <v>6</v>
      </c>
      <c r="C7125" s="15">
        <v>6</v>
      </c>
      <c r="D7125" s="244">
        <v>2</v>
      </c>
      <c r="E7125" s="244">
        <v>0</v>
      </c>
      <c r="F7125" s="244">
        <v>0</v>
      </c>
      <c r="G7125" s="244">
        <v>0</v>
      </c>
      <c r="H7125" s="244">
        <v>0</v>
      </c>
      <c r="I7125" s="244">
        <v>0</v>
      </c>
      <c r="J7125" s="244">
        <v>1</v>
      </c>
      <c r="K7125" s="244">
        <v>1</v>
      </c>
      <c r="L7125" s="244">
        <v>1</v>
      </c>
      <c r="M7125" s="244">
        <v>0</v>
      </c>
      <c r="N7125" s="244">
        <v>1</v>
      </c>
      <c r="O7125" s="254">
        <v>0</v>
      </c>
    </row>
    <row r="7126" ht="14.25" spans="1:15">
      <c r="A7126" s="245" t="s">
        <v>26</v>
      </c>
      <c r="B7126" s="52" t="s">
        <v>64</v>
      </c>
      <c r="C7126" s="19">
        <v>0.222222222222222</v>
      </c>
      <c r="D7126" s="19">
        <v>0.4</v>
      </c>
      <c r="E7126" s="19">
        <v>0</v>
      </c>
      <c r="F7126" s="19">
        <v>0</v>
      </c>
      <c r="G7126" s="19">
        <v>0</v>
      </c>
      <c r="H7126" s="19">
        <v>0</v>
      </c>
      <c r="I7126" s="19">
        <v>0</v>
      </c>
      <c r="J7126" s="19">
        <v>0.5</v>
      </c>
      <c r="K7126" s="19">
        <v>0.166666666666667</v>
      </c>
      <c r="L7126" s="19">
        <v>0.333333333333333</v>
      </c>
      <c r="M7126" s="19">
        <v>0</v>
      </c>
      <c r="N7126" s="19">
        <v>1</v>
      </c>
      <c r="O7126" s="19">
        <v>0</v>
      </c>
    </row>
    <row r="7127" spans="1:15">
      <c r="A7127" s="240" t="s">
        <v>71</v>
      </c>
      <c r="B7127" s="47" t="s">
        <v>55</v>
      </c>
      <c r="C7127" s="12">
        <v>0.238805970149254</v>
      </c>
      <c r="D7127" s="241">
        <v>0.163265306122449</v>
      </c>
      <c r="E7127" s="241">
        <v>0.333333333333333</v>
      </c>
      <c r="F7127" s="241">
        <v>0.0588235294117647</v>
      </c>
      <c r="G7127" s="241">
        <v>0.388888888888889</v>
      </c>
      <c r="H7127" s="241">
        <v>0.5</v>
      </c>
      <c r="I7127" s="241">
        <v>0.34375</v>
      </c>
      <c r="J7127" s="241">
        <v>0.264150943396226</v>
      </c>
      <c r="K7127" s="241">
        <v>0.225</v>
      </c>
      <c r="L7127" s="241">
        <v>0.1875</v>
      </c>
      <c r="M7127" s="241">
        <v>0.27027027027027</v>
      </c>
      <c r="N7127" s="241">
        <v>0.161290322580645</v>
      </c>
      <c r="O7127" s="252">
        <v>0.193548387096774</v>
      </c>
    </row>
    <row r="7128" spans="1:15">
      <c r="A7128" s="242" t="s">
        <v>71</v>
      </c>
      <c r="B7128" s="43" t="s">
        <v>57</v>
      </c>
      <c r="C7128" s="15">
        <v>469</v>
      </c>
      <c r="D7128" s="243">
        <v>49</v>
      </c>
      <c r="E7128" s="243">
        <v>27</v>
      </c>
      <c r="F7128" s="243">
        <v>17</v>
      </c>
      <c r="G7128" s="243">
        <v>18</v>
      </c>
      <c r="H7128" s="243">
        <v>24</v>
      </c>
      <c r="I7128" s="243">
        <v>32</v>
      </c>
      <c r="J7128" s="243">
        <v>53</v>
      </c>
      <c r="K7128" s="243">
        <v>40</v>
      </c>
      <c r="L7128" s="243">
        <v>48</v>
      </c>
      <c r="M7128" s="243">
        <v>37</v>
      </c>
      <c r="N7128" s="243">
        <v>62</v>
      </c>
      <c r="O7128" s="253">
        <v>62</v>
      </c>
    </row>
    <row r="7129" spans="1:15">
      <c r="A7129" s="240" t="s">
        <v>71</v>
      </c>
      <c r="B7129" s="47" t="s">
        <v>59</v>
      </c>
      <c r="C7129" s="15">
        <v>112</v>
      </c>
      <c r="D7129" s="243">
        <v>8</v>
      </c>
      <c r="E7129" s="243">
        <v>9</v>
      </c>
      <c r="F7129" s="243">
        <v>1</v>
      </c>
      <c r="G7129" s="243">
        <v>7</v>
      </c>
      <c r="H7129" s="243">
        <v>12</v>
      </c>
      <c r="I7129" s="243">
        <v>11</v>
      </c>
      <c r="J7129" s="243">
        <v>14</v>
      </c>
      <c r="K7129" s="243">
        <v>9</v>
      </c>
      <c r="L7129" s="243">
        <v>9</v>
      </c>
      <c r="M7129" s="243">
        <v>10</v>
      </c>
      <c r="N7129" s="243">
        <v>10</v>
      </c>
      <c r="O7129" s="253">
        <v>12</v>
      </c>
    </row>
    <row r="7130" spans="1:15">
      <c r="A7130" s="242" t="s">
        <v>71</v>
      </c>
      <c r="B7130" s="43" t="s">
        <v>4</v>
      </c>
      <c r="C7130" s="15">
        <v>21</v>
      </c>
      <c r="D7130" s="244">
        <v>6</v>
      </c>
      <c r="E7130" s="244">
        <v>3</v>
      </c>
      <c r="F7130" s="244">
        <v>0</v>
      </c>
      <c r="G7130" s="244">
        <v>0</v>
      </c>
      <c r="H7130" s="244">
        <v>1</v>
      </c>
      <c r="I7130" s="244">
        <v>0</v>
      </c>
      <c r="J7130" s="244">
        <v>5</v>
      </c>
      <c r="K7130" s="244">
        <v>0</v>
      </c>
      <c r="L7130" s="244">
        <v>0</v>
      </c>
      <c r="M7130" s="244">
        <v>1</v>
      </c>
      <c r="N7130" s="244">
        <v>0</v>
      </c>
      <c r="O7130" s="254">
        <v>5</v>
      </c>
    </row>
    <row r="7131" spans="1:15">
      <c r="A7131" s="240" t="s">
        <v>71</v>
      </c>
      <c r="B7131" s="47" t="s">
        <v>5</v>
      </c>
      <c r="C7131" s="241">
        <v>0.1875</v>
      </c>
      <c r="D7131" s="241">
        <v>0.75</v>
      </c>
      <c r="E7131" s="241">
        <v>0.333333333333333</v>
      </c>
      <c r="F7131" s="241">
        <v>0</v>
      </c>
      <c r="G7131" s="241">
        <v>0</v>
      </c>
      <c r="H7131" s="241">
        <v>0.0833333333333333</v>
      </c>
      <c r="I7131" s="241">
        <v>0</v>
      </c>
      <c r="J7131" s="241">
        <v>0.357142857142857</v>
      </c>
      <c r="K7131" s="241">
        <v>0</v>
      </c>
      <c r="L7131" s="241">
        <v>0</v>
      </c>
      <c r="M7131" s="241">
        <v>0.1</v>
      </c>
      <c r="N7131" s="241">
        <v>0</v>
      </c>
      <c r="O7131" s="252">
        <v>0.416666666666667</v>
      </c>
    </row>
    <row r="7132" spans="1:15">
      <c r="A7132" s="242" t="s">
        <v>71</v>
      </c>
      <c r="B7132" s="43" t="s">
        <v>6</v>
      </c>
      <c r="C7132" s="15">
        <v>1</v>
      </c>
      <c r="D7132" s="244">
        <v>0</v>
      </c>
      <c r="E7132" s="244">
        <v>0</v>
      </c>
      <c r="F7132" s="244">
        <v>0</v>
      </c>
      <c r="G7132" s="244">
        <v>0</v>
      </c>
      <c r="H7132" s="244">
        <v>0</v>
      </c>
      <c r="I7132" s="244">
        <v>1</v>
      </c>
      <c r="J7132" s="244">
        <v>0</v>
      </c>
      <c r="K7132" s="244">
        <v>0</v>
      </c>
      <c r="L7132" s="244">
        <v>0</v>
      </c>
      <c r="M7132" s="244">
        <v>0</v>
      </c>
      <c r="N7132" s="244">
        <v>0</v>
      </c>
      <c r="O7132" s="254">
        <v>0</v>
      </c>
    </row>
    <row r="7133" ht="14.25" spans="1:15">
      <c r="A7133" s="245" t="s">
        <v>71</v>
      </c>
      <c r="B7133" s="52" t="s">
        <v>64</v>
      </c>
      <c r="C7133" s="19">
        <v>0.0476190476190476</v>
      </c>
      <c r="D7133" s="19">
        <v>0</v>
      </c>
      <c r="E7133" s="19">
        <v>0</v>
      </c>
      <c r="F7133" s="19" t="e">
        <v>#DIV/0!</v>
      </c>
      <c r="G7133" s="19" t="e">
        <v>#DIV/0!</v>
      </c>
      <c r="H7133" s="19">
        <v>0</v>
      </c>
      <c r="I7133" s="19" t="e">
        <v>#DIV/0!</v>
      </c>
      <c r="J7133" s="19">
        <v>0</v>
      </c>
      <c r="K7133" s="19" t="e">
        <v>#DIV/0!</v>
      </c>
      <c r="L7133" s="19" t="e">
        <v>#DIV/0!</v>
      </c>
      <c r="M7133" s="19">
        <v>0</v>
      </c>
      <c r="N7133" s="19" t="e">
        <v>#DIV/0!</v>
      </c>
      <c r="O7133" s="19">
        <v>0</v>
      </c>
    </row>
    <row r="7134" spans="1:15">
      <c r="A7134" s="240" t="s">
        <v>72</v>
      </c>
      <c r="B7134" s="47" t="s">
        <v>55</v>
      </c>
      <c r="C7134" s="12">
        <v>0.0533962120635887</v>
      </c>
      <c r="D7134" s="241">
        <v>0.0738963531669866</v>
      </c>
      <c r="E7134" s="241">
        <v>0.100558659217877</v>
      </c>
      <c r="F7134" s="241">
        <v>0.0633802816901408</v>
      </c>
      <c r="G7134" s="241">
        <v>0.0540540540540541</v>
      </c>
      <c r="H7134" s="241">
        <v>0.0571131879543094</v>
      </c>
      <c r="I7134" s="241">
        <v>0.0387096774193548</v>
      </c>
      <c r="J7134" s="241">
        <v>0.0416666666666667</v>
      </c>
      <c r="K7134" s="241">
        <v>0.0420594633792603</v>
      </c>
      <c r="L7134" s="241">
        <v>0.0578754578754579</v>
      </c>
      <c r="M7134" s="241">
        <v>0.0575875486381323</v>
      </c>
      <c r="N7134" s="241">
        <v>0.0520123839009288</v>
      </c>
      <c r="O7134" s="252">
        <v>0.0512665862484922</v>
      </c>
    </row>
    <row r="7135" spans="1:15">
      <c r="A7135" s="242" t="s">
        <v>72</v>
      </c>
      <c r="B7135" s="43" t="s">
        <v>57</v>
      </c>
      <c r="C7135" s="15">
        <v>13147</v>
      </c>
      <c r="D7135" s="243">
        <v>1042</v>
      </c>
      <c r="E7135" s="243">
        <v>358</v>
      </c>
      <c r="F7135" s="243">
        <v>284</v>
      </c>
      <c r="G7135" s="243">
        <v>555</v>
      </c>
      <c r="H7135" s="243">
        <v>963</v>
      </c>
      <c r="I7135" s="243">
        <v>1395</v>
      </c>
      <c r="J7135" s="243">
        <v>1248</v>
      </c>
      <c r="K7135" s="243">
        <v>1379</v>
      </c>
      <c r="L7135" s="243">
        <v>1365</v>
      </c>
      <c r="M7135" s="243">
        <v>1285</v>
      </c>
      <c r="N7135" s="243">
        <v>1615</v>
      </c>
      <c r="O7135" s="253">
        <v>1658</v>
      </c>
    </row>
    <row r="7136" spans="1:15">
      <c r="A7136" s="240" t="s">
        <v>72</v>
      </c>
      <c r="B7136" s="47" t="s">
        <v>59</v>
      </c>
      <c r="C7136" s="15">
        <v>702</v>
      </c>
      <c r="D7136" s="243">
        <v>77</v>
      </c>
      <c r="E7136" s="243">
        <v>36</v>
      </c>
      <c r="F7136" s="243">
        <v>18</v>
      </c>
      <c r="G7136" s="243">
        <v>30</v>
      </c>
      <c r="H7136" s="243">
        <v>55</v>
      </c>
      <c r="I7136" s="243">
        <v>54</v>
      </c>
      <c r="J7136" s="243">
        <v>52</v>
      </c>
      <c r="K7136" s="243">
        <v>58</v>
      </c>
      <c r="L7136" s="243">
        <v>79</v>
      </c>
      <c r="M7136" s="243">
        <v>74</v>
      </c>
      <c r="N7136" s="243">
        <v>84</v>
      </c>
      <c r="O7136" s="253">
        <v>85</v>
      </c>
    </row>
    <row r="7137" spans="1:15">
      <c r="A7137" s="242" t="s">
        <v>72</v>
      </c>
      <c r="B7137" s="43" t="s">
        <v>4</v>
      </c>
      <c r="C7137" s="15">
        <v>41</v>
      </c>
      <c r="D7137" s="244">
        <v>5</v>
      </c>
      <c r="E7137" s="244">
        <v>3</v>
      </c>
      <c r="F7137" s="244">
        <v>3</v>
      </c>
      <c r="G7137" s="244">
        <v>2</v>
      </c>
      <c r="H7137" s="244">
        <v>0</v>
      </c>
      <c r="I7137" s="244">
        <v>1</v>
      </c>
      <c r="J7137" s="244">
        <v>0</v>
      </c>
      <c r="K7137" s="244">
        <v>6</v>
      </c>
      <c r="L7137" s="244">
        <v>9</v>
      </c>
      <c r="M7137" s="244">
        <v>2</v>
      </c>
      <c r="N7137" s="244">
        <v>5</v>
      </c>
      <c r="O7137" s="254">
        <v>5</v>
      </c>
    </row>
    <row r="7138" spans="1:15">
      <c r="A7138" s="240" t="s">
        <v>72</v>
      </c>
      <c r="B7138" s="47" t="s">
        <v>5</v>
      </c>
      <c r="C7138" s="12">
        <v>0.0584045584045584</v>
      </c>
      <c r="D7138" s="241">
        <v>0.0649350649350649</v>
      </c>
      <c r="E7138" s="241">
        <v>0.0833333333333333</v>
      </c>
      <c r="F7138" s="241">
        <v>0.166666666666667</v>
      </c>
      <c r="G7138" s="241">
        <v>0.0666666666666667</v>
      </c>
      <c r="H7138" s="241">
        <v>0</v>
      </c>
      <c r="I7138" s="241">
        <v>0.0185185185185185</v>
      </c>
      <c r="J7138" s="241">
        <v>0</v>
      </c>
      <c r="K7138" s="241">
        <v>0.103448275862069</v>
      </c>
      <c r="L7138" s="241">
        <v>0.113924050632911</v>
      </c>
      <c r="M7138" s="241">
        <v>0.027027027027027</v>
      </c>
      <c r="N7138" s="241">
        <v>0.0595238095238095</v>
      </c>
      <c r="O7138" s="252">
        <v>0.0588235294117647</v>
      </c>
    </row>
    <row r="7139" spans="1:15">
      <c r="A7139" s="242" t="s">
        <v>72</v>
      </c>
      <c r="B7139" s="43" t="s">
        <v>6</v>
      </c>
      <c r="C7139" s="15">
        <v>6</v>
      </c>
      <c r="D7139" s="244">
        <v>1</v>
      </c>
      <c r="E7139" s="244">
        <v>1</v>
      </c>
      <c r="F7139" s="244">
        <v>1</v>
      </c>
      <c r="G7139" s="244">
        <v>0</v>
      </c>
      <c r="H7139" s="244">
        <v>0</v>
      </c>
      <c r="I7139" s="244">
        <v>0</v>
      </c>
      <c r="J7139" s="244">
        <v>0</v>
      </c>
      <c r="K7139" s="244">
        <v>0</v>
      </c>
      <c r="L7139" s="244">
        <v>2</v>
      </c>
      <c r="M7139" s="244">
        <v>1</v>
      </c>
      <c r="N7139" s="244">
        <v>0</v>
      </c>
      <c r="O7139" s="254">
        <v>0</v>
      </c>
    </row>
    <row r="7140" ht="14.25" spans="1:15">
      <c r="A7140" s="245" t="s">
        <v>72</v>
      </c>
      <c r="B7140" s="52" t="s">
        <v>64</v>
      </c>
      <c r="C7140" s="19">
        <v>0.146341463414634</v>
      </c>
      <c r="D7140" s="19">
        <v>0.2</v>
      </c>
      <c r="E7140" s="19">
        <v>0.333333333333333</v>
      </c>
      <c r="F7140" s="19">
        <v>0.333333333333333</v>
      </c>
      <c r="G7140" s="19">
        <v>0</v>
      </c>
      <c r="H7140" s="19" t="e">
        <v>#DIV/0!</v>
      </c>
      <c r="I7140" s="19">
        <v>0</v>
      </c>
      <c r="J7140" s="19" t="e">
        <v>#DIV/0!</v>
      </c>
      <c r="K7140" s="19">
        <v>0</v>
      </c>
      <c r="L7140" s="19">
        <v>0.222222222222222</v>
      </c>
      <c r="M7140" s="19">
        <v>0.5</v>
      </c>
      <c r="N7140" s="19">
        <v>0</v>
      </c>
      <c r="O7140" s="19">
        <v>0</v>
      </c>
    </row>
    <row r="7141" ht="14.25" spans="1:15">
      <c r="A7141" s="237">
        <v>45129</v>
      </c>
      <c r="B7141" s="237"/>
      <c r="C7141" s="237"/>
      <c r="D7141" s="237"/>
      <c r="E7141" s="237"/>
      <c r="F7141" s="237"/>
      <c r="G7141" s="237"/>
      <c r="H7141" s="237"/>
      <c r="I7141" s="237"/>
      <c r="J7141" s="237"/>
      <c r="K7141" s="237"/>
      <c r="L7141" s="237"/>
      <c r="M7141" s="237"/>
      <c r="N7141" s="237"/>
      <c r="O7141" s="237"/>
    </row>
    <row r="7142" spans="1:15">
      <c r="A7142" s="56" t="s">
        <v>1</v>
      </c>
      <c r="B7142" s="238"/>
      <c r="C7142" s="8" t="s">
        <v>42</v>
      </c>
      <c r="D7142" s="239" t="s">
        <v>43</v>
      </c>
      <c r="E7142" s="239" t="s">
        <v>44</v>
      </c>
      <c r="F7142" s="239" t="s">
        <v>45</v>
      </c>
      <c r="G7142" s="239" t="s">
        <v>46</v>
      </c>
      <c r="H7142" s="239" t="s">
        <v>47</v>
      </c>
      <c r="I7142" s="239" t="s">
        <v>48</v>
      </c>
      <c r="J7142" s="239" t="s">
        <v>49</v>
      </c>
      <c r="K7142" s="239" t="s">
        <v>50</v>
      </c>
      <c r="L7142" s="239" t="s">
        <v>51</v>
      </c>
      <c r="M7142" s="239" t="s">
        <v>52</v>
      </c>
      <c r="N7142" s="239" t="s">
        <v>53</v>
      </c>
      <c r="O7142" s="251" t="s">
        <v>54</v>
      </c>
    </row>
    <row r="7143" spans="1:15">
      <c r="A7143" s="240" t="s">
        <v>22</v>
      </c>
      <c r="B7143" s="47" t="s">
        <v>55</v>
      </c>
      <c r="C7143" s="12">
        <v>0.533850493653032</v>
      </c>
      <c r="D7143" s="241">
        <v>0.538922155688623</v>
      </c>
      <c r="E7143" s="241">
        <v>0.515789473684211</v>
      </c>
      <c r="F7143" s="241">
        <v>0.509090909090909</v>
      </c>
      <c r="G7143" s="241">
        <v>0.596491228070175</v>
      </c>
      <c r="H7143" s="241">
        <v>0.685393258426966</v>
      </c>
      <c r="I7143" s="241">
        <v>0.513513513513513</v>
      </c>
      <c r="J7143" s="241">
        <v>0.552845528455285</v>
      </c>
      <c r="K7143" s="241">
        <v>0.4625</v>
      </c>
      <c r="L7143" s="241">
        <v>0.581560283687943</v>
      </c>
      <c r="M7143" s="241">
        <v>0.528301886792453</v>
      </c>
      <c r="N7143" s="241">
        <v>0.558441558441558</v>
      </c>
      <c r="O7143" s="252">
        <v>0.45</v>
      </c>
    </row>
    <row r="7144" spans="1:15">
      <c r="A7144" s="242" t="s">
        <v>22</v>
      </c>
      <c r="B7144" s="43" t="s">
        <v>57</v>
      </c>
      <c r="C7144" s="15">
        <v>1418</v>
      </c>
      <c r="D7144" s="243">
        <v>167</v>
      </c>
      <c r="E7144" s="243">
        <v>95</v>
      </c>
      <c r="F7144" s="243">
        <v>55</v>
      </c>
      <c r="G7144" s="243">
        <v>57</v>
      </c>
      <c r="H7144" s="243">
        <v>89</v>
      </c>
      <c r="I7144" s="243">
        <v>111</v>
      </c>
      <c r="J7144" s="243">
        <v>123</v>
      </c>
      <c r="K7144" s="243">
        <v>160</v>
      </c>
      <c r="L7144" s="243">
        <v>141</v>
      </c>
      <c r="M7144" s="243">
        <v>106</v>
      </c>
      <c r="N7144" s="243">
        <v>154</v>
      </c>
      <c r="O7144" s="253">
        <v>160</v>
      </c>
    </row>
    <row r="7145" spans="1:15">
      <c r="A7145" s="240" t="s">
        <v>22</v>
      </c>
      <c r="B7145" s="47" t="s">
        <v>59</v>
      </c>
      <c r="C7145" s="15">
        <v>757</v>
      </c>
      <c r="D7145" s="243">
        <v>90</v>
      </c>
      <c r="E7145" s="243">
        <v>49</v>
      </c>
      <c r="F7145" s="243">
        <v>28</v>
      </c>
      <c r="G7145" s="243">
        <v>34</v>
      </c>
      <c r="H7145" s="243">
        <v>61</v>
      </c>
      <c r="I7145" s="243">
        <v>57</v>
      </c>
      <c r="J7145" s="243">
        <v>68</v>
      </c>
      <c r="K7145" s="243">
        <v>74</v>
      </c>
      <c r="L7145" s="243">
        <v>82</v>
      </c>
      <c r="M7145" s="243">
        <v>56</v>
      </c>
      <c r="N7145" s="243">
        <v>86</v>
      </c>
      <c r="O7145" s="253">
        <v>72</v>
      </c>
    </row>
    <row r="7146" spans="1:15">
      <c r="A7146" s="242" t="s">
        <v>22</v>
      </c>
      <c r="B7146" s="43" t="s">
        <v>4</v>
      </c>
      <c r="C7146" s="15">
        <v>33</v>
      </c>
      <c r="D7146" s="244">
        <v>3</v>
      </c>
      <c r="E7146" s="244">
        <v>4</v>
      </c>
      <c r="F7146" s="244">
        <v>1</v>
      </c>
      <c r="G7146" s="244">
        <v>2</v>
      </c>
      <c r="H7146" s="244">
        <v>3</v>
      </c>
      <c r="I7146" s="244">
        <v>1</v>
      </c>
      <c r="J7146" s="244">
        <v>2</v>
      </c>
      <c r="K7146" s="244">
        <v>2</v>
      </c>
      <c r="L7146" s="244">
        <v>4</v>
      </c>
      <c r="M7146" s="244">
        <v>3</v>
      </c>
      <c r="N7146" s="244">
        <v>3</v>
      </c>
      <c r="O7146" s="254">
        <v>5</v>
      </c>
    </row>
    <row r="7147" spans="1:15">
      <c r="A7147" s="240" t="s">
        <v>22</v>
      </c>
      <c r="B7147" s="47" t="s">
        <v>5</v>
      </c>
      <c r="C7147" s="12">
        <v>0.0435931307793923</v>
      </c>
      <c r="D7147" s="241">
        <v>0.0333333333333333</v>
      </c>
      <c r="E7147" s="241">
        <v>0.0816326530612245</v>
      </c>
      <c r="F7147" s="241">
        <v>0.0357142857142857</v>
      </c>
      <c r="G7147" s="241">
        <v>0.0588235294117647</v>
      </c>
      <c r="H7147" s="241">
        <v>0.0491803278688525</v>
      </c>
      <c r="I7147" s="241">
        <v>0.0175438596491228</v>
      </c>
      <c r="J7147" s="241">
        <v>0.0294117647058824</v>
      </c>
      <c r="K7147" s="241">
        <v>0.027027027027027</v>
      </c>
      <c r="L7147" s="241">
        <v>0.0487804878048781</v>
      </c>
      <c r="M7147" s="241">
        <v>0.0535714285714286</v>
      </c>
      <c r="N7147" s="241">
        <v>0.0348837209302326</v>
      </c>
      <c r="O7147" s="252">
        <v>0.0694444444444444</v>
      </c>
    </row>
    <row r="7148" spans="1:15">
      <c r="A7148" s="242" t="s">
        <v>22</v>
      </c>
      <c r="B7148" s="43" t="s">
        <v>6</v>
      </c>
      <c r="C7148" s="15">
        <v>19</v>
      </c>
      <c r="D7148" s="244">
        <v>3</v>
      </c>
      <c r="E7148" s="244">
        <v>2</v>
      </c>
      <c r="F7148" s="244">
        <v>0</v>
      </c>
      <c r="G7148" s="244">
        <v>1</v>
      </c>
      <c r="H7148" s="244">
        <v>2</v>
      </c>
      <c r="I7148" s="244">
        <v>1</v>
      </c>
      <c r="J7148" s="244">
        <v>2</v>
      </c>
      <c r="K7148" s="244">
        <v>0</v>
      </c>
      <c r="L7148" s="244">
        <v>0</v>
      </c>
      <c r="M7148" s="244">
        <v>1</v>
      </c>
      <c r="N7148" s="244">
        <v>4</v>
      </c>
      <c r="O7148" s="254">
        <v>3</v>
      </c>
    </row>
    <row r="7149" ht="14.25" spans="1:15">
      <c r="A7149" s="245" t="s">
        <v>22</v>
      </c>
      <c r="B7149" s="52" t="s">
        <v>64</v>
      </c>
      <c r="C7149" s="19">
        <v>0.575757575757576</v>
      </c>
      <c r="D7149" s="246">
        <v>1</v>
      </c>
      <c r="E7149" s="246">
        <v>0.5</v>
      </c>
      <c r="F7149" s="246">
        <v>0</v>
      </c>
      <c r="G7149" s="246">
        <v>0.5</v>
      </c>
      <c r="H7149" s="246">
        <v>0.666666666666667</v>
      </c>
      <c r="I7149" s="246">
        <v>1</v>
      </c>
      <c r="J7149" s="246">
        <v>1</v>
      </c>
      <c r="K7149" s="246">
        <v>0</v>
      </c>
      <c r="L7149" s="246">
        <v>0</v>
      </c>
      <c r="M7149" s="246">
        <v>0.333333333333333</v>
      </c>
      <c r="N7149" s="246">
        <v>1.33333333333333</v>
      </c>
      <c r="O7149" s="255">
        <v>0.6</v>
      </c>
    </row>
    <row r="7150" spans="1:15">
      <c r="A7150" s="247" t="s">
        <v>66</v>
      </c>
      <c r="B7150" s="248" t="s">
        <v>55</v>
      </c>
      <c r="C7150" s="12">
        <v>0.171573604060914</v>
      </c>
      <c r="D7150" s="249">
        <v>0.191836734693878</v>
      </c>
      <c r="E7150" s="249">
        <v>0.192090395480226</v>
      </c>
      <c r="F7150" s="249">
        <v>0.188524590163934</v>
      </c>
      <c r="G7150" s="249">
        <v>0.15</v>
      </c>
      <c r="H7150" s="249">
        <v>0.210526315789474</v>
      </c>
      <c r="I7150" s="249">
        <v>0.188405797101449</v>
      </c>
      <c r="J7150" s="249">
        <v>0.120879120879121</v>
      </c>
      <c r="K7150" s="249">
        <v>0.164473684210526</v>
      </c>
      <c r="L7150" s="249">
        <v>0.143344709897611</v>
      </c>
      <c r="M7150" s="249">
        <v>0.166666666666667</v>
      </c>
      <c r="N7150" s="249">
        <v>0.187301587301587</v>
      </c>
      <c r="O7150" s="256">
        <v>0.169590643274854</v>
      </c>
    </row>
    <row r="7151" spans="1:15">
      <c r="A7151" s="242" t="s">
        <v>66</v>
      </c>
      <c r="B7151" s="43" t="s">
        <v>57</v>
      </c>
      <c r="C7151" s="15">
        <v>2955</v>
      </c>
      <c r="D7151" s="243">
        <v>245</v>
      </c>
      <c r="E7151" s="243">
        <v>177</v>
      </c>
      <c r="F7151" s="243">
        <v>122</v>
      </c>
      <c r="G7151" s="243">
        <v>140</v>
      </c>
      <c r="H7151" s="243">
        <v>228</v>
      </c>
      <c r="I7151" s="243">
        <v>276</v>
      </c>
      <c r="J7151" s="243">
        <v>273</v>
      </c>
      <c r="K7151" s="243">
        <v>304</v>
      </c>
      <c r="L7151" s="243">
        <v>293</v>
      </c>
      <c r="M7151" s="243">
        <v>240</v>
      </c>
      <c r="N7151" s="243">
        <v>315</v>
      </c>
      <c r="O7151" s="253">
        <v>342</v>
      </c>
    </row>
    <row r="7152" spans="1:15">
      <c r="A7152" s="240" t="s">
        <v>66</v>
      </c>
      <c r="B7152" s="47" t="s">
        <v>59</v>
      </c>
      <c r="C7152" s="15">
        <v>507</v>
      </c>
      <c r="D7152" s="243">
        <v>47</v>
      </c>
      <c r="E7152" s="243">
        <v>34</v>
      </c>
      <c r="F7152" s="243">
        <v>23</v>
      </c>
      <c r="G7152" s="243">
        <v>21</v>
      </c>
      <c r="H7152" s="243">
        <v>48</v>
      </c>
      <c r="I7152" s="243">
        <v>52</v>
      </c>
      <c r="J7152" s="243">
        <v>33</v>
      </c>
      <c r="K7152" s="243">
        <v>50</v>
      </c>
      <c r="L7152" s="243">
        <v>42</v>
      </c>
      <c r="M7152" s="243">
        <v>40</v>
      </c>
      <c r="N7152" s="243">
        <v>59</v>
      </c>
      <c r="O7152" s="253">
        <v>58</v>
      </c>
    </row>
    <row r="7153" spans="1:15">
      <c r="A7153" s="242" t="s">
        <v>66</v>
      </c>
      <c r="B7153" s="43" t="s">
        <v>4</v>
      </c>
      <c r="C7153" s="15">
        <v>14</v>
      </c>
      <c r="D7153" s="244">
        <v>1</v>
      </c>
      <c r="E7153" s="244">
        <v>2</v>
      </c>
      <c r="F7153" s="244">
        <v>1</v>
      </c>
      <c r="G7153" s="244">
        <v>1</v>
      </c>
      <c r="H7153" s="244">
        <v>1</v>
      </c>
      <c r="I7153" s="244">
        <v>0</v>
      </c>
      <c r="J7153" s="244">
        <v>0</v>
      </c>
      <c r="K7153" s="244">
        <v>3</v>
      </c>
      <c r="L7153" s="244">
        <v>0</v>
      </c>
      <c r="M7153" s="244">
        <v>1</v>
      </c>
      <c r="N7153" s="244">
        <v>0</v>
      </c>
      <c r="O7153" s="254">
        <v>4</v>
      </c>
    </row>
    <row r="7154" spans="1:15">
      <c r="A7154" s="240" t="s">
        <v>66</v>
      </c>
      <c r="B7154" s="47" t="s">
        <v>5</v>
      </c>
      <c r="C7154" s="12">
        <v>0.0276134122287968</v>
      </c>
      <c r="D7154" s="241">
        <v>0.0212765957446809</v>
      </c>
      <c r="E7154" s="241">
        <v>0.0588235294117647</v>
      </c>
      <c r="F7154" s="241">
        <v>0.0434782608695652</v>
      </c>
      <c r="G7154" s="241">
        <v>0.0476190476190476</v>
      </c>
      <c r="H7154" s="241">
        <v>0.0208333333333333</v>
      </c>
      <c r="I7154" s="241">
        <v>0</v>
      </c>
      <c r="J7154" s="241">
        <v>0</v>
      </c>
      <c r="K7154" s="241">
        <v>0.06</v>
      </c>
      <c r="L7154" s="241">
        <v>0</v>
      </c>
      <c r="M7154" s="241">
        <v>0.025</v>
      </c>
      <c r="N7154" s="241">
        <v>0</v>
      </c>
      <c r="O7154" s="252">
        <v>0.0689655172413793</v>
      </c>
    </row>
    <row r="7155" spans="1:15">
      <c r="A7155" s="242" t="s">
        <v>66</v>
      </c>
      <c r="B7155" s="43" t="s">
        <v>6</v>
      </c>
      <c r="C7155" s="15">
        <v>5</v>
      </c>
      <c r="D7155" s="244">
        <v>0</v>
      </c>
      <c r="E7155" s="244">
        <v>0</v>
      </c>
      <c r="F7155" s="244">
        <v>0</v>
      </c>
      <c r="G7155" s="244">
        <v>0</v>
      </c>
      <c r="H7155" s="244">
        <v>1</v>
      </c>
      <c r="I7155" s="244">
        <v>0</v>
      </c>
      <c r="J7155" s="244">
        <v>1</v>
      </c>
      <c r="K7155" s="244">
        <v>2</v>
      </c>
      <c r="L7155" s="244">
        <v>0</v>
      </c>
      <c r="M7155" s="244">
        <v>0</v>
      </c>
      <c r="N7155" s="244">
        <v>1</v>
      </c>
      <c r="O7155" s="254">
        <v>0</v>
      </c>
    </row>
    <row r="7156" ht="14.25" spans="1:15">
      <c r="A7156" s="245" t="s">
        <v>66</v>
      </c>
      <c r="B7156" s="52" t="s">
        <v>64</v>
      </c>
      <c r="C7156" s="19">
        <v>0.357142857142857</v>
      </c>
      <c r="D7156" s="246">
        <v>0</v>
      </c>
      <c r="E7156" s="246">
        <v>0</v>
      </c>
      <c r="F7156" s="246">
        <v>0</v>
      </c>
      <c r="G7156" s="246">
        <v>0</v>
      </c>
      <c r="H7156" s="246">
        <v>1</v>
      </c>
      <c r="I7156" s="246">
        <v>0</v>
      </c>
      <c r="J7156" s="246">
        <v>0</v>
      </c>
      <c r="K7156" s="246">
        <v>0.666666666666667</v>
      </c>
      <c r="L7156" s="246">
        <v>0</v>
      </c>
      <c r="M7156" s="246">
        <v>0</v>
      </c>
      <c r="N7156" s="246">
        <v>0</v>
      </c>
      <c r="O7156" s="255">
        <v>0</v>
      </c>
    </row>
    <row r="7157" spans="1:15">
      <c r="A7157" s="240" t="s">
        <v>67</v>
      </c>
      <c r="B7157" s="47" t="s">
        <v>55</v>
      </c>
      <c r="C7157" s="12">
        <v>0.472727272727273</v>
      </c>
      <c r="D7157" s="241">
        <v>0.516483516483517</v>
      </c>
      <c r="E7157" s="241">
        <v>0.526315789473684</v>
      </c>
      <c r="F7157" s="241">
        <v>0.695652173913043</v>
      </c>
      <c r="G7157" s="241">
        <v>0.41025641025641</v>
      </c>
      <c r="H7157" s="241">
        <v>0.521276595744681</v>
      </c>
      <c r="I7157" s="241">
        <v>0.387096774193548</v>
      </c>
      <c r="J7157" s="241">
        <v>0.476744186046512</v>
      </c>
      <c r="K7157" s="241">
        <v>0.523364485981308</v>
      </c>
      <c r="L7157" s="241">
        <v>0.458333333333333</v>
      </c>
      <c r="M7157" s="241">
        <v>0.506849315068493</v>
      </c>
      <c r="N7157" s="241">
        <v>0.407407407407407</v>
      </c>
      <c r="O7157" s="252">
        <v>0.413793103448276</v>
      </c>
    </row>
    <row r="7158" spans="1:15">
      <c r="A7158" s="242" t="s">
        <v>67</v>
      </c>
      <c r="B7158" s="43" t="s">
        <v>57</v>
      </c>
      <c r="C7158" s="15">
        <v>935</v>
      </c>
      <c r="D7158" s="243">
        <v>91</v>
      </c>
      <c r="E7158" s="243">
        <v>38</v>
      </c>
      <c r="F7158" s="243">
        <v>23</v>
      </c>
      <c r="G7158" s="243">
        <v>39</v>
      </c>
      <c r="H7158" s="243">
        <v>94</v>
      </c>
      <c r="I7158" s="243">
        <v>93</v>
      </c>
      <c r="J7158" s="243">
        <v>86</v>
      </c>
      <c r="K7158" s="243">
        <v>107</v>
      </c>
      <c r="L7158" s="243">
        <v>96</v>
      </c>
      <c r="M7158" s="243">
        <v>73</v>
      </c>
      <c r="N7158" s="243">
        <v>108</v>
      </c>
      <c r="O7158" s="253">
        <v>87</v>
      </c>
    </row>
    <row r="7159" spans="1:15">
      <c r="A7159" s="240" t="s">
        <v>67</v>
      </c>
      <c r="B7159" s="47" t="s">
        <v>59</v>
      </c>
      <c r="C7159" s="15">
        <v>442</v>
      </c>
      <c r="D7159" s="243">
        <v>47</v>
      </c>
      <c r="E7159" s="243">
        <v>20</v>
      </c>
      <c r="F7159" s="243">
        <v>16</v>
      </c>
      <c r="G7159" s="243">
        <v>16</v>
      </c>
      <c r="H7159" s="243">
        <v>49</v>
      </c>
      <c r="I7159" s="243">
        <v>36</v>
      </c>
      <c r="J7159" s="243">
        <v>41</v>
      </c>
      <c r="K7159" s="243">
        <v>56</v>
      </c>
      <c r="L7159" s="243">
        <v>44</v>
      </c>
      <c r="M7159" s="243">
        <v>37</v>
      </c>
      <c r="N7159" s="243">
        <v>44</v>
      </c>
      <c r="O7159" s="253">
        <v>36</v>
      </c>
    </row>
    <row r="7160" spans="1:15">
      <c r="A7160" s="242" t="s">
        <v>67</v>
      </c>
      <c r="B7160" s="43" t="s">
        <v>4</v>
      </c>
      <c r="C7160" s="15">
        <v>14</v>
      </c>
      <c r="D7160" s="244">
        <v>1</v>
      </c>
      <c r="E7160" s="244">
        <v>0</v>
      </c>
      <c r="F7160" s="244">
        <v>1</v>
      </c>
      <c r="G7160" s="244">
        <v>1</v>
      </c>
      <c r="H7160" s="244">
        <v>2</v>
      </c>
      <c r="I7160" s="244">
        <v>1</v>
      </c>
      <c r="J7160" s="244">
        <v>2</v>
      </c>
      <c r="K7160" s="244">
        <v>1</v>
      </c>
      <c r="L7160" s="244">
        <v>2</v>
      </c>
      <c r="M7160" s="244">
        <v>1</v>
      </c>
      <c r="N7160" s="244">
        <v>1</v>
      </c>
      <c r="O7160" s="254">
        <v>1</v>
      </c>
    </row>
    <row r="7161" spans="1:15">
      <c r="A7161" s="240" t="s">
        <v>67</v>
      </c>
      <c r="B7161" s="47" t="s">
        <v>5</v>
      </c>
      <c r="C7161" s="12">
        <v>0.0316742081447964</v>
      </c>
      <c r="D7161" s="241">
        <v>0.0212765957446809</v>
      </c>
      <c r="E7161" s="241">
        <v>0</v>
      </c>
      <c r="F7161" s="241">
        <v>0.0625</v>
      </c>
      <c r="G7161" s="241">
        <v>0.0625</v>
      </c>
      <c r="H7161" s="241">
        <v>0.0408163265306122</v>
      </c>
      <c r="I7161" s="241">
        <v>0.0277777777777778</v>
      </c>
      <c r="J7161" s="241">
        <v>0.0487804878048781</v>
      </c>
      <c r="K7161" s="241">
        <v>0.0178571428571429</v>
      </c>
      <c r="L7161" s="241">
        <v>0.0454545454545455</v>
      </c>
      <c r="M7161" s="241">
        <v>0.027027027027027</v>
      </c>
      <c r="N7161" s="241">
        <v>0.0227272727272727</v>
      </c>
      <c r="O7161" s="252">
        <v>0.0277777777777778</v>
      </c>
    </row>
    <row r="7162" spans="1:15">
      <c r="A7162" s="242" t="s">
        <v>67</v>
      </c>
      <c r="B7162" s="43" t="s">
        <v>6</v>
      </c>
      <c r="C7162" s="15">
        <v>2</v>
      </c>
      <c r="D7162" s="244">
        <v>0</v>
      </c>
      <c r="E7162" s="244">
        <v>0</v>
      </c>
      <c r="F7162" s="244">
        <v>0</v>
      </c>
      <c r="G7162" s="244">
        <v>0</v>
      </c>
      <c r="H7162" s="244">
        <v>0</v>
      </c>
      <c r="I7162" s="244">
        <v>0</v>
      </c>
      <c r="J7162" s="244">
        <v>0</v>
      </c>
      <c r="K7162" s="244">
        <v>0</v>
      </c>
      <c r="L7162" s="244">
        <v>0</v>
      </c>
      <c r="M7162" s="244">
        <v>1</v>
      </c>
      <c r="N7162" s="244">
        <v>1</v>
      </c>
      <c r="O7162" s="254">
        <v>0</v>
      </c>
    </row>
    <row r="7163" ht="14.25" spans="1:15">
      <c r="A7163" s="245" t="s">
        <v>67</v>
      </c>
      <c r="B7163" s="52" t="s">
        <v>64</v>
      </c>
      <c r="C7163" s="19">
        <v>0.142857142857143</v>
      </c>
      <c r="D7163" s="246">
        <v>0</v>
      </c>
      <c r="E7163" s="246">
        <v>0</v>
      </c>
      <c r="F7163" s="246">
        <v>0</v>
      </c>
      <c r="G7163" s="246">
        <v>0</v>
      </c>
      <c r="H7163" s="246">
        <v>0</v>
      </c>
      <c r="I7163" s="246">
        <v>0</v>
      </c>
      <c r="J7163" s="246">
        <v>0</v>
      </c>
      <c r="K7163" s="246">
        <v>0</v>
      </c>
      <c r="L7163" s="246">
        <v>0</v>
      </c>
      <c r="M7163" s="246">
        <v>1</v>
      </c>
      <c r="N7163" s="246">
        <v>1</v>
      </c>
      <c r="O7163" s="255">
        <v>0</v>
      </c>
    </row>
    <row r="7164" spans="1:15">
      <c r="A7164" s="240" t="s">
        <v>68</v>
      </c>
      <c r="B7164" s="47" t="s">
        <v>55</v>
      </c>
      <c r="C7164" s="12">
        <v>0.133779264214047</v>
      </c>
      <c r="D7164" s="241">
        <v>0.176136363636364</v>
      </c>
      <c r="E7164" s="241">
        <v>0.175438596491228</v>
      </c>
      <c r="F7164" s="241">
        <v>0.135714285714286</v>
      </c>
      <c r="G7164" s="241">
        <v>0.241935483870968</v>
      </c>
      <c r="H7164" s="241">
        <v>0.148936170212766</v>
      </c>
      <c r="I7164" s="241">
        <v>0.110091743119266</v>
      </c>
      <c r="J7164" s="241">
        <v>0.0967741935483871</v>
      </c>
      <c r="K7164" s="241">
        <v>0.112185686653772</v>
      </c>
      <c r="L7164" s="241">
        <v>0.117768595041322</v>
      </c>
      <c r="M7164" s="241">
        <v>0.160377358490566</v>
      </c>
      <c r="N7164" s="241">
        <v>0.117021276595745</v>
      </c>
      <c r="O7164" s="252">
        <v>0.122448979591837</v>
      </c>
    </row>
    <row r="7165" spans="1:15">
      <c r="A7165" s="242" t="s">
        <v>68</v>
      </c>
      <c r="B7165" s="43" t="s">
        <v>57</v>
      </c>
      <c r="C7165" s="15">
        <v>4485</v>
      </c>
      <c r="D7165" s="243">
        <v>352</v>
      </c>
      <c r="E7165" s="243">
        <v>228</v>
      </c>
      <c r="F7165" s="243">
        <v>140</v>
      </c>
      <c r="G7165" s="243">
        <v>186</v>
      </c>
      <c r="H7165" s="243">
        <v>329</v>
      </c>
      <c r="I7165" s="243">
        <v>436</v>
      </c>
      <c r="J7165" s="243">
        <v>527</v>
      </c>
      <c r="K7165" s="243">
        <v>517</v>
      </c>
      <c r="L7165" s="243">
        <v>484</v>
      </c>
      <c r="M7165" s="243">
        <v>424</v>
      </c>
      <c r="N7165" s="243">
        <v>470</v>
      </c>
      <c r="O7165" s="253">
        <v>392</v>
      </c>
    </row>
    <row r="7166" spans="1:15">
      <c r="A7166" s="240" t="s">
        <v>68</v>
      </c>
      <c r="B7166" s="47" t="s">
        <v>59</v>
      </c>
      <c r="C7166" s="15">
        <v>600</v>
      </c>
      <c r="D7166" s="243">
        <v>62</v>
      </c>
      <c r="E7166" s="243">
        <v>40</v>
      </c>
      <c r="F7166" s="243">
        <v>19</v>
      </c>
      <c r="G7166" s="243">
        <v>45</v>
      </c>
      <c r="H7166" s="243">
        <v>49</v>
      </c>
      <c r="I7166" s="243">
        <v>48</v>
      </c>
      <c r="J7166" s="243">
        <v>51</v>
      </c>
      <c r="K7166" s="243">
        <v>58</v>
      </c>
      <c r="L7166" s="243">
        <v>57</v>
      </c>
      <c r="M7166" s="243">
        <v>68</v>
      </c>
      <c r="N7166" s="243">
        <v>55</v>
      </c>
      <c r="O7166" s="253">
        <v>48</v>
      </c>
    </row>
    <row r="7167" spans="1:15">
      <c r="A7167" s="242" t="s">
        <v>68</v>
      </c>
      <c r="B7167" s="43" t="s">
        <v>4</v>
      </c>
      <c r="C7167" s="15">
        <v>46</v>
      </c>
      <c r="D7167" s="244">
        <v>4</v>
      </c>
      <c r="E7167" s="244">
        <v>3</v>
      </c>
      <c r="F7167" s="244">
        <v>0</v>
      </c>
      <c r="G7167" s="244">
        <v>1</v>
      </c>
      <c r="H7167" s="244">
        <v>4</v>
      </c>
      <c r="I7167" s="244">
        <v>0</v>
      </c>
      <c r="J7167" s="244">
        <v>4</v>
      </c>
      <c r="K7167" s="244">
        <v>10</v>
      </c>
      <c r="L7167" s="244">
        <v>5</v>
      </c>
      <c r="M7167" s="244">
        <v>6</v>
      </c>
      <c r="N7167" s="244">
        <v>3</v>
      </c>
      <c r="O7167" s="254">
        <v>6</v>
      </c>
    </row>
    <row r="7168" spans="1:15">
      <c r="A7168" s="240" t="s">
        <v>68</v>
      </c>
      <c r="B7168" s="47" t="s">
        <v>5</v>
      </c>
      <c r="C7168" s="12">
        <v>0.0766666666666667</v>
      </c>
      <c r="D7168" s="241">
        <v>0.0645161290322581</v>
      </c>
      <c r="E7168" s="241">
        <v>0.075</v>
      </c>
      <c r="F7168" s="241">
        <v>0</v>
      </c>
      <c r="G7168" s="241">
        <v>0.0222222222222222</v>
      </c>
      <c r="H7168" s="241">
        <v>0.0816326530612245</v>
      </c>
      <c r="I7168" s="241">
        <v>0</v>
      </c>
      <c r="J7168" s="241">
        <v>0.0784313725490196</v>
      </c>
      <c r="K7168" s="241">
        <v>0.172413793103448</v>
      </c>
      <c r="L7168" s="241">
        <v>0.087719298245614</v>
      </c>
      <c r="M7168" s="241">
        <v>0.0882352941176471</v>
      </c>
      <c r="N7168" s="241">
        <v>0.0545454545454545</v>
      </c>
      <c r="O7168" s="252">
        <v>0.125</v>
      </c>
    </row>
    <row r="7169" spans="1:15">
      <c r="A7169" s="242" t="s">
        <v>68</v>
      </c>
      <c r="B7169" s="43" t="s">
        <v>6</v>
      </c>
      <c r="C7169" s="15">
        <v>20</v>
      </c>
      <c r="D7169" s="244">
        <v>2</v>
      </c>
      <c r="E7169" s="244">
        <v>1</v>
      </c>
      <c r="F7169" s="244">
        <v>0</v>
      </c>
      <c r="G7169" s="244">
        <v>0</v>
      </c>
      <c r="H7169" s="244">
        <v>2</v>
      </c>
      <c r="I7169" s="244">
        <v>0</v>
      </c>
      <c r="J7169" s="244">
        <v>3</v>
      </c>
      <c r="K7169" s="244">
        <v>4</v>
      </c>
      <c r="L7169" s="244">
        <v>3</v>
      </c>
      <c r="M7169" s="244">
        <v>3</v>
      </c>
      <c r="N7169" s="244">
        <v>2</v>
      </c>
      <c r="O7169" s="254">
        <v>0</v>
      </c>
    </row>
    <row r="7170" ht="14.25" spans="1:15">
      <c r="A7170" s="245" t="s">
        <v>68</v>
      </c>
      <c r="B7170" s="52" t="s">
        <v>64</v>
      </c>
      <c r="C7170" s="19">
        <v>0.434782608695652</v>
      </c>
      <c r="D7170" s="246">
        <v>0.5</v>
      </c>
      <c r="E7170" s="246">
        <v>0.333333333333333</v>
      </c>
      <c r="F7170" s="246">
        <v>0</v>
      </c>
      <c r="G7170" s="246">
        <v>0</v>
      </c>
      <c r="H7170" s="246">
        <v>0.5</v>
      </c>
      <c r="I7170" s="246">
        <v>0</v>
      </c>
      <c r="J7170" s="246">
        <v>0.75</v>
      </c>
      <c r="K7170" s="246">
        <v>0.4</v>
      </c>
      <c r="L7170" s="246">
        <v>0.6</v>
      </c>
      <c r="M7170" s="246">
        <v>0.5</v>
      </c>
      <c r="N7170" s="246">
        <v>0.666666666666667</v>
      </c>
      <c r="O7170" s="255">
        <v>0</v>
      </c>
    </row>
    <row r="7171" spans="1:15">
      <c r="A7171" s="240" t="s">
        <v>69</v>
      </c>
      <c r="B7171" s="47" t="s">
        <v>55</v>
      </c>
      <c r="C7171" s="12">
        <v>1.31718061674009</v>
      </c>
      <c r="D7171" s="241">
        <v>1.25</v>
      </c>
      <c r="E7171" s="241">
        <v>1.6</v>
      </c>
      <c r="F7171" s="241">
        <v>2.18181818181818</v>
      </c>
      <c r="G7171" s="241">
        <v>1.33333333333333</v>
      </c>
      <c r="H7171" s="241">
        <v>1.71428571428571</v>
      </c>
      <c r="I7171" s="241">
        <v>1.41666666666667</v>
      </c>
      <c r="J7171" s="241">
        <v>1.35</v>
      </c>
      <c r="K7171" s="241">
        <v>1.11111111111111</v>
      </c>
      <c r="L7171" s="241">
        <v>1.5</v>
      </c>
      <c r="M7171" s="241">
        <v>1.38095238095238</v>
      </c>
      <c r="N7171" s="241">
        <v>1.31034482758621</v>
      </c>
      <c r="O7171" s="252">
        <v>0.740740740740741</v>
      </c>
    </row>
    <row r="7172" spans="1:15">
      <c r="A7172" s="242" t="s">
        <v>69</v>
      </c>
      <c r="B7172" s="43" t="s">
        <v>57</v>
      </c>
      <c r="C7172" s="15">
        <v>227</v>
      </c>
      <c r="D7172" s="243">
        <v>24</v>
      </c>
      <c r="E7172" s="243">
        <v>10</v>
      </c>
      <c r="F7172" s="243">
        <v>11</v>
      </c>
      <c r="G7172" s="243">
        <v>3</v>
      </c>
      <c r="H7172" s="243">
        <v>14</v>
      </c>
      <c r="I7172" s="243">
        <v>12</v>
      </c>
      <c r="J7172" s="243">
        <v>20</v>
      </c>
      <c r="K7172" s="243">
        <v>36</v>
      </c>
      <c r="L7172" s="243">
        <v>20</v>
      </c>
      <c r="M7172" s="243">
        <v>21</v>
      </c>
      <c r="N7172" s="243">
        <v>29</v>
      </c>
      <c r="O7172" s="253">
        <v>27</v>
      </c>
    </row>
    <row r="7173" spans="1:15">
      <c r="A7173" s="240" t="s">
        <v>69</v>
      </c>
      <c r="B7173" s="47" t="s">
        <v>59</v>
      </c>
      <c r="C7173" s="15">
        <v>299</v>
      </c>
      <c r="D7173" s="243">
        <v>30</v>
      </c>
      <c r="E7173" s="243">
        <v>16</v>
      </c>
      <c r="F7173" s="243">
        <v>24</v>
      </c>
      <c r="G7173" s="243">
        <v>4</v>
      </c>
      <c r="H7173" s="243">
        <v>24</v>
      </c>
      <c r="I7173" s="243">
        <v>17</v>
      </c>
      <c r="J7173" s="243">
        <v>27</v>
      </c>
      <c r="K7173" s="243">
        <v>40</v>
      </c>
      <c r="L7173" s="243">
        <v>30</v>
      </c>
      <c r="M7173" s="243">
        <v>29</v>
      </c>
      <c r="N7173" s="243">
        <v>38</v>
      </c>
      <c r="O7173" s="253">
        <v>20</v>
      </c>
    </row>
    <row r="7174" spans="1:15">
      <c r="A7174" s="242" t="s">
        <v>69</v>
      </c>
      <c r="B7174" s="43" t="s">
        <v>4</v>
      </c>
      <c r="C7174" s="15">
        <v>2</v>
      </c>
      <c r="D7174" s="244">
        <v>1</v>
      </c>
      <c r="E7174" s="244">
        <v>0</v>
      </c>
      <c r="F7174" s="244">
        <v>0</v>
      </c>
      <c r="G7174" s="244">
        <v>0</v>
      </c>
      <c r="H7174" s="244">
        <v>0</v>
      </c>
      <c r="I7174" s="244">
        <v>0</v>
      </c>
      <c r="J7174" s="244">
        <v>0</v>
      </c>
      <c r="K7174" s="244">
        <v>0</v>
      </c>
      <c r="L7174" s="244">
        <v>0</v>
      </c>
      <c r="M7174" s="244">
        <v>0</v>
      </c>
      <c r="N7174" s="244">
        <v>1</v>
      </c>
      <c r="O7174" s="254">
        <v>0</v>
      </c>
    </row>
    <row r="7175" spans="1:15">
      <c r="A7175" s="240" t="s">
        <v>69</v>
      </c>
      <c r="B7175" s="47" t="s">
        <v>5</v>
      </c>
      <c r="C7175" s="12">
        <v>0.00668896321070234</v>
      </c>
      <c r="D7175" s="241">
        <v>0.0333333333333333</v>
      </c>
      <c r="E7175" s="241">
        <v>0</v>
      </c>
      <c r="F7175" s="241">
        <v>0</v>
      </c>
      <c r="G7175" s="241">
        <v>0</v>
      </c>
      <c r="H7175" s="241">
        <v>0</v>
      </c>
      <c r="I7175" s="241">
        <v>0</v>
      </c>
      <c r="J7175" s="241">
        <v>0</v>
      </c>
      <c r="K7175" s="241">
        <v>0</v>
      </c>
      <c r="L7175" s="241">
        <v>0</v>
      </c>
      <c r="M7175" s="241">
        <v>0</v>
      </c>
      <c r="N7175" s="241">
        <v>0.0263157894736842</v>
      </c>
      <c r="O7175" s="252">
        <v>0</v>
      </c>
    </row>
    <row r="7176" spans="1:15">
      <c r="A7176" s="242" t="s">
        <v>69</v>
      </c>
      <c r="B7176" s="43" t="s">
        <v>6</v>
      </c>
      <c r="C7176" s="15">
        <v>1</v>
      </c>
      <c r="D7176" s="244">
        <v>0</v>
      </c>
      <c r="E7176" s="244">
        <v>0</v>
      </c>
      <c r="F7176" s="244">
        <v>0</v>
      </c>
      <c r="G7176" s="244">
        <v>0</v>
      </c>
      <c r="H7176" s="244">
        <v>0</v>
      </c>
      <c r="I7176" s="244">
        <v>0</v>
      </c>
      <c r="J7176" s="244">
        <v>0</v>
      </c>
      <c r="K7176" s="244">
        <v>0</v>
      </c>
      <c r="L7176" s="244">
        <v>0</v>
      </c>
      <c r="M7176" s="244">
        <v>0</v>
      </c>
      <c r="N7176" s="244">
        <v>1</v>
      </c>
      <c r="O7176" s="254">
        <v>0</v>
      </c>
    </row>
    <row r="7177" ht="14.25" spans="1:15">
      <c r="A7177" s="245" t="s">
        <v>69</v>
      </c>
      <c r="B7177" s="52" t="s">
        <v>64</v>
      </c>
      <c r="C7177" s="19">
        <v>0.5</v>
      </c>
      <c r="D7177" s="246">
        <v>0</v>
      </c>
      <c r="E7177" s="246">
        <v>0</v>
      </c>
      <c r="F7177" s="246">
        <v>0</v>
      </c>
      <c r="G7177" s="246">
        <v>0</v>
      </c>
      <c r="H7177" s="246">
        <v>0</v>
      </c>
      <c r="I7177" s="246">
        <v>0</v>
      </c>
      <c r="J7177" s="246">
        <v>0</v>
      </c>
      <c r="K7177" s="246">
        <v>0</v>
      </c>
      <c r="L7177" s="246">
        <v>0</v>
      </c>
      <c r="M7177" s="246">
        <v>0</v>
      </c>
      <c r="N7177" s="246">
        <v>1</v>
      </c>
      <c r="O7177" s="255">
        <v>0</v>
      </c>
    </row>
    <row r="7178" spans="1:15">
      <c r="A7178" s="240" t="s">
        <v>70</v>
      </c>
      <c r="B7178" s="47" t="s">
        <v>55</v>
      </c>
      <c r="C7178" s="12">
        <v>0.735202492211838</v>
      </c>
      <c r="D7178" s="241">
        <v>0.729411764705882</v>
      </c>
      <c r="E7178" s="241">
        <v>0.511627906976744</v>
      </c>
      <c r="F7178" s="241">
        <v>0.590909090909091</v>
      </c>
      <c r="G7178" s="241">
        <v>0.708333333333333</v>
      </c>
      <c r="H7178" s="241">
        <v>0.766666666666667</v>
      </c>
      <c r="I7178" s="241">
        <v>0.71875</v>
      </c>
      <c r="J7178" s="241">
        <v>0.680851063829787</v>
      </c>
      <c r="K7178" s="241">
        <v>0.904347826086957</v>
      </c>
      <c r="L7178" s="241">
        <v>0.697247706422018</v>
      </c>
      <c r="M7178" s="241">
        <v>0.818181818181818</v>
      </c>
      <c r="N7178" s="241">
        <v>0.697478991596639</v>
      </c>
      <c r="O7178" s="252">
        <v>0.740740740740741</v>
      </c>
    </row>
    <row r="7179" spans="1:15">
      <c r="A7179" s="242" t="s">
        <v>70</v>
      </c>
      <c r="B7179" s="43" t="s">
        <v>57</v>
      </c>
      <c r="C7179" s="15">
        <v>963</v>
      </c>
      <c r="D7179" s="243">
        <v>85</v>
      </c>
      <c r="E7179" s="243">
        <v>43</v>
      </c>
      <c r="F7179" s="243">
        <v>22</v>
      </c>
      <c r="G7179" s="243">
        <v>24</v>
      </c>
      <c r="H7179" s="243">
        <v>60</v>
      </c>
      <c r="I7179" s="243">
        <v>96</v>
      </c>
      <c r="J7179" s="243">
        <v>94</v>
      </c>
      <c r="K7179" s="243">
        <v>115</v>
      </c>
      <c r="L7179" s="243">
        <v>109</v>
      </c>
      <c r="M7179" s="243">
        <v>88</v>
      </c>
      <c r="N7179" s="243">
        <v>119</v>
      </c>
      <c r="O7179" s="253">
        <v>108</v>
      </c>
    </row>
    <row r="7180" spans="1:15">
      <c r="A7180" s="240" t="s">
        <v>70</v>
      </c>
      <c r="B7180" s="47" t="s">
        <v>59</v>
      </c>
      <c r="C7180" s="15">
        <v>708</v>
      </c>
      <c r="D7180" s="243">
        <v>62</v>
      </c>
      <c r="E7180" s="243">
        <v>22</v>
      </c>
      <c r="F7180" s="243">
        <v>13</v>
      </c>
      <c r="G7180" s="243">
        <v>17</v>
      </c>
      <c r="H7180" s="243">
        <v>46</v>
      </c>
      <c r="I7180" s="243">
        <v>69</v>
      </c>
      <c r="J7180" s="243">
        <v>64</v>
      </c>
      <c r="K7180" s="243">
        <v>104</v>
      </c>
      <c r="L7180" s="243">
        <v>76</v>
      </c>
      <c r="M7180" s="243">
        <v>72</v>
      </c>
      <c r="N7180" s="243">
        <v>83</v>
      </c>
      <c r="O7180" s="253">
        <v>80</v>
      </c>
    </row>
    <row r="7181" spans="1:15">
      <c r="A7181" s="242" t="s">
        <v>70</v>
      </c>
      <c r="B7181" s="43" t="s">
        <v>4</v>
      </c>
      <c r="C7181" s="15">
        <v>21</v>
      </c>
      <c r="D7181" s="244">
        <v>2</v>
      </c>
      <c r="E7181" s="244">
        <v>4</v>
      </c>
      <c r="F7181" s="244">
        <v>0</v>
      </c>
      <c r="G7181" s="244">
        <v>0</v>
      </c>
      <c r="H7181" s="244">
        <v>1</v>
      </c>
      <c r="I7181" s="244">
        <v>0</v>
      </c>
      <c r="J7181" s="244">
        <v>5</v>
      </c>
      <c r="K7181" s="244">
        <v>1</v>
      </c>
      <c r="L7181" s="244">
        <v>1</v>
      </c>
      <c r="M7181" s="244">
        <v>0</v>
      </c>
      <c r="N7181" s="244">
        <v>7</v>
      </c>
      <c r="O7181" s="254">
        <v>0</v>
      </c>
    </row>
    <row r="7182" spans="1:15">
      <c r="A7182" s="240" t="s">
        <v>70</v>
      </c>
      <c r="B7182" s="47" t="s">
        <v>5</v>
      </c>
      <c r="C7182" s="12">
        <v>0.0296610169491525</v>
      </c>
      <c r="D7182" s="241">
        <v>0.032258064516129</v>
      </c>
      <c r="E7182" s="241">
        <v>0.181818181818182</v>
      </c>
      <c r="F7182" s="241">
        <v>0</v>
      </c>
      <c r="G7182" s="241">
        <v>0</v>
      </c>
      <c r="H7182" s="241">
        <v>0.0217391304347826</v>
      </c>
      <c r="I7182" s="241">
        <v>0</v>
      </c>
      <c r="J7182" s="241">
        <v>0.078125</v>
      </c>
      <c r="K7182" s="241">
        <v>0.00961538461538462</v>
      </c>
      <c r="L7182" s="241">
        <v>0.0131578947368421</v>
      </c>
      <c r="M7182" s="241">
        <v>0</v>
      </c>
      <c r="N7182" s="241">
        <v>0.0843373493975904</v>
      </c>
      <c r="O7182" s="252">
        <v>0</v>
      </c>
    </row>
    <row r="7183" spans="1:15">
      <c r="A7183" s="242" t="s">
        <v>70</v>
      </c>
      <c r="B7183" s="43" t="s">
        <v>6</v>
      </c>
      <c r="C7183" s="15">
        <v>5</v>
      </c>
      <c r="D7183" s="244">
        <v>1</v>
      </c>
      <c r="E7183" s="244">
        <v>1</v>
      </c>
      <c r="F7183" s="244">
        <v>0</v>
      </c>
      <c r="G7183" s="244">
        <v>0</v>
      </c>
      <c r="H7183" s="244">
        <v>0</v>
      </c>
      <c r="I7183" s="244">
        <v>0</v>
      </c>
      <c r="J7183" s="244">
        <v>0</v>
      </c>
      <c r="K7183" s="244">
        <v>1</v>
      </c>
      <c r="L7183" s="244">
        <v>0</v>
      </c>
      <c r="M7183" s="244">
        <v>0</v>
      </c>
      <c r="N7183" s="244">
        <v>2</v>
      </c>
      <c r="O7183" s="254">
        <v>0</v>
      </c>
    </row>
    <row r="7184" ht="14.25" spans="1:15">
      <c r="A7184" s="245" t="s">
        <v>70</v>
      </c>
      <c r="B7184" s="52" t="s">
        <v>64</v>
      </c>
      <c r="C7184" s="19">
        <v>0.238095238095238</v>
      </c>
      <c r="D7184" s="246">
        <v>0.5</v>
      </c>
      <c r="E7184" s="246">
        <v>0.25</v>
      </c>
      <c r="F7184" s="246">
        <v>0</v>
      </c>
      <c r="G7184" s="246">
        <v>0</v>
      </c>
      <c r="H7184" s="246">
        <v>0</v>
      </c>
      <c r="I7184" s="246">
        <v>0</v>
      </c>
      <c r="J7184" s="246">
        <v>0</v>
      </c>
      <c r="K7184" s="246">
        <v>1</v>
      </c>
      <c r="L7184" s="246">
        <v>0</v>
      </c>
      <c r="M7184" s="246">
        <v>0</v>
      </c>
      <c r="N7184" s="246">
        <v>0.285714285714286</v>
      </c>
      <c r="O7184" s="255">
        <v>0</v>
      </c>
    </row>
    <row r="7185" spans="1:15">
      <c r="A7185" s="240" t="s">
        <v>26</v>
      </c>
      <c r="B7185" s="47" t="s">
        <v>55</v>
      </c>
      <c r="C7185" s="12">
        <v>0.95260663507109</v>
      </c>
      <c r="D7185" s="241">
        <v>0.975124378109453</v>
      </c>
      <c r="E7185" s="241">
        <v>0.946428571428571</v>
      </c>
      <c r="F7185" s="241">
        <v>1</v>
      </c>
      <c r="G7185" s="241">
        <v>0.862068965517241</v>
      </c>
      <c r="H7185" s="241">
        <v>1.02702702702703</v>
      </c>
      <c r="I7185" s="241">
        <v>0.947674418604651</v>
      </c>
      <c r="J7185" s="241">
        <v>1.03870967741935</v>
      </c>
      <c r="K7185" s="241">
        <v>0.939393939393939</v>
      </c>
      <c r="L7185" s="241">
        <v>0.891304347826087</v>
      </c>
      <c r="M7185" s="241">
        <v>1.08888888888889</v>
      </c>
      <c r="N7185" s="241">
        <v>0.903381642512077</v>
      </c>
      <c r="O7185" s="252">
        <v>0.872146118721461</v>
      </c>
    </row>
    <row r="7186" spans="1:15">
      <c r="A7186" s="242" t="s">
        <v>26</v>
      </c>
      <c r="B7186" s="43" t="s">
        <v>57</v>
      </c>
      <c r="C7186" s="15">
        <v>1899</v>
      </c>
      <c r="D7186" s="243">
        <v>201</v>
      </c>
      <c r="E7186" s="243">
        <v>112</v>
      </c>
      <c r="F7186" s="243">
        <v>81</v>
      </c>
      <c r="G7186" s="243">
        <v>87</v>
      </c>
      <c r="H7186" s="243">
        <v>148</v>
      </c>
      <c r="I7186" s="243">
        <v>172</v>
      </c>
      <c r="J7186" s="243">
        <v>155</v>
      </c>
      <c r="K7186" s="243">
        <v>198</v>
      </c>
      <c r="L7186" s="243">
        <v>184</v>
      </c>
      <c r="M7186" s="243">
        <v>135</v>
      </c>
      <c r="N7186" s="243">
        <v>207</v>
      </c>
      <c r="O7186" s="253">
        <v>219</v>
      </c>
    </row>
    <row r="7187" spans="1:15">
      <c r="A7187" s="240" t="s">
        <v>26</v>
      </c>
      <c r="B7187" s="47" t="s">
        <v>59</v>
      </c>
      <c r="C7187" s="15">
        <v>1809</v>
      </c>
      <c r="D7187" s="243">
        <v>196</v>
      </c>
      <c r="E7187" s="243">
        <v>106</v>
      </c>
      <c r="F7187" s="243">
        <v>81</v>
      </c>
      <c r="G7187" s="243">
        <v>75</v>
      </c>
      <c r="H7187" s="243">
        <v>152</v>
      </c>
      <c r="I7187" s="243">
        <v>163</v>
      </c>
      <c r="J7187" s="243">
        <v>161</v>
      </c>
      <c r="K7187" s="243">
        <v>186</v>
      </c>
      <c r="L7187" s="243">
        <v>164</v>
      </c>
      <c r="M7187" s="243">
        <v>147</v>
      </c>
      <c r="N7187" s="243">
        <v>187</v>
      </c>
      <c r="O7187" s="253">
        <v>191</v>
      </c>
    </row>
    <row r="7188" spans="1:15">
      <c r="A7188" s="242" t="s">
        <v>26</v>
      </c>
      <c r="B7188" s="43" t="s">
        <v>4</v>
      </c>
      <c r="C7188" s="15">
        <v>30</v>
      </c>
      <c r="D7188" s="244">
        <v>3</v>
      </c>
      <c r="E7188" s="244">
        <v>2</v>
      </c>
      <c r="F7188" s="244">
        <v>2</v>
      </c>
      <c r="G7188" s="244">
        <v>1</v>
      </c>
      <c r="H7188" s="244">
        <v>2</v>
      </c>
      <c r="I7188" s="244">
        <v>4</v>
      </c>
      <c r="J7188" s="244">
        <v>2</v>
      </c>
      <c r="K7188" s="244">
        <v>3</v>
      </c>
      <c r="L7188" s="244">
        <v>2</v>
      </c>
      <c r="M7188" s="244">
        <v>4</v>
      </c>
      <c r="N7188" s="244">
        <v>3</v>
      </c>
      <c r="O7188" s="254">
        <v>2</v>
      </c>
    </row>
    <row r="7189" spans="1:15">
      <c r="A7189" s="240" t="s">
        <v>26</v>
      </c>
      <c r="B7189" s="47" t="s">
        <v>5</v>
      </c>
      <c r="C7189" s="12">
        <v>0.0165837479270315</v>
      </c>
      <c r="D7189" s="241">
        <v>0.0153061224489796</v>
      </c>
      <c r="E7189" s="241">
        <v>0.0188679245283019</v>
      </c>
      <c r="F7189" s="241">
        <v>0.0246913580246914</v>
      </c>
      <c r="G7189" s="241">
        <v>0.0133333333333333</v>
      </c>
      <c r="H7189" s="241">
        <v>0.0131578947368421</v>
      </c>
      <c r="I7189" s="241">
        <v>0.0245398773006135</v>
      </c>
      <c r="J7189" s="241">
        <v>0.0124223602484472</v>
      </c>
      <c r="K7189" s="241">
        <v>0.0161290322580645</v>
      </c>
      <c r="L7189" s="241">
        <v>0.0121951219512195</v>
      </c>
      <c r="M7189" s="241">
        <v>0.0272108843537415</v>
      </c>
      <c r="N7189" s="241">
        <v>0.0160427807486631</v>
      </c>
      <c r="O7189" s="252">
        <v>0.0104712041884817</v>
      </c>
    </row>
    <row r="7190" spans="1:15">
      <c r="A7190" s="242" t="s">
        <v>26</v>
      </c>
      <c r="B7190" s="43" t="s">
        <v>6</v>
      </c>
      <c r="C7190" s="15">
        <v>7</v>
      </c>
      <c r="D7190" s="244">
        <v>1</v>
      </c>
      <c r="E7190" s="244">
        <v>1</v>
      </c>
      <c r="F7190" s="244">
        <v>0</v>
      </c>
      <c r="G7190" s="244">
        <v>0</v>
      </c>
      <c r="H7190" s="244">
        <v>0</v>
      </c>
      <c r="I7190" s="244">
        <v>1</v>
      </c>
      <c r="J7190" s="244">
        <v>1</v>
      </c>
      <c r="K7190" s="244">
        <v>0</v>
      </c>
      <c r="L7190" s="244">
        <v>0</v>
      </c>
      <c r="M7190" s="244">
        <v>2</v>
      </c>
      <c r="N7190" s="244">
        <v>0</v>
      </c>
      <c r="O7190" s="254">
        <v>1</v>
      </c>
    </row>
    <row r="7191" ht="14.25" spans="1:15">
      <c r="A7191" s="245" t="s">
        <v>26</v>
      </c>
      <c r="B7191" s="52" t="s">
        <v>64</v>
      </c>
      <c r="C7191" s="19">
        <v>0.233333333333333</v>
      </c>
      <c r="D7191" s="19">
        <v>0.333333333333333</v>
      </c>
      <c r="E7191" s="19">
        <v>0.5</v>
      </c>
      <c r="F7191" s="19">
        <v>0</v>
      </c>
      <c r="G7191" s="19">
        <v>0</v>
      </c>
      <c r="H7191" s="19">
        <v>0</v>
      </c>
      <c r="I7191" s="19">
        <v>0.25</v>
      </c>
      <c r="J7191" s="19">
        <v>0.5</v>
      </c>
      <c r="K7191" s="19">
        <v>0</v>
      </c>
      <c r="L7191" s="19">
        <v>0</v>
      </c>
      <c r="M7191" s="19">
        <v>0.5</v>
      </c>
      <c r="N7191" s="19">
        <v>0</v>
      </c>
      <c r="O7191" s="19">
        <v>0.5</v>
      </c>
    </row>
    <row r="7192" spans="1:15">
      <c r="A7192" s="240" t="s">
        <v>71</v>
      </c>
      <c r="B7192" s="47" t="s">
        <v>55</v>
      </c>
      <c r="C7192" s="12">
        <v>0.237113402061856</v>
      </c>
      <c r="D7192" s="241">
        <v>0.434782608695652</v>
      </c>
      <c r="E7192" s="241">
        <v>0.0909090909090909</v>
      </c>
      <c r="F7192" s="241">
        <v>0.0526315789473684</v>
      </c>
      <c r="G7192" s="241">
        <v>0.157894736842105</v>
      </c>
      <c r="H7192" s="241">
        <v>0.655172413793103</v>
      </c>
      <c r="I7192" s="241">
        <v>0.159090909090909</v>
      </c>
      <c r="J7192" s="241">
        <v>0.375</v>
      </c>
      <c r="K7192" s="241">
        <v>0.276595744680851</v>
      </c>
      <c r="L7192" s="241">
        <v>0.12280701754386</v>
      </c>
      <c r="M7192" s="241">
        <v>0.285714285714286</v>
      </c>
      <c r="N7192" s="241">
        <v>0.21875</v>
      </c>
      <c r="O7192" s="252">
        <v>0.1</v>
      </c>
    </row>
    <row r="7193" spans="1:15">
      <c r="A7193" s="242" t="s">
        <v>71</v>
      </c>
      <c r="B7193" s="43" t="s">
        <v>57</v>
      </c>
      <c r="C7193" s="15">
        <v>485</v>
      </c>
      <c r="D7193" s="243">
        <v>46</v>
      </c>
      <c r="E7193" s="243">
        <v>33</v>
      </c>
      <c r="F7193" s="243">
        <v>19</v>
      </c>
      <c r="G7193" s="243">
        <v>19</v>
      </c>
      <c r="H7193" s="243">
        <v>29</v>
      </c>
      <c r="I7193" s="243">
        <v>44</v>
      </c>
      <c r="J7193" s="243">
        <v>32</v>
      </c>
      <c r="K7193" s="243">
        <v>47</v>
      </c>
      <c r="L7193" s="243">
        <v>57</v>
      </c>
      <c r="M7193" s="243">
        <v>35</v>
      </c>
      <c r="N7193" s="243">
        <v>64</v>
      </c>
      <c r="O7193" s="253">
        <v>60</v>
      </c>
    </row>
    <row r="7194" spans="1:15">
      <c r="A7194" s="240" t="s">
        <v>71</v>
      </c>
      <c r="B7194" s="47" t="s">
        <v>59</v>
      </c>
      <c r="C7194" s="15">
        <v>115</v>
      </c>
      <c r="D7194" s="243">
        <v>20</v>
      </c>
      <c r="E7194" s="243">
        <v>3</v>
      </c>
      <c r="F7194" s="243">
        <v>1</v>
      </c>
      <c r="G7194" s="243">
        <v>3</v>
      </c>
      <c r="H7194" s="243">
        <v>19</v>
      </c>
      <c r="I7194" s="243">
        <v>7</v>
      </c>
      <c r="J7194" s="243">
        <v>12</v>
      </c>
      <c r="K7194" s="243">
        <v>13</v>
      </c>
      <c r="L7194" s="243">
        <v>7</v>
      </c>
      <c r="M7194" s="243">
        <v>10</v>
      </c>
      <c r="N7194" s="243">
        <v>14</v>
      </c>
      <c r="O7194" s="253">
        <v>6</v>
      </c>
    </row>
    <row r="7195" spans="1:15">
      <c r="A7195" s="242" t="s">
        <v>71</v>
      </c>
      <c r="B7195" s="43" t="s">
        <v>4</v>
      </c>
      <c r="C7195" s="15">
        <v>16</v>
      </c>
      <c r="D7195" s="244">
        <v>5</v>
      </c>
      <c r="E7195" s="244">
        <v>0</v>
      </c>
      <c r="F7195" s="244">
        <v>0</v>
      </c>
      <c r="G7195" s="244">
        <v>1</v>
      </c>
      <c r="H7195" s="244">
        <v>1</v>
      </c>
      <c r="I7195" s="244">
        <v>0</v>
      </c>
      <c r="J7195" s="244">
        <v>1</v>
      </c>
      <c r="K7195" s="244">
        <v>2</v>
      </c>
      <c r="L7195" s="244">
        <v>1</v>
      </c>
      <c r="M7195" s="244">
        <v>1</v>
      </c>
      <c r="N7195" s="244">
        <v>1</v>
      </c>
      <c r="O7195" s="254">
        <v>3</v>
      </c>
    </row>
    <row r="7196" spans="1:15">
      <c r="A7196" s="240" t="s">
        <v>71</v>
      </c>
      <c r="B7196" s="47" t="s">
        <v>5</v>
      </c>
      <c r="C7196" s="241">
        <v>0.139130434782609</v>
      </c>
      <c r="D7196" s="241">
        <v>0.25</v>
      </c>
      <c r="E7196" s="241">
        <v>0</v>
      </c>
      <c r="F7196" s="241">
        <v>0</v>
      </c>
      <c r="G7196" s="241">
        <v>0.333333333333333</v>
      </c>
      <c r="H7196" s="241">
        <v>0.0526315789473684</v>
      </c>
      <c r="I7196" s="241">
        <v>0</v>
      </c>
      <c r="J7196" s="241">
        <v>0.0833333333333333</v>
      </c>
      <c r="K7196" s="241">
        <v>0.153846153846154</v>
      </c>
      <c r="L7196" s="241">
        <v>0.142857142857143</v>
      </c>
      <c r="M7196" s="241">
        <v>0.1</v>
      </c>
      <c r="N7196" s="241">
        <v>0.0714285714285714</v>
      </c>
      <c r="O7196" s="252">
        <v>0.5</v>
      </c>
    </row>
    <row r="7197" spans="1:15">
      <c r="A7197" s="242" t="s">
        <v>71</v>
      </c>
      <c r="B7197" s="43" t="s">
        <v>6</v>
      </c>
      <c r="C7197" s="15">
        <v>4</v>
      </c>
      <c r="D7197" s="244">
        <v>1</v>
      </c>
      <c r="E7197" s="244">
        <v>0</v>
      </c>
      <c r="F7197" s="244">
        <v>0</v>
      </c>
      <c r="G7197" s="244">
        <v>0</v>
      </c>
      <c r="H7197" s="244">
        <v>0</v>
      </c>
      <c r="I7197" s="244">
        <v>0</v>
      </c>
      <c r="J7197" s="244">
        <v>2</v>
      </c>
      <c r="K7197" s="244">
        <v>0</v>
      </c>
      <c r="L7197" s="244">
        <v>0</v>
      </c>
      <c r="M7197" s="244">
        <v>0</v>
      </c>
      <c r="N7197" s="244">
        <v>1</v>
      </c>
      <c r="O7197" s="254">
        <v>0</v>
      </c>
    </row>
    <row r="7198" ht="14.25" spans="1:15">
      <c r="A7198" s="245" t="s">
        <v>71</v>
      </c>
      <c r="B7198" s="52" t="s">
        <v>64</v>
      </c>
      <c r="C7198" s="19">
        <v>0.25</v>
      </c>
      <c r="D7198" s="19">
        <v>0.2</v>
      </c>
      <c r="E7198" s="19" t="e">
        <v>#DIV/0!</v>
      </c>
      <c r="F7198" s="19" t="e">
        <v>#DIV/0!</v>
      </c>
      <c r="G7198" s="19">
        <v>0</v>
      </c>
      <c r="H7198" s="19">
        <v>0</v>
      </c>
      <c r="I7198" s="19" t="e">
        <v>#DIV/0!</v>
      </c>
      <c r="J7198" s="19">
        <v>2</v>
      </c>
      <c r="K7198" s="19">
        <v>0</v>
      </c>
      <c r="L7198" s="19">
        <v>0</v>
      </c>
      <c r="M7198" s="19">
        <v>0</v>
      </c>
      <c r="N7198" s="19">
        <v>1</v>
      </c>
      <c r="O7198" s="19">
        <v>0</v>
      </c>
    </row>
    <row r="7199" spans="1:15">
      <c r="A7199" s="240" t="s">
        <v>72</v>
      </c>
      <c r="B7199" s="47" t="s">
        <v>55</v>
      </c>
      <c r="C7199" s="12">
        <v>0.0452488687782805</v>
      </c>
      <c r="D7199" s="241">
        <v>0.0861702127659574</v>
      </c>
      <c r="E7199" s="241">
        <v>0.0870588235294118</v>
      </c>
      <c r="F7199" s="241">
        <v>0.0903225806451613</v>
      </c>
      <c r="G7199" s="241">
        <v>0.0762564991334489</v>
      </c>
      <c r="H7199" s="241">
        <v>0.0594262295081967</v>
      </c>
      <c r="I7199" s="241">
        <v>0.0490566037735849</v>
      </c>
      <c r="J7199" s="241">
        <v>0.0482703137570394</v>
      </c>
      <c r="K7199" s="241">
        <v>0.0552834149755073</v>
      </c>
      <c r="L7199" s="241">
        <v>0.0469011725293132</v>
      </c>
      <c r="M7199" s="241">
        <v>0.0396931287525017</v>
      </c>
      <c r="N7199" s="241">
        <v>0.0327169274537696</v>
      </c>
      <c r="O7199" s="252">
        <v>0.0270416441319632</v>
      </c>
    </row>
    <row r="7200" spans="1:15">
      <c r="A7200" s="242" t="s">
        <v>72</v>
      </c>
      <c r="B7200" s="43" t="s">
        <v>57</v>
      </c>
      <c r="C7200" s="15">
        <v>19227</v>
      </c>
      <c r="D7200" s="243">
        <v>940</v>
      </c>
      <c r="E7200" s="243">
        <v>425</v>
      </c>
      <c r="F7200" s="243">
        <v>310</v>
      </c>
      <c r="G7200" s="243">
        <v>577</v>
      </c>
      <c r="H7200" s="243">
        <v>976</v>
      </c>
      <c r="I7200" s="243">
        <v>1325</v>
      </c>
      <c r="J7200" s="243">
        <v>1243</v>
      </c>
      <c r="K7200" s="243">
        <v>1429</v>
      </c>
      <c r="L7200" s="243">
        <v>1791</v>
      </c>
      <c r="M7200" s="243">
        <v>2998</v>
      </c>
      <c r="N7200" s="243">
        <v>3515</v>
      </c>
      <c r="O7200" s="253">
        <v>3698</v>
      </c>
    </row>
    <row r="7201" spans="1:15">
      <c r="A7201" s="240" t="s">
        <v>72</v>
      </c>
      <c r="B7201" s="47" t="s">
        <v>59</v>
      </c>
      <c r="C7201" s="15">
        <v>870</v>
      </c>
      <c r="D7201" s="243">
        <v>81</v>
      </c>
      <c r="E7201" s="243">
        <v>37</v>
      </c>
      <c r="F7201" s="243">
        <v>28</v>
      </c>
      <c r="G7201" s="243">
        <v>44</v>
      </c>
      <c r="H7201" s="243">
        <v>58</v>
      </c>
      <c r="I7201" s="243">
        <v>65</v>
      </c>
      <c r="J7201" s="243">
        <v>60</v>
      </c>
      <c r="K7201" s="243">
        <v>79</v>
      </c>
      <c r="L7201" s="243">
        <v>84</v>
      </c>
      <c r="M7201" s="243">
        <v>119</v>
      </c>
      <c r="N7201" s="243">
        <v>115</v>
      </c>
      <c r="O7201" s="253">
        <v>100</v>
      </c>
    </row>
    <row r="7202" spans="1:15">
      <c r="A7202" s="242" t="s">
        <v>72</v>
      </c>
      <c r="B7202" s="43" t="s">
        <v>4</v>
      </c>
      <c r="C7202" s="15">
        <v>54</v>
      </c>
      <c r="D7202" s="244">
        <v>10</v>
      </c>
      <c r="E7202" s="244">
        <v>3</v>
      </c>
      <c r="F7202" s="244">
        <v>3</v>
      </c>
      <c r="G7202" s="244">
        <v>2</v>
      </c>
      <c r="H7202" s="244">
        <v>2</v>
      </c>
      <c r="I7202" s="244">
        <v>7</v>
      </c>
      <c r="J7202" s="244">
        <v>4</v>
      </c>
      <c r="K7202" s="244">
        <v>8</v>
      </c>
      <c r="L7202" s="244">
        <v>4</v>
      </c>
      <c r="M7202" s="244">
        <v>4</v>
      </c>
      <c r="N7202" s="244">
        <v>3</v>
      </c>
      <c r="O7202" s="254">
        <v>4</v>
      </c>
    </row>
    <row r="7203" spans="1:15">
      <c r="A7203" s="240" t="s">
        <v>72</v>
      </c>
      <c r="B7203" s="47" t="s">
        <v>5</v>
      </c>
      <c r="C7203" s="12">
        <v>0.0620689655172414</v>
      </c>
      <c r="D7203" s="241">
        <v>0.123456790123457</v>
      </c>
      <c r="E7203" s="241">
        <v>0.0810810810810811</v>
      </c>
      <c r="F7203" s="241">
        <v>0.107142857142857</v>
      </c>
      <c r="G7203" s="241">
        <v>0.0454545454545455</v>
      </c>
      <c r="H7203" s="241">
        <v>0.0344827586206897</v>
      </c>
      <c r="I7203" s="241">
        <v>0.107692307692308</v>
      </c>
      <c r="J7203" s="241">
        <v>0.0666666666666667</v>
      </c>
      <c r="K7203" s="241">
        <v>0.10126582278481</v>
      </c>
      <c r="L7203" s="241">
        <v>0.0476190476190476</v>
      </c>
      <c r="M7203" s="241">
        <v>0.0336134453781513</v>
      </c>
      <c r="N7203" s="241">
        <v>0.0260869565217391</v>
      </c>
      <c r="O7203" s="252">
        <v>0.04</v>
      </c>
    </row>
    <row r="7204" spans="1:15">
      <c r="A7204" s="242" t="s">
        <v>72</v>
      </c>
      <c r="B7204" s="43" t="s">
        <v>6</v>
      </c>
      <c r="C7204" s="15">
        <v>8</v>
      </c>
      <c r="D7204" s="244">
        <v>1</v>
      </c>
      <c r="E7204" s="244">
        <v>1</v>
      </c>
      <c r="F7204" s="244">
        <v>1</v>
      </c>
      <c r="G7204" s="244">
        <v>0</v>
      </c>
      <c r="H7204" s="244">
        <v>0</v>
      </c>
      <c r="I7204" s="244">
        <v>0</v>
      </c>
      <c r="J7204" s="244">
        <v>0</v>
      </c>
      <c r="K7204" s="244">
        <v>0</v>
      </c>
      <c r="L7204" s="244">
        <v>3</v>
      </c>
      <c r="M7204" s="244">
        <v>1</v>
      </c>
      <c r="N7204" s="244">
        <v>0</v>
      </c>
      <c r="O7204" s="254">
        <v>1</v>
      </c>
    </row>
    <row r="7205" ht="14.25" spans="1:15">
      <c r="A7205" s="245" t="s">
        <v>72</v>
      </c>
      <c r="B7205" s="52" t="s">
        <v>64</v>
      </c>
      <c r="C7205" s="19">
        <v>0.148148148148148</v>
      </c>
      <c r="D7205" s="19">
        <v>0.1</v>
      </c>
      <c r="E7205" s="19">
        <v>0.333333333333333</v>
      </c>
      <c r="F7205" s="19">
        <v>0.333333333333333</v>
      </c>
      <c r="G7205" s="19">
        <v>0</v>
      </c>
      <c r="H7205" s="19">
        <v>0</v>
      </c>
      <c r="I7205" s="19">
        <v>0</v>
      </c>
      <c r="J7205" s="19">
        <v>0</v>
      </c>
      <c r="K7205" s="19">
        <v>0</v>
      </c>
      <c r="L7205" s="19">
        <v>0.75</v>
      </c>
      <c r="M7205" s="19">
        <v>0.25</v>
      </c>
      <c r="N7205" s="19">
        <v>0</v>
      </c>
      <c r="O7205" s="19">
        <v>0.25</v>
      </c>
    </row>
    <row r="7206" ht="14.25" spans="1:15">
      <c r="A7206" s="237">
        <v>45130</v>
      </c>
      <c r="B7206" s="237"/>
      <c r="C7206" s="237"/>
      <c r="D7206" s="237"/>
      <c r="E7206" s="237"/>
      <c r="F7206" s="237"/>
      <c r="G7206" s="237"/>
      <c r="H7206" s="237"/>
      <c r="I7206" s="237"/>
      <c r="J7206" s="237"/>
      <c r="K7206" s="237"/>
      <c r="L7206" s="237"/>
      <c r="M7206" s="237"/>
      <c r="N7206" s="237"/>
      <c r="O7206" s="237"/>
    </row>
    <row r="7207" spans="1:15">
      <c r="A7207" s="56" t="s">
        <v>1</v>
      </c>
      <c r="B7207" s="238"/>
      <c r="C7207" s="8" t="s">
        <v>42</v>
      </c>
      <c r="D7207" s="239" t="s">
        <v>43</v>
      </c>
      <c r="E7207" s="239" t="s">
        <v>44</v>
      </c>
      <c r="F7207" s="239" t="s">
        <v>45</v>
      </c>
      <c r="G7207" s="239" t="s">
        <v>46</v>
      </c>
      <c r="H7207" s="239" t="s">
        <v>47</v>
      </c>
      <c r="I7207" s="239" t="s">
        <v>48</v>
      </c>
      <c r="J7207" s="239" t="s">
        <v>49</v>
      </c>
      <c r="K7207" s="239" t="s">
        <v>50</v>
      </c>
      <c r="L7207" s="239" t="s">
        <v>51</v>
      </c>
      <c r="M7207" s="239" t="s">
        <v>52</v>
      </c>
      <c r="N7207" s="239" t="s">
        <v>53</v>
      </c>
      <c r="O7207" s="251" t="s">
        <v>54</v>
      </c>
    </row>
    <row r="7208" spans="1:15">
      <c r="A7208" s="240" t="s">
        <v>22</v>
      </c>
      <c r="B7208" s="47" t="s">
        <v>55</v>
      </c>
      <c r="C7208" s="12">
        <v>0.55035685963521</v>
      </c>
      <c r="D7208" s="241">
        <v>0.589403973509934</v>
      </c>
      <c r="E7208" s="241">
        <v>0.571428571428571</v>
      </c>
      <c r="F7208" s="241">
        <v>0.894736842105263</v>
      </c>
      <c r="G7208" s="241">
        <v>0.641509433962264</v>
      </c>
      <c r="H7208" s="241">
        <v>0.601941747572815</v>
      </c>
      <c r="I7208" s="241">
        <v>0.469026548672566</v>
      </c>
      <c r="J7208" s="241">
        <v>0.509433962264151</v>
      </c>
      <c r="K7208" s="241">
        <v>0.495798319327731</v>
      </c>
      <c r="L7208" s="241">
        <v>0.586776859504132</v>
      </c>
      <c r="M7208" s="241">
        <v>0.508620689655172</v>
      </c>
      <c r="N7208" s="241">
        <v>0.43801652892562</v>
      </c>
      <c r="O7208" s="252">
        <v>0.573426573426573</v>
      </c>
    </row>
    <row r="7209" spans="1:15">
      <c r="A7209" s="242" t="s">
        <v>22</v>
      </c>
      <c r="B7209" s="43" t="s">
        <v>57</v>
      </c>
      <c r="C7209" s="15">
        <v>1261</v>
      </c>
      <c r="D7209" s="243">
        <v>151</v>
      </c>
      <c r="E7209" s="243">
        <v>77</v>
      </c>
      <c r="F7209" s="243">
        <v>38</v>
      </c>
      <c r="G7209" s="243">
        <v>53</v>
      </c>
      <c r="H7209" s="243">
        <v>103</v>
      </c>
      <c r="I7209" s="243">
        <v>113</v>
      </c>
      <c r="J7209" s="243">
        <v>106</v>
      </c>
      <c r="K7209" s="243">
        <v>119</v>
      </c>
      <c r="L7209" s="243">
        <v>121</v>
      </c>
      <c r="M7209" s="243">
        <v>116</v>
      </c>
      <c r="N7209" s="243">
        <v>121</v>
      </c>
      <c r="O7209" s="253">
        <v>143</v>
      </c>
    </row>
    <row r="7210" spans="1:15">
      <c r="A7210" s="240" t="s">
        <v>22</v>
      </c>
      <c r="B7210" s="47" t="s">
        <v>59</v>
      </c>
      <c r="C7210" s="15">
        <v>694</v>
      </c>
      <c r="D7210" s="243">
        <v>89</v>
      </c>
      <c r="E7210" s="243">
        <v>44</v>
      </c>
      <c r="F7210" s="243">
        <v>34</v>
      </c>
      <c r="G7210" s="243">
        <v>34</v>
      </c>
      <c r="H7210" s="243">
        <v>62</v>
      </c>
      <c r="I7210" s="243">
        <v>53</v>
      </c>
      <c r="J7210" s="243">
        <v>54</v>
      </c>
      <c r="K7210" s="243">
        <v>59</v>
      </c>
      <c r="L7210" s="243">
        <v>71</v>
      </c>
      <c r="M7210" s="243">
        <v>59</v>
      </c>
      <c r="N7210" s="243">
        <v>53</v>
      </c>
      <c r="O7210" s="253">
        <v>82</v>
      </c>
    </row>
    <row r="7211" spans="1:15">
      <c r="A7211" s="242" t="s">
        <v>22</v>
      </c>
      <c r="B7211" s="43" t="s">
        <v>4</v>
      </c>
      <c r="C7211" s="15">
        <v>38</v>
      </c>
      <c r="D7211" s="244">
        <v>3</v>
      </c>
      <c r="E7211" s="244">
        <v>1</v>
      </c>
      <c r="F7211" s="244">
        <v>3</v>
      </c>
      <c r="G7211" s="244">
        <v>0</v>
      </c>
      <c r="H7211" s="244">
        <v>4</v>
      </c>
      <c r="I7211" s="244">
        <v>2</v>
      </c>
      <c r="J7211" s="244">
        <v>2</v>
      </c>
      <c r="K7211" s="244">
        <v>3</v>
      </c>
      <c r="L7211" s="244">
        <v>8</v>
      </c>
      <c r="M7211" s="244">
        <v>3</v>
      </c>
      <c r="N7211" s="244">
        <v>6</v>
      </c>
      <c r="O7211" s="254">
        <v>3</v>
      </c>
    </row>
    <row r="7212" spans="1:15">
      <c r="A7212" s="240" t="s">
        <v>22</v>
      </c>
      <c r="B7212" s="47" t="s">
        <v>5</v>
      </c>
      <c r="C7212" s="12">
        <v>0.0547550432276657</v>
      </c>
      <c r="D7212" s="241">
        <v>0.0337078651685393</v>
      </c>
      <c r="E7212" s="241">
        <v>0.0227272727272727</v>
      </c>
      <c r="F7212" s="241">
        <v>0.0882352941176471</v>
      </c>
      <c r="G7212" s="241">
        <v>0</v>
      </c>
      <c r="H7212" s="241">
        <v>0.0645161290322581</v>
      </c>
      <c r="I7212" s="241">
        <v>0.0377358490566038</v>
      </c>
      <c r="J7212" s="241">
        <v>0.037037037037037</v>
      </c>
      <c r="K7212" s="241">
        <v>0.0508474576271186</v>
      </c>
      <c r="L7212" s="241">
        <v>0.112676056338028</v>
      </c>
      <c r="M7212" s="241">
        <v>0.0508474576271186</v>
      </c>
      <c r="N7212" s="241">
        <v>0.113207547169811</v>
      </c>
      <c r="O7212" s="252">
        <v>0.0365853658536585</v>
      </c>
    </row>
    <row r="7213" spans="1:15">
      <c r="A7213" s="242" t="s">
        <v>22</v>
      </c>
      <c r="B7213" s="43" t="s">
        <v>6</v>
      </c>
      <c r="C7213" s="15">
        <v>14</v>
      </c>
      <c r="D7213" s="244">
        <v>1</v>
      </c>
      <c r="E7213" s="244">
        <v>1</v>
      </c>
      <c r="F7213" s="244">
        <v>0</v>
      </c>
      <c r="G7213" s="244">
        <v>0</v>
      </c>
      <c r="H7213" s="244">
        <v>0</v>
      </c>
      <c r="I7213" s="244">
        <v>1</v>
      </c>
      <c r="J7213" s="244">
        <v>1</v>
      </c>
      <c r="K7213" s="244">
        <v>2</v>
      </c>
      <c r="L7213" s="244">
        <v>3</v>
      </c>
      <c r="M7213" s="244">
        <v>3</v>
      </c>
      <c r="N7213" s="244">
        <v>1</v>
      </c>
      <c r="O7213" s="254">
        <v>1</v>
      </c>
    </row>
    <row r="7214" ht="14.25" spans="1:15">
      <c r="A7214" s="245" t="s">
        <v>22</v>
      </c>
      <c r="B7214" s="52" t="s">
        <v>64</v>
      </c>
      <c r="C7214" s="19">
        <v>0.368421052631579</v>
      </c>
      <c r="D7214" s="246">
        <v>0.333333333333333</v>
      </c>
      <c r="E7214" s="246">
        <v>1</v>
      </c>
      <c r="F7214" s="246">
        <v>0</v>
      </c>
      <c r="G7214" s="246">
        <v>0</v>
      </c>
      <c r="H7214" s="246">
        <v>0</v>
      </c>
      <c r="I7214" s="246">
        <v>0.5</v>
      </c>
      <c r="J7214" s="246">
        <v>0.5</v>
      </c>
      <c r="K7214" s="246">
        <v>0.666666666666667</v>
      </c>
      <c r="L7214" s="246">
        <v>0.375</v>
      </c>
      <c r="M7214" s="246">
        <v>1</v>
      </c>
      <c r="N7214" s="246">
        <v>0.166666666666667</v>
      </c>
      <c r="O7214" s="255">
        <v>0.333333333333333</v>
      </c>
    </row>
    <row r="7215" spans="1:15">
      <c r="A7215" s="247" t="s">
        <v>66</v>
      </c>
      <c r="B7215" s="248" t="s">
        <v>55</v>
      </c>
      <c r="C7215" s="12">
        <v>0.156713955790168</v>
      </c>
      <c r="D7215" s="249">
        <v>0.20817843866171</v>
      </c>
      <c r="E7215" s="249">
        <v>0.212903225806452</v>
      </c>
      <c r="F7215" s="249">
        <v>0.152439024390244</v>
      </c>
      <c r="G7215" s="249">
        <v>0.126126126126126</v>
      </c>
      <c r="H7215" s="249">
        <v>0.113924050632911</v>
      </c>
      <c r="I7215" s="249">
        <v>0.158940397350993</v>
      </c>
      <c r="J7215" s="249">
        <v>0.143884892086331</v>
      </c>
      <c r="K7215" s="249">
        <v>0.13968253968254</v>
      </c>
      <c r="L7215" s="249">
        <v>0.156716417910448</v>
      </c>
      <c r="M7215" s="249">
        <v>0.158590308370044</v>
      </c>
      <c r="N7215" s="249">
        <v>0.172932330827068</v>
      </c>
      <c r="O7215" s="256">
        <v>0.152439024390244</v>
      </c>
    </row>
    <row r="7216" spans="1:15">
      <c r="A7216" s="242" t="s">
        <v>66</v>
      </c>
      <c r="B7216" s="43" t="s">
        <v>57</v>
      </c>
      <c r="C7216" s="15">
        <v>3031</v>
      </c>
      <c r="D7216" s="243">
        <v>269</v>
      </c>
      <c r="E7216" s="243">
        <v>155</v>
      </c>
      <c r="F7216" s="243">
        <v>164</v>
      </c>
      <c r="G7216" s="243">
        <v>222</v>
      </c>
      <c r="H7216" s="243">
        <v>237</v>
      </c>
      <c r="I7216" s="243">
        <v>302</v>
      </c>
      <c r="J7216" s="243">
        <v>278</v>
      </c>
      <c r="K7216" s="243">
        <v>315</v>
      </c>
      <c r="L7216" s="243">
        <v>268</v>
      </c>
      <c r="M7216" s="243">
        <v>227</v>
      </c>
      <c r="N7216" s="243">
        <v>266</v>
      </c>
      <c r="O7216" s="253">
        <v>328</v>
      </c>
    </row>
    <row r="7217" spans="1:15">
      <c r="A7217" s="240" t="s">
        <v>66</v>
      </c>
      <c r="B7217" s="47" t="s">
        <v>59</v>
      </c>
      <c r="C7217" s="15">
        <v>475</v>
      </c>
      <c r="D7217" s="243">
        <v>56</v>
      </c>
      <c r="E7217" s="243">
        <v>33</v>
      </c>
      <c r="F7217" s="243">
        <v>25</v>
      </c>
      <c r="G7217" s="243">
        <v>28</v>
      </c>
      <c r="H7217" s="243">
        <v>27</v>
      </c>
      <c r="I7217" s="243">
        <v>48</v>
      </c>
      <c r="J7217" s="243">
        <v>40</v>
      </c>
      <c r="K7217" s="243">
        <v>44</v>
      </c>
      <c r="L7217" s="243">
        <v>42</v>
      </c>
      <c r="M7217" s="243">
        <v>36</v>
      </c>
      <c r="N7217" s="243">
        <v>46</v>
      </c>
      <c r="O7217" s="253">
        <v>50</v>
      </c>
    </row>
    <row r="7218" spans="1:15">
      <c r="A7218" s="242" t="s">
        <v>66</v>
      </c>
      <c r="B7218" s="43" t="s">
        <v>4</v>
      </c>
      <c r="C7218" s="15">
        <v>24</v>
      </c>
      <c r="D7218" s="244">
        <v>3</v>
      </c>
      <c r="E7218" s="244">
        <v>0</v>
      </c>
      <c r="F7218" s="244">
        <v>3</v>
      </c>
      <c r="G7218" s="244">
        <v>1</v>
      </c>
      <c r="H7218" s="244">
        <v>1</v>
      </c>
      <c r="I7218" s="244">
        <v>1</v>
      </c>
      <c r="J7218" s="244">
        <v>3</v>
      </c>
      <c r="K7218" s="244">
        <v>2</v>
      </c>
      <c r="L7218" s="244">
        <v>4</v>
      </c>
      <c r="M7218" s="244">
        <v>1</v>
      </c>
      <c r="N7218" s="244">
        <v>2</v>
      </c>
      <c r="O7218" s="254">
        <v>3</v>
      </c>
    </row>
    <row r="7219" spans="1:15">
      <c r="A7219" s="240" t="s">
        <v>66</v>
      </c>
      <c r="B7219" s="47" t="s">
        <v>5</v>
      </c>
      <c r="C7219" s="12">
        <v>0.0505263157894737</v>
      </c>
      <c r="D7219" s="241">
        <v>0.0535714285714286</v>
      </c>
      <c r="E7219" s="241">
        <v>0</v>
      </c>
      <c r="F7219" s="241">
        <v>0.12</v>
      </c>
      <c r="G7219" s="241">
        <v>0.0357142857142857</v>
      </c>
      <c r="H7219" s="241">
        <v>0.037037037037037</v>
      </c>
      <c r="I7219" s="241">
        <v>0.0208333333333333</v>
      </c>
      <c r="J7219" s="241">
        <v>0.075</v>
      </c>
      <c r="K7219" s="241">
        <v>0.0454545454545455</v>
      </c>
      <c r="L7219" s="241">
        <v>0.0952380952380952</v>
      </c>
      <c r="M7219" s="241">
        <v>0.0277777777777778</v>
      </c>
      <c r="N7219" s="241">
        <v>0.0434782608695652</v>
      </c>
      <c r="O7219" s="252">
        <v>0.06</v>
      </c>
    </row>
    <row r="7220" spans="1:15">
      <c r="A7220" s="242" t="s">
        <v>66</v>
      </c>
      <c r="B7220" s="43" t="s">
        <v>6</v>
      </c>
      <c r="C7220" s="15">
        <v>6</v>
      </c>
      <c r="D7220" s="244">
        <v>3</v>
      </c>
      <c r="E7220" s="244">
        <v>0</v>
      </c>
      <c r="F7220" s="244">
        <v>0</v>
      </c>
      <c r="G7220" s="244">
        <v>1</v>
      </c>
      <c r="H7220" s="244">
        <v>0</v>
      </c>
      <c r="I7220" s="244">
        <v>0</v>
      </c>
      <c r="J7220" s="244">
        <v>0</v>
      </c>
      <c r="K7220" s="244">
        <v>0</v>
      </c>
      <c r="L7220" s="244">
        <v>2</v>
      </c>
      <c r="M7220" s="244">
        <v>0</v>
      </c>
      <c r="N7220" s="244">
        <v>0</v>
      </c>
      <c r="O7220" s="254">
        <v>0</v>
      </c>
    </row>
    <row r="7221" ht="14.25" spans="1:15">
      <c r="A7221" s="245" t="s">
        <v>66</v>
      </c>
      <c r="B7221" s="52" t="s">
        <v>64</v>
      </c>
      <c r="C7221" s="19">
        <v>0.25</v>
      </c>
      <c r="D7221" s="246">
        <v>1</v>
      </c>
      <c r="E7221" s="246">
        <v>0</v>
      </c>
      <c r="F7221" s="246">
        <v>0</v>
      </c>
      <c r="G7221" s="246">
        <v>1</v>
      </c>
      <c r="H7221" s="246">
        <v>0</v>
      </c>
      <c r="I7221" s="246">
        <v>0</v>
      </c>
      <c r="J7221" s="246">
        <v>0</v>
      </c>
      <c r="K7221" s="246">
        <v>0</v>
      </c>
      <c r="L7221" s="246">
        <v>0.5</v>
      </c>
      <c r="M7221" s="246">
        <v>0</v>
      </c>
      <c r="N7221" s="246">
        <v>0</v>
      </c>
      <c r="O7221" s="255">
        <v>0</v>
      </c>
    </row>
    <row r="7222" spans="1:15">
      <c r="A7222" s="240" t="s">
        <v>67</v>
      </c>
      <c r="B7222" s="47" t="s">
        <v>55</v>
      </c>
      <c r="C7222" s="12">
        <v>0.458850056369786</v>
      </c>
      <c r="D7222" s="241">
        <v>0.585106382978723</v>
      </c>
      <c r="E7222" s="241">
        <v>0.625</v>
      </c>
      <c r="F7222" s="241">
        <v>0.457142857142857</v>
      </c>
      <c r="G7222" s="241">
        <v>0.653846153846154</v>
      </c>
      <c r="H7222" s="241">
        <v>0.574074074074074</v>
      </c>
      <c r="I7222" s="241">
        <v>0.491803278688525</v>
      </c>
      <c r="J7222" s="241">
        <v>0.443181818181818</v>
      </c>
      <c r="K7222" s="241">
        <v>0.378378378378378</v>
      </c>
      <c r="L7222" s="241">
        <v>0.347368421052632</v>
      </c>
      <c r="M7222" s="241">
        <v>0.432432432432432</v>
      </c>
      <c r="N7222" s="241">
        <v>0.435643564356436</v>
      </c>
      <c r="O7222" s="252">
        <v>0.398148148148148</v>
      </c>
    </row>
    <row r="7223" spans="1:15">
      <c r="A7223" s="242" t="s">
        <v>67</v>
      </c>
      <c r="B7223" s="43" t="s">
        <v>57</v>
      </c>
      <c r="C7223" s="15">
        <v>887</v>
      </c>
      <c r="D7223" s="243">
        <v>94</v>
      </c>
      <c r="E7223" s="243">
        <v>40</v>
      </c>
      <c r="F7223" s="243">
        <v>35</v>
      </c>
      <c r="G7223" s="243">
        <v>26</v>
      </c>
      <c r="H7223" s="243">
        <v>54</v>
      </c>
      <c r="I7223" s="243">
        <v>61</v>
      </c>
      <c r="J7223" s="243">
        <v>88</v>
      </c>
      <c r="K7223" s="243">
        <v>111</v>
      </c>
      <c r="L7223" s="243">
        <v>95</v>
      </c>
      <c r="M7223" s="243">
        <v>74</v>
      </c>
      <c r="N7223" s="243">
        <v>101</v>
      </c>
      <c r="O7223" s="253">
        <v>108</v>
      </c>
    </row>
    <row r="7224" spans="1:15">
      <c r="A7224" s="240" t="s">
        <v>67</v>
      </c>
      <c r="B7224" s="47" t="s">
        <v>59</v>
      </c>
      <c r="C7224" s="15">
        <v>407</v>
      </c>
      <c r="D7224" s="243">
        <v>55</v>
      </c>
      <c r="E7224" s="243">
        <v>25</v>
      </c>
      <c r="F7224" s="243">
        <v>16</v>
      </c>
      <c r="G7224" s="243">
        <v>17</v>
      </c>
      <c r="H7224" s="243">
        <v>31</v>
      </c>
      <c r="I7224" s="243">
        <v>30</v>
      </c>
      <c r="J7224" s="243">
        <v>39</v>
      </c>
      <c r="K7224" s="243">
        <v>42</v>
      </c>
      <c r="L7224" s="243">
        <v>33</v>
      </c>
      <c r="M7224" s="243">
        <v>32</v>
      </c>
      <c r="N7224" s="243">
        <v>44</v>
      </c>
      <c r="O7224" s="253">
        <v>43</v>
      </c>
    </row>
    <row r="7225" spans="1:15">
      <c r="A7225" s="242" t="s">
        <v>67</v>
      </c>
      <c r="B7225" s="43" t="s">
        <v>4</v>
      </c>
      <c r="C7225" s="15">
        <v>20</v>
      </c>
      <c r="D7225" s="244">
        <v>3</v>
      </c>
      <c r="E7225" s="244">
        <v>2</v>
      </c>
      <c r="F7225" s="244">
        <v>1</v>
      </c>
      <c r="G7225" s="244">
        <v>0</v>
      </c>
      <c r="H7225" s="244">
        <v>0</v>
      </c>
      <c r="I7225" s="244">
        <v>3</v>
      </c>
      <c r="J7225" s="244">
        <v>0</v>
      </c>
      <c r="K7225" s="244">
        <v>4</v>
      </c>
      <c r="L7225" s="244">
        <v>0</v>
      </c>
      <c r="M7225" s="244">
        <v>2</v>
      </c>
      <c r="N7225" s="244">
        <v>3</v>
      </c>
      <c r="O7225" s="254">
        <v>2</v>
      </c>
    </row>
    <row r="7226" spans="1:15">
      <c r="A7226" s="240" t="s">
        <v>67</v>
      </c>
      <c r="B7226" s="47" t="s">
        <v>5</v>
      </c>
      <c r="C7226" s="12">
        <v>0.0491400491400491</v>
      </c>
      <c r="D7226" s="241">
        <v>0.0545454545454545</v>
      </c>
      <c r="E7226" s="241">
        <v>0.08</v>
      </c>
      <c r="F7226" s="241">
        <v>0.0625</v>
      </c>
      <c r="G7226" s="241">
        <v>0</v>
      </c>
      <c r="H7226" s="241">
        <v>0</v>
      </c>
      <c r="I7226" s="241">
        <v>0.1</v>
      </c>
      <c r="J7226" s="241">
        <v>0</v>
      </c>
      <c r="K7226" s="241">
        <v>0.0952380952380952</v>
      </c>
      <c r="L7226" s="241">
        <v>0</v>
      </c>
      <c r="M7226" s="241">
        <v>0.0625</v>
      </c>
      <c r="N7226" s="241">
        <v>0.0681818181818182</v>
      </c>
      <c r="O7226" s="252">
        <v>0.0465116279069767</v>
      </c>
    </row>
    <row r="7227" spans="1:15">
      <c r="A7227" s="242" t="s">
        <v>67</v>
      </c>
      <c r="B7227" s="43" t="s">
        <v>6</v>
      </c>
      <c r="C7227" s="15">
        <v>3</v>
      </c>
      <c r="D7227" s="244">
        <v>0</v>
      </c>
      <c r="E7227" s="244">
        <v>0</v>
      </c>
      <c r="F7227" s="244">
        <v>0</v>
      </c>
      <c r="G7227" s="244">
        <v>0</v>
      </c>
      <c r="H7227" s="244">
        <v>0</v>
      </c>
      <c r="I7227" s="244">
        <v>0</v>
      </c>
      <c r="J7227" s="244">
        <v>0</v>
      </c>
      <c r="K7227" s="244">
        <v>1</v>
      </c>
      <c r="L7227" s="244">
        <v>1</v>
      </c>
      <c r="M7227" s="244">
        <v>0</v>
      </c>
      <c r="N7227" s="244">
        <v>0</v>
      </c>
      <c r="O7227" s="254">
        <v>1</v>
      </c>
    </row>
    <row r="7228" ht="14.25" spans="1:15">
      <c r="A7228" s="245" t="s">
        <v>67</v>
      </c>
      <c r="B7228" s="52" t="s">
        <v>64</v>
      </c>
      <c r="C7228" s="19">
        <v>0.15</v>
      </c>
      <c r="D7228" s="246">
        <v>0</v>
      </c>
      <c r="E7228" s="246">
        <v>0</v>
      </c>
      <c r="F7228" s="246">
        <v>0</v>
      </c>
      <c r="G7228" s="246">
        <v>0</v>
      </c>
      <c r="H7228" s="246">
        <v>0</v>
      </c>
      <c r="I7228" s="246">
        <v>0</v>
      </c>
      <c r="J7228" s="246">
        <v>0</v>
      </c>
      <c r="K7228" s="246">
        <v>0.25</v>
      </c>
      <c r="L7228" s="246">
        <v>0</v>
      </c>
      <c r="M7228" s="246">
        <v>0</v>
      </c>
      <c r="N7228" s="246">
        <v>0</v>
      </c>
      <c r="O7228" s="255">
        <v>0.5</v>
      </c>
    </row>
    <row r="7229" spans="1:15">
      <c r="A7229" s="240" t="s">
        <v>68</v>
      </c>
      <c r="B7229" s="47" t="s">
        <v>55</v>
      </c>
      <c r="C7229" s="12">
        <v>0.128186628186628</v>
      </c>
      <c r="D7229" s="241">
        <v>0.185929648241206</v>
      </c>
      <c r="E7229" s="241">
        <v>0.158536585365854</v>
      </c>
      <c r="F7229" s="241">
        <v>0.164705882352941</v>
      </c>
      <c r="G7229" s="241">
        <v>0.192307692307692</v>
      </c>
      <c r="H7229" s="241">
        <v>0.168789808917197</v>
      </c>
      <c r="I7229" s="241">
        <v>0.111688311688312</v>
      </c>
      <c r="J7229" s="241">
        <v>0.116710875331565</v>
      </c>
      <c r="K7229" s="241">
        <v>0.0725274725274725</v>
      </c>
      <c r="L7229" s="241">
        <v>0.0932400932400932</v>
      </c>
      <c r="M7229" s="241">
        <v>0.115168539325843</v>
      </c>
      <c r="N7229" s="241">
        <v>0.115812917594655</v>
      </c>
      <c r="O7229" s="252">
        <v>0.132387706855792</v>
      </c>
    </row>
    <row r="7230" spans="1:15">
      <c r="A7230" s="242" t="s">
        <v>68</v>
      </c>
      <c r="B7230" s="43" t="s">
        <v>57</v>
      </c>
      <c r="C7230" s="15">
        <v>4158</v>
      </c>
      <c r="D7230" s="243">
        <v>398</v>
      </c>
      <c r="E7230" s="243">
        <v>246</v>
      </c>
      <c r="F7230" s="243">
        <v>170</v>
      </c>
      <c r="G7230" s="243">
        <v>156</v>
      </c>
      <c r="H7230" s="243">
        <v>314</v>
      </c>
      <c r="I7230" s="243">
        <v>385</v>
      </c>
      <c r="J7230" s="243">
        <v>377</v>
      </c>
      <c r="K7230" s="243">
        <v>455</v>
      </c>
      <c r="L7230" s="243">
        <v>429</v>
      </c>
      <c r="M7230" s="243">
        <v>356</v>
      </c>
      <c r="N7230" s="243">
        <v>449</v>
      </c>
      <c r="O7230" s="253">
        <v>423</v>
      </c>
    </row>
    <row r="7231" spans="1:15">
      <c r="A7231" s="240" t="s">
        <v>68</v>
      </c>
      <c r="B7231" s="47" t="s">
        <v>59</v>
      </c>
      <c r="C7231" s="15">
        <v>533</v>
      </c>
      <c r="D7231" s="243">
        <v>74</v>
      </c>
      <c r="E7231" s="243">
        <v>39</v>
      </c>
      <c r="F7231" s="243">
        <v>28</v>
      </c>
      <c r="G7231" s="243">
        <v>30</v>
      </c>
      <c r="H7231" s="243">
        <v>53</v>
      </c>
      <c r="I7231" s="243">
        <v>43</v>
      </c>
      <c r="J7231" s="243">
        <v>44</v>
      </c>
      <c r="K7231" s="243">
        <v>33</v>
      </c>
      <c r="L7231" s="243">
        <v>40</v>
      </c>
      <c r="M7231" s="243">
        <v>41</v>
      </c>
      <c r="N7231" s="243">
        <v>52</v>
      </c>
      <c r="O7231" s="253">
        <v>56</v>
      </c>
    </row>
    <row r="7232" spans="1:15">
      <c r="A7232" s="242" t="s">
        <v>68</v>
      </c>
      <c r="B7232" s="43" t="s">
        <v>4</v>
      </c>
      <c r="C7232" s="15">
        <v>45</v>
      </c>
      <c r="D7232" s="244">
        <v>12</v>
      </c>
      <c r="E7232" s="244">
        <v>4</v>
      </c>
      <c r="F7232" s="244">
        <v>4</v>
      </c>
      <c r="G7232" s="244">
        <v>1</v>
      </c>
      <c r="H7232" s="244">
        <v>4</v>
      </c>
      <c r="I7232" s="244">
        <v>2</v>
      </c>
      <c r="J7232" s="244">
        <v>2</v>
      </c>
      <c r="K7232" s="244">
        <v>4</v>
      </c>
      <c r="L7232" s="244">
        <v>3</v>
      </c>
      <c r="M7232" s="244">
        <v>1</v>
      </c>
      <c r="N7232" s="244">
        <v>3</v>
      </c>
      <c r="O7232" s="254">
        <v>5</v>
      </c>
    </row>
    <row r="7233" spans="1:15">
      <c r="A7233" s="240" t="s">
        <v>68</v>
      </c>
      <c r="B7233" s="47" t="s">
        <v>5</v>
      </c>
      <c r="C7233" s="12">
        <v>0.0844277673545966</v>
      </c>
      <c r="D7233" s="241">
        <v>0.162162162162162</v>
      </c>
      <c r="E7233" s="241">
        <v>0.102564102564103</v>
      </c>
      <c r="F7233" s="241">
        <v>0.142857142857143</v>
      </c>
      <c r="G7233" s="241">
        <v>0.0333333333333333</v>
      </c>
      <c r="H7233" s="241">
        <v>0.0754716981132075</v>
      </c>
      <c r="I7233" s="241">
        <v>0.0465116279069767</v>
      </c>
      <c r="J7233" s="241">
        <v>0.0454545454545455</v>
      </c>
      <c r="K7233" s="241">
        <v>0.121212121212121</v>
      </c>
      <c r="L7233" s="241">
        <v>0.075</v>
      </c>
      <c r="M7233" s="241">
        <v>0.024390243902439</v>
      </c>
      <c r="N7233" s="241">
        <v>0.0576923076923077</v>
      </c>
      <c r="O7233" s="252">
        <v>0.0892857142857143</v>
      </c>
    </row>
    <row r="7234" spans="1:15">
      <c r="A7234" s="242" t="s">
        <v>68</v>
      </c>
      <c r="B7234" s="43" t="s">
        <v>6</v>
      </c>
      <c r="C7234" s="15">
        <v>19</v>
      </c>
      <c r="D7234" s="244">
        <v>3</v>
      </c>
      <c r="E7234" s="244">
        <v>1</v>
      </c>
      <c r="F7234" s="244">
        <v>0</v>
      </c>
      <c r="G7234" s="244">
        <v>1</v>
      </c>
      <c r="H7234" s="244">
        <v>0</v>
      </c>
      <c r="I7234" s="244">
        <v>2</v>
      </c>
      <c r="J7234" s="244">
        <v>2</v>
      </c>
      <c r="K7234" s="244">
        <v>1</v>
      </c>
      <c r="L7234" s="244">
        <v>0</v>
      </c>
      <c r="M7234" s="244">
        <v>2</v>
      </c>
      <c r="N7234" s="244">
        <v>2</v>
      </c>
      <c r="O7234" s="254">
        <v>5</v>
      </c>
    </row>
    <row r="7235" ht="14.25" spans="1:15">
      <c r="A7235" s="245" t="s">
        <v>68</v>
      </c>
      <c r="B7235" s="52" t="s">
        <v>64</v>
      </c>
      <c r="C7235" s="19">
        <v>0.422222222222222</v>
      </c>
      <c r="D7235" s="246">
        <v>0.25</v>
      </c>
      <c r="E7235" s="246">
        <v>0.25</v>
      </c>
      <c r="F7235" s="246">
        <v>0</v>
      </c>
      <c r="G7235" s="246">
        <v>1</v>
      </c>
      <c r="H7235" s="246">
        <v>0</v>
      </c>
      <c r="I7235" s="246">
        <v>1</v>
      </c>
      <c r="J7235" s="246">
        <v>1</v>
      </c>
      <c r="K7235" s="246">
        <v>0.25</v>
      </c>
      <c r="L7235" s="246">
        <v>0</v>
      </c>
      <c r="M7235" s="246">
        <v>2</v>
      </c>
      <c r="N7235" s="246">
        <v>0.666666666666667</v>
      </c>
      <c r="O7235" s="255">
        <v>1</v>
      </c>
    </row>
    <row r="7236" spans="1:15">
      <c r="A7236" s="240" t="s">
        <v>69</v>
      </c>
      <c r="B7236" s="47" t="s">
        <v>55</v>
      </c>
      <c r="C7236" s="12">
        <v>1.33023255813953</v>
      </c>
      <c r="D7236" s="241">
        <v>1.4</v>
      </c>
      <c r="E7236" s="241">
        <v>1.375</v>
      </c>
      <c r="F7236" s="241">
        <v>1.44444444444444</v>
      </c>
      <c r="G7236" s="241">
        <v>1.11111111111111</v>
      </c>
      <c r="H7236" s="241">
        <v>1.8</v>
      </c>
      <c r="I7236" s="241">
        <v>1.22222222222222</v>
      </c>
      <c r="J7236" s="241">
        <v>1.57142857142857</v>
      </c>
      <c r="K7236" s="241">
        <v>1.4</v>
      </c>
      <c r="L7236" s="241">
        <v>1.47058823529412</v>
      </c>
      <c r="M7236" s="241">
        <v>1.23076923076923</v>
      </c>
      <c r="N7236" s="241">
        <v>0.95</v>
      </c>
      <c r="O7236" s="252">
        <v>1.17241379310345</v>
      </c>
    </row>
    <row r="7237" spans="1:15">
      <c r="A7237" s="242" t="s">
        <v>69</v>
      </c>
      <c r="B7237" s="43" t="s">
        <v>57</v>
      </c>
      <c r="C7237" s="15">
        <v>215</v>
      </c>
      <c r="D7237" s="243">
        <v>20</v>
      </c>
      <c r="E7237" s="243">
        <v>16</v>
      </c>
      <c r="F7237" s="243">
        <v>9</v>
      </c>
      <c r="G7237" s="243">
        <v>9</v>
      </c>
      <c r="H7237" s="243">
        <v>15</v>
      </c>
      <c r="I7237" s="243">
        <v>18</v>
      </c>
      <c r="J7237" s="243">
        <v>21</v>
      </c>
      <c r="K7237" s="243">
        <v>15</v>
      </c>
      <c r="L7237" s="243">
        <v>17</v>
      </c>
      <c r="M7237" s="243">
        <v>26</v>
      </c>
      <c r="N7237" s="243">
        <v>20</v>
      </c>
      <c r="O7237" s="253">
        <v>29</v>
      </c>
    </row>
    <row r="7238" spans="1:15">
      <c r="A7238" s="240" t="s">
        <v>69</v>
      </c>
      <c r="B7238" s="47" t="s">
        <v>59</v>
      </c>
      <c r="C7238" s="15">
        <v>286</v>
      </c>
      <c r="D7238" s="243">
        <v>28</v>
      </c>
      <c r="E7238" s="243">
        <v>22</v>
      </c>
      <c r="F7238" s="243">
        <v>13</v>
      </c>
      <c r="G7238" s="243">
        <v>10</v>
      </c>
      <c r="H7238" s="243">
        <v>27</v>
      </c>
      <c r="I7238" s="243">
        <v>22</v>
      </c>
      <c r="J7238" s="243">
        <v>33</v>
      </c>
      <c r="K7238" s="243">
        <v>21</v>
      </c>
      <c r="L7238" s="243">
        <v>25</v>
      </c>
      <c r="M7238" s="243">
        <v>32</v>
      </c>
      <c r="N7238" s="243">
        <v>19</v>
      </c>
      <c r="O7238" s="253">
        <v>34</v>
      </c>
    </row>
    <row r="7239" spans="1:15">
      <c r="A7239" s="242" t="s">
        <v>69</v>
      </c>
      <c r="B7239" s="43" t="s">
        <v>4</v>
      </c>
      <c r="C7239" s="15">
        <v>4</v>
      </c>
      <c r="D7239" s="244">
        <v>0</v>
      </c>
      <c r="E7239" s="244">
        <v>1</v>
      </c>
      <c r="F7239" s="244">
        <v>1</v>
      </c>
      <c r="G7239" s="244">
        <v>0</v>
      </c>
      <c r="H7239" s="244">
        <v>1</v>
      </c>
      <c r="I7239" s="244">
        <v>1</v>
      </c>
      <c r="J7239" s="244">
        <v>0</v>
      </c>
      <c r="K7239" s="244">
        <v>0</v>
      </c>
      <c r="L7239" s="244">
        <v>0</v>
      </c>
      <c r="M7239" s="244">
        <v>0</v>
      </c>
      <c r="N7239" s="244">
        <v>0</v>
      </c>
      <c r="O7239" s="254">
        <v>0</v>
      </c>
    </row>
    <row r="7240" spans="1:15">
      <c r="A7240" s="240" t="s">
        <v>69</v>
      </c>
      <c r="B7240" s="47" t="s">
        <v>5</v>
      </c>
      <c r="C7240" s="12">
        <v>0.013986013986014</v>
      </c>
      <c r="D7240" s="241">
        <v>0</v>
      </c>
      <c r="E7240" s="241">
        <v>0.0454545454545455</v>
      </c>
      <c r="F7240" s="241">
        <v>0.0769230769230769</v>
      </c>
      <c r="G7240" s="241">
        <v>0</v>
      </c>
      <c r="H7240" s="241">
        <v>0.037037037037037</v>
      </c>
      <c r="I7240" s="241">
        <v>0.0454545454545455</v>
      </c>
      <c r="J7240" s="241">
        <v>0</v>
      </c>
      <c r="K7240" s="241">
        <v>0</v>
      </c>
      <c r="L7240" s="241">
        <v>0</v>
      </c>
      <c r="M7240" s="241">
        <v>0</v>
      </c>
      <c r="N7240" s="241">
        <v>0</v>
      </c>
      <c r="O7240" s="252">
        <v>0</v>
      </c>
    </row>
    <row r="7241" spans="1:15">
      <c r="A7241" s="242" t="s">
        <v>69</v>
      </c>
      <c r="B7241" s="43" t="s">
        <v>6</v>
      </c>
      <c r="C7241" s="15">
        <v>1</v>
      </c>
      <c r="D7241" s="244">
        <v>0</v>
      </c>
      <c r="E7241" s="244">
        <v>0</v>
      </c>
      <c r="F7241" s="244">
        <v>0</v>
      </c>
      <c r="G7241" s="244">
        <v>0</v>
      </c>
      <c r="H7241" s="244">
        <v>1</v>
      </c>
      <c r="I7241" s="244">
        <v>0</v>
      </c>
      <c r="J7241" s="244">
        <v>0</v>
      </c>
      <c r="K7241" s="244">
        <v>0</v>
      </c>
      <c r="L7241" s="244">
        <v>0</v>
      </c>
      <c r="M7241" s="244">
        <v>0</v>
      </c>
      <c r="N7241" s="244">
        <v>0</v>
      </c>
      <c r="O7241" s="254">
        <v>0</v>
      </c>
    </row>
    <row r="7242" ht="14.25" spans="1:15">
      <c r="A7242" s="245" t="s">
        <v>69</v>
      </c>
      <c r="B7242" s="52" t="s">
        <v>64</v>
      </c>
      <c r="C7242" s="19">
        <v>0.25</v>
      </c>
      <c r="D7242" s="246">
        <v>0</v>
      </c>
      <c r="E7242" s="246">
        <v>0</v>
      </c>
      <c r="F7242" s="246">
        <v>0</v>
      </c>
      <c r="G7242" s="246">
        <v>0</v>
      </c>
      <c r="H7242" s="246">
        <v>1</v>
      </c>
      <c r="I7242" s="246">
        <v>0</v>
      </c>
      <c r="J7242" s="246">
        <v>0</v>
      </c>
      <c r="K7242" s="246">
        <v>0</v>
      </c>
      <c r="L7242" s="246">
        <v>0</v>
      </c>
      <c r="M7242" s="246">
        <v>0</v>
      </c>
      <c r="N7242" s="246">
        <v>0</v>
      </c>
      <c r="O7242" s="255">
        <v>0</v>
      </c>
    </row>
    <row r="7243" spans="1:15">
      <c r="A7243" s="240" t="s">
        <v>70</v>
      </c>
      <c r="B7243" s="47" t="s">
        <v>55</v>
      </c>
      <c r="C7243" s="12">
        <v>0.85297845373891</v>
      </c>
      <c r="D7243" s="241">
        <v>0.928571428571429</v>
      </c>
      <c r="E7243" s="241">
        <v>0.95</v>
      </c>
      <c r="F7243" s="241">
        <v>1.10526315789474</v>
      </c>
      <c r="G7243" s="241">
        <v>0.88</v>
      </c>
      <c r="H7243" s="241">
        <v>0.859649122807018</v>
      </c>
      <c r="I7243" s="241">
        <v>0.892857142857143</v>
      </c>
      <c r="J7243" s="241">
        <v>0.972602739726027</v>
      </c>
      <c r="K7243" s="241">
        <v>0.806451612903226</v>
      </c>
      <c r="L7243" s="241">
        <v>0.650602409638554</v>
      </c>
      <c r="M7243" s="241">
        <v>0.820224719101124</v>
      </c>
      <c r="N7243" s="241">
        <v>0.958333333333333</v>
      </c>
      <c r="O7243" s="252">
        <v>0.755102040816326</v>
      </c>
    </row>
    <row r="7244" spans="1:15">
      <c r="A7244" s="242" t="s">
        <v>70</v>
      </c>
      <c r="B7244" s="43" t="s">
        <v>57</v>
      </c>
      <c r="C7244" s="15">
        <v>789</v>
      </c>
      <c r="D7244" s="243">
        <v>56</v>
      </c>
      <c r="E7244" s="243">
        <v>40</v>
      </c>
      <c r="F7244" s="243">
        <v>19</v>
      </c>
      <c r="G7244" s="243">
        <v>25</v>
      </c>
      <c r="H7244" s="243">
        <v>57</v>
      </c>
      <c r="I7244" s="243">
        <v>84</v>
      </c>
      <c r="J7244" s="243">
        <v>73</v>
      </c>
      <c r="K7244" s="243">
        <v>93</v>
      </c>
      <c r="L7244" s="243">
        <v>83</v>
      </c>
      <c r="M7244" s="243">
        <v>89</v>
      </c>
      <c r="N7244" s="243">
        <v>72</v>
      </c>
      <c r="O7244" s="253">
        <v>98</v>
      </c>
    </row>
    <row r="7245" spans="1:15">
      <c r="A7245" s="240" t="s">
        <v>70</v>
      </c>
      <c r="B7245" s="47" t="s">
        <v>59</v>
      </c>
      <c r="C7245" s="15">
        <v>673</v>
      </c>
      <c r="D7245" s="243">
        <v>52</v>
      </c>
      <c r="E7245" s="243">
        <v>38</v>
      </c>
      <c r="F7245" s="243">
        <v>21</v>
      </c>
      <c r="G7245" s="243">
        <v>22</v>
      </c>
      <c r="H7245" s="243">
        <v>49</v>
      </c>
      <c r="I7245" s="243">
        <v>75</v>
      </c>
      <c r="J7245" s="243">
        <v>71</v>
      </c>
      <c r="K7245" s="243">
        <v>75</v>
      </c>
      <c r="L7245" s="243">
        <v>54</v>
      </c>
      <c r="M7245" s="243">
        <v>73</v>
      </c>
      <c r="N7245" s="243">
        <v>69</v>
      </c>
      <c r="O7245" s="253">
        <v>74</v>
      </c>
    </row>
    <row r="7246" spans="1:15">
      <c r="A7246" s="242" t="s">
        <v>70</v>
      </c>
      <c r="B7246" s="43" t="s">
        <v>4</v>
      </c>
      <c r="C7246" s="15">
        <v>13</v>
      </c>
      <c r="D7246" s="244">
        <v>1</v>
      </c>
      <c r="E7246" s="244">
        <v>1</v>
      </c>
      <c r="F7246" s="244">
        <v>1</v>
      </c>
      <c r="G7246" s="244">
        <v>0</v>
      </c>
      <c r="H7246" s="244">
        <v>0</v>
      </c>
      <c r="I7246" s="244">
        <v>2</v>
      </c>
      <c r="J7246" s="244">
        <v>0</v>
      </c>
      <c r="K7246" s="244">
        <v>1</v>
      </c>
      <c r="L7246" s="244">
        <v>1</v>
      </c>
      <c r="M7246" s="244">
        <v>2</v>
      </c>
      <c r="N7246" s="244">
        <v>1</v>
      </c>
      <c r="O7246" s="254">
        <v>3</v>
      </c>
    </row>
    <row r="7247" spans="1:15">
      <c r="A7247" s="240" t="s">
        <v>70</v>
      </c>
      <c r="B7247" s="47" t="s">
        <v>5</v>
      </c>
      <c r="C7247" s="12">
        <v>0.0193164933135215</v>
      </c>
      <c r="D7247" s="241">
        <v>0.0192307692307692</v>
      </c>
      <c r="E7247" s="241">
        <v>0.0263157894736842</v>
      </c>
      <c r="F7247" s="241">
        <v>0.0476190476190476</v>
      </c>
      <c r="G7247" s="241">
        <v>0</v>
      </c>
      <c r="H7247" s="241">
        <v>0</v>
      </c>
      <c r="I7247" s="241">
        <v>0.0266666666666667</v>
      </c>
      <c r="J7247" s="241">
        <v>0</v>
      </c>
      <c r="K7247" s="241">
        <v>0.0133333333333333</v>
      </c>
      <c r="L7247" s="241">
        <v>0.0185185185185185</v>
      </c>
      <c r="M7247" s="241">
        <v>0.0273972602739726</v>
      </c>
      <c r="N7247" s="241">
        <v>0.0144927536231884</v>
      </c>
      <c r="O7247" s="252">
        <v>0.0405405405405405</v>
      </c>
    </row>
    <row r="7248" spans="1:15">
      <c r="A7248" s="242" t="s">
        <v>70</v>
      </c>
      <c r="B7248" s="43" t="s">
        <v>6</v>
      </c>
      <c r="C7248" s="15">
        <v>5</v>
      </c>
      <c r="D7248" s="244">
        <v>0</v>
      </c>
      <c r="E7248" s="244">
        <v>0</v>
      </c>
      <c r="F7248" s="244">
        <v>0</v>
      </c>
      <c r="G7248" s="244">
        <v>1</v>
      </c>
      <c r="H7248" s="244">
        <v>0</v>
      </c>
      <c r="I7248" s="244">
        <v>0</v>
      </c>
      <c r="J7248" s="244">
        <v>0</v>
      </c>
      <c r="K7248" s="244">
        <v>0</v>
      </c>
      <c r="L7248" s="244">
        <v>1</v>
      </c>
      <c r="M7248" s="244">
        <v>1</v>
      </c>
      <c r="N7248" s="244">
        <v>1</v>
      </c>
      <c r="O7248" s="254">
        <v>1</v>
      </c>
    </row>
    <row r="7249" ht="14.25" spans="1:15">
      <c r="A7249" s="245" t="s">
        <v>70</v>
      </c>
      <c r="B7249" s="52" t="s">
        <v>64</v>
      </c>
      <c r="C7249" s="19">
        <v>0.384615384615385</v>
      </c>
      <c r="D7249" s="246">
        <v>0</v>
      </c>
      <c r="E7249" s="246">
        <v>0</v>
      </c>
      <c r="F7249" s="246">
        <v>0</v>
      </c>
      <c r="G7249" s="246">
        <v>0</v>
      </c>
      <c r="H7249" s="246">
        <v>0</v>
      </c>
      <c r="I7249" s="246">
        <v>0</v>
      </c>
      <c r="J7249" s="246">
        <v>0</v>
      </c>
      <c r="K7249" s="246">
        <v>0</v>
      </c>
      <c r="L7249" s="246">
        <v>1</v>
      </c>
      <c r="M7249" s="246">
        <v>0.5</v>
      </c>
      <c r="N7249" s="246">
        <v>1</v>
      </c>
      <c r="O7249" s="255">
        <v>0.333333333333333</v>
      </c>
    </row>
    <row r="7250" spans="1:15">
      <c r="A7250" s="240" t="s">
        <v>26</v>
      </c>
      <c r="B7250" s="47" t="s">
        <v>55</v>
      </c>
      <c r="C7250" s="12">
        <v>0.970936490850377</v>
      </c>
      <c r="D7250" s="241">
        <v>1.11797752808989</v>
      </c>
      <c r="E7250" s="241">
        <v>0.971428571428571</v>
      </c>
      <c r="F7250" s="241">
        <v>0.836538461538462</v>
      </c>
      <c r="G7250" s="241">
        <v>1.13698630136986</v>
      </c>
      <c r="H7250" s="241">
        <v>1.11904761904762</v>
      </c>
      <c r="I7250" s="241">
        <v>1.03067484662577</v>
      </c>
      <c r="J7250" s="241">
        <v>0.932203389830508</v>
      </c>
      <c r="K7250" s="241">
        <v>0.971264367816092</v>
      </c>
      <c r="L7250" s="241">
        <v>0.945355191256831</v>
      </c>
      <c r="M7250" s="241">
        <v>0.905555555555556</v>
      </c>
      <c r="N7250" s="241">
        <v>0.922651933701657</v>
      </c>
      <c r="O7250" s="252">
        <v>0.873831775700935</v>
      </c>
    </row>
    <row r="7251" spans="1:15">
      <c r="A7251" s="242" t="s">
        <v>26</v>
      </c>
      <c r="B7251" s="43" t="s">
        <v>57</v>
      </c>
      <c r="C7251" s="15">
        <v>1858</v>
      </c>
      <c r="D7251" s="243">
        <v>178</v>
      </c>
      <c r="E7251" s="243">
        <v>105</v>
      </c>
      <c r="F7251" s="243">
        <v>104</v>
      </c>
      <c r="G7251" s="243">
        <v>73</v>
      </c>
      <c r="H7251" s="243">
        <v>126</v>
      </c>
      <c r="I7251" s="243">
        <v>163</v>
      </c>
      <c r="J7251" s="243">
        <v>177</v>
      </c>
      <c r="K7251" s="243">
        <v>174</v>
      </c>
      <c r="L7251" s="243">
        <v>183</v>
      </c>
      <c r="M7251" s="243">
        <v>180</v>
      </c>
      <c r="N7251" s="243">
        <v>181</v>
      </c>
      <c r="O7251" s="253">
        <v>214</v>
      </c>
    </row>
    <row r="7252" spans="1:15">
      <c r="A7252" s="240" t="s">
        <v>26</v>
      </c>
      <c r="B7252" s="47" t="s">
        <v>59</v>
      </c>
      <c r="C7252" s="15">
        <v>1804</v>
      </c>
      <c r="D7252" s="243">
        <v>199</v>
      </c>
      <c r="E7252" s="243">
        <v>102</v>
      </c>
      <c r="F7252" s="243">
        <v>87</v>
      </c>
      <c r="G7252" s="243">
        <v>83</v>
      </c>
      <c r="H7252" s="243">
        <v>141</v>
      </c>
      <c r="I7252" s="243">
        <v>168</v>
      </c>
      <c r="J7252" s="243">
        <v>165</v>
      </c>
      <c r="K7252" s="243">
        <v>169</v>
      </c>
      <c r="L7252" s="243">
        <v>173</v>
      </c>
      <c r="M7252" s="243">
        <v>163</v>
      </c>
      <c r="N7252" s="243">
        <v>167</v>
      </c>
      <c r="O7252" s="253">
        <v>187</v>
      </c>
    </row>
    <row r="7253" spans="1:15">
      <c r="A7253" s="242" t="s">
        <v>26</v>
      </c>
      <c r="B7253" s="43" t="s">
        <v>4</v>
      </c>
      <c r="C7253" s="15">
        <v>29</v>
      </c>
      <c r="D7253" s="244">
        <v>4</v>
      </c>
      <c r="E7253" s="244">
        <v>3</v>
      </c>
      <c r="F7253" s="244">
        <v>1</v>
      </c>
      <c r="G7253" s="244">
        <v>1</v>
      </c>
      <c r="H7253" s="244">
        <v>5</v>
      </c>
      <c r="I7253" s="244">
        <v>0</v>
      </c>
      <c r="J7253" s="244">
        <v>0</v>
      </c>
      <c r="K7253" s="244">
        <v>5</v>
      </c>
      <c r="L7253" s="244">
        <v>4</v>
      </c>
      <c r="M7253" s="244">
        <v>1</v>
      </c>
      <c r="N7253" s="244">
        <v>2</v>
      </c>
      <c r="O7253" s="254">
        <v>3</v>
      </c>
    </row>
    <row r="7254" spans="1:15">
      <c r="A7254" s="240" t="s">
        <v>26</v>
      </c>
      <c r="B7254" s="47" t="s">
        <v>5</v>
      </c>
      <c r="C7254" s="12">
        <v>0.0160753880266075</v>
      </c>
      <c r="D7254" s="241">
        <v>0.0201005025125628</v>
      </c>
      <c r="E7254" s="241">
        <v>0.0294117647058824</v>
      </c>
      <c r="F7254" s="241">
        <v>0.0114942528735632</v>
      </c>
      <c r="G7254" s="241">
        <v>0.0120481927710843</v>
      </c>
      <c r="H7254" s="241">
        <v>0.0354609929078014</v>
      </c>
      <c r="I7254" s="241">
        <v>0</v>
      </c>
      <c r="J7254" s="241">
        <v>0</v>
      </c>
      <c r="K7254" s="241">
        <v>0.029585798816568</v>
      </c>
      <c r="L7254" s="241">
        <v>0.023121387283237</v>
      </c>
      <c r="M7254" s="241">
        <v>0.00613496932515337</v>
      </c>
      <c r="N7254" s="241">
        <v>0.0119760479041916</v>
      </c>
      <c r="O7254" s="252">
        <v>0.0160427807486631</v>
      </c>
    </row>
    <row r="7255" spans="1:15">
      <c r="A7255" s="242" t="s">
        <v>26</v>
      </c>
      <c r="B7255" s="43" t="s">
        <v>6</v>
      </c>
      <c r="C7255" s="15">
        <v>4</v>
      </c>
      <c r="D7255" s="244">
        <v>1</v>
      </c>
      <c r="E7255" s="244">
        <v>0</v>
      </c>
      <c r="F7255" s="244">
        <v>0</v>
      </c>
      <c r="G7255" s="244">
        <v>0</v>
      </c>
      <c r="H7255" s="244">
        <v>0</v>
      </c>
      <c r="I7255" s="244">
        <v>0</v>
      </c>
      <c r="J7255" s="244">
        <v>0</v>
      </c>
      <c r="K7255" s="244">
        <v>1</v>
      </c>
      <c r="L7255" s="244">
        <v>2</v>
      </c>
      <c r="M7255" s="244">
        <v>0</v>
      </c>
      <c r="N7255" s="244">
        <v>0</v>
      </c>
      <c r="O7255" s="254">
        <v>0</v>
      </c>
    </row>
    <row r="7256" ht="14.25" spans="1:15">
      <c r="A7256" s="245" t="s">
        <v>26</v>
      </c>
      <c r="B7256" s="52" t="s">
        <v>64</v>
      </c>
      <c r="C7256" s="19">
        <v>0.137931034482759</v>
      </c>
      <c r="D7256" s="19">
        <v>0.25</v>
      </c>
      <c r="E7256" s="19">
        <v>0</v>
      </c>
      <c r="F7256" s="19">
        <v>0</v>
      </c>
      <c r="G7256" s="19">
        <v>0</v>
      </c>
      <c r="H7256" s="19">
        <v>0</v>
      </c>
      <c r="I7256" s="19" t="e">
        <v>#DIV/0!</v>
      </c>
      <c r="J7256" s="19" t="e">
        <v>#DIV/0!</v>
      </c>
      <c r="K7256" s="19">
        <v>0.2</v>
      </c>
      <c r="L7256" s="19">
        <v>0.5</v>
      </c>
      <c r="M7256" s="19">
        <v>0</v>
      </c>
      <c r="N7256" s="19">
        <v>0</v>
      </c>
      <c r="O7256" s="19">
        <v>0</v>
      </c>
    </row>
    <row r="7257" spans="1:15">
      <c r="A7257" s="240" t="s">
        <v>71</v>
      </c>
      <c r="B7257" s="47" t="s">
        <v>55</v>
      </c>
      <c r="C7257" s="12">
        <v>0.233050847457627</v>
      </c>
      <c r="D7257" s="241">
        <v>0.283018867924528</v>
      </c>
      <c r="E7257" s="241">
        <v>0.192307692307692</v>
      </c>
      <c r="F7257" s="241">
        <v>0.3</v>
      </c>
      <c r="G7257" s="241">
        <v>0.304347826086957</v>
      </c>
      <c r="H7257" s="241">
        <v>1</v>
      </c>
      <c r="I7257" s="241">
        <v>0.206896551724138</v>
      </c>
      <c r="J7257" s="241">
        <v>0.157894736842105</v>
      </c>
      <c r="K7257" s="241">
        <v>0.137254901960784</v>
      </c>
      <c r="L7257" s="241">
        <v>0.232558139534884</v>
      </c>
      <c r="M7257" s="241">
        <v>0.0465116279069767</v>
      </c>
      <c r="N7257" s="241">
        <v>0.0930232558139535</v>
      </c>
      <c r="O7257" s="252">
        <v>0.25</v>
      </c>
    </row>
    <row r="7258" spans="1:15">
      <c r="A7258" s="242" t="s">
        <v>71</v>
      </c>
      <c r="B7258" s="43" t="s">
        <v>57</v>
      </c>
      <c r="C7258" s="15">
        <v>472</v>
      </c>
      <c r="D7258" s="243">
        <v>53</v>
      </c>
      <c r="E7258" s="243">
        <v>26</v>
      </c>
      <c r="F7258" s="243">
        <v>10</v>
      </c>
      <c r="G7258" s="243">
        <v>23</v>
      </c>
      <c r="H7258" s="243">
        <v>24</v>
      </c>
      <c r="I7258" s="243">
        <v>58</v>
      </c>
      <c r="J7258" s="243">
        <v>38</v>
      </c>
      <c r="K7258" s="243">
        <v>51</v>
      </c>
      <c r="L7258" s="243">
        <v>43</v>
      </c>
      <c r="M7258" s="243">
        <v>43</v>
      </c>
      <c r="N7258" s="243">
        <v>43</v>
      </c>
      <c r="O7258" s="253">
        <v>60</v>
      </c>
    </row>
    <row r="7259" spans="1:15">
      <c r="A7259" s="240" t="s">
        <v>71</v>
      </c>
      <c r="B7259" s="47" t="s">
        <v>59</v>
      </c>
      <c r="C7259" s="15">
        <v>110</v>
      </c>
      <c r="D7259" s="243">
        <v>15</v>
      </c>
      <c r="E7259" s="243">
        <v>5</v>
      </c>
      <c r="F7259" s="243">
        <v>3</v>
      </c>
      <c r="G7259" s="243">
        <v>7</v>
      </c>
      <c r="H7259" s="243">
        <v>24</v>
      </c>
      <c r="I7259" s="243">
        <v>12</v>
      </c>
      <c r="J7259" s="243">
        <v>6</v>
      </c>
      <c r="K7259" s="243">
        <v>7</v>
      </c>
      <c r="L7259" s="243">
        <v>10</v>
      </c>
      <c r="M7259" s="243">
        <v>2</v>
      </c>
      <c r="N7259" s="243">
        <v>4</v>
      </c>
      <c r="O7259" s="253">
        <v>15</v>
      </c>
    </row>
    <row r="7260" spans="1:15">
      <c r="A7260" s="242" t="s">
        <v>71</v>
      </c>
      <c r="B7260" s="43" t="s">
        <v>4</v>
      </c>
      <c r="C7260" s="15">
        <v>23</v>
      </c>
      <c r="D7260" s="244">
        <v>2</v>
      </c>
      <c r="E7260" s="244">
        <v>2</v>
      </c>
      <c r="F7260" s="244">
        <v>1</v>
      </c>
      <c r="G7260" s="244">
        <v>0</v>
      </c>
      <c r="H7260" s="244">
        <v>5</v>
      </c>
      <c r="I7260" s="244">
        <v>2</v>
      </c>
      <c r="J7260" s="244">
        <v>2</v>
      </c>
      <c r="K7260" s="244">
        <v>2</v>
      </c>
      <c r="L7260" s="244">
        <v>2</v>
      </c>
      <c r="M7260" s="244">
        <v>0</v>
      </c>
      <c r="N7260" s="244">
        <v>3</v>
      </c>
      <c r="O7260" s="254">
        <v>2</v>
      </c>
    </row>
    <row r="7261" spans="1:15">
      <c r="A7261" s="240" t="s">
        <v>71</v>
      </c>
      <c r="B7261" s="47" t="s">
        <v>5</v>
      </c>
      <c r="C7261" s="241">
        <v>0.209090909090909</v>
      </c>
      <c r="D7261" s="241">
        <v>0.133333333333333</v>
      </c>
      <c r="E7261" s="241">
        <v>0.4</v>
      </c>
      <c r="F7261" s="241">
        <v>0.333333333333333</v>
      </c>
      <c r="G7261" s="241">
        <v>0</v>
      </c>
      <c r="H7261" s="241">
        <v>0.208333333333333</v>
      </c>
      <c r="I7261" s="241">
        <v>0.166666666666667</v>
      </c>
      <c r="J7261" s="241">
        <v>0.333333333333333</v>
      </c>
      <c r="K7261" s="241">
        <v>0.285714285714286</v>
      </c>
      <c r="L7261" s="241">
        <v>0.2</v>
      </c>
      <c r="M7261" s="241">
        <v>0</v>
      </c>
      <c r="N7261" s="241">
        <v>0.75</v>
      </c>
      <c r="O7261" s="252">
        <v>0.133333333333333</v>
      </c>
    </row>
    <row r="7262" spans="1:15">
      <c r="A7262" s="242" t="s">
        <v>71</v>
      </c>
      <c r="B7262" s="43" t="s">
        <v>6</v>
      </c>
      <c r="C7262" s="15">
        <v>3</v>
      </c>
      <c r="D7262" s="244">
        <v>2</v>
      </c>
      <c r="E7262" s="244">
        <v>0</v>
      </c>
      <c r="F7262" s="244">
        <v>0</v>
      </c>
      <c r="G7262" s="244">
        <v>0</v>
      </c>
      <c r="H7262" s="244">
        <v>0</v>
      </c>
      <c r="I7262" s="244">
        <v>1</v>
      </c>
      <c r="J7262" s="244">
        <v>0</v>
      </c>
      <c r="K7262" s="244">
        <v>0</v>
      </c>
      <c r="L7262" s="244">
        <v>0</v>
      </c>
      <c r="M7262" s="244">
        <v>0</v>
      </c>
      <c r="N7262" s="244">
        <v>0</v>
      </c>
      <c r="O7262" s="254">
        <v>0</v>
      </c>
    </row>
    <row r="7263" ht="14.25" spans="1:15">
      <c r="A7263" s="245" t="s">
        <v>71</v>
      </c>
      <c r="B7263" s="52" t="s">
        <v>64</v>
      </c>
      <c r="C7263" s="19">
        <v>0.130434782608696</v>
      </c>
      <c r="D7263" s="19">
        <v>1</v>
      </c>
      <c r="E7263" s="19">
        <v>0</v>
      </c>
      <c r="F7263" s="19">
        <v>0</v>
      </c>
      <c r="G7263" s="19" t="e">
        <v>#DIV/0!</v>
      </c>
      <c r="H7263" s="19">
        <v>0</v>
      </c>
      <c r="I7263" s="19">
        <v>0.5</v>
      </c>
      <c r="J7263" s="19">
        <v>0</v>
      </c>
      <c r="K7263" s="19">
        <v>0</v>
      </c>
      <c r="L7263" s="19">
        <v>0</v>
      </c>
      <c r="M7263" s="19" t="e">
        <v>#DIV/0!</v>
      </c>
      <c r="N7263" s="19">
        <v>0</v>
      </c>
      <c r="O7263" s="19">
        <v>0</v>
      </c>
    </row>
    <row r="7264" spans="1:15">
      <c r="A7264" s="240" t="s">
        <v>72</v>
      </c>
      <c r="B7264" s="47" t="s">
        <v>55</v>
      </c>
      <c r="C7264" s="12">
        <v>0.0355623315841725</v>
      </c>
      <c r="D7264" s="241">
        <v>0.0411504424778761</v>
      </c>
      <c r="E7264" s="241">
        <v>0.0620756547041707</v>
      </c>
      <c r="F7264" s="241">
        <v>0.0436893203883495</v>
      </c>
      <c r="G7264" s="241">
        <v>0.0474978795589483</v>
      </c>
      <c r="H7264" s="241">
        <v>0.0375802016498625</v>
      </c>
      <c r="I7264" s="241">
        <v>0.0330985915492958</v>
      </c>
      <c r="J7264" s="241">
        <v>0.0327120578166603</v>
      </c>
      <c r="K7264" s="241">
        <v>0.0313852813852814</v>
      </c>
      <c r="L7264" s="241">
        <v>0.0295634238569955</v>
      </c>
      <c r="M7264" s="241">
        <v>0.037037037037037</v>
      </c>
      <c r="N7264" s="241">
        <v>0.0324675324675325</v>
      </c>
      <c r="O7264" s="252">
        <v>0.0309985096870343</v>
      </c>
    </row>
    <row r="7265" spans="1:15">
      <c r="A7265" s="242" t="s">
        <v>72</v>
      </c>
      <c r="B7265" s="43" t="s">
        <v>57</v>
      </c>
      <c r="C7265" s="15">
        <v>28204</v>
      </c>
      <c r="D7265" s="243">
        <v>2260</v>
      </c>
      <c r="E7265" s="243">
        <v>1031</v>
      </c>
      <c r="F7265" s="243">
        <v>824</v>
      </c>
      <c r="G7265" s="243">
        <v>1179</v>
      </c>
      <c r="H7265" s="243">
        <v>2182</v>
      </c>
      <c r="I7265" s="243">
        <v>2840</v>
      </c>
      <c r="J7265" s="243">
        <v>2629</v>
      </c>
      <c r="K7265" s="243">
        <v>2772</v>
      </c>
      <c r="L7265" s="243">
        <v>2909</v>
      </c>
      <c r="M7265" s="243">
        <v>2835</v>
      </c>
      <c r="N7265" s="243">
        <v>3388</v>
      </c>
      <c r="O7265" s="253">
        <v>3355</v>
      </c>
    </row>
    <row r="7266" spans="1:15">
      <c r="A7266" s="240" t="s">
        <v>72</v>
      </c>
      <c r="B7266" s="47" t="s">
        <v>59</v>
      </c>
      <c r="C7266" s="15">
        <v>1003</v>
      </c>
      <c r="D7266" s="243">
        <v>93</v>
      </c>
      <c r="E7266" s="243">
        <v>64</v>
      </c>
      <c r="F7266" s="243">
        <v>36</v>
      </c>
      <c r="G7266" s="243">
        <v>56</v>
      </c>
      <c r="H7266" s="243">
        <v>82</v>
      </c>
      <c r="I7266" s="243">
        <v>94</v>
      </c>
      <c r="J7266" s="243">
        <v>86</v>
      </c>
      <c r="K7266" s="243">
        <v>87</v>
      </c>
      <c r="L7266" s="243">
        <v>86</v>
      </c>
      <c r="M7266" s="243">
        <v>105</v>
      </c>
      <c r="N7266" s="243">
        <v>110</v>
      </c>
      <c r="O7266" s="253">
        <v>104</v>
      </c>
    </row>
    <row r="7267" spans="1:15">
      <c r="A7267" s="242" t="s">
        <v>72</v>
      </c>
      <c r="B7267" s="43" t="s">
        <v>4</v>
      </c>
      <c r="C7267" s="15">
        <v>51</v>
      </c>
      <c r="D7267" s="244">
        <v>8</v>
      </c>
      <c r="E7267" s="244">
        <v>3</v>
      </c>
      <c r="F7267" s="244">
        <v>1</v>
      </c>
      <c r="G7267" s="244">
        <v>3</v>
      </c>
      <c r="H7267" s="244">
        <v>1</v>
      </c>
      <c r="I7267" s="244">
        <v>6</v>
      </c>
      <c r="J7267" s="244">
        <v>6</v>
      </c>
      <c r="K7267" s="244">
        <v>7</v>
      </c>
      <c r="L7267" s="244">
        <v>2</v>
      </c>
      <c r="M7267" s="244">
        <v>2</v>
      </c>
      <c r="N7267" s="244">
        <v>7</v>
      </c>
      <c r="O7267" s="254">
        <v>5</v>
      </c>
    </row>
    <row r="7268" spans="1:15">
      <c r="A7268" s="240" t="s">
        <v>72</v>
      </c>
      <c r="B7268" s="47" t="s">
        <v>5</v>
      </c>
      <c r="C7268" s="12">
        <v>0.0508474576271186</v>
      </c>
      <c r="D7268" s="241">
        <v>0.0860215053763441</v>
      </c>
      <c r="E7268" s="241">
        <v>0.046875</v>
      </c>
      <c r="F7268" s="241">
        <v>0.0277777777777778</v>
      </c>
      <c r="G7268" s="241">
        <v>0.0535714285714286</v>
      </c>
      <c r="H7268" s="241">
        <v>0.0121951219512195</v>
      </c>
      <c r="I7268" s="241">
        <v>0.0638297872340425</v>
      </c>
      <c r="J7268" s="241">
        <v>0.0697674418604651</v>
      </c>
      <c r="K7268" s="241">
        <v>0.0804597701149425</v>
      </c>
      <c r="L7268" s="241">
        <v>0.0232558139534884</v>
      </c>
      <c r="M7268" s="241">
        <v>0.019047619047619</v>
      </c>
      <c r="N7268" s="241">
        <v>0.0636363636363636</v>
      </c>
      <c r="O7268" s="252">
        <v>0.0480769230769231</v>
      </c>
    </row>
    <row r="7269" spans="1:15">
      <c r="A7269" s="242" t="s">
        <v>72</v>
      </c>
      <c r="B7269" s="43" t="s">
        <v>6</v>
      </c>
      <c r="C7269" s="15">
        <v>21</v>
      </c>
      <c r="D7269" s="244">
        <v>4</v>
      </c>
      <c r="E7269" s="244">
        <v>1</v>
      </c>
      <c r="F7269" s="244">
        <v>0</v>
      </c>
      <c r="G7269" s="244">
        <v>1</v>
      </c>
      <c r="H7269" s="244">
        <v>0</v>
      </c>
      <c r="I7269" s="244">
        <v>3</v>
      </c>
      <c r="J7269" s="244">
        <v>0</v>
      </c>
      <c r="K7269" s="244">
        <v>1</v>
      </c>
      <c r="L7269" s="244">
        <v>2</v>
      </c>
      <c r="M7269" s="244">
        <v>1</v>
      </c>
      <c r="N7269" s="244">
        <v>4</v>
      </c>
      <c r="O7269" s="254">
        <v>4</v>
      </c>
    </row>
    <row r="7270" ht="14.25" spans="1:15">
      <c r="A7270" s="245" t="s">
        <v>72</v>
      </c>
      <c r="B7270" s="52" t="s">
        <v>64</v>
      </c>
      <c r="C7270" s="19">
        <v>0.411764705882353</v>
      </c>
      <c r="D7270" s="19">
        <v>0.5</v>
      </c>
      <c r="E7270" s="19">
        <v>0.333333333333333</v>
      </c>
      <c r="F7270" s="19">
        <v>0</v>
      </c>
      <c r="G7270" s="19">
        <v>0.333333333333333</v>
      </c>
      <c r="H7270" s="19">
        <v>0</v>
      </c>
      <c r="I7270" s="19">
        <v>0.5</v>
      </c>
      <c r="J7270" s="19">
        <v>0</v>
      </c>
      <c r="K7270" s="19">
        <v>0.142857142857143</v>
      </c>
      <c r="L7270" s="19">
        <v>1</v>
      </c>
      <c r="M7270" s="19">
        <v>0.5</v>
      </c>
      <c r="N7270" s="19">
        <v>0.571428571428571</v>
      </c>
      <c r="O7270" s="19">
        <v>0.8</v>
      </c>
    </row>
    <row r="7271" ht="14.25" spans="1:15">
      <c r="A7271" s="259">
        <v>45131</v>
      </c>
      <c r="B7271" s="259"/>
      <c r="C7271" s="259"/>
      <c r="D7271" s="259"/>
      <c r="E7271" s="259"/>
      <c r="F7271" s="259"/>
      <c r="G7271" s="259"/>
      <c r="H7271" s="259"/>
      <c r="I7271" s="259"/>
      <c r="J7271" s="259"/>
      <c r="K7271" s="259"/>
      <c r="L7271" s="259"/>
      <c r="M7271" s="259"/>
      <c r="N7271" s="259"/>
      <c r="O7271" s="259"/>
    </row>
    <row r="7272" spans="1:15">
      <c r="A7272" s="260" t="s">
        <v>1</v>
      </c>
      <c r="B7272" s="261"/>
      <c r="C7272" s="8" t="s">
        <v>42</v>
      </c>
      <c r="D7272" s="262" t="s">
        <v>43</v>
      </c>
      <c r="E7272" s="262" t="s">
        <v>44</v>
      </c>
      <c r="F7272" s="262" t="s">
        <v>45</v>
      </c>
      <c r="G7272" s="262" t="s">
        <v>46</v>
      </c>
      <c r="H7272" s="262" t="s">
        <v>47</v>
      </c>
      <c r="I7272" s="262" t="s">
        <v>48</v>
      </c>
      <c r="J7272" s="262" t="s">
        <v>49</v>
      </c>
      <c r="K7272" s="262" t="s">
        <v>50</v>
      </c>
      <c r="L7272" s="262" t="s">
        <v>51</v>
      </c>
      <c r="M7272" s="262" t="s">
        <v>52</v>
      </c>
      <c r="N7272" s="262" t="s">
        <v>53</v>
      </c>
      <c r="O7272" s="276" t="s">
        <v>54</v>
      </c>
    </row>
    <row r="7273" spans="1:15">
      <c r="A7273" s="263" t="s">
        <v>22</v>
      </c>
      <c r="B7273" s="264" t="s">
        <v>55</v>
      </c>
      <c r="C7273" s="12">
        <v>0.647058823529412</v>
      </c>
      <c r="D7273" s="265">
        <v>0.735849056603774</v>
      </c>
      <c r="E7273" s="265">
        <v>0.382978723404255</v>
      </c>
      <c r="F7273" s="265">
        <v>0.909090909090909</v>
      </c>
      <c r="G7273" s="265">
        <v>0.866666666666667</v>
      </c>
      <c r="H7273" s="265">
        <v>1.07894736842105</v>
      </c>
      <c r="I7273" s="265">
        <v>0.703703703703704</v>
      </c>
      <c r="J7273" s="265">
        <v>0.513274336283186</v>
      </c>
      <c r="K7273" s="265">
        <v>0.657142857142857</v>
      </c>
      <c r="L7273" s="265">
        <v>0.646153846153846</v>
      </c>
      <c r="M7273" s="265">
        <v>0.573913043478261</v>
      </c>
      <c r="N7273" s="265">
        <v>0.608</v>
      </c>
      <c r="O7273" s="277">
        <v>0.539568345323741</v>
      </c>
    </row>
    <row r="7274" spans="1:15">
      <c r="A7274" s="266" t="s">
        <v>22</v>
      </c>
      <c r="B7274" s="267" t="s">
        <v>57</v>
      </c>
      <c r="C7274" s="15">
        <v>1224</v>
      </c>
      <c r="D7274" s="268">
        <v>106</v>
      </c>
      <c r="E7274" s="268">
        <v>94</v>
      </c>
      <c r="F7274" s="268">
        <v>33</v>
      </c>
      <c r="G7274" s="268">
        <v>45</v>
      </c>
      <c r="H7274" s="268">
        <v>76</v>
      </c>
      <c r="I7274" s="268">
        <v>108</v>
      </c>
      <c r="J7274" s="268">
        <v>113</v>
      </c>
      <c r="K7274" s="268">
        <v>140</v>
      </c>
      <c r="L7274" s="268">
        <v>130</v>
      </c>
      <c r="M7274" s="268">
        <v>115</v>
      </c>
      <c r="N7274" s="268">
        <v>125</v>
      </c>
      <c r="O7274" s="278">
        <v>139</v>
      </c>
    </row>
    <row r="7275" spans="1:15">
      <c r="A7275" s="263" t="s">
        <v>22</v>
      </c>
      <c r="B7275" s="264" t="s">
        <v>59</v>
      </c>
      <c r="C7275" s="15">
        <v>792</v>
      </c>
      <c r="D7275" s="268">
        <v>78</v>
      </c>
      <c r="E7275" s="268">
        <v>36</v>
      </c>
      <c r="F7275" s="268">
        <v>30</v>
      </c>
      <c r="G7275" s="268">
        <v>39</v>
      </c>
      <c r="H7275" s="268">
        <v>82</v>
      </c>
      <c r="I7275" s="268">
        <v>76</v>
      </c>
      <c r="J7275" s="268">
        <v>58</v>
      </c>
      <c r="K7275" s="268">
        <v>92</v>
      </c>
      <c r="L7275" s="268">
        <v>84</v>
      </c>
      <c r="M7275" s="268">
        <v>66</v>
      </c>
      <c r="N7275" s="268">
        <v>76</v>
      </c>
      <c r="O7275" s="278">
        <v>75</v>
      </c>
    </row>
    <row r="7276" spans="1:15">
      <c r="A7276" s="266" t="s">
        <v>22</v>
      </c>
      <c r="B7276" s="267" t="s">
        <v>4</v>
      </c>
      <c r="C7276" s="15">
        <v>39</v>
      </c>
      <c r="D7276" s="269">
        <v>39</v>
      </c>
      <c r="E7276" s="269">
        <v>0</v>
      </c>
      <c r="F7276" s="269">
        <v>0</v>
      </c>
      <c r="G7276" s="269">
        <v>0</v>
      </c>
      <c r="H7276" s="269">
        <v>0</v>
      </c>
      <c r="I7276" s="269">
        <v>0</v>
      </c>
      <c r="J7276" s="269">
        <v>0</v>
      </c>
      <c r="K7276" s="269">
        <v>0</v>
      </c>
      <c r="L7276" s="269">
        <v>0</v>
      </c>
      <c r="M7276" s="269">
        <v>0</v>
      </c>
      <c r="N7276" s="269">
        <v>0</v>
      </c>
      <c r="O7276" s="279">
        <v>0</v>
      </c>
    </row>
    <row r="7277" spans="1:15">
      <c r="A7277" s="263" t="s">
        <v>22</v>
      </c>
      <c r="B7277" s="264" t="s">
        <v>5</v>
      </c>
      <c r="C7277" s="12">
        <v>0.0492424242424242</v>
      </c>
      <c r="D7277" s="265">
        <v>0.5</v>
      </c>
      <c r="E7277" s="265">
        <v>0</v>
      </c>
      <c r="F7277" s="265">
        <v>0</v>
      </c>
      <c r="G7277" s="265">
        <v>0</v>
      </c>
      <c r="H7277" s="265">
        <v>0</v>
      </c>
      <c r="I7277" s="265">
        <v>0</v>
      </c>
      <c r="J7277" s="265">
        <v>0</v>
      </c>
      <c r="K7277" s="265">
        <v>0</v>
      </c>
      <c r="L7277" s="265">
        <v>0</v>
      </c>
      <c r="M7277" s="265">
        <v>0</v>
      </c>
      <c r="N7277" s="265">
        <v>0</v>
      </c>
      <c r="O7277" s="277">
        <v>0</v>
      </c>
    </row>
    <row r="7278" spans="1:15">
      <c r="A7278" s="266" t="s">
        <v>22</v>
      </c>
      <c r="B7278" s="267" t="s">
        <v>6</v>
      </c>
      <c r="C7278" s="15">
        <v>14</v>
      </c>
      <c r="D7278" s="269">
        <v>2</v>
      </c>
      <c r="E7278" s="269">
        <v>1</v>
      </c>
      <c r="F7278" s="269">
        <v>0</v>
      </c>
      <c r="G7278" s="269">
        <v>0</v>
      </c>
      <c r="H7278" s="269">
        <v>1</v>
      </c>
      <c r="I7278" s="269">
        <v>0</v>
      </c>
      <c r="J7278" s="269">
        <v>1</v>
      </c>
      <c r="K7278" s="269">
        <v>2</v>
      </c>
      <c r="L7278" s="269">
        <v>5</v>
      </c>
      <c r="M7278" s="269">
        <v>0</v>
      </c>
      <c r="N7278" s="269">
        <v>2</v>
      </c>
      <c r="O7278" s="279">
        <v>0</v>
      </c>
    </row>
    <row r="7279" ht="14.25" spans="1:15">
      <c r="A7279" s="270" t="s">
        <v>22</v>
      </c>
      <c r="B7279" s="271" t="s">
        <v>64</v>
      </c>
      <c r="C7279" s="19">
        <v>0.358974358974359</v>
      </c>
      <c r="D7279" s="272">
        <v>0.0512820512820513</v>
      </c>
      <c r="E7279" s="272">
        <v>0</v>
      </c>
      <c r="F7279" s="272">
        <v>0</v>
      </c>
      <c r="G7279" s="272">
        <v>0</v>
      </c>
      <c r="H7279" s="272">
        <v>0</v>
      </c>
      <c r="I7279" s="272">
        <v>0</v>
      </c>
      <c r="J7279" s="272">
        <v>0</v>
      </c>
      <c r="K7279" s="272">
        <v>0</v>
      </c>
      <c r="L7279" s="272">
        <v>0</v>
      </c>
      <c r="M7279" s="272">
        <v>0</v>
      </c>
      <c r="N7279" s="272">
        <v>0</v>
      </c>
      <c r="O7279" s="280">
        <v>0</v>
      </c>
    </row>
    <row r="7280" spans="1:15">
      <c r="A7280" s="247" t="s">
        <v>66</v>
      </c>
      <c r="B7280" s="248" t="s">
        <v>55</v>
      </c>
      <c r="C7280" s="12">
        <v>0.183703164787195</v>
      </c>
      <c r="D7280" s="249">
        <v>0.176229508196721</v>
      </c>
      <c r="E7280" s="249">
        <v>0.183333333333333</v>
      </c>
      <c r="F7280" s="249">
        <v>0.21875</v>
      </c>
      <c r="G7280" s="249">
        <v>0.129411764705882</v>
      </c>
      <c r="H7280" s="249">
        <v>0.231884057971014</v>
      </c>
      <c r="I7280" s="249">
        <v>0.149090909090909</v>
      </c>
      <c r="J7280" s="249">
        <v>0.170818505338078</v>
      </c>
      <c r="K7280" s="249">
        <v>0.226148409893993</v>
      </c>
      <c r="L7280" s="249">
        <v>0.164179104477612</v>
      </c>
      <c r="M7280" s="249">
        <v>0.188775510204082</v>
      </c>
      <c r="N7280" s="249">
        <v>0.173913043478261</v>
      </c>
      <c r="O7280" s="256">
        <v>0.200757575757576</v>
      </c>
    </row>
    <row r="7281" spans="1:15">
      <c r="A7281" s="242" t="s">
        <v>66</v>
      </c>
      <c r="B7281" s="43" t="s">
        <v>57</v>
      </c>
      <c r="C7281" s="15">
        <v>2749</v>
      </c>
      <c r="D7281" s="243">
        <v>244</v>
      </c>
      <c r="E7281" s="243">
        <v>180</v>
      </c>
      <c r="F7281" s="243">
        <v>128</v>
      </c>
      <c r="G7281" s="243">
        <v>170</v>
      </c>
      <c r="H7281" s="243">
        <v>207</v>
      </c>
      <c r="I7281" s="243">
        <v>275</v>
      </c>
      <c r="J7281" s="243">
        <v>281</v>
      </c>
      <c r="K7281" s="243">
        <v>283</v>
      </c>
      <c r="L7281" s="243">
        <v>268</v>
      </c>
      <c r="M7281" s="243">
        <v>196</v>
      </c>
      <c r="N7281" s="243">
        <v>253</v>
      </c>
      <c r="O7281" s="253">
        <v>264</v>
      </c>
    </row>
    <row r="7282" spans="1:15">
      <c r="A7282" s="240" t="s">
        <v>66</v>
      </c>
      <c r="B7282" s="47" t="s">
        <v>59</v>
      </c>
      <c r="C7282" s="15">
        <v>505</v>
      </c>
      <c r="D7282" s="243">
        <v>43</v>
      </c>
      <c r="E7282" s="243">
        <v>33</v>
      </c>
      <c r="F7282" s="243">
        <v>28</v>
      </c>
      <c r="G7282" s="243">
        <v>22</v>
      </c>
      <c r="H7282" s="243">
        <v>48</v>
      </c>
      <c r="I7282" s="243">
        <v>41</v>
      </c>
      <c r="J7282" s="243">
        <v>48</v>
      </c>
      <c r="K7282" s="243">
        <v>64</v>
      </c>
      <c r="L7282" s="243">
        <v>44</v>
      </c>
      <c r="M7282" s="243">
        <v>37</v>
      </c>
      <c r="N7282" s="243">
        <v>44</v>
      </c>
      <c r="O7282" s="253">
        <v>53</v>
      </c>
    </row>
    <row r="7283" spans="1:15">
      <c r="A7283" s="242" t="s">
        <v>66</v>
      </c>
      <c r="B7283" s="43" t="s">
        <v>4</v>
      </c>
      <c r="C7283" s="15">
        <v>7</v>
      </c>
      <c r="D7283" s="244">
        <v>7</v>
      </c>
      <c r="E7283" s="244">
        <v>0</v>
      </c>
      <c r="F7283" s="244">
        <v>0</v>
      </c>
      <c r="G7283" s="244">
        <v>0</v>
      </c>
      <c r="H7283" s="244">
        <v>0</v>
      </c>
      <c r="I7283" s="244">
        <v>0</v>
      </c>
      <c r="J7283" s="244">
        <v>0</v>
      </c>
      <c r="K7283" s="244">
        <v>0</v>
      </c>
      <c r="L7283" s="244">
        <v>0</v>
      </c>
      <c r="M7283" s="244">
        <v>0</v>
      </c>
      <c r="N7283" s="244">
        <v>0</v>
      </c>
      <c r="O7283" s="254">
        <v>0</v>
      </c>
    </row>
    <row r="7284" spans="1:15">
      <c r="A7284" s="240" t="s">
        <v>66</v>
      </c>
      <c r="B7284" s="47" t="s">
        <v>5</v>
      </c>
      <c r="C7284" s="12">
        <v>0.0138613861386139</v>
      </c>
      <c r="D7284" s="241">
        <v>0.162790697674419</v>
      </c>
      <c r="E7284" s="241">
        <v>0</v>
      </c>
      <c r="F7284" s="241">
        <v>0</v>
      </c>
      <c r="G7284" s="241">
        <v>0</v>
      </c>
      <c r="H7284" s="241">
        <v>0</v>
      </c>
      <c r="I7284" s="241">
        <v>0</v>
      </c>
      <c r="J7284" s="241">
        <v>0</v>
      </c>
      <c r="K7284" s="241">
        <v>0</v>
      </c>
      <c r="L7284" s="241">
        <v>0</v>
      </c>
      <c r="M7284" s="241">
        <v>0</v>
      </c>
      <c r="N7284" s="241">
        <v>0</v>
      </c>
      <c r="O7284" s="252">
        <v>0</v>
      </c>
    </row>
    <row r="7285" spans="1:15">
      <c r="A7285" s="242" t="s">
        <v>66</v>
      </c>
      <c r="B7285" s="43" t="s">
        <v>6</v>
      </c>
      <c r="C7285" s="15">
        <v>5</v>
      </c>
      <c r="D7285" s="244">
        <v>1</v>
      </c>
      <c r="E7285" s="244">
        <v>1</v>
      </c>
      <c r="F7285" s="244">
        <v>0</v>
      </c>
      <c r="G7285" s="244">
        <v>0</v>
      </c>
      <c r="H7285" s="244">
        <v>1</v>
      </c>
      <c r="I7285" s="244">
        <v>0</v>
      </c>
      <c r="J7285" s="244">
        <v>0</v>
      </c>
      <c r="K7285" s="244">
        <v>0</v>
      </c>
      <c r="L7285" s="244">
        <v>0</v>
      </c>
      <c r="M7285" s="244">
        <v>1</v>
      </c>
      <c r="N7285" s="244">
        <v>1</v>
      </c>
      <c r="O7285" s="254">
        <v>0</v>
      </c>
    </row>
    <row r="7286" ht="14.25" spans="1:15">
      <c r="A7286" s="245" t="s">
        <v>66</v>
      </c>
      <c r="B7286" s="52" t="s">
        <v>64</v>
      </c>
      <c r="C7286" s="19">
        <v>0.714285714285714</v>
      </c>
      <c r="D7286" s="246">
        <v>0.142857142857143</v>
      </c>
      <c r="E7286" s="246">
        <v>0</v>
      </c>
      <c r="F7286" s="246">
        <v>0</v>
      </c>
      <c r="G7286" s="246">
        <v>0</v>
      </c>
      <c r="H7286" s="246">
        <v>0</v>
      </c>
      <c r="I7286" s="246">
        <v>0</v>
      </c>
      <c r="J7286" s="246">
        <v>0</v>
      </c>
      <c r="K7286" s="246">
        <v>0</v>
      </c>
      <c r="L7286" s="246">
        <v>0</v>
      </c>
      <c r="M7286" s="246">
        <v>0</v>
      </c>
      <c r="N7286" s="246">
        <v>0</v>
      </c>
      <c r="O7286" s="255">
        <v>0</v>
      </c>
    </row>
    <row r="7287" spans="1:15">
      <c r="A7287" s="240" t="s">
        <v>67</v>
      </c>
      <c r="B7287" s="47" t="s">
        <v>55</v>
      </c>
      <c r="C7287" s="12">
        <v>0.466046511627907</v>
      </c>
      <c r="D7287" s="241">
        <v>0.636363636363636</v>
      </c>
      <c r="E7287" s="241">
        <v>0.5</v>
      </c>
      <c r="F7287" s="241">
        <v>0.306122448979592</v>
      </c>
      <c r="G7287" s="241">
        <v>0.440677966101695</v>
      </c>
      <c r="H7287" s="241">
        <v>1.15942028985507</v>
      </c>
      <c r="I7287" s="241">
        <v>0.643835616438356</v>
      </c>
      <c r="J7287" s="241">
        <v>0.330188679245283</v>
      </c>
      <c r="K7287" s="241">
        <v>0.401960784313726</v>
      </c>
      <c r="L7287" s="241">
        <v>0.36986301369863</v>
      </c>
      <c r="M7287" s="241">
        <v>0.301724137931034</v>
      </c>
      <c r="N7287" s="241">
        <v>0.378640776699029</v>
      </c>
      <c r="O7287" s="252">
        <v>0.433628318584071</v>
      </c>
    </row>
    <row r="7288" spans="1:15">
      <c r="A7288" s="242" t="s">
        <v>67</v>
      </c>
      <c r="B7288" s="43" t="s">
        <v>57</v>
      </c>
      <c r="C7288" s="15">
        <v>1075</v>
      </c>
      <c r="D7288" s="243">
        <v>77</v>
      </c>
      <c r="E7288" s="243">
        <v>62</v>
      </c>
      <c r="F7288" s="243">
        <v>49</v>
      </c>
      <c r="G7288" s="243">
        <v>59</v>
      </c>
      <c r="H7288" s="243">
        <v>69</v>
      </c>
      <c r="I7288" s="243">
        <v>73</v>
      </c>
      <c r="J7288" s="243">
        <v>106</v>
      </c>
      <c r="K7288" s="243">
        <v>102</v>
      </c>
      <c r="L7288" s="243">
        <v>146</v>
      </c>
      <c r="M7288" s="243">
        <v>116</v>
      </c>
      <c r="N7288" s="243">
        <v>103</v>
      </c>
      <c r="O7288" s="253">
        <v>113</v>
      </c>
    </row>
    <row r="7289" spans="1:15">
      <c r="A7289" s="240" t="s">
        <v>67</v>
      </c>
      <c r="B7289" s="47" t="s">
        <v>59</v>
      </c>
      <c r="C7289" s="15">
        <v>501</v>
      </c>
      <c r="D7289" s="243">
        <v>49</v>
      </c>
      <c r="E7289" s="243">
        <v>31</v>
      </c>
      <c r="F7289" s="243">
        <v>15</v>
      </c>
      <c r="G7289" s="243">
        <v>26</v>
      </c>
      <c r="H7289" s="243">
        <v>80</v>
      </c>
      <c r="I7289" s="243">
        <v>47</v>
      </c>
      <c r="J7289" s="243">
        <v>35</v>
      </c>
      <c r="K7289" s="243">
        <v>41</v>
      </c>
      <c r="L7289" s="243">
        <v>54</v>
      </c>
      <c r="M7289" s="243">
        <v>35</v>
      </c>
      <c r="N7289" s="243">
        <v>39</v>
      </c>
      <c r="O7289" s="253">
        <v>49</v>
      </c>
    </row>
    <row r="7290" spans="1:15">
      <c r="A7290" s="242" t="s">
        <v>67</v>
      </c>
      <c r="B7290" s="43" t="s">
        <v>4</v>
      </c>
      <c r="C7290" s="15">
        <v>13</v>
      </c>
      <c r="D7290" s="244">
        <v>13</v>
      </c>
      <c r="E7290" s="244">
        <v>0</v>
      </c>
      <c r="F7290" s="244">
        <v>0</v>
      </c>
      <c r="G7290" s="244">
        <v>0</v>
      </c>
      <c r="H7290" s="244">
        <v>0</v>
      </c>
      <c r="I7290" s="244">
        <v>0</v>
      </c>
      <c r="J7290" s="244">
        <v>0</v>
      </c>
      <c r="K7290" s="244">
        <v>0</v>
      </c>
      <c r="L7290" s="244">
        <v>0</v>
      </c>
      <c r="M7290" s="244">
        <v>0</v>
      </c>
      <c r="N7290" s="244">
        <v>0</v>
      </c>
      <c r="O7290" s="254">
        <v>0</v>
      </c>
    </row>
    <row r="7291" spans="1:15">
      <c r="A7291" s="240" t="s">
        <v>67</v>
      </c>
      <c r="B7291" s="47" t="s">
        <v>5</v>
      </c>
      <c r="C7291" s="12">
        <v>0.0259481037924152</v>
      </c>
      <c r="D7291" s="241">
        <v>0.26530612244898</v>
      </c>
      <c r="E7291" s="241">
        <v>0</v>
      </c>
      <c r="F7291" s="241">
        <v>0</v>
      </c>
      <c r="G7291" s="241">
        <v>0</v>
      </c>
      <c r="H7291" s="241">
        <v>0</v>
      </c>
      <c r="I7291" s="241">
        <v>0</v>
      </c>
      <c r="J7291" s="241">
        <v>0</v>
      </c>
      <c r="K7291" s="241">
        <v>0</v>
      </c>
      <c r="L7291" s="241">
        <v>0</v>
      </c>
      <c r="M7291" s="241">
        <v>0</v>
      </c>
      <c r="N7291" s="241">
        <v>0</v>
      </c>
      <c r="O7291" s="252">
        <v>0</v>
      </c>
    </row>
    <row r="7292" spans="1:15">
      <c r="A7292" s="242" t="s">
        <v>67</v>
      </c>
      <c r="B7292" s="43" t="s">
        <v>6</v>
      </c>
      <c r="C7292" s="15">
        <v>4</v>
      </c>
      <c r="D7292" s="244">
        <v>0</v>
      </c>
      <c r="E7292" s="244">
        <v>0</v>
      </c>
      <c r="F7292" s="244">
        <v>0</v>
      </c>
      <c r="G7292" s="244">
        <v>0</v>
      </c>
      <c r="H7292" s="244">
        <v>0</v>
      </c>
      <c r="I7292" s="244">
        <v>1</v>
      </c>
      <c r="J7292" s="244">
        <v>0</v>
      </c>
      <c r="K7292" s="244">
        <v>0</v>
      </c>
      <c r="L7292" s="244">
        <v>0</v>
      </c>
      <c r="M7292" s="244">
        <v>0</v>
      </c>
      <c r="N7292" s="244">
        <v>2</v>
      </c>
      <c r="O7292" s="254">
        <v>1</v>
      </c>
    </row>
    <row r="7293" ht="14.25" spans="1:15">
      <c r="A7293" s="245" t="s">
        <v>67</v>
      </c>
      <c r="B7293" s="52" t="s">
        <v>64</v>
      </c>
      <c r="C7293" s="19">
        <v>0.307692307692308</v>
      </c>
      <c r="D7293" s="246">
        <v>0</v>
      </c>
      <c r="E7293" s="246">
        <v>0</v>
      </c>
      <c r="F7293" s="246">
        <v>0</v>
      </c>
      <c r="G7293" s="246">
        <v>0</v>
      </c>
      <c r="H7293" s="246">
        <v>0</v>
      </c>
      <c r="I7293" s="246">
        <v>0</v>
      </c>
      <c r="J7293" s="246">
        <v>0</v>
      </c>
      <c r="K7293" s="246">
        <v>0</v>
      </c>
      <c r="L7293" s="246">
        <v>0</v>
      </c>
      <c r="M7293" s="246">
        <v>0</v>
      </c>
      <c r="N7293" s="246">
        <v>0</v>
      </c>
      <c r="O7293" s="255">
        <v>0</v>
      </c>
    </row>
    <row r="7294" spans="1:15">
      <c r="A7294" s="240" t="s">
        <v>68</v>
      </c>
      <c r="B7294" s="47" t="s">
        <v>55</v>
      </c>
      <c r="C7294" s="12">
        <v>0.115453327378294</v>
      </c>
      <c r="D7294" s="241">
        <v>0.193548387096774</v>
      </c>
      <c r="E7294" s="241">
        <v>0.183962264150943</v>
      </c>
      <c r="F7294" s="241">
        <v>0.133333333333333</v>
      </c>
      <c r="G7294" s="241">
        <v>0.27906976744186</v>
      </c>
      <c r="H7294" s="241">
        <v>0.136950904392765</v>
      </c>
      <c r="I7294" s="241">
        <v>0.119402985074627</v>
      </c>
      <c r="J7294" s="241">
        <v>0.088785046728972</v>
      </c>
      <c r="K7294" s="241">
        <v>0.0824949698189135</v>
      </c>
      <c r="L7294" s="241">
        <v>0.0783333333333333</v>
      </c>
      <c r="M7294" s="241">
        <v>0.106217616580311</v>
      </c>
      <c r="N7294" s="241">
        <v>0.0965092402464066</v>
      </c>
      <c r="O7294" s="252">
        <v>0.0947368421052632</v>
      </c>
    </row>
    <row r="7295" spans="1:15">
      <c r="A7295" s="242" t="s">
        <v>68</v>
      </c>
      <c r="B7295" s="43" t="s">
        <v>57</v>
      </c>
      <c r="C7295" s="15">
        <v>4478</v>
      </c>
      <c r="D7295" s="243">
        <v>310</v>
      </c>
      <c r="E7295" s="243">
        <v>212</v>
      </c>
      <c r="F7295" s="243">
        <v>165</v>
      </c>
      <c r="G7295" s="243">
        <v>129</v>
      </c>
      <c r="H7295" s="243">
        <v>387</v>
      </c>
      <c r="I7295" s="243">
        <v>402</v>
      </c>
      <c r="J7295" s="243">
        <v>428</v>
      </c>
      <c r="K7295" s="243">
        <v>497</v>
      </c>
      <c r="L7295" s="243">
        <v>600</v>
      </c>
      <c r="M7295" s="243">
        <v>386</v>
      </c>
      <c r="N7295" s="243">
        <v>487</v>
      </c>
      <c r="O7295" s="253">
        <v>475</v>
      </c>
    </row>
    <row r="7296" spans="1:15">
      <c r="A7296" s="240" t="s">
        <v>68</v>
      </c>
      <c r="B7296" s="47" t="s">
        <v>59</v>
      </c>
      <c r="C7296" s="15">
        <v>517</v>
      </c>
      <c r="D7296" s="243">
        <v>60</v>
      </c>
      <c r="E7296" s="243">
        <v>39</v>
      </c>
      <c r="F7296" s="243">
        <v>22</v>
      </c>
      <c r="G7296" s="243">
        <v>36</v>
      </c>
      <c r="H7296" s="243">
        <v>53</v>
      </c>
      <c r="I7296" s="243">
        <v>48</v>
      </c>
      <c r="J7296" s="243">
        <v>38</v>
      </c>
      <c r="K7296" s="243">
        <v>41</v>
      </c>
      <c r="L7296" s="243">
        <v>47</v>
      </c>
      <c r="M7296" s="243">
        <v>41</v>
      </c>
      <c r="N7296" s="243">
        <v>47</v>
      </c>
      <c r="O7296" s="253">
        <v>45</v>
      </c>
    </row>
    <row r="7297" spans="1:15">
      <c r="A7297" s="242" t="s">
        <v>68</v>
      </c>
      <c r="B7297" s="43" t="s">
        <v>4</v>
      </c>
      <c r="C7297" s="15">
        <v>47</v>
      </c>
      <c r="D7297" s="244">
        <v>46</v>
      </c>
      <c r="E7297" s="244">
        <v>0</v>
      </c>
      <c r="F7297" s="244">
        <v>0</v>
      </c>
      <c r="G7297" s="244">
        <v>0</v>
      </c>
      <c r="H7297" s="244">
        <v>1</v>
      </c>
      <c r="I7297" s="244">
        <v>0</v>
      </c>
      <c r="J7297" s="244">
        <v>0</v>
      </c>
      <c r="K7297" s="244">
        <v>0</v>
      </c>
      <c r="L7297" s="244">
        <v>0</v>
      </c>
      <c r="M7297" s="244">
        <v>0</v>
      </c>
      <c r="N7297" s="244">
        <v>0</v>
      </c>
      <c r="O7297" s="254">
        <v>0</v>
      </c>
    </row>
    <row r="7298" spans="1:15">
      <c r="A7298" s="240" t="s">
        <v>68</v>
      </c>
      <c r="B7298" s="47" t="s">
        <v>5</v>
      </c>
      <c r="C7298" s="12">
        <v>0.0909090909090909</v>
      </c>
      <c r="D7298" s="241">
        <v>0.766666666666667</v>
      </c>
      <c r="E7298" s="241">
        <v>0</v>
      </c>
      <c r="F7298" s="241">
        <v>0</v>
      </c>
      <c r="G7298" s="241">
        <v>0</v>
      </c>
      <c r="H7298" s="241">
        <v>0.0188679245283019</v>
      </c>
      <c r="I7298" s="241">
        <v>0</v>
      </c>
      <c r="J7298" s="241">
        <v>0</v>
      </c>
      <c r="K7298" s="241">
        <v>0</v>
      </c>
      <c r="L7298" s="241">
        <v>0</v>
      </c>
      <c r="M7298" s="241">
        <v>0</v>
      </c>
      <c r="N7298" s="241">
        <v>0</v>
      </c>
      <c r="O7298" s="252">
        <v>0</v>
      </c>
    </row>
    <row r="7299" spans="1:15">
      <c r="A7299" s="242" t="s">
        <v>68</v>
      </c>
      <c r="B7299" s="43" t="s">
        <v>6</v>
      </c>
      <c r="C7299" s="15">
        <v>18</v>
      </c>
      <c r="D7299" s="244">
        <v>6</v>
      </c>
      <c r="E7299" s="244">
        <v>3</v>
      </c>
      <c r="F7299" s="244">
        <v>0</v>
      </c>
      <c r="G7299" s="244">
        <v>0</v>
      </c>
      <c r="H7299" s="244">
        <v>1</v>
      </c>
      <c r="I7299" s="244">
        <v>0</v>
      </c>
      <c r="J7299" s="244">
        <v>4</v>
      </c>
      <c r="K7299" s="244">
        <v>0</v>
      </c>
      <c r="L7299" s="244">
        <v>0</v>
      </c>
      <c r="M7299" s="244">
        <v>2</v>
      </c>
      <c r="N7299" s="244">
        <v>1</v>
      </c>
      <c r="O7299" s="254">
        <v>1</v>
      </c>
    </row>
    <row r="7300" ht="14.25" spans="1:15">
      <c r="A7300" s="245" t="s">
        <v>68</v>
      </c>
      <c r="B7300" s="52" t="s">
        <v>64</v>
      </c>
      <c r="C7300" s="19">
        <v>0.382978723404255</v>
      </c>
      <c r="D7300" s="246">
        <v>0.130434782608696</v>
      </c>
      <c r="E7300" s="246">
        <v>0</v>
      </c>
      <c r="F7300" s="246">
        <v>0</v>
      </c>
      <c r="G7300" s="246">
        <v>0</v>
      </c>
      <c r="H7300" s="246">
        <v>1</v>
      </c>
      <c r="I7300" s="246">
        <v>0</v>
      </c>
      <c r="J7300" s="246">
        <v>0</v>
      </c>
      <c r="K7300" s="246">
        <v>0</v>
      </c>
      <c r="L7300" s="246">
        <v>0</v>
      </c>
      <c r="M7300" s="246">
        <v>0</v>
      </c>
      <c r="N7300" s="246">
        <v>0</v>
      </c>
      <c r="O7300" s="255">
        <v>0</v>
      </c>
    </row>
    <row r="7301" spans="1:15">
      <c r="A7301" s="240" t="s">
        <v>69</v>
      </c>
      <c r="B7301" s="47" t="s">
        <v>55</v>
      </c>
      <c r="C7301" s="12">
        <v>1.44186046511628</v>
      </c>
      <c r="D7301" s="241">
        <v>1.22727272727273</v>
      </c>
      <c r="E7301" s="241">
        <v>1.45454545454545</v>
      </c>
      <c r="F7301" s="241">
        <v>1.6</v>
      </c>
      <c r="G7301" s="241">
        <v>1.33333333333333</v>
      </c>
      <c r="H7301" s="241">
        <v>5.33333333333333</v>
      </c>
      <c r="I7301" s="241">
        <v>1.85714285714286</v>
      </c>
      <c r="J7301" s="241">
        <v>1.27586206896552</v>
      </c>
      <c r="K7301" s="241">
        <v>1.32142857142857</v>
      </c>
      <c r="L7301" s="241">
        <v>1.12121212121212</v>
      </c>
      <c r="M7301" s="241">
        <v>1.7</v>
      </c>
      <c r="N7301" s="241">
        <v>1.10810810810811</v>
      </c>
      <c r="O7301" s="252">
        <v>1.13888888888889</v>
      </c>
    </row>
    <row r="7302" spans="1:15">
      <c r="A7302" s="242" t="s">
        <v>69</v>
      </c>
      <c r="B7302" s="43" t="s">
        <v>57</v>
      </c>
      <c r="C7302" s="15">
        <v>258</v>
      </c>
      <c r="D7302" s="243">
        <v>22</v>
      </c>
      <c r="E7302" s="243">
        <v>11</v>
      </c>
      <c r="F7302" s="243">
        <v>10</v>
      </c>
      <c r="G7302" s="243">
        <v>9</v>
      </c>
      <c r="H7302" s="243">
        <v>9</v>
      </c>
      <c r="I7302" s="243">
        <v>14</v>
      </c>
      <c r="J7302" s="243">
        <v>29</v>
      </c>
      <c r="K7302" s="243">
        <v>28</v>
      </c>
      <c r="L7302" s="243">
        <v>33</v>
      </c>
      <c r="M7302" s="243">
        <v>20</v>
      </c>
      <c r="N7302" s="243">
        <v>37</v>
      </c>
      <c r="O7302" s="253">
        <v>36</v>
      </c>
    </row>
    <row r="7303" spans="1:15">
      <c r="A7303" s="240" t="s">
        <v>69</v>
      </c>
      <c r="B7303" s="47" t="s">
        <v>59</v>
      </c>
      <c r="C7303" s="15">
        <v>372</v>
      </c>
      <c r="D7303" s="243">
        <v>27</v>
      </c>
      <c r="E7303" s="243">
        <v>16</v>
      </c>
      <c r="F7303" s="243">
        <v>16</v>
      </c>
      <c r="G7303" s="243">
        <v>12</v>
      </c>
      <c r="H7303" s="243">
        <v>48</v>
      </c>
      <c r="I7303" s="243">
        <v>26</v>
      </c>
      <c r="J7303" s="243">
        <v>37</v>
      </c>
      <c r="K7303" s="243">
        <v>37</v>
      </c>
      <c r="L7303" s="243">
        <v>37</v>
      </c>
      <c r="M7303" s="243">
        <v>34</v>
      </c>
      <c r="N7303" s="243">
        <v>41</v>
      </c>
      <c r="O7303" s="253">
        <v>41</v>
      </c>
    </row>
    <row r="7304" spans="1:15">
      <c r="A7304" s="242" t="s">
        <v>69</v>
      </c>
      <c r="B7304" s="43" t="s">
        <v>4</v>
      </c>
      <c r="C7304" s="15">
        <v>2</v>
      </c>
      <c r="D7304" s="244">
        <v>2</v>
      </c>
      <c r="E7304" s="244">
        <v>0</v>
      </c>
      <c r="F7304" s="244">
        <v>0</v>
      </c>
      <c r="G7304" s="244">
        <v>0</v>
      </c>
      <c r="H7304" s="244">
        <v>0</v>
      </c>
      <c r="I7304" s="244">
        <v>0</v>
      </c>
      <c r="J7304" s="244">
        <v>0</v>
      </c>
      <c r="K7304" s="244">
        <v>0</v>
      </c>
      <c r="L7304" s="244">
        <v>0</v>
      </c>
      <c r="M7304" s="244">
        <v>0</v>
      </c>
      <c r="N7304" s="244">
        <v>0</v>
      </c>
      <c r="O7304" s="254">
        <v>0</v>
      </c>
    </row>
    <row r="7305" spans="1:15">
      <c r="A7305" s="240" t="s">
        <v>69</v>
      </c>
      <c r="B7305" s="47" t="s">
        <v>5</v>
      </c>
      <c r="C7305" s="12">
        <v>0.00537634408602151</v>
      </c>
      <c r="D7305" s="241">
        <v>0.0740740740740741</v>
      </c>
      <c r="E7305" s="241">
        <v>0</v>
      </c>
      <c r="F7305" s="241">
        <v>0</v>
      </c>
      <c r="G7305" s="241">
        <v>0</v>
      </c>
      <c r="H7305" s="241">
        <v>0</v>
      </c>
      <c r="I7305" s="241">
        <v>0</v>
      </c>
      <c r="J7305" s="241">
        <v>0</v>
      </c>
      <c r="K7305" s="241">
        <v>0</v>
      </c>
      <c r="L7305" s="241">
        <v>0</v>
      </c>
      <c r="M7305" s="241">
        <v>0</v>
      </c>
      <c r="N7305" s="241">
        <v>0</v>
      </c>
      <c r="O7305" s="252">
        <v>0</v>
      </c>
    </row>
    <row r="7306" spans="1:15">
      <c r="A7306" s="242" t="s">
        <v>69</v>
      </c>
      <c r="B7306" s="43" t="s">
        <v>6</v>
      </c>
      <c r="C7306" s="15">
        <v>0</v>
      </c>
      <c r="D7306" s="244">
        <v>0</v>
      </c>
      <c r="E7306" s="244">
        <v>0</v>
      </c>
      <c r="F7306" s="244">
        <v>0</v>
      </c>
      <c r="G7306" s="244">
        <v>0</v>
      </c>
      <c r="H7306" s="244">
        <v>0</v>
      </c>
      <c r="I7306" s="244">
        <v>0</v>
      </c>
      <c r="J7306" s="244">
        <v>0</v>
      </c>
      <c r="K7306" s="244">
        <v>0</v>
      </c>
      <c r="L7306" s="244">
        <v>0</v>
      </c>
      <c r="M7306" s="244">
        <v>0</v>
      </c>
      <c r="N7306" s="244">
        <v>0</v>
      </c>
      <c r="O7306" s="254">
        <v>0</v>
      </c>
    </row>
    <row r="7307" ht="14.25" spans="1:15">
      <c r="A7307" s="245" t="s">
        <v>69</v>
      </c>
      <c r="B7307" s="52" t="s">
        <v>64</v>
      </c>
      <c r="C7307" s="19">
        <v>0</v>
      </c>
      <c r="D7307" s="246">
        <v>0</v>
      </c>
      <c r="E7307" s="246">
        <v>0</v>
      </c>
      <c r="F7307" s="246">
        <v>0</v>
      </c>
      <c r="G7307" s="246">
        <v>0</v>
      </c>
      <c r="H7307" s="246">
        <v>0</v>
      </c>
      <c r="I7307" s="246">
        <v>0</v>
      </c>
      <c r="J7307" s="246">
        <v>0</v>
      </c>
      <c r="K7307" s="246">
        <v>0</v>
      </c>
      <c r="L7307" s="246">
        <v>0</v>
      </c>
      <c r="M7307" s="246">
        <v>0</v>
      </c>
      <c r="N7307" s="246">
        <v>0</v>
      </c>
      <c r="O7307" s="255">
        <v>0</v>
      </c>
    </row>
    <row r="7308" spans="1:15">
      <c r="A7308" s="240" t="s">
        <v>70</v>
      </c>
      <c r="B7308" s="47" t="s">
        <v>55</v>
      </c>
      <c r="C7308" s="12">
        <v>0.77502691065662</v>
      </c>
      <c r="D7308" s="241">
        <v>1.05084745762712</v>
      </c>
      <c r="E7308" s="241">
        <v>0.529411764705882</v>
      </c>
      <c r="F7308" s="241">
        <v>1.28571428571429</v>
      </c>
      <c r="G7308" s="241">
        <v>0.894736842105263</v>
      </c>
      <c r="H7308" s="241">
        <v>0.843373493975904</v>
      </c>
      <c r="I7308" s="241">
        <v>0.789473684210526</v>
      </c>
      <c r="J7308" s="241">
        <v>0.659574468085106</v>
      </c>
      <c r="K7308" s="241">
        <v>0.716312056737589</v>
      </c>
      <c r="L7308" s="241">
        <v>0.623931623931624</v>
      </c>
      <c r="M7308" s="241">
        <v>1.14754098360656</v>
      </c>
      <c r="N7308" s="241">
        <v>0.846938775510204</v>
      </c>
      <c r="O7308" s="252">
        <v>0.589473684210526</v>
      </c>
    </row>
    <row r="7309" spans="1:15">
      <c r="A7309" s="242" t="s">
        <v>70</v>
      </c>
      <c r="B7309" s="43" t="s">
        <v>57</v>
      </c>
      <c r="C7309" s="15">
        <v>929</v>
      </c>
      <c r="D7309" s="243">
        <v>59</v>
      </c>
      <c r="E7309" s="243">
        <v>34</v>
      </c>
      <c r="F7309" s="243">
        <v>14</v>
      </c>
      <c r="G7309" s="243">
        <v>19</v>
      </c>
      <c r="H7309" s="243">
        <v>83</v>
      </c>
      <c r="I7309" s="243">
        <v>114</v>
      </c>
      <c r="J7309" s="243">
        <v>94</v>
      </c>
      <c r="K7309" s="243">
        <v>141</v>
      </c>
      <c r="L7309" s="243">
        <v>117</v>
      </c>
      <c r="M7309" s="243">
        <v>61</v>
      </c>
      <c r="N7309" s="243">
        <v>98</v>
      </c>
      <c r="O7309" s="253">
        <v>95</v>
      </c>
    </row>
    <row r="7310" spans="1:15">
      <c r="A7310" s="240" t="s">
        <v>70</v>
      </c>
      <c r="B7310" s="47" t="s">
        <v>59</v>
      </c>
      <c r="C7310" s="15">
        <v>720</v>
      </c>
      <c r="D7310" s="243">
        <v>62</v>
      </c>
      <c r="E7310" s="243">
        <v>18</v>
      </c>
      <c r="F7310" s="243">
        <v>18</v>
      </c>
      <c r="G7310" s="243">
        <v>17</v>
      </c>
      <c r="H7310" s="243">
        <v>70</v>
      </c>
      <c r="I7310" s="243">
        <v>90</v>
      </c>
      <c r="J7310" s="243">
        <v>62</v>
      </c>
      <c r="K7310" s="243">
        <v>101</v>
      </c>
      <c r="L7310" s="243">
        <v>73</v>
      </c>
      <c r="M7310" s="243">
        <v>70</v>
      </c>
      <c r="N7310" s="243">
        <v>83</v>
      </c>
      <c r="O7310" s="253">
        <v>56</v>
      </c>
    </row>
    <row r="7311" spans="1:15">
      <c r="A7311" s="242" t="s">
        <v>70</v>
      </c>
      <c r="B7311" s="43" t="s">
        <v>4</v>
      </c>
      <c r="C7311" s="15">
        <v>6</v>
      </c>
      <c r="D7311" s="244">
        <v>6</v>
      </c>
      <c r="E7311" s="244">
        <v>0</v>
      </c>
      <c r="F7311" s="244">
        <v>0</v>
      </c>
      <c r="G7311" s="244">
        <v>0</v>
      </c>
      <c r="H7311" s="244">
        <v>0</v>
      </c>
      <c r="I7311" s="244">
        <v>0</v>
      </c>
      <c r="J7311" s="244">
        <v>0</v>
      </c>
      <c r="K7311" s="244">
        <v>0</v>
      </c>
      <c r="L7311" s="244">
        <v>0</v>
      </c>
      <c r="M7311" s="244">
        <v>0</v>
      </c>
      <c r="N7311" s="244">
        <v>0</v>
      </c>
      <c r="O7311" s="254">
        <v>0</v>
      </c>
    </row>
    <row r="7312" spans="1:15">
      <c r="A7312" s="240" t="s">
        <v>70</v>
      </c>
      <c r="B7312" s="47" t="s">
        <v>5</v>
      </c>
      <c r="C7312" s="12">
        <v>0.00833333333333333</v>
      </c>
      <c r="D7312" s="241">
        <v>0.0967741935483871</v>
      </c>
      <c r="E7312" s="241">
        <v>0</v>
      </c>
      <c r="F7312" s="241">
        <v>0</v>
      </c>
      <c r="G7312" s="241">
        <v>0</v>
      </c>
      <c r="H7312" s="241">
        <v>0</v>
      </c>
      <c r="I7312" s="241">
        <v>0</v>
      </c>
      <c r="J7312" s="241">
        <v>0</v>
      </c>
      <c r="K7312" s="241">
        <v>0</v>
      </c>
      <c r="L7312" s="241">
        <v>0</v>
      </c>
      <c r="M7312" s="241">
        <v>0</v>
      </c>
      <c r="N7312" s="241">
        <v>0</v>
      </c>
      <c r="O7312" s="252">
        <v>0</v>
      </c>
    </row>
    <row r="7313" spans="1:15">
      <c r="A7313" s="242" t="s">
        <v>70</v>
      </c>
      <c r="B7313" s="43" t="s">
        <v>6</v>
      </c>
      <c r="C7313" s="15">
        <v>6</v>
      </c>
      <c r="D7313" s="244">
        <v>1</v>
      </c>
      <c r="E7313" s="244">
        <v>0</v>
      </c>
      <c r="F7313" s="244">
        <v>0</v>
      </c>
      <c r="G7313" s="244">
        <v>0</v>
      </c>
      <c r="H7313" s="244">
        <v>1</v>
      </c>
      <c r="I7313" s="244">
        <v>0</v>
      </c>
      <c r="J7313" s="244">
        <v>1</v>
      </c>
      <c r="K7313" s="244">
        <v>0</v>
      </c>
      <c r="L7313" s="244">
        <v>1</v>
      </c>
      <c r="M7313" s="244">
        <v>0</v>
      </c>
      <c r="N7313" s="244">
        <v>2</v>
      </c>
      <c r="O7313" s="254">
        <v>0</v>
      </c>
    </row>
    <row r="7314" ht="14.25" spans="1:15">
      <c r="A7314" s="245" t="s">
        <v>70</v>
      </c>
      <c r="B7314" s="52" t="s">
        <v>64</v>
      </c>
      <c r="C7314" s="19">
        <v>1</v>
      </c>
      <c r="D7314" s="246">
        <v>0.166666666666667</v>
      </c>
      <c r="E7314" s="246">
        <v>0</v>
      </c>
      <c r="F7314" s="246">
        <v>0</v>
      </c>
      <c r="G7314" s="246">
        <v>0</v>
      </c>
      <c r="H7314" s="246">
        <v>0</v>
      </c>
      <c r="I7314" s="246">
        <v>0</v>
      </c>
      <c r="J7314" s="246">
        <v>0</v>
      </c>
      <c r="K7314" s="246">
        <v>0</v>
      </c>
      <c r="L7314" s="246">
        <v>0</v>
      </c>
      <c r="M7314" s="246">
        <v>0</v>
      </c>
      <c r="N7314" s="246">
        <v>0</v>
      </c>
      <c r="O7314" s="255">
        <v>0</v>
      </c>
    </row>
    <row r="7315" spans="1:15">
      <c r="A7315" s="240" t="s">
        <v>26</v>
      </c>
      <c r="B7315" s="47" t="s">
        <v>55</v>
      </c>
      <c r="C7315" s="12">
        <v>0.977470558115719</v>
      </c>
      <c r="D7315" s="241">
        <v>0.883720930232558</v>
      </c>
      <c r="E7315" s="241">
        <v>0.722222222222222</v>
      </c>
      <c r="F7315" s="241">
        <v>0.878048780487805</v>
      </c>
      <c r="G7315" s="241">
        <v>1</v>
      </c>
      <c r="H7315" s="241">
        <v>1.73381294964029</v>
      </c>
      <c r="I7315" s="241">
        <v>1.01075268817204</v>
      </c>
      <c r="J7315" s="241">
        <v>0.911330049261084</v>
      </c>
      <c r="K7315" s="241">
        <v>1.00961538461538</v>
      </c>
      <c r="L7315" s="241">
        <v>0.92</v>
      </c>
      <c r="M7315" s="241">
        <v>0.96969696969697</v>
      </c>
      <c r="N7315" s="241">
        <v>0.971098265895954</v>
      </c>
      <c r="O7315" s="252">
        <v>0.793427230046948</v>
      </c>
    </row>
    <row r="7316" spans="1:15">
      <c r="A7316" s="242" t="s">
        <v>26</v>
      </c>
      <c r="B7316" s="43" t="s">
        <v>57</v>
      </c>
      <c r="C7316" s="15">
        <v>1953</v>
      </c>
      <c r="D7316" s="243">
        <v>172</v>
      </c>
      <c r="E7316" s="243">
        <v>108</v>
      </c>
      <c r="F7316" s="243">
        <v>82</v>
      </c>
      <c r="G7316" s="243">
        <v>79</v>
      </c>
      <c r="H7316" s="243">
        <v>139</v>
      </c>
      <c r="I7316" s="243">
        <v>186</v>
      </c>
      <c r="J7316" s="243">
        <v>203</v>
      </c>
      <c r="K7316" s="243">
        <v>208</v>
      </c>
      <c r="L7316" s="243">
        <v>225</v>
      </c>
      <c r="M7316" s="243">
        <v>165</v>
      </c>
      <c r="N7316" s="243">
        <v>173</v>
      </c>
      <c r="O7316" s="253">
        <v>213</v>
      </c>
    </row>
    <row r="7317" spans="1:15">
      <c r="A7317" s="240" t="s">
        <v>26</v>
      </c>
      <c r="B7317" s="47" t="s">
        <v>59</v>
      </c>
      <c r="C7317" s="15">
        <v>1909</v>
      </c>
      <c r="D7317" s="243">
        <v>152</v>
      </c>
      <c r="E7317" s="243">
        <v>78</v>
      </c>
      <c r="F7317" s="243">
        <v>72</v>
      </c>
      <c r="G7317" s="243">
        <v>79</v>
      </c>
      <c r="H7317" s="243">
        <v>241</v>
      </c>
      <c r="I7317" s="243">
        <v>188</v>
      </c>
      <c r="J7317" s="243">
        <v>185</v>
      </c>
      <c r="K7317" s="243">
        <v>210</v>
      </c>
      <c r="L7317" s="243">
        <v>207</v>
      </c>
      <c r="M7317" s="243">
        <v>160</v>
      </c>
      <c r="N7317" s="243">
        <v>168</v>
      </c>
      <c r="O7317" s="253">
        <v>169</v>
      </c>
    </row>
    <row r="7318" spans="1:15">
      <c r="A7318" s="242" t="s">
        <v>26</v>
      </c>
      <c r="B7318" s="43" t="s">
        <v>4</v>
      </c>
      <c r="C7318" s="15">
        <v>22</v>
      </c>
      <c r="D7318" s="244">
        <v>22</v>
      </c>
      <c r="E7318" s="244">
        <v>0</v>
      </c>
      <c r="F7318" s="244">
        <v>0</v>
      </c>
      <c r="G7318" s="244">
        <v>0</v>
      </c>
      <c r="H7318" s="244">
        <v>0</v>
      </c>
      <c r="I7318" s="244">
        <v>0</v>
      </c>
      <c r="J7318" s="244">
        <v>0</v>
      </c>
      <c r="K7318" s="244">
        <v>0</v>
      </c>
      <c r="L7318" s="244">
        <v>0</v>
      </c>
      <c r="M7318" s="244">
        <v>0</v>
      </c>
      <c r="N7318" s="244">
        <v>0</v>
      </c>
      <c r="O7318" s="254">
        <v>0</v>
      </c>
    </row>
    <row r="7319" spans="1:15">
      <c r="A7319" s="240" t="s">
        <v>26</v>
      </c>
      <c r="B7319" s="47" t="s">
        <v>5</v>
      </c>
      <c r="C7319" s="12">
        <v>0.0115243583027763</v>
      </c>
      <c r="D7319" s="241">
        <v>0.144736842105263</v>
      </c>
      <c r="E7319" s="241">
        <v>0</v>
      </c>
      <c r="F7319" s="241">
        <v>0</v>
      </c>
      <c r="G7319" s="241">
        <v>0</v>
      </c>
      <c r="H7319" s="241">
        <v>0</v>
      </c>
      <c r="I7319" s="241">
        <v>0</v>
      </c>
      <c r="J7319" s="241">
        <v>0</v>
      </c>
      <c r="K7319" s="241">
        <v>0</v>
      </c>
      <c r="L7319" s="241">
        <v>0</v>
      </c>
      <c r="M7319" s="241">
        <v>0</v>
      </c>
      <c r="N7319" s="241">
        <v>0</v>
      </c>
      <c r="O7319" s="252">
        <v>0</v>
      </c>
    </row>
    <row r="7320" spans="1:15">
      <c r="A7320" s="242" t="s">
        <v>26</v>
      </c>
      <c r="B7320" s="43" t="s">
        <v>6</v>
      </c>
      <c r="C7320" s="15">
        <v>7</v>
      </c>
      <c r="D7320" s="244">
        <v>1</v>
      </c>
      <c r="E7320" s="244">
        <v>0</v>
      </c>
      <c r="F7320" s="244">
        <v>0</v>
      </c>
      <c r="G7320" s="244">
        <v>0</v>
      </c>
      <c r="H7320" s="244">
        <v>0</v>
      </c>
      <c r="I7320" s="244">
        <v>0</v>
      </c>
      <c r="J7320" s="244">
        <v>1</v>
      </c>
      <c r="K7320" s="244">
        <v>0</v>
      </c>
      <c r="L7320" s="244">
        <v>2</v>
      </c>
      <c r="M7320" s="244">
        <v>2</v>
      </c>
      <c r="N7320" s="244">
        <v>0</v>
      </c>
      <c r="O7320" s="254">
        <v>1</v>
      </c>
    </row>
    <row r="7321" ht="14.25" spans="1:15">
      <c r="A7321" s="245" t="s">
        <v>26</v>
      </c>
      <c r="B7321" s="52" t="s">
        <v>64</v>
      </c>
      <c r="C7321" s="19">
        <v>0.318181818181818</v>
      </c>
      <c r="D7321" s="19">
        <v>0.0454545454545455</v>
      </c>
      <c r="E7321" s="19" t="e">
        <v>#DIV/0!</v>
      </c>
      <c r="F7321" s="19" t="e">
        <v>#DIV/0!</v>
      </c>
      <c r="G7321" s="19" t="e">
        <v>#DIV/0!</v>
      </c>
      <c r="H7321" s="19" t="e">
        <v>#DIV/0!</v>
      </c>
      <c r="I7321" s="19" t="e">
        <v>#DIV/0!</v>
      </c>
      <c r="J7321" s="19" t="e">
        <v>#DIV/0!</v>
      </c>
      <c r="K7321" s="19" t="e">
        <v>#DIV/0!</v>
      </c>
      <c r="L7321" s="19" t="e">
        <v>#DIV/0!</v>
      </c>
      <c r="M7321" s="19" t="e">
        <v>#DIV/0!</v>
      </c>
      <c r="N7321" s="19" t="e">
        <v>#DIV/0!</v>
      </c>
      <c r="O7321" s="19" t="e">
        <v>#DIV/0!</v>
      </c>
    </row>
    <row r="7322" spans="1:15">
      <c r="A7322" s="240" t="s">
        <v>71</v>
      </c>
      <c r="B7322" s="47" t="s">
        <v>55</v>
      </c>
      <c r="C7322" s="12">
        <v>0.246296296296296</v>
      </c>
      <c r="D7322" s="241">
        <v>0.156862745098039</v>
      </c>
      <c r="E7322" s="241">
        <v>0.25</v>
      </c>
      <c r="F7322" s="241">
        <v>0.263157894736842</v>
      </c>
      <c r="G7322" s="241">
        <v>0.32</v>
      </c>
      <c r="H7322" s="241">
        <v>0.780487804878049</v>
      </c>
      <c r="I7322" s="241">
        <v>0.204081632653061</v>
      </c>
      <c r="J7322" s="241">
        <v>0.0888888888888889</v>
      </c>
      <c r="K7322" s="241">
        <v>0.471698113207547</v>
      </c>
      <c r="L7322" s="241">
        <v>0.087719298245614</v>
      </c>
      <c r="M7322" s="241">
        <v>0.195121951219512</v>
      </c>
      <c r="N7322" s="241">
        <v>0.225806451612903</v>
      </c>
      <c r="O7322" s="252">
        <v>0.101449275362319</v>
      </c>
    </row>
    <row r="7323" spans="1:15">
      <c r="A7323" s="242" t="s">
        <v>71</v>
      </c>
      <c r="B7323" s="43" t="s">
        <v>57</v>
      </c>
      <c r="C7323" s="15">
        <v>540</v>
      </c>
      <c r="D7323" s="243">
        <v>51</v>
      </c>
      <c r="E7323" s="243">
        <v>28</v>
      </c>
      <c r="F7323" s="243">
        <v>19</v>
      </c>
      <c r="G7323" s="243">
        <v>25</v>
      </c>
      <c r="H7323" s="243">
        <v>41</v>
      </c>
      <c r="I7323" s="243">
        <v>49</v>
      </c>
      <c r="J7323" s="243">
        <v>45</v>
      </c>
      <c r="K7323" s="243">
        <v>53</v>
      </c>
      <c r="L7323" s="243">
        <v>57</v>
      </c>
      <c r="M7323" s="243">
        <v>41</v>
      </c>
      <c r="N7323" s="243">
        <v>62</v>
      </c>
      <c r="O7323" s="253">
        <v>69</v>
      </c>
    </row>
    <row r="7324" spans="1:15">
      <c r="A7324" s="240" t="s">
        <v>71</v>
      </c>
      <c r="B7324" s="47" t="s">
        <v>59</v>
      </c>
      <c r="C7324" s="15">
        <v>133</v>
      </c>
      <c r="D7324" s="243">
        <v>8</v>
      </c>
      <c r="E7324" s="243">
        <v>7</v>
      </c>
      <c r="F7324" s="243">
        <v>5</v>
      </c>
      <c r="G7324" s="243">
        <v>8</v>
      </c>
      <c r="H7324" s="243">
        <v>32</v>
      </c>
      <c r="I7324" s="243">
        <v>10</v>
      </c>
      <c r="J7324" s="243">
        <v>4</v>
      </c>
      <c r="K7324" s="243">
        <v>25</v>
      </c>
      <c r="L7324" s="243">
        <v>5</v>
      </c>
      <c r="M7324" s="243">
        <v>8</v>
      </c>
      <c r="N7324" s="243">
        <v>14</v>
      </c>
      <c r="O7324" s="253">
        <v>7</v>
      </c>
    </row>
    <row r="7325" spans="1:15">
      <c r="A7325" s="242" t="s">
        <v>71</v>
      </c>
      <c r="B7325" s="43" t="s">
        <v>4</v>
      </c>
      <c r="C7325" s="15">
        <v>22</v>
      </c>
      <c r="D7325" s="244">
        <v>20</v>
      </c>
      <c r="E7325" s="244">
        <v>0</v>
      </c>
      <c r="F7325" s="244">
        <v>0</v>
      </c>
      <c r="G7325" s="244">
        <v>0</v>
      </c>
      <c r="H7325" s="244">
        <v>1</v>
      </c>
      <c r="I7325" s="244">
        <v>0</v>
      </c>
      <c r="J7325" s="244">
        <v>1</v>
      </c>
      <c r="K7325" s="244">
        <v>0</v>
      </c>
      <c r="L7325" s="244">
        <v>0</v>
      </c>
      <c r="M7325" s="244">
        <v>0</v>
      </c>
      <c r="N7325" s="244">
        <v>0</v>
      </c>
      <c r="O7325" s="254">
        <v>0</v>
      </c>
    </row>
    <row r="7326" spans="1:15">
      <c r="A7326" s="240" t="s">
        <v>71</v>
      </c>
      <c r="B7326" s="47" t="s">
        <v>5</v>
      </c>
      <c r="C7326" s="241">
        <v>0.165413533834586</v>
      </c>
      <c r="D7326" s="241">
        <v>2.5</v>
      </c>
      <c r="E7326" s="241">
        <v>0</v>
      </c>
      <c r="F7326" s="241">
        <v>0</v>
      </c>
      <c r="G7326" s="241">
        <v>0</v>
      </c>
      <c r="H7326" s="241">
        <v>0.03125</v>
      </c>
      <c r="I7326" s="241">
        <v>0</v>
      </c>
      <c r="J7326" s="241">
        <v>0.25</v>
      </c>
      <c r="K7326" s="241">
        <v>0</v>
      </c>
      <c r="L7326" s="241">
        <v>0</v>
      </c>
      <c r="M7326" s="241">
        <v>0</v>
      </c>
      <c r="N7326" s="241">
        <v>0</v>
      </c>
      <c r="O7326" s="252">
        <v>0</v>
      </c>
    </row>
    <row r="7327" spans="1:15">
      <c r="A7327" s="242" t="s">
        <v>71</v>
      </c>
      <c r="B7327" s="43" t="s">
        <v>6</v>
      </c>
      <c r="C7327" s="15">
        <v>4</v>
      </c>
      <c r="D7327" s="244">
        <v>0</v>
      </c>
      <c r="E7327" s="244">
        <v>0</v>
      </c>
      <c r="F7327" s="244">
        <v>0</v>
      </c>
      <c r="G7327" s="244">
        <v>0</v>
      </c>
      <c r="H7327" s="244">
        <v>0</v>
      </c>
      <c r="I7327" s="244">
        <v>1</v>
      </c>
      <c r="J7327" s="244">
        <v>0</v>
      </c>
      <c r="K7327" s="244">
        <v>1</v>
      </c>
      <c r="L7327" s="244">
        <v>1</v>
      </c>
      <c r="M7327" s="244">
        <v>0</v>
      </c>
      <c r="N7327" s="244">
        <v>1</v>
      </c>
      <c r="O7327" s="254">
        <v>0</v>
      </c>
    </row>
    <row r="7328" ht="14.25" spans="1:15">
      <c r="A7328" s="245" t="s">
        <v>71</v>
      </c>
      <c r="B7328" s="52" t="s">
        <v>64</v>
      </c>
      <c r="C7328" s="19">
        <v>0.181818181818182</v>
      </c>
      <c r="D7328" s="19">
        <v>0</v>
      </c>
      <c r="E7328" s="19" t="e">
        <v>#DIV/0!</v>
      </c>
      <c r="F7328" s="19" t="e">
        <v>#DIV/0!</v>
      </c>
      <c r="G7328" s="19" t="e">
        <v>#DIV/0!</v>
      </c>
      <c r="H7328" s="19">
        <v>0</v>
      </c>
      <c r="I7328" s="19" t="e">
        <v>#DIV/0!</v>
      </c>
      <c r="J7328" s="19">
        <v>0</v>
      </c>
      <c r="K7328" s="19" t="e">
        <v>#DIV/0!</v>
      </c>
      <c r="L7328" s="19" t="e">
        <v>#DIV/0!</v>
      </c>
      <c r="M7328" s="19" t="e">
        <v>#DIV/0!</v>
      </c>
      <c r="N7328" s="19" t="e">
        <v>#DIV/0!</v>
      </c>
      <c r="O7328" s="19" t="e">
        <v>#DIV/0!</v>
      </c>
    </row>
    <row r="7329" spans="1:15">
      <c r="A7329" s="240" t="s">
        <v>72</v>
      </c>
      <c r="B7329" s="47" t="s">
        <v>55</v>
      </c>
      <c r="C7329" s="12">
        <v>0.0364081382897354</v>
      </c>
      <c r="D7329" s="241">
        <v>0.05</v>
      </c>
      <c r="E7329" s="241">
        <v>0.0385438972162741</v>
      </c>
      <c r="F7329" s="241">
        <v>0.0467289719626168</v>
      </c>
      <c r="G7329" s="241">
        <v>0.041740674955595</v>
      </c>
      <c r="H7329" s="241">
        <v>0.0523364485981308</v>
      </c>
      <c r="I7329" s="241">
        <v>0.0241129865656218</v>
      </c>
      <c r="J7329" s="241">
        <v>0.0324143070044709</v>
      </c>
      <c r="K7329" s="241">
        <v>0.0399439383321654</v>
      </c>
      <c r="L7329" s="241">
        <v>0.0326557814061979</v>
      </c>
      <c r="M7329" s="241">
        <v>0.0361500225937641</v>
      </c>
      <c r="N7329" s="241">
        <v>0.0345853477129044</v>
      </c>
      <c r="O7329" s="252">
        <v>0.0284734133790738</v>
      </c>
    </row>
    <row r="7330" spans="1:15">
      <c r="A7330" s="242" t="s">
        <v>72</v>
      </c>
      <c r="B7330" s="43" t="s">
        <v>57</v>
      </c>
      <c r="C7330" s="15">
        <v>26148</v>
      </c>
      <c r="D7330" s="243">
        <v>1940</v>
      </c>
      <c r="E7330" s="243">
        <v>934</v>
      </c>
      <c r="F7330" s="243">
        <v>749</v>
      </c>
      <c r="G7330" s="243">
        <v>1126</v>
      </c>
      <c r="H7330" s="243">
        <v>2140</v>
      </c>
      <c r="I7330" s="243">
        <v>2903</v>
      </c>
      <c r="J7330" s="243">
        <v>2684</v>
      </c>
      <c r="K7330" s="243">
        <v>2854</v>
      </c>
      <c r="L7330" s="243">
        <v>3001</v>
      </c>
      <c r="M7330" s="243">
        <v>2213</v>
      </c>
      <c r="N7330" s="243">
        <v>2689</v>
      </c>
      <c r="O7330" s="253">
        <v>2915</v>
      </c>
    </row>
    <row r="7331" spans="1:15">
      <c r="A7331" s="240" t="s">
        <v>72</v>
      </c>
      <c r="B7331" s="47" t="s">
        <v>59</v>
      </c>
      <c r="C7331" s="15">
        <v>952</v>
      </c>
      <c r="D7331" s="243">
        <v>97</v>
      </c>
      <c r="E7331" s="243">
        <v>36</v>
      </c>
      <c r="F7331" s="243">
        <v>35</v>
      </c>
      <c r="G7331" s="243">
        <v>47</v>
      </c>
      <c r="H7331" s="243">
        <v>112</v>
      </c>
      <c r="I7331" s="243">
        <v>70</v>
      </c>
      <c r="J7331" s="243">
        <v>87</v>
      </c>
      <c r="K7331" s="243">
        <v>114</v>
      </c>
      <c r="L7331" s="243">
        <v>98</v>
      </c>
      <c r="M7331" s="243">
        <v>80</v>
      </c>
      <c r="N7331" s="243">
        <v>93</v>
      </c>
      <c r="O7331" s="253">
        <v>83</v>
      </c>
    </row>
    <row r="7332" spans="1:15">
      <c r="A7332" s="242" t="s">
        <v>72</v>
      </c>
      <c r="B7332" s="43" t="s">
        <v>4</v>
      </c>
      <c r="C7332" s="15">
        <v>50</v>
      </c>
      <c r="D7332" s="244">
        <v>47</v>
      </c>
      <c r="E7332" s="244">
        <v>0</v>
      </c>
      <c r="F7332" s="244">
        <v>0</v>
      </c>
      <c r="G7332" s="244">
        <v>0</v>
      </c>
      <c r="H7332" s="244">
        <v>2</v>
      </c>
      <c r="I7332" s="244">
        <v>0</v>
      </c>
      <c r="J7332" s="244">
        <v>0</v>
      </c>
      <c r="K7332" s="244">
        <v>0</v>
      </c>
      <c r="L7332" s="244">
        <v>0</v>
      </c>
      <c r="M7332" s="244">
        <v>0</v>
      </c>
      <c r="N7332" s="244">
        <v>1</v>
      </c>
      <c r="O7332" s="254">
        <v>0</v>
      </c>
    </row>
    <row r="7333" spans="1:15">
      <c r="A7333" s="240" t="s">
        <v>72</v>
      </c>
      <c r="B7333" s="47" t="s">
        <v>5</v>
      </c>
      <c r="C7333" s="12">
        <v>0.0525210084033613</v>
      </c>
      <c r="D7333" s="241">
        <v>0.484536082474227</v>
      </c>
      <c r="E7333" s="241">
        <v>0</v>
      </c>
      <c r="F7333" s="241">
        <v>0</v>
      </c>
      <c r="G7333" s="241">
        <v>0</v>
      </c>
      <c r="H7333" s="241">
        <v>0.0178571428571429</v>
      </c>
      <c r="I7333" s="241">
        <v>0</v>
      </c>
      <c r="J7333" s="241">
        <v>0</v>
      </c>
      <c r="K7333" s="241">
        <v>0</v>
      </c>
      <c r="L7333" s="241">
        <v>0</v>
      </c>
      <c r="M7333" s="241">
        <v>0</v>
      </c>
      <c r="N7333" s="241">
        <v>0.010752688172043</v>
      </c>
      <c r="O7333" s="252">
        <v>0</v>
      </c>
    </row>
    <row r="7334" spans="1:15">
      <c r="A7334" s="242" t="s">
        <v>72</v>
      </c>
      <c r="B7334" s="43" t="s">
        <v>6</v>
      </c>
      <c r="C7334" s="15">
        <v>14</v>
      </c>
      <c r="D7334" s="244">
        <v>1</v>
      </c>
      <c r="E7334" s="244">
        <v>0</v>
      </c>
      <c r="F7334" s="244">
        <v>0</v>
      </c>
      <c r="G7334" s="244">
        <v>0</v>
      </c>
      <c r="H7334" s="244">
        <v>1</v>
      </c>
      <c r="I7334" s="244">
        <v>2</v>
      </c>
      <c r="J7334" s="244">
        <v>2</v>
      </c>
      <c r="K7334" s="244">
        <v>1</v>
      </c>
      <c r="L7334" s="244">
        <v>2</v>
      </c>
      <c r="M7334" s="244">
        <v>2</v>
      </c>
      <c r="N7334" s="244">
        <v>1</v>
      </c>
      <c r="O7334" s="254">
        <v>2</v>
      </c>
    </row>
    <row r="7335" ht="14.25" spans="1:15">
      <c r="A7335" s="245" t="s">
        <v>72</v>
      </c>
      <c r="B7335" s="52" t="s">
        <v>64</v>
      </c>
      <c r="C7335" s="19">
        <v>0.28</v>
      </c>
      <c r="D7335" s="19">
        <v>0.0212765957446809</v>
      </c>
      <c r="E7335" s="19" t="e">
        <v>#DIV/0!</v>
      </c>
      <c r="F7335" s="19" t="e">
        <v>#DIV/0!</v>
      </c>
      <c r="G7335" s="19" t="e">
        <v>#DIV/0!</v>
      </c>
      <c r="H7335" s="19">
        <v>0.5</v>
      </c>
      <c r="I7335" s="19" t="e">
        <v>#DIV/0!</v>
      </c>
      <c r="J7335" s="19" t="e">
        <v>#DIV/0!</v>
      </c>
      <c r="K7335" s="19" t="e">
        <v>#DIV/0!</v>
      </c>
      <c r="L7335" s="19" t="e">
        <v>#DIV/0!</v>
      </c>
      <c r="M7335" s="19" t="e">
        <v>#DIV/0!</v>
      </c>
      <c r="N7335" s="19">
        <v>1</v>
      </c>
      <c r="O7335" s="19" t="e">
        <v>#DIV/0!</v>
      </c>
    </row>
    <row r="7336" ht="14.25" spans="1:15">
      <c r="A7336" s="259">
        <v>45132</v>
      </c>
      <c r="B7336" s="259"/>
      <c r="C7336" s="259"/>
      <c r="D7336" s="259"/>
      <c r="E7336" s="259"/>
      <c r="F7336" s="259"/>
      <c r="G7336" s="259"/>
      <c r="H7336" s="259"/>
      <c r="I7336" s="259"/>
      <c r="J7336" s="259"/>
      <c r="K7336" s="259"/>
      <c r="L7336" s="259"/>
      <c r="M7336" s="259"/>
      <c r="N7336" s="259"/>
      <c r="O7336" s="259"/>
    </row>
    <row r="7337" spans="1:15">
      <c r="A7337" s="260" t="s">
        <v>1</v>
      </c>
      <c r="B7337" s="261"/>
      <c r="C7337" s="8" t="s">
        <v>42</v>
      </c>
      <c r="D7337" s="262" t="s">
        <v>43</v>
      </c>
      <c r="E7337" s="262" t="s">
        <v>44</v>
      </c>
      <c r="F7337" s="262" t="s">
        <v>45</v>
      </c>
      <c r="G7337" s="262" t="s">
        <v>46</v>
      </c>
      <c r="H7337" s="262" t="s">
        <v>47</v>
      </c>
      <c r="I7337" s="262" t="s">
        <v>48</v>
      </c>
      <c r="J7337" s="262" t="s">
        <v>49</v>
      </c>
      <c r="K7337" s="262" t="s">
        <v>50</v>
      </c>
      <c r="L7337" s="262" t="s">
        <v>51</v>
      </c>
      <c r="M7337" s="262" t="s">
        <v>52</v>
      </c>
      <c r="N7337" s="262" t="s">
        <v>53</v>
      </c>
      <c r="O7337" s="276" t="s">
        <v>54</v>
      </c>
    </row>
    <row r="7338" spans="1:15">
      <c r="A7338" s="263" t="s">
        <v>22</v>
      </c>
      <c r="B7338" s="264" t="s">
        <v>55</v>
      </c>
      <c r="C7338" s="12">
        <v>0.559701492537313</v>
      </c>
      <c r="D7338" s="265">
        <v>0.493243243243243</v>
      </c>
      <c r="E7338" s="265">
        <v>0.515151515151515</v>
      </c>
      <c r="F7338" s="265">
        <v>0.736842105263158</v>
      </c>
      <c r="G7338" s="265">
        <v>0.590909090909091</v>
      </c>
      <c r="H7338" s="265">
        <v>0.982758620689655</v>
      </c>
      <c r="I7338" s="265">
        <v>0.663265306122449</v>
      </c>
      <c r="J7338" s="265">
        <v>0.508333333333333</v>
      </c>
      <c r="K7338" s="265">
        <v>0.593984962406015</v>
      </c>
      <c r="L7338" s="265">
        <v>0.526717557251908</v>
      </c>
      <c r="M7338" s="265">
        <v>0.637362637362637</v>
      </c>
      <c r="N7338" s="265">
        <v>0.460431654676259</v>
      </c>
      <c r="O7338" s="277">
        <v>0.435714285714286</v>
      </c>
    </row>
    <row r="7339" spans="1:15">
      <c r="A7339" s="266" t="s">
        <v>22</v>
      </c>
      <c r="B7339" s="267" t="s">
        <v>57</v>
      </c>
      <c r="C7339" s="15">
        <v>1206</v>
      </c>
      <c r="D7339" s="268">
        <v>148</v>
      </c>
      <c r="E7339" s="268">
        <v>66</v>
      </c>
      <c r="F7339" s="268">
        <v>38</v>
      </c>
      <c r="G7339" s="268">
        <v>44</v>
      </c>
      <c r="H7339" s="268">
        <v>58</v>
      </c>
      <c r="I7339" s="268">
        <v>98</v>
      </c>
      <c r="J7339" s="268">
        <v>120</v>
      </c>
      <c r="K7339" s="268">
        <v>133</v>
      </c>
      <c r="L7339" s="268">
        <v>131</v>
      </c>
      <c r="M7339" s="268">
        <v>91</v>
      </c>
      <c r="N7339" s="268">
        <v>139</v>
      </c>
      <c r="O7339" s="278">
        <v>140</v>
      </c>
    </row>
    <row r="7340" spans="1:15">
      <c r="A7340" s="263" t="s">
        <v>22</v>
      </c>
      <c r="B7340" s="264" t="s">
        <v>59</v>
      </c>
      <c r="C7340" s="15">
        <v>675</v>
      </c>
      <c r="D7340" s="268">
        <v>73</v>
      </c>
      <c r="E7340" s="268">
        <v>34</v>
      </c>
      <c r="F7340" s="268">
        <v>28</v>
      </c>
      <c r="G7340" s="268">
        <v>26</v>
      </c>
      <c r="H7340" s="268">
        <v>57</v>
      </c>
      <c r="I7340" s="268">
        <v>65</v>
      </c>
      <c r="J7340" s="268">
        <v>61</v>
      </c>
      <c r="K7340" s="268">
        <v>79</v>
      </c>
      <c r="L7340" s="268">
        <v>69</v>
      </c>
      <c r="M7340" s="268">
        <v>58</v>
      </c>
      <c r="N7340" s="268">
        <v>64</v>
      </c>
      <c r="O7340" s="278">
        <v>61</v>
      </c>
    </row>
    <row r="7341" spans="1:15">
      <c r="A7341" s="266" t="s">
        <v>22</v>
      </c>
      <c r="B7341" s="267" t="s">
        <v>4</v>
      </c>
      <c r="C7341" s="15">
        <v>117</v>
      </c>
      <c r="D7341" s="269">
        <v>114</v>
      </c>
      <c r="E7341" s="269">
        <v>0</v>
      </c>
      <c r="F7341" s="269">
        <v>1</v>
      </c>
      <c r="G7341" s="269">
        <v>0</v>
      </c>
      <c r="H7341" s="269">
        <v>0</v>
      </c>
      <c r="I7341" s="269">
        <v>0</v>
      </c>
      <c r="J7341" s="269">
        <v>0</v>
      </c>
      <c r="K7341" s="269">
        <v>1</v>
      </c>
      <c r="L7341" s="269">
        <v>0</v>
      </c>
      <c r="M7341" s="269">
        <v>0</v>
      </c>
      <c r="N7341" s="269">
        <v>1</v>
      </c>
      <c r="O7341" s="279">
        <v>0</v>
      </c>
    </row>
    <row r="7342" spans="1:15">
      <c r="A7342" s="263" t="s">
        <v>22</v>
      </c>
      <c r="B7342" s="264" t="s">
        <v>5</v>
      </c>
      <c r="C7342" s="12">
        <v>0.173333333333333</v>
      </c>
      <c r="D7342" s="265">
        <v>1.56164383561644</v>
      </c>
      <c r="E7342" s="265">
        <v>0</v>
      </c>
      <c r="F7342" s="265">
        <v>0.0357142857142857</v>
      </c>
      <c r="G7342" s="265">
        <v>0</v>
      </c>
      <c r="H7342" s="265">
        <v>0</v>
      </c>
      <c r="I7342" s="265">
        <v>0</v>
      </c>
      <c r="J7342" s="265">
        <v>0</v>
      </c>
      <c r="K7342" s="265">
        <v>0.0126582278481013</v>
      </c>
      <c r="L7342" s="265">
        <v>0</v>
      </c>
      <c r="M7342" s="265">
        <v>0</v>
      </c>
      <c r="N7342" s="265">
        <v>0.015625</v>
      </c>
      <c r="O7342" s="277">
        <v>0</v>
      </c>
    </row>
    <row r="7343" spans="1:15">
      <c r="A7343" s="266" t="s">
        <v>22</v>
      </c>
      <c r="B7343" s="267" t="s">
        <v>6</v>
      </c>
      <c r="C7343" s="15">
        <v>28</v>
      </c>
      <c r="D7343" s="269">
        <v>4</v>
      </c>
      <c r="E7343" s="269">
        <v>2</v>
      </c>
      <c r="F7343" s="269">
        <v>1</v>
      </c>
      <c r="G7343" s="269">
        <v>1</v>
      </c>
      <c r="H7343" s="269">
        <v>3</v>
      </c>
      <c r="I7343" s="269">
        <v>7</v>
      </c>
      <c r="J7343" s="269">
        <v>4</v>
      </c>
      <c r="K7343" s="269">
        <v>1</v>
      </c>
      <c r="L7343" s="269">
        <v>2</v>
      </c>
      <c r="M7343" s="269">
        <v>2</v>
      </c>
      <c r="N7343" s="269">
        <v>1</v>
      </c>
      <c r="O7343" s="279">
        <v>0</v>
      </c>
    </row>
    <row r="7344" ht="14.25" spans="1:15">
      <c r="A7344" s="270" t="s">
        <v>22</v>
      </c>
      <c r="B7344" s="271" t="s">
        <v>64</v>
      </c>
      <c r="C7344" s="19">
        <v>0.239316239316239</v>
      </c>
      <c r="D7344" s="272">
        <v>0.0350877192982456</v>
      </c>
      <c r="E7344" s="272">
        <v>0</v>
      </c>
      <c r="F7344" s="272">
        <v>1</v>
      </c>
      <c r="G7344" s="272">
        <v>0</v>
      </c>
      <c r="H7344" s="272">
        <v>0</v>
      </c>
      <c r="I7344" s="272">
        <v>0</v>
      </c>
      <c r="J7344" s="272">
        <v>0</v>
      </c>
      <c r="K7344" s="272">
        <v>1</v>
      </c>
      <c r="L7344" s="272">
        <v>0</v>
      </c>
      <c r="M7344" s="272">
        <v>0</v>
      </c>
      <c r="N7344" s="272">
        <v>1</v>
      </c>
      <c r="O7344" s="280">
        <v>0</v>
      </c>
    </row>
    <row r="7345" spans="1:15">
      <c r="A7345" s="247" t="s">
        <v>66</v>
      </c>
      <c r="B7345" s="248" t="s">
        <v>55</v>
      </c>
      <c r="C7345" s="12">
        <v>0.150957566654149</v>
      </c>
      <c r="D7345" s="249">
        <v>0.22488038277512</v>
      </c>
      <c r="E7345" s="249">
        <v>0.149350649350649</v>
      </c>
      <c r="F7345" s="249">
        <v>0.288659793814433</v>
      </c>
      <c r="G7345" s="249">
        <v>0.0987654320987654</v>
      </c>
      <c r="H7345" s="249">
        <v>0.163461538461538</v>
      </c>
      <c r="I7345" s="249">
        <v>0.150234741784038</v>
      </c>
      <c r="J7345" s="249">
        <v>0.11070110701107</v>
      </c>
      <c r="K7345" s="249">
        <v>0.153310104529617</v>
      </c>
      <c r="L7345" s="249">
        <v>0.12043795620438</v>
      </c>
      <c r="M7345" s="249">
        <v>0.111627906976744</v>
      </c>
      <c r="N7345" s="249">
        <v>0.193181818181818</v>
      </c>
      <c r="O7345" s="256">
        <v>0.129449838187702</v>
      </c>
    </row>
    <row r="7346" spans="1:15">
      <c r="A7346" s="242" t="s">
        <v>66</v>
      </c>
      <c r="B7346" s="43" t="s">
        <v>57</v>
      </c>
      <c r="C7346" s="15">
        <v>2663</v>
      </c>
      <c r="D7346" s="243">
        <v>209</v>
      </c>
      <c r="E7346" s="243">
        <v>154</v>
      </c>
      <c r="F7346" s="243">
        <v>97</v>
      </c>
      <c r="G7346" s="243">
        <v>162</v>
      </c>
      <c r="H7346" s="243">
        <v>208</v>
      </c>
      <c r="I7346" s="243">
        <v>213</v>
      </c>
      <c r="J7346" s="243">
        <v>271</v>
      </c>
      <c r="K7346" s="243">
        <v>287</v>
      </c>
      <c r="L7346" s="243">
        <v>274</v>
      </c>
      <c r="M7346" s="243">
        <v>215</v>
      </c>
      <c r="N7346" s="243">
        <v>264</v>
      </c>
      <c r="O7346" s="253">
        <v>309</v>
      </c>
    </row>
    <row r="7347" spans="1:15">
      <c r="A7347" s="240" t="s">
        <v>66</v>
      </c>
      <c r="B7347" s="47" t="s">
        <v>59</v>
      </c>
      <c r="C7347" s="15">
        <v>402</v>
      </c>
      <c r="D7347" s="243">
        <v>47</v>
      </c>
      <c r="E7347" s="243">
        <v>23</v>
      </c>
      <c r="F7347" s="243">
        <v>28</v>
      </c>
      <c r="G7347" s="243">
        <v>16</v>
      </c>
      <c r="H7347" s="243">
        <v>34</v>
      </c>
      <c r="I7347" s="243">
        <v>32</v>
      </c>
      <c r="J7347" s="243">
        <v>30</v>
      </c>
      <c r="K7347" s="243">
        <v>44</v>
      </c>
      <c r="L7347" s="243">
        <v>33</v>
      </c>
      <c r="M7347" s="243">
        <v>24</v>
      </c>
      <c r="N7347" s="243">
        <v>51</v>
      </c>
      <c r="O7347" s="253">
        <v>40</v>
      </c>
    </row>
    <row r="7348" spans="1:15">
      <c r="A7348" s="242" t="s">
        <v>66</v>
      </c>
      <c r="B7348" s="43" t="s">
        <v>4</v>
      </c>
      <c r="C7348" s="15">
        <v>11</v>
      </c>
      <c r="D7348" s="244">
        <v>11</v>
      </c>
      <c r="E7348" s="244">
        <v>0</v>
      </c>
      <c r="F7348" s="244">
        <v>0</v>
      </c>
      <c r="G7348" s="244">
        <v>0</v>
      </c>
      <c r="H7348" s="244">
        <v>0</v>
      </c>
      <c r="I7348" s="244">
        <v>0</v>
      </c>
      <c r="J7348" s="244">
        <v>0</v>
      </c>
      <c r="K7348" s="244">
        <v>0</v>
      </c>
      <c r="L7348" s="244">
        <v>0</v>
      </c>
      <c r="M7348" s="244">
        <v>0</v>
      </c>
      <c r="N7348" s="244">
        <v>0</v>
      </c>
      <c r="O7348" s="254">
        <v>0</v>
      </c>
    </row>
    <row r="7349" spans="1:15">
      <c r="A7349" s="240" t="s">
        <v>66</v>
      </c>
      <c r="B7349" s="47" t="s">
        <v>5</v>
      </c>
      <c r="C7349" s="12">
        <v>0.027363184079602</v>
      </c>
      <c r="D7349" s="241">
        <v>0.234042553191489</v>
      </c>
      <c r="E7349" s="241">
        <v>0</v>
      </c>
      <c r="F7349" s="241">
        <v>0</v>
      </c>
      <c r="G7349" s="241">
        <v>0</v>
      </c>
      <c r="H7349" s="241">
        <v>0</v>
      </c>
      <c r="I7349" s="241">
        <v>0</v>
      </c>
      <c r="J7349" s="241">
        <v>0</v>
      </c>
      <c r="K7349" s="241">
        <v>0</v>
      </c>
      <c r="L7349" s="241">
        <v>0</v>
      </c>
      <c r="M7349" s="241">
        <v>0</v>
      </c>
      <c r="N7349" s="241">
        <v>0</v>
      </c>
      <c r="O7349" s="252">
        <v>0</v>
      </c>
    </row>
    <row r="7350" spans="1:15">
      <c r="A7350" s="242" t="s">
        <v>66</v>
      </c>
      <c r="B7350" s="43" t="s">
        <v>6</v>
      </c>
      <c r="C7350" s="15">
        <v>6</v>
      </c>
      <c r="D7350" s="244">
        <v>2</v>
      </c>
      <c r="E7350" s="244">
        <v>2</v>
      </c>
      <c r="F7350" s="244">
        <v>0</v>
      </c>
      <c r="G7350" s="244">
        <v>0</v>
      </c>
      <c r="H7350" s="244">
        <v>0</v>
      </c>
      <c r="I7350" s="244">
        <v>0</v>
      </c>
      <c r="J7350" s="244">
        <v>0</v>
      </c>
      <c r="K7350" s="244">
        <v>0</v>
      </c>
      <c r="L7350" s="244">
        <v>1</v>
      </c>
      <c r="M7350" s="244">
        <v>1</v>
      </c>
      <c r="N7350" s="244">
        <v>0</v>
      </c>
      <c r="O7350" s="254">
        <v>0</v>
      </c>
    </row>
    <row r="7351" ht="14.25" spans="1:15">
      <c r="A7351" s="245" t="s">
        <v>66</v>
      </c>
      <c r="B7351" s="52" t="s">
        <v>64</v>
      </c>
      <c r="C7351" s="19">
        <v>0.545454545454545</v>
      </c>
      <c r="D7351" s="246">
        <v>0.181818181818182</v>
      </c>
      <c r="E7351" s="246">
        <v>0</v>
      </c>
      <c r="F7351" s="246">
        <v>0</v>
      </c>
      <c r="G7351" s="246">
        <v>0</v>
      </c>
      <c r="H7351" s="246">
        <v>0</v>
      </c>
      <c r="I7351" s="246">
        <v>0</v>
      </c>
      <c r="J7351" s="246">
        <v>0</v>
      </c>
      <c r="K7351" s="246">
        <v>0</v>
      </c>
      <c r="L7351" s="246">
        <v>0</v>
      </c>
      <c r="M7351" s="246">
        <v>0</v>
      </c>
      <c r="N7351" s="246">
        <v>0</v>
      </c>
      <c r="O7351" s="255">
        <v>0</v>
      </c>
    </row>
    <row r="7352" spans="1:15">
      <c r="A7352" s="240" t="s">
        <v>67</v>
      </c>
      <c r="B7352" s="47" t="s">
        <v>55</v>
      </c>
      <c r="C7352" s="12">
        <v>0.46234309623431</v>
      </c>
      <c r="D7352" s="241">
        <v>0.644444444444444</v>
      </c>
      <c r="E7352" s="241">
        <v>0.38</v>
      </c>
      <c r="F7352" s="241">
        <v>0.333333333333333</v>
      </c>
      <c r="G7352" s="241">
        <v>0.509433962264151</v>
      </c>
      <c r="H7352" s="241">
        <v>0.460526315789474</v>
      </c>
      <c r="I7352" s="241">
        <v>0.571428571428571</v>
      </c>
      <c r="J7352" s="241">
        <v>0.454545454545455</v>
      </c>
      <c r="K7352" s="241">
        <v>0.327433628318584</v>
      </c>
      <c r="L7352" s="241">
        <v>0.392405063291139</v>
      </c>
      <c r="M7352" s="241">
        <v>0.4</v>
      </c>
      <c r="N7352" s="241">
        <v>0.431372549019608</v>
      </c>
      <c r="O7352" s="252">
        <v>0.611764705882353</v>
      </c>
    </row>
    <row r="7353" spans="1:15">
      <c r="A7353" s="242" t="s">
        <v>67</v>
      </c>
      <c r="B7353" s="43" t="s">
        <v>57</v>
      </c>
      <c r="C7353" s="15">
        <v>956</v>
      </c>
      <c r="D7353" s="243">
        <v>90</v>
      </c>
      <c r="E7353" s="243">
        <v>50</v>
      </c>
      <c r="F7353" s="243">
        <v>42</v>
      </c>
      <c r="G7353" s="243">
        <v>53</v>
      </c>
      <c r="H7353" s="243">
        <v>76</v>
      </c>
      <c r="I7353" s="243">
        <v>77</v>
      </c>
      <c r="J7353" s="243">
        <v>99</v>
      </c>
      <c r="K7353" s="243">
        <v>113</v>
      </c>
      <c r="L7353" s="243">
        <v>79</v>
      </c>
      <c r="M7353" s="243">
        <v>90</v>
      </c>
      <c r="N7353" s="243">
        <v>102</v>
      </c>
      <c r="O7353" s="253">
        <v>85</v>
      </c>
    </row>
    <row r="7354" spans="1:15">
      <c r="A7354" s="240" t="s">
        <v>67</v>
      </c>
      <c r="B7354" s="47" t="s">
        <v>59</v>
      </c>
      <c r="C7354" s="15">
        <v>442</v>
      </c>
      <c r="D7354" s="243">
        <v>58</v>
      </c>
      <c r="E7354" s="243">
        <v>19</v>
      </c>
      <c r="F7354" s="243">
        <v>14</v>
      </c>
      <c r="G7354" s="243">
        <v>27</v>
      </c>
      <c r="H7354" s="243">
        <v>35</v>
      </c>
      <c r="I7354" s="243">
        <v>44</v>
      </c>
      <c r="J7354" s="243">
        <v>45</v>
      </c>
      <c r="K7354" s="243">
        <v>37</v>
      </c>
      <c r="L7354" s="243">
        <v>31</v>
      </c>
      <c r="M7354" s="243">
        <v>36</v>
      </c>
      <c r="N7354" s="243">
        <v>44</v>
      </c>
      <c r="O7354" s="253">
        <v>52</v>
      </c>
    </row>
    <row r="7355" spans="1:15">
      <c r="A7355" s="242" t="s">
        <v>67</v>
      </c>
      <c r="B7355" s="43" t="s">
        <v>4</v>
      </c>
      <c r="C7355" s="15">
        <v>12</v>
      </c>
      <c r="D7355" s="244">
        <v>12</v>
      </c>
      <c r="E7355" s="244">
        <v>0</v>
      </c>
      <c r="F7355" s="244">
        <v>0</v>
      </c>
      <c r="G7355" s="244">
        <v>0</v>
      </c>
      <c r="H7355" s="244">
        <v>0</v>
      </c>
      <c r="I7355" s="244">
        <v>0</v>
      </c>
      <c r="J7355" s="244">
        <v>0</v>
      </c>
      <c r="K7355" s="244">
        <v>0</v>
      </c>
      <c r="L7355" s="244">
        <v>0</v>
      </c>
      <c r="M7355" s="244">
        <v>0</v>
      </c>
      <c r="N7355" s="244">
        <v>0</v>
      </c>
      <c r="O7355" s="254">
        <v>0</v>
      </c>
    </row>
    <row r="7356" spans="1:15">
      <c r="A7356" s="240" t="s">
        <v>67</v>
      </c>
      <c r="B7356" s="47" t="s">
        <v>5</v>
      </c>
      <c r="C7356" s="12">
        <v>0.0271493212669683</v>
      </c>
      <c r="D7356" s="241">
        <v>0.206896551724138</v>
      </c>
      <c r="E7356" s="241">
        <v>0</v>
      </c>
      <c r="F7356" s="241">
        <v>0</v>
      </c>
      <c r="G7356" s="241">
        <v>0</v>
      </c>
      <c r="H7356" s="241">
        <v>0</v>
      </c>
      <c r="I7356" s="241">
        <v>0</v>
      </c>
      <c r="J7356" s="241">
        <v>0</v>
      </c>
      <c r="K7356" s="241">
        <v>0</v>
      </c>
      <c r="L7356" s="241">
        <v>0</v>
      </c>
      <c r="M7356" s="241">
        <v>0</v>
      </c>
      <c r="N7356" s="241">
        <v>0</v>
      </c>
      <c r="O7356" s="252">
        <v>0</v>
      </c>
    </row>
    <row r="7357" spans="1:15">
      <c r="A7357" s="242" t="s">
        <v>67</v>
      </c>
      <c r="B7357" s="43" t="s">
        <v>6</v>
      </c>
      <c r="C7357" s="15">
        <v>4</v>
      </c>
      <c r="D7357" s="244">
        <v>1</v>
      </c>
      <c r="E7357" s="244">
        <v>0</v>
      </c>
      <c r="F7357" s="244">
        <v>1</v>
      </c>
      <c r="G7357" s="244">
        <v>0</v>
      </c>
      <c r="H7357" s="244">
        <v>0</v>
      </c>
      <c r="I7357" s="244">
        <v>0</v>
      </c>
      <c r="J7357" s="244">
        <v>0</v>
      </c>
      <c r="K7357" s="244">
        <v>0</v>
      </c>
      <c r="L7357" s="244">
        <v>1</v>
      </c>
      <c r="M7357" s="244">
        <v>1</v>
      </c>
      <c r="N7357" s="244">
        <v>0</v>
      </c>
      <c r="O7357" s="254">
        <v>0</v>
      </c>
    </row>
    <row r="7358" ht="14.25" spans="1:15">
      <c r="A7358" s="245" t="s">
        <v>67</v>
      </c>
      <c r="B7358" s="52" t="s">
        <v>64</v>
      </c>
      <c r="C7358" s="19">
        <v>0.333333333333333</v>
      </c>
      <c r="D7358" s="246">
        <v>0.0833333333333333</v>
      </c>
      <c r="E7358" s="246">
        <v>0</v>
      </c>
      <c r="F7358" s="246">
        <v>0</v>
      </c>
      <c r="G7358" s="246">
        <v>0</v>
      </c>
      <c r="H7358" s="246">
        <v>0</v>
      </c>
      <c r="I7358" s="246">
        <v>0</v>
      </c>
      <c r="J7358" s="246">
        <v>0</v>
      </c>
      <c r="K7358" s="246">
        <v>0</v>
      </c>
      <c r="L7358" s="246">
        <v>0</v>
      </c>
      <c r="M7358" s="246">
        <v>0</v>
      </c>
      <c r="N7358" s="246">
        <v>0</v>
      </c>
      <c r="O7358" s="255">
        <v>0</v>
      </c>
    </row>
    <row r="7359" spans="1:15">
      <c r="A7359" s="240" t="s">
        <v>68</v>
      </c>
      <c r="B7359" s="47" t="s">
        <v>55</v>
      </c>
      <c r="C7359" s="12">
        <v>0.119158878504673</v>
      </c>
      <c r="D7359" s="241">
        <v>0.166180758017493</v>
      </c>
      <c r="E7359" s="241">
        <v>0.118279569892473</v>
      </c>
      <c r="F7359" s="241">
        <v>0.107692307692308</v>
      </c>
      <c r="G7359" s="241">
        <v>0.256756756756757</v>
      </c>
      <c r="H7359" s="241">
        <v>0.136363636363636</v>
      </c>
      <c r="I7359" s="241">
        <v>0.106995884773663</v>
      </c>
      <c r="J7359" s="241">
        <v>0.0774193548387097</v>
      </c>
      <c r="K7359" s="241">
        <v>0.088628762541806</v>
      </c>
      <c r="L7359" s="241">
        <v>0.112570356472795</v>
      </c>
      <c r="M7359" s="241">
        <v>0.133489461358314</v>
      </c>
      <c r="N7359" s="241">
        <v>0.122199592668024</v>
      </c>
      <c r="O7359" s="252">
        <v>0.117768595041322</v>
      </c>
    </row>
    <row r="7360" spans="1:15">
      <c r="A7360" s="242" t="s">
        <v>68</v>
      </c>
      <c r="B7360" s="43" t="s">
        <v>57</v>
      </c>
      <c r="C7360" s="15">
        <v>4708</v>
      </c>
      <c r="D7360" s="243">
        <v>343</v>
      </c>
      <c r="E7360" s="243">
        <v>186</v>
      </c>
      <c r="F7360" s="243">
        <v>195</v>
      </c>
      <c r="G7360" s="243">
        <v>148</v>
      </c>
      <c r="H7360" s="243">
        <v>352</v>
      </c>
      <c r="I7360" s="243">
        <v>486</v>
      </c>
      <c r="J7360" s="243">
        <v>465</v>
      </c>
      <c r="K7360" s="243">
        <v>598</v>
      </c>
      <c r="L7360" s="243">
        <v>533</v>
      </c>
      <c r="M7360" s="243">
        <v>427</v>
      </c>
      <c r="N7360" s="243">
        <v>491</v>
      </c>
      <c r="O7360" s="253">
        <v>484</v>
      </c>
    </row>
    <row r="7361" spans="1:15">
      <c r="A7361" s="240" t="s">
        <v>68</v>
      </c>
      <c r="B7361" s="47" t="s">
        <v>59</v>
      </c>
      <c r="C7361" s="15">
        <v>561</v>
      </c>
      <c r="D7361" s="243">
        <v>57</v>
      </c>
      <c r="E7361" s="243">
        <v>22</v>
      </c>
      <c r="F7361" s="243">
        <v>21</v>
      </c>
      <c r="G7361" s="243">
        <v>38</v>
      </c>
      <c r="H7361" s="243">
        <v>48</v>
      </c>
      <c r="I7361" s="243">
        <v>52</v>
      </c>
      <c r="J7361" s="243">
        <v>36</v>
      </c>
      <c r="K7361" s="243">
        <v>53</v>
      </c>
      <c r="L7361" s="243">
        <v>60</v>
      </c>
      <c r="M7361" s="243">
        <v>57</v>
      </c>
      <c r="N7361" s="243">
        <v>60</v>
      </c>
      <c r="O7361" s="253">
        <v>57</v>
      </c>
    </row>
    <row r="7362" spans="1:15">
      <c r="A7362" s="242" t="s">
        <v>68</v>
      </c>
      <c r="B7362" s="43" t="s">
        <v>4</v>
      </c>
      <c r="C7362" s="15">
        <v>43</v>
      </c>
      <c r="D7362" s="244">
        <v>41</v>
      </c>
      <c r="E7362" s="244">
        <v>0</v>
      </c>
      <c r="F7362" s="244">
        <v>1</v>
      </c>
      <c r="G7362" s="244">
        <v>0</v>
      </c>
      <c r="H7362" s="244">
        <v>1</v>
      </c>
      <c r="I7362" s="244">
        <v>0</v>
      </c>
      <c r="J7362" s="244">
        <v>0</v>
      </c>
      <c r="K7362" s="244">
        <v>0</v>
      </c>
      <c r="L7362" s="244">
        <v>0</v>
      </c>
      <c r="M7362" s="244">
        <v>0</v>
      </c>
      <c r="N7362" s="244">
        <v>0</v>
      </c>
      <c r="O7362" s="254">
        <v>0</v>
      </c>
    </row>
    <row r="7363" spans="1:15">
      <c r="A7363" s="240" t="s">
        <v>68</v>
      </c>
      <c r="B7363" s="47" t="s">
        <v>5</v>
      </c>
      <c r="C7363" s="12">
        <v>0.0766488413547237</v>
      </c>
      <c r="D7363" s="241">
        <v>0.719298245614035</v>
      </c>
      <c r="E7363" s="241">
        <v>0</v>
      </c>
      <c r="F7363" s="241">
        <v>0.0476190476190476</v>
      </c>
      <c r="G7363" s="241">
        <v>0</v>
      </c>
      <c r="H7363" s="241">
        <v>0.0208333333333333</v>
      </c>
      <c r="I7363" s="241">
        <v>0</v>
      </c>
      <c r="J7363" s="241">
        <v>0</v>
      </c>
      <c r="K7363" s="241">
        <v>0</v>
      </c>
      <c r="L7363" s="241">
        <v>0</v>
      </c>
      <c r="M7363" s="241">
        <v>0</v>
      </c>
      <c r="N7363" s="241">
        <v>0</v>
      </c>
      <c r="O7363" s="252">
        <v>0</v>
      </c>
    </row>
    <row r="7364" spans="1:15">
      <c r="A7364" s="242" t="s">
        <v>68</v>
      </c>
      <c r="B7364" s="43" t="s">
        <v>6</v>
      </c>
      <c r="C7364" s="15">
        <v>13</v>
      </c>
      <c r="D7364" s="244">
        <v>0</v>
      </c>
      <c r="E7364" s="244">
        <v>0</v>
      </c>
      <c r="F7364" s="244">
        <v>0</v>
      </c>
      <c r="G7364" s="244">
        <v>2</v>
      </c>
      <c r="H7364" s="244">
        <v>3</v>
      </c>
      <c r="I7364" s="244">
        <v>1</v>
      </c>
      <c r="J7364" s="244">
        <v>2</v>
      </c>
      <c r="K7364" s="244">
        <v>1</v>
      </c>
      <c r="L7364" s="244">
        <v>0</v>
      </c>
      <c r="M7364" s="244">
        <v>2</v>
      </c>
      <c r="N7364" s="244">
        <v>2</v>
      </c>
      <c r="O7364" s="254">
        <v>0</v>
      </c>
    </row>
    <row r="7365" ht="14.25" spans="1:15">
      <c r="A7365" s="245" t="s">
        <v>68</v>
      </c>
      <c r="B7365" s="52" t="s">
        <v>64</v>
      </c>
      <c r="C7365" s="19">
        <v>0.302325581395349</v>
      </c>
      <c r="D7365" s="246">
        <v>0</v>
      </c>
      <c r="E7365" s="246">
        <v>0</v>
      </c>
      <c r="F7365" s="246">
        <v>0</v>
      </c>
      <c r="G7365" s="246">
        <v>0</v>
      </c>
      <c r="H7365" s="246">
        <v>3</v>
      </c>
      <c r="I7365" s="246">
        <v>0</v>
      </c>
      <c r="J7365" s="246">
        <v>0</v>
      </c>
      <c r="K7365" s="246">
        <v>0</v>
      </c>
      <c r="L7365" s="246">
        <v>0</v>
      </c>
      <c r="M7365" s="246">
        <v>0</v>
      </c>
      <c r="N7365" s="246">
        <v>0</v>
      </c>
      <c r="O7365" s="255">
        <v>0</v>
      </c>
    </row>
    <row r="7366" spans="1:15">
      <c r="A7366" s="240" t="s">
        <v>69</v>
      </c>
      <c r="B7366" s="47" t="s">
        <v>55</v>
      </c>
      <c r="C7366" s="12">
        <v>1.19938650306748</v>
      </c>
      <c r="D7366" s="241">
        <v>1.15</v>
      </c>
      <c r="E7366" s="241">
        <v>1.7</v>
      </c>
      <c r="F7366" s="241">
        <v>0.909090909090909</v>
      </c>
      <c r="G7366" s="241">
        <v>0.944444444444444</v>
      </c>
      <c r="H7366" s="241">
        <v>1.76470588235294</v>
      </c>
      <c r="I7366" s="241">
        <v>1.55</v>
      </c>
      <c r="J7366" s="241">
        <v>1.125</v>
      </c>
      <c r="K7366" s="241">
        <v>1.05555555555556</v>
      </c>
      <c r="L7366" s="241">
        <v>1.3448275862069</v>
      </c>
      <c r="M7366" s="241">
        <v>1</v>
      </c>
      <c r="N7366" s="241">
        <v>1.23333333333333</v>
      </c>
      <c r="O7366" s="252">
        <v>1.02083333333333</v>
      </c>
    </row>
    <row r="7367" spans="1:15">
      <c r="A7367" s="242" t="s">
        <v>69</v>
      </c>
      <c r="B7367" s="43" t="s">
        <v>57</v>
      </c>
      <c r="C7367" s="15">
        <v>326</v>
      </c>
      <c r="D7367" s="243">
        <v>40</v>
      </c>
      <c r="E7367" s="243">
        <v>20</v>
      </c>
      <c r="F7367" s="243">
        <v>11</v>
      </c>
      <c r="G7367" s="243">
        <v>18</v>
      </c>
      <c r="H7367" s="243">
        <v>17</v>
      </c>
      <c r="I7367" s="243">
        <v>20</v>
      </c>
      <c r="J7367" s="243">
        <v>24</v>
      </c>
      <c r="K7367" s="243">
        <v>36</v>
      </c>
      <c r="L7367" s="243">
        <v>29</v>
      </c>
      <c r="M7367" s="243">
        <v>33</v>
      </c>
      <c r="N7367" s="243">
        <v>30</v>
      </c>
      <c r="O7367" s="253">
        <v>48</v>
      </c>
    </row>
    <row r="7368" spans="1:15">
      <c r="A7368" s="240" t="s">
        <v>69</v>
      </c>
      <c r="B7368" s="47" t="s">
        <v>59</v>
      </c>
      <c r="C7368" s="15">
        <v>391</v>
      </c>
      <c r="D7368" s="243">
        <v>46</v>
      </c>
      <c r="E7368" s="243">
        <v>34</v>
      </c>
      <c r="F7368" s="243">
        <v>10</v>
      </c>
      <c r="G7368" s="243">
        <v>17</v>
      </c>
      <c r="H7368" s="243">
        <v>30</v>
      </c>
      <c r="I7368" s="243">
        <v>31</v>
      </c>
      <c r="J7368" s="243">
        <v>27</v>
      </c>
      <c r="K7368" s="243">
        <v>38</v>
      </c>
      <c r="L7368" s="243">
        <v>39</v>
      </c>
      <c r="M7368" s="243">
        <v>33</v>
      </c>
      <c r="N7368" s="243">
        <v>37</v>
      </c>
      <c r="O7368" s="253">
        <v>49</v>
      </c>
    </row>
    <row r="7369" spans="1:15">
      <c r="A7369" s="242" t="s">
        <v>69</v>
      </c>
      <c r="B7369" s="43" t="s">
        <v>4</v>
      </c>
      <c r="C7369" s="15">
        <v>7</v>
      </c>
      <c r="D7369" s="244">
        <v>7</v>
      </c>
      <c r="E7369" s="244">
        <v>0</v>
      </c>
      <c r="F7369" s="244">
        <v>0</v>
      </c>
      <c r="G7369" s="244">
        <v>0</v>
      </c>
      <c r="H7369" s="244">
        <v>0</v>
      </c>
      <c r="I7369" s="244">
        <v>0</v>
      </c>
      <c r="J7369" s="244">
        <v>0</v>
      </c>
      <c r="K7369" s="244">
        <v>0</v>
      </c>
      <c r="L7369" s="244">
        <v>0</v>
      </c>
      <c r="M7369" s="244">
        <v>0</v>
      </c>
      <c r="N7369" s="244">
        <v>0</v>
      </c>
      <c r="O7369" s="254">
        <v>0</v>
      </c>
    </row>
    <row r="7370" spans="1:15">
      <c r="A7370" s="240" t="s">
        <v>69</v>
      </c>
      <c r="B7370" s="47" t="s">
        <v>5</v>
      </c>
      <c r="C7370" s="12">
        <v>0.0179028132992327</v>
      </c>
      <c r="D7370" s="241">
        <v>0.152173913043478</v>
      </c>
      <c r="E7370" s="241">
        <v>0</v>
      </c>
      <c r="F7370" s="241">
        <v>0</v>
      </c>
      <c r="G7370" s="241">
        <v>0</v>
      </c>
      <c r="H7370" s="241">
        <v>0</v>
      </c>
      <c r="I7370" s="241">
        <v>0</v>
      </c>
      <c r="J7370" s="241">
        <v>0</v>
      </c>
      <c r="K7370" s="241">
        <v>0</v>
      </c>
      <c r="L7370" s="241">
        <v>0</v>
      </c>
      <c r="M7370" s="241">
        <v>0</v>
      </c>
      <c r="N7370" s="241">
        <v>0</v>
      </c>
      <c r="O7370" s="252">
        <v>0</v>
      </c>
    </row>
    <row r="7371" spans="1:15">
      <c r="A7371" s="242" t="s">
        <v>69</v>
      </c>
      <c r="B7371" s="43" t="s">
        <v>6</v>
      </c>
      <c r="C7371" s="15">
        <v>2</v>
      </c>
      <c r="D7371" s="244">
        <v>1</v>
      </c>
      <c r="E7371" s="244">
        <v>1</v>
      </c>
      <c r="F7371" s="244">
        <v>0</v>
      </c>
      <c r="G7371" s="244">
        <v>0</v>
      </c>
      <c r="H7371" s="244">
        <v>0</v>
      </c>
      <c r="I7371" s="244">
        <v>0</v>
      </c>
      <c r="J7371" s="244">
        <v>0</v>
      </c>
      <c r="K7371" s="244">
        <v>0</v>
      </c>
      <c r="L7371" s="244">
        <v>0</v>
      </c>
      <c r="M7371" s="244">
        <v>0</v>
      </c>
      <c r="N7371" s="244">
        <v>0</v>
      </c>
      <c r="O7371" s="254">
        <v>0</v>
      </c>
    </row>
    <row r="7372" ht="14.25" spans="1:15">
      <c r="A7372" s="245" t="s">
        <v>69</v>
      </c>
      <c r="B7372" s="52" t="s">
        <v>64</v>
      </c>
      <c r="C7372" s="19">
        <v>0.285714285714286</v>
      </c>
      <c r="D7372" s="246">
        <v>0.142857142857143</v>
      </c>
      <c r="E7372" s="246">
        <v>0</v>
      </c>
      <c r="F7372" s="246">
        <v>0</v>
      </c>
      <c r="G7372" s="246">
        <v>0</v>
      </c>
      <c r="H7372" s="246">
        <v>0</v>
      </c>
      <c r="I7372" s="246">
        <v>0</v>
      </c>
      <c r="J7372" s="246">
        <v>0</v>
      </c>
      <c r="K7372" s="246">
        <v>0</v>
      </c>
      <c r="L7372" s="246">
        <v>0</v>
      </c>
      <c r="M7372" s="246">
        <v>0</v>
      </c>
      <c r="N7372" s="246">
        <v>0</v>
      </c>
      <c r="O7372" s="255">
        <v>0</v>
      </c>
    </row>
    <row r="7373" spans="1:15">
      <c r="A7373" s="240" t="s">
        <v>70</v>
      </c>
      <c r="B7373" s="47" t="s">
        <v>55</v>
      </c>
      <c r="C7373" s="12">
        <v>0.685594111461619</v>
      </c>
      <c r="D7373" s="241">
        <v>0.88135593220339</v>
      </c>
      <c r="E7373" s="241">
        <v>0.533333333333333</v>
      </c>
      <c r="F7373" s="241">
        <v>0.730769230769231</v>
      </c>
      <c r="G7373" s="241">
        <v>0.541666666666667</v>
      </c>
      <c r="H7373" s="241">
        <v>0.753623188405797</v>
      </c>
      <c r="I7373" s="241">
        <v>0.747474747474748</v>
      </c>
      <c r="J7373" s="241">
        <v>0.670103092783505</v>
      </c>
      <c r="K7373" s="241">
        <v>0.664285714285714</v>
      </c>
      <c r="L7373" s="241">
        <v>0.680851063829787</v>
      </c>
      <c r="M7373" s="241">
        <v>0.761363636363636</v>
      </c>
      <c r="N7373" s="241">
        <v>0.492063492063492</v>
      </c>
      <c r="O7373" s="252">
        <v>0.757575757575758</v>
      </c>
    </row>
    <row r="7374" spans="1:15">
      <c r="A7374" s="242" t="s">
        <v>70</v>
      </c>
      <c r="B7374" s="43" t="s">
        <v>57</v>
      </c>
      <c r="C7374" s="15">
        <v>951</v>
      </c>
      <c r="D7374" s="243">
        <v>59</v>
      </c>
      <c r="E7374" s="243">
        <v>30</v>
      </c>
      <c r="F7374" s="243">
        <v>26</v>
      </c>
      <c r="G7374" s="243">
        <v>24</v>
      </c>
      <c r="H7374" s="243">
        <v>69</v>
      </c>
      <c r="I7374" s="243">
        <v>99</v>
      </c>
      <c r="J7374" s="243">
        <v>97</v>
      </c>
      <c r="K7374" s="243">
        <v>140</v>
      </c>
      <c r="L7374" s="243">
        <v>94</v>
      </c>
      <c r="M7374" s="243">
        <v>88</v>
      </c>
      <c r="N7374" s="243">
        <v>126</v>
      </c>
      <c r="O7374" s="253">
        <v>99</v>
      </c>
    </row>
    <row r="7375" spans="1:15">
      <c r="A7375" s="240" t="s">
        <v>70</v>
      </c>
      <c r="B7375" s="47" t="s">
        <v>59</v>
      </c>
      <c r="C7375" s="15">
        <v>652</v>
      </c>
      <c r="D7375" s="243">
        <v>52</v>
      </c>
      <c r="E7375" s="243">
        <v>16</v>
      </c>
      <c r="F7375" s="243">
        <v>19</v>
      </c>
      <c r="G7375" s="243">
        <v>13</v>
      </c>
      <c r="H7375" s="243">
        <v>52</v>
      </c>
      <c r="I7375" s="243">
        <v>74</v>
      </c>
      <c r="J7375" s="243">
        <v>65</v>
      </c>
      <c r="K7375" s="243">
        <v>93</v>
      </c>
      <c r="L7375" s="243">
        <v>64</v>
      </c>
      <c r="M7375" s="243">
        <v>67</v>
      </c>
      <c r="N7375" s="243">
        <v>62</v>
      </c>
      <c r="O7375" s="253">
        <v>75</v>
      </c>
    </row>
    <row r="7376" spans="1:15">
      <c r="A7376" s="242" t="s">
        <v>70</v>
      </c>
      <c r="B7376" s="43" t="s">
        <v>4</v>
      </c>
      <c r="C7376" s="15">
        <v>17</v>
      </c>
      <c r="D7376" s="244">
        <v>17</v>
      </c>
      <c r="E7376" s="244">
        <v>0</v>
      </c>
      <c r="F7376" s="244">
        <v>0</v>
      </c>
      <c r="G7376" s="244">
        <v>0</v>
      </c>
      <c r="H7376" s="244">
        <v>0</v>
      </c>
      <c r="I7376" s="244">
        <v>0</v>
      </c>
      <c r="J7376" s="244">
        <v>0</v>
      </c>
      <c r="K7376" s="244">
        <v>0</v>
      </c>
      <c r="L7376" s="244">
        <v>0</v>
      </c>
      <c r="M7376" s="244">
        <v>0</v>
      </c>
      <c r="N7376" s="244">
        <v>0</v>
      </c>
      <c r="O7376" s="254">
        <v>0</v>
      </c>
    </row>
    <row r="7377" spans="1:15">
      <c r="A7377" s="240" t="s">
        <v>70</v>
      </c>
      <c r="B7377" s="47" t="s">
        <v>5</v>
      </c>
      <c r="C7377" s="12">
        <v>0.0260736196319018</v>
      </c>
      <c r="D7377" s="241">
        <v>0.326923076923077</v>
      </c>
      <c r="E7377" s="241">
        <v>0</v>
      </c>
      <c r="F7377" s="241">
        <v>0</v>
      </c>
      <c r="G7377" s="241">
        <v>0</v>
      </c>
      <c r="H7377" s="241">
        <v>0</v>
      </c>
      <c r="I7377" s="241">
        <v>0</v>
      </c>
      <c r="J7377" s="241">
        <v>0</v>
      </c>
      <c r="K7377" s="241">
        <v>0</v>
      </c>
      <c r="L7377" s="241">
        <v>0</v>
      </c>
      <c r="M7377" s="241">
        <v>0</v>
      </c>
      <c r="N7377" s="241">
        <v>0</v>
      </c>
      <c r="O7377" s="252">
        <v>0</v>
      </c>
    </row>
    <row r="7378" spans="1:15">
      <c r="A7378" s="242" t="s">
        <v>70</v>
      </c>
      <c r="B7378" s="43" t="s">
        <v>6</v>
      </c>
      <c r="C7378" s="15">
        <v>6</v>
      </c>
      <c r="D7378" s="244">
        <v>0</v>
      </c>
      <c r="E7378" s="244">
        <v>0</v>
      </c>
      <c r="F7378" s="244">
        <v>1</v>
      </c>
      <c r="G7378" s="244">
        <v>0</v>
      </c>
      <c r="H7378" s="244">
        <v>0</v>
      </c>
      <c r="I7378" s="244">
        <v>1</v>
      </c>
      <c r="J7378" s="244">
        <v>0</v>
      </c>
      <c r="K7378" s="244">
        <v>1</v>
      </c>
      <c r="L7378" s="244">
        <v>0</v>
      </c>
      <c r="M7378" s="244">
        <v>0</v>
      </c>
      <c r="N7378" s="244">
        <v>2</v>
      </c>
      <c r="O7378" s="254">
        <v>1</v>
      </c>
    </row>
    <row r="7379" ht="14.25" spans="1:15">
      <c r="A7379" s="245" t="s">
        <v>70</v>
      </c>
      <c r="B7379" s="52" t="s">
        <v>64</v>
      </c>
      <c r="C7379" s="19">
        <v>0.352941176470588</v>
      </c>
      <c r="D7379" s="246">
        <v>0</v>
      </c>
      <c r="E7379" s="246">
        <v>0</v>
      </c>
      <c r="F7379" s="246">
        <v>0</v>
      </c>
      <c r="G7379" s="246">
        <v>0</v>
      </c>
      <c r="H7379" s="246">
        <v>0</v>
      </c>
      <c r="I7379" s="246">
        <v>0</v>
      </c>
      <c r="J7379" s="246">
        <v>0</v>
      </c>
      <c r="K7379" s="246">
        <v>0</v>
      </c>
      <c r="L7379" s="246">
        <v>0</v>
      </c>
      <c r="M7379" s="246">
        <v>0</v>
      </c>
      <c r="N7379" s="246">
        <v>0</v>
      </c>
      <c r="O7379" s="255">
        <v>0</v>
      </c>
    </row>
    <row r="7380" spans="1:15">
      <c r="A7380" s="240" t="s">
        <v>26</v>
      </c>
      <c r="B7380" s="47" t="s">
        <v>55</v>
      </c>
      <c r="C7380" s="12">
        <v>0.938095238095238</v>
      </c>
      <c r="D7380" s="241">
        <v>0.770833333333333</v>
      </c>
      <c r="E7380" s="241">
        <v>0.971428571428571</v>
      </c>
      <c r="F7380" s="241">
        <v>0.91025641025641</v>
      </c>
      <c r="G7380" s="241">
        <v>1.18032786885246</v>
      </c>
      <c r="H7380" s="241">
        <v>1.07462686567164</v>
      </c>
      <c r="I7380" s="241">
        <v>1.02564102564103</v>
      </c>
      <c r="J7380" s="241">
        <v>0.903954802259887</v>
      </c>
      <c r="K7380" s="241">
        <v>0.874371859296482</v>
      </c>
      <c r="L7380" s="241">
        <v>0.990147783251232</v>
      </c>
      <c r="M7380" s="241">
        <v>1</v>
      </c>
      <c r="N7380" s="241">
        <v>0.889502762430939</v>
      </c>
      <c r="O7380" s="252">
        <v>0.89237668161435</v>
      </c>
    </row>
    <row r="7381" spans="1:15">
      <c r="A7381" s="242" t="s">
        <v>26</v>
      </c>
      <c r="B7381" s="43" t="s">
        <v>57</v>
      </c>
      <c r="C7381" s="15">
        <v>1890</v>
      </c>
      <c r="D7381" s="243">
        <v>192</v>
      </c>
      <c r="E7381" s="243">
        <v>105</v>
      </c>
      <c r="F7381" s="243">
        <v>78</v>
      </c>
      <c r="G7381" s="243">
        <v>61</v>
      </c>
      <c r="H7381" s="243">
        <v>134</v>
      </c>
      <c r="I7381" s="243">
        <v>156</v>
      </c>
      <c r="J7381" s="243">
        <v>177</v>
      </c>
      <c r="K7381" s="243">
        <v>199</v>
      </c>
      <c r="L7381" s="243">
        <v>203</v>
      </c>
      <c r="M7381" s="243">
        <v>181</v>
      </c>
      <c r="N7381" s="243">
        <v>181</v>
      </c>
      <c r="O7381" s="253">
        <v>223</v>
      </c>
    </row>
    <row r="7382" spans="1:15">
      <c r="A7382" s="240" t="s">
        <v>26</v>
      </c>
      <c r="B7382" s="47" t="s">
        <v>59</v>
      </c>
      <c r="C7382" s="15">
        <v>1773</v>
      </c>
      <c r="D7382" s="243">
        <v>148</v>
      </c>
      <c r="E7382" s="243">
        <v>102</v>
      </c>
      <c r="F7382" s="243">
        <v>71</v>
      </c>
      <c r="G7382" s="243">
        <v>72</v>
      </c>
      <c r="H7382" s="243">
        <v>144</v>
      </c>
      <c r="I7382" s="243">
        <v>160</v>
      </c>
      <c r="J7382" s="243">
        <v>160</v>
      </c>
      <c r="K7382" s="243">
        <v>174</v>
      </c>
      <c r="L7382" s="243">
        <v>201</v>
      </c>
      <c r="M7382" s="243">
        <v>181</v>
      </c>
      <c r="N7382" s="243">
        <v>161</v>
      </c>
      <c r="O7382" s="253">
        <v>199</v>
      </c>
    </row>
    <row r="7383" spans="1:15">
      <c r="A7383" s="242" t="s">
        <v>26</v>
      </c>
      <c r="B7383" s="43" t="s">
        <v>4</v>
      </c>
      <c r="C7383" s="15">
        <v>34</v>
      </c>
      <c r="D7383" s="244">
        <v>33</v>
      </c>
      <c r="E7383" s="244">
        <v>0</v>
      </c>
      <c r="F7383" s="244">
        <v>0</v>
      </c>
      <c r="G7383" s="244">
        <v>0</v>
      </c>
      <c r="H7383" s="244">
        <v>0</v>
      </c>
      <c r="I7383" s="244">
        <v>0</v>
      </c>
      <c r="J7383" s="244">
        <v>0</v>
      </c>
      <c r="K7383" s="244">
        <v>0</v>
      </c>
      <c r="L7383" s="244">
        <v>0</v>
      </c>
      <c r="M7383" s="244">
        <v>1</v>
      </c>
      <c r="N7383" s="244">
        <v>0</v>
      </c>
      <c r="O7383" s="254">
        <v>0</v>
      </c>
    </row>
    <row r="7384" spans="1:15">
      <c r="A7384" s="240" t="s">
        <v>26</v>
      </c>
      <c r="B7384" s="47" t="s">
        <v>5</v>
      </c>
      <c r="C7384" s="12">
        <v>0.0191765369430344</v>
      </c>
      <c r="D7384" s="241">
        <v>0.222972972972973</v>
      </c>
      <c r="E7384" s="241">
        <v>0</v>
      </c>
      <c r="F7384" s="241">
        <v>0</v>
      </c>
      <c r="G7384" s="241">
        <v>0</v>
      </c>
      <c r="H7384" s="241">
        <v>0</v>
      </c>
      <c r="I7384" s="241">
        <v>0</v>
      </c>
      <c r="J7384" s="241">
        <v>0</v>
      </c>
      <c r="K7384" s="241">
        <v>0</v>
      </c>
      <c r="L7384" s="241">
        <v>0</v>
      </c>
      <c r="M7384" s="241">
        <v>0.00552486187845304</v>
      </c>
      <c r="N7384" s="241">
        <v>0</v>
      </c>
      <c r="O7384" s="252">
        <v>0</v>
      </c>
    </row>
    <row r="7385" spans="1:15">
      <c r="A7385" s="242" t="s">
        <v>26</v>
      </c>
      <c r="B7385" s="43" t="s">
        <v>6</v>
      </c>
      <c r="C7385" s="15">
        <v>12</v>
      </c>
      <c r="D7385" s="244">
        <v>1</v>
      </c>
      <c r="E7385" s="244">
        <v>1</v>
      </c>
      <c r="F7385" s="244">
        <v>0</v>
      </c>
      <c r="G7385" s="244">
        <v>0</v>
      </c>
      <c r="H7385" s="244">
        <v>1</v>
      </c>
      <c r="I7385" s="244">
        <v>3</v>
      </c>
      <c r="J7385" s="244">
        <v>1</v>
      </c>
      <c r="K7385" s="244">
        <v>0</v>
      </c>
      <c r="L7385" s="244">
        <v>2</v>
      </c>
      <c r="M7385" s="244">
        <v>1</v>
      </c>
      <c r="N7385" s="244">
        <v>1</v>
      </c>
      <c r="O7385" s="254">
        <v>1</v>
      </c>
    </row>
    <row r="7386" ht="14.25" spans="1:15">
      <c r="A7386" s="245" t="s">
        <v>26</v>
      </c>
      <c r="B7386" s="52" t="s">
        <v>64</v>
      </c>
      <c r="C7386" s="19">
        <v>0.352941176470588</v>
      </c>
      <c r="D7386" s="19">
        <v>0.0303030303030303</v>
      </c>
      <c r="E7386" s="19" t="e">
        <v>#DIV/0!</v>
      </c>
      <c r="F7386" s="19" t="e">
        <v>#DIV/0!</v>
      </c>
      <c r="G7386" s="19" t="e">
        <v>#DIV/0!</v>
      </c>
      <c r="H7386" s="19" t="e">
        <v>#DIV/0!</v>
      </c>
      <c r="I7386" s="19" t="e">
        <v>#DIV/0!</v>
      </c>
      <c r="J7386" s="19" t="e">
        <v>#DIV/0!</v>
      </c>
      <c r="K7386" s="19" t="e">
        <v>#DIV/0!</v>
      </c>
      <c r="L7386" s="19" t="e">
        <v>#DIV/0!</v>
      </c>
      <c r="M7386" s="19">
        <v>1</v>
      </c>
      <c r="N7386" s="19" t="e">
        <v>#DIV/0!</v>
      </c>
      <c r="O7386" s="19" t="e">
        <v>#DIV/0!</v>
      </c>
    </row>
    <row r="7387" spans="1:15">
      <c r="A7387" s="240" t="s">
        <v>71</v>
      </c>
      <c r="B7387" s="47" t="s">
        <v>55</v>
      </c>
      <c r="C7387" s="12">
        <v>0.108181818181818</v>
      </c>
      <c r="D7387" s="241">
        <v>0.0803571428571429</v>
      </c>
      <c r="E7387" s="241">
        <v>0.224137931034483</v>
      </c>
      <c r="F7387" s="241">
        <v>0.0476190476190476</v>
      </c>
      <c r="G7387" s="241">
        <v>0.0333333333333333</v>
      </c>
      <c r="H7387" s="241">
        <v>0.27027027027027</v>
      </c>
      <c r="I7387" s="241">
        <v>0.137254901960784</v>
      </c>
      <c r="J7387" s="241">
        <v>0.191489361702128</v>
      </c>
      <c r="K7387" s="241">
        <v>0.0625</v>
      </c>
      <c r="L7387" s="241">
        <v>0.0655737704918033</v>
      </c>
      <c r="M7387" s="241">
        <v>0.0660377358490566</v>
      </c>
      <c r="N7387" s="241">
        <v>0.0865384615384615</v>
      </c>
      <c r="O7387" s="252">
        <v>0.0821917808219178</v>
      </c>
    </row>
    <row r="7388" spans="1:15">
      <c r="A7388" s="242" t="s">
        <v>71</v>
      </c>
      <c r="B7388" s="43" t="s">
        <v>57</v>
      </c>
      <c r="C7388" s="309">
        <v>550</v>
      </c>
      <c r="D7388" s="243">
        <v>56</v>
      </c>
      <c r="E7388" s="243">
        <v>29</v>
      </c>
      <c r="F7388" s="243">
        <v>21</v>
      </c>
      <c r="G7388" s="243">
        <v>30</v>
      </c>
      <c r="H7388" s="243">
        <v>37</v>
      </c>
      <c r="I7388" s="243">
        <v>51</v>
      </c>
      <c r="J7388" s="243">
        <v>47</v>
      </c>
      <c r="K7388" s="243">
        <v>40</v>
      </c>
      <c r="L7388" s="243">
        <v>61</v>
      </c>
      <c r="M7388" s="243">
        <v>53</v>
      </c>
      <c r="N7388" s="243">
        <v>52</v>
      </c>
      <c r="O7388" s="253">
        <v>73</v>
      </c>
    </row>
    <row r="7389" spans="1:15">
      <c r="A7389" s="240" t="s">
        <v>71</v>
      </c>
      <c r="B7389" s="47" t="s">
        <v>59</v>
      </c>
      <c r="C7389" s="309">
        <v>59.5</v>
      </c>
      <c r="D7389" s="243">
        <v>4.5</v>
      </c>
      <c r="E7389" s="243">
        <v>6.5</v>
      </c>
      <c r="F7389" s="243">
        <v>1</v>
      </c>
      <c r="G7389" s="243">
        <v>1</v>
      </c>
      <c r="H7389" s="243">
        <v>10</v>
      </c>
      <c r="I7389" s="243">
        <v>7</v>
      </c>
      <c r="J7389" s="243">
        <v>9</v>
      </c>
      <c r="K7389" s="243">
        <v>2.5</v>
      </c>
      <c r="L7389" s="243">
        <v>4</v>
      </c>
      <c r="M7389" s="243">
        <v>3.5</v>
      </c>
      <c r="N7389" s="243">
        <v>4.5</v>
      </c>
      <c r="O7389" s="253">
        <v>6</v>
      </c>
    </row>
    <row r="7390" spans="1:15">
      <c r="A7390" s="242" t="s">
        <v>71</v>
      </c>
      <c r="B7390" s="43" t="s">
        <v>4</v>
      </c>
      <c r="C7390" s="15">
        <v>24</v>
      </c>
      <c r="D7390" s="244">
        <v>24</v>
      </c>
      <c r="E7390" s="244">
        <v>0</v>
      </c>
      <c r="F7390" s="244">
        <v>0</v>
      </c>
      <c r="G7390" s="244">
        <v>0</v>
      </c>
      <c r="H7390" s="244">
        <v>0</v>
      </c>
      <c r="I7390" s="244">
        <v>0</v>
      </c>
      <c r="J7390" s="244">
        <v>0</v>
      </c>
      <c r="K7390" s="244">
        <v>0</v>
      </c>
      <c r="L7390" s="244">
        <v>0</v>
      </c>
      <c r="M7390" s="244">
        <v>0</v>
      </c>
      <c r="N7390" s="244">
        <v>0</v>
      </c>
      <c r="O7390" s="254">
        <v>0</v>
      </c>
    </row>
    <row r="7391" spans="1:15">
      <c r="A7391" s="240" t="s">
        <v>71</v>
      </c>
      <c r="B7391" s="47" t="s">
        <v>5</v>
      </c>
      <c r="C7391" s="241">
        <v>0.403361344537815</v>
      </c>
      <c r="D7391" s="241">
        <v>5.33333333333333</v>
      </c>
      <c r="E7391" s="241">
        <v>0</v>
      </c>
      <c r="F7391" s="241">
        <v>0</v>
      </c>
      <c r="G7391" s="241">
        <v>0</v>
      </c>
      <c r="H7391" s="241">
        <v>0</v>
      </c>
      <c r="I7391" s="241">
        <v>0</v>
      </c>
      <c r="J7391" s="241">
        <v>0</v>
      </c>
      <c r="K7391" s="241">
        <v>0</v>
      </c>
      <c r="L7391" s="241">
        <v>0</v>
      </c>
      <c r="M7391" s="241">
        <v>0</v>
      </c>
      <c r="N7391" s="241">
        <v>0</v>
      </c>
      <c r="O7391" s="252">
        <v>0</v>
      </c>
    </row>
    <row r="7392" spans="1:15">
      <c r="A7392" s="242" t="s">
        <v>71</v>
      </c>
      <c r="B7392" s="43" t="s">
        <v>6</v>
      </c>
      <c r="C7392" s="15">
        <v>8</v>
      </c>
      <c r="D7392" s="244">
        <v>3</v>
      </c>
      <c r="E7392" s="244">
        <v>0</v>
      </c>
      <c r="F7392" s="244">
        <v>1</v>
      </c>
      <c r="G7392" s="244">
        <v>0</v>
      </c>
      <c r="H7392" s="244">
        <v>0</v>
      </c>
      <c r="I7392" s="244">
        <v>0</v>
      </c>
      <c r="J7392" s="244">
        <v>1</v>
      </c>
      <c r="K7392" s="244">
        <v>1</v>
      </c>
      <c r="L7392" s="244">
        <v>1</v>
      </c>
      <c r="M7392" s="244">
        <v>0</v>
      </c>
      <c r="N7392" s="244">
        <v>0</v>
      </c>
      <c r="O7392" s="254">
        <v>1</v>
      </c>
    </row>
    <row r="7393" ht="14.25" spans="1:15">
      <c r="A7393" s="245" t="s">
        <v>71</v>
      </c>
      <c r="B7393" s="52" t="s">
        <v>64</v>
      </c>
      <c r="C7393" s="19">
        <v>0.333333333333333</v>
      </c>
      <c r="D7393" s="19">
        <v>0.125</v>
      </c>
      <c r="E7393" s="19" t="e">
        <v>#DIV/0!</v>
      </c>
      <c r="F7393" s="19" t="e">
        <v>#DIV/0!</v>
      </c>
      <c r="G7393" s="19" t="e">
        <v>#DIV/0!</v>
      </c>
      <c r="H7393" s="19" t="e">
        <v>#DIV/0!</v>
      </c>
      <c r="I7393" s="19" t="e">
        <v>#DIV/0!</v>
      </c>
      <c r="J7393" s="19" t="e">
        <v>#DIV/0!</v>
      </c>
      <c r="K7393" s="19" t="e">
        <v>#DIV/0!</v>
      </c>
      <c r="L7393" s="19" t="e">
        <v>#DIV/0!</v>
      </c>
      <c r="M7393" s="19" t="e">
        <v>#DIV/0!</v>
      </c>
      <c r="N7393" s="19" t="e">
        <v>#DIV/0!</v>
      </c>
      <c r="O7393" s="19" t="e">
        <v>#DIV/0!</v>
      </c>
    </row>
    <row r="7394" spans="1:15">
      <c r="A7394" s="240" t="s">
        <v>72</v>
      </c>
      <c r="B7394" s="47" t="s">
        <v>55</v>
      </c>
      <c r="C7394" s="12">
        <v>0.0352419148391501</v>
      </c>
      <c r="D7394" s="241">
        <v>0.0410380205190103</v>
      </c>
      <c r="E7394" s="241">
        <v>0.0484848484848485</v>
      </c>
      <c r="F7394" s="241">
        <v>0.0365079365079365</v>
      </c>
      <c r="G7394" s="241">
        <v>0.0297790585975024</v>
      </c>
      <c r="H7394" s="241">
        <v>0.0470202296336796</v>
      </c>
      <c r="I7394" s="241">
        <v>0.0324939073923639</v>
      </c>
      <c r="J7394" s="241">
        <v>0.0339740724184175</v>
      </c>
      <c r="K7394" s="241">
        <v>0.0354609929078014</v>
      </c>
      <c r="L7394" s="241">
        <v>0.03125</v>
      </c>
      <c r="M7394" s="241">
        <v>0.0255591054313099</v>
      </c>
      <c r="N7394" s="241">
        <v>0.0381125226860254</v>
      </c>
      <c r="O7394" s="252">
        <v>0.0335695635956733</v>
      </c>
    </row>
    <row r="7395" spans="1:15">
      <c r="A7395" s="242" t="s">
        <v>72</v>
      </c>
      <c r="B7395" s="43" t="s">
        <v>57</v>
      </c>
      <c r="C7395" s="15">
        <v>23438</v>
      </c>
      <c r="D7395" s="243">
        <v>1657</v>
      </c>
      <c r="E7395" s="243">
        <v>825</v>
      </c>
      <c r="F7395" s="243">
        <v>630</v>
      </c>
      <c r="G7395" s="243">
        <v>1041</v>
      </c>
      <c r="H7395" s="243">
        <v>1829</v>
      </c>
      <c r="I7395" s="243">
        <v>2462</v>
      </c>
      <c r="J7395" s="243">
        <v>2237</v>
      </c>
      <c r="K7395" s="243">
        <v>2538</v>
      </c>
      <c r="L7395" s="243">
        <v>2592</v>
      </c>
      <c r="M7395" s="243">
        <v>2191</v>
      </c>
      <c r="N7395" s="243">
        <v>2755</v>
      </c>
      <c r="O7395" s="253">
        <v>2681</v>
      </c>
    </row>
    <row r="7396" spans="1:15">
      <c r="A7396" s="240" t="s">
        <v>72</v>
      </c>
      <c r="B7396" s="47" t="s">
        <v>59</v>
      </c>
      <c r="C7396" s="15">
        <v>826</v>
      </c>
      <c r="D7396" s="243">
        <v>68</v>
      </c>
      <c r="E7396" s="243">
        <v>40</v>
      </c>
      <c r="F7396" s="243">
        <v>23</v>
      </c>
      <c r="G7396" s="243">
        <v>31</v>
      </c>
      <c r="H7396" s="243">
        <v>86</v>
      </c>
      <c r="I7396" s="243">
        <v>80</v>
      </c>
      <c r="J7396" s="243">
        <v>76</v>
      </c>
      <c r="K7396" s="243">
        <v>90</v>
      </c>
      <c r="L7396" s="243">
        <v>81</v>
      </c>
      <c r="M7396" s="243">
        <v>56</v>
      </c>
      <c r="N7396" s="243">
        <v>105</v>
      </c>
      <c r="O7396" s="253">
        <v>90</v>
      </c>
    </row>
    <row r="7397" spans="1:15">
      <c r="A7397" s="242" t="s">
        <v>72</v>
      </c>
      <c r="B7397" s="43" t="s">
        <v>4</v>
      </c>
      <c r="C7397" s="15">
        <v>44</v>
      </c>
      <c r="D7397" s="244">
        <v>43</v>
      </c>
      <c r="E7397" s="244">
        <v>0</v>
      </c>
      <c r="F7397" s="244">
        <v>0</v>
      </c>
      <c r="G7397" s="244">
        <v>0</v>
      </c>
      <c r="H7397" s="244">
        <v>0</v>
      </c>
      <c r="I7397" s="244">
        <v>0</v>
      </c>
      <c r="J7397" s="244">
        <v>0</v>
      </c>
      <c r="K7397" s="244">
        <v>0</v>
      </c>
      <c r="L7397" s="244">
        <v>0</v>
      </c>
      <c r="M7397" s="244">
        <v>0</v>
      </c>
      <c r="N7397" s="244">
        <v>1</v>
      </c>
      <c r="O7397" s="254">
        <v>0</v>
      </c>
    </row>
    <row r="7398" spans="1:15">
      <c r="A7398" s="240" t="s">
        <v>72</v>
      </c>
      <c r="B7398" s="47" t="s">
        <v>5</v>
      </c>
      <c r="C7398" s="12">
        <v>0.0532687651331719</v>
      </c>
      <c r="D7398" s="241">
        <v>0.632352941176471</v>
      </c>
      <c r="E7398" s="241">
        <v>0</v>
      </c>
      <c r="F7398" s="241">
        <v>0</v>
      </c>
      <c r="G7398" s="241">
        <v>0</v>
      </c>
      <c r="H7398" s="241">
        <v>0</v>
      </c>
      <c r="I7398" s="241">
        <v>0</v>
      </c>
      <c r="J7398" s="241">
        <v>0</v>
      </c>
      <c r="K7398" s="241">
        <v>0</v>
      </c>
      <c r="L7398" s="241">
        <v>0</v>
      </c>
      <c r="M7398" s="241">
        <v>0</v>
      </c>
      <c r="N7398" s="241">
        <v>0.00952380952380952</v>
      </c>
      <c r="O7398" s="252">
        <v>0</v>
      </c>
    </row>
    <row r="7399" spans="1:15">
      <c r="A7399" s="242" t="s">
        <v>72</v>
      </c>
      <c r="B7399" s="43" t="s">
        <v>6</v>
      </c>
      <c r="C7399" s="15">
        <v>15</v>
      </c>
      <c r="D7399" s="244">
        <v>1</v>
      </c>
      <c r="E7399" s="244">
        <v>2</v>
      </c>
      <c r="F7399" s="244">
        <v>2</v>
      </c>
      <c r="G7399" s="244">
        <v>0</v>
      </c>
      <c r="H7399" s="244">
        <v>2</v>
      </c>
      <c r="I7399" s="244">
        <v>1</v>
      </c>
      <c r="J7399" s="244">
        <v>3</v>
      </c>
      <c r="K7399" s="244">
        <v>1</v>
      </c>
      <c r="L7399" s="244">
        <v>0</v>
      </c>
      <c r="M7399" s="244">
        <v>0</v>
      </c>
      <c r="N7399" s="244">
        <v>3</v>
      </c>
      <c r="O7399" s="254">
        <v>0</v>
      </c>
    </row>
    <row r="7400" ht="14.25" spans="1:15">
      <c r="A7400" s="245" t="s">
        <v>72</v>
      </c>
      <c r="B7400" s="52" t="s">
        <v>64</v>
      </c>
      <c r="C7400" s="19">
        <v>0.340909090909091</v>
      </c>
      <c r="D7400" s="19">
        <v>0.0232558139534884</v>
      </c>
      <c r="E7400" s="19" t="e">
        <v>#DIV/0!</v>
      </c>
      <c r="F7400" s="19" t="e">
        <v>#DIV/0!</v>
      </c>
      <c r="G7400" s="19" t="e">
        <v>#DIV/0!</v>
      </c>
      <c r="H7400" s="19" t="e">
        <v>#DIV/0!</v>
      </c>
      <c r="I7400" s="19" t="e">
        <v>#DIV/0!</v>
      </c>
      <c r="J7400" s="19" t="e">
        <v>#DIV/0!</v>
      </c>
      <c r="K7400" s="19" t="e">
        <v>#DIV/0!</v>
      </c>
      <c r="L7400" s="19" t="e">
        <v>#DIV/0!</v>
      </c>
      <c r="M7400" s="19" t="e">
        <v>#DIV/0!</v>
      </c>
      <c r="N7400" s="19">
        <v>3</v>
      </c>
      <c r="O7400" s="19" t="e">
        <v>#DIV/0!</v>
      </c>
    </row>
    <row r="7401" ht="14.25" spans="1:15">
      <c r="A7401" s="259">
        <v>45133</v>
      </c>
      <c r="B7401" s="259"/>
      <c r="C7401" s="259"/>
      <c r="D7401" s="259"/>
      <c r="E7401" s="259"/>
      <c r="F7401" s="259"/>
      <c r="G7401" s="259"/>
      <c r="H7401" s="259"/>
      <c r="I7401" s="259"/>
      <c r="J7401" s="259"/>
      <c r="K7401" s="259"/>
      <c r="L7401" s="259"/>
      <c r="M7401" s="259"/>
      <c r="N7401" s="259"/>
      <c r="O7401" s="259"/>
    </row>
    <row r="7402" spans="1:15">
      <c r="A7402" s="260" t="s">
        <v>1</v>
      </c>
      <c r="B7402" s="261"/>
      <c r="C7402" s="8" t="s">
        <v>42</v>
      </c>
      <c r="D7402" s="262" t="s">
        <v>43</v>
      </c>
      <c r="E7402" s="262" t="s">
        <v>44</v>
      </c>
      <c r="F7402" s="262" t="s">
        <v>45</v>
      </c>
      <c r="G7402" s="262" t="s">
        <v>46</v>
      </c>
      <c r="H7402" s="262" t="s">
        <v>47</v>
      </c>
      <c r="I7402" s="262" t="s">
        <v>48</v>
      </c>
      <c r="J7402" s="262" t="s">
        <v>49</v>
      </c>
      <c r="K7402" s="262" t="s">
        <v>50</v>
      </c>
      <c r="L7402" s="262" t="s">
        <v>51</v>
      </c>
      <c r="M7402" s="262" t="s">
        <v>52</v>
      </c>
      <c r="N7402" s="262" t="s">
        <v>53</v>
      </c>
      <c r="O7402" s="276" t="s">
        <v>54</v>
      </c>
    </row>
    <row r="7403" spans="1:15">
      <c r="A7403" s="263" t="s">
        <v>22</v>
      </c>
      <c r="B7403" s="264" t="s">
        <v>55</v>
      </c>
      <c r="C7403" s="12">
        <v>0.607078039927405</v>
      </c>
      <c r="D7403" s="265">
        <v>0.824074074074074</v>
      </c>
      <c r="E7403" s="265">
        <v>0.565789473684211</v>
      </c>
      <c r="F7403" s="265">
        <v>0.614035087719298</v>
      </c>
      <c r="G7403" s="265">
        <v>0.854166666666667</v>
      </c>
      <c r="H7403" s="265">
        <v>0.61038961038961</v>
      </c>
      <c r="I7403" s="265">
        <v>0.681318681318681</v>
      </c>
      <c r="J7403" s="265">
        <v>0.459016393442623</v>
      </c>
      <c r="K7403" s="265">
        <v>0.596153846153846</v>
      </c>
      <c r="L7403" s="265">
        <v>0.605769230769231</v>
      </c>
      <c r="M7403" s="265">
        <v>0.698795180722892</v>
      </c>
      <c r="N7403" s="265">
        <v>0.5</v>
      </c>
      <c r="O7403" s="277">
        <v>0.478260869565217</v>
      </c>
    </row>
    <row r="7404" spans="1:15">
      <c r="A7404" s="266" t="s">
        <v>22</v>
      </c>
      <c r="B7404" s="267" t="s">
        <v>57</v>
      </c>
      <c r="C7404" s="15">
        <v>1102</v>
      </c>
      <c r="D7404" s="268">
        <v>108</v>
      </c>
      <c r="E7404" s="268">
        <v>76</v>
      </c>
      <c r="F7404" s="268">
        <v>57</v>
      </c>
      <c r="G7404" s="268">
        <v>48</v>
      </c>
      <c r="H7404" s="268">
        <v>77</v>
      </c>
      <c r="I7404" s="268">
        <v>91</v>
      </c>
      <c r="J7404" s="268">
        <v>122</v>
      </c>
      <c r="K7404" s="268">
        <v>104</v>
      </c>
      <c r="L7404" s="268">
        <v>104</v>
      </c>
      <c r="M7404" s="268">
        <v>83</v>
      </c>
      <c r="N7404" s="268">
        <v>94</v>
      </c>
      <c r="O7404" s="278">
        <v>138</v>
      </c>
    </row>
    <row r="7405" spans="1:15">
      <c r="A7405" s="263" t="s">
        <v>22</v>
      </c>
      <c r="B7405" s="264" t="s">
        <v>59</v>
      </c>
      <c r="C7405" s="15">
        <v>669</v>
      </c>
      <c r="D7405" s="268">
        <v>89</v>
      </c>
      <c r="E7405" s="268">
        <v>43</v>
      </c>
      <c r="F7405" s="268">
        <v>35</v>
      </c>
      <c r="G7405" s="268">
        <v>41</v>
      </c>
      <c r="H7405" s="268">
        <v>47</v>
      </c>
      <c r="I7405" s="268">
        <v>62</v>
      </c>
      <c r="J7405" s="268">
        <v>56</v>
      </c>
      <c r="K7405" s="268">
        <v>62</v>
      </c>
      <c r="L7405" s="268">
        <v>63</v>
      </c>
      <c r="M7405" s="268">
        <v>58</v>
      </c>
      <c r="N7405" s="268">
        <v>47</v>
      </c>
      <c r="O7405" s="278">
        <v>66</v>
      </c>
    </row>
    <row r="7406" spans="1:15">
      <c r="A7406" s="266" t="s">
        <v>22</v>
      </c>
      <c r="B7406" s="267" t="s">
        <v>4</v>
      </c>
      <c r="C7406" s="15">
        <v>40</v>
      </c>
      <c r="D7406" s="269">
        <v>8</v>
      </c>
      <c r="E7406" s="269">
        <v>1</v>
      </c>
      <c r="F7406" s="269">
        <v>2</v>
      </c>
      <c r="G7406" s="269">
        <v>3</v>
      </c>
      <c r="H7406" s="269">
        <v>5</v>
      </c>
      <c r="I7406" s="269">
        <v>0</v>
      </c>
      <c r="J7406" s="269">
        <v>1</v>
      </c>
      <c r="K7406" s="269">
        <v>3</v>
      </c>
      <c r="L7406" s="269">
        <v>5</v>
      </c>
      <c r="M7406" s="269">
        <v>3</v>
      </c>
      <c r="N7406" s="269">
        <v>3</v>
      </c>
      <c r="O7406" s="279">
        <v>6</v>
      </c>
    </row>
    <row r="7407" spans="1:15">
      <c r="A7407" s="263" t="s">
        <v>22</v>
      </c>
      <c r="B7407" s="264" t="s">
        <v>5</v>
      </c>
      <c r="C7407" s="12">
        <v>0.0597907324364723</v>
      </c>
      <c r="D7407" s="265">
        <v>0.0898876404494382</v>
      </c>
      <c r="E7407" s="265">
        <v>0.0232558139534884</v>
      </c>
      <c r="F7407" s="265">
        <v>0.0571428571428571</v>
      </c>
      <c r="G7407" s="265">
        <v>0.0731707317073171</v>
      </c>
      <c r="H7407" s="265">
        <v>0.106382978723404</v>
      </c>
      <c r="I7407" s="265">
        <v>0</v>
      </c>
      <c r="J7407" s="265">
        <v>0.0178571428571429</v>
      </c>
      <c r="K7407" s="265">
        <v>0.0483870967741935</v>
      </c>
      <c r="L7407" s="265">
        <v>0.0793650793650794</v>
      </c>
      <c r="M7407" s="265">
        <v>0.0517241379310345</v>
      </c>
      <c r="N7407" s="265">
        <v>0.0638297872340425</v>
      </c>
      <c r="O7407" s="277">
        <v>0.0909090909090909</v>
      </c>
    </row>
    <row r="7408" spans="1:15">
      <c r="A7408" s="266" t="s">
        <v>22</v>
      </c>
      <c r="B7408" s="267" t="s">
        <v>6</v>
      </c>
      <c r="C7408" s="15">
        <v>17</v>
      </c>
      <c r="D7408" s="269">
        <v>3</v>
      </c>
      <c r="E7408" s="269">
        <v>0</v>
      </c>
      <c r="F7408" s="269">
        <v>0</v>
      </c>
      <c r="G7408" s="269">
        <v>2</v>
      </c>
      <c r="H7408" s="269">
        <v>0</v>
      </c>
      <c r="I7408" s="269">
        <v>2</v>
      </c>
      <c r="J7408" s="269">
        <v>0</v>
      </c>
      <c r="K7408" s="269">
        <v>2</v>
      </c>
      <c r="L7408" s="269">
        <v>1</v>
      </c>
      <c r="M7408" s="269">
        <v>4</v>
      </c>
      <c r="N7408" s="269">
        <v>2</v>
      </c>
      <c r="O7408" s="279">
        <v>1</v>
      </c>
    </row>
    <row r="7409" ht="14.25" spans="1:15">
      <c r="A7409" s="270" t="s">
        <v>22</v>
      </c>
      <c r="B7409" s="271" t="s">
        <v>64</v>
      </c>
      <c r="C7409" s="19">
        <v>0.425</v>
      </c>
      <c r="D7409" s="272">
        <v>0.375</v>
      </c>
      <c r="E7409" s="272">
        <v>0</v>
      </c>
      <c r="F7409" s="272">
        <v>0</v>
      </c>
      <c r="G7409" s="272">
        <v>0.666666666666667</v>
      </c>
      <c r="H7409" s="272">
        <v>0</v>
      </c>
      <c r="I7409" s="272">
        <v>0</v>
      </c>
      <c r="J7409" s="272">
        <v>0</v>
      </c>
      <c r="K7409" s="272">
        <v>0.666666666666667</v>
      </c>
      <c r="L7409" s="272">
        <v>0.2</v>
      </c>
      <c r="M7409" s="272">
        <v>1.33333333333333</v>
      </c>
      <c r="N7409" s="272">
        <v>0.666666666666667</v>
      </c>
      <c r="O7409" s="280">
        <v>0.166666666666667</v>
      </c>
    </row>
    <row r="7410" spans="1:15">
      <c r="A7410" s="247" t="s">
        <v>66</v>
      </c>
      <c r="B7410" s="248" t="s">
        <v>55</v>
      </c>
      <c r="C7410" s="12">
        <v>0.116294568477174</v>
      </c>
      <c r="D7410" s="249">
        <v>0.196581196581197</v>
      </c>
      <c r="E7410" s="249">
        <v>0.2</v>
      </c>
      <c r="F7410" s="249">
        <v>0.22463768115942</v>
      </c>
      <c r="G7410" s="249">
        <v>0.122699386503067</v>
      </c>
      <c r="H7410" s="249">
        <v>0.129707112970711</v>
      </c>
      <c r="I7410" s="249">
        <v>0.0894308943089431</v>
      </c>
      <c r="J7410" s="249">
        <v>0.091254752851711</v>
      </c>
      <c r="K7410" s="249">
        <v>0.129032258064516</v>
      </c>
      <c r="L7410" s="249">
        <v>0.128289473684211</v>
      </c>
      <c r="M7410" s="249">
        <v>0.0849420849420849</v>
      </c>
      <c r="N7410" s="249">
        <v>0.0614035087719298</v>
      </c>
      <c r="O7410" s="256">
        <v>0.0570570570570571</v>
      </c>
    </row>
    <row r="7411" spans="1:15">
      <c r="A7411" s="242" t="s">
        <v>66</v>
      </c>
      <c r="B7411" s="43" t="s">
        <v>57</v>
      </c>
      <c r="C7411" s="15">
        <v>3001</v>
      </c>
      <c r="D7411" s="243">
        <v>234</v>
      </c>
      <c r="E7411" s="243">
        <v>170</v>
      </c>
      <c r="F7411" s="243">
        <v>138</v>
      </c>
      <c r="G7411" s="243">
        <v>163</v>
      </c>
      <c r="H7411" s="243">
        <v>239</v>
      </c>
      <c r="I7411" s="243">
        <v>246</v>
      </c>
      <c r="J7411" s="243">
        <v>263</v>
      </c>
      <c r="K7411" s="243">
        <v>310</v>
      </c>
      <c r="L7411" s="243">
        <v>304</v>
      </c>
      <c r="M7411" s="243">
        <v>259</v>
      </c>
      <c r="N7411" s="243">
        <v>342</v>
      </c>
      <c r="O7411" s="253">
        <v>333</v>
      </c>
    </row>
    <row r="7412" spans="1:15">
      <c r="A7412" s="240" t="s">
        <v>66</v>
      </c>
      <c r="B7412" s="47" t="s">
        <v>59</v>
      </c>
      <c r="C7412" s="15">
        <v>349</v>
      </c>
      <c r="D7412" s="243">
        <v>46</v>
      </c>
      <c r="E7412" s="243">
        <v>34</v>
      </c>
      <c r="F7412" s="243">
        <v>31</v>
      </c>
      <c r="G7412" s="243">
        <v>20</v>
      </c>
      <c r="H7412" s="243">
        <v>31</v>
      </c>
      <c r="I7412" s="243">
        <v>22</v>
      </c>
      <c r="J7412" s="243">
        <v>24</v>
      </c>
      <c r="K7412" s="243">
        <v>40</v>
      </c>
      <c r="L7412" s="243">
        <v>39</v>
      </c>
      <c r="M7412" s="243">
        <v>22</v>
      </c>
      <c r="N7412" s="243">
        <v>21</v>
      </c>
      <c r="O7412" s="253">
        <v>19</v>
      </c>
    </row>
    <row r="7413" spans="1:15">
      <c r="A7413" s="242" t="s">
        <v>66</v>
      </c>
      <c r="B7413" s="43" t="s">
        <v>4</v>
      </c>
      <c r="C7413" s="15">
        <v>6</v>
      </c>
      <c r="D7413" s="244">
        <v>0</v>
      </c>
      <c r="E7413" s="244">
        <v>2</v>
      </c>
      <c r="F7413" s="244">
        <v>0</v>
      </c>
      <c r="G7413" s="244">
        <v>0</v>
      </c>
      <c r="H7413" s="244">
        <v>1</v>
      </c>
      <c r="I7413" s="244">
        <v>0</v>
      </c>
      <c r="J7413" s="244">
        <v>1</v>
      </c>
      <c r="K7413" s="244">
        <v>0</v>
      </c>
      <c r="L7413" s="244">
        <v>1</v>
      </c>
      <c r="M7413" s="244">
        <v>0</v>
      </c>
      <c r="N7413" s="244">
        <v>0</v>
      </c>
      <c r="O7413" s="254">
        <v>1</v>
      </c>
    </row>
    <row r="7414" spans="1:15">
      <c r="A7414" s="240" t="s">
        <v>66</v>
      </c>
      <c r="B7414" s="47" t="s">
        <v>5</v>
      </c>
      <c r="C7414" s="12">
        <v>0.0171919770773639</v>
      </c>
      <c r="D7414" s="241">
        <v>0</v>
      </c>
      <c r="E7414" s="241">
        <v>0.0588235294117647</v>
      </c>
      <c r="F7414" s="241">
        <v>0</v>
      </c>
      <c r="G7414" s="241">
        <v>0</v>
      </c>
      <c r="H7414" s="241">
        <v>0.032258064516129</v>
      </c>
      <c r="I7414" s="241">
        <v>0</v>
      </c>
      <c r="J7414" s="241">
        <v>0.0416666666666667</v>
      </c>
      <c r="K7414" s="241">
        <v>0</v>
      </c>
      <c r="L7414" s="241">
        <v>0.0256410256410256</v>
      </c>
      <c r="M7414" s="241">
        <v>0</v>
      </c>
      <c r="N7414" s="241">
        <v>0</v>
      </c>
      <c r="O7414" s="252">
        <v>0.0526315789473684</v>
      </c>
    </row>
    <row r="7415" spans="1:15">
      <c r="A7415" s="242" t="s">
        <v>66</v>
      </c>
      <c r="B7415" s="43" t="s">
        <v>6</v>
      </c>
      <c r="C7415" s="15">
        <v>3</v>
      </c>
      <c r="D7415" s="244">
        <v>1</v>
      </c>
      <c r="E7415" s="244">
        <v>0</v>
      </c>
      <c r="F7415" s="244">
        <v>0</v>
      </c>
      <c r="G7415" s="244">
        <v>0</v>
      </c>
      <c r="H7415" s="244">
        <v>0</v>
      </c>
      <c r="I7415" s="244">
        <v>0</v>
      </c>
      <c r="J7415" s="244">
        <v>1</v>
      </c>
      <c r="K7415" s="244">
        <v>0</v>
      </c>
      <c r="L7415" s="244">
        <v>0</v>
      </c>
      <c r="M7415" s="244">
        <v>0</v>
      </c>
      <c r="N7415" s="244">
        <v>1</v>
      </c>
      <c r="O7415" s="254">
        <v>0</v>
      </c>
    </row>
    <row r="7416" ht="14.25" spans="1:15">
      <c r="A7416" s="245" t="s">
        <v>66</v>
      </c>
      <c r="B7416" s="52" t="s">
        <v>64</v>
      </c>
      <c r="C7416" s="19">
        <v>0.5</v>
      </c>
      <c r="D7416" s="246">
        <v>0</v>
      </c>
      <c r="E7416" s="246">
        <v>0</v>
      </c>
      <c r="F7416" s="246">
        <v>0</v>
      </c>
      <c r="G7416" s="246">
        <v>0</v>
      </c>
      <c r="H7416" s="246">
        <v>0</v>
      </c>
      <c r="I7416" s="246">
        <v>0</v>
      </c>
      <c r="J7416" s="246">
        <v>1</v>
      </c>
      <c r="K7416" s="246">
        <v>0</v>
      </c>
      <c r="L7416" s="246">
        <v>0</v>
      </c>
      <c r="M7416" s="246">
        <v>0</v>
      </c>
      <c r="N7416" s="246">
        <v>0</v>
      </c>
      <c r="O7416" s="255">
        <v>0</v>
      </c>
    </row>
    <row r="7417" spans="1:15">
      <c r="A7417" s="240" t="s">
        <v>67</v>
      </c>
      <c r="B7417" s="47" t="s">
        <v>55</v>
      </c>
      <c r="C7417" s="12">
        <v>0.502004008016032</v>
      </c>
      <c r="D7417" s="241">
        <v>0.617647058823529</v>
      </c>
      <c r="E7417" s="241">
        <v>0.652173913043478</v>
      </c>
      <c r="F7417" s="241">
        <v>0.64</v>
      </c>
      <c r="G7417" s="241">
        <v>0.538461538461538</v>
      </c>
      <c r="H7417" s="241">
        <v>0.628571428571429</v>
      </c>
      <c r="I7417" s="241">
        <v>0.439024390243902</v>
      </c>
      <c r="J7417" s="241">
        <v>0.4296875</v>
      </c>
      <c r="K7417" s="241">
        <v>0.422680412371134</v>
      </c>
      <c r="L7417" s="241">
        <v>0.48780487804878</v>
      </c>
      <c r="M7417" s="241">
        <v>0.418604651162791</v>
      </c>
      <c r="N7417" s="241">
        <v>0.461538461538462</v>
      </c>
      <c r="O7417" s="252">
        <v>0.53125</v>
      </c>
    </row>
    <row r="7418" spans="1:15">
      <c r="A7418" s="242" t="s">
        <v>67</v>
      </c>
      <c r="B7418" s="43" t="s">
        <v>57</v>
      </c>
      <c r="C7418" s="15">
        <v>998</v>
      </c>
      <c r="D7418" s="243">
        <v>102</v>
      </c>
      <c r="E7418" s="243">
        <v>46</v>
      </c>
      <c r="F7418" s="243">
        <v>25</v>
      </c>
      <c r="G7418" s="243">
        <v>39</v>
      </c>
      <c r="H7418" s="243">
        <v>70</v>
      </c>
      <c r="I7418" s="243">
        <v>82</v>
      </c>
      <c r="J7418" s="243">
        <v>128</v>
      </c>
      <c r="K7418" s="243">
        <v>97</v>
      </c>
      <c r="L7418" s="243">
        <v>123</v>
      </c>
      <c r="M7418" s="243">
        <v>86</v>
      </c>
      <c r="N7418" s="243">
        <v>104</v>
      </c>
      <c r="O7418" s="253">
        <v>96</v>
      </c>
    </row>
    <row r="7419" spans="1:15">
      <c r="A7419" s="240" t="s">
        <v>67</v>
      </c>
      <c r="B7419" s="47" t="s">
        <v>59</v>
      </c>
      <c r="C7419" s="15">
        <v>501</v>
      </c>
      <c r="D7419" s="243">
        <v>63</v>
      </c>
      <c r="E7419" s="243">
        <v>30</v>
      </c>
      <c r="F7419" s="243">
        <v>16</v>
      </c>
      <c r="G7419" s="243">
        <v>21</v>
      </c>
      <c r="H7419" s="243">
        <v>44</v>
      </c>
      <c r="I7419" s="243">
        <v>36</v>
      </c>
      <c r="J7419" s="243">
        <v>55</v>
      </c>
      <c r="K7419" s="243">
        <v>41</v>
      </c>
      <c r="L7419" s="243">
        <v>60</v>
      </c>
      <c r="M7419" s="243">
        <v>36</v>
      </c>
      <c r="N7419" s="243">
        <v>48</v>
      </c>
      <c r="O7419" s="253">
        <v>51</v>
      </c>
    </row>
    <row r="7420" spans="1:15">
      <c r="A7420" s="242" t="s">
        <v>67</v>
      </c>
      <c r="B7420" s="43" t="s">
        <v>4</v>
      </c>
      <c r="C7420" s="15">
        <v>16</v>
      </c>
      <c r="D7420" s="244">
        <v>1</v>
      </c>
      <c r="E7420" s="244">
        <v>0</v>
      </c>
      <c r="F7420" s="244">
        <v>1</v>
      </c>
      <c r="G7420" s="244">
        <v>1</v>
      </c>
      <c r="H7420" s="244">
        <v>2</v>
      </c>
      <c r="I7420" s="244">
        <v>4</v>
      </c>
      <c r="J7420" s="244">
        <v>1</v>
      </c>
      <c r="K7420" s="244">
        <v>2</v>
      </c>
      <c r="L7420" s="244">
        <v>2</v>
      </c>
      <c r="M7420" s="244">
        <v>1</v>
      </c>
      <c r="N7420" s="244">
        <v>1</v>
      </c>
      <c r="O7420" s="254">
        <v>0</v>
      </c>
    </row>
    <row r="7421" spans="1:15">
      <c r="A7421" s="240" t="s">
        <v>67</v>
      </c>
      <c r="B7421" s="47" t="s">
        <v>5</v>
      </c>
      <c r="C7421" s="12">
        <v>0.031936127744511</v>
      </c>
      <c r="D7421" s="241">
        <v>0.0158730158730159</v>
      </c>
      <c r="E7421" s="241">
        <v>0</v>
      </c>
      <c r="F7421" s="241">
        <v>0.0625</v>
      </c>
      <c r="G7421" s="241">
        <v>0.0476190476190476</v>
      </c>
      <c r="H7421" s="241">
        <v>0.0454545454545455</v>
      </c>
      <c r="I7421" s="241">
        <v>0.111111111111111</v>
      </c>
      <c r="J7421" s="241">
        <v>0.0181818181818182</v>
      </c>
      <c r="K7421" s="241">
        <v>0.0487804878048781</v>
      </c>
      <c r="L7421" s="241">
        <v>0.0333333333333333</v>
      </c>
      <c r="M7421" s="241">
        <v>0.0277777777777778</v>
      </c>
      <c r="N7421" s="241">
        <v>0.0208333333333333</v>
      </c>
      <c r="O7421" s="252">
        <v>0</v>
      </c>
    </row>
    <row r="7422" spans="1:15">
      <c r="A7422" s="242" t="s">
        <v>67</v>
      </c>
      <c r="B7422" s="43" t="s">
        <v>6</v>
      </c>
      <c r="C7422" s="15">
        <v>6</v>
      </c>
      <c r="D7422" s="244">
        <v>1</v>
      </c>
      <c r="E7422" s="244">
        <v>1</v>
      </c>
      <c r="F7422" s="244">
        <v>0</v>
      </c>
      <c r="G7422" s="244">
        <v>0</v>
      </c>
      <c r="H7422" s="244">
        <v>0</v>
      </c>
      <c r="I7422" s="244">
        <v>0</v>
      </c>
      <c r="J7422" s="244">
        <v>0</v>
      </c>
      <c r="K7422" s="244">
        <v>1</v>
      </c>
      <c r="L7422" s="244">
        <v>1</v>
      </c>
      <c r="M7422" s="244">
        <v>1</v>
      </c>
      <c r="N7422" s="244">
        <v>0</v>
      </c>
      <c r="O7422" s="254">
        <v>1</v>
      </c>
    </row>
    <row r="7423" ht="14.25" spans="1:15">
      <c r="A7423" s="245" t="s">
        <v>67</v>
      </c>
      <c r="B7423" s="52" t="s">
        <v>64</v>
      </c>
      <c r="C7423" s="19">
        <v>0.375</v>
      </c>
      <c r="D7423" s="246">
        <v>1</v>
      </c>
      <c r="E7423" s="246">
        <v>0</v>
      </c>
      <c r="F7423" s="246">
        <v>0</v>
      </c>
      <c r="G7423" s="246">
        <v>0</v>
      </c>
      <c r="H7423" s="246">
        <v>0</v>
      </c>
      <c r="I7423" s="246">
        <v>0</v>
      </c>
      <c r="J7423" s="246">
        <v>0</v>
      </c>
      <c r="K7423" s="246">
        <v>0.5</v>
      </c>
      <c r="L7423" s="246">
        <v>0.5</v>
      </c>
      <c r="M7423" s="246">
        <v>1</v>
      </c>
      <c r="N7423" s="246">
        <v>0</v>
      </c>
      <c r="O7423" s="255">
        <v>0</v>
      </c>
    </row>
    <row r="7424" spans="1:15">
      <c r="A7424" s="240" t="s">
        <v>68</v>
      </c>
      <c r="B7424" s="47" t="s">
        <v>55</v>
      </c>
      <c r="C7424" s="12">
        <v>0.145928069450186</v>
      </c>
      <c r="D7424" s="241">
        <v>0.195505617977528</v>
      </c>
      <c r="E7424" s="241">
        <v>0.230769230769231</v>
      </c>
      <c r="F7424" s="241">
        <v>0.15625</v>
      </c>
      <c r="G7424" s="241">
        <v>0.197969543147208</v>
      </c>
      <c r="H7424" s="241">
        <v>0.141304347826087</v>
      </c>
      <c r="I7424" s="241">
        <v>0.120181405895692</v>
      </c>
      <c r="J7424" s="241">
        <v>0.117777777777778</v>
      </c>
      <c r="K7424" s="241">
        <v>0.150905432595573</v>
      </c>
      <c r="L7424" s="241">
        <v>0.150278293135436</v>
      </c>
      <c r="M7424" s="241">
        <v>0.114228456913828</v>
      </c>
      <c r="N7424" s="241">
        <v>0.142056074766355</v>
      </c>
      <c r="O7424" s="252">
        <v>0.120833333333333</v>
      </c>
    </row>
    <row r="7425" spans="1:15">
      <c r="A7425" s="242" t="s">
        <v>68</v>
      </c>
      <c r="B7425" s="43" t="s">
        <v>57</v>
      </c>
      <c r="C7425" s="15">
        <v>4838</v>
      </c>
      <c r="D7425" s="243">
        <v>445</v>
      </c>
      <c r="E7425" s="243">
        <v>195</v>
      </c>
      <c r="F7425" s="243">
        <v>192</v>
      </c>
      <c r="G7425" s="243">
        <v>197</v>
      </c>
      <c r="H7425" s="243">
        <v>368</v>
      </c>
      <c r="I7425" s="243">
        <v>441</v>
      </c>
      <c r="J7425" s="243">
        <v>450</v>
      </c>
      <c r="K7425" s="243">
        <v>497</v>
      </c>
      <c r="L7425" s="243">
        <v>539</v>
      </c>
      <c r="M7425" s="243">
        <v>499</v>
      </c>
      <c r="N7425" s="243">
        <v>535</v>
      </c>
      <c r="O7425" s="253">
        <v>480</v>
      </c>
    </row>
    <row r="7426" spans="1:15">
      <c r="A7426" s="240" t="s">
        <v>68</v>
      </c>
      <c r="B7426" s="47" t="s">
        <v>59</v>
      </c>
      <c r="C7426" s="15">
        <v>706</v>
      </c>
      <c r="D7426" s="243">
        <v>87</v>
      </c>
      <c r="E7426" s="243">
        <v>45</v>
      </c>
      <c r="F7426" s="243">
        <v>30</v>
      </c>
      <c r="G7426" s="243">
        <v>39</v>
      </c>
      <c r="H7426" s="243">
        <v>52</v>
      </c>
      <c r="I7426" s="243">
        <v>53</v>
      </c>
      <c r="J7426" s="243">
        <v>53</v>
      </c>
      <c r="K7426" s="243">
        <v>75</v>
      </c>
      <c r="L7426" s="243">
        <v>81</v>
      </c>
      <c r="M7426" s="243">
        <v>57</v>
      </c>
      <c r="N7426" s="243">
        <v>76</v>
      </c>
      <c r="O7426" s="253">
        <v>58</v>
      </c>
    </row>
    <row r="7427" spans="1:15">
      <c r="A7427" s="242" t="s">
        <v>68</v>
      </c>
      <c r="B7427" s="43" t="s">
        <v>4</v>
      </c>
      <c r="C7427" s="15">
        <v>55</v>
      </c>
      <c r="D7427" s="244">
        <v>4</v>
      </c>
      <c r="E7427" s="244">
        <v>3</v>
      </c>
      <c r="F7427" s="244">
        <v>2</v>
      </c>
      <c r="G7427" s="244">
        <v>2</v>
      </c>
      <c r="H7427" s="244">
        <v>5</v>
      </c>
      <c r="I7427" s="244">
        <v>2</v>
      </c>
      <c r="J7427" s="244">
        <v>5</v>
      </c>
      <c r="K7427" s="244">
        <v>4</v>
      </c>
      <c r="L7427" s="244">
        <v>11</v>
      </c>
      <c r="M7427" s="244">
        <v>1</v>
      </c>
      <c r="N7427" s="244">
        <v>7</v>
      </c>
      <c r="O7427" s="254">
        <v>9</v>
      </c>
    </row>
    <row r="7428" spans="1:15">
      <c r="A7428" s="240" t="s">
        <v>68</v>
      </c>
      <c r="B7428" s="47" t="s">
        <v>5</v>
      </c>
      <c r="C7428" s="12">
        <v>0.0779036827195467</v>
      </c>
      <c r="D7428" s="241">
        <v>0.0459770114942529</v>
      </c>
      <c r="E7428" s="241">
        <v>0.0666666666666667</v>
      </c>
      <c r="F7428" s="241">
        <v>0.0666666666666667</v>
      </c>
      <c r="G7428" s="241">
        <v>0.0512820512820513</v>
      </c>
      <c r="H7428" s="241">
        <v>0.0961538461538462</v>
      </c>
      <c r="I7428" s="241">
        <v>0.0377358490566038</v>
      </c>
      <c r="J7428" s="241">
        <v>0.0943396226415094</v>
      </c>
      <c r="K7428" s="241">
        <v>0.0533333333333333</v>
      </c>
      <c r="L7428" s="241">
        <v>0.135802469135802</v>
      </c>
      <c r="M7428" s="241">
        <v>0.0175438596491228</v>
      </c>
      <c r="N7428" s="241">
        <v>0.0921052631578947</v>
      </c>
      <c r="O7428" s="252">
        <v>0.155172413793103</v>
      </c>
    </row>
    <row r="7429" spans="1:15">
      <c r="A7429" s="242" t="s">
        <v>68</v>
      </c>
      <c r="B7429" s="43" t="s">
        <v>6</v>
      </c>
      <c r="C7429" s="15">
        <v>21</v>
      </c>
      <c r="D7429" s="244">
        <v>1</v>
      </c>
      <c r="E7429" s="244">
        <v>1</v>
      </c>
      <c r="F7429" s="244">
        <v>1</v>
      </c>
      <c r="G7429" s="244">
        <v>0</v>
      </c>
      <c r="H7429" s="244">
        <v>4</v>
      </c>
      <c r="I7429" s="244">
        <v>1</v>
      </c>
      <c r="J7429" s="244">
        <v>2</v>
      </c>
      <c r="K7429" s="244">
        <v>1</v>
      </c>
      <c r="L7429" s="244">
        <v>5</v>
      </c>
      <c r="M7429" s="244">
        <v>2</v>
      </c>
      <c r="N7429" s="244">
        <v>2</v>
      </c>
      <c r="O7429" s="254">
        <v>1</v>
      </c>
    </row>
    <row r="7430" ht="14.25" spans="1:15">
      <c r="A7430" s="245" t="s">
        <v>68</v>
      </c>
      <c r="B7430" s="52" t="s">
        <v>64</v>
      </c>
      <c r="C7430" s="19">
        <v>0.381818181818182</v>
      </c>
      <c r="D7430" s="246">
        <v>0.25</v>
      </c>
      <c r="E7430" s="246">
        <v>0.333333333333333</v>
      </c>
      <c r="F7430" s="246">
        <v>0.5</v>
      </c>
      <c r="G7430" s="246">
        <v>0</v>
      </c>
      <c r="H7430" s="246">
        <v>0.8</v>
      </c>
      <c r="I7430" s="246">
        <v>0.5</v>
      </c>
      <c r="J7430" s="246">
        <v>0.4</v>
      </c>
      <c r="K7430" s="246">
        <v>0.25</v>
      </c>
      <c r="L7430" s="246">
        <v>0.454545454545455</v>
      </c>
      <c r="M7430" s="246">
        <v>2</v>
      </c>
      <c r="N7430" s="246">
        <v>0.285714285714286</v>
      </c>
      <c r="O7430" s="255">
        <v>0.111111111111111</v>
      </c>
    </row>
    <row r="7431" spans="1:15">
      <c r="A7431" s="240" t="s">
        <v>69</v>
      </c>
      <c r="B7431" s="47" t="s">
        <v>55</v>
      </c>
      <c r="C7431" s="12">
        <v>1.21854304635762</v>
      </c>
      <c r="D7431" s="241">
        <v>1.375</v>
      </c>
      <c r="E7431" s="241">
        <v>1.31818181818182</v>
      </c>
      <c r="F7431" s="241">
        <v>1.5</v>
      </c>
      <c r="G7431" s="241">
        <v>1.25</v>
      </c>
      <c r="H7431" s="241">
        <v>1.68421052631579</v>
      </c>
      <c r="I7431" s="241">
        <v>1.0952380952381</v>
      </c>
      <c r="J7431" s="241">
        <v>1.02777777777778</v>
      </c>
      <c r="K7431" s="241">
        <v>1.17857142857143</v>
      </c>
      <c r="L7431" s="241">
        <v>1.30434782608696</v>
      </c>
      <c r="M7431" s="241">
        <v>1.28</v>
      </c>
      <c r="N7431" s="241">
        <v>0.921052631578947</v>
      </c>
      <c r="O7431" s="252">
        <v>1.19444444444444</v>
      </c>
    </row>
    <row r="7432" spans="1:15">
      <c r="A7432" s="242" t="s">
        <v>69</v>
      </c>
      <c r="B7432" s="43" t="s">
        <v>57</v>
      </c>
      <c r="C7432" s="15">
        <v>302</v>
      </c>
      <c r="D7432" s="243">
        <v>32</v>
      </c>
      <c r="E7432" s="243">
        <v>22</v>
      </c>
      <c r="F7432" s="243">
        <v>10</v>
      </c>
      <c r="G7432" s="243">
        <v>12</v>
      </c>
      <c r="H7432" s="243">
        <v>19</v>
      </c>
      <c r="I7432" s="243">
        <v>21</v>
      </c>
      <c r="J7432" s="243">
        <v>36</v>
      </c>
      <c r="K7432" s="243">
        <v>28</v>
      </c>
      <c r="L7432" s="243">
        <v>23</v>
      </c>
      <c r="M7432" s="243">
        <v>25</v>
      </c>
      <c r="N7432" s="243">
        <v>38</v>
      </c>
      <c r="O7432" s="253">
        <v>36</v>
      </c>
    </row>
    <row r="7433" spans="1:15">
      <c r="A7433" s="240" t="s">
        <v>69</v>
      </c>
      <c r="B7433" s="47" t="s">
        <v>59</v>
      </c>
      <c r="C7433" s="15">
        <v>368</v>
      </c>
      <c r="D7433" s="243">
        <v>44</v>
      </c>
      <c r="E7433" s="243">
        <v>29</v>
      </c>
      <c r="F7433" s="243">
        <v>15</v>
      </c>
      <c r="G7433" s="243">
        <v>15</v>
      </c>
      <c r="H7433" s="243">
        <v>32</v>
      </c>
      <c r="I7433" s="243">
        <v>23</v>
      </c>
      <c r="J7433" s="243">
        <v>37</v>
      </c>
      <c r="K7433" s="243">
        <v>33</v>
      </c>
      <c r="L7433" s="243">
        <v>30</v>
      </c>
      <c r="M7433" s="243">
        <v>32</v>
      </c>
      <c r="N7433" s="243">
        <v>35</v>
      </c>
      <c r="O7433" s="253">
        <v>43</v>
      </c>
    </row>
    <row r="7434" spans="1:15">
      <c r="A7434" s="242" t="s">
        <v>69</v>
      </c>
      <c r="B7434" s="43" t="s">
        <v>4</v>
      </c>
      <c r="C7434" s="15">
        <v>5</v>
      </c>
      <c r="D7434" s="244">
        <v>0</v>
      </c>
      <c r="E7434" s="244">
        <v>1</v>
      </c>
      <c r="F7434" s="244">
        <v>2</v>
      </c>
      <c r="G7434" s="244">
        <v>0</v>
      </c>
      <c r="H7434" s="244">
        <v>0</v>
      </c>
      <c r="I7434" s="244">
        <v>0</v>
      </c>
      <c r="J7434" s="244">
        <v>0</v>
      </c>
      <c r="K7434" s="244">
        <v>1</v>
      </c>
      <c r="L7434" s="244">
        <v>0</v>
      </c>
      <c r="M7434" s="244">
        <v>0</v>
      </c>
      <c r="N7434" s="244">
        <v>1</v>
      </c>
      <c r="O7434" s="254">
        <v>0</v>
      </c>
    </row>
    <row r="7435" spans="1:15">
      <c r="A7435" s="240" t="s">
        <v>69</v>
      </c>
      <c r="B7435" s="47" t="s">
        <v>5</v>
      </c>
      <c r="C7435" s="12">
        <v>0.0135869565217391</v>
      </c>
      <c r="D7435" s="241">
        <v>0</v>
      </c>
      <c r="E7435" s="241">
        <v>0.0344827586206897</v>
      </c>
      <c r="F7435" s="241">
        <v>0.133333333333333</v>
      </c>
      <c r="G7435" s="241">
        <v>0</v>
      </c>
      <c r="H7435" s="241">
        <v>0</v>
      </c>
      <c r="I7435" s="241">
        <v>0</v>
      </c>
      <c r="J7435" s="241">
        <v>0</v>
      </c>
      <c r="K7435" s="241">
        <v>0.0303030303030303</v>
      </c>
      <c r="L7435" s="241">
        <v>0</v>
      </c>
      <c r="M7435" s="241">
        <v>0</v>
      </c>
      <c r="N7435" s="241">
        <v>0.0285714285714286</v>
      </c>
      <c r="O7435" s="252">
        <v>0</v>
      </c>
    </row>
    <row r="7436" spans="1:15">
      <c r="A7436" s="242" t="s">
        <v>69</v>
      </c>
      <c r="B7436" s="43" t="s">
        <v>6</v>
      </c>
      <c r="C7436" s="15">
        <v>3</v>
      </c>
      <c r="D7436" s="244">
        <v>0</v>
      </c>
      <c r="E7436" s="244">
        <v>1</v>
      </c>
      <c r="F7436" s="244">
        <v>0</v>
      </c>
      <c r="G7436" s="244">
        <v>0</v>
      </c>
      <c r="H7436" s="244">
        <v>0</v>
      </c>
      <c r="I7436" s="244">
        <v>1</v>
      </c>
      <c r="J7436" s="244">
        <v>0</v>
      </c>
      <c r="K7436" s="244">
        <v>0</v>
      </c>
      <c r="L7436" s="244">
        <v>0</v>
      </c>
      <c r="M7436" s="244">
        <v>0</v>
      </c>
      <c r="N7436" s="244">
        <v>0</v>
      </c>
      <c r="O7436" s="254">
        <v>1</v>
      </c>
    </row>
    <row r="7437" ht="14.25" spans="1:15">
      <c r="A7437" s="245" t="s">
        <v>69</v>
      </c>
      <c r="B7437" s="52" t="s">
        <v>64</v>
      </c>
      <c r="C7437" s="19">
        <v>0.6</v>
      </c>
      <c r="D7437" s="246">
        <v>0</v>
      </c>
      <c r="E7437" s="246">
        <v>1</v>
      </c>
      <c r="F7437" s="246">
        <v>0</v>
      </c>
      <c r="G7437" s="246">
        <v>0</v>
      </c>
      <c r="H7437" s="246">
        <v>0</v>
      </c>
      <c r="I7437" s="246">
        <v>0</v>
      </c>
      <c r="J7437" s="246">
        <v>0</v>
      </c>
      <c r="K7437" s="246">
        <v>0</v>
      </c>
      <c r="L7437" s="246">
        <v>0</v>
      </c>
      <c r="M7437" s="246">
        <v>0</v>
      </c>
      <c r="N7437" s="246">
        <v>0</v>
      </c>
      <c r="O7437" s="255">
        <v>0</v>
      </c>
    </row>
    <row r="7438" spans="1:15">
      <c r="A7438" s="240" t="s">
        <v>70</v>
      </c>
      <c r="B7438" s="47" t="s">
        <v>55</v>
      </c>
      <c r="C7438" s="12">
        <v>0.683406113537118</v>
      </c>
      <c r="D7438" s="241">
        <v>0.841269841269841</v>
      </c>
      <c r="E7438" s="241">
        <v>0.84375</v>
      </c>
      <c r="F7438" s="241">
        <v>0.411764705882353</v>
      </c>
      <c r="G7438" s="241">
        <v>0.708333333333333</v>
      </c>
      <c r="H7438" s="241">
        <v>0.96</v>
      </c>
      <c r="I7438" s="241">
        <v>0.65979381443299</v>
      </c>
      <c r="J7438" s="241">
        <v>0.817073170731707</v>
      </c>
      <c r="K7438" s="241">
        <v>0.589147286821705</v>
      </c>
      <c r="L7438" s="241">
        <v>0.6</v>
      </c>
      <c r="M7438" s="241">
        <v>0.813333333333333</v>
      </c>
      <c r="N7438" s="241">
        <v>0.6</v>
      </c>
      <c r="O7438" s="252">
        <v>0.484536082474227</v>
      </c>
    </row>
    <row r="7439" spans="1:15">
      <c r="A7439" s="242" t="s">
        <v>70</v>
      </c>
      <c r="B7439" s="43" t="s">
        <v>57</v>
      </c>
      <c r="C7439" s="15">
        <v>916</v>
      </c>
      <c r="D7439" s="243">
        <v>63</v>
      </c>
      <c r="E7439" s="243">
        <v>32</v>
      </c>
      <c r="F7439" s="243">
        <v>17</v>
      </c>
      <c r="G7439" s="243">
        <v>24</v>
      </c>
      <c r="H7439" s="243">
        <v>75</v>
      </c>
      <c r="I7439" s="243">
        <v>97</v>
      </c>
      <c r="J7439" s="243">
        <v>82</v>
      </c>
      <c r="K7439" s="243">
        <v>129</v>
      </c>
      <c r="L7439" s="243">
        <v>120</v>
      </c>
      <c r="M7439" s="243">
        <v>75</v>
      </c>
      <c r="N7439" s="243">
        <v>105</v>
      </c>
      <c r="O7439" s="253">
        <v>97</v>
      </c>
    </row>
    <row r="7440" spans="1:15">
      <c r="A7440" s="240" t="s">
        <v>70</v>
      </c>
      <c r="B7440" s="47" t="s">
        <v>59</v>
      </c>
      <c r="C7440" s="15">
        <v>626</v>
      </c>
      <c r="D7440" s="243">
        <v>53</v>
      </c>
      <c r="E7440" s="243">
        <v>27</v>
      </c>
      <c r="F7440" s="243">
        <v>7</v>
      </c>
      <c r="G7440" s="243">
        <v>17</v>
      </c>
      <c r="H7440" s="243">
        <v>72</v>
      </c>
      <c r="I7440" s="243">
        <v>64</v>
      </c>
      <c r="J7440" s="243">
        <v>67</v>
      </c>
      <c r="K7440" s="243">
        <v>76</v>
      </c>
      <c r="L7440" s="243">
        <v>72</v>
      </c>
      <c r="M7440" s="243">
        <v>61</v>
      </c>
      <c r="N7440" s="243">
        <v>63</v>
      </c>
      <c r="O7440" s="253">
        <v>47</v>
      </c>
    </row>
    <row r="7441" spans="1:15">
      <c r="A7441" s="242" t="s">
        <v>70</v>
      </c>
      <c r="B7441" s="43" t="s">
        <v>4</v>
      </c>
      <c r="C7441" s="15">
        <v>15</v>
      </c>
      <c r="D7441" s="244">
        <v>2</v>
      </c>
      <c r="E7441" s="244">
        <v>0</v>
      </c>
      <c r="F7441" s="244">
        <v>2</v>
      </c>
      <c r="G7441" s="244">
        <v>0</v>
      </c>
      <c r="H7441" s="244">
        <v>2</v>
      </c>
      <c r="I7441" s="244">
        <v>1</v>
      </c>
      <c r="J7441" s="244">
        <v>0</v>
      </c>
      <c r="K7441" s="244">
        <v>1</v>
      </c>
      <c r="L7441" s="244">
        <v>0</v>
      </c>
      <c r="M7441" s="244">
        <v>4</v>
      </c>
      <c r="N7441" s="244">
        <v>0</v>
      </c>
      <c r="O7441" s="254">
        <v>3</v>
      </c>
    </row>
    <row r="7442" spans="1:15">
      <c r="A7442" s="240" t="s">
        <v>70</v>
      </c>
      <c r="B7442" s="47" t="s">
        <v>5</v>
      </c>
      <c r="C7442" s="12">
        <v>0.023961661341853</v>
      </c>
      <c r="D7442" s="241">
        <v>0.0377358490566038</v>
      </c>
      <c r="E7442" s="241">
        <v>0</v>
      </c>
      <c r="F7442" s="241">
        <v>0.285714285714286</v>
      </c>
      <c r="G7442" s="241">
        <v>0</v>
      </c>
      <c r="H7442" s="241">
        <v>0.0277777777777778</v>
      </c>
      <c r="I7442" s="241">
        <v>0.015625</v>
      </c>
      <c r="J7442" s="241">
        <v>0</v>
      </c>
      <c r="K7442" s="241">
        <v>0.0131578947368421</v>
      </c>
      <c r="L7442" s="241">
        <v>0</v>
      </c>
      <c r="M7442" s="241">
        <v>0.0655737704918033</v>
      </c>
      <c r="N7442" s="241">
        <v>0</v>
      </c>
      <c r="O7442" s="252">
        <v>0.0638297872340425</v>
      </c>
    </row>
    <row r="7443" spans="1:15">
      <c r="A7443" s="242" t="s">
        <v>70</v>
      </c>
      <c r="B7443" s="43" t="s">
        <v>6</v>
      </c>
      <c r="C7443" s="15">
        <v>5</v>
      </c>
      <c r="D7443" s="244">
        <v>0</v>
      </c>
      <c r="E7443" s="244">
        <v>0</v>
      </c>
      <c r="F7443" s="244">
        <v>0</v>
      </c>
      <c r="G7443" s="244">
        <v>0</v>
      </c>
      <c r="H7443" s="244">
        <v>0</v>
      </c>
      <c r="I7443" s="244">
        <v>0</v>
      </c>
      <c r="J7443" s="244">
        <v>0</v>
      </c>
      <c r="K7443" s="244">
        <v>1</v>
      </c>
      <c r="L7443" s="244">
        <v>0</v>
      </c>
      <c r="M7443" s="244">
        <v>3</v>
      </c>
      <c r="N7443" s="244">
        <v>0</v>
      </c>
      <c r="O7443" s="254">
        <v>1</v>
      </c>
    </row>
    <row r="7444" ht="14.25" spans="1:15">
      <c r="A7444" s="245" t="s">
        <v>70</v>
      </c>
      <c r="B7444" s="52" t="s">
        <v>64</v>
      </c>
      <c r="C7444" s="19">
        <v>0.333333333333333</v>
      </c>
      <c r="D7444" s="246">
        <v>0</v>
      </c>
      <c r="E7444" s="246">
        <v>0</v>
      </c>
      <c r="F7444" s="246">
        <v>0</v>
      </c>
      <c r="G7444" s="246">
        <v>0</v>
      </c>
      <c r="H7444" s="246">
        <v>0</v>
      </c>
      <c r="I7444" s="246">
        <v>0</v>
      </c>
      <c r="J7444" s="246">
        <v>0</v>
      </c>
      <c r="K7444" s="246">
        <v>1</v>
      </c>
      <c r="L7444" s="246">
        <v>0</v>
      </c>
      <c r="M7444" s="246">
        <v>0.75</v>
      </c>
      <c r="N7444" s="246">
        <v>0</v>
      </c>
      <c r="O7444" s="255">
        <v>0.333333333333333</v>
      </c>
    </row>
    <row r="7445" spans="1:15">
      <c r="A7445" s="240" t="s">
        <v>26</v>
      </c>
      <c r="B7445" s="47" t="s">
        <v>55</v>
      </c>
      <c r="C7445" s="12">
        <v>0.944779116465863</v>
      </c>
      <c r="D7445" s="241">
        <v>0.882882882882883</v>
      </c>
      <c r="E7445" s="241">
        <v>0.875</v>
      </c>
      <c r="F7445" s="241">
        <v>0.958904109589041</v>
      </c>
      <c r="G7445" s="241">
        <v>1.02247191011236</v>
      </c>
      <c r="H7445" s="241">
        <v>1.16793893129771</v>
      </c>
      <c r="I7445" s="241">
        <v>1.07894736842105</v>
      </c>
      <c r="J7445" s="241">
        <v>0.938775510204082</v>
      </c>
      <c r="K7445" s="241">
        <v>0.9375</v>
      </c>
      <c r="L7445" s="241">
        <v>0.946341463414634</v>
      </c>
      <c r="M7445" s="241">
        <v>0.920245398773006</v>
      </c>
      <c r="N7445" s="241">
        <v>0.916256157635468</v>
      </c>
      <c r="O7445" s="252">
        <v>0.839130434782609</v>
      </c>
    </row>
    <row r="7446" spans="1:15">
      <c r="A7446" s="242" t="s">
        <v>26</v>
      </c>
      <c r="B7446" s="43" t="s">
        <v>57</v>
      </c>
      <c r="C7446" s="15">
        <v>1992</v>
      </c>
      <c r="D7446" s="243">
        <v>222</v>
      </c>
      <c r="E7446" s="243">
        <v>104</v>
      </c>
      <c r="F7446" s="243">
        <v>73</v>
      </c>
      <c r="G7446" s="243">
        <v>89</v>
      </c>
      <c r="H7446" s="243">
        <v>131</v>
      </c>
      <c r="I7446" s="243">
        <v>152</v>
      </c>
      <c r="J7446" s="243">
        <v>196</v>
      </c>
      <c r="K7446" s="243">
        <v>224</v>
      </c>
      <c r="L7446" s="243">
        <v>205</v>
      </c>
      <c r="M7446" s="243">
        <v>163</v>
      </c>
      <c r="N7446" s="243">
        <v>203</v>
      </c>
      <c r="O7446" s="253">
        <v>230</v>
      </c>
    </row>
    <row r="7447" spans="1:15">
      <c r="A7447" s="240" t="s">
        <v>26</v>
      </c>
      <c r="B7447" s="47" t="s">
        <v>59</v>
      </c>
      <c r="C7447" s="15">
        <v>1882</v>
      </c>
      <c r="D7447" s="243">
        <v>196</v>
      </c>
      <c r="E7447" s="243">
        <v>91</v>
      </c>
      <c r="F7447" s="243">
        <v>70</v>
      </c>
      <c r="G7447" s="243">
        <v>91</v>
      </c>
      <c r="H7447" s="243">
        <v>153</v>
      </c>
      <c r="I7447" s="243">
        <v>164</v>
      </c>
      <c r="J7447" s="243">
        <v>184</v>
      </c>
      <c r="K7447" s="243">
        <v>210</v>
      </c>
      <c r="L7447" s="243">
        <v>194</v>
      </c>
      <c r="M7447" s="243">
        <v>150</v>
      </c>
      <c r="N7447" s="243">
        <v>186</v>
      </c>
      <c r="O7447" s="253">
        <v>193</v>
      </c>
    </row>
    <row r="7448" spans="1:15">
      <c r="A7448" s="242" t="s">
        <v>26</v>
      </c>
      <c r="B7448" s="43" t="s">
        <v>4</v>
      </c>
      <c r="C7448" s="15">
        <v>38</v>
      </c>
      <c r="D7448" s="244">
        <v>4</v>
      </c>
      <c r="E7448" s="244">
        <v>5</v>
      </c>
      <c r="F7448" s="244">
        <v>2</v>
      </c>
      <c r="G7448" s="244">
        <v>2</v>
      </c>
      <c r="H7448" s="244">
        <v>1</v>
      </c>
      <c r="I7448" s="244">
        <v>4</v>
      </c>
      <c r="J7448" s="244">
        <v>1</v>
      </c>
      <c r="K7448" s="244">
        <v>5</v>
      </c>
      <c r="L7448" s="244">
        <v>5</v>
      </c>
      <c r="M7448" s="244">
        <v>1</v>
      </c>
      <c r="N7448" s="244">
        <v>4</v>
      </c>
      <c r="O7448" s="254">
        <v>4</v>
      </c>
    </row>
    <row r="7449" spans="1:15">
      <c r="A7449" s="240" t="s">
        <v>26</v>
      </c>
      <c r="B7449" s="47" t="s">
        <v>5</v>
      </c>
      <c r="C7449" s="12">
        <v>0.0201912858660999</v>
      </c>
      <c r="D7449" s="241">
        <v>0.0204081632653061</v>
      </c>
      <c r="E7449" s="241">
        <v>0.0549450549450549</v>
      </c>
      <c r="F7449" s="241">
        <v>0.0285714285714286</v>
      </c>
      <c r="G7449" s="241">
        <v>0.021978021978022</v>
      </c>
      <c r="H7449" s="241">
        <v>0.0065359477124183</v>
      </c>
      <c r="I7449" s="241">
        <v>0.024390243902439</v>
      </c>
      <c r="J7449" s="241">
        <v>0.00543478260869565</v>
      </c>
      <c r="K7449" s="241">
        <v>0.0238095238095238</v>
      </c>
      <c r="L7449" s="241">
        <v>0.0257731958762887</v>
      </c>
      <c r="M7449" s="241">
        <v>0.00666666666666667</v>
      </c>
      <c r="N7449" s="241">
        <v>0.021505376344086</v>
      </c>
      <c r="O7449" s="252">
        <v>0.0207253886010363</v>
      </c>
    </row>
    <row r="7450" spans="1:15">
      <c r="A7450" s="242" t="s">
        <v>26</v>
      </c>
      <c r="B7450" s="43" t="s">
        <v>6</v>
      </c>
      <c r="C7450" s="15">
        <v>8</v>
      </c>
      <c r="D7450" s="244">
        <v>3</v>
      </c>
      <c r="E7450" s="244">
        <v>0</v>
      </c>
      <c r="F7450" s="244">
        <v>1</v>
      </c>
      <c r="G7450" s="244">
        <v>0</v>
      </c>
      <c r="H7450" s="244">
        <v>0</v>
      </c>
      <c r="I7450" s="244">
        <v>1</v>
      </c>
      <c r="J7450" s="244">
        <v>1</v>
      </c>
      <c r="K7450" s="244">
        <v>1</v>
      </c>
      <c r="L7450" s="244">
        <v>1</v>
      </c>
      <c r="M7450" s="244">
        <v>0</v>
      </c>
      <c r="N7450" s="244">
        <v>0</v>
      </c>
      <c r="O7450" s="254">
        <v>0</v>
      </c>
    </row>
    <row r="7451" ht="14.25" spans="1:15">
      <c r="A7451" s="245" t="s">
        <v>26</v>
      </c>
      <c r="B7451" s="52" t="s">
        <v>64</v>
      </c>
      <c r="C7451" s="19">
        <v>0.210526315789474</v>
      </c>
      <c r="D7451" s="19">
        <v>0.75</v>
      </c>
      <c r="E7451" s="19">
        <v>0</v>
      </c>
      <c r="F7451" s="19">
        <v>0.5</v>
      </c>
      <c r="G7451" s="19">
        <v>0</v>
      </c>
      <c r="H7451" s="19">
        <v>0</v>
      </c>
      <c r="I7451" s="19">
        <v>0.25</v>
      </c>
      <c r="J7451" s="19">
        <v>1</v>
      </c>
      <c r="K7451" s="19">
        <v>0.2</v>
      </c>
      <c r="L7451" s="19">
        <v>0.2</v>
      </c>
      <c r="M7451" s="19">
        <v>0</v>
      </c>
      <c r="N7451" s="19">
        <v>0</v>
      </c>
      <c r="O7451" s="19">
        <v>0</v>
      </c>
    </row>
    <row r="7452" spans="1:15">
      <c r="A7452" s="240" t="s">
        <v>71</v>
      </c>
      <c r="B7452" s="47" t="s">
        <v>55</v>
      </c>
      <c r="C7452" s="12">
        <v>0.0886792452830189</v>
      </c>
      <c r="D7452" s="241">
        <v>0.0597014925373134</v>
      </c>
      <c r="E7452" s="241">
        <v>0.025</v>
      </c>
      <c r="F7452" s="241">
        <v>0.0952380952380952</v>
      </c>
      <c r="G7452" s="241">
        <v>0.0294117647058824</v>
      </c>
      <c r="H7452" s="241">
        <v>0.1875</v>
      </c>
      <c r="I7452" s="241">
        <v>0.119047619047619</v>
      </c>
      <c r="J7452" s="241">
        <v>0.175675675675676</v>
      </c>
      <c r="K7452" s="241">
        <v>0.0648148148148148</v>
      </c>
      <c r="L7452" s="241">
        <v>0.0769230769230769</v>
      </c>
      <c r="M7452" s="241">
        <v>0.0921052631578947</v>
      </c>
      <c r="N7452" s="241">
        <v>0.0983606557377049</v>
      </c>
      <c r="O7452" s="252">
        <v>0.0865384615384615</v>
      </c>
    </row>
    <row r="7453" spans="1:15">
      <c r="A7453" s="242" t="s">
        <v>71</v>
      </c>
      <c r="B7453" s="43" t="s">
        <v>57</v>
      </c>
      <c r="C7453" s="309">
        <v>530</v>
      </c>
      <c r="D7453" s="243">
        <v>67</v>
      </c>
      <c r="E7453" s="243">
        <v>40</v>
      </c>
      <c r="F7453" s="243">
        <v>21</v>
      </c>
      <c r="G7453" s="243">
        <v>34</v>
      </c>
      <c r="H7453" s="243">
        <v>32</v>
      </c>
      <c r="I7453" s="243">
        <v>42</v>
      </c>
      <c r="J7453" s="243">
        <v>37</v>
      </c>
      <c r="K7453" s="243">
        <v>54</v>
      </c>
      <c r="L7453" s="243">
        <v>52</v>
      </c>
      <c r="M7453" s="243">
        <v>38</v>
      </c>
      <c r="N7453" s="243">
        <v>61</v>
      </c>
      <c r="O7453" s="253">
        <v>52</v>
      </c>
    </row>
    <row r="7454" spans="1:15">
      <c r="A7454" s="240" t="s">
        <v>71</v>
      </c>
      <c r="B7454" s="47" t="s">
        <v>59</v>
      </c>
      <c r="C7454" s="309">
        <v>47</v>
      </c>
      <c r="D7454" s="243">
        <v>4</v>
      </c>
      <c r="E7454" s="243">
        <v>1</v>
      </c>
      <c r="F7454" s="243">
        <v>2</v>
      </c>
      <c r="G7454" s="243">
        <v>1</v>
      </c>
      <c r="H7454" s="243">
        <v>6</v>
      </c>
      <c r="I7454" s="243">
        <v>5</v>
      </c>
      <c r="J7454" s="243">
        <v>6.5</v>
      </c>
      <c r="K7454" s="243">
        <v>3.5</v>
      </c>
      <c r="L7454" s="243">
        <v>4</v>
      </c>
      <c r="M7454" s="243">
        <v>3.5</v>
      </c>
      <c r="N7454" s="243">
        <v>6</v>
      </c>
      <c r="O7454" s="253">
        <v>4.5</v>
      </c>
    </row>
    <row r="7455" spans="1:15">
      <c r="A7455" s="242" t="s">
        <v>71</v>
      </c>
      <c r="B7455" s="43" t="s">
        <v>4</v>
      </c>
      <c r="C7455" s="15">
        <v>21</v>
      </c>
      <c r="D7455" s="244">
        <v>4</v>
      </c>
      <c r="E7455" s="244">
        <v>2</v>
      </c>
      <c r="F7455" s="244">
        <v>3</v>
      </c>
      <c r="G7455" s="244">
        <v>0</v>
      </c>
      <c r="H7455" s="244">
        <v>1</v>
      </c>
      <c r="I7455" s="244">
        <v>3</v>
      </c>
      <c r="J7455" s="244">
        <v>1</v>
      </c>
      <c r="K7455" s="244">
        <v>0</v>
      </c>
      <c r="L7455" s="244">
        <v>2</v>
      </c>
      <c r="M7455" s="244">
        <v>0</v>
      </c>
      <c r="N7455" s="244">
        <v>1</v>
      </c>
      <c r="O7455" s="254">
        <v>4</v>
      </c>
    </row>
    <row r="7456" spans="1:15">
      <c r="A7456" s="240" t="s">
        <v>71</v>
      </c>
      <c r="B7456" s="47" t="s">
        <v>5</v>
      </c>
      <c r="C7456" s="241">
        <v>0.446808510638298</v>
      </c>
      <c r="D7456" s="241">
        <v>1</v>
      </c>
      <c r="E7456" s="241">
        <v>2</v>
      </c>
      <c r="F7456" s="241">
        <v>1.5</v>
      </c>
      <c r="G7456" s="241">
        <v>0</v>
      </c>
      <c r="H7456" s="241">
        <v>0.166666666666667</v>
      </c>
      <c r="I7456" s="241">
        <v>0.6</v>
      </c>
      <c r="J7456" s="241">
        <v>0.153846153846154</v>
      </c>
      <c r="K7456" s="241">
        <v>0</v>
      </c>
      <c r="L7456" s="241">
        <v>0.5</v>
      </c>
      <c r="M7456" s="241">
        <v>0</v>
      </c>
      <c r="N7456" s="241">
        <v>0.166666666666667</v>
      </c>
      <c r="O7456" s="252">
        <v>0.888888888888889</v>
      </c>
    </row>
    <row r="7457" spans="1:15">
      <c r="A7457" s="242" t="s">
        <v>71</v>
      </c>
      <c r="B7457" s="43" t="s">
        <v>6</v>
      </c>
      <c r="C7457" s="15">
        <v>8</v>
      </c>
      <c r="D7457" s="244">
        <v>3</v>
      </c>
      <c r="E7457" s="244">
        <v>1</v>
      </c>
      <c r="F7457" s="244">
        <v>1</v>
      </c>
      <c r="G7457" s="244">
        <v>0</v>
      </c>
      <c r="H7457" s="244">
        <v>0</v>
      </c>
      <c r="I7457" s="244">
        <v>1</v>
      </c>
      <c r="J7457" s="244">
        <v>0</v>
      </c>
      <c r="K7457" s="244">
        <v>0</v>
      </c>
      <c r="L7457" s="244">
        <v>1</v>
      </c>
      <c r="M7457" s="244">
        <v>0</v>
      </c>
      <c r="N7457" s="244">
        <v>0</v>
      </c>
      <c r="O7457" s="254">
        <v>1</v>
      </c>
    </row>
    <row r="7458" ht="14.25" spans="1:15">
      <c r="A7458" s="245" t="s">
        <v>71</v>
      </c>
      <c r="B7458" s="52" t="s">
        <v>64</v>
      </c>
      <c r="C7458" s="19">
        <v>0.380952380952381</v>
      </c>
      <c r="D7458" s="19">
        <v>0.75</v>
      </c>
      <c r="E7458" s="19">
        <v>0.5</v>
      </c>
      <c r="F7458" s="19">
        <v>0.333333333333333</v>
      </c>
      <c r="G7458" s="19" t="e">
        <v>#DIV/0!</v>
      </c>
      <c r="H7458" s="19">
        <v>0</v>
      </c>
      <c r="I7458" s="19">
        <v>0.333333333333333</v>
      </c>
      <c r="J7458" s="19">
        <v>0</v>
      </c>
      <c r="K7458" s="19" t="e">
        <v>#DIV/0!</v>
      </c>
      <c r="L7458" s="19">
        <v>0.5</v>
      </c>
      <c r="M7458" s="19" t="e">
        <v>#DIV/0!</v>
      </c>
      <c r="N7458" s="19">
        <v>0</v>
      </c>
      <c r="O7458" s="19">
        <v>0.25</v>
      </c>
    </row>
    <row r="7459" spans="1:15">
      <c r="A7459" s="240" t="s">
        <v>72</v>
      </c>
      <c r="B7459" s="47" t="s">
        <v>55</v>
      </c>
      <c r="C7459" s="12">
        <v>0.0393575098518482</v>
      </c>
      <c r="D7459" s="241">
        <v>0.0426300578034682</v>
      </c>
      <c r="E7459" s="241">
        <v>0.0390428211586902</v>
      </c>
      <c r="F7459" s="241">
        <v>0.0466926070038911</v>
      </c>
      <c r="G7459" s="241">
        <v>0.0498938428874735</v>
      </c>
      <c r="H7459" s="241">
        <v>0.0394060536836094</v>
      </c>
      <c r="I7459" s="241">
        <v>0.0347784659361601</v>
      </c>
      <c r="J7459" s="241">
        <v>0.0417335473515249</v>
      </c>
      <c r="K7459" s="241">
        <v>0.0427230046948357</v>
      </c>
      <c r="L7459" s="241">
        <v>0.0340858787073927</v>
      </c>
      <c r="M7459" s="241">
        <v>0.0419651995905834</v>
      </c>
      <c r="N7459" s="241">
        <v>0.0373873873873874</v>
      </c>
      <c r="O7459" s="252">
        <v>0.0351947442515251</v>
      </c>
    </row>
    <row r="7460" spans="1:15">
      <c r="A7460" s="242" t="s">
        <v>72</v>
      </c>
      <c r="B7460" s="43" t="s">
        <v>57</v>
      </c>
      <c r="C7460" s="15">
        <v>20047</v>
      </c>
      <c r="D7460" s="243">
        <v>1384</v>
      </c>
      <c r="E7460" s="243">
        <v>794</v>
      </c>
      <c r="F7460" s="243">
        <v>514</v>
      </c>
      <c r="G7460" s="243">
        <v>942</v>
      </c>
      <c r="H7460" s="243">
        <v>1751</v>
      </c>
      <c r="I7460" s="243">
        <v>2099</v>
      </c>
      <c r="J7460" s="243">
        <v>1869</v>
      </c>
      <c r="K7460" s="243">
        <v>2130</v>
      </c>
      <c r="L7460" s="243">
        <v>2259</v>
      </c>
      <c r="M7460" s="243">
        <v>1954</v>
      </c>
      <c r="N7460" s="243">
        <v>2220</v>
      </c>
      <c r="O7460" s="253">
        <v>2131</v>
      </c>
    </row>
    <row r="7461" spans="1:15">
      <c r="A7461" s="240" t="s">
        <v>72</v>
      </c>
      <c r="B7461" s="47" t="s">
        <v>59</v>
      </c>
      <c r="C7461" s="15">
        <v>789</v>
      </c>
      <c r="D7461" s="243">
        <v>59</v>
      </c>
      <c r="E7461" s="243">
        <v>31</v>
      </c>
      <c r="F7461" s="243">
        <v>24</v>
      </c>
      <c r="G7461" s="243">
        <v>47</v>
      </c>
      <c r="H7461" s="243">
        <v>69</v>
      </c>
      <c r="I7461" s="243">
        <v>73</v>
      </c>
      <c r="J7461" s="243">
        <v>78</v>
      </c>
      <c r="K7461" s="243">
        <v>91</v>
      </c>
      <c r="L7461" s="243">
        <v>77</v>
      </c>
      <c r="M7461" s="243">
        <v>82</v>
      </c>
      <c r="N7461" s="243">
        <v>83</v>
      </c>
      <c r="O7461" s="253">
        <v>75</v>
      </c>
    </row>
    <row r="7462" spans="1:15">
      <c r="A7462" s="242" t="s">
        <v>72</v>
      </c>
      <c r="B7462" s="43" t="s">
        <v>4</v>
      </c>
      <c r="C7462" s="15">
        <v>46</v>
      </c>
      <c r="D7462" s="244">
        <v>2</v>
      </c>
      <c r="E7462" s="244">
        <v>3</v>
      </c>
      <c r="F7462" s="244">
        <v>0</v>
      </c>
      <c r="G7462" s="244">
        <v>3</v>
      </c>
      <c r="H7462" s="244">
        <v>3</v>
      </c>
      <c r="I7462" s="244">
        <v>3</v>
      </c>
      <c r="J7462" s="244">
        <v>4</v>
      </c>
      <c r="K7462" s="244">
        <v>6</v>
      </c>
      <c r="L7462" s="244">
        <v>6</v>
      </c>
      <c r="M7462" s="244">
        <v>3</v>
      </c>
      <c r="N7462" s="244">
        <v>5</v>
      </c>
      <c r="O7462" s="254">
        <v>8</v>
      </c>
    </row>
    <row r="7463" spans="1:15">
      <c r="A7463" s="240" t="s">
        <v>72</v>
      </c>
      <c r="B7463" s="47" t="s">
        <v>5</v>
      </c>
      <c r="C7463" s="12">
        <v>0.0583016476552598</v>
      </c>
      <c r="D7463" s="241">
        <v>0.0338983050847458</v>
      </c>
      <c r="E7463" s="241">
        <v>0.0967741935483871</v>
      </c>
      <c r="F7463" s="241">
        <v>0</v>
      </c>
      <c r="G7463" s="241">
        <v>0.0638297872340425</v>
      </c>
      <c r="H7463" s="241">
        <v>0.0434782608695652</v>
      </c>
      <c r="I7463" s="241">
        <v>0.0410958904109589</v>
      </c>
      <c r="J7463" s="241">
        <v>0.0512820512820513</v>
      </c>
      <c r="K7463" s="241">
        <v>0.0659340659340659</v>
      </c>
      <c r="L7463" s="241">
        <v>0.0779220779220779</v>
      </c>
      <c r="M7463" s="241">
        <v>0.0365853658536585</v>
      </c>
      <c r="N7463" s="241">
        <v>0.0602409638554217</v>
      </c>
      <c r="O7463" s="252">
        <v>0.106666666666667</v>
      </c>
    </row>
    <row r="7464" spans="1:15">
      <c r="A7464" s="242" t="s">
        <v>72</v>
      </c>
      <c r="B7464" s="43" t="s">
        <v>6</v>
      </c>
      <c r="C7464" s="15">
        <v>14</v>
      </c>
      <c r="D7464" s="244">
        <v>3</v>
      </c>
      <c r="E7464" s="244">
        <v>1</v>
      </c>
      <c r="F7464" s="244">
        <v>0</v>
      </c>
      <c r="G7464" s="244">
        <v>0</v>
      </c>
      <c r="H7464" s="244">
        <v>1</v>
      </c>
      <c r="I7464" s="244">
        <v>2</v>
      </c>
      <c r="J7464" s="244">
        <v>2</v>
      </c>
      <c r="K7464" s="244">
        <v>2</v>
      </c>
      <c r="L7464" s="244">
        <v>0</v>
      </c>
      <c r="M7464" s="244">
        <v>2</v>
      </c>
      <c r="N7464" s="244">
        <v>1</v>
      </c>
      <c r="O7464" s="254">
        <v>0</v>
      </c>
    </row>
    <row r="7465" ht="14.25" spans="1:15">
      <c r="A7465" s="245" t="s">
        <v>72</v>
      </c>
      <c r="B7465" s="52" t="s">
        <v>64</v>
      </c>
      <c r="C7465" s="19">
        <v>0.304347826086957</v>
      </c>
      <c r="D7465" s="19">
        <v>1.5</v>
      </c>
      <c r="E7465" s="19">
        <v>0.333333333333333</v>
      </c>
      <c r="F7465" s="19" t="e">
        <v>#DIV/0!</v>
      </c>
      <c r="G7465" s="19">
        <v>0</v>
      </c>
      <c r="H7465" s="19">
        <v>0.333333333333333</v>
      </c>
      <c r="I7465" s="19">
        <v>0.666666666666667</v>
      </c>
      <c r="J7465" s="19">
        <v>0.5</v>
      </c>
      <c r="K7465" s="19">
        <v>0.333333333333333</v>
      </c>
      <c r="L7465" s="19">
        <v>0</v>
      </c>
      <c r="M7465" s="19">
        <v>0.666666666666667</v>
      </c>
      <c r="N7465" s="19">
        <v>0.2</v>
      </c>
      <c r="O7465" s="19">
        <v>0</v>
      </c>
    </row>
    <row r="7466" ht="14.25" spans="1:15">
      <c r="A7466" s="259">
        <v>45134</v>
      </c>
      <c r="B7466" s="259"/>
      <c r="C7466" s="259"/>
      <c r="D7466" s="259"/>
      <c r="E7466" s="259"/>
      <c r="F7466" s="259"/>
      <c r="G7466" s="259"/>
      <c r="H7466" s="259"/>
      <c r="I7466" s="259"/>
      <c r="J7466" s="259"/>
      <c r="K7466" s="259"/>
      <c r="L7466" s="259"/>
      <c r="M7466" s="259"/>
      <c r="N7466" s="259"/>
      <c r="O7466" s="259"/>
    </row>
    <row r="7467" spans="1:15">
      <c r="A7467" s="260" t="s">
        <v>1</v>
      </c>
      <c r="B7467" s="261"/>
      <c r="C7467" s="8" t="s">
        <v>42</v>
      </c>
      <c r="D7467" s="262" t="s">
        <v>43</v>
      </c>
      <c r="E7467" s="262" t="s">
        <v>44</v>
      </c>
      <c r="F7467" s="262" t="s">
        <v>45</v>
      </c>
      <c r="G7467" s="262" t="s">
        <v>46</v>
      </c>
      <c r="H7467" s="262" t="s">
        <v>47</v>
      </c>
      <c r="I7467" s="262" t="s">
        <v>48</v>
      </c>
      <c r="J7467" s="262" t="s">
        <v>49</v>
      </c>
      <c r="K7467" s="262" t="s">
        <v>50</v>
      </c>
      <c r="L7467" s="262" t="s">
        <v>51</v>
      </c>
      <c r="M7467" s="262" t="s">
        <v>52</v>
      </c>
      <c r="N7467" s="262" t="s">
        <v>53</v>
      </c>
      <c r="O7467" s="276" t="s">
        <v>54</v>
      </c>
    </row>
    <row r="7468" spans="1:15">
      <c r="A7468" s="263" t="s">
        <v>22</v>
      </c>
      <c r="B7468" s="264" t="s">
        <v>55</v>
      </c>
      <c r="C7468" s="12">
        <v>0.567119155354449</v>
      </c>
      <c r="D7468" s="265">
        <v>0.705882352941177</v>
      </c>
      <c r="E7468" s="265">
        <v>0.775510204081633</v>
      </c>
      <c r="F7468" s="265">
        <v>0.775</v>
      </c>
      <c r="G7468" s="265">
        <v>0.897959183673469</v>
      </c>
      <c r="H7468" s="265">
        <v>0.790697674418605</v>
      </c>
      <c r="I7468" s="265">
        <v>0.663636363636364</v>
      </c>
      <c r="J7468" s="265">
        <v>0.622950819672131</v>
      </c>
      <c r="K7468" s="265">
        <v>0.503067484662577</v>
      </c>
      <c r="L7468" s="265">
        <v>0.50381679389313</v>
      </c>
      <c r="M7468" s="265">
        <v>0.536585365853659</v>
      </c>
      <c r="N7468" s="265">
        <v>0.358381502890173</v>
      </c>
      <c r="O7468" s="277">
        <v>0.385093167701863</v>
      </c>
    </row>
    <row r="7469" spans="1:15">
      <c r="A7469" s="266" t="s">
        <v>22</v>
      </c>
      <c r="B7469" s="267" t="s">
        <v>57</v>
      </c>
      <c r="C7469" s="15">
        <v>1326</v>
      </c>
      <c r="D7469" s="268">
        <v>119</v>
      </c>
      <c r="E7469" s="268">
        <v>49</v>
      </c>
      <c r="F7469" s="268">
        <v>40</v>
      </c>
      <c r="G7469" s="268">
        <v>49</v>
      </c>
      <c r="H7469" s="268">
        <v>86</v>
      </c>
      <c r="I7469" s="268">
        <v>110</v>
      </c>
      <c r="J7469" s="268">
        <v>122</v>
      </c>
      <c r="K7469" s="268">
        <v>163</v>
      </c>
      <c r="L7469" s="268">
        <v>131</v>
      </c>
      <c r="M7469" s="268">
        <v>123</v>
      </c>
      <c r="N7469" s="268">
        <v>173</v>
      </c>
      <c r="O7469" s="278">
        <v>161</v>
      </c>
    </row>
    <row r="7470" spans="1:15">
      <c r="A7470" s="263" t="s">
        <v>22</v>
      </c>
      <c r="B7470" s="264" t="s">
        <v>59</v>
      </c>
      <c r="C7470" s="15">
        <v>752</v>
      </c>
      <c r="D7470" s="268">
        <v>84</v>
      </c>
      <c r="E7470" s="268">
        <v>38</v>
      </c>
      <c r="F7470" s="268">
        <v>31</v>
      </c>
      <c r="G7470" s="268">
        <v>44</v>
      </c>
      <c r="H7470" s="268">
        <v>68</v>
      </c>
      <c r="I7470" s="268">
        <v>73</v>
      </c>
      <c r="J7470" s="268">
        <v>76</v>
      </c>
      <c r="K7470" s="268">
        <v>82</v>
      </c>
      <c r="L7470" s="268">
        <v>66</v>
      </c>
      <c r="M7470" s="268">
        <v>66</v>
      </c>
      <c r="N7470" s="268">
        <v>62</v>
      </c>
      <c r="O7470" s="278">
        <v>62</v>
      </c>
    </row>
    <row r="7471" spans="1:15">
      <c r="A7471" s="266" t="s">
        <v>22</v>
      </c>
      <c r="B7471" s="267" t="s">
        <v>4</v>
      </c>
      <c r="C7471" s="15">
        <v>34</v>
      </c>
      <c r="D7471" s="269">
        <v>4</v>
      </c>
      <c r="E7471" s="269">
        <v>3</v>
      </c>
      <c r="F7471" s="269">
        <v>2</v>
      </c>
      <c r="G7471" s="269">
        <v>2</v>
      </c>
      <c r="H7471" s="269">
        <v>4</v>
      </c>
      <c r="I7471" s="269">
        <v>1</v>
      </c>
      <c r="J7471" s="269">
        <v>4</v>
      </c>
      <c r="K7471" s="269">
        <v>4</v>
      </c>
      <c r="L7471" s="269">
        <v>3</v>
      </c>
      <c r="M7471" s="269">
        <v>3</v>
      </c>
      <c r="N7471" s="269">
        <v>2</v>
      </c>
      <c r="O7471" s="279">
        <v>2</v>
      </c>
    </row>
    <row r="7472" spans="1:15">
      <c r="A7472" s="263" t="s">
        <v>22</v>
      </c>
      <c r="B7472" s="264" t="s">
        <v>5</v>
      </c>
      <c r="C7472" s="12">
        <v>0.0452127659574468</v>
      </c>
      <c r="D7472" s="265">
        <v>0.0476190476190476</v>
      </c>
      <c r="E7472" s="265">
        <v>0.0789473684210526</v>
      </c>
      <c r="F7472" s="265">
        <v>0.0645161290322581</v>
      </c>
      <c r="G7472" s="265">
        <v>0.0454545454545455</v>
      </c>
      <c r="H7472" s="265">
        <v>0.0588235294117647</v>
      </c>
      <c r="I7472" s="265">
        <v>0.0136986301369863</v>
      </c>
      <c r="J7472" s="265">
        <v>0.0526315789473684</v>
      </c>
      <c r="K7472" s="265">
        <v>0.0487804878048781</v>
      </c>
      <c r="L7472" s="265">
        <v>0.0454545454545455</v>
      </c>
      <c r="M7472" s="265">
        <v>0.0454545454545455</v>
      </c>
      <c r="N7472" s="265">
        <v>0.032258064516129</v>
      </c>
      <c r="O7472" s="277">
        <v>0.032258064516129</v>
      </c>
    </row>
    <row r="7473" spans="1:15">
      <c r="A7473" s="266" t="s">
        <v>22</v>
      </c>
      <c r="B7473" s="267" t="s">
        <v>6</v>
      </c>
      <c r="C7473" s="15">
        <v>13</v>
      </c>
      <c r="D7473" s="269">
        <v>2</v>
      </c>
      <c r="E7473" s="269">
        <v>3</v>
      </c>
      <c r="F7473" s="269">
        <v>0</v>
      </c>
      <c r="G7473" s="269">
        <v>2</v>
      </c>
      <c r="H7473" s="269">
        <v>1</v>
      </c>
      <c r="I7473" s="269">
        <v>0</v>
      </c>
      <c r="J7473" s="269">
        <v>3</v>
      </c>
      <c r="K7473" s="269">
        <v>0</v>
      </c>
      <c r="L7473" s="269">
        <v>0</v>
      </c>
      <c r="M7473" s="269">
        <v>0</v>
      </c>
      <c r="N7473" s="269">
        <v>0</v>
      </c>
      <c r="O7473" s="279">
        <v>2</v>
      </c>
    </row>
    <row r="7474" ht="14.25" spans="1:15">
      <c r="A7474" s="270" t="s">
        <v>22</v>
      </c>
      <c r="B7474" s="271" t="s">
        <v>64</v>
      </c>
      <c r="C7474" s="19">
        <v>0.382352941176471</v>
      </c>
      <c r="D7474" s="272">
        <v>0.5</v>
      </c>
      <c r="E7474" s="272">
        <v>1</v>
      </c>
      <c r="F7474" s="272">
        <v>0</v>
      </c>
      <c r="G7474" s="272">
        <v>1</v>
      </c>
      <c r="H7474" s="272">
        <v>0.25</v>
      </c>
      <c r="I7474" s="272">
        <v>0</v>
      </c>
      <c r="J7474" s="272">
        <v>0.75</v>
      </c>
      <c r="K7474" s="272">
        <v>0</v>
      </c>
      <c r="L7474" s="272">
        <v>0</v>
      </c>
      <c r="M7474" s="272">
        <v>0</v>
      </c>
      <c r="N7474" s="272">
        <v>0</v>
      </c>
      <c r="O7474" s="280">
        <v>1</v>
      </c>
    </row>
    <row r="7475" spans="1:15">
      <c r="A7475" s="247" t="s">
        <v>66</v>
      </c>
      <c r="B7475" s="248" t="s">
        <v>55</v>
      </c>
      <c r="C7475" s="12">
        <v>0.0978682170542636</v>
      </c>
      <c r="D7475" s="249">
        <v>0.133333333333333</v>
      </c>
      <c r="E7475" s="249">
        <v>0.164556962025316</v>
      </c>
      <c r="F7475" s="249">
        <v>0.112</v>
      </c>
      <c r="G7475" s="249">
        <v>0.0487804878048781</v>
      </c>
      <c r="H7475" s="249">
        <v>0.121495327102804</v>
      </c>
      <c r="I7475" s="249">
        <v>0.106666666666667</v>
      </c>
      <c r="J7475" s="249">
        <v>0.0644067796610169</v>
      </c>
      <c r="K7475" s="249">
        <v>0.100286532951289</v>
      </c>
      <c r="L7475" s="249">
        <v>0.134556574923547</v>
      </c>
      <c r="M7475" s="249">
        <v>0.123015873015873</v>
      </c>
      <c r="N7475" s="249">
        <v>0.0457317073170732</v>
      </c>
      <c r="O7475" s="256">
        <v>0.061046511627907</v>
      </c>
    </row>
    <row r="7476" spans="1:15">
      <c r="A7476" s="242" t="s">
        <v>66</v>
      </c>
      <c r="B7476" s="43" t="s">
        <v>57</v>
      </c>
      <c r="C7476" s="15">
        <v>3096</v>
      </c>
      <c r="D7476" s="243">
        <v>240</v>
      </c>
      <c r="E7476" s="243">
        <v>158</v>
      </c>
      <c r="F7476" s="243">
        <v>125</v>
      </c>
      <c r="G7476" s="243">
        <v>164</v>
      </c>
      <c r="H7476" s="243">
        <v>214</v>
      </c>
      <c r="I7476" s="243">
        <v>300</v>
      </c>
      <c r="J7476" s="243">
        <v>295</v>
      </c>
      <c r="K7476" s="243">
        <v>349</v>
      </c>
      <c r="L7476" s="243">
        <v>327</v>
      </c>
      <c r="M7476" s="243">
        <v>252</v>
      </c>
      <c r="N7476" s="243">
        <v>328</v>
      </c>
      <c r="O7476" s="253">
        <v>344</v>
      </c>
    </row>
    <row r="7477" spans="1:15">
      <c r="A7477" s="240" t="s">
        <v>66</v>
      </c>
      <c r="B7477" s="47" t="s">
        <v>59</v>
      </c>
      <c r="C7477" s="15">
        <v>303</v>
      </c>
      <c r="D7477" s="243">
        <v>32</v>
      </c>
      <c r="E7477" s="243">
        <v>26</v>
      </c>
      <c r="F7477" s="243">
        <v>14</v>
      </c>
      <c r="G7477" s="243">
        <v>8</v>
      </c>
      <c r="H7477" s="243">
        <v>26</v>
      </c>
      <c r="I7477" s="243">
        <v>32</v>
      </c>
      <c r="J7477" s="243">
        <v>19</v>
      </c>
      <c r="K7477" s="243">
        <v>35</v>
      </c>
      <c r="L7477" s="243">
        <v>44</v>
      </c>
      <c r="M7477" s="243">
        <v>31</v>
      </c>
      <c r="N7477" s="243">
        <v>15</v>
      </c>
      <c r="O7477" s="253">
        <v>21</v>
      </c>
    </row>
    <row r="7478" spans="1:15">
      <c r="A7478" s="242" t="s">
        <v>66</v>
      </c>
      <c r="B7478" s="43" t="s">
        <v>4</v>
      </c>
      <c r="C7478" s="15">
        <v>6</v>
      </c>
      <c r="D7478" s="244">
        <v>2</v>
      </c>
      <c r="E7478" s="244">
        <v>1</v>
      </c>
      <c r="F7478" s="244">
        <v>0</v>
      </c>
      <c r="G7478" s="244">
        <v>0</v>
      </c>
      <c r="H7478" s="244">
        <v>0</v>
      </c>
      <c r="I7478" s="244">
        <v>1</v>
      </c>
      <c r="J7478" s="244">
        <v>0</v>
      </c>
      <c r="K7478" s="244">
        <v>2</v>
      </c>
      <c r="L7478" s="244">
        <v>0</v>
      </c>
      <c r="M7478" s="244">
        <v>0</v>
      </c>
      <c r="N7478" s="244">
        <v>0</v>
      </c>
      <c r="O7478" s="254">
        <v>0</v>
      </c>
    </row>
    <row r="7479" spans="1:15">
      <c r="A7479" s="240" t="s">
        <v>66</v>
      </c>
      <c r="B7479" s="47" t="s">
        <v>5</v>
      </c>
      <c r="C7479" s="12">
        <v>0.0198019801980198</v>
      </c>
      <c r="D7479" s="241">
        <v>0.0625</v>
      </c>
      <c r="E7479" s="241">
        <v>0.0384615384615385</v>
      </c>
      <c r="F7479" s="241">
        <v>0</v>
      </c>
      <c r="G7479" s="241">
        <v>0</v>
      </c>
      <c r="H7479" s="241">
        <v>0</v>
      </c>
      <c r="I7479" s="241">
        <v>0.03125</v>
      </c>
      <c r="J7479" s="241">
        <v>0</v>
      </c>
      <c r="K7479" s="241">
        <v>0.0571428571428571</v>
      </c>
      <c r="L7479" s="241">
        <v>0</v>
      </c>
      <c r="M7479" s="241">
        <v>0</v>
      </c>
      <c r="N7479" s="241">
        <v>0</v>
      </c>
      <c r="O7479" s="252">
        <v>0</v>
      </c>
    </row>
    <row r="7480" spans="1:15">
      <c r="A7480" s="242" t="s">
        <v>66</v>
      </c>
      <c r="B7480" s="43" t="s">
        <v>6</v>
      </c>
      <c r="C7480" s="15">
        <v>1</v>
      </c>
      <c r="D7480" s="244">
        <v>0</v>
      </c>
      <c r="E7480" s="244">
        <v>0</v>
      </c>
      <c r="F7480" s="244">
        <v>0</v>
      </c>
      <c r="G7480" s="244">
        <v>0</v>
      </c>
      <c r="H7480" s="244">
        <v>0</v>
      </c>
      <c r="I7480" s="244">
        <v>0</v>
      </c>
      <c r="J7480" s="244">
        <v>0</v>
      </c>
      <c r="K7480" s="244">
        <v>1</v>
      </c>
      <c r="L7480" s="244">
        <v>0</v>
      </c>
      <c r="M7480" s="244">
        <v>0</v>
      </c>
      <c r="N7480" s="244">
        <v>0</v>
      </c>
      <c r="O7480" s="254">
        <v>0</v>
      </c>
    </row>
    <row r="7481" ht="14.25" spans="1:15">
      <c r="A7481" s="245" t="s">
        <v>66</v>
      </c>
      <c r="B7481" s="52" t="s">
        <v>64</v>
      </c>
      <c r="C7481" s="19">
        <v>0.166666666666667</v>
      </c>
      <c r="D7481" s="246">
        <v>0</v>
      </c>
      <c r="E7481" s="246">
        <v>0</v>
      </c>
      <c r="F7481" s="246">
        <v>0</v>
      </c>
      <c r="G7481" s="246">
        <v>0</v>
      </c>
      <c r="H7481" s="246">
        <v>0</v>
      </c>
      <c r="I7481" s="246">
        <v>0</v>
      </c>
      <c r="J7481" s="246">
        <v>0</v>
      </c>
      <c r="K7481" s="246">
        <v>0.5</v>
      </c>
      <c r="L7481" s="246">
        <v>0</v>
      </c>
      <c r="M7481" s="246">
        <v>0</v>
      </c>
      <c r="N7481" s="246">
        <v>0</v>
      </c>
      <c r="O7481" s="255">
        <v>0</v>
      </c>
    </row>
    <row r="7482" spans="1:15">
      <c r="A7482" s="240" t="s">
        <v>67</v>
      </c>
      <c r="B7482" s="47" t="s">
        <v>55</v>
      </c>
      <c r="C7482" s="12">
        <v>0.48948948948949</v>
      </c>
      <c r="D7482" s="241">
        <v>0.475247524752475</v>
      </c>
      <c r="E7482" s="241">
        <v>0.533333333333333</v>
      </c>
      <c r="F7482" s="241">
        <v>0.552631578947368</v>
      </c>
      <c r="G7482" s="241">
        <v>0.538461538461538</v>
      </c>
      <c r="H7482" s="241">
        <v>0.514705882352941</v>
      </c>
      <c r="I7482" s="241">
        <v>0.746031746031746</v>
      </c>
      <c r="J7482" s="241">
        <v>0.494736842105263</v>
      </c>
      <c r="K7482" s="241">
        <v>0.448598130841121</v>
      </c>
      <c r="L7482" s="241">
        <v>0.484210526315789</v>
      </c>
      <c r="M7482" s="241">
        <v>0.377049180327869</v>
      </c>
      <c r="N7482" s="241">
        <v>0.423076923076923</v>
      </c>
      <c r="O7482" s="252">
        <v>0.53125</v>
      </c>
    </row>
    <row r="7483" spans="1:15">
      <c r="A7483" s="242" t="s">
        <v>67</v>
      </c>
      <c r="B7483" s="43" t="s">
        <v>57</v>
      </c>
      <c r="C7483" s="15">
        <v>999</v>
      </c>
      <c r="D7483" s="243">
        <v>101</v>
      </c>
      <c r="E7483" s="243">
        <v>45</v>
      </c>
      <c r="F7483" s="243">
        <v>38</v>
      </c>
      <c r="G7483" s="243">
        <v>39</v>
      </c>
      <c r="H7483" s="243">
        <v>68</v>
      </c>
      <c r="I7483" s="243">
        <v>63</v>
      </c>
      <c r="J7483" s="243">
        <v>95</v>
      </c>
      <c r="K7483" s="243">
        <v>107</v>
      </c>
      <c r="L7483" s="243">
        <v>95</v>
      </c>
      <c r="M7483" s="243">
        <v>122</v>
      </c>
      <c r="N7483" s="243">
        <v>130</v>
      </c>
      <c r="O7483" s="253">
        <v>96</v>
      </c>
    </row>
    <row r="7484" spans="1:15">
      <c r="A7484" s="240" t="s">
        <v>67</v>
      </c>
      <c r="B7484" s="47" t="s">
        <v>59</v>
      </c>
      <c r="C7484" s="15">
        <v>489</v>
      </c>
      <c r="D7484" s="243">
        <v>48</v>
      </c>
      <c r="E7484" s="243">
        <v>24</v>
      </c>
      <c r="F7484" s="243">
        <v>21</v>
      </c>
      <c r="G7484" s="243">
        <v>21</v>
      </c>
      <c r="H7484" s="243">
        <v>35</v>
      </c>
      <c r="I7484" s="243">
        <v>47</v>
      </c>
      <c r="J7484" s="243">
        <v>47</v>
      </c>
      <c r="K7484" s="243">
        <v>48</v>
      </c>
      <c r="L7484" s="243">
        <v>46</v>
      </c>
      <c r="M7484" s="243">
        <v>46</v>
      </c>
      <c r="N7484" s="243">
        <v>55</v>
      </c>
      <c r="O7484" s="253">
        <v>51</v>
      </c>
    </row>
    <row r="7485" spans="1:15">
      <c r="A7485" s="242" t="s">
        <v>67</v>
      </c>
      <c r="B7485" s="43" t="s">
        <v>4</v>
      </c>
      <c r="C7485" s="15">
        <v>17</v>
      </c>
      <c r="D7485" s="244">
        <v>1</v>
      </c>
      <c r="E7485" s="244">
        <v>1</v>
      </c>
      <c r="F7485" s="244">
        <v>2</v>
      </c>
      <c r="G7485" s="244">
        <v>1</v>
      </c>
      <c r="H7485" s="244">
        <v>1</v>
      </c>
      <c r="I7485" s="244">
        <v>2</v>
      </c>
      <c r="J7485" s="244">
        <v>1</v>
      </c>
      <c r="K7485" s="244">
        <v>2</v>
      </c>
      <c r="L7485" s="244">
        <v>3</v>
      </c>
      <c r="M7485" s="244">
        <v>0</v>
      </c>
      <c r="N7485" s="244">
        <v>1</v>
      </c>
      <c r="O7485" s="254">
        <v>2</v>
      </c>
    </row>
    <row r="7486" spans="1:15">
      <c r="A7486" s="240" t="s">
        <v>67</v>
      </c>
      <c r="B7486" s="47" t="s">
        <v>5</v>
      </c>
      <c r="C7486" s="12">
        <v>0.0347648261758691</v>
      </c>
      <c r="D7486" s="241">
        <v>0.0208333333333333</v>
      </c>
      <c r="E7486" s="241">
        <v>0.0416666666666667</v>
      </c>
      <c r="F7486" s="241">
        <v>0.0952380952380952</v>
      </c>
      <c r="G7486" s="241">
        <v>0.0476190476190476</v>
      </c>
      <c r="H7486" s="241">
        <v>0.0285714285714286</v>
      </c>
      <c r="I7486" s="241">
        <v>0.0425531914893617</v>
      </c>
      <c r="J7486" s="241">
        <v>0.0212765957446809</v>
      </c>
      <c r="K7486" s="241">
        <v>0.0416666666666667</v>
      </c>
      <c r="L7486" s="241">
        <v>0.0652173913043478</v>
      </c>
      <c r="M7486" s="241">
        <v>0</v>
      </c>
      <c r="N7486" s="241">
        <v>0.0181818181818182</v>
      </c>
      <c r="O7486" s="252">
        <v>0.0392156862745098</v>
      </c>
    </row>
    <row r="7487" spans="1:15">
      <c r="A7487" s="242" t="s">
        <v>67</v>
      </c>
      <c r="B7487" s="43" t="s">
        <v>6</v>
      </c>
      <c r="C7487" s="15">
        <v>3</v>
      </c>
      <c r="D7487" s="244">
        <v>0</v>
      </c>
      <c r="E7487" s="244">
        <v>0</v>
      </c>
      <c r="F7487" s="244">
        <v>1</v>
      </c>
      <c r="G7487" s="244">
        <v>1</v>
      </c>
      <c r="H7487" s="244">
        <v>0</v>
      </c>
      <c r="I7487" s="244">
        <v>0</v>
      </c>
      <c r="J7487" s="244">
        <v>1</v>
      </c>
      <c r="K7487" s="244">
        <v>0</v>
      </c>
      <c r="L7487" s="244">
        <v>0</v>
      </c>
      <c r="M7487" s="244">
        <v>0</v>
      </c>
      <c r="N7487" s="244">
        <v>0</v>
      </c>
      <c r="O7487" s="254">
        <v>0</v>
      </c>
    </row>
    <row r="7488" ht="14.25" spans="1:15">
      <c r="A7488" s="245" t="s">
        <v>67</v>
      </c>
      <c r="B7488" s="52" t="s">
        <v>64</v>
      </c>
      <c r="C7488" s="19">
        <v>0.176470588235294</v>
      </c>
      <c r="D7488" s="246">
        <v>0</v>
      </c>
      <c r="E7488" s="246">
        <v>0</v>
      </c>
      <c r="F7488" s="246">
        <v>0.5</v>
      </c>
      <c r="G7488" s="246">
        <v>1</v>
      </c>
      <c r="H7488" s="246">
        <v>0</v>
      </c>
      <c r="I7488" s="246">
        <v>0</v>
      </c>
      <c r="J7488" s="246">
        <v>1</v>
      </c>
      <c r="K7488" s="246">
        <v>0</v>
      </c>
      <c r="L7488" s="246">
        <v>0</v>
      </c>
      <c r="M7488" s="246">
        <v>0</v>
      </c>
      <c r="N7488" s="246">
        <v>0</v>
      </c>
      <c r="O7488" s="255">
        <v>0</v>
      </c>
    </row>
    <row r="7489" spans="1:15">
      <c r="A7489" s="240" t="s">
        <v>68</v>
      </c>
      <c r="B7489" s="47" t="s">
        <v>55</v>
      </c>
      <c r="C7489" s="12">
        <v>0.137307179584841</v>
      </c>
      <c r="D7489" s="241">
        <v>0.203271028037383</v>
      </c>
      <c r="E7489" s="241">
        <v>0.207207207207207</v>
      </c>
      <c r="F7489" s="241">
        <v>0.089171974522293</v>
      </c>
      <c r="G7489" s="241">
        <v>0.2</v>
      </c>
      <c r="H7489" s="241">
        <v>0.109510086455331</v>
      </c>
      <c r="I7489" s="241">
        <v>0.17741935483871</v>
      </c>
      <c r="J7489" s="241">
        <v>0.175732217573222</v>
      </c>
      <c r="K7489" s="241">
        <v>0.109375</v>
      </c>
      <c r="L7489" s="241">
        <v>0.0899854862119013</v>
      </c>
      <c r="M7489" s="241">
        <v>0.115839243498818</v>
      </c>
      <c r="N7489" s="241">
        <v>0.119850187265918</v>
      </c>
      <c r="O7489" s="252">
        <v>0.138</v>
      </c>
    </row>
    <row r="7490" spans="1:15">
      <c r="A7490" s="242" t="s">
        <v>68</v>
      </c>
      <c r="B7490" s="43" t="s">
        <v>57</v>
      </c>
      <c r="C7490" s="15">
        <v>5251</v>
      </c>
      <c r="D7490" s="243">
        <v>428</v>
      </c>
      <c r="E7490" s="243">
        <v>222</v>
      </c>
      <c r="F7490" s="243">
        <v>314</v>
      </c>
      <c r="G7490" s="243">
        <v>180</v>
      </c>
      <c r="H7490" s="243">
        <v>347</v>
      </c>
      <c r="I7490" s="243">
        <v>496</v>
      </c>
      <c r="J7490" s="243">
        <v>478</v>
      </c>
      <c r="K7490" s="243">
        <v>640</v>
      </c>
      <c r="L7490" s="243">
        <v>689</v>
      </c>
      <c r="M7490" s="243">
        <v>423</v>
      </c>
      <c r="N7490" s="243">
        <v>534</v>
      </c>
      <c r="O7490" s="253">
        <v>500</v>
      </c>
    </row>
    <row r="7491" spans="1:15">
      <c r="A7491" s="240" t="s">
        <v>68</v>
      </c>
      <c r="B7491" s="47" t="s">
        <v>59</v>
      </c>
      <c r="C7491" s="15">
        <v>721</v>
      </c>
      <c r="D7491" s="243">
        <v>87</v>
      </c>
      <c r="E7491" s="243">
        <v>46</v>
      </c>
      <c r="F7491" s="243">
        <v>28</v>
      </c>
      <c r="G7491" s="243">
        <v>36</v>
      </c>
      <c r="H7491" s="243">
        <v>38</v>
      </c>
      <c r="I7491" s="243">
        <v>88</v>
      </c>
      <c r="J7491" s="243">
        <v>84</v>
      </c>
      <c r="K7491" s="243">
        <v>70</v>
      </c>
      <c r="L7491" s="243">
        <v>62</v>
      </c>
      <c r="M7491" s="243">
        <v>49</v>
      </c>
      <c r="N7491" s="243">
        <v>64</v>
      </c>
      <c r="O7491" s="253">
        <v>69</v>
      </c>
    </row>
    <row r="7492" spans="1:15">
      <c r="A7492" s="242" t="s">
        <v>68</v>
      </c>
      <c r="B7492" s="43" t="s">
        <v>4</v>
      </c>
      <c r="C7492" s="15">
        <v>52</v>
      </c>
      <c r="D7492" s="244">
        <v>6</v>
      </c>
      <c r="E7492" s="244">
        <v>5</v>
      </c>
      <c r="F7492" s="244">
        <v>4</v>
      </c>
      <c r="G7492" s="244">
        <v>1</v>
      </c>
      <c r="H7492" s="244">
        <v>2</v>
      </c>
      <c r="I7492" s="244">
        <v>4</v>
      </c>
      <c r="J7492" s="244">
        <v>2</v>
      </c>
      <c r="K7492" s="244">
        <v>8</v>
      </c>
      <c r="L7492" s="244">
        <v>3</v>
      </c>
      <c r="M7492" s="244">
        <v>4</v>
      </c>
      <c r="N7492" s="244">
        <v>7</v>
      </c>
      <c r="O7492" s="254">
        <v>6</v>
      </c>
    </row>
    <row r="7493" spans="1:15">
      <c r="A7493" s="240" t="s">
        <v>68</v>
      </c>
      <c r="B7493" s="47" t="s">
        <v>5</v>
      </c>
      <c r="C7493" s="12">
        <v>0.072122052704577</v>
      </c>
      <c r="D7493" s="241">
        <v>0.0689655172413793</v>
      </c>
      <c r="E7493" s="241">
        <v>0.108695652173913</v>
      </c>
      <c r="F7493" s="241">
        <v>0.142857142857143</v>
      </c>
      <c r="G7493" s="241">
        <v>0.0277777777777778</v>
      </c>
      <c r="H7493" s="241">
        <v>0.0526315789473684</v>
      </c>
      <c r="I7493" s="241">
        <v>0.0454545454545455</v>
      </c>
      <c r="J7493" s="241">
        <v>0.0238095238095238</v>
      </c>
      <c r="K7493" s="241">
        <v>0.114285714285714</v>
      </c>
      <c r="L7493" s="241">
        <v>0.0483870967741935</v>
      </c>
      <c r="M7493" s="241">
        <v>0.0816326530612245</v>
      </c>
      <c r="N7493" s="241">
        <v>0.109375</v>
      </c>
      <c r="O7493" s="252">
        <v>0.0869565217391304</v>
      </c>
    </row>
    <row r="7494" spans="1:15">
      <c r="A7494" s="242" t="s">
        <v>68</v>
      </c>
      <c r="B7494" s="43" t="s">
        <v>6</v>
      </c>
      <c r="C7494" s="15">
        <v>20</v>
      </c>
      <c r="D7494" s="244">
        <v>2</v>
      </c>
      <c r="E7494" s="244">
        <v>2</v>
      </c>
      <c r="F7494" s="244">
        <v>2</v>
      </c>
      <c r="G7494" s="244">
        <v>1</v>
      </c>
      <c r="H7494" s="244">
        <v>1</v>
      </c>
      <c r="I7494" s="244">
        <v>1</v>
      </c>
      <c r="J7494" s="244">
        <v>1</v>
      </c>
      <c r="K7494" s="244">
        <v>1</v>
      </c>
      <c r="L7494" s="244">
        <v>2</v>
      </c>
      <c r="M7494" s="244">
        <v>2</v>
      </c>
      <c r="N7494" s="244">
        <v>4</v>
      </c>
      <c r="O7494" s="254">
        <v>1</v>
      </c>
    </row>
    <row r="7495" ht="14.25" spans="1:15">
      <c r="A7495" s="245" t="s">
        <v>68</v>
      </c>
      <c r="B7495" s="52" t="s">
        <v>64</v>
      </c>
      <c r="C7495" s="19">
        <v>0.384615384615385</v>
      </c>
      <c r="D7495" s="246">
        <v>0.333333333333333</v>
      </c>
      <c r="E7495" s="246">
        <v>0.4</v>
      </c>
      <c r="F7495" s="246">
        <v>0.5</v>
      </c>
      <c r="G7495" s="246">
        <v>1</v>
      </c>
      <c r="H7495" s="246">
        <v>0.5</v>
      </c>
      <c r="I7495" s="246">
        <v>0.25</v>
      </c>
      <c r="J7495" s="246">
        <v>0.5</v>
      </c>
      <c r="K7495" s="246">
        <v>0.125</v>
      </c>
      <c r="L7495" s="246">
        <v>0.666666666666667</v>
      </c>
      <c r="M7495" s="246">
        <v>0.5</v>
      </c>
      <c r="N7495" s="246">
        <v>0.571428571428571</v>
      </c>
      <c r="O7495" s="255">
        <v>0.166666666666667</v>
      </c>
    </row>
    <row r="7496" spans="1:15">
      <c r="A7496" s="240" t="s">
        <v>69</v>
      </c>
      <c r="B7496" s="47" t="s">
        <v>55</v>
      </c>
      <c r="C7496" s="12">
        <v>0</v>
      </c>
      <c r="D7496" s="241">
        <v>0</v>
      </c>
      <c r="E7496" s="241">
        <v>0</v>
      </c>
      <c r="F7496" s="241">
        <v>0</v>
      </c>
      <c r="G7496" s="241">
        <v>0</v>
      </c>
      <c r="H7496" s="241">
        <v>0</v>
      </c>
      <c r="I7496" s="241">
        <v>0</v>
      </c>
      <c r="J7496" s="241">
        <v>0</v>
      </c>
      <c r="K7496" s="241">
        <v>0</v>
      </c>
      <c r="L7496" s="241">
        <v>0</v>
      </c>
      <c r="M7496" s="241">
        <v>0</v>
      </c>
      <c r="N7496" s="241">
        <v>0</v>
      </c>
      <c r="O7496" s="252">
        <v>0</v>
      </c>
    </row>
    <row r="7497" spans="1:15">
      <c r="A7497" s="242" t="s">
        <v>69</v>
      </c>
      <c r="B7497" s="43" t="s">
        <v>57</v>
      </c>
      <c r="C7497" s="15">
        <v>302</v>
      </c>
      <c r="D7497" s="243">
        <v>37</v>
      </c>
      <c r="E7497" s="243">
        <v>11</v>
      </c>
      <c r="F7497" s="243">
        <v>11</v>
      </c>
      <c r="G7497" s="243">
        <v>7</v>
      </c>
      <c r="H7497" s="243">
        <v>20</v>
      </c>
      <c r="I7497" s="243">
        <v>27</v>
      </c>
      <c r="J7497" s="243">
        <v>28</v>
      </c>
      <c r="K7497" s="243">
        <v>28</v>
      </c>
      <c r="L7497" s="243">
        <v>29</v>
      </c>
      <c r="M7497" s="243">
        <v>25</v>
      </c>
      <c r="N7497" s="243">
        <v>44</v>
      </c>
      <c r="O7497" s="253">
        <v>35</v>
      </c>
    </row>
    <row r="7498" spans="1:15">
      <c r="A7498" s="240" t="s">
        <v>69</v>
      </c>
      <c r="B7498" s="47" t="s">
        <v>59</v>
      </c>
      <c r="C7498" s="15">
        <v>0</v>
      </c>
      <c r="D7498" s="243">
        <v>0</v>
      </c>
      <c r="E7498" s="243">
        <v>0</v>
      </c>
      <c r="F7498" s="243">
        <v>0</v>
      </c>
      <c r="G7498" s="243">
        <v>0</v>
      </c>
      <c r="H7498" s="243">
        <v>0</v>
      </c>
      <c r="I7498" s="243">
        <v>0</v>
      </c>
      <c r="J7498" s="243">
        <v>0</v>
      </c>
      <c r="K7498" s="243">
        <v>0</v>
      </c>
      <c r="L7498" s="243">
        <v>0</v>
      </c>
      <c r="M7498" s="243">
        <v>0</v>
      </c>
      <c r="N7498" s="243">
        <v>0</v>
      </c>
      <c r="O7498" s="253">
        <v>0</v>
      </c>
    </row>
    <row r="7499" spans="1:15">
      <c r="A7499" s="242" t="s">
        <v>69</v>
      </c>
      <c r="B7499" s="43" t="s">
        <v>4</v>
      </c>
      <c r="C7499" s="15">
        <v>8</v>
      </c>
      <c r="D7499" s="244">
        <v>2</v>
      </c>
      <c r="E7499" s="244">
        <v>0</v>
      </c>
      <c r="F7499" s="244">
        <v>0</v>
      </c>
      <c r="G7499" s="244">
        <v>1</v>
      </c>
      <c r="H7499" s="244">
        <v>0</v>
      </c>
      <c r="I7499" s="244">
        <v>2</v>
      </c>
      <c r="J7499" s="244">
        <v>0</v>
      </c>
      <c r="K7499" s="244">
        <v>1</v>
      </c>
      <c r="L7499" s="244">
        <v>1</v>
      </c>
      <c r="M7499" s="244">
        <v>1</v>
      </c>
      <c r="N7499" s="244">
        <v>0</v>
      </c>
      <c r="O7499" s="254">
        <v>0</v>
      </c>
    </row>
    <row r="7500" spans="1:15">
      <c r="A7500" s="240" t="s">
        <v>69</v>
      </c>
      <c r="B7500" s="47" t="s">
        <v>5</v>
      </c>
      <c r="C7500" s="12" t="e">
        <v>#DIV/0!</v>
      </c>
      <c r="D7500" s="241">
        <v>0</v>
      </c>
      <c r="E7500" s="241">
        <v>0</v>
      </c>
      <c r="F7500" s="241">
        <v>0</v>
      </c>
      <c r="G7500" s="241">
        <v>0</v>
      </c>
      <c r="H7500" s="241">
        <v>0</v>
      </c>
      <c r="I7500" s="241">
        <v>0</v>
      </c>
      <c r="J7500" s="241">
        <v>0</v>
      </c>
      <c r="K7500" s="241">
        <v>0</v>
      </c>
      <c r="L7500" s="241">
        <v>0</v>
      </c>
      <c r="M7500" s="241">
        <v>0</v>
      </c>
      <c r="N7500" s="241">
        <v>0</v>
      </c>
      <c r="O7500" s="252">
        <v>0</v>
      </c>
    </row>
    <row r="7501" spans="1:15">
      <c r="A7501" s="242" t="s">
        <v>69</v>
      </c>
      <c r="B7501" s="43" t="s">
        <v>6</v>
      </c>
      <c r="C7501" s="15">
        <v>1</v>
      </c>
      <c r="D7501" s="244">
        <v>0</v>
      </c>
      <c r="E7501" s="244">
        <v>0</v>
      </c>
      <c r="F7501" s="244">
        <v>0</v>
      </c>
      <c r="G7501" s="244">
        <v>0</v>
      </c>
      <c r="H7501" s="244">
        <v>0</v>
      </c>
      <c r="I7501" s="244">
        <v>0</v>
      </c>
      <c r="J7501" s="244">
        <v>0</v>
      </c>
      <c r="K7501" s="244">
        <v>1</v>
      </c>
      <c r="L7501" s="244">
        <v>0</v>
      </c>
      <c r="M7501" s="244">
        <v>0</v>
      </c>
      <c r="N7501" s="244">
        <v>0</v>
      </c>
      <c r="O7501" s="254">
        <v>0</v>
      </c>
    </row>
    <row r="7502" ht="14.25" spans="1:15">
      <c r="A7502" s="245" t="s">
        <v>69</v>
      </c>
      <c r="B7502" s="52" t="s">
        <v>64</v>
      </c>
      <c r="C7502" s="19">
        <v>0.125</v>
      </c>
      <c r="D7502" s="246">
        <v>0</v>
      </c>
      <c r="E7502" s="246">
        <v>0</v>
      </c>
      <c r="F7502" s="246">
        <v>0</v>
      </c>
      <c r="G7502" s="246">
        <v>0</v>
      </c>
      <c r="H7502" s="246">
        <v>0</v>
      </c>
      <c r="I7502" s="246">
        <v>0</v>
      </c>
      <c r="J7502" s="246">
        <v>0</v>
      </c>
      <c r="K7502" s="246">
        <v>1</v>
      </c>
      <c r="L7502" s="246">
        <v>0</v>
      </c>
      <c r="M7502" s="246">
        <v>0</v>
      </c>
      <c r="N7502" s="246">
        <v>0</v>
      </c>
      <c r="O7502" s="255">
        <v>0</v>
      </c>
    </row>
    <row r="7503" spans="1:15">
      <c r="A7503" s="240" t="s">
        <v>70</v>
      </c>
      <c r="B7503" s="47" t="s">
        <v>55</v>
      </c>
      <c r="C7503" s="12">
        <v>0.704474505723205</v>
      </c>
      <c r="D7503" s="241">
        <v>0.739130434782609</v>
      </c>
      <c r="E7503" s="241">
        <v>0.658536585365854</v>
      </c>
      <c r="F7503" s="241">
        <v>0.666666666666667</v>
      </c>
      <c r="G7503" s="241">
        <v>0.541666666666667</v>
      </c>
      <c r="H7503" s="241">
        <v>0.756410256410256</v>
      </c>
      <c r="I7503" s="241">
        <v>0.672131147540984</v>
      </c>
      <c r="J7503" s="241">
        <v>0.730769230769231</v>
      </c>
      <c r="K7503" s="241">
        <v>0.742424242424242</v>
      </c>
      <c r="L7503" s="241">
        <v>0.726415094339623</v>
      </c>
      <c r="M7503" s="241">
        <v>0.823529411764706</v>
      </c>
      <c r="N7503" s="241">
        <v>0.68</v>
      </c>
      <c r="O7503" s="252">
        <v>0.57843137254902</v>
      </c>
    </row>
    <row r="7504" spans="1:15">
      <c r="A7504" s="242" t="s">
        <v>70</v>
      </c>
      <c r="B7504" s="43" t="s">
        <v>57</v>
      </c>
      <c r="C7504" s="15">
        <v>961</v>
      </c>
      <c r="D7504" s="243">
        <v>69</v>
      </c>
      <c r="E7504" s="243">
        <v>41</v>
      </c>
      <c r="F7504" s="243">
        <v>24</v>
      </c>
      <c r="G7504" s="243">
        <v>24</v>
      </c>
      <c r="H7504" s="243">
        <v>78</v>
      </c>
      <c r="I7504" s="243">
        <v>122</v>
      </c>
      <c r="J7504" s="243">
        <v>78</v>
      </c>
      <c r="K7504" s="243">
        <v>132</v>
      </c>
      <c r="L7504" s="243">
        <v>106</v>
      </c>
      <c r="M7504" s="243">
        <v>85</v>
      </c>
      <c r="N7504" s="243">
        <v>100</v>
      </c>
      <c r="O7504" s="253">
        <v>102</v>
      </c>
    </row>
    <row r="7505" spans="1:15">
      <c r="A7505" s="240" t="s">
        <v>70</v>
      </c>
      <c r="B7505" s="47" t="s">
        <v>59</v>
      </c>
      <c r="C7505" s="15">
        <v>677</v>
      </c>
      <c r="D7505" s="243">
        <v>51</v>
      </c>
      <c r="E7505" s="243">
        <v>27</v>
      </c>
      <c r="F7505" s="243">
        <v>16</v>
      </c>
      <c r="G7505" s="243">
        <v>13</v>
      </c>
      <c r="H7505" s="243">
        <v>59</v>
      </c>
      <c r="I7505" s="243">
        <v>82</v>
      </c>
      <c r="J7505" s="243">
        <v>57</v>
      </c>
      <c r="K7505" s="243">
        <v>98</v>
      </c>
      <c r="L7505" s="243">
        <v>77</v>
      </c>
      <c r="M7505" s="243">
        <v>70</v>
      </c>
      <c r="N7505" s="243">
        <v>68</v>
      </c>
      <c r="O7505" s="253">
        <v>59</v>
      </c>
    </row>
    <row r="7506" spans="1:15">
      <c r="A7506" s="242" t="s">
        <v>70</v>
      </c>
      <c r="B7506" s="43" t="s">
        <v>4</v>
      </c>
      <c r="C7506" s="15">
        <v>17</v>
      </c>
      <c r="D7506" s="244">
        <v>3</v>
      </c>
      <c r="E7506" s="244">
        <v>1</v>
      </c>
      <c r="F7506" s="244">
        <v>0</v>
      </c>
      <c r="G7506" s="244">
        <v>2</v>
      </c>
      <c r="H7506" s="244">
        <v>2</v>
      </c>
      <c r="I7506" s="244">
        <v>1</v>
      </c>
      <c r="J7506" s="244">
        <v>0</v>
      </c>
      <c r="K7506" s="244">
        <v>3</v>
      </c>
      <c r="L7506" s="244">
        <v>2</v>
      </c>
      <c r="M7506" s="244">
        <v>1</v>
      </c>
      <c r="N7506" s="244">
        <v>2</v>
      </c>
      <c r="O7506" s="254">
        <v>0</v>
      </c>
    </row>
    <row r="7507" spans="1:15">
      <c r="A7507" s="240" t="s">
        <v>70</v>
      </c>
      <c r="B7507" s="47" t="s">
        <v>5</v>
      </c>
      <c r="C7507" s="12">
        <v>0.0251107828655835</v>
      </c>
      <c r="D7507" s="241">
        <v>0.0588235294117647</v>
      </c>
      <c r="E7507" s="241">
        <v>0.037037037037037</v>
      </c>
      <c r="F7507" s="241">
        <v>0</v>
      </c>
      <c r="G7507" s="241">
        <v>0.153846153846154</v>
      </c>
      <c r="H7507" s="241">
        <v>0.0338983050847458</v>
      </c>
      <c r="I7507" s="241">
        <v>0.0121951219512195</v>
      </c>
      <c r="J7507" s="241">
        <v>0</v>
      </c>
      <c r="K7507" s="241">
        <v>0.0306122448979592</v>
      </c>
      <c r="L7507" s="241">
        <v>0.025974025974026</v>
      </c>
      <c r="M7507" s="241">
        <v>0.0142857142857143</v>
      </c>
      <c r="N7507" s="241">
        <v>0.0294117647058824</v>
      </c>
      <c r="O7507" s="252">
        <v>0</v>
      </c>
    </row>
    <row r="7508" spans="1:15">
      <c r="A7508" s="242" t="s">
        <v>70</v>
      </c>
      <c r="B7508" s="43" t="s">
        <v>6</v>
      </c>
      <c r="C7508" s="15">
        <v>3</v>
      </c>
      <c r="D7508" s="244">
        <v>0</v>
      </c>
      <c r="E7508" s="244">
        <v>0</v>
      </c>
      <c r="F7508" s="244">
        <v>0</v>
      </c>
      <c r="G7508" s="244">
        <v>0</v>
      </c>
      <c r="H7508" s="244">
        <v>0</v>
      </c>
      <c r="I7508" s="244">
        <v>0</v>
      </c>
      <c r="J7508" s="244">
        <v>0</v>
      </c>
      <c r="K7508" s="244">
        <v>1</v>
      </c>
      <c r="L7508" s="244">
        <v>1</v>
      </c>
      <c r="M7508" s="244">
        <v>0</v>
      </c>
      <c r="N7508" s="244">
        <v>1</v>
      </c>
      <c r="O7508" s="254">
        <v>0</v>
      </c>
    </row>
    <row r="7509" ht="14.25" spans="1:15">
      <c r="A7509" s="245" t="s">
        <v>70</v>
      </c>
      <c r="B7509" s="52" t="s">
        <v>64</v>
      </c>
      <c r="C7509" s="19">
        <v>0.176470588235294</v>
      </c>
      <c r="D7509" s="246">
        <v>0</v>
      </c>
      <c r="E7509" s="246">
        <v>0</v>
      </c>
      <c r="F7509" s="246">
        <v>0</v>
      </c>
      <c r="G7509" s="246">
        <v>0</v>
      </c>
      <c r="H7509" s="246">
        <v>0</v>
      </c>
      <c r="I7509" s="246">
        <v>0</v>
      </c>
      <c r="J7509" s="246">
        <v>0</v>
      </c>
      <c r="K7509" s="246">
        <v>0.333333333333333</v>
      </c>
      <c r="L7509" s="246">
        <v>0.5</v>
      </c>
      <c r="M7509" s="246">
        <v>0</v>
      </c>
      <c r="N7509" s="246">
        <v>0.5</v>
      </c>
      <c r="O7509" s="255">
        <v>0</v>
      </c>
    </row>
    <row r="7510" spans="1:15">
      <c r="A7510" s="240" t="s">
        <v>26</v>
      </c>
      <c r="B7510" s="47" t="s">
        <v>55</v>
      </c>
      <c r="C7510" s="12">
        <v>0.895</v>
      </c>
      <c r="D7510" s="241">
        <v>0.888198757763975</v>
      </c>
      <c r="E7510" s="241">
        <v>0.884210526315789</v>
      </c>
      <c r="F7510" s="241">
        <v>0.802469135802469</v>
      </c>
      <c r="G7510" s="241">
        <v>0.957746478873239</v>
      </c>
      <c r="H7510" s="241">
        <v>1.11258278145695</v>
      </c>
      <c r="I7510" s="241">
        <v>0.970238095238095</v>
      </c>
      <c r="J7510" s="241">
        <v>0.878612716763006</v>
      </c>
      <c r="K7510" s="241">
        <v>0.769911504424779</v>
      </c>
      <c r="L7510" s="241">
        <v>0.80952380952381</v>
      </c>
      <c r="M7510" s="241">
        <v>0.893719806763285</v>
      </c>
      <c r="N7510" s="241">
        <v>0.879464285714286</v>
      </c>
      <c r="O7510" s="252">
        <v>0.962264150943396</v>
      </c>
    </row>
    <row r="7511" spans="1:15">
      <c r="A7511" s="242" t="s">
        <v>26</v>
      </c>
      <c r="B7511" s="43" t="s">
        <v>57</v>
      </c>
      <c r="C7511" s="15">
        <v>2000</v>
      </c>
      <c r="D7511" s="243">
        <v>161</v>
      </c>
      <c r="E7511" s="243">
        <v>95</v>
      </c>
      <c r="F7511" s="243">
        <v>81</v>
      </c>
      <c r="G7511" s="243">
        <v>71</v>
      </c>
      <c r="H7511" s="243">
        <v>151</v>
      </c>
      <c r="I7511" s="243">
        <v>168</v>
      </c>
      <c r="J7511" s="243">
        <v>173</v>
      </c>
      <c r="K7511" s="243">
        <v>226</v>
      </c>
      <c r="L7511" s="243">
        <v>231</v>
      </c>
      <c r="M7511" s="243">
        <v>207</v>
      </c>
      <c r="N7511" s="243">
        <v>224</v>
      </c>
      <c r="O7511" s="253">
        <v>212</v>
      </c>
    </row>
    <row r="7512" spans="1:15">
      <c r="A7512" s="240" t="s">
        <v>26</v>
      </c>
      <c r="B7512" s="47" t="s">
        <v>59</v>
      </c>
      <c r="C7512" s="15">
        <v>1790</v>
      </c>
      <c r="D7512" s="243">
        <v>143</v>
      </c>
      <c r="E7512" s="243">
        <v>84</v>
      </c>
      <c r="F7512" s="243">
        <v>65</v>
      </c>
      <c r="G7512" s="243">
        <v>68</v>
      </c>
      <c r="H7512" s="243">
        <v>168</v>
      </c>
      <c r="I7512" s="243">
        <v>163</v>
      </c>
      <c r="J7512" s="243">
        <v>152</v>
      </c>
      <c r="K7512" s="243">
        <v>174</v>
      </c>
      <c r="L7512" s="243">
        <v>187</v>
      </c>
      <c r="M7512" s="243">
        <v>185</v>
      </c>
      <c r="N7512" s="243">
        <v>197</v>
      </c>
      <c r="O7512" s="253">
        <v>204</v>
      </c>
    </row>
    <row r="7513" spans="1:15">
      <c r="A7513" s="242" t="s">
        <v>26</v>
      </c>
      <c r="B7513" s="43" t="s">
        <v>4</v>
      </c>
      <c r="C7513" s="15">
        <v>29</v>
      </c>
      <c r="D7513" s="244">
        <v>1</v>
      </c>
      <c r="E7513" s="244">
        <v>2</v>
      </c>
      <c r="F7513" s="244">
        <v>2</v>
      </c>
      <c r="G7513" s="244">
        <v>0</v>
      </c>
      <c r="H7513" s="244">
        <v>2</v>
      </c>
      <c r="I7513" s="244">
        <v>3</v>
      </c>
      <c r="J7513" s="244">
        <v>1</v>
      </c>
      <c r="K7513" s="244">
        <v>2</v>
      </c>
      <c r="L7513" s="244">
        <v>6</v>
      </c>
      <c r="M7513" s="244">
        <v>1</v>
      </c>
      <c r="N7513" s="244">
        <v>3</v>
      </c>
      <c r="O7513" s="254">
        <v>6</v>
      </c>
    </row>
    <row r="7514" spans="1:15">
      <c r="A7514" s="240" t="s">
        <v>26</v>
      </c>
      <c r="B7514" s="47" t="s">
        <v>5</v>
      </c>
      <c r="C7514" s="12">
        <v>0.0162011173184358</v>
      </c>
      <c r="D7514" s="241">
        <v>0.00699300699300699</v>
      </c>
      <c r="E7514" s="241">
        <v>0.0238095238095238</v>
      </c>
      <c r="F7514" s="241">
        <v>0.0307692307692308</v>
      </c>
      <c r="G7514" s="241">
        <v>0</v>
      </c>
      <c r="H7514" s="241">
        <v>0.0119047619047619</v>
      </c>
      <c r="I7514" s="241">
        <v>0.0184049079754601</v>
      </c>
      <c r="J7514" s="241">
        <v>0.00657894736842105</v>
      </c>
      <c r="K7514" s="241">
        <v>0.0114942528735632</v>
      </c>
      <c r="L7514" s="241">
        <v>0.0320855614973262</v>
      </c>
      <c r="M7514" s="241">
        <v>0.00540540540540541</v>
      </c>
      <c r="N7514" s="241">
        <v>0.0152284263959391</v>
      </c>
      <c r="O7514" s="252">
        <v>0.0294117647058824</v>
      </c>
    </row>
    <row r="7515" spans="1:15">
      <c r="A7515" s="242" t="s">
        <v>26</v>
      </c>
      <c r="B7515" s="43" t="s">
        <v>6</v>
      </c>
      <c r="C7515" s="15">
        <v>8</v>
      </c>
      <c r="D7515" s="244">
        <v>0</v>
      </c>
      <c r="E7515" s="244">
        <v>1</v>
      </c>
      <c r="F7515" s="244">
        <v>1</v>
      </c>
      <c r="G7515" s="244">
        <v>0</v>
      </c>
      <c r="H7515" s="244">
        <v>0</v>
      </c>
      <c r="I7515" s="244">
        <v>2</v>
      </c>
      <c r="J7515" s="244">
        <v>1</v>
      </c>
      <c r="K7515" s="244">
        <v>0</v>
      </c>
      <c r="L7515" s="244">
        <v>1</v>
      </c>
      <c r="M7515" s="244">
        <v>0</v>
      </c>
      <c r="N7515" s="244">
        <v>1</v>
      </c>
      <c r="O7515" s="254">
        <v>1</v>
      </c>
    </row>
    <row r="7516" ht="14.25" spans="1:15">
      <c r="A7516" s="245" t="s">
        <v>26</v>
      </c>
      <c r="B7516" s="52" t="s">
        <v>64</v>
      </c>
      <c r="C7516" s="19">
        <v>0.275862068965517</v>
      </c>
      <c r="D7516" s="19">
        <v>0</v>
      </c>
      <c r="E7516" s="19">
        <v>0.5</v>
      </c>
      <c r="F7516" s="19">
        <v>0.5</v>
      </c>
      <c r="G7516" s="19" t="e">
        <v>#DIV/0!</v>
      </c>
      <c r="H7516" s="19">
        <v>0</v>
      </c>
      <c r="I7516" s="19">
        <v>0.666666666666667</v>
      </c>
      <c r="J7516" s="19">
        <v>1</v>
      </c>
      <c r="K7516" s="19">
        <v>0</v>
      </c>
      <c r="L7516" s="19">
        <v>0.166666666666667</v>
      </c>
      <c r="M7516" s="19">
        <v>0</v>
      </c>
      <c r="N7516" s="19">
        <v>0.333333333333333</v>
      </c>
      <c r="O7516" s="19">
        <v>0.166666666666667</v>
      </c>
    </row>
    <row r="7517" spans="1:15">
      <c r="A7517" s="240" t="s">
        <v>71</v>
      </c>
      <c r="B7517" s="47" t="s">
        <v>55</v>
      </c>
      <c r="C7517" s="12">
        <v>0.101941747572816</v>
      </c>
      <c r="D7517" s="241">
        <v>0.142857142857143</v>
      </c>
      <c r="E7517" s="241">
        <v>0.125</v>
      </c>
      <c r="F7517" s="241">
        <v>0.0666666666666667</v>
      </c>
      <c r="G7517" s="241">
        <v>0.0227272727272727</v>
      </c>
      <c r="H7517" s="241">
        <v>0.21875</v>
      </c>
      <c r="I7517" s="241">
        <v>0.295454545454545</v>
      </c>
      <c r="J7517" s="241">
        <v>0.0853658536585366</v>
      </c>
      <c r="K7517" s="241">
        <v>0.0555555555555556</v>
      </c>
      <c r="L7517" s="241">
        <v>0.0909090909090909</v>
      </c>
      <c r="M7517" s="241">
        <v>0.0576923076923077</v>
      </c>
      <c r="N7517" s="241">
        <v>0.0476190476190476</v>
      </c>
      <c r="O7517" s="252">
        <v>0.0555555555555556</v>
      </c>
    </row>
    <row r="7518" spans="1:15">
      <c r="A7518" s="242" t="s">
        <v>71</v>
      </c>
      <c r="B7518" s="43" t="s">
        <v>57</v>
      </c>
      <c r="C7518" s="309">
        <v>515</v>
      </c>
      <c r="D7518" s="243">
        <v>42</v>
      </c>
      <c r="E7518" s="243">
        <v>32</v>
      </c>
      <c r="F7518" s="243">
        <v>15</v>
      </c>
      <c r="G7518" s="243">
        <v>22</v>
      </c>
      <c r="H7518" s="243">
        <v>32</v>
      </c>
      <c r="I7518" s="243">
        <v>44</v>
      </c>
      <c r="J7518" s="243">
        <v>41</v>
      </c>
      <c r="K7518" s="243">
        <v>54</v>
      </c>
      <c r="L7518" s="243">
        <v>55</v>
      </c>
      <c r="M7518" s="243">
        <v>52</v>
      </c>
      <c r="N7518" s="243">
        <v>63</v>
      </c>
      <c r="O7518" s="253">
        <v>63</v>
      </c>
    </row>
    <row r="7519" spans="1:15">
      <c r="A7519" s="240" t="s">
        <v>71</v>
      </c>
      <c r="B7519" s="47" t="s">
        <v>59</v>
      </c>
      <c r="C7519" s="309">
        <v>52.5</v>
      </c>
      <c r="D7519" s="243">
        <v>6</v>
      </c>
      <c r="E7519" s="243">
        <v>4</v>
      </c>
      <c r="F7519" s="243">
        <v>1</v>
      </c>
      <c r="G7519" s="243">
        <v>0.5</v>
      </c>
      <c r="H7519" s="243">
        <v>7</v>
      </c>
      <c r="I7519" s="243">
        <v>13</v>
      </c>
      <c r="J7519" s="243">
        <v>3.5</v>
      </c>
      <c r="K7519" s="243">
        <v>3</v>
      </c>
      <c r="L7519" s="243">
        <v>5</v>
      </c>
      <c r="M7519" s="243">
        <v>3</v>
      </c>
      <c r="N7519" s="243">
        <v>3</v>
      </c>
      <c r="O7519" s="253">
        <v>3.5</v>
      </c>
    </row>
    <row r="7520" spans="1:15">
      <c r="A7520" s="242" t="s">
        <v>71</v>
      </c>
      <c r="B7520" s="43" t="s">
        <v>4</v>
      </c>
      <c r="C7520" s="15">
        <v>14</v>
      </c>
      <c r="D7520" s="244">
        <v>1</v>
      </c>
      <c r="E7520" s="244">
        <v>2</v>
      </c>
      <c r="F7520" s="244">
        <v>1</v>
      </c>
      <c r="G7520" s="244">
        <v>1</v>
      </c>
      <c r="H7520" s="244">
        <v>0</v>
      </c>
      <c r="I7520" s="244">
        <v>2</v>
      </c>
      <c r="J7520" s="244">
        <v>1</v>
      </c>
      <c r="K7520" s="244">
        <v>2</v>
      </c>
      <c r="L7520" s="244">
        <v>1</v>
      </c>
      <c r="M7520" s="244">
        <v>1</v>
      </c>
      <c r="N7520" s="244">
        <v>0</v>
      </c>
      <c r="O7520" s="254">
        <v>2</v>
      </c>
    </row>
    <row r="7521" spans="1:15">
      <c r="A7521" s="240" t="s">
        <v>71</v>
      </c>
      <c r="B7521" s="47" t="s">
        <v>5</v>
      </c>
      <c r="C7521" s="241">
        <v>0.266666666666667</v>
      </c>
      <c r="D7521" s="241">
        <v>0.166666666666667</v>
      </c>
      <c r="E7521" s="241">
        <v>0.5</v>
      </c>
      <c r="F7521" s="241">
        <v>1</v>
      </c>
      <c r="G7521" s="241">
        <v>2</v>
      </c>
      <c r="H7521" s="241">
        <v>0</v>
      </c>
      <c r="I7521" s="241">
        <v>0.153846153846154</v>
      </c>
      <c r="J7521" s="241">
        <v>0.285714285714286</v>
      </c>
      <c r="K7521" s="241">
        <v>0.666666666666667</v>
      </c>
      <c r="L7521" s="241">
        <v>0.2</v>
      </c>
      <c r="M7521" s="241">
        <v>0.333333333333333</v>
      </c>
      <c r="N7521" s="241">
        <v>0</v>
      </c>
      <c r="O7521" s="252">
        <v>0.571428571428571</v>
      </c>
    </row>
    <row r="7522" spans="1:15">
      <c r="A7522" s="242" t="s">
        <v>71</v>
      </c>
      <c r="B7522" s="43" t="s">
        <v>6</v>
      </c>
      <c r="C7522" s="15">
        <v>5</v>
      </c>
      <c r="D7522" s="244">
        <v>1</v>
      </c>
      <c r="E7522" s="244">
        <v>1</v>
      </c>
      <c r="F7522" s="244">
        <v>0</v>
      </c>
      <c r="G7522" s="244">
        <v>1</v>
      </c>
      <c r="H7522" s="244">
        <v>0</v>
      </c>
      <c r="I7522" s="244">
        <v>0</v>
      </c>
      <c r="J7522" s="244">
        <v>0</v>
      </c>
      <c r="K7522" s="244">
        <v>0</v>
      </c>
      <c r="L7522" s="244">
        <v>2</v>
      </c>
      <c r="M7522" s="244">
        <v>0</v>
      </c>
      <c r="N7522" s="244">
        <v>0</v>
      </c>
      <c r="O7522" s="254">
        <v>0</v>
      </c>
    </row>
    <row r="7523" ht="14.25" spans="1:15">
      <c r="A7523" s="245" t="s">
        <v>71</v>
      </c>
      <c r="B7523" s="52" t="s">
        <v>64</v>
      </c>
      <c r="C7523" s="19">
        <v>0.357142857142857</v>
      </c>
      <c r="D7523" s="19">
        <v>1</v>
      </c>
      <c r="E7523" s="19">
        <v>0.5</v>
      </c>
      <c r="F7523" s="19">
        <v>0</v>
      </c>
      <c r="G7523" s="19">
        <v>1</v>
      </c>
      <c r="H7523" s="19" t="e">
        <v>#DIV/0!</v>
      </c>
      <c r="I7523" s="19">
        <v>0</v>
      </c>
      <c r="J7523" s="19">
        <v>0</v>
      </c>
      <c r="K7523" s="19">
        <v>0</v>
      </c>
      <c r="L7523" s="19">
        <v>2</v>
      </c>
      <c r="M7523" s="19">
        <v>0</v>
      </c>
      <c r="N7523" s="19" t="e">
        <v>#DIV/0!</v>
      </c>
      <c r="O7523" s="19">
        <v>0</v>
      </c>
    </row>
    <row r="7524" spans="1:15">
      <c r="A7524" s="240" t="s">
        <v>72</v>
      </c>
      <c r="B7524" s="47" t="s">
        <v>55</v>
      </c>
      <c r="C7524" s="12">
        <v>0.0467713118938234</v>
      </c>
      <c r="D7524" s="241">
        <v>0.0512152777777778</v>
      </c>
      <c r="E7524" s="241">
        <v>0.0449275362318841</v>
      </c>
      <c r="F7524" s="241">
        <v>0.0389380530973451</v>
      </c>
      <c r="G7524" s="241">
        <v>0.0634715025906736</v>
      </c>
      <c r="H7524" s="241">
        <v>0.049680624556423</v>
      </c>
      <c r="I7524" s="241">
        <v>0.0306493506493506</v>
      </c>
      <c r="J7524" s="241">
        <v>0.0345413363533409</v>
      </c>
      <c r="K7524" s="241">
        <v>0.0555858310626703</v>
      </c>
      <c r="L7524" s="241">
        <v>0.0564910374796306</v>
      </c>
      <c r="M7524" s="241">
        <v>0.0509939498703544</v>
      </c>
      <c r="N7524" s="241">
        <v>0.0492170022371365</v>
      </c>
      <c r="O7524" s="252">
        <v>0.0418375717801477</v>
      </c>
    </row>
    <row r="7525" spans="1:15">
      <c r="A7525" s="242" t="s">
        <v>72</v>
      </c>
      <c r="B7525" s="43" t="s">
        <v>57</v>
      </c>
      <c r="C7525" s="15">
        <v>15672</v>
      </c>
      <c r="D7525" s="243">
        <v>1152</v>
      </c>
      <c r="E7525" s="243">
        <v>690</v>
      </c>
      <c r="F7525" s="243">
        <v>565</v>
      </c>
      <c r="G7525" s="243">
        <v>772</v>
      </c>
      <c r="H7525" s="243">
        <v>1409</v>
      </c>
      <c r="I7525" s="243">
        <v>1925</v>
      </c>
      <c r="J7525" s="243">
        <v>1766</v>
      </c>
      <c r="K7525" s="243">
        <v>1835</v>
      </c>
      <c r="L7525" s="243">
        <v>1841</v>
      </c>
      <c r="M7525" s="243">
        <v>1157</v>
      </c>
      <c r="N7525" s="243">
        <v>1341</v>
      </c>
      <c r="O7525" s="253">
        <v>1219</v>
      </c>
    </row>
    <row r="7526" spans="1:15">
      <c r="A7526" s="240" t="s">
        <v>72</v>
      </c>
      <c r="B7526" s="47" t="s">
        <v>59</v>
      </c>
      <c r="C7526" s="15">
        <v>733</v>
      </c>
      <c r="D7526" s="243">
        <v>59</v>
      </c>
      <c r="E7526" s="243">
        <v>31</v>
      </c>
      <c r="F7526" s="243">
        <v>22</v>
      </c>
      <c r="G7526" s="243">
        <v>49</v>
      </c>
      <c r="H7526" s="243">
        <v>70</v>
      </c>
      <c r="I7526" s="243">
        <v>59</v>
      </c>
      <c r="J7526" s="243">
        <v>61</v>
      </c>
      <c r="K7526" s="243">
        <v>102</v>
      </c>
      <c r="L7526" s="243">
        <v>104</v>
      </c>
      <c r="M7526" s="243">
        <v>59</v>
      </c>
      <c r="N7526" s="243">
        <v>66</v>
      </c>
      <c r="O7526" s="253">
        <v>51</v>
      </c>
    </row>
    <row r="7527" spans="1:15">
      <c r="A7527" s="242" t="s">
        <v>72</v>
      </c>
      <c r="B7527" s="43" t="s">
        <v>4</v>
      </c>
      <c r="C7527" s="15">
        <v>30</v>
      </c>
      <c r="D7527" s="244">
        <v>4</v>
      </c>
      <c r="E7527" s="244">
        <v>2</v>
      </c>
      <c r="F7527" s="244">
        <v>0</v>
      </c>
      <c r="G7527" s="244">
        <v>3</v>
      </c>
      <c r="H7527" s="244">
        <v>2</v>
      </c>
      <c r="I7527" s="244">
        <v>0</v>
      </c>
      <c r="J7527" s="244">
        <v>5</v>
      </c>
      <c r="K7527" s="244">
        <v>4</v>
      </c>
      <c r="L7527" s="244">
        <v>3</v>
      </c>
      <c r="M7527" s="244">
        <v>3</v>
      </c>
      <c r="N7527" s="244">
        <v>3</v>
      </c>
      <c r="O7527" s="254">
        <v>1</v>
      </c>
    </row>
    <row r="7528" spans="1:15">
      <c r="A7528" s="240" t="s">
        <v>72</v>
      </c>
      <c r="B7528" s="47" t="s">
        <v>5</v>
      </c>
      <c r="C7528" s="12">
        <v>0.0409276944065484</v>
      </c>
      <c r="D7528" s="241">
        <v>0.0677966101694915</v>
      </c>
      <c r="E7528" s="241">
        <v>0.0645161290322581</v>
      </c>
      <c r="F7528" s="241">
        <v>0</v>
      </c>
      <c r="G7528" s="241">
        <v>0.0612244897959184</v>
      </c>
      <c r="H7528" s="241">
        <v>0.0285714285714286</v>
      </c>
      <c r="I7528" s="241">
        <v>0</v>
      </c>
      <c r="J7528" s="241">
        <v>0.0819672131147541</v>
      </c>
      <c r="K7528" s="241">
        <v>0.0392156862745098</v>
      </c>
      <c r="L7528" s="241">
        <v>0.0288461538461538</v>
      </c>
      <c r="M7528" s="241">
        <v>0.0508474576271186</v>
      </c>
      <c r="N7528" s="241">
        <v>0.0454545454545455</v>
      </c>
      <c r="O7528" s="252">
        <v>0.0196078431372549</v>
      </c>
    </row>
    <row r="7529" spans="1:15">
      <c r="A7529" s="242" t="s">
        <v>72</v>
      </c>
      <c r="B7529" s="43" t="s">
        <v>6</v>
      </c>
      <c r="C7529" s="15">
        <v>7</v>
      </c>
      <c r="D7529" s="244">
        <v>2</v>
      </c>
      <c r="E7529" s="244">
        <v>0</v>
      </c>
      <c r="F7529" s="244">
        <v>0</v>
      </c>
      <c r="G7529" s="244">
        <v>1</v>
      </c>
      <c r="H7529" s="244">
        <v>1</v>
      </c>
      <c r="I7529" s="244">
        <v>0</v>
      </c>
      <c r="J7529" s="244">
        <v>0</v>
      </c>
      <c r="K7529" s="244">
        <v>2</v>
      </c>
      <c r="L7529" s="244">
        <v>0</v>
      </c>
      <c r="M7529" s="244">
        <v>0</v>
      </c>
      <c r="N7529" s="244">
        <v>1</v>
      </c>
      <c r="O7529" s="254">
        <v>0</v>
      </c>
    </row>
    <row r="7530" ht="14.25" spans="1:15">
      <c r="A7530" s="245" t="s">
        <v>72</v>
      </c>
      <c r="B7530" s="52" t="s">
        <v>64</v>
      </c>
      <c r="C7530" s="19">
        <v>0.233333333333333</v>
      </c>
      <c r="D7530" s="19">
        <v>0.5</v>
      </c>
      <c r="E7530" s="19">
        <v>0</v>
      </c>
      <c r="F7530" s="19" t="e">
        <v>#DIV/0!</v>
      </c>
      <c r="G7530" s="19">
        <v>0.333333333333333</v>
      </c>
      <c r="H7530" s="19">
        <v>0.5</v>
      </c>
      <c r="I7530" s="19" t="e">
        <v>#DIV/0!</v>
      </c>
      <c r="J7530" s="19">
        <v>0</v>
      </c>
      <c r="K7530" s="19">
        <v>0.5</v>
      </c>
      <c r="L7530" s="19">
        <v>0</v>
      </c>
      <c r="M7530" s="19">
        <v>0</v>
      </c>
      <c r="N7530" s="19">
        <v>0.333333333333333</v>
      </c>
      <c r="O7530" s="19">
        <v>0</v>
      </c>
    </row>
    <row r="7531" ht="14.25" spans="1:15">
      <c r="A7531" s="259">
        <v>45135</v>
      </c>
      <c r="B7531" s="259"/>
      <c r="C7531" s="259"/>
      <c r="D7531" s="259"/>
      <c r="E7531" s="259"/>
      <c r="F7531" s="259"/>
      <c r="G7531" s="259"/>
      <c r="H7531" s="259"/>
      <c r="I7531" s="259"/>
      <c r="J7531" s="259"/>
      <c r="K7531" s="259"/>
      <c r="L7531" s="259"/>
      <c r="M7531" s="259"/>
      <c r="N7531" s="259"/>
      <c r="O7531" s="259"/>
    </row>
    <row r="7532" spans="1:15">
      <c r="A7532" s="260" t="s">
        <v>1</v>
      </c>
      <c r="B7532" s="261"/>
      <c r="C7532" s="8" t="s">
        <v>42</v>
      </c>
      <c r="D7532" s="262" t="s">
        <v>43</v>
      </c>
      <c r="E7532" s="262" t="s">
        <v>44</v>
      </c>
      <c r="F7532" s="262" t="s">
        <v>45</v>
      </c>
      <c r="G7532" s="262" t="s">
        <v>46</v>
      </c>
      <c r="H7532" s="262" t="s">
        <v>47</v>
      </c>
      <c r="I7532" s="262" t="s">
        <v>48</v>
      </c>
      <c r="J7532" s="262" t="s">
        <v>49</v>
      </c>
      <c r="K7532" s="262" t="s">
        <v>50</v>
      </c>
      <c r="L7532" s="262" t="s">
        <v>51</v>
      </c>
      <c r="M7532" s="262" t="s">
        <v>52</v>
      </c>
      <c r="N7532" s="262" t="s">
        <v>53</v>
      </c>
      <c r="O7532" s="276" t="s">
        <v>54</v>
      </c>
    </row>
    <row r="7533" spans="1:15">
      <c r="A7533" s="263" t="s">
        <v>22</v>
      </c>
      <c r="B7533" s="264" t="s">
        <v>55</v>
      </c>
      <c r="C7533" s="12">
        <v>0.582539682539683</v>
      </c>
      <c r="D7533" s="265">
        <v>0.669421487603306</v>
      </c>
      <c r="E7533" s="265">
        <v>0.622950819672131</v>
      </c>
      <c r="F7533" s="265">
        <v>0.576271186440678</v>
      </c>
      <c r="G7533" s="265">
        <v>0.672131147540984</v>
      </c>
      <c r="H7533" s="265">
        <v>0.602409638554217</v>
      </c>
      <c r="I7533" s="265">
        <v>0.654545454545455</v>
      </c>
      <c r="J7533" s="265">
        <v>0.612612612612613</v>
      </c>
      <c r="K7533" s="265">
        <v>0.41958041958042</v>
      </c>
      <c r="L7533" s="265">
        <v>0.721739130434783</v>
      </c>
      <c r="M7533" s="265">
        <v>0.564516129032258</v>
      </c>
      <c r="N7533" s="265">
        <v>0.565217391304348</v>
      </c>
      <c r="O7533" s="277">
        <v>0.45859872611465</v>
      </c>
    </row>
    <row r="7534" spans="1:15">
      <c r="A7534" s="266" t="s">
        <v>22</v>
      </c>
      <c r="B7534" s="267" t="s">
        <v>57</v>
      </c>
      <c r="C7534" s="15">
        <v>1260</v>
      </c>
      <c r="D7534" s="268">
        <v>121</v>
      </c>
      <c r="E7534" s="268">
        <v>61</v>
      </c>
      <c r="F7534" s="268">
        <v>59</v>
      </c>
      <c r="G7534" s="268">
        <v>61</v>
      </c>
      <c r="H7534" s="268">
        <v>83</v>
      </c>
      <c r="I7534" s="268">
        <v>110</v>
      </c>
      <c r="J7534" s="268">
        <v>111</v>
      </c>
      <c r="K7534" s="268">
        <v>143</v>
      </c>
      <c r="L7534" s="268">
        <v>115</v>
      </c>
      <c r="M7534" s="268">
        <v>124</v>
      </c>
      <c r="N7534" s="268">
        <v>115</v>
      </c>
      <c r="O7534" s="278">
        <v>157</v>
      </c>
    </row>
    <row r="7535" spans="1:15">
      <c r="A7535" s="263" t="s">
        <v>22</v>
      </c>
      <c r="B7535" s="264" t="s">
        <v>59</v>
      </c>
      <c r="C7535" s="15">
        <v>734</v>
      </c>
      <c r="D7535" s="268">
        <v>81</v>
      </c>
      <c r="E7535" s="268">
        <v>38</v>
      </c>
      <c r="F7535" s="268">
        <v>34</v>
      </c>
      <c r="G7535" s="268">
        <v>41</v>
      </c>
      <c r="H7535" s="268">
        <v>50</v>
      </c>
      <c r="I7535" s="268">
        <v>72</v>
      </c>
      <c r="J7535" s="268">
        <v>68</v>
      </c>
      <c r="K7535" s="268">
        <v>60</v>
      </c>
      <c r="L7535" s="268">
        <v>83</v>
      </c>
      <c r="M7535" s="268">
        <v>70</v>
      </c>
      <c r="N7535" s="268">
        <v>65</v>
      </c>
      <c r="O7535" s="278">
        <v>72</v>
      </c>
    </row>
    <row r="7536" spans="1:15">
      <c r="A7536" s="266" t="s">
        <v>22</v>
      </c>
      <c r="B7536" s="267" t="s">
        <v>4</v>
      </c>
      <c r="C7536" s="15">
        <v>33</v>
      </c>
      <c r="D7536" s="269">
        <v>5</v>
      </c>
      <c r="E7536" s="269">
        <v>2</v>
      </c>
      <c r="F7536" s="269">
        <v>2</v>
      </c>
      <c r="G7536" s="269">
        <v>0</v>
      </c>
      <c r="H7536" s="269">
        <v>0</v>
      </c>
      <c r="I7536" s="269">
        <v>2</v>
      </c>
      <c r="J7536" s="269">
        <v>5</v>
      </c>
      <c r="K7536" s="269">
        <v>3</v>
      </c>
      <c r="L7536" s="269">
        <v>5</v>
      </c>
      <c r="M7536" s="269">
        <v>3</v>
      </c>
      <c r="N7536" s="269">
        <v>4</v>
      </c>
      <c r="O7536" s="279">
        <v>2</v>
      </c>
    </row>
    <row r="7537" spans="1:15">
      <c r="A7537" s="263" t="s">
        <v>22</v>
      </c>
      <c r="B7537" s="264" t="s">
        <v>5</v>
      </c>
      <c r="C7537" s="12">
        <v>0.0449591280653951</v>
      </c>
      <c r="D7537" s="265">
        <v>0.0617283950617284</v>
      </c>
      <c r="E7537" s="265">
        <v>0.0526315789473684</v>
      </c>
      <c r="F7537" s="265">
        <v>0.0588235294117647</v>
      </c>
      <c r="G7537" s="265">
        <v>0</v>
      </c>
      <c r="H7537" s="265">
        <v>0</v>
      </c>
      <c r="I7537" s="265">
        <v>0.0277777777777778</v>
      </c>
      <c r="J7537" s="265">
        <v>0.0735294117647059</v>
      </c>
      <c r="K7537" s="265">
        <v>0.05</v>
      </c>
      <c r="L7537" s="265">
        <v>0.0602409638554217</v>
      </c>
      <c r="M7537" s="265">
        <v>0.0428571428571429</v>
      </c>
      <c r="N7537" s="265">
        <v>0.0615384615384615</v>
      </c>
      <c r="O7537" s="277">
        <v>0.0277777777777778</v>
      </c>
    </row>
    <row r="7538" spans="1:15">
      <c r="A7538" s="266" t="s">
        <v>22</v>
      </c>
      <c r="B7538" s="267" t="s">
        <v>6</v>
      </c>
      <c r="C7538" s="15">
        <v>10</v>
      </c>
      <c r="D7538" s="269">
        <v>1</v>
      </c>
      <c r="E7538" s="269">
        <v>1</v>
      </c>
      <c r="F7538" s="269">
        <v>0</v>
      </c>
      <c r="G7538" s="269">
        <v>1</v>
      </c>
      <c r="H7538" s="269">
        <v>0</v>
      </c>
      <c r="I7538" s="269">
        <v>1</v>
      </c>
      <c r="J7538" s="269">
        <v>1</v>
      </c>
      <c r="K7538" s="269">
        <v>0</v>
      </c>
      <c r="L7538" s="269">
        <v>1</v>
      </c>
      <c r="M7538" s="269">
        <v>2</v>
      </c>
      <c r="N7538" s="269">
        <v>1</v>
      </c>
      <c r="O7538" s="279">
        <v>1</v>
      </c>
    </row>
    <row r="7539" ht="14.25" spans="1:15">
      <c r="A7539" s="270" t="s">
        <v>22</v>
      </c>
      <c r="B7539" s="271" t="s">
        <v>64</v>
      </c>
      <c r="C7539" s="19">
        <v>0.303030303030303</v>
      </c>
      <c r="D7539" s="272">
        <v>0.2</v>
      </c>
      <c r="E7539" s="272">
        <v>0.5</v>
      </c>
      <c r="F7539" s="272">
        <v>0</v>
      </c>
      <c r="G7539" s="272">
        <v>0</v>
      </c>
      <c r="H7539" s="272">
        <v>0</v>
      </c>
      <c r="I7539" s="272">
        <v>0.5</v>
      </c>
      <c r="J7539" s="272">
        <v>0.2</v>
      </c>
      <c r="K7539" s="272">
        <v>0</v>
      </c>
      <c r="L7539" s="272">
        <v>0.2</v>
      </c>
      <c r="M7539" s="272">
        <v>0.666666666666667</v>
      </c>
      <c r="N7539" s="272">
        <v>0.25</v>
      </c>
      <c r="O7539" s="280">
        <v>0.5</v>
      </c>
    </row>
    <row r="7540" spans="1:15">
      <c r="A7540" s="247" t="s">
        <v>66</v>
      </c>
      <c r="B7540" s="248" t="s">
        <v>55</v>
      </c>
      <c r="C7540" s="12">
        <v>0.0737875632252306</v>
      </c>
      <c r="D7540" s="249">
        <v>0.0256410256410256</v>
      </c>
      <c r="E7540" s="249">
        <v>0.0790960451977401</v>
      </c>
      <c r="F7540" s="249">
        <v>0.13125</v>
      </c>
      <c r="G7540" s="249">
        <v>0.0508474576271186</v>
      </c>
      <c r="H7540" s="249">
        <v>0.0730897009966777</v>
      </c>
      <c r="I7540" s="249">
        <v>0.1</v>
      </c>
      <c r="J7540" s="249">
        <v>0.073015873015873</v>
      </c>
      <c r="K7540" s="249">
        <v>0.0636132315521628</v>
      </c>
      <c r="L7540" s="249">
        <v>0.0769230769230769</v>
      </c>
      <c r="M7540" s="249">
        <v>0.0721649484536082</v>
      </c>
      <c r="N7540" s="249">
        <v>0.0931034482758621</v>
      </c>
      <c r="O7540" s="256">
        <v>0.0648967551622419</v>
      </c>
    </row>
    <row r="7541" spans="1:15">
      <c r="A7541" s="242" t="s">
        <v>66</v>
      </c>
      <c r="B7541" s="43" t="s">
        <v>57</v>
      </c>
      <c r="C7541" s="15">
        <v>3361</v>
      </c>
      <c r="D7541" s="243">
        <v>273</v>
      </c>
      <c r="E7541" s="243">
        <v>177</v>
      </c>
      <c r="F7541" s="243">
        <v>160</v>
      </c>
      <c r="G7541" s="243">
        <v>177</v>
      </c>
      <c r="H7541" s="243">
        <v>301</v>
      </c>
      <c r="I7541" s="243">
        <v>320</v>
      </c>
      <c r="J7541" s="243">
        <v>315</v>
      </c>
      <c r="K7541" s="243">
        <v>393</v>
      </c>
      <c r="L7541" s="243">
        <v>325</v>
      </c>
      <c r="M7541" s="243">
        <v>291</v>
      </c>
      <c r="N7541" s="243">
        <v>290</v>
      </c>
      <c r="O7541" s="253">
        <v>339</v>
      </c>
    </row>
    <row r="7542" spans="1:15">
      <c r="A7542" s="240" t="s">
        <v>66</v>
      </c>
      <c r="B7542" s="47" t="s">
        <v>59</v>
      </c>
      <c r="C7542" s="15">
        <v>248</v>
      </c>
      <c r="D7542" s="243">
        <v>7</v>
      </c>
      <c r="E7542" s="243">
        <v>14</v>
      </c>
      <c r="F7542" s="243">
        <v>21</v>
      </c>
      <c r="G7542" s="243">
        <v>9</v>
      </c>
      <c r="H7542" s="243">
        <v>22</v>
      </c>
      <c r="I7542" s="243">
        <v>32</v>
      </c>
      <c r="J7542" s="243">
        <v>23</v>
      </c>
      <c r="K7542" s="243">
        <v>25</v>
      </c>
      <c r="L7542" s="243">
        <v>25</v>
      </c>
      <c r="M7542" s="243">
        <v>21</v>
      </c>
      <c r="N7542" s="243">
        <v>27</v>
      </c>
      <c r="O7542" s="253">
        <v>22</v>
      </c>
    </row>
    <row r="7543" spans="1:15">
      <c r="A7543" s="242" t="s">
        <v>66</v>
      </c>
      <c r="B7543" s="43" t="s">
        <v>4</v>
      </c>
      <c r="C7543" s="15">
        <v>8</v>
      </c>
      <c r="D7543" s="244">
        <v>1</v>
      </c>
      <c r="E7543" s="244">
        <v>0</v>
      </c>
      <c r="F7543" s="244">
        <v>0</v>
      </c>
      <c r="G7543" s="244">
        <v>1</v>
      </c>
      <c r="H7543" s="244">
        <v>0</v>
      </c>
      <c r="I7543" s="244">
        <v>0</v>
      </c>
      <c r="J7543" s="244">
        <v>0</v>
      </c>
      <c r="K7543" s="244">
        <v>1</v>
      </c>
      <c r="L7543" s="244">
        <v>1</v>
      </c>
      <c r="M7543" s="244">
        <v>1</v>
      </c>
      <c r="N7543" s="244">
        <v>1</v>
      </c>
      <c r="O7543" s="254">
        <v>2</v>
      </c>
    </row>
    <row r="7544" spans="1:15">
      <c r="A7544" s="240" t="s">
        <v>66</v>
      </c>
      <c r="B7544" s="47" t="s">
        <v>5</v>
      </c>
      <c r="C7544" s="12">
        <v>0.032258064516129</v>
      </c>
      <c r="D7544" s="241">
        <v>0.142857142857143</v>
      </c>
      <c r="E7544" s="241">
        <v>0</v>
      </c>
      <c r="F7544" s="241">
        <v>0</v>
      </c>
      <c r="G7544" s="241">
        <v>0.111111111111111</v>
      </c>
      <c r="H7544" s="241">
        <v>0</v>
      </c>
      <c r="I7544" s="241">
        <v>0</v>
      </c>
      <c r="J7544" s="241">
        <v>0</v>
      </c>
      <c r="K7544" s="241">
        <v>0.04</v>
      </c>
      <c r="L7544" s="241">
        <v>0.04</v>
      </c>
      <c r="M7544" s="241">
        <v>0.0476190476190476</v>
      </c>
      <c r="N7544" s="241">
        <v>0.037037037037037</v>
      </c>
      <c r="O7544" s="252">
        <v>0.0909090909090909</v>
      </c>
    </row>
    <row r="7545" spans="1:15">
      <c r="A7545" s="242" t="s">
        <v>66</v>
      </c>
      <c r="B7545" s="43" t="s">
        <v>6</v>
      </c>
      <c r="C7545" s="15">
        <v>3</v>
      </c>
      <c r="D7545" s="244">
        <v>0</v>
      </c>
      <c r="E7545" s="244">
        <v>0</v>
      </c>
      <c r="F7545" s="244">
        <v>0</v>
      </c>
      <c r="G7545" s="244">
        <v>0</v>
      </c>
      <c r="H7545" s="244">
        <v>0</v>
      </c>
      <c r="I7545" s="244">
        <v>0</v>
      </c>
      <c r="J7545" s="244">
        <v>0</v>
      </c>
      <c r="K7545" s="244">
        <v>2</v>
      </c>
      <c r="L7545" s="244">
        <v>0</v>
      </c>
      <c r="M7545" s="244">
        <v>0</v>
      </c>
      <c r="N7545" s="244">
        <v>0</v>
      </c>
      <c r="O7545" s="254">
        <v>1</v>
      </c>
    </row>
    <row r="7546" ht="14.25" spans="1:15">
      <c r="A7546" s="245" t="s">
        <v>66</v>
      </c>
      <c r="B7546" s="52" t="s">
        <v>64</v>
      </c>
      <c r="C7546" s="19">
        <v>0.375</v>
      </c>
      <c r="D7546" s="246">
        <v>0</v>
      </c>
      <c r="E7546" s="246">
        <v>0</v>
      </c>
      <c r="F7546" s="246">
        <v>0</v>
      </c>
      <c r="G7546" s="246">
        <v>0</v>
      </c>
      <c r="H7546" s="246">
        <v>0</v>
      </c>
      <c r="I7546" s="246">
        <v>0</v>
      </c>
      <c r="J7546" s="246">
        <v>0</v>
      </c>
      <c r="K7546" s="246">
        <v>2</v>
      </c>
      <c r="L7546" s="246">
        <v>0</v>
      </c>
      <c r="M7546" s="246">
        <v>0</v>
      </c>
      <c r="N7546" s="246">
        <v>0</v>
      </c>
      <c r="O7546" s="255">
        <v>0.5</v>
      </c>
    </row>
    <row r="7547" spans="1:15">
      <c r="A7547" s="240" t="s">
        <v>67</v>
      </c>
      <c r="B7547" s="47" t="s">
        <v>55</v>
      </c>
      <c r="C7547" s="12">
        <v>0.518925518925519</v>
      </c>
      <c r="D7547" s="241">
        <v>0.555555555555556</v>
      </c>
      <c r="E7547" s="241">
        <v>0.574468085106383</v>
      </c>
      <c r="F7547" s="241">
        <v>0.91304347826087</v>
      </c>
      <c r="G7547" s="241">
        <v>0.404761904761905</v>
      </c>
      <c r="H7547" s="241">
        <v>0.411764705882353</v>
      </c>
      <c r="I7547" s="241">
        <v>0.510869565217391</v>
      </c>
      <c r="J7547" s="241">
        <v>0.585714285714286</v>
      </c>
      <c r="K7547" s="241">
        <v>0.536842105263158</v>
      </c>
      <c r="L7547" s="241">
        <v>0.476190476190476</v>
      </c>
      <c r="M7547" s="241">
        <v>0.672131147540984</v>
      </c>
      <c r="N7547" s="241">
        <v>0.377551020408163</v>
      </c>
      <c r="O7547" s="252">
        <v>0.522388059701492</v>
      </c>
    </row>
    <row r="7548" spans="1:15">
      <c r="A7548" s="242" t="s">
        <v>67</v>
      </c>
      <c r="B7548" s="43" t="s">
        <v>57</v>
      </c>
      <c r="C7548" s="15">
        <v>819</v>
      </c>
      <c r="D7548" s="243">
        <v>72</v>
      </c>
      <c r="E7548" s="243">
        <v>47</v>
      </c>
      <c r="F7548" s="243">
        <v>23</v>
      </c>
      <c r="G7548" s="243">
        <v>42</v>
      </c>
      <c r="H7548" s="243">
        <v>68</v>
      </c>
      <c r="I7548" s="243">
        <v>92</v>
      </c>
      <c r="J7548" s="243">
        <v>70</v>
      </c>
      <c r="K7548" s="243">
        <v>95</v>
      </c>
      <c r="L7548" s="243">
        <v>84</v>
      </c>
      <c r="M7548" s="243">
        <v>61</v>
      </c>
      <c r="N7548" s="243">
        <v>98</v>
      </c>
      <c r="O7548" s="253">
        <v>67</v>
      </c>
    </row>
    <row r="7549" spans="1:15">
      <c r="A7549" s="240" t="s">
        <v>67</v>
      </c>
      <c r="B7549" s="47" t="s">
        <v>59</v>
      </c>
      <c r="C7549" s="15">
        <v>425</v>
      </c>
      <c r="D7549" s="243">
        <v>40</v>
      </c>
      <c r="E7549" s="243">
        <v>27</v>
      </c>
      <c r="F7549" s="243">
        <v>21</v>
      </c>
      <c r="G7549" s="243">
        <v>17</v>
      </c>
      <c r="H7549" s="243">
        <v>28</v>
      </c>
      <c r="I7549" s="243">
        <v>47</v>
      </c>
      <c r="J7549" s="243">
        <v>41</v>
      </c>
      <c r="K7549" s="243">
        <v>51</v>
      </c>
      <c r="L7549" s="243">
        <v>40</v>
      </c>
      <c r="M7549" s="243">
        <v>41</v>
      </c>
      <c r="N7549" s="243">
        <v>37</v>
      </c>
      <c r="O7549" s="253">
        <v>35</v>
      </c>
    </row>
    <row r="7550" spans="1:15">
      <c r="A7550" s="242" t="s">
        <v>67</v>
      </c>
      <c r="B7550" s="43" t="s">
        <v>4</v>
      </c>
      <c r="C7550" s="15">
        <v>13</v>
      </c>
      <c r="D7550" s="244">
        <v>1</v>
      </c>
      <c r="E7550" s="244">
        <v>0</v>
      </c>
      <c r="F7550" s="244">
        <v>1</v>
      </c>
      <c r="G7550" s="244">
        <v>0</v>
      </c>
      <c r="H7550" s="244">
        <v>0</v>
      </c>
      <c r="I7550" s="244">
        <v>2</v>
      </c>
      <c r="J7550" s="244">
        <v>1</v>
      </c>
      <c r="K7550" s="244">
        <v>1</v>
      </c>
      <c r="L7550" s="244">
        <v>1</v>
      </c>
      <c r="M7550" s="244">
        <v>1</v>
      </c>
      <c r="N7550" s="244">
        <v>3</v>
      </c>
      <c r="O7550" s="254">
        <v>2</v>
      </c>
    </row>
    <row r="7551" spans="1:15">
      <c r="A7551" s="240" t="s">
        <v>67</v>
      </c>
      <c r="B7551" s="47" t="s">
        <v>5</v>
      </c>
      <c r="C7551" s="12">
        <v>0.0305882352941176</v>
      </c>
      <c r="D7551" s="241">
        <v>0.025</v>
      </c>
      <c r="E7551" s="241">
        <v>0</v>
      </c>
      <c r="F7551" s="241">
        <v>0.0476190476190476</v>
      </c>
      <c r="G7551" s="241">
        <v>0</v>
      </c>
      <c r="H7551" s="241">
        <v>0</v>
      </c>
      <c r="I7551" s="241">
        <v>0.0425531914893617</v>
      </c>
      <c r="J7551" s="241">
        <v>0.024390243902439</v>
      </c>
      <c r="K7551" s="241">
        <v>0.0196078431372549</v>
      </c>
      <c r="L7551" s="241">
        <v>0.025</v>
      </c>
      <c r="M7551" s="241">
        <v>0.024390243902439</v>
      </c>
      <c r="N7551" s="241">
        <v>0.0810810810810811</v>
      </c>
      <c r="O7551" s="252">
        <v>0.0571428571428571</v>
      </c>
    </row>
    <row r="7552" spans="1:15">
      <c r="A7552" s="242" t="s">
        <v>67</v>
      </c>
      <c r="B7552" s="43" t="s">
        <v>6</v>
      </c>
      <c r="C7552" s="15">
        <v>4</v>
      </c>
      <c r="D7552" s="244">
        <v>1</v>
      </c>
      <c r="E7552" s="244">
        <v>0</v>
      </c>
      <c r="F7552" s="244">
        <v>0</v>
      </c>
      <c r="G7552" s="244">
        <v>0</v>
      </c>
      <c r="H7552" s="244">
        <v>0</v>
      </c>
      <c r="I7552" s="244">
        <v>0</v>
      </c>
      <c r="J7552" s="244">
        <v>1</v>
      </c>
      <c r="K7552" s="244">
        <v>1</v>
      </c>
      <c r="L7552" s="244">
        <v>0</v>
      </c>
      <c r="M7552" s="244">
        <v>0</v>
      </c>
      <c r="N7552" s="244">
        <v>1</v>
      </c>
      <c r="O7552" s="254">
        <v>0</v>
      </c>
    </row>
    <row r="7553" ht="14.25" spans="1:15">
      <c r="A7553" s="245" t="s">
        <v>67</v>
      </c>
      <c r="B7553" s="52" t="s">
        <v>64</v>
      </c>
      <c r="C7553" s="19">
        <v>0.307692307692308</v>
      </c>
      <c r="D7553" s="246">
        <v>1</v>
      </c>
      <c r="E7553" s="246">
        <v>0</v>
      </c>
      <c r="F7553" s="246">
        <v>0</v>
      </c>
      <c r="G7553" s="246">
        <v>0</v>
      </c>
      <c r="H7553" s="246">
        <v>0</v>
      </c>
      <c r="I7553" s="246">
        <v>0</v>
      </c>
      <c r="J7553" s="246">
        <v>1</v>
      </c>
      <c r="K7553" s="246">
        <v>1</v>
      </c>
      <c r="L7553" s="246">
        <v>0</v>
      </c>
      <c r="M7553" s="246">
        <v>0</v>
      </c>
      <c r="N7553" s="246">
        <v>0.333333333333333</v>
      </c>
      <c r="O7553" s="255">
        <v>0</v>
      </c>
    </row>
    <row r="7554" spans="1:15">
      <c r="A7554" s="240" t="s">
        <v>68</v>
      </c>
      <c r="B7554" s="47" t="s">
        <v>55</v>
      </c>
      <c r="C7554" s="12">
        <v>0.12630676949443</v>
      </c>
      <c r="D7554" s="241">
        <v>0.192612137203166</v>
      </c>
      <c r="E7554" s="241">
        <v>0.204081632653061</v>
      </c>
      <c r="F7554" s="241">
        <v>0.136363636363636</v>
      </c>
      <c r="G7554" s="241">
        <v>0.158653846153846</v>
      </c>
      <c r="H7554" s="241">
        <v>0.196185286103542</v>
      </c>
      <c r="I7554" s="241">
        <v>0.127413127413127</v>
      </c>
      <c r="J7554" s="241">
        <v>0.142300194931774</v>
      </c>
      <c r="K7554" s="241">
        <v>0.11371237458194</v>
      </c>
      <c r="L7554" s="241">
        <v>0.131416837782341</v>
      </c>
      <c r="M7554" s="241">
        <v>0.0935251798561151</v>
      </c>
      <c r="N7554" s="241">
        <v>0.121405750798722</v>
      </c>
      <c r="O7554" s="252">
        <v>0.0759825327510917</v>
      </c>
    </row>
    <row r="7555" spans="1:15">
      <c r="A7555" s="242" t="s">
        <v>68</v>
      </c>
      <c r="B7555" s="43" t="s">
        <v>57</v>
      </c>
      <c r="C7555" s="15">
        <v>5835</v>
      </c>
      <c r="D7555" s="243">
        <v>379</v>
      </c>
      <c r="E7555" s="243">
        <v>196</v>
      </c>
      <c r="F7555" s="243">
        <v>242</v>
      </c>
      <c r="G7555" s="243">
        <v>208</v>
      </c>
      <c r="H7555" s="243">
        <v>367</v>
      </c>
      <c r="I7555" s="243">
        <v>518</v>
      </c>
      <c r="J7555" s="243">
        <v>513</v>
      </c>
      <c r="K7555" s="243">
        <v>598</v>
      </c>
      <c r="L7555" s="243">
        <v>487</v>
      </c>
      <c r="M7555" s="243">
        <v>556</v>
      </c>
      <c r="N7555" s="243">
        <v>626</v>
      </c>
      <c r="O7555" s="253">
        <v>1145</v>
      </c>
    </row>
    <row r="7556" spans="1:15">
      <c r="A7556" s="240" t="s">
        <v>68</v>
      </c>
      <c r="B7556" s="47" t="s">
        <v>59</v>
      </c>
      <c r="C7556" s="15">
        <v>737</v>
      </c>
      <c r="D7556" s="243">
        <v>73</v>
      </c>
      <c r="E7556" s="243">
        <v>40</v>
      </c>
      <c r="F7556" s="243">
        <v>33</v>
      </c>
      <c r="G7556" s="243">
        <v>33</v>
      </c>
      <c r="H7556" s="243">
        <v>72</v>
      </c>
      <c r="I7556" s="243">
        <v>66</v>
      </c>
      <c r="J7556" s="243">
        <v>73</v>
      </c>
      <c r="K7556" s="243">
        <v>68</v>
      </c>
      <c r="L7556" s="243">
        <v>64</v>
      </c>
      <c r="M7556" s="243">
        <v>52</v>
      </c>
      <c r="N7556" s="243">
        <v>76</v>
      </c>
      <c r="O7556" s="253">
        <v>87</v>
      </c>
    </row>
    <row r="7557" spans="1:15">
      <c r="A7557" s="242" t="s">
        <v>68</v>
      </c>
      <c r="B7557" s="43" t="s">
        <v>4</v>
      </c>
      <c r="C7557" s="15">
        <v>61</v>
      </c>
      <c r="D7557" s="244">
        <v>10</v>
      </c>
      <c r="E7557" s="244">
        <v>7</v>
      </c>
      <c r="F7557" s="244">
        <v>4</v>
      </c>
      <c r="G7557" s="244">
        <v>1</v>
      </c>
      <c r="H7557" s="244">
        <v>2</v>
      </c>
      <c r="I7557" s="244">
        <v>2</v>
      </c>
      <c r="J7557" s="244">
        <v>2</v>
      </c>
      <c r="K7557" s="244">
        <v>6</v>
      </c>
      <c r="L7557" s="244">
        <v>6</v>
      </c>
      <c r="M7557" s="244">
        <v>5</v>
      </c>
      <c r="N7557" s="244">
        <v>7</v>
      </c>
      <c r="O7557" s="254">
        <v>9</v>
      </c>
    </row>
    <row r="7558" spans="1:15">
      <c r="A7558" s="240" t="s">
        <v>68</v>
      </c>
      <c r="B7558" s="47" t="s">
        <v>5</v>
      </c>
      <c r="C7558" s="12">
        <v>0.0827679782903663</v>
      </c>
      <c r="D7558" s="241">
        <v>0.136986301369863</v>
      </c>
      <c r="E7558" s="241">
        <v>0.175</v>
      </c>
      <c r="F7558" s="241">
        <v>0.121212121212121</v>
      </c>
      <c r="G7558" s="241">
        <v>0.0303030303030303</v>
      </c>
      <c r="H7558" s="241">
        <v>0.0277777777777778</v>
      </c>
      <c r="I7558" s="241">
        <v>0.0303030303030303</v>
      </c>
      <c r="J7558" s="241">
        <v>0.0273972602739726</v>
      </c>
      <c r="K7558" s="241">
        <v>0.0882352941176471</v>
      </c>
      <c r="L7558" s="241">
        <v>0.09375</v>
      </c>
      <c r="M7558" s="241">
        <v>0.0961538461538462</v>
      </c>
      <c r="N7558" s="241">
        <v>0.0921052631578947</v>
      </c>
      <c r="O7558" s="252">
        <v>0.103448275862069</v>
      </c>
    </row>
    <row r="7559" spans="1:15">
      <c r="A7559" s="242" t="s">
        <v>68</v>
      </c>
      <c r="B7559" s="43" t="s">
        <v>6</v>
      </c>
      <c r="C7559" s="15">
        <v>21</v>
      </c>
      <c r="D7559" s="244">
        <v>4</v>
      </c>
      <c r="E7559" s="244">
        <v>3</v>
      </c>
      <c r="F7559" s="244">
        <v>2</v>
      </c>
      <c r="G7559" s="244">
        <v>1</v>
      </c>
      <c r="H7559" s="244">
        <v>0</v>
      </c>
      <c r="I7559" s="244">
        <v>2</v>
      </c>
      <c r="J7559" s="244">
        <v>2</v>
      </c>
      <c r="K7559" s="244">
        <v>1</v>
      </c>
      <c r="L7559" s="244">
        <v>4</v>
      </c>
      <c r="M7559" s="244">
        <v>0</v>
      </c>
      <c r="N7559" s="244">
        <v>1</v>
      </c>
      <c r="O7559" s="254">
        <v>1</v>
      </c>
    </row>
    <row r="7560" ht="14.25" spans="1:15">
      <c r="A7560" s="245" t="s">
        <v>68</v>
      </c>
      <c r="B7560" s="52" t="s">
        <v>64</v>
      </c>
      <c r="C7560" s="19">
        <v>0.344262295081967</v>
      </c>
      <c r="D7560" s="246">
        <v>0.4</v>
      </c>
      <c r="E7560" s="246">
        <v>0.428571428571429</v>
      </c>
      <c r="F7560" s="246">
        <v>0.5</v>
      </c>
      <c r="G7560" s="246">
        <v>1</v>
      </c>
      <c r="H7560" s="246">
        <v>0</v>
      </c>
      <c r="I7560" s="246">
        <v>1</v>
      </c>
      <c r="J7560" s="246">
        <v>1</v>
      </c>
      <c r="K7560" s="246">
        <v>0.166666666666667</v>
      </c>
      <c r="L7560" s="246">
        <v>0.666666666666667</v>
      </c>
      <c r="M7560" s="246">
        <v>0</v>
      </c>
      <c r="N7560" s="246">
        <v>0.142857142857143</v>
      </c>
      <c r="O7560" s="255">
        <v>0.111111111111111</v>
      </c>
    </row>
    <row r="7561" spans="1:15">
      <c r="A7561" s="240" t="s">
        <v>69</v>
      </c>
      <c r="B7561" s="47" t="s">
        <v>55</v>
      </c>
      <c r="C7561" s="12">
        <v>0</v>
      </c>
      <c r="D7561" s="241">
        <v>0</v>
      </c>
      <c r="E7561" s="241">
        <v>0</v>
      </c>
      <c r="F7561" s="241">
        <v>0</v>
      </c>
      <c r="G7561" s="241">
        <v>0</v>
      </c>
      <c r="H7561" s="241">
        <v>0</v>
      </c>
      <c r="I7561" s="241">
        <v>0</v>
      </c>
      <c r="J7561" s="241">
        <v>0</v>
      </c>
      <c r="K7561" s="241">
        <v>0</v>
      </c>
      <c r="L7561" s="241">
        <v>0</v>
      </c>
      <c r="M7561" s="241">
        <v>0</v>
      </c>
      <c r="N7561" s="241">
        <v>0</v>
      </c>
      <c r="O7561" s="252">
        <v>0</v>
      </c>
    </row>
    <row r="7562" spans="1:15">
      <c r="A7562" s="242" t="s">
        <v>69</v>
      </c>
      <c r="B7562" s="43" t="s">
        <v>57</v>
      </c>
      <c r="C7562" s="15">
        <v>262</v>
      </c>
      <c r="D7562" s="243">
        <v>20</v>
      </c>
      <c r="E7562" s="243">
        <v>12</v>
      </c>
      <c r="F7562" s="243">
        <v>10</v>
      </c>
      <c r="G7562" s="243">
        <v>18</v>
      </c>
      <c r="H7562" s="243">
        <v>18</v>
      </c>
      <c r="I7562" s="243">
        <v>18</v>
      </c>
      <c r="J7562" s="243">
        <v>16</v>
      </c>
      <c r="K7562" s="243">
        <v>26</v>
      </c>
      <c r="L7562" s="243">
        <v>23</v>
      </c>
      <c r="M7562" s="243">
        <v>30</v>
      </c>
      <c r="N7562" s="243">
        <v>37</v>
      </c>
      <c r="O7562" s="253">
        <v>34</v>
      </c>
    </row>
    <row r="7563" spans="1:15">
      <c r="A7563" s="240" t="s">
        <v>69</v>
      </c>
      <c r="B7563" s="47" t="s">
        <v>59</v>
      </c>
      <c r="C7563" s="15">
        <v>0</v>
      </c>
      <c r="D7563" s="243">
        <v>0</v>
      </c>
      <c r="E7563" s="243">
        <v>0</v>
      </c>
      <c r="F7563" s="243">
        <v>0</v>
      </c>
      <c r="G7563" s="243">
        <v>0</v>
      </c>
      <c r="H7563" s="243">
        <v>0</v>
      </c>
      <c r="I7563" s="243">
        <v>0</v>
      </c>
      <c r="J7563" s="243">
        <v>0</v>
      </c>
      <c r="K7563" s="243">
        <v>0</v>
      </c>
      <c r="L7563" s="243">
        <v>0</v>
      </c>
      <c r="M7563" s="243">
        <v>0</v>
      </c>
      <c r="N7563" s="243">
        <v>0</v>
      </c>
      <c r="O7563" s="253">
        <v>0</v>
      </c>
    </row>
    <row r="7564" spans="1:15">
      <c r="A7564" s="242" t="s">
        <v>69</v>
      </c>
      <c r="B7564" s="43" t="s">
        <v>4</v>
      </c>
      <c r="C7564" s="15">
        <v>4</v>
      </c>
      <c r="D7564" s="244">
        <v>1</v>
      </c>
      <c r="E7564" s="244">
        <v>0</v>
      </c>
      <c r="F7564" s="244">
        <v>0</v>
      </c>
      <c r="G7564" s="244">
        <v>0</v>
      </c>
      <c r="H7564" s="244">
        <v>0</v>
      </c>
      <c r="I7564" s="244">
        <v>0</v>
      </c>
      <c r="J7564" s="244">
        <v>0</v>
      </c>
      <c r="K7564" s="244">
        <v>0</v>
      </c>
      <c r="L7564" s="244">
        <v>1</v>
      </c>
      <c r="M7564" s="244">
        <v>1</v>
      </c>
      <c r="N7564" s="244">
        <v>1</v>
      </c>
      <c r="O7564" s="254">
        <v>0</v>
      </c>
    </row>
    <row r="7565" spans="1:15">
      <c r="A7565" s="240" t="s">
        <v>69</v>
      </c>
      <c r="B7565" s="47" t="s">
        <v>5</v>
      </c>
      <c r="C7565" s="12" t="e">
        <v>#DIV/0!</v>
      </c>
      <c r="D7565" s="241">
        <v>0</v>
      </c>
      <c r="E7565" s="241">
        <v>0</v>
      </c>
      <c r="F7565" s="241">
        <v>0</v>
      </c>
      <c r="G7565" s="241">
        <v>0</v>
      </c>
      <c r="H7565" s="241">
        <v>0</v>
      </c>
      <c r="I7565" s="241">
        <v>0</v>
      </c>
      <c r="J7565" s="241">
        <v>0</v>
      </c>
      <c r="K7565" s="241">
        <v>0</v>
      </c>
      <c r="L7565" s="241">
        <v>0</v>
      </c>
      <c r="M7565" s="241">
        <v>0</v>
      </c>
      <c r="N7565" s="241">
        <v>0</v>
      </c>
      <c r="O7565" s="252">
        <v>0</v>
      </c>
    </row>
    <row r="7566" spans="1:15">
      <c r="A7566" s="242" t="s">
        <v>69</v>
      </c>
      <c r="B7566" s="43" t="s">
        <v>6</v>
      </c>
      <c r="C7566" s="15">
        <v>3</v>
      </c>
      <c r="D7566" s="244">
        <v>1</v>
      </c>
      <c r="E7566" s="244">
        <v>0</v>
      </c>
      <c r="F7566" s="244">
        <v>0</v>
      </c>
      <c r="G7566" s="244">
        <v>0</v>
      </c>
      <c r="H7566" s="244">
        <v>1</v>
      </c>
      <c r="I7566" s="244">
        <v>0</v>
      </c>
      <c r="J7566" s="244">
        <v>0</v>
      </c>
      <c r="K7566" s="244">
        <v>0</v>
      </c>
      <c r="L7566" s="244">
        <v>0</v>
      </c>
      <c r="M7566" s="244">
        <v>0</v>
      </c>
      <c r="N7566" s="244">
        <v>1</v>
      </c>
      <c r="O7566" s="254">
        <v>0</v>
      </c>
    </row>
    <row r="7567" ht="14.25" spans="1:15">
      <c r="A7567" s="245" t="s">
        <v>69</v>
      </c>
      <c r="B7567" s="52" t="s">
        <v>64</v>
      </c>
      <c r="C7567" s="19">
        <v>0.75</v>
      </c>
      <c r="D7567" s="246">
        <v>1</v>
      </c>
      <c r="E7567" s="246">
        <v>0</v>
      </c>
      <c r="F7567" s="246">
        <v>0</v>
      </c>
      <c r="G7567" s="246">
        <v>0</v>
      </c>
      <c r="H7567" s="246">
        <v>0</v>
      </c>
      <c r="I7567" s="246">
        <v>0</v>
      </c>
      <c r="J7567" s="246">
        <v>0</v>
      </c>
      <c r="K7567" s="246">
        <v>0</v>
      </c>
      <c r="L7567" s="246">
        <v>0</v>
      </c>
      <c r="M7567" s="246">
        <v>0</v>
      </c>
      <c r="N7567" s="246">
        <v>1</v>
      </c>
      <c r="O7567" s="255">
        <v>0</v>
      </c>
    </row>
    <row r="7568" spans="1:15">
      <c r="A7568" s="240" t="s">
        <v>70</v>
      </c>
      <c r="B7568" s="47" t="s">
        <v>55</v>
      </c>
      <c r="C7568" s="12">
        <v>0.722524483133841</v>
      </c>
      <c r="D7568" s="241">
        <v>0.608695652173913</v>
      </c>
      <c r="E7568" s="241">
        <v>0.735294117647059</v>
      </c>
      <c r="F7568" s="241">
        <v>0.791666666666667</v>
      </c>
      <c r="G7568" s="241">
        <v>0.827586206896552</v>
      </c>
      <c r="H7568" s="241">
        <v>0.585714285714286</v>
      </c>
      <c r="I7568" s="241">
        <v>0.96039603960396</v>
      </c>
      <c r="J7568" s="241">
        <v>0.595238095238095</v>
      </c>
      <c r="K7568" s="241">
        <v>0.618181818181818</v>
      </c>
      <c r="L7568" s="241">
        <v>0.626016260162602</v>
      </c>
      <c r="M7568" s="241">
        <v>0.820224719101124</v>
      </c>
      <c r="N7568" s="241">
        <v>0.702127659574468</v>
      </c>
      <c r="O7568" s="252">
        <v>0.891304347826087</v>
      </c>
    </row>
    <row r="7569" spans="1:15">
      <c r="A7569" s="242" t="s">
        <v>70</v>
      </c>
      <c r="B7569" s="43" t="s">
        <v>57</v>
      </c>
      <c r="C7569" s="15">
        <v>919</v>
      </c>
      <c r="D7569" s="243">
        <v>69</v>
      </c>
      <c r="E7569" s="243">
        <v>34</v>
      </c>
      <c r="F7569" s="243">
        <v>24</v>
      </c>
      <c r="G7569" s="243">
        <v>29</v>
      </c>
      <c r="H7569" s="243">
        <v>70</v>
      </c>
      <c r="I7569" s="243">
        <v>101</v>
      </c>
      <c r="J7569" s="243">
        <v>84</v>
      </c>
      <c r="K7569" s="243">
        <v>110</v>
      </c>
      <c r="L7569" s="243">
        <v>123</v>
      </c>
      <c r="M7569" s="243">
        <v>89</v>
      </c>
      <c r="N7569" s="243">
        <v>94</v>
      </c>
      <c r="O7569" s="253">
        <v>92</v>
      </c>
    </row>
    <row r="7570" spans="1:15">
      <c r="A7570" s="240" t="s">
        <v>70</v>
      </c>
      <c r="B7570" s="47" t="s">
        <v>59</v>
      </c>
      <c r="C7570" s="15">
        <v>664</v>
      </c>
      <c r="D7570" s="243">
        <v>42</v>
      </c>
      <c r="E7570" s="243">
        <v>25</v>
      </c>
      <c r="F7570" s="243">
        <v>19</v>
      </c>
      <c r="G7570" s="243">
        <v>24</v>
      </c>
      <c r="H7570" s="243">
        <v>41</v>
      </c>
      <c r="I7570" s="243">
        <v>97</v>
      </c>
      <c r="J7570" s="243">
        <v>50</v>
      </c>
      <c r="K7570" s="243">
        <v>68</v>
      </c>
      <c r="L7570" s="243">
        <v>77</v>
      </c>
      <c r="M7570" s="243">
        <v>73</v>
      </c>
      <c r="N7570" s="243">
        <v>66</v>
      </c>
      <c r="O7570" s="253">
        <v>82</v>
      </c>
    </row>
    <row r="7571" spans="1:15">
      <c r="A7571" s="242" t="s">
        <v>70</v>
      </c>
      <c r="B7571" s="43" t="s">
        <v>4</v>
      </c>
      <c r="C7571" s="15">
        <v>18</v>
      </c>
      <c r="D7571" s="244">
        <v>3</v>
      </c>
      <c r="E7571" s="244">
        <v>2</v>
      </c>
      <c r="F7571" s="244">
        <v>1</v>
      </c>
      <c r="G7571" s="244">
        <v>0</v>
      </c>
      <c r="H7571" s="244">
        <v>0</v>
      </c>
      <c r="I7571" s="244">
        <v>1</v>
      </c>
      <c r="J7571" s="244">
        <v>2</v>
      </c>
      <c r="K7571" s="244">
        <v>1</v>
      </c>
      <c r="L7571" s="244">
        <v>2</v>
      </c>
      <c r="M7571" s="244">
        <v>5</v>
      </c>
      <c r="N7571" s="244">
        <v>1</v>
      </c>
      <c r="O7571" s="254">
        <v>0</v>
      </c>
    </row>
    <row r="7572" spans="1:15">
      <c r="A7572" s="240" t="s">
        <v>70</v>
      </c>
      <c r="B7572" s="47" t="s">
        <v>5</v>
      </c>
      <c r="C7572" s="12">
        <v>0.0271084337349398</v>
      </c>
      <c r="D7572" s="241">
        <v>0.0714285714285714</v>
      </c>
      <c r="E7572" s="241">
        <v>0.08</v>
      </c>
      <c r="F7572" s="241">
        <v>0.0526315789473684</v>
      </c>
      <c r="G7572" s="241">
        <v>0</v>
      </c>
      <c r="H7572" s="241">
        <v>0</v>
      </c>
      <c r="I7572" s="241">
        <v>0.0103092783505155</v>
      </c>
      <c r="J7572" s="241">
        <v>0.04</v>
      </c>
      <c r="K7572" s="241">
        <v>0.0147058823529412</v>
      </c>
      <c r="L7572" s="241">
        <v>0.025974025974026</v>
      </c>
      <c r="M7572" s="241">
        <v>0.0684931506849315</v>
      </c>
      <c r="N7572" s="241">
        <v>0.0151515151515152</v>
      </c>
      <c r="O7572" s="252">
        <v>0</v>
      </c>
    </row>
    <row r="7573" spans="1:15">
      <c r="A7573" s="242" t="s">
        <v>70</v>
      </c>
      <c r="B7573" s="43" t="s">
        <v>6</v>
      </c>
      <c r="C7573" s="15">
        <v>5</v>
      </c>
      <c r="D7573" s="244">
        <v>1</v>
      </c>
      <c r="E7573" s="244">
        <v>0</v>
      </c>
      <c r="F7573" s="244">
        <v>1</v>
      </c>
      <c r="G7573" s="244">
        <v>0</v>
      </c>
      <c r="H7573" s="244">
        <v>0</v>
      </c>
      <c r="I7573" s="244">
        <v>0</v>
      </c>
      <c r="J7573" s="244">
        <v>1</v>
      </c>
      <c r="K7573" s="244">
        <v>1</v>
      </c>
      <c r="L7573" s="244">
        <v>0</v>
      </c>
      <c r="M7573" s="244">
        <v>1</v>
      </c>
      <c r="N7573" s="244">
        <v>0</v>
      </c>
      <c r="O7573" s="254">
        <v>0</v>
      </c>
    </row>
    <row r="7574" ht="14.25" spans="1:15">
      <c r="A7574" s="245" t="s">
        <v>70</v>
      </c>
      <c r="B7574" s="52" t="s">
        <v>64</v>
      </c>
      <c r="C7574" s="19">
        <v>0.277777777777778</v>
      </c>
      <c r="D7574" s="246">
        <v>0.333333333333333</v>
      </c>
      <c r="E7574" s="246">
        <v>0</v>
      </c>
      <c r="F7574" s="246">
        <v>1</v>
      </c>
      <c r="G7574" s="246">
        <v>0</v>
      </c>
      <c r="H7574" s="246">
        <v>0</v>
      </c>
      <c r="I7574" s="246">
        <v>0</v>
      </c>
      <c r="J7574" s="246">
        <v>0.5</v>
      </c>
      <c r="K7574" s="246">
        <v>1</v>
      </c>
      <c r="L7574" s="246">
        <v>0</v>
      </c>
      <c r="M7574" s="246">
        <v>0.2</v>
      </c>
      <c r="N7574" s="246">
        <v>0</v>
      </c>
      <c r="O7574" s="255">
        <v>0</v>
      </c>
    </row>
    <row r="7575" spans="1:15">
      <c r="A7575" s="240" t="s">
        <v>26</v>
      </c>
      <c r="B7575" s="47" t="s">
        <v>55</v>
      </c>
      <c r="C7575" s="12">
        <v>0.964324324324324</v>
      </c>
      <c r="D7575" s="241">
        <v>1.01183431952663</v>
      </c>
      <c r="E7575" s="241">
        <v>0.825242718446602</v>
      </c>
      <c r="F7575" s="241">
        <v>0.835616438356164</v>
      </c>
      <c r="G7575" s="241">
        <v>1.28301886792453</v>
      </c>
      <c r="H7575" s="241">
        <v>1.06164383561644</v>
      </c>
      <c r="I7575" s="241">
        <v>1.10119047619048</v>
      </c>
      <c r="J7575" s="241">
        <v>0.966666666666667</v>
      </c>
      <c r="K7575" s="241">
        <v>0.938325991189427</v>
      </c>
      <c r="L7575" s="241">
        <v>0.830188679245283</v>
      </c>
      <c r="M7575" s="241">
        <v>0.921212121212121</v>
      </c>
      <c r="N7575" s="241">
        <v>1.01204819277108</v>
      </c>
      <c r="O7575" s="252">
        <v>0.936170212765957</v>
      </c>
    </row>
    <row r="7576" spans="1:15">
      <c r="A7576" s="242" t="s">
        <v>26</v>
      </c>
      <c r="B7576" s="43" t="s">
        <v>57</v>
      </c>
      <c r="C7576" s="15">
        <v>1850</v>
      </c>
      <c r="D7576" s="243">
        <v>169</v>
      </c>
      <c r="E7576" s="243">
        <v>103</v>
      </c>
      <c r="F7576" s="243">
        <v>73</v>
      </c>
      <c r="G7576" s="243">
        <v>53</v>
      </c>
      <c r="H7576" s="243">
        <v>146</v>
      </c>
      <c r="I7576" s="243">
        <v>168</v>
      </c>
      <c r="J7576" s="243">
        <v>180</v>
      </c>
      <c r="K7576" s="243">
        <v>227</v>
      </c>
      <c r="L7576" s="243">
        <v>212</v>
      </c>
      <c r="M7576" s="243">
        <v>165</v>
      </c>
      <c r="N7576" s="243">
        <v>166</v>
      </c>
      <c r="O7576" s="253">
        <v>188</v>
      </c>
    </row>
    <row r="7577" spans="1:15">
      <c r="A7577" s="240" t="s">
        <v>26</v>
      </c>
      <c r="B7577" s="47" t="s">
        <v>59</v>
      </c>
      <c r="C7577" s="15">
        <v>1784</v>
      </c>
      <c r="D7577" s="243">
        <v>171</v>
      </c>
      <c r="E7577" s="243">
        <v>85</v>
      </c>
      <c r="F7577" s="243">
        <v>61</v>
      </c>
      <c r="G7577" s="243">
        <v>68</v>
      </c>
      <c r="H7577" s="243">
        <v>155</v>
      </c>
      <c r="I7577" s="243">
        <v>185</v>
      </c>
      <c r="J7577" s="243">
        <v>174</v>
      </c>
      <c r="K7577" s="243">
        <v>213</v>
      </c>
      <c r="L7577" s="243">
        <v>176</v>
      </c>
      <c r="M7577" s="243">
        <v>152</v>
      </c>
      <c r="N7577" s="243">
        <v>168</v>
      </c>
      <c r="O7577" s="253">
        <v>176</v>
      </c>
    </row>
    <row r="7578" spans="1:15">
      <c r="A7578" s="242" t="s">
        <v>26</v>
      </c>
      <c r="B7578" s="43" t="s">
        <v>4</v>
      </c>
      <c r="C7578" s="15">
        <v>27</v>
      </c>
      <c r="D7578" s="244">
        <v>7</v>
      </c>
      <c r="E7578" s="244">
        <v>0</v>
      </c>
      <c r="F7578" s="244">
        <v>0</v>
      </c>
      <c r="G7578" s="244">
        <v>0</v>
      </c>
      <c r="H7578" s="244">
        <v>2</v>
      </c>
      <c r="I7578" s="244">
        <v>4</v>
      </c>
      <c r="J7578" s="244">
        <v>1</v>
      </c>
      <c r="K7578" s="244">
        <v>4</v>
      </c>
      <c r="L7578" s="244">
        <v>3</v>
      </c>
      <c r="M7578" s="244">
        <v>1</v>
      </c>
      <c r="N7578" s="244">
        <v>3</v>
      </c>
      <c r="O7578" s="254">
        <v>2</v>
      </c>
    </row>
    <row r="7579" spans="1:15">
      <c r="A7579" s="240" t="s">
        <v>26</v>
      </c>
      <c r="B7579" s="47" t="s">
        <v>5</v>
      </c>
      <c r="C7579" s="12">
        <v>0.0151345291479821</v>
      </c>
      <c r="D7579" s="241">
        <v>0.0409356725146199</v>
      </c>
      <c r="E7579" s="241">
        <v>0</v>
      </c>
      <c r="F7579" s="241">
        <v>0</v>
      </c>
      <c r="G7579" s="241">
        <v>0</v>
      </c>
      <c r="H7579" s="241">
        <v>0.0129032258064516</v>
      </c>
      <c r="I7579" s="241">
        <v>0.0216216216216216</v>
      </c>
      <c r="J7579" s="241">
        <v>0.00574712643678161</v>
      </c>
      <c r="K7579" s="241">
        <v>0.0187793427230047</v>
      </c>
      <c r="L7579" s="241">
        <v>0.0170454545454545</v>
      </c>
      <c r="M7579" s="241">
        <v>0.00657894736842105</v>
      </c>
      <c r="N7579" s="241">
        <v>0.0178571428571429</v>
      </c>
      <c r="O7579" s="252">
        <v>0.0113636363636364</v>
      </c>
    </row>
    <row r="7580" spans="1:15">
      <c r="A7580" s="242" t="s">
        <v>26</v>
      </c>
      <c r="B7580" s="43" t="s">
        <v>6</v>
      </c>
      <c r="C7580" s="15">
        <v>16</v>
      </c>
      <c r="D7580" s="244">
        <v>3</v>
      </c>
      <c r="E7580" s="244">
        <v>1</v>
      </c>
      <c r="F7580" s="244">
        <v>0</v>
      </c>
      <c r="G7580" s="244">
        <v>0</v>
      </c>
      <c r="H7580" s="244">
        <v>0</v>
      </c>
      <c r="I7580" s="244">
        <v>2</v>
      </c>
      <c r="J7580" s="244">
        <v>0</v>
      </c>
      <c r="K7580" s="244">
        <v>2</v>
      </c>
      <c r="L7580" s="244">
        <v>2</v>
      </c>
      <c r="M7580" s="244">
        <v>2</v>
      </c>
      <c r="N7580" s="244">
        <v>3</v>
      </c>
      <c r="O7580" s="254">
        <v>1</v>
      </c>
    </row>
    <row r="7581" ht="14.25" spans="1:15">
      <c r="A7581" s="245" t="s">
        <v>26</v>
      </c>
      <c r="B7581" s="52" t="s">
        <v>64</v>
      </c>
      <c r="C7581" s="19">
        <v>0.592592592592593</v>
      </c>
      <c r="D7581" s="19">
        <v>0.428571428571429</v>
      </c>
      <c r="E7581" s="19" t="e">
        <v>#DIV/0!</v>
      </c>
      <c r="F7581" s="19" t="e">
        <v>#DIV/0!</v>
      </c>
      <c r="G7581" s="19" t="e">
        <v>#DIV/0!</v>
      </c>
      <c r="H7581" s="19">
        <v>0</v>
      </c>
      <c r="I7581" s="19">
        <v>0.5</v>
      </c>
      <c r="J7581" s="19">
        <v>0</v>
      </c>
      <c r="K7581" s="19">
        <v>0.5</v>
      </c>
      <c r="L7581" s="19">
        <v>0.666666666666667</v>
      </c>
      <c r="M7581" s="19">
        <v>2</v>
      </c>
      <c r="N7581" s="19">
        <v>1</v>
      </c>
      <c r="O7581" s="19">
        <v>0.5</v>
      </c>
    </row>
    <row r="7582" spans="1:15">
      <c r="A7582" s="240" t="s">
        <v>71</v>
      </c>
      <c r="B7582" s="47" t="s">
        <v>55</v>
      </c>
      <c r="C7582" s="12">
        <v>0.0895669291338583</v>
      </c>
      <c r="D7582" s="241">
        <v>0.07</v>
      </c>
      <c r="E7582" s="241">
        <v>0.0757575757575758</v>
      </c>
      <c r="F7582" s="241">
        <v>0.142857142857143</v>
      </c>
      <c r="G7582" s="241">
        <v>0.037037037037037</v>
      </c>
      <c r="H7582" s="241">
        <v>0.138888888888889</v>
      </c>
      <c r="I7582" s="241">
        <v>0.358974358974359</v>
      </c>
      <c r="J7582" s="241">
        <v>0.0357142857142857</v>
      </c>
      <c r="K7582" s="241">
        <v>0.046875</v>
      </c>
      <c r="L7582" s="241">
        <v>0.0555555555555556</v>
      </c>
      <c r="M7582" s="241">
        <v>0.0686274509803922</v>
      </c>
      <c r="N7582" s="241">
        <v>0.0760869565217391</v>
      </c>
      <c r="O7582" s="252">
        <v>0.0573770491803279</v>
      </c>
    </row>
    <row r="7583" spans="1:15">
      <c r="A7583" s="242" t="s">
        <v>71</v>
      </c>
      <c r="B7583" s="43" t="s">
        <v>57</v>
      </c>
      <c r="C7583" s="309">
        <v>508</v>
      </c>
      <c r="D7583" s="243">
        <v>50</v>
      </c>
      <c r="E7583" s="243">
        <v>33</v>
      </c>
      <c r="F7583" s="243">
        <v>14</v>
      </c>
      <c r="G7583" s="243">
        <v>27</v>
      </c>
      <c r="H7583" s="243">
        <v>36</v>
      </c>
      <c r="I7583" s="243">
        <v>39</v>
      </c>
      <c r="J7583" s="243">
        <v>42</v>
      </c>
      <c r="K7583" s="243">
        <v>64</v>
      </c>
      <c r="L7583" s="243">
        <v>45</v>
      </c>
      <c r="M7583" s="243">
        <v>51</v>
      </c>
      <c r="N7583" s="243">
        <v>46</v>
      </c>
      <c r="O7583" s="253">
        <v>61</v>
      </c>
    </row>
    <row r="7584" spans="1:15">
      <c r="A7584" s="240" t="s">
        <v>71</v>
      </c>
      <c r="B7584" s="47" t="s">
        <v>59</v>
      </c>
      <c r="C7584" s="309">
        <v>45.5</v>
      </c>
      <c r="D7584" s="243">
        <v>3.5</v>
      </c>
      <c r="E7584" s="243">
        <v>2.5</v>
      </c>
      <c r="F7584" s="243">
        <v>2</v>
      </c>
      <c r="G7584" s="243">
        <v>1</v>
      </c>
      <c r="H7584" s="243">
        <v>5</v>
      </c>
      <c r="I7584" s="243">
        <v>14</v>
      </c>
      <c r="J7584" s="243">
        <v>1.5</v>
      </c>
      <c r="K7584" s="243">
        <v>3</v>
      </c>
      <c r="L7584" s="243">
        <v>2.5</v>
      </c>
      <c r="M7584" s="243">
        <v>3.5</v>
      </c>
      <c r="N7584" s="243">
        <v>3.5</v>
      </c>
      <c r="O7584" s="253">
        <v>3.5</v>
      </c>
    </row>
    <row r="7585" spans="1:15">
      <c r="A7585" s="242" t="s">
        <v>71</v>
      </c>
      <c r="B7585" s="43" t="s">
        <v>4</v>
      </c>
      <c r="C7585" s="15">
        <v>18</v>
      </c>
      <c r="D7585" s="244">
        <v>2</v>
      </c>
      <c r="E7585" s="244">
        <v>0</v>
      </c>
      <c r="F7585" s="244">
        <v>1</v>
      </c>
      <c r="G7585" s="244">
        <v>0</v>
      </c>
      <c r="H7585" s="244">
        <v>2</v>
      </c>
      <c r="I7585" s="244">
        <v>2</v>
      </c>
      <c r="J7585" s="244">
        <v>0</v>
      </c>
      <c r="K7585" s="244">
        <v>3</v>
      </c>
      <c r="L7585" s="244">
        <v>0</v>
      </c>
      <c r="M7585" s="244">
        <v>3</v>
      </c>
      <c r="N7585" s="244">
        <v>4</v>
      </c>
      <c r="O7585" s="254">
        <v>1</v>
      </c>
    </row>
    <row r="7586" spans="1:15">
      <c r="A7586" s="240" t="s">
        <v>71</v>
      </c>
      <c r="B7586" s="47" t="s">
        <v>5</v>
      </c>
      <c r="C7586" s="241">
        <v>0.395604395604396</v>
      </c>
      <c r="D7586" s="241">
        <v>0.571428571428571</v>
      </c>
      <c r="E7586" s="241">
        <v>0</v>
      </c>
      <c r="F7586" s="241">
        <v>0.5</v>
      </c>
      <c r="G7586" s="241">
        <v>0</v>
      </c>
      <c r="H7586" s="241">
        <v>0.4</v>
      </c>
      <c r="I7586" s="241">
        <v>0.142857142857143</v>
      </c>
      <c r="J7586" s="241">
        <v>0</v>
      </c>
      <c r="K7586" s="241">
        <v>1</v>
      </c>
      <c r="L7586" s="241">
        <v>0</v>
      </c>
      <c r="M7586" s="241">
        <v>0.857142857142857</v>
      </c>
      <c r="N7586" s="241">
        <v>1.14285714285714</v>
      </c>
      <c r="O7586" s="252">
        <v>0.285714285714286</v>
      </c>
    </row>
    <row r="7587" spans="1:15">
      <c r="A7587" s="242" t="s">
        <v>71</v>
      </c>
      <c r="B7587" s="43" t="s">
        <v>6</v>
      </c>
      <c r="C7587" s="15">
        <v>5</v>
      </c>
      <c r="D7587" s="244">
        <v>0</v>
      </c>
      <c r="E7587" s="244">
        <v>0</v>
      </c>
      <c r="F7587" s="244">
        <v>0</v>
      </c>
      <c r="G7587" s="244">
        <v>0</v>
      </c>
      <c r="H7587" s="244">
        <v>1</v>
      </c>
      <c r="I7587" s="244">
        <v>0</v>
      </c>
      <c r="J7587" s="244">
        <v>0</v>
      </c>
      <c r="K7587" s="244">
        <v>0</v>
      </c>
      <c r="L7587" s="244">
        <v>0</v>
      </c>
      <c r="M7587" s="244">
        <v>2</v>
      </c>
      <c r="N7587" s="244">
        <v>2</v>
      </c>
      <c r="O7587" s="254">
        <v>0</v>
      </c>
    </row>
    <row r="7588" ht="14.25" spans="1:15">
      <c r="A7588" s="245" t="s">
        <v>71</v>
      </c>
      <c r="B7588" s="52" t="s">
        <v>64</v>
      </c>
      <c r="C7588" s="19">
        <v>0.277777777777778</v>
      </c>
      <c r="D7588" s="19">
        <v>0</v>
      </c>
      <c r="E7588" s="19" t="e">
        <v>#DIV/0!</v>
      </c>
      <c r="F7588" s="19">
        <v>0</v>
      </c>
      <c r="G7588" s="19" t="e">
        <v>#DIV/0!</v>
      </c>
      <c r="H7588" s="19">
        <v>0.5</v>
      </c>
      <c r="I7588" s="19">
        <v>0</v>
      </c>
      <c r="J7588" s="19" t="e">
        <v>#DIV/0!</v>
      </c>
      <c r="K7588" s="19">
        <v>0</v>
      </c>
      <c r="L7588" s="19" t="e">
        <v>#DIV/0!</v>
      </c>
      <c r="M7588" s="19">
        <v>0.666666666666667</v>
      </c>
      <c r="N7588" s="19">
        <v>0.5</v>
      </c>
      <c r="O7588" s="19">
        <v>0</v>
      </c>
    </row>
    <row r="7589" spans="1:15">
      <c r="A7589" s="240" t="s">
        <v>72</v>
      </c>
      <c r="B7589" s="47" t="s">
        <v>55</v>
      </c>
      <c r="C7589" s="12">
        <v>0.0592650683396818</v>
      </c>
      <c r="D7589" s="241">
        <v>0.0631868131868132</v>
      </c>
      <c r="E7589" s="241">
        <v>0.0791139240506329</v>
      </c>
      <c r="F7589" s="241">
        <v>0.111111111111111</v>
      </c>
      <c r="G7589" s="241">
        <v>0.0585480093676815</v>
      </c>
      <c r="H7589" s="241">
        <v>0.0613409415121255</v>
      </c>
      <c r="I7589" s="241">
        <v>0.0632008154943935</v>
      </c>
      <c r="J7589" s="241">
        <v>0.048314606741573</v>
      </c>
      <c r="K7589" s="241">
        <v>0.0598555211558308</v>
      </c>
      <c r="L7589" s="241">
        <v>0.0509049773755656</v>
      </c>
      <c r="M7589" s="241">
        <v>0.0614035087719298</v>
      </c>
      <c r="N7589" s="241">
        <v>0.0609625668449198</v>
      </c>
      <c r="O7589" s="252">
        <v>0.0420353982300885</v>
      </c>
    </row>
    <row r="7590" spans="1:15">
      <c r="A7590" s="242" t="s">
        <v>72</v>
      </c>
      <c r="B7590" s="43" t="s">
        <v>57</v>
      </c>
      <c r="C7590" s="15">
        <v>8926</v>
      </c>
      <c r="D7590" s="243">
        <v>728</v>
      </c>
      <c r="E7590" s="243">
        <v>316</v>
      </c>
      <c r="F7590" s="243">
        <v>279</v>
      </c>
      <c r="G7590" s="243">
        <v>427</v>
      </c>
      <c r="H7590" s="243">
        <v>701</v>
      </c>
      <c r="I7590" s="243">
        <v>981</v>
      </c>
      <c r="J7590" s="243">
        <v>890</v>
      </c>
      <c r="K7590" s="243">
        <v>969</v>
      </c>
      <c r="L7590" s="243">
        <v>884</v>
      </c>
      <c r="M7590" s="243">
        <v>912</v>
      </c>
      <c r="N7590" s="243">
        <v>935</v>
      </c>
      <c r="O7590" s="253">
        <v>904</v>
      </c>
    </row>
    <row r="7591" spans="1:15">
      <c r="A7591" s="240" t="s">
        <v>72</v>
      </c>
      <c r="B7591" s="47" t="s">
        <v>59</v>
      </c>
      <c r="C7591" s="15">
        <v>529</v>
      </c>
      <c r="D7591" s="243">
        <v>46</v>
      </c>
      <c r="E7591" s="243">
        <v>25</v>
      </c>
      <c r="F7591" s="243">
        <v>31</v>
      </c>
      <c r="G7591" s="243">
        <v>25</v>
      </c>
      <c r="H7591" s="243">
        <v>43</v>
      </c>
      <c r="I7591" s="243">
        <v>62</v>
      </c>
      <c r="J7591" s="243">
        <v>43</v>
      </c>
      <c r="K7591" s="243">
        <v>58</v>
      </c>
      <c r="L7591" s="243">
        <v>45</v>
      </c>
      <c r="M7591" s="243">
        <v>56</v>
      </c>
      <c r="N7591" s="243">
        <v>57</v>
      </c>
      <c r="O7591" s="253">
        <v>38</v>
      </c>
    </row>
    <row r="7592" spans="1:15">
      <c r="A7592" s="242" t="s">
        <v>72</v>
      </c>
      <c r="B7592" s="43" t="s">
        <v>4</v>
      </c>
      <c r="C7592" s="15">
        <v>7</v>
      </c>
      <c r="D7592" s="244">
        <v>2</v>
      </c>
      <c r="E7592" s="244">
        <v>0</v>
      </c>
      <c r="F7592" s="244">
        <v>0</v>
      </c>
      <c r="G7592" s="244">
        <v>0</v>
      </c>
      <c r="H7592" s="244">
        <v>0</v>
      </c>
      <c r="I7592" s="244">
        <v>0</v>
      </c>
      <c r="J7592" s="244">
        <v>0</v>
      </c>
      <c r="K7592" s="244">
        <v>1</v>
      </c>
      <c r="L7592" s="244">
        <v>3</v>
      </c>
      <c r="M7592" s="244">
        <v>0</v>
      </c>
      <c r="N7592" s="244">
        <v>1</v>
      </c>
      <c r="O7592" s="254">
        <v>0</v>
      </c>
    </row>
    <row r="7593" spans="1:15">
      <c r="A7593" s="240" t="s">
        <v>72</v>
      </c>
      <c r="B7593" s="47" t="s">
        <v>5</v>
      </c>
      <c r="C7593" s="12">
        <v>0.0132325141776938</v>
      </c>
      <c r="D7593" s="241">
        <v>0.0434782608695652</v>
      </c>
      <c r="E7593" s="241">
        <v>0</v>
      </c>
      <c r="F7593" s="241">
        <v>0</v>
      </c>
      <c r="G7593" s="241">
        <v>0</v>
      </c>
      <c r="H7593" s="241">
        <v>0</v>
      </c>
      <c r="I7593" s="241">
        <v>0</v>
      </c>
      <c r="J7593" s="241">
        <v>0</v>
      </c>
      <c r="K7593" s="241">
        <v>0.0172413793103448</v>
      </c>
      <c r="L7593" s="241">
        <v>0.0666666666666667</v>
      </c>
      <c r="M7593" s="241">
        <v>0</v>
      </c>
      <c r="N7593" s="241">
        <v>0.0175438596491228</v>
      </c>
      <c r="O7593" s="252">
        <v>0</v>
      </c>
    </row>
    <row r="7594" spans="1:15">
      <c r="A7594" s="242" t="s">
        <v>72</v>
      </c>
      <c r="B7594" s="43" t="s">
        <v>6</v>
      </c>
      <c r="C7594" s="15">
        <v>5</v>
      </c>
      <c r="D7594" s="244">
        <v>0</v>
      </c>
      <c r="E7594" s="244">
        <v>0</v>
      </c>
      <c r="F7594" s="244">
        <v>0</v>
      </c>
      <c r="G7594" s="244">
        <v>0</v>
      </c>
      <c r="H7594" s="244">
        <v>0</v>
      </c>
      <c r="I7594" s="244">
        <v>1</v>
      </c>
      <c r="J7594" s="244">
        <v>0</v>
      </c>
      <c r="K7594" s="244">
        <v>0</v>
      </c>
      <c r="L7594" s="244">
        <v>3</v>
      </c>
      <c r="M7594" s="244">
        <v>0</v>
      </c>
      <c r="N7594" s="244">
        <v>0</v>
      </c>
      <c r="O7594" s="254">
        <v>1</v>
      </c>
    </row>
    <row r="7595" ht="14.25" spans="1:15">
      <c r="A7595" s="245" t="s">
        <v>72</v>
      </c>
      <c r="B7595" s="52" t="s">
        <v>64</v>
      </c>
      <c r="C7595" s="19">
        <v>0.714285714285714</v>
      </c>
      <c r="D7595" s="19">
        <v>0</v>
      </c>
      <c r="E7595" s="19" t="e">
        <v>#DIV/0!</v>
      </c>
      <c r="F7595" s="19" t="e">
        <v>#DIV/0!</v>
      </c>
      <c r="G7595" s="19" t="e">
        <v>#DIV/0!</v>
      </c>
      <c r="H7595" s="19" t="e">
        <v>#DIV/0!</v>
      </c>
      <c r="I7595" s="19" t="e">
        <v>#DIV/0!</v>
      </c>
      <c r="J7595" s="19" t="e">
        <v>#DIV/0!</v>
      </c>
      <c r="K7595" s="19">
        <v>0</v>
      </c>
      <c r="L7595" s="19">
        <v>1</v>
      </c>
      <c r="M7595" s="19" t="e">
        <v>#DIV/0!</v>
      </c>
      <c r="N7595" s="19">
        <v>0</v>
      </c>
      <c r="O7595" s="19" t="e">
        <v>#DIV/0!</v>
      </c>
    </row>
    <row r="7596" ht="14.25" spans="1:15">
      <c r="A7596" s="237">
        <v>45136</v>
      </c>
      <c r="B7596" s="237"/>
      <c r="C7596" s="237"/>
      <c r="D7596" s="237"/>
      <c r="E7596" s="237"/>
      <c r="F7596" s="237"/>
      <c r="G7596" s="237"/>
      <c r="H7596" s="237"/>
      <c r="I7596" s="237"/>
      <c r="J7596" s="237"/>
      <c r="K7596" s="237"/>
      <c r="L7596" s="237"/>
      <c r="M7596" s="237"/>
      <c r="N7596" s="237"/>
      <c r="O7596" s="237"/>
    </row>
    <row r="7597" spans="1:15">
      <c r="A7597" s="56" t="s">
        <v>1</v>
      </c>
      <c r="B7597" s="238"/>
      <c r="C7597" s="8" t="s">
        <v>42</v>
      </c>
      <c r="D7597" s="239" t="s">
        <v>43</v>
      </c>
      <c r="E7597" s="239" t="s">
        <v>44</v>
      </c>
      <c r="F7597" s="239" t="s">
        <v>45</v>
      </c>
      <c r="G7597" s="239" t="s">
        <v>46</v>
      </c>
      <c r="H7597" s="239" t="s">
        <v>47</v>
      </c>
      <c r="I7597" s="239" t="s">
        <v>48</v>
      </c>
      <c r="J7597" s="239" t="s">
        <v>49</v>
      </c>
      <c r="K7597" s="239" t="s">
        <v>50</v>
      </c>
      <c r="L7597" s="239" t="s">
        <v>51</v>
      </c>
      <c r="M7597" s="239" t="s">
        <v>52</v>
      </c>
      <c r="N7597" s="239" t="s">
        <v>53</v>
      </c>
      <c r="O7597" s="251" t="s">
        <v>54</v>
      </c>
    </row>
    <row r="7598" spans="1:15">
      <c r="A7598" s="240" t="s">
        <v>22</v>
      </c>
      <c r="B7598" s="47" t="s">
        <v>55</v>
      </c>
      <c r="C7598" s="12">
        <v>0.523168908819133</v>
      </c>
      <c r="D7598" s="241">
        <v>0.5625</v>
      </c>
      <c r="E7598" s="241">
        <v>0.639344262295082</v>
      </c>
      <c r="F7598" s="241">
        <v>0.596774193548387</v>
      </c>
      <c r="G7598" s="241">
        <v>0.74</v>
      </c>
      <c r="H7598" s="241">
        <v>0.628205128205128</v>
      </c>
      <c r="I7598" s="241">
        <v>0.579365079365079</v>
      </c>
      <c r="J7598" s="241">
        <v>0.513761467889908</v>
      </c>
      <c r="K7598" s="241">
        <v>0.445205479452055</v>
      </c>
      <c r="L7598" s="241">
        <v>0.522388059701492</v>
      </c>
      <c r="M7598" s="241">
        <v>0.474137931034483</v>
      </c>
      <c r="N7598" s="241">
        <v>0.41025641025641</v>
      </c>
      <c r="O7598" s="252">
        <v>0.482558139534884</v>
      </c>
    </row>
    <row r="7599" spans="1:15">
      <c r="A7599" s="242" t="s">
        <v>22</v>
      </c>
      <c r="B7599" s="43" t="s">
        <v>57</v>
      </c>
      <c r="C7599" s="15">
        <v>1338</v>
      </c>
      <c r="D7599" s="243">
        <v>128</v>
      </c>
      <c r="E7599" s="243">
        <v>61</v>
      </c>
      <c r="F7599" s="243">
        <v>62</v>
      </c>
      <c r="G7599" s="243">
        <v>50</v>
      </c>
      <c r="H7599" s="243">
        <v>78</v>
      </c>
      <c r="I7599" s="243">
        <v>126</v>
      </c>
      <c r="J7599" s="243">
        <v>109</v>
      </c>
      <c r="K7599" s="243">
        <v>146</v>
      </c>
      <c r="L7599" s="243">
        <v>134</v>
      </c>
      <c r="M7599" s="243">
        <v>116</v>
      </c>
      <c r="N7599" s="243">
        <v>156</v>
      </c>
      <c r="O7599" s="253">
        <v>172</v>
      </c>
    </row>
    <row r="7600" spans="1:15">
      <c r="A7600" s="240" t="s">
        <v>22</v>
      </c>
      <c r="B7600" s="47" t="s">
        <v>59</v>
      </c>
      <c r="C7600" s="15">
        <v>700</v>
      </c>
      <c r="D7600" s="243">
        <v>72</v>
      </c>
      <c r="E7600" s="243">
        <v>39</v>
      </c>
      <c r="F7600" s="243">
        <v>37</v>
      </c>
      <c r="G7600" s="243">
        <v>37</v>
      </c>
      <c r="H7600" s="243">
        <v>49</v>
      </c>
      <c r="I7600" s="243">
        <v>73</v>
      </c>
      <c r="J7600" s="243">
        <v>56</v>
      </c>
      <c r="K7600" s="243">
        <v>65</v>
      </c>
      <c r="L7600" s="243">
        <v>70</v>
      </c>
      <c r="M7600" s="243">
        <v>55</v>
      </c>
      <c r="N7600" s="243">
        <v>64</v>
      </c>
      <c r="O7600" s="253">
        <v>83</v>
      </c>
    </row>
    <row r="7601" spans="1:15">
      <c r="A7601" s="242" t="s">
        <v>22</v>
      </c>
      <c r="B7601" s="43" t="s">
        <v>4</v>
      </c>
      <c r="C7601" s="15">
        <v>33</v>
      </c>
      <c r="D7601" s="244">
        <v>6</v>
      </c>
      <c r="E7601" s="244">
        <v>1</v>
      </c>
      <c r="F7601" s="244">
        <v>3</v>
      </c>
      <c r="G7601" s="244">
        <v>1</v>
      </c>
      <c r="H7601" s="244">
        <v>0</v>
      </c>
      <c r="I7601" s="244">
        <v>3</v>
      </c>
      <c r="J7601" s="244">
        <v>2</v>
      </c>
      <c r="K7601" s="244">
        <v>3</v>
      </c>
      <c r="L7601" s="244">
        <v>2</v>
      </c>
      <c r="M7601" s="244">
        <v>4</v>
      </c>
      <c r="N7601" s="244">
        <v>4</v>
      </c>
      <c r="O7601" s="254">
        <v>4</v>
      </c>
    </row>
    <row r="7602" spans="1:15">
      <c r="A7602" s="240" t="s">
        <v>22</v>
      </c>
      <c r="B7602" s="47" t="s">
        <v>5</v>
      </c>
      <c r="C7602" s="12">
        <v>0.0471428571428571</v>
      </c>
      <c r="D7602" s="241">
        <v>0.0833333333333333</v>
      </c>
      <c r="E7602" s="241">
        <v>0.0256410256410256</v>
      </c>
      <c r="F7602" s="241">
        <v>0.0810810810810811</v>
      </c>
      <c r="G7602" s="241">
        <v>0.027027027027027</v>
      </c>
      <c r="H7602" s="241">
        <v>0</v>
      </c>
      <c r="I7602" s="241">
        <v>0.0410958904109589</v>
      </c>
      <c r="J7602" s="241">
        <v>0.0357142857142857</v>
      </c>
      <c r="K7602" s="241">
        <v>0.0461538461538462</v>
      </c>
      <c r="L7602" s="241">
        <v>0.0285714285714286</v>
      </c>
      <c r="M7602" s="241">
        <v>0.0727272727272727</v>
      </c>
      <c r="N7602" s="241">
        <v>0.0625</v>
      </c>
      <c r="O7602" s="252">
        <v>0.0481927710843374</v>
      </c>
    </row>
    <row r="7603" spans="1:15">
      <c r="A7603" s="242" t="s">
        <v>22</v>
      </c>
      <c r="B7603" s="43" t="s">
        <v>6</v>
      </c>
      <c r="C7603" s="15">
        <v>17</v>
      </c>
      <c r="D7603" s="244">
        <v>2</v>
      </c>
      <c r="E7603" s="244">
        <v>0</v>
      </c>
      <c r="F7603" s="244">
        <v>2</v>
      </c>
      <c r="G7603" s="244">
        <v>0</v>
      </c>
      <c r="H7603" s="244">
        <v>0</v>
      </c>
      <c r="I7603" s="244">
        <v>2</v>
      </c>
      <c r="J7603" s="244">
        <v>1</v>
      </c>
      <c r="K7603" s="244">
        <v>2</v>
      </c>
      <c r="L7603" s="244">
        <v>1</v>
      </c>
      <c r="M7603" s="244">
        <v>3</v>
      </c>
      <c r="N7603" s="244">
        <v>3</v>
      </c>
      <c r="O7603" s="254">
        <v>1</v>
      </c>
    </row>
    <row r="7604" ht="14.25" spans="1:15">
      <c r="A7604" s="245" t="s">
        <v>22</v>
      </c>
      <c r="B7604" s="52" t="s">
        <v>64</v>
      </c>
      <c r="C7604" s="19">
        <v>0.515151515151515</v>
      </c>
      <c r="D7604" s="246">
        <v>0.333333333333333</v>
      </c>
      <c r="E7604" s="246">
        <v>0</v>
      </c>
      <c r="F7604" s="246">
        <v>0.666666666666667</v>
      </c>
      <c r="G7604" s="246">
        <v>0</v>
      </c>
      <c r="H7604" s="246">
        <v>0</v>
      </c>
      <c r="I7604" s="246">
        <v>0.666666666666667</v>
      </c>
      <c r="J7604" s="246">
        <v>0.5</v>
      </c>
      <c r="K7604" s="246">
        <v>0.666666666666667</v>
      </c>
      <c r="L7604" s="246">
        <v>0.5</v>
      </c>
      <c r="M7604" s="246">
        <v>0.75</v>
      </c>
      <c r="N7604" s="246">
        <v>0.75</v>
      </c>
      <c r="O7604" s="255">
        <v>0.25</v>
      </c>
    </row>
    <row r="7605" spans="1:15">
      <c r="A7605" s="247" t="s">
        <v>66</v>
      </c>
      <c r="B7605" s="248" t="s">
        <v>55</v>
      </c>
      <c r="C7605" s="12">
        <v>0.0784485272674249</v>
      </c>
      <c r="D7605" s="249">
        <v>0.0827586206896552</v>
      </c>
      <c r="E7605" s="249">
        <v>0.07</v>
      </c>
      <c r="F7605" s="249">
        <v>0.107784431137725</v>
      </c>
      <c r="G7605" s="249">
        <v>0.0849673202614379</v>
      </c>
      <c r="H7605" s="249">
        <v>0.0697674418604651</v>
      </c>
      <c r="I7605" s="249">
        <v>0.123674911660777</v>
      </c>
      <c r="J7605" s="249">
        <v>0.0906432748538012</v>
      </c>
      <c r="K7605" s="249">
        <v>0.0767045454545455</v>
      </c>
      <c r="L7605" s="249">
        <v>0.0736196319018405</v>
      </c>
      <c r="M7605" s="249">
        <v>0.0503597122302158</v>
      </c>
      <c r="N7605" s="249">
        <v>0.0630372492836676</v>
      </c>
      <c r="O7605" s="256">
        <v>0.0670103092783505</v>
      </c>
    </row>
    <row r="7606" spans="1:15">
      <c r="A7606" s="242" t="s">
        <v>66</v>
      </c>
      <c r="B7606" s="43" t="s">
        <v>57</v>
      </c>
      <c r="C7606" s="15">
        <v>3429</v>
      </c>
      <c r="D7606" s="243">
        <v>290</v>
      </c>
      <c r="E7606" s="243">
        <v>200</v>
      </c>
      <c r="F7606" s="243">
        <v>167</v>
      </c>
      <c r="G7606" s="243">
        <v>153</v>
      </c>
      <c r="H7606" s="243">
        <v>301</v>
      </c>
      <c r="I7606" s="243">
        <v>283</v>
      </c>
      <c r="J7606" s="243">
        <v>342</v>
      </c>
      <c r="K7606" s="243">
        <v>352</v>
      </c>
      <c r="L7606" s="243">
        <v>326</v>
      </c>
      <c r="M7606" s="243">
        <v>278</v>
      </c>
      <c r="N7606" s="243">
        <v>349</v>
      </c>
      <c r="O7606" s="253">
        <v>388</v>
      </c>
    </row>
    <row r="7607" spans="1:15">
      <c r="A7607" s="240" t="s">
        <v>66</v>
      </c>
      <c r="B7607" s="47" t="s">
        <v>59</v>
      </c>
      <c r="C7607" s="15">
        <v>269</v>
      </c>
      <c r="D7607" s="243">
        <v>24</v>
      </c>
      <c r="E7607" s="243">
        <v>14</v>
      </c>
      <c r="F7607" s="243">
        <v>18</v>
      </c>
      <c r="G7607" s="243">
        <v>13</v>
      </c>
      <c r="H7607" s="243">
        <v>21</v>
      </c>
      <c r="I7607" s="243">
        <v>35</v>
      </c>
      <c r="J7607" s="243">
        <v>31</v>
      </c>
      <c r="K7607" s="243">
        <v>27</v>
      </c>
      <c r="L7607" s="243">
        <v>24</v>
      </c>
      <c r="M7607" s="243">
        <v>14</v>
      </c>
      <c r="N7607" s="243">
        <v>22</v>
      </c>
      <c r="O7607" s="253">
        <v>26</v>
      </c>
    </row>
    <row r="7608" spans="1:15">
      <c r="A7608" s="242" t="s">
        <v>66</v>
      </c>
      <c r="B7608" s="43" t="s">
        <v>4</v>
      </c>
      <c r="C7608" s="15">
        <v>7</v>
      </c>
      <c r="D7608" s="244">
        <v>1</v>
      </c>
      <c r="E7608" s="244">
        <v>0</v>
      </c>
      <c r="F7608" s="244">
        <v>2</v>
      </c>
      <c r="G7608" s="244">
        <v>0</v>
      </c>
      <c r="H7608" s="244">
        <v>0</v>
      </c>
      <c r="I7608" s="244">
        <v>0</v>
      </c>
      <c r="J7608" s="244">
        <v>1</v>
      </c>
      <c r="K7608" s="244">
        <v>0</v>
      </c>
      <c r="L7608" s="244">
        <v>0</v>
      </c>
      <c r="M7608" s="244">
        <v>1</v>
      </c>
      <c r="N7608" s="244">
        <v>1</v>
      </c>
      <c r="O7608" s="254">
        <v>1</v>
      </c>
    </row>
    <row r="7609" spans="1:15">
      <c r="A7609" s="240" t="s">
        <v>66</v>
      </c>
      <c r="B7609" s="47" t="s">
        <v>5</v>
      </c>
      <c r="C7609" s="12">
        <v>0.0260223048327138</v>
      </c>
      <c r="D7609" s="241">
        <v>0.0416666666666667</v>
      </c>
      <c r="E7609" s="241">
        <v>0</v>
      </c>
      <c r="F7609" s="241">
        <v>0.111111111111111</v>
      </c>
      <c r="G7609" s="241">
        <v>0</v>
      </c>
      <c r="H7609" s="241">
        <v>0</v>
      </c>
      <c r="I7609" s="241">
        <v>0</v>
      </c>
      <c r="J7609" s="241">
        <v>0.032258064516129</v>
      </c>
      <c r="K7609" s="241">
        <v>0</v>
      </c>
      <c r="L7609" s="241">
        <v>0</v>
      </c>
      <c r="M7609" s="241">
        <v>0.0714285714285714</v>
      </c>
      <c r="N7609" s="241">
        <v>0.0454545454545455</v>
      </c>
      <c r="O7609" s="252">
        <v>0.0384615384615385</v>
      </c>
    </row>
    <row r="7610" spans="1:15">
      <c r="A7610" s="242" t="s">
        <v>66</v>
      </c>
      <c r="B7610" s="43" t="s">
        <v>6</v>
      </c>
      <c r="C7610" s="15">
        <v>1</v>
      </c>
      <c r="D7610" s="244">
        <v>0</v>
      </c>
      <c r="E7610" s="244">
        <v>0</v>
      </c>
      <c r="F7610" s="244">
        <v>0</v>
      </c>
      <c r="G7610" s="244">
        <v>0</v>
      </c>
      <c r="H7610" s="244">
        <v>0</v>
      </c>
      <c r="I7610" s="244">
        <v>0</v>
      </c>
      <c r="J7610" s="244">
        <v>1</v>
      </c>
      <c r="K7610" s="244">
        <v>0</v>
      </c>
      <c r="L7610" s="244">
        <v>0</v>
      </c>
      <c r="M7610" s="244">
        <v>0</v>
      </c>
      <c r="N7610" s="244">
        <v>0</v>
      </c>
      <c r="O7610" s="254">
        <v>0</v>
      </c>
    </row>
    <row r="7611" ht="14.25" spans="1:15">
      <c r="A7611" s="245" t="s">
        <v>66</v>
      </c>
      <c r="B7611" s="52" t="s">
        <v>64</v>
      </c>
      <c r="C7611" s="19">
        <v>0.142857142857143</v>
      </c>
      <c r="D7611" s="246">
        <v>0</v>
      </c>
      <c r="E7611" s="246">
        <v>0</v>
      </c>
      <c r="F7611" s="246">
        <v>0</v>
      </c>
      <c r="G7611" s="246">
        <v>0</v>
      </c>
      <c r="H7611" s="246">
        <v>0</v>
      </c>
      <c r="I7611" s="246">
        <v>0</v>
      </c>
      <c r="J7611" s="246">
        <v>1</v>
      </c>
      <c r="K7611" s="246">
        <v>0</v>
      </c>
      <c r="L7611" s="246">
        <v>0</v>
      </c>
      <c r="M7611" s="246">
        <v>0</v>
      </c>
      <c r="N7611" s="246">
        <v>0</v>
      </c>
      <c r="O7611" s="255">
        <v>0</v>
      </c>
    </row>
    <row r="7612" spans="1:15">
      <c r="A7612" s="240" t="s">
        <v>67</v>
      </c>
      <c r="B7612" s="47" t="s">
        <v>55</v>
      </c>
      <c r="C7612" s="12">
        <v>0.532311062431544</v>
      </c>
      <c r="D7612" s="241">
        <v>0.506172839506173</v>
      </c>
      <c r="E7612" s="241">
        <v>0.436363636363636</v>
      </c>
      <c r="F7612" s="241">
        <v>0.44</v>
      </c>
      <c r="G7612" s="241">
        <v>0.767441860465116</v>
      </c>
      <c r="H7612" s="241">
        <v>0.705882352941177</v>
      </c>
      <c r="I7612" s="241">
        <v>0.670886075949367</v>
      </c>
      <c r="J7612" s="241">
        <v>0.534090909090909</v>
      </c>
      <c r="K7612" s="241">
        <v>0.536363636363636</v>
      </c>
      <c r="L7612" s="241">
        <v>0.537634408602151</v>
      </c>
      <c r="M7612" s="241">
        <v>0.540229885057471</v>
      </c>
      <c r="N7612" s="241">
        <v>0.445544554455446</v>
      </c>
      <c r="O7612" s="252">
        <v>0.4</v>
      </c>
    </row>
    <row r="7613" spans="1:15">
      <c r="A7613" s="242" t="s">
        <v>67</v>
      </c>
      <c r="B7613" s="43" t="s">
        <v>57</v>
      </c>
      <c r="C7613" s="15">
        <v>913</v>
      </c>
      <c r="D7613" s="243">
        <v>81</v>
      </c>
      <c r="E7613" s="243">
        <v>55</v>
      </c>
      <c r="F7613" s="243">
        <v>25</v>
      </c>
      <c r="G7613" s="243">
        <v>43</v>
      </c>
      <c r="H7613" s="243">
        <v>51</v>
      </c>
      <c r="I7613" s="243">
        <v>79</v>
      </c>
      <c r="J7613" s="243">
        <v>88</v>
      </c>
      <c r="K7613" s="243">
        <v>110</v>
      </c>
      <c r="L7613" s="243">
        <v>93</v>
      </c>
      <c r="M7613" s="243">
        <v>87</v>
      </c>
      <c r="N7613" s="243">
        <v>101</v>
      </c>
      <c r="O7613" s="253">
        <v>100</v>
      </c>
    </row>
    <row r="7614" spans="1:15">
      <c r="A7614" s="240" t="s">
        <v>67</v>
      </c>
      <c r="B7614" s="47" t="s">
        <v>59</v>
      </c>
      <c r="C7614" s="15">
        <v>486</v>
      </c>
      <c r="D7614" s="243">
        <v>41</v>
      </c>
      <c r="E7614" s="243">
        <v>24</v>
      </c>
      <c r="F7614" s="243">
        <v>11</v>
      </c>
      <c r="G7614" s="243">
        <v>33</v>
      </c>
      <c r="H7614" s="243">
        <v>36</v>
      </c>
      <c r="I7614" s="243">
        <v>53</v>
      </c>
      <c r="J7614" s="243">
        <v>47</v>
      </c>
      <c r="K7614" s="243">
        <v>59</v>
      </c>
      <c r="L7614" s="243">
        <v>50</v>
      </c>
      <c r="M7614" s="243">
        <v>47</v>
      </c>
      <c r="N7614" s="243">
        <v>45</v>
      </c>
      <c r="O7614" s="253">
        <v>40</v>
      </c>
    </row>
    <row r="7615" spans="1:15">
      <c r="A7615" s="242" t="s">
        <v>67</v>
      </c>
      <c r="B7615" s="43" t="s">
        <v>4</v>
      </c>
      <c r="C7615" s="15">
        <v>9</v>
      </c>
      <c r="D7615" s="244">
        <v>1</v>
      </c>
      <c r="E7615" s="244">
        <v>1</v>
      </c>
      <c r="F7615" s="244">
        <v>0</v>
      </c>
      <c r="G7615" s="244">
        <v>0</v>
      </c>
      <c r="H7615" s="244">
        <v>1</v>
      </c>
      <c r="I7615" s="244">
        <v>1</v>
      </c>
      <c r="J7615" s="244">
        <v>1</v>
      </c>
      <c r="K7615" s="244">
        <v>1</v>
      </c>
      <c r="L7615" s="244">
        <v>0</v>
      </c>
      <c r="M7615" s="244">
        <v>2</v>
      </c>
      <c r="N7615" s="244">
        <v>0</v>
      </c>
      <c r="O7615" s="254">
        <v>1</v>
      </c>
    </row>
    <row r="7616" spans="1:15">
      <c r="A7616" s="240" t="s">
        <v>67</v>
      </c>
      <c r="B7616" s="47" t="s">
        <v>5</v>
      </c>
      <c r="C7616" s="12">
        <v>0.0185185185185185</v>
      </c>
      <c r="D7616" s="241">
        <v>0.024390243902439</v>
      </c>
      <c r="E7616" s="241">
        <v>0.0416666666666667</v>
      </c>
      <c r="F7616" s="241">
        <v>0</v>
      </c>
      <c r="G7616" s="241">
        <v>0</v>
      </c>
      <c r="H7616" s="241">
        <v>0.0277777777777778</v>
      </c>
      <c r="I7616" s="241">
        <v>0.0188679245283019</v>
      </c>
      <c r="J7616" s="241">
        <v>0.0212765957446809</v>
      </c>
      <c r="K7616" s="241">
        <v>0.0169491525423729</v>
      </c>
      <c r="L7616" s="241">
        <v>0</v>
      </c>
      <c r="M7616" s="241">
        <v>0.0425531914893617</v>
      </c>
      <c r="N7616" s="241">
        <v>0</v>
      </c>
      <c r="O7616" s="252">
        <v>0.025</v>
      </c>
    </row>
    <row r="7617" spans="1:15">
      <c r="A7617" s="242" t="s">
        <v>67</v>
      </c>
      <c r="B7617" s="43" t="s">
        <v>6</v>
      </c>
      <c r="C7617" s="15">
        <v>6</v>
      </c>
      <c r="D7617" s="244">
        <v>1</v>
      </c>
      <c r="E7617" s="244">
        <v>0</v>
      </c>
      <c r="F7617" s="244">
        <v>0</v>
      </c>
      <c r="G7617" s="244">
        <v>0</v>
      </c>
      <c r="H7617" s="244">
        <v>2</v>
      </c>
      <c r="I7617" s="244">
        <v>0</v>
      </c>
      <c r="J7617" s="244">
        <v>1</v>
      </c>
      <c r="K7617" s="244">
        <v>1</v>
      </c>
      <c r="L7617" s="244">
        <v>0</v>
      </c>
      <c r="M7617" s="244">
        <v>1</v>
      </c>
      <c r="N7617" s="244">
        <v>0</v>
      </c>
      <c r="O7617" s="254">
        <v>0</v>
      </c>
    </row>
    <row r="7618" ht="14.25" spans="1:15">
      <c r="A7618" s="245" t="s">
        <v>67</v>
      </c>
      <c r="B7618" s="52" t="s">
        <v>64</v>
      </c>
      <c r="C7618" s="19">
        <v>0.666666666666667</v>
      </c>
      <c r="D7618" s="246">
        <v>1</v>
      </c>
      <c r="E7618" s="246">
        <v>0</v>
      </c>
      <c r="F7618" s="246">
        <v>0</v>
      </c>
      <c r="G7618" s="246">
        <v>0</v>
      </c>
      <c r="H7618" s="246">
        <v>2</v>
      </c>
      <c r="I7618" s="246">
        <v>0</v>
      </c>
      <c r="J7618" s="246">
        <v>1</v>
      </c>
      <c r="K7618" s="246">
        <v>1</v>
      </c>
      <c r="L7618" s="246">
        <v>0</v>
      </c>
      <c r="M7618" s="246">
        <v>0.5</v>
      </c>
      <c r="N7618" s="246">
        <v>0</v>
      </c>
      <c r="O7618" s="255">
        <v>0</v>
      </c>
    </row>
    <row r="7619" spans="1:15">
      <c r="A7619" s="240" t="s">
        <v>68</v>
      </c>
      <c r="B7619" s="47" t="s">
        <v>55</v>
      </c>
      <c r="C7619" s="12">
        <v>0.0587021488544187</v>
      </c>
      <c r="D7619" s="241">
        <v>0.0606811145510836</v>
      </c>
      <c r="E7619" s="241">
        <v>0.0364298724954463</v>
      </c>
      <c r="F7619" s="241">
        <v>0.0406593406593407</v>
      </c>
      <c r="G7619" s="241">
        <v>0.0505287896592244</v>
      </c>
      <c r="H7619" s="241">
        <v>0.0567729083665339</v>
      </c>
      <c r="I7619" s="241">
        <v>0.078167115902965</v>
      </c>
      <c r="J7619" s="241">
        <v>0.0583554376657825</v>
      </c>
      <c r="K7619" s="241">
        <v>0.0701612903225806</v>
      </c>
      <c r="L7619" s="241">
        <v>0.0607225211375865</v>
      </c>
      <c r="M7619" s="241">
        <v>0.0445151033386327</v>
      </c>
      <c r="N7619" s="241">
        <v>0.0732127476313523</v>
      </c>
      <c r="O7619" s="252">
        <v>0.065597667638484</v>
      </c>
    </row>
    <row r="7620" spans="1:15">
      <c r="A7620" s="242" t="s">
        <v>68</v>
      </c>
      <c r="B7620" s="43" t="s">
        <v>57</v>
      </c>
      <c r="C7620" s="15">
        <v>14054</v>
      </c>
      <c r="D7620" s="243">
        <v>1615</v>
      </c>
      <c r="E7620" s="243">
        <v>1098</v>
      </c>
      <c r="F7620" s="243">
        <v>910</v>
      </c>
      <c r="G7620" s="243">
        <v>851</v>
      </c>
      <c r="H7620" s="243">
        <v>1004</v>
      </c>
      <c r="I7620" s="243">
        <v>1113</v>
      </c>
      <c r="J7620" s="243">
        <v>1131</v>
      </c>
      <c r="K7620" s="243">
        <v>1240</v>
      </c>
      <c r="L7620" s="243">
        <v>1301</v>
      </c>
      <c r="M7620" s="243">
        <v>1258</v>
      </c>
      <c r="N7620" s="243">
        <v>1161</v>
      </c>
      <c r="O7620" s="253">
        <v>1372</v>
      </c>
    </row>
    <row r="7621" spans="1:15">
      <c r="A7621" s="240" t="s">
        <v>68</v>
      </c>
      <c r="B7621" s="47" t="s">
        <v>59</v>
      </c>
      <c r="C7621" s="15">
        <v>825</v>
      </c>
      <c r="D7621" s="243">
        <v>98</v>
      </c>
      <c r="E7621" s="243">
        <v>40</v>
      </c>
      <c r="F7621" s="243">
        <v>37</v>
      </c>
      <c r="G7621" s="243">
        <v>43</v>
      </c>
      <c r="H7621" s="243">
        <v>57</v>
      </c>
      <c r="I7621" s="243">
        <v>87</v>
      </c>
      <c r="J7621" s="243">
        <v>66</v>
      </c>
      <c r="K7621" s="243">
        <v>87</v>
      </c>
      <c r="L7621" s="243">
        <v>79</v>
      </c>
      <c r="M7621" s="243">
        <v>56</v>
      </c>
      <c r="N7621" s="243">
        <v>85</v>
      </c>
      <c r="O7621" s="253">
        <v>90</v>
      </c>
    </row>
    <row r="7622" spans="1:15">
      <c r="A7622" s="242" t="s">
        <v>68</v>
      </c>
      <c r="B7622" s="43" t="s">
        <v>4</v>
      </c>
      <c r="C7622" s="15">
        <v>49</v>
      </c>
      <c r="D7622" s="244">
        <v>6</v>
      </c>
      <c r="E7622" s="244">
        <v>3</v>
      </c>
      <c r="F7622" s="244">
        <v>4</v>
      </c>
      <c r="G7622" s="244">
        <v>3</v>
      </c>
      <c r="H7622" s="244">
        <v>2</v>
      </c>
      <c r="I7622" s="244">
        <v>6</v>
      </c>
      <c r="J7622" s="244">
        <v>4</v>
      </c>
      <c r="K7622" s="244">
        <v>5</v>
      </c>
      <c r="L7622" s="244">
        <v>3</v>
      </c>
      <c r="M7622" s="244">
        <v>4</v>
      </c>
      <c r="N7622" s="244">
        <v>3</v>
      </c>
      <c r="O7622" s="254">
        <v>6</v>
      </c>
    </row>
    <row r="7623" spans="1:15">
      <c r="A7623" s="240" t="s">
        <v>68</v>
      </c>
      <c r="B7623" s="47" t="s">
        <v>5</v>
      </c>
      <c r="C7623" s="12">
        <v>0.0593939393939394</v>
      </c>
      <c r="D7623" s="241">
        <v>0.0612244897959184</v>
      </c>
      <c r="E7623" s="241">
        <v>0.075</v>
      </c>
      <c r="F7623" s="241">
        <v>0.108108108108108</v>
      </c>
      <c r="G7623" s="241">
        <v>0.0697674418604651</v>
      </c>
      <c r="H7623" s="241">
        <v>0.0350877192982456</v>
      </c>
      <c r="I7623" s="241">
        <v>0.0689655172413793</v>
      </c>
      <c r="J7623" s="241">
        <v>0.0606060606060606</v>
      </c>
      <c r="K7623" s="241">
        <v>0.0574712643678161</v>
      </c>
      <c r="L7623" s="241">
        <v>0.0379746835443038</v>
      </c>
      <c r="M7623" s="241">
        <v>0.0714285714285714</v>
      </c>
      <c r="N7623" s="241">
        <v>0.0352941176470588</v>
      </c>
      <c r="O7623" s="252">
        <v>0.0666666666666667</v>
      </c>
    </row>
    <row r="7624" spans="1:15">
      <c r="A7624" s="242" t="s">
        <v>68</v>
      </c>
      <c r="B7624" s="43" t="s">
        <v>6</v>
      </c>
      <c r="C7624" s="15">
        <v>22</v>
      </c>
      <c r="D7624" s="244">
        <v>3</v>
      </c>
      <c r="E7624" s="244">
        <v>2</v>
      </c>
      <c r="F7624" s="244">
        <v>0</v>
      </c>
      <c r="G7624" s="244">
        <v>1</v>
      </c>
      <c r="H7624" s="244">
        <v>4</v>
      </c>
      <c r="I7624" s="244">
        <v>1</v>
      </c>
      <c r="J7624" s="244">
        <v>3</v>
      </c>
      <c r="K7624" s="244">
        <v>1</v>
      </c>
      <c r="L7624" s="244">
        <v>2</v>
      </c>
      <c r="M7624" s="244">
        <v>2</v>
      </c>
      <c r="N7624" s="244">
        <v>2</v>
      </c>
      <c r="O7624" s="254">
        <v>1</v>
      </c>
    </row>
    <row r="7625" ht="14.25" spans="1:15">
      <c r="A7625" s="245" t="s">
        <v>68</v>
      </c>
      <c r="B7625" s="52" t="s">
        <v>64</v>
      </c>
      <c r="C7625" s="19">
        <v>0.448979591836735</v>
      </c>
      <c r="D7625" s="246">
        <v>0.5</v>
      </c>
      <c r="E7625" s="246">
        <v>0.666666666666667</v>
      </c>
      <c r="F7625" s="246">
        <v>0</v>
      </c>
      <c r="G7625" s="246">
        <v>0.333333333333333</v>
      </c>
      <c r="H7625" s="246">
        <v>2</v>
      </c>
      <c r="I7625" s="246">
        <v>0.166666666666667</v>
      </c>
      <c r="J7625" s="246">
        <v>0.75</v>
      </c>
      <c r="K7625" s="246">
        <v>0.2</v>
      </c>
      <c r="L7625" s="246">
        <v>0.666666666666667</v>
      </c>
      <c r="M7625" s="246">
        <v>0.5</v>
      </c>
      <c r="N7625" s="246">
        <v>0.666666666666667</v>
      </c>
      <c r="O7625" s="255">
        <v>0.166666666666667</v>
      </c>
    </row>
    <row r="7626" spans="1:15">
      <c r="A7626" s="240" t="s">
        <v>69</v>
      </c>
      <c r="B7626" s="47" t="s">
        <v>55</v>
      </c>
      <c r="C7626" s="12">
        <v>0.8</v>
      </c>
      <c r="D7626" s="241">
        <v>0</v>
      </c>
      <c r="E7626" s="241">
        <v>0</v>
      </c>
      <c r="F7626" s="241">
        <v>0</v>
      </c>
      <c r="G7626" s="241">
        <v>0</v>
      </c>
      <c r="H7626" s="241">
        <v>0</v>
      </c>
      <c r="I7626" s="241">
        <v>1.25</v>
      </c>
      <c r="J7626" s="241">
        <v>0.869565217391304</v>
      </c>
      <c r="K7626" s="241">
        <v>1</v>
      </c>
      <c r="L7626" s="241">
        <v>1.34782608695652</v>
      </c>
      <c r="M7626" s="241">
        <v>1.02857142857143</v>
      </c>
      <c r="N7626" s="241">
        <v>0.914285714285714</v>
      </c>
      <c r="O7626" s="252">
        <v>1.06666666666667</v>
      </c>
    </row>
    <row r="7627" spans="1:15">
      <c r="A7627" s="242" t="s">
        <v>69</v>
      </c>
      <c r="B7627" s="43" t="s">
        <v>57</v>
      </c>
      <c r="C7627" s="15">
        <v>255</v>
      </c>
      <c r="D7627" s="243">
        <v>19</v>
      </c>
      <c r="E7627" s="243">
        <v>10</v>
      </c>
      <c r="F7627" s="243">
        <v>11</v>
      </c>
      <c r="G7627" s="243">
        <v>8</v>
      </c>
      <c r="H7627" s="243">
        <v>13</v>
      </c>
      <c r="I7627" s="243">
        <v>20</v>
      </c>
      <c r="J7627" s="243">
        <v>23</v>
      </c>
      <c r="K7627" s="243">
        <v>28</v>
      </c>
      <c r="L7627" s="243">
        <v>23</v>
      </c>
      <c r="M7627" s="243">
        <v>35</v>
      </c>
      <c r="N7627" s="243">
        <v>35</v>
      </c>
      <c r="O7627" s="253">
        <v>30</v>
      </c>
    </row>
    <row r="7628" spans="1:15">
      <c r="A7628" s="240" t="s">
        <v>69</v>
      </c>
      <c r="B7628" s="47" t="s">
        <v>59</v>
      </c>
      <c r="C7628" s="15">
        <v>204</v>
      </c>
      <c r="D7628" s="243">
        <v>0</v>
      </c>
      <c r="E7628" s="243">
        <v>0</v>
      </c>
      <c r="F7628" s="243">
        <v>0</v>
      </c>
      <c r="G7628" s="243">
        <v>0</v>
      </c>
      <c r="H7628" s="243">
        <v>0</v>
      </c>
      <c r="I7628" s="243">
        <v>25</v>
      </c>
      <c r="J7628" s="243">
        <v>20</v>
      </c>
      <c r="K7628" s="243">
        <v>28</v>
      </c>
      <c r="L7628" s="243">
        <v>31</v>
      </c>
      <c r="M7628" s="243">
        <v>36</v>
      </c>
      <c r="N7628" s="243">
        <v>32</v>
      </c>
      <c r="O7628" s="253">
        <v>32</v>
      </c>
    </row>
    <row r="7629" spans="1:15">
      <c r="A7629" s="242" t="s">
        <v>69</v>
      </c>
      <c r="B7629" s="43" t="s">
        <v>4</v>
      </c>
      <c r="C7629" s="15">
        <v>3</v>
      </c>
      <c r="D7629" s="244">
        <v>0</v>
      </c>
      <c r="E7629" s="244">
        <v>1</v>
      </c>
      <c r="F7629" s="244">
        <v>0</v>
      </c>
      <c r="G7629" s="244">
        <v>0</v>
      </c>
      <c r="H7629" s="244">
        <v>0</v>
      </c>
      <c r="I7629" s="244">
        <v>0</v>
      </c>
      <c r="J7629" s="244">
        <v>0</v>
      </c>
      <c r="K7629" s="244">
        <v>1</v>
      </c>
      <c r="L7629" s="244">
        <v>1</v>
      </c>
      <c r="M7629" s="244">
        <v>0</v>
      </c>
      <c r="N7629" s="244">
        <v>0</v>
      </c>
      <c r="O7629" s="254">
        <v>0</v>
      </c>
    </row>
    <row r="7630" spans="1:15">
      <c r="A7630" s="240" t="s">
        <v>69</v>
      </c>
      <c r="B7630" s="47" t="s">
        <v>5</v>
      </c>
      <c r="C7630" s="12">
        <v>0.0147058823529412</v>
      </c>
      <c r="D7630" s="241">
        <v>0</v>
      </c>
      <c r="E7630" s="241">
        <v>0</v>
      </c>
      <c r="F7630" s="241">
        <v>0</v>
      </c>
      <c r="G7630" s="241">
        <v>0</v>
      </c>
      <c r="H7630" s="241">
        <v>0</v>
      </c>
      <c r="I7630" s="241">
        <v>0</v>
      </c>
      <c r="J7630" s="241">
        <v>0</v>
      </c>
      <c r="K7630" s="241">
        <v>0.0357142857142857</v>
      </c>
      <c r="L7630" s="241">
        <v>0.032258064516129</v>
      </c>
      <c r="M7630" s="241">
        <v>0</v>
      </c>
      <c r="N7630" s="241">
        <v>0</v>
      </c>
      <c r="O7630" s="252">
        <v>0</v>
      </c>
    </row>
    <row r="7631" spans="1:15">
      <c r="A7631" s="242" t="s">
        <v>69</v>
      </c>
      <c r="B7631" s="43" t="s">
        <v>6</v>
      </c>
      <c r="C7631" s="15">
        <v>4</v>
      </c>
      <c r="D7631" s="244">
        <v>0</v>
      </c>
      <c r="E7631" s="244">
        <v>1</v>
      </c>
      <c r="F7631" s="244">
        <v>0</v>
      </c>
      <c r="G7631" s="244">
        <v>0</v>
      </c>
      <c r="H7631" s="244">
        <v>0</v>
      </c>
      <c r="I7631" s="244">
        <v>0</v>
      </c>
      <c r="J7631" s="244">
        <v>1</v>
      </c>
      <c r="K7631" s="244">
        <v>2</v>
      </c>
      <c r="L7631" s="244">
        <v>0</v>
      </c>
      <c r="M7631" s="244">
        <v>0</v>
      </c>
      <c r="N7631" s="244">
        <v>0</v>
      </c>
      <c r="O7631" s="254">
        <v>0</v>
      </c>
    </row>
    <row r="7632" ht="14.25" spans="1:15">
      <c r="A7632" s="245" t="s">
        <v>69</v>
      </c>
      <c r="B7632" s="52" t="s">
        <v>64</v>
      </c>
      <c r="C7632" s="19">
        <v>1.33333333333333</v>
      </c>
      <c r="D7632" s="246">
        <v>0</v>
      </c>
      <c r="E7632" s="246">
        <v>1</v>
      </c>
      <c r="F7632" s="246">
        <v>0</v>
      </c>
      <c r="G7632" s="246">
        <v>0</v>
      </c>
      <c r="H7632" s="246">
        <v>0</v>
      </c>
      <c r="I7632" s="246">
        <v>0</v>
      </c>
      <c r="J7632" s="246">
        <v>0</v>
      </c>
      <c r="K7632" s="246">
        <v>2</v>
      </c>
      <c r="L7632" s="246">
        <v>0</v>
      </c>
      <c r="M7632" s="246">
        <v>0</v>
      </c>
      <c r="N7632" s="246">
        <v>0</v>
      </c>
      <c r="O7632" s="255">
        <v>0</v>
      </c>
    </row>
    <row r="7633" spans="1:15">
      <c r="A7633" s="240" t="s">
        <v>70</v>
      </c>
      <c r="B7633" s="47" t="s">
        <v>55</v>
      </c>
      <c r="C7633" s="12">
        <v>0.675438596491228</v>
      </c>
      <c r="D7633" s="241">
        <v>0.956521739130435</v>
      </c>
      <c r="E7633" s="241">
        <v>0.9</v>
      </c>
      <c r="F7633" s="241">
        <v>0.72</v>
      </c>
      <c r="G7633" s="241">
        <v>0.405405405405405</v>
      </c>
      <c r="H7633" s="241">
        <v>0.8</v>
      </c>
      <c r="I7633" s="241">
        <v>0.689655172413793</v>
      </c>
      <c r="J7633" s="241">
        <v>0.626168224299065</v>
      </c>
      <c r="K7633" s="241">
        <v>0.578616352201258</v>
      </c>
      <c r="L7633" s="241">
        <v>0.6</v>
      </c>
      <c r="M7633" s="241">
        <v>0.596638655462185</v>
      </c>
      <c r="N7633" s="241">
        <v>0.611510791366906</v>
      </c>
      <c r="O7633" s="252">
        <v>0.859649122807018</v>
      </c>
    </row>
    <row r="7634" spans="1:15">
      <c r="A7634" s="242" t="s">
        <v>70</v>
      </c>
      <c r="B7634" s="43" t="s">
        <v>57</v>
      </c>
      <c r="C7634" s="15">
        <v>1140</v>
      </c>
      <c r="D7634" s="243">
        <v>69</v>
      </c>
      <c r="E7634" s="243">
        <v>40</v>
      </c>
      <c r="F7634" s="243">
        <v>25</v>
      </c>
      <c r="G7634" s="243">
        <v>37</v>
      </c>
      <c r="H7634" s="243">
        <v>65</v>
      </c>
      <c r="I7634" s="243">
        <v>116</v>
      </c>
      <c r="J7634" s="243">
        <v>107</v>
      </c>
      <c r="K7634" s="243">
        <v>159</v>
      </c>
      <c r="L7634" s="243">
        <v>150</v>
      </c>
      <c r="M7634" s="243">
        <v>119</v>
      </c>
      <c r="N7634" s="243">
        <v>139</v>
      </c>
      <c r="O7634" s="253">
        <v>114</v>
      </c>
    </row>
    <row r="7635" spans="1:15">
      <c r="A7635" s="240" t="s">
        <v>70</v>
      </c>
      <c r="B7635" s="47" t="s">
        <v>59</v>
      </c>
      <c r="C7635" s="15">
        <v>770</v>
      </c>
      <c r="D7635" s="243">
        <v>66</v>
      </c>
      <c r="E7635" s="243">
        <v>36</v>
      </c>
      <c r="F7635" s="243">
        <v>18</v>
      </c>
      <c r="G7635" s="243">
        <v>15</v>
      </c>
      <c r="H7635" s="243">
        <v>52</v>
      </c>
      <c r="I7635" s="243">
        <v>80</v>
      </c>
      <c r="J7635" s="243">
        <v>67</v>
      </c>
      <c r="K7635" s="243">
        <v>92</v>
      </c>
      <c r="L7635" s="243">
        <v>90</v>
      </c>
      <c r="M7635" s="243">
        <v>71</v>
      </c>
      <c r="N7635" s="243">
        <v>85</v>
      </c>
      <c r="O7635" s="253">
        <v>98</v>
      </c>
    </row>
    <row r="7636" spans="1:15">
      <c r="A7636" s="242" t="s">
        <v>70</v>
      </c>
      <c r="B7636" s="43" t="s">
        <v>4</v>
      </c>
      <c r="C7636" s="15">
        <v>26</v>
      </c>
      <c r="D7636" s="244">
        <v>1</v>
      </c>
      <c r="E7636" s="244">
        <v>1</v>
      </c>
      <c r="F7636" s="244">
        <v>2</v>
      </c>
      <c r="G7636" s="244">
        <v>1</v>
      </c>
      <c r="H7636" s="244">
        <v>0</v>
      </c>
      <c r="I7636" s="244">
        <v>2</v>
      </c>
      <c r="J7636" s="244">
        <v>3</v>
      </c>
      <c r="K7636" s="244">
        <v>1</v>
      </c>
      <c r="L7636" s="244">
        <v>6</v>
      </c>
      <c r="M7636" s="244">
        <v>2</v>
      </c>
      <c r="N7636" s="244">
        <v>4</v>
      </c>
      <c r="O7636" s="254">
        <v>3</v>
      </c>
    </row>
    <row r="7637" spans="1:15">
      <c r="A7637" s="240" t="s">
        <v>70</v>
      </c>
      <c r="B7637" s="47" t="s">
        <v>5</v>
      </c>
      <c r="C7637" s="12">
        <v>0.0337662337662338</v>
      </c>
      <c r="D7637" s="241">
        <v>0.0151515151515152</v>
      </c>
      <c r="E7637" s="241">
        <v>0.0277777777777778</v>
      </c>
      <c r="F7637" s="241">
        <v>0.111111111111111</v>
      </c>
      <c r="G7637" s="241">
        <v>0.0666666666666667</v>
      </c>
      <c r="H7637" s="241">
        <v>0</v>
      </c>
      <c r="I7637" s="241">
        <v>0.025</v>
      </c>
      <c r="J7637" s="241">
        <v>0.0447761194029851</v>
      </c>
      <c r="K7637" s="241">
        <v>0.0108695652173913</v>
      </c>
      <c r="L7637" s="241">
        <v>0.0666666666666667</v>
      </c>
      <c r="M7637" s="241">
        <v>0.028169014084507</v>
      </c>
      <c r="N7637" s="241">
        <v>0.0470588235294118</v>
      </c>
      <c r="O7637" s="252">
        <v>0.0306122448979592</v>
      </c>
    </row>
    <row r="7638" spans="1:15">
      <c r="A7638" s="242" t="s">
        <v>70</v>
      </c>
      <c r="B7638" s="43" t="s">
        <v>6</v>
      </c>
      <c r="C7638" s="15">
        <v>5</v>
      </c>
      <c r="D7638" s="244">
        <v>1</v>
      </c>
      <c r="E7638" s="244">
        <v>1</v>
      </c>
      <c r="F7638" s="244">
        <v>0</v>
      </c>
      <c r="G7638" s="244">
        <v>0</v>
      </c>
      <c r="H7638" s="244">
        <v>0</v>
      </c>
      <c r="I7638" s="244">
        <v>0</v>
      </c>
      <c r="J7638" s="244">
        <v>1</v>
      </c>
      <c r="K7638" s="244">
        <v>0</v>
      </c>
      <c r="L7638" s="244">
        <v>0</v>
      </c>
      <c r="M7638" s="244">
        <v>1</v>
      </c>
      <c r="N7638" s="244">
        <v>1</v>
      </c>
      <c r="O7638" s="254">
        <v>0</v>
      </c>
    </row>
    <row r="7639" ht="14.25" spans="1:15">
      <c r="A7639" s="245" t="s">
        <v>70</v>
      </c>
      <c r="B7639" s="52" t="s">
        <v>64</v>
      </c>
      <c r="C7639" s="19">
        <v>0.192307692307692</v>
      </c>
      <c r="D7639" s="246">
        <v>1</v>
      </c>
      <c r="E7639" s="246">
        <v>1</v>
      </c>
      <c r="F7639" s="246">
        <v>0</v>
      </c>
      <c r="G7639" s="246">
        <v>0</v>
      </c>
      <c r="H7639" s="246">
        <v>0</v>
      </c>
      <c r="I7639" s="246">
        <v>0</v>
      </c>
      <c r="J7639" s="246">
        <v>0.333333333333333</v>
      </c>
      <c r="K7639" s="246">
        <v>0</v>
      </c>
      <c r="L7639" s="246">
        <v>0</v>
      </c>
      <c r="M7639" s="246">
        <v>0.5</v>
      </c>
      <c r="N7639" s="246">
        <v>0.25</v>
      </c>
      <c r="O7639" s="255">
        <v>0</v>
      </c>
    </row>
    <row r="7640" spans="1:15">
      <c r="A7640" s="240" t="s">
        <v>26</v>
      </c>
      <c r="B7640" s="47" t="s">
        <v>55</v>
      </c>
      <c r="C7640" s="12">
        <v>0.980382293762575</v>
      </c>
      <c r="D7640" s="241">
        <v>1.08333333333333</v>
      </c>
      <c r="E7640" s="241">
        <v>0.978494623655914</v>
      </c>
      <c r="F7640" s="241">
        <v>0.864583333333333</v>
      </c>
      <c r="G7640" s="241">
        <v>1.19718309859155</v>
      </c>
      <c r="H7640" s="241">
        <v>1.05128205128205</v>
      </c>
      <c r="I7640" s="241">
        <v>0.868995633187773</v>
      </c>
      <c r="J7640" s="241">
        <v>1.02380952380952</v>
      </c>
      <c r="K7640" s="241">
        <v>1.09302325581395</v>
      </c>
      <c r="L7640" s="241">
        <v>0.871559633027523</v>
      </c>
      <c r="M7640" s="241">
        <v>0.885321100917431</v>
      </c>
      <c r="N7640" s="241">
        <v>1.06635071090047</v>
      </c>
      <c r="O7640" s="252">
        <v>0.96652719665272</v>
      </c>
    </row>
    <row r="7641" spans="1:15">
      <c r="A7641" s="242" t="s">
        <v>26</v>
      </c>
      <c r="B7641" s="43" t="s">
        <v>57</v>
      </c>
      <c r="C7641" s="15">
        <v>1988</v>
      </c>
      <c r="D7641" s="243">
        <v>156</v>
      </c>
      <c r="E7641" s="243">
        <v>93</v>
      </c>
      <c r="F7641" s="243">
        <v>96</v>
      </c>
      <c r="G7641" s="243">
        <v>71</v>
      </c>
      <c r="H7641" s="243">
        <v>117</v>
      </c>
      <c r="I7641" s="243">
        <v>229</v>
      </c>
      <c r="J7641" s="243">
        <v>168</v>
      </c>
      <c r="K7641" s="243">
        <v>172</v>
      </c>
      <c r="L7641" s="243">
        <v>218</v>
      </c>
      <c r="M7641" s="243">
        <v>218</v>
      </c>
      <c r="N7641" s="243">
        <v>211</v>
      </c>
      <c r="O7641" s="253">
        <v>239</v>
      </c>
    </row>
    <row r="7642" spans="1:15">
      <c r="A7642" s="240" t="s">
        <v>26</v>
      </c>
      <c r="B7642" s="47" t="s">
        <v>59</v>
      </c>
      <c r="C7642" s="15">
        <v>1949</v>
      </c>
      <c r="D7642" s="243">
        <v>169</v>
      </c>
      <c r="E7642" s="243">
        <v>91</v>
      </c>
      <c r="F7642" s="243">
        <v>83</v>
      </c>
      <c r="G7642" s="243">
        <v>85</v>
      </c>
      <c r="H7642" s="243">
        <v>123</v>
      </c>
      <c r="I7642" s="243">
        <v>199</v>
      </c>
      <c r="J7642" s="243">
        <v>172</v>
      </c>
      <c r="K7642" s="243">
        <v>188</v>
      </c>
      <c r="L7642" s="243">
        <v>190</v>
      </c>
      <c r="M7642" s="243">
        <v>193</v>
      </c>
      <c r="N7642" s="243">
        <v>225</v>
      </c>
      <c r="O7642" s="253">
        <v>231</v>
      </c>
    </row>
    <row r="7643" spans="1:15">
      <c r="A7643" s="242" t="s">
        <v>26</v>
      </c>
      <c r="B7643" s="43" t="s">
        <v>4</v>
      </c>
      <c r="C7643" s="15">
        <v>36</v>
      </c>
      <c r="D7643" s="244">
        <v>1</v>
      </c>
      <c r="E7643" s="244">
        <v>3</v>
      </c>
      <c r="F7643" s="244">
        <v>3</v>
      </c>
      <c r="G7643" s="244">
        <v>2</v>
      </c>
      <c r="H7643" s="244">
        <v>2</v>
      </c>
      <c r="I7643" s="244">
        <v>5</v>
      </c>
      <c r="J7643" s="244">
        <v>0</v>
      </c>
      <c r="K7643" s="244">
        <v>4</v>
      </c>
      <c r="L7643" s="244">
        <v>2</v>
      </c>
      <c r="M7643" s="244">
        <v>2</v>
      </c>
      <c r="N7643" s="244">
        <v>2</v>
      </c>
      <c r="O7643" s="254">
        <v>10</v>
      </c>
    </row>
    <row r="7644" spans="1:15">
      <c r="A7644" s="240" t="s">
        <v>26</v>
      </c>
      <c r="B7644" s="47" t="s">
        <v>5</v>
      </c>
      <c r="C7644" s="12">
        <v>0.0184710107747563</v>
      </c>
      <c r="D7644" s="241">
        <v>0.00591715976331361</v>
      </c>
      <c r="E7644" s="241">
        <v>0.032967032967033</v>
      </c>
      <c r="F7644" s="241">
        <v>0.036144578313253</v>
      </c>
      <c r="G7644" s="241">
        <v>0.0235294117647059</v>
      </c>
      <c r="H7644" s="241">
        <v>0.016260162601626</v>
      </c>
      <c r="I7644" s="241">
        <v>0.0251256281407035</v>
      </c>
      <c r="J7644" s="241">
        <v>0</v>
      </c>
      <c r="K7644" s="241">
        <v>0.0212765957446809</v>
      </c>
      <c r="L7644" s="241">
        <v>0.0105263157894737</v>
      </c>
      <c r="M7644" s="241">
        <v>0.0103626943005181</v>
      </c>
      <c r="N7644" s="241">
        <v>0.00888888888888889</v>
      </c>
      <c r="O7644" s="252">
        <v>0.0432900432900433</v>
      </c>
    </row>
    <row r="7645" spans="1:15">
      <c r="A7645" s="242" t="s">
        <v>26</v>
      </c>
      <c r="B7645" s="43" t="s">
        <v>6</v>
      </c>
      <c r="C7645" s="15">
        <v>7</v>
      </c>
      <c r="D7645" s="244">
        <v>0</v>
      </c>
      <c r="E7645" s="244">
        <v>1</v>
      </c>
      <c r="F7645" s="244">
        <v>1</v>
      </c>
      <c r="G7645" s="244">
        <v>0</v>
      </c>
      <c r="H7645" s="244">
        <v>0</v>
      </c>
      <c r="I7645" s="244">
        <v>1</v>
      </c>
      <c r="J7645" s="244">
        <v>1</v>
      </c>
      <c r="K7645" s="244">
        <v>0</v>
      </c>
      <c r="L7645" s="244">
        <v>1</v>
      </c>
      <c r="M7645" s="244">
        <v>1</v>
      </c>
      <c r="N7645" s="244">
        <v>0</v>
      </c>
      <c r="O7645" s="254">
        <v>1</v>
      </c>
    </row>
    <row r="7646" ht="14.25" spans="1:15">
      <c r="A7646" s="245" t="s">
        <v>26</v>
      </c>
      <c r="B7646" s="52" t="s">
        <v>64</v>
      </c>
      <c r="C7646" s="19">
        <v>0.194444444444444</v>
      </c>
      <c r="D7646" s="19">
        <v>0</v>
      </c>
      <c r="E7646" s="19">
        <v>0.333333333333333</v>
      </c>
      <c r="F7646" s="19">
        <v>0.333333333333333</v>
      </c>
      <c r="G7646" s="19">
        <v>0</v>
      </c>
      <c r="H7646" s="19">
        <v>0</v>
      </c>
      <c r="I7646" s="19">
        <v>0.2</v>
      </c>
      <c r="J7646" s="19" t="e">
        <v>#DIV/0!</v>
      </c>
      <c r="K7646" s="19">
        <v>0</v>
      </c>
      <c r="L7646" s="19">
        <v>0.5</v>
      </c>
      <c r="M7646" s="19">
        <v>0.5</v>
      </c>
      <c r="N7646" s="19">
        <v>0</v>
      </c>
      <c r="O7646" s="19">
        <v>0.1</v>
      </c>
    </row>
    <row r="7647" spans="1:15">
      <c r="A7647" s="240" t="s">
        <v>71</v>
      </c>
      <c r="B7647" s="47" t="s">
        <v>55</v>
      </c>
      <c r="C7647" s="12">
        <v>0.164948453608247</v>
      </c>
      <c r="D7647" s="241">
        <v>0.219512195121951</v>
      </c>
      <c r="E7647" s="241">
        <v>0.4</v>
      </c>
      <c r="F7647" s="241">
        <v>0.153846153846154</v>
      </c>
      <c r="G7647" s="241">
        <v>0.0769230769230769</v>
      </c>
      <c r="H7647" s="241">
        <v>0.214285714285714</v>
      </c>
      <c r="I7647" s="241">
        <v>0.157894736842105</v>
      </c>
      <c r="J7647" s="241">
        <v>0.103448275862069</v>
      </c>
      <c r="K7647" s="241">
        <v>0.0731707317073171</v>
      </c>
      <c r="L7647" s="241">
        <v>0.0277777777777778</v>
      </c>
      <c r="M7647" s="241">
        <v>0.290322580645161</v>
      </c>
      <c r="N7647" s="241">
        <v>0.142857142857143</v>
      </c>
      <c r="O7647" s="252">
        <v>0.178571428571429</v>
      </c>
    </row>
    <row r="7648" spans="1:15">
      <c r="A7648" s="242" t="s">
        <v>71</v>
      </c>
      <c r="B7648" s="43" t="s">
        <v>57</v>
      </c>
      <c r="C7648" s="15">
        <v>388</v>
      </c>
      <c r="D7648" s="243">
        <v>41</v>
      </c>
      <c r="E7648" s="243">
        <v>20</v>
      </c>
      <c r="F7648" s="243">
        <v>13</v>
      </c>
      <c r="G7648" s="243">
        <v>13</v>
      </c>
      <c r="H7648" s="243">
        <v>28</v>
      </c>
      <c r="I7648" s="243">
        <v>38</v>
      </c>
      <c r="J7648" s="243">
        <v>29</v>
      </c>
      <c r="K7648" s="243">
        <v>41</v>
      </c>
      <c r="L7648" s="243">
        <v>36</v>
      </c>
      <c r="M7648" s="243">
        <v>31</v>
      </c>
      <c r="N7648" s="243">
        <v>42</v>
      </c>
      <c r="O7648" s="253">
        <v>56</v>
      </c>
    </row>
    <row r="7649" spans="1:15">
      <c r="A7649" s="240" t="s">
        <v>71</v>
      </c>
      <c r="B7649" s="47" t="s">
        <v>59</v>
      </c>
      <c r="C7649" s="309">
        <v>64</v>
      </c>
      <c r="D7649" s="310">
        <v>9</v>
      </c>
      <c r="E7649" s="310">
        <v>8</v>
      </c>
      <c r="F7649" s="310">
        <v>2</v>
      </c>
      <c r="G7649" s="310">
        <v>1</v>
      </c>
      <c r="H7649" s="310">
        <v>6</v>
      </c>
      <c r="I7649" s="310">
        <v>6</v>
      </c>
      <c r="J7649" s="310">
        <v>3</v>
      </c>
      <c r="K7649" s="310">
        <v>3</v>
      </c>
      <c r="L7649" s="310">
        <v>1</v>
      </c>
      <c r="M7649" s="310">
        <v>9</v>
      </c>
      <c r="N7649" s="310">
        <v>6</v>
      </c>
      <c r="O7649" s="311">
        <v>10</v>
      </c>
    </row>
    <row r="7650" spans="1:15">
      <c r="A7650" s="242" t="s">
        <v>71</v>
      </c>
      <c r="B7650" s="43" t="s">
        <v>4</v>
      </c>
      <c r="C7650" s="15">
        <v>14</v>
      </c>
      <c r="D7650" s="244">
        <v>2</v>
      </c>
      <c r="E7650" s="244">
        <v>0</v>
      </c>
      <c r="F7650" s="244">
        <v>0</v>
      </c>
      <c r="G7650" s="244">
        <v>1</v>
      </c>
      <c r="H7650" s="244">
        <v>2</v>
      </c>
      <c r="I7650" s="244">
        <v>0</v>
      </c>
      <c r="J7650" s="244">
        <v>0</v>
      </c>
      <c r="K7650" s="244">
        <v>1</v>
      </c>
      <c r="L7650" s="244">
        <v>0</v>
      </c>
      <c r="M7650" s="244">
        <v>1</v>
      </c>
      <c r="N7650" s="244">
        <v>3</v>
      </c>
      <c r="O7650" s="254">
        <v>4</v>
      </c>
    </row>
    <row r="7651" spans="1:15">
      <c r="A7651" s="240" t="s">
        <v>71</v>
      </c>
      <c r="B7651" s="47" t="s">
        <v>5</v>
      </c>
      <c r="C7651" s="241">
        <v>0.21875</v>
      </c>
      <c r="D7651" s="241">
        <v>0.222222222222222</v>
      </c>
      <c r="E7651" s="241">
        <v>0</v>
      </c>
      <c r="F7651" s="241">
        <v>0</v>
      </c>
      <c r="G7651" s="241">
        <v>1</v>
      </c>
      <c r="H7651" s="241">
        <v>0.333333333333333</v>
      </c>
      <c r="I7651" s="241">
        <v>0</v>
      </c>
      <c r="J7651" s="241">
        <v>0</v>
      </c>
      <c r="K7651" s="241">
        <v>0.333333333333333</v>
      </c>
      <c r="L7651" s="241">
        <v>0</v>
      </c>
      <c r="M7651" s="241">
        <v>0.111111111111111</v>
      </c>
      <c r="N7651" s="241">
        <v>0.5</v>
      </c>
      <c r="O7651" s="252">
        <v>0.4</v>
      </c>
    </row>
    <row r="7652" spans="1:15">
      <c r="A7652" s="242" t="s">
        <v>71</v>
      </c>
      <c r="B7652" s="43" t="s">
        <v>6</v>
      </c>
      <c r="C7652" s="15">
        <v>1</v>
      </c>
      <c r="D7652" s="244">
        <v>0</v>
      </c>
      <c r="E7652" s="244">
        <v>0</v>
      </c>
      <c r="F7652" s="244">
        <v>0</v>
      </c>
      <c r="G7652" s="244">
        <v>0</v>
      </c>
      <c r="H7652" s="244">
        <v>0</v>
      </c>
      <c r="I7652" s="244">
        <v>0</v>
      </c>
      <c r="J7652" s="244">
        <v>0</v>
      </c>
      <c r="K7652" s="244">
        <v>0</v>
      </c>
      <c r="L7652" s="244">
        <v>0</v>
      </c>
      <c r="M7652" s="244">
        <v>0</v>
      </c>
      <c r="N7652" s="244">
        <v>0</v>
      </c>
      <c r="O7652" s="254">
        <v>1</v>
      </c>
    </row>
    <row r="7653" ht="14.25" spans="1:15">
      <c r="A7653" s="245" t="s">
        <v>71</v>
      </c>
      <c r="B7653" s="52" t="s">
        <v>64</v>
      </c>
      <c r="C7653" s="19">
        <v>0.0714285714285714</v>
      </c>
      <c r="D7653" s="19">
        <v>0</v>
      </c>
      <c r="E7653" s="19" t="e">
        <v>#DIV/0!</v>
      </c>
      <c r="F7653" s="19" t="e">
        <v>#DIV/0!</v>
      </c>
      <c r="G7653" s="19">
        <v>0</v>
      </c>
      <c r="H7653" s="19">
        <v>0</v>
      </c>
      <c r="I7653" s="19" t="e">
        <v>#DIV/0!</v>
      </c>
      <c r="J7653" s="19" t="e">
        <v>#DIV/0!</v>
      </c>
      <c r="K7653" s="19">
        <v>0</v>
      </c>
      <c r="L7653" s="19" t="e">
        <v>#DIV/0!</v>
      </c>
      <c r="M7653" s="19">
        <v>0</v>
      </c>
      <c r="N7653" s="19">
        <v>0</v>
      </c>
      <c r="O7653" s="19">
        <v>0.25</v>
      </c>
    </row>
    <row r="7654" spans="1:15">
      <c r="A7654" s="240" t="s">
        <v>72</v>
      </c>
      <c r="B7654" s="47" t="s">
        <v>55</v>
      </c>
      <c r="C7654" s="12">
        <v>0.0467305151915456</v>
      </c>
      <c r="D7654" s="241">
        <v>0.0737240075614367</v>
      </c>
      <c r="E7654" s="241">
        <v>0.10580204778157</v>
      </c>
      <c r="F7654" s="241">
        <v>0.0298913043478261</v>
      </c>
      <c r="G7654" s="241">
        <v>0.0767123287671233</v>
      </c>
      <c r="H7654" s="241">
        <v>0.0595611285266458</v>
      </c>
      <c r="I7654" s="241">
        <v>0.0593434343434343</v>
      </c>
      <c r="J7654" s="241">
        <v>0.048064085447263</v>
      </c>
      <c r="K7654" s="241">
        <v>0.0607866507747318</v>
      </c>
      <c r="L7654" s="241">
        <v>0.04383788254756</v>
      </c>
      <c r="M7654" s="241">
        <v>0.0329920364050057</v>
      </c>
      <c r="N7654" s="241">
        <v>0.0423257802479692</v>
      </c>
      <c r="O7654" s="252">
        <v>0.0335871025526198</v>
      </c>
    </row>
    <row r="7655" spans="1:15">
      <c r="A7655" s="242" t="s">
        <v>72</v>
      </c>
      <c r="B7655" s="43" t="s">
        <v>57</v>
      </c>
      <c r="C7655" s="15">
        <v>12112</v>
      </c>
      <c r="D7655" s="243">
        <v>529</v>
      </c>
      <c r="E7655" s="243">
        <v>293</v>
      </c>
      <c r="F7655" s="243">
        <v>368</v>
      </c>
      <c r="G7655" s="243">
        <v>365</v>
      </c>
      <c r="H7655" s="243">
        <v>638</v>
      </c>
      <c r="I7655" s="243">
        <v>792</v>
      </c>
      <c r="J7655" s="243">
        <v>749</v>
      </c>
      <c r="K7655" s="243">
        <v>839</v>
      </c>
      <c r="L7655" s="243">
        <v>1209</v>
      </c>
      <c r="M7655" s="243">
        <v>1758</v>
      </c>
      <c r="N7655" s="243">
        <v>2339</v>
      </c>
      <c r="O7655" s="253">
        <v>2233</v>
      </c>
    </row>
    <row r="7656" spans="1:15">
      <c r="A7656" s="240" t="s">
        <v>72</v>
      </c>
      <c r="B7656" s="47" t="s">
        <v>59</v>
      </c>
      <c r="C7656" s="15">
        <v>566</v>
      </c>
      <c r="D7656" s="243">
        <v>39</v>
      </c>
      <c r="E7656" s="243">
        <v>31</v>
      </c>
      <c r="F7656" s="243">
        <v>11</v>
      </c>
      <c r="G7656" s="243">
        <v>28</v>
      </c>
      <c r="H7656" s="243">
        <v>38</v>
      </c>
      <c r="I7656" s="243">
        <v>47</v>
      </c>
      <c r="J7656" s="243">
        <v>36</v>
      </c>
      <c r="K7656" s="243">
        <v>51</v>
      </c>
      <c r="L7656" s="243">
        <v>53</v>
      </c>
      <c r="M7656" s="243">
        <v>58</v>
      </c>
      <c r="N7656" s="243">
        <v>99</v>
      </c>
      <c r="O7656" s="253">
        <v>75</v>
      </c>
    </row>
    <row r="7657" spans="1:15">
      <c r="A7657" s="242" t="s">
        <v>72</v>
      </c>
      <c r="B7657" s="43" t="s">
        <v>4</v>
      </c>
      <c r="C7657" s="15">
        <v>14</v>
      </c>
      <c r="D7657" s="244">
        <v>0</v>
      </c>
      <c r="E7657" s="244">
        <v>3</v>
      </c>
      <c r="F7657" s="244">
        <v>0</v>
      </c>
      <c r="G7657" s="244">
        <v>0</v>
      </c>
      <c r="H7657" s="244">
        <v>1</v>
      </c>
      <c r="I7657" s="244">
        <v>2</v>
      </c>
      <c r="J7657" s="244">
        <v>3</v>
      </c>
      <c r="K7657" s="244">
        <v>0</v>
      </c>
      <c r="L7657" s="244">
        <v>2</v>
      </c>
      <c r="M7657" s="244">
        <v>0</v>
      </c>
      <c r="N7657" s="244">
        <v>0</v>
      </c>
      <c r="O7657" s="254">
        <v>3</v>
      </c>
    </row>
    <row r="7658" spans="1:15">
      <c r="A7658" s="240" t="s">
        <v>72</v>
      </c>
      <c r="B7658" s="47" t="s">
        <v>5</v>
      </c>
      <c r="C7658" s="12">
        <v>0.0247349823321555</v>
      </c>
      <c r="D7658" s="241">
        <v>0</v>
      </c>
      <c r="E7658" s="241">
        <v>0.0967741935483871</v>
      </c>
      <c r="F7658" s="241">
        <v>0</v>
      </c>
      <c r="G7658" s="241">
        <v>0</v>
      </c>
      <c r="H7658" s="241">
        <v>0.0263157894736842</v>
      </c>
      <c r="I7658" s="241">
        <v>0.0425531914893617</v>
      </c>
      <c r="J7658" s="241">
        <v>0.0833333333333333</v>
      </c>
      <c r="K7658" s="241">
        <v>0</v>
      </c>
      <c r="L7658" s="241">
        <v>0.0377358490566038</v>
      </c>
      <c r="M7658" s="241">
        <v>0</v>
      </c>
      <c r="N7658" s="241">
        <v>0</v>
      </c>
      <c r="O7658" s="252">
        <v>0.04</v>
      </c>
    </row>
    <row r="7659" spans="1:15">
      <c r="A7659" s="242" t="s">
        <v>72</v>
      </c>
      <c r="B7659" s="43" t="s">
        <v>6</v>
      </c>
      <c r="C7659" s="15">
        <v>1</v>
      </c>
      <c r="D7659" s="244">
        <v>0</v>
      </c>
      <c r="E7659" s="244">
        <v>0</v>
      </c>
      <c r="F7659" s="244">
        <v>0</v>
      </c>
      <c r="G7659" s="244">
        <v>0</v>
      </c>
      <c r="H7659" s="244">
        <v>0</v>
      </c>
      <c r="I7659" s="244">
        <v>0</v>
      </c>
      <c r="J7659" s="244">
        <v>0</v>
      </c>
      <c r="K7659" s="244">
        <v>0</v>
      </c>
      <c r="L7659" s="244">
        <v>1</v>
      </c>
      <c r="M7659" s="244">
        <v>0</v>
      </c>
      <c r="N7659" s="244">
        <v>0</v>
      </c>
      <c r="O7659" s="254">
        <v>0</v>
      </c>
    </row>
    <row r="7660" ht="14.25" spans="1:15">
      <c r="A7660" s="245" t="s">
        <v>72</v>
      </c>
      <c r="B7660" s="52" t="s">
        <v>64</v>
      </c>
      <c r="C7660" s="19">
        <v>0.0714285714285714</v>
      </c>
      <c r="D7660" s="19" t="e">
        <v>#DIV/0!</v>
      </c>
      <c r="E7660" s="19">
        <v>0</v>
      </c>
      <c r="F7660" s="19" t="e">
        <v>#DIV/0!</v>
      </c>
      <c r="G7660" s="19" t="e">
        <v>#DIV/0!</v>
      </c>
      <c r="H7660" s="19">
        <v>0</v>
      </c>
      <c r="I7660" s="19">
        <v>0</v>
      </c>
      <c r="J7660" s="19">
        <v>0</v>
      </c>
      <c r="K7660" s="19" t="e">
        <v>#DIV/0!</v>
      </c>
      <c r="L7660" s="19">
        <v>0.5</v>
      </c>
      <c r="M7660" s="19" t="e">
        <v>#DIV/0!</v>
      </c>
      <c r="N7660" s="19" t="e">
        <v>#DIV/0!</v>
      </c>
      <c r="O7660" s="19">
        <v>0</v>
      </c>
    </row>
    <row r="7661" ht="14.25" spans="1:15">
      <c r="A7661" s="237">
        <v>45137</v>
      </c>
      <c r="B7661" s="237"/>
      <c r="C7661" s="237"/>
      <c r="D7661" s="237"/>
      <c r="E7661" s="237"/>
      <c r="F7661" s="237"/>
      <c r="G7661" s="237"/>
      <c r="H7661" s="237"/>
      <c r="I7661" s="237"/>
      <c r="J7661" s="237"/>
      <c r="K7661" s="237"/>
      <c r="L7661" s="237"/>
      <c r="M7661" s="237"/>
      <c r="N7661" s="237"/>
      <c r="O7661" s="237"/>
    </row>
    <row r="7662" spans="1:15">
      <c r="A7662" s="56" t="s">
        <v>1</v>
      </c>
      <c r="B7662" s="238"/>
      <c r="C7662" s="8" t="s">
        <v>42</v>
      </c>
      <c r="D7662" s="239" t="s">
        <v>43</v>
      </c>
      <c r="E7662" s="239" t="s">
        <v>44</v>
      </c>
      <c r="F7662" s="239" t="s">
        <v>45</v>
      </c>
      <c r="G7662" s="239" t="s">
        <v>46</v>
      </c>
      <c r="H7662" s="239" t="s">
        <v>47</v>
      </c>
      <c r="I7662" s="239" t="s">
        <v>48</v>
      </c>
      <c r="J7662" s="239" t="s">
        <v>49</v>
      </c>
      <c r="K7662" s="239" t="s">
        <v>50</v>
      </c>
      <c r="L7662" s="239" t="s">
        <v>51</v>
      </c>
      <c r="M7662" s="239" t="s">
        <v>52</v>
      </c>
      <c r="N7662" s="239" t="s">
        <v>53</v>
      </c>
      <c r="O7662" s="251" t="s">
        <v>54</v>
      </c>
    </row>
    <row r="7663" spans="1:15">
      <c r="A7663" s="240" t="s">
        <v>22</v>
      </c>
      <c r="B7663" s="47" t="s">
        <v>55</v>
      </c>
      <c r="C7663" s="12">
        <v>0.50206043956044</v>
      </c>
      <c r="D7663" s="241">
        <v>0.605095541401274</v>
      </c>
      <c r="E7663" s="241">
        <v>0.641975308641975</v>
      </c>
      <c r="F7663" s="241">
        <v>0.661016949152542</v>
      </c>
      <c r="G7663" s="241">
        <v>0.578947368421053</v>
      </c>
      <c r="H7663" s="241">
        <v>0.602150537634409</v>
      </c>
      <c r="I7663" s="241">
        <v>0.519607843137255</v>
      </c>
      <c r="J7663" s="241">
        <v>0.476510067114094</v>
      </c>
      <c r="K7663" s="241">
        <v>0.416666666666667</v>
      </c>
      <c r="L7663" s="241">
        <v>0.493055555555556</v>
      </c>
      <c r="M7663" s="241">
        <v>0.516393442622951</v>
      </c>
      <c r="N7663" s="241">
        <v>0.503649635036496</v>
      </c>
      <c r="O7663" s="252">
        <v>0.302083333333333</v>
      </c>
    </row>
    <row r="7664" spans="1:15">
      <c r="A7664" s="242" t="s">
        <v>22</v>
      </c>
      <c r="B7664" s="43" t="s">
        <v>57</v>
      </c>
      <c r="C7664" s="15">
        <v>1456</v>
      </c>
      <c r="D7664" s="243">
        <v>157</v>
      </c>
      <c r="E7664" s="243">
        <v>81</v>
      </c>
      <c r="F7664" s="243">
        <v>59</v>
      </c>
      <c r="G7664" s="243">
        <v>76</v>
      </c>
      <c r="H7664" s="243">
        <v>93</v>
      </c>
      <c r="I7664" s="243">
        <v>102</v>
      </c>
      <c r="J7664" s="243">
        <v>149</v>
      </c>
      <c r="K7664" s="243">
        <v>144</v>
      </c>
      <c r="L7664" s="243">
        <v>144</v>
      </c>
      <c r="M7664" s="243">
        <v>122</v>
      </c>
      <c r="N7664" s="243">
        <v>137</v>
      </c>
      <c r="O7664" s="253">
        <v>192</v>
      </c>
    </row>
    <row r="7665" spans="1:15">
      <c r="A7665" s="240" t="s">
        <v>22</v>
      </c>
      <c r="B7665" s="47" t="s">
        <v>59</v>
      </c>
      <c r="C7665" s="15">
        <v>731</v>
      </c>
      <c r="D7665" s="243">
        <v>95</v>
      </c>
      <c r="E7665" s="243">
        <v>52</v>
      </c>
      <c r="F7665" s="243">
        <v>39</v>
      </c>
      <c r="G7665" s="243">
        <v>44</v>
      </c>
      <c r="H7665" s="243">
        <v>56</v>
      </c>
      <c r="I7665" s="243">
        <v>53</v>
      </c>
      <c r="J7665" s="243">
        <v>71</v>
      </c>
      <c r="K7665" s="243">
        <v>60</v>
      </c>
      <c r="L7665" s="243">
        <v>71</v>
      </c>
      <c r="M7665" s="243">
        <v>63</v>
      </c>
      <c r="N7665" s="243">
        <v>69</v>
      </c>
      <c r="O7665" s="253">
        <v>58</v>
      </c>
    </row>
    <row r="7666" spans="1:15">
      <c r="A7666" s="242" t="s">
        <v>22</v>
      </c>
      <c r="B7666" s="43" t="s">
        <v>4</v>
      </c>
      <c r="C7666" s="15">
        <v>42</v>
      </c>
      <c r="D7666" s="244">
        <v>6</v>
      </c>
      <c r="E7666" s="244">
        <v>2</v>
      </c>
      <c r="F7666" s="244">
        <v>0</v>
      </c>
      <c r="G7666" s="244">
        <v>2</v>
      </c>
      <c r="H7666" s="244">
        <v>2</v>
      </c>
      <c r="I7666" s="244">
        <v>2</v>
      </c>
      <c r="J7666" s="244">
        <v>4</v>
      </c>
      <c r="K7666" s="244">
        <v>4</v>
      </c>
      <c r="L7666" s="244">
        <v>4</v>
      </c>
      <c r="M7666" s="244">
        <v>4</v>
      </c>
      <c r="N7666" s="244">
        <v>8</v>
      </c>
      <c r="O7666" s="254">
        <v>4</v>
      </c>
    </row>
    <row r="7667" spans="1:15">
      <c r="A7667" s="240" t="s">
        <v>22</v>
      </c>
      <c r="B7667" s="47" t="s">
        <v>5</v>
      </c>
      <c r="C7667" s="12">
        <v>0.0574555403556772</v>
      </c>
      <c r="D7667" s="241">
        <v>0.0631578947368421</v>
      </c>
      <c r="E7667" s="241">
        <v>0.0384615384615385</v>
      </c>
      <c r="F7667" s="241">
        <v>0</v>
      </c>
      <c r="G7667" s="241">
        <v>0.0454545454545455</v>
      </c>
      <c r="H7667" s="241">
        <v>0.0357142857142857</v>
      </c>
      <c r="I7667" s="241">
        <v>0.0377358490566038</v>
      </c>
      <c r="J7667" s="241">
        <v>0.0563380281690141</v>
      </c>
      <c r="K7667" s="241">
        <v>0.0666666666666667</v>
      </c>
      <c r="L7667" s="241">
        <v>0.0563380281690141</v>
      </c>
      <c r="M7667" s="241">
        <v>0.0634920634920635</v>
      </c>
      <c r="N7667" s="241">
        <v>0.115942028985507</v>
      </c>
      <c r="O7667" s="252">
        <v>0.0689655172413793</v>
      </c>
    </row>
    <row r="7668" spans="1:15">
      <c r="A7668" s="242" t="s">
        <v>22</v>
      </c>
      <c r="B7668" s="43" t="s">
        <v>6</v>
      </c>
      <c r="C7668" s="15">
        <v>10</v>
      </c>
      <c r="D7668" s="244">
        <v>3</v>
      </c>
      <c r="E7668" s="244">
        <v>2</v>
      </c>
      <c r="F7668" s="244">
        <v>0</v>
      </c>
      <c r="G7668" s="244">
        <v>0</v>
      </c>
      <c r="H7668" s="244">
        <v>0</v>
      </c>
      <c r="I7668" s="244">
        <v>1</v>
      </c>
      <c r="J7668" s="244">
        <v>0</v>
      </c>
      <c r="K7668" s="244">
        <v>1</v>
      </c>
      <c r="L7668" s="244">
        <v>0</v>
      </c>
      <c r="M7668" s="244">
        <v>0</v>
      </c>
      <c r="N7668" s="244">
        <v>3</v>
      </c>
      <c r="O7668" s="254">
        <v>0</v>
      </c>
    </row>
    <row r="7669" ht="14.25" spans="1:15">
      <c r="A7669" s="245" t="s">
        <v>22</v>
      </c>
      <c r="B7669" s="52" t="s">
        <v>64</v>
      </c>
      <c r="C7669" s="19">
        <v>0.238095238095238</v>
      </c>
      <c r="D7669" s="246">
        <v>0.5</v>
      </c>
      <c r="E7669" s="246">
        <v>1</v>
      </c>
      <c r="F7669" s="246">
        <v>0</v>
      </c>
      <c r="G7669" s="246">
        <v>0</v>
      </c>
      <c r="H7669" s="246">
        <v>0</v>
      </c>
      <c r="I7669" s="246">
        <v>0.5</v>
      </c>
      <c r="J7669" s="246">
        <v>0</v>
      </c>
      <c r="K7669" s="246">
        <v>0.25</v>
      </c>
      <c r="L7669" s="246">
        <v>0</v>
      </c>
      <c r="M7669" s="246">
        <v>0</v>
      </c>
      <c r="N7669" s="246">
        <v>0.375</v>
      </c>
      <c r="O7669" s="255">
        <v>0</v>
      </c>
    </row>
    <row r="7670" spans="1:15">
      <c r="A7670" s="247" t="s">
        <v>66</v>
      </c>
      <c r="B7670" s="248" t="s">
        <v>55</v>
      </c>
      <c r="C7670" s="12">
        <v>0.0829145728643216</v>
      </c>
      <c r="D7670" s="249">
        <v>0.169096209912536</v>
      </c>
      <c r="E7670" s="249">
        <v>0.113445378151261</v>
      </c>
      <c r="F7670" s="249">
        <v>0.121359223300971</v>
      </c>
      <c r="G7670" s="249">
        <v>0.062780269058296</v>
      </c>
      <c r="H7670" s="249">
        <v>0.0662460567823344</v>
      </c>
      <c r="I7670" s="249">
        <v>0.0929368029739777</v>
      </c>
      <c r="J7670" s="249">
        <v>0.0453074433656958</v>
      </c>
      <c r="K7670" s="249">
        <v>0.06</v>
      </c>
      <c r="L7670" s="249">
        <v>0.092814371257485</v>
      </c>
      <c r="M7670" s="249">
        <v>0.0510948905109489</v>
      </c>
      <c r="N7670" s="249">
        <v>0.0549738219895288</v>
      </c>
      <c r="O7670" s="256">
        <v>0.0771513353115727</v>
      </c>
    </row>
    <row r="7671" spans="1:15">
      <c r="A7671" s="242" t="s">
        <v>66</v>
      </c>
      <c r="B7671" s="43" t="s">
        <v>57</v>
      </c>
      <c r="C7671" s="15">
        <v>3582</v>
      </c>
      <c r="D7671" s="243">
        <v>343</v>
      </c>
      <c r="E7671" s="243">
        <v>238</v>
      </c>
      <c r="F7671" s="243">
        <v>206</v>
      </c>
      <c r="G7671" s="243">
        <v>223</v>
      </c>
      <c r="H7671" s="243">
        <v>317</v>
      </c>
      <c r="I7671" s="243">
        <v>269</v>
      </c>
      <c r="J7671" s="243">
        <v>309</v>
      </c>
      <c r="K7671" s="243">
        <v>350</v>
      </c>
      <c r="L7671" s="243">
        <v>334</v>
      </c>
      <c r="M7671" s="243">
        <v>274</v>
      </c>
      <c r="N7671" s="243">
        <v>382</v>
      </c>
      <c r="O7671" s="253">
        <v>337</v>
      </c>
    </row>
    <row r="7672" spans="1:15">
      <c r="A7672" s="240" t="s">
        <v>66</v>
      </c>
      <c r="B7672" s="47" t="s">
        <v>59</v>
      </c>
      <c r="C7672" s="15">
        <v>297</v>
      </c>
      <c r="D7672" s="243">
        <v>58</v>
      </c>
      <c r="E7672" s="243">
        <v>27</v>
      </c>
      <c r="F7672" s="243">
        <v>25</v>
      </c>
      <c r="G7672" s="243">
        <v>14</v>
      </c>
      <c r="H7672" s="243">
        <v>21</v>
      </c>
      <c r="I7672" s="243">
        <v>25</v>
      </c>
      <c r="J7672" s="243">
        <v>14</v>
      </c>
      <c r="K7672" s="243">
        <v>21</v>
      </c>
      <c r="L7672" s="243">
        <v>31</v>
      </c>
      <c r="M7672" s="243">
        <v>14</v>
      </c>
      <c r="N7672" s="243">
        <v>21</v>
      </c>
      <c r="O7672" s="253">
        <v>26</v>
      </c>
    </row>
    <row r="7673" spans="1:15">
      <c r="A7673" s="242" t="s">
        <v>66</v>
      </c>
      <c r="B7673" s="43" t="s">
        <v>4</v>
      </c>
      <c r="C7673" s="15">
        <v>3</v>
      </c>
      <c r="D7673" s="244">
        <v>1</v>
      </c>
      <c r="E7673" s="244">
        <v>0</v>
      </c>
      <c r="F7673" s="244">
        <v>0</v>
      </c>
      <c r="G7673" s="244">
        <v>0</v>
      </c>
      <c r="H7673" s="244">
        <v>0</v>
      </c>
      <c r="I7673" s="244">
        <v>0</v>
      </c>
      <c r="J7673" s="244">
        <v>0</v>
      </c>
      <c r="K7673" s="244">
        <v>0</v>
      </c>
      <c r="L7673" s="244">
        <v>1</v>
      </c>
      <c r="M7673" s="244">
        <v>0</v>
      </c>
      <c r="N7673" s="244">
        <v>1</v>
      </c>
      <c r="O7673" s="254">
        <v>0</v>
      </c>
    </row>
    <row r="7674" spans="1:15">
      <c r="A7674" s="240" t="s">
        <v>66</v>
      </c>
      <c r="B7674" s="47" t="s">
        <v>5</v>
      </c>
      <c r="C7674" s="12">
        <v>0.0101010101010101</v>
      </c>
      <c r="D7674" s="241">
        <v>0.0172413793103448</v>
      </c>
      <c r="E7674" s="241">
        <v>0</v>
      </c>
      <c r="F7674" s="241">
        <v>0</v>
      </c>
      <c r="G7674" s="241">
        <v>0</v>
      </c>
      <c r="H7674" s="241">
        <v>0</v>
      </c>
      <c r="I7674" s="241">
        <v>0</v>
      </c>
      <c r="J7674" s="241">
        <v>0</v>
      </c>
      <c r="K7674" s="241">
        <v>0</v>
      </c>
      <c r="L7674" s="241">
        <v>0.032258064516129</v>
      </c>
      <c r="M7674" s="241">
        <v>0</v>
      </c>
      <c r="N7674" s="241">
        <v>0.0476190476190476</v>
      </c>
      <c r="O7674" s="252">
        <v>0</v>
      </c>
    </row>
    <row r="7675" spans="1:15">
      <c r="A7675" s="242" t="s">
        <v>66</v>
      </c>
      <c r="B7675" s="43" t="s">
        <v>6</v>
      </c>
      <c r="C7675" s="15">
        <v>4</v>
      </c>
      <c r="D7675" s="244">
        <v>2</v>
      </c>
      <c r="E7675" s="244">
        <v>0</v>
      </c>
      <c r="F7675" s="244">
        <v>0</v>
      </c>
      <c r="G7675" s="244">
        <v>0</v>
      </c>
      <c r="H7675" s="244">
        <v>0</v>
      </c>
      <c r="I7675" s="244">
        <v>0</v>
      </c>
      <c r="J7675" s="244">
        <v>0</v>
      </c>
      <c r="K7675" s="244">
        <v>0</v>
      </c>
      <c r="L7675" s="244">
        <v>0</v>
      </c>
      <c r="M7675" s="244">
        <v>1</v>
      </c>
      <c r="N7675" s="244">
        <v>1</v>
      </c>
      <c r="O7675" s="254">
        <v>0</v>
      </c>
    </row>
    <row r="7676" ht="14.25" spans="1:15">
      <c r="A7676" s="245" t="s">
        <v>66</v>
      </c>
      <c r="B7676" s="52" t="s">
        <v>64</v>
      </c>
      <c r="C7676" s="19">
        <v>1.33333333333333</v>
      </c>
      <c r="D7676" s="246">
        <v>2</v>
      </c>
      <c r="E7676" s="246">
        <v>0</v>
      </c>
      <c r="F7676" s="246">
        <v>0</v>
      </c>
      <c r="G7676" s="246">
        <v>0</v>
      </c>
      <c r="H7676" s="246">
        <v>0</v>
      </c>
      <c r="I7676" s="246">
        <v>0</v>
      </c>
      <c r="J7676" s="246">
        <v>0</v>
      </c>
      <c r="K7676" s="246">
        <v>0</v>
      </c>
      <c r="L7676" s="246">
        <v>0</v>
      </c>
      <c r="M7676" s="246">
        <v>0</v>
      </c>
      <c r="N7676" s="246">
        <v>1</v>
      </c>
      <c r="O7676" s="255">
        <v>0</v>
      </c>
    </row>
    <row r="7677" spans="1:15">
      <c r="A7677" s="240" t="s">
        <v>67</v>
      </c>
      <c r="B7677" s="47" t="s">
        <v>55</v>
      </c>
      <c r="C7677" s="12">
        <v>0.47378640776699</v>
      </c>
      <c r="D7677" s="241">
        <v>0.577777777777778</v>
      </c>
      <c r="E7677" s="241">
        <v>0.582089552238806</v>
      </c>
      <c r="F7677" s="241">
        <v>0.475</v>
      </c>
      <c r="G7677" s="241">
        <v>0.425531914893617</v>
      </c>
      <c r="H7677" s="241">
        <v>0.575757575757576</v>
      </c>
      <c r="I7677" s="241">
        <v>0.523809523809524</v>
      </c>
      <c r="J7677" s="241">
        <v>0.419354838709677</v>
      </c>
      <c r="K7677" s="241">
        <v>0.387755102040816</v>
      </c>
      <c r="L7677" s="241">
        <v>0.396039603960396</v>
      </c>
      <c r="M7677" s="241">
        <v>0.434782608695652</v>
      </c>
      <c r="N7677" s="241">
        <v>0.362068965517241</v>
      </c>
      <c r="O7677" s="252">
        <v>0.533333333333333</v>
      </c>
    </row>
    <row r="7678" spans="1:15">
      <c r="A7678" s="242" t="s">
        <v>67</v>
      </c>
      <c r="B7678" s="43" t="s">
        <v>57</v>
      </c>
      <c r="C7678" s="15">
        <v>1030</v>
      </c>
      <c r="D7678" s="243">
        <v>135</v>
      </c>
      <c r="E7678" s="243">
        <v>67</v>
      </c>
      <c r="F7678" s="243">
        <v>40</v>
      </c>
      <c r="G7678" s="243">
        <v>47</v>
      </c>
      <c r="H7678" s="243">
        <v>66</v>
      </c>
      <c r="I7678" s="243">
        <v>63</v>
      </c>
      <c r="J7678" s="243">
        <v>93</v>
      </c>
      <c r="K7678" s="243">
        <v>98</v>
      </c>
      <c r="L7678" s="243">
        <v>101</v>
      </c>
      <c r="M7678" s="243">
        <v>69</v>
      </c>
      <c r="N7678" s="243">
        <v>116</v>
      </c>
      <c r="O7678" s="253">
        <v>135</v>
      </c>
    </row>
    <row r="7679" spans="1:15">
      <c r="A7679" s="240" t="s">
        <v>67</v>
      </c>
      <c r="B7679" s="47" t="s">
        <v>59</v>
      </c>
      <c r="C7679" s="15">
        <v>488</v>
      </c>
      <c r="D7679" s="243">
        <v>78</v>
      </c>
      <c r="E7679" s="243">
        <v>39</v>
      </c>
      <c r="F7679" s="243">
        <v>19</v>
      </c>
      <c r="G7679" s="243">
        <v>20</v>
      </c>
      <c r="H7679" s="243">
        <v>38</v>
      </c>
      <c r="I7679" s="243">
        <v>33</v>
      </c>
      <c r="J7679" s="243">
        <v>39</v>
      </c>
      <c r="K7679" s="243">
        <v>38</v>
      </c>
      <c r="L7679" s="243">
        <v>40</v>
      </c>
      <c r="M7679" s="243">
        <v>30</v>
      </c>
      <c r="N7679" s="243">
        <v>42</v>
      </c>
      <c r="O7679" s="253">
        <v>72</v>
      </c>
    </row>
    <row r="7680" spans="1:15">
      <c r="A7680" s="242" t="s">
        <v>67</v>
      </c>
      <c r="B7680" s="43" t="s">
        <v>4</v>
      </c>
      <c r="C7680" s="15">
        <v>17</v>
      </c>
      <c r="D7680" s="244">
        <v>5</v>
      </c>
      <c r="E7680" s="244">
        <v>2</v>
      </c>
      <c r="F7680" s="244">
        <v>0</v>
      </c>
      <c r="G7680" s="244">
        <v>2</v>
      </c>
      <c r="H7680" s="244">
        <v>1</v>
      </c>
      <c r="I7680" s="244">
        <v>0</v>
      </c>
      <c r="J7680" s="244">
        <v>0</v>
      </c>
      <c r="K7680" s="244">
        <v>0</v>
      </c>
      <c r="L7680" s="244">
        <v>0</v>
      </c>
      <c r="M7680" s="244">
        <v>2</v>
      </c>
      <c r="N7680" s="244">
        <v>3</v>
      </c>
      <c r="O7680" s="254">
        <v>2</v>
      </c>
    </row>
    <row r="7681" spans="1:15">
      <c r="A7681" s="240" t="s">
        <v>67</v>
      </c>
      <c r="B7681" s="47" t="s">
        <v>5</v>
      </c>
      <c r="C7681" s="12">
        <v>0.0348360655737705</v>
      </c>
      <c r="D7681" s="241">
        <v>0.0641025641025641</v>
      </c>
      <c r="E7681" s="241">
        <v>0.0512820512820513</v>
      </c>
      <c r="F7681" s="241">
        <v>0</v>
      </c>
      <c r="G7681" s="241">
        <v>0.1</v>
      </c>
      <c r="H7681" s="241">
        <v>0.0263157894736842</v>
      </c>
      <c r="I7681" s="241">
        <v>0</v>
      </c>
      <c r="J7681" s="241">
        <v>0</v>
      </c>
      <c r="K7681" s="241">
        <v>0</v>
      </c>
      <c r="L7681" s="241">
        <v>0</v>
      </c>
      <c r="M7681" s="241">
        <v>0.0666666666666667</v>
      </c>
      <c r="N7681" s="241">
        <v>0.0714285714285714</v>
      </c>
      <c r="O7681" s="252">
        <v>0.0277777777777778</v>
      </c>
    </row>
    <row r="7682" spans="1:15">
      <c r="A7682" s="242" t="s">
        <v>67</v>
      </c>
      <c r="B7682" s="43" t="s">
        <v>6</v>
      </c>
      <c r="C7682" s="15">
        <v>5</v>
      </c>
      <c r="D7682" s="244">
        <v>3</v>
      </c>
      <c r="E7682" s="244">
        <v>0</v>
      </c>
      <c r="F7682" s="244">
        <v>1</v>
      </c>
      <c r="G7682" s="244">
        <v>0</v>
      </c>
      <c r="H7682" s="244">
        <v>0</v>
      </c>
      <c r="I7682" s="244">
        <v>0</v>
      </c>
      <c r="J7682" s="244">
        <v>0</v>
      </c>
      <c r="K7682" s="244">
        <v>0</v>
      </c>
      <c r="L7682" s="244">
        <v>0</v>
      </c>
      <c r="M7682" s="244">
        <v>0</v>
      </c>
      <c r="N7682" s="244">
        <v>1</v>
      </c>
      <c r="O7682" s="254">
        <v>0</v>
      </c>
    </row>
    <row r="7683" ht="14.25" spans="1:15">
      <c r="A7683" s="245" t="s">
        <v>67</v>
      </c>
      <c r="B7683" s="52" t="s">
        <v>64</v>
      </c>
      <c r="C7683" s="19">
        <v>0.294117647058824</v>
      </c>
      <c r="D7683" s="246">
        <v>0.6</v>
      </c>
      <c r="E7683" s="246">
        <v>0</v>
      </c>
      <c r="F7683" s="246">
        <v>0</v>
      </c>
      <c r="G7683" s="246">
        <v>0</v>
      </c>
      <c r="H7683" s="246">
        <v>0</v>
      </c>
      <c r="I7683" s="246">
        <v>0</v>
      </c>
      <c r="J7683" s="246">
        <v>0</v>
      </c>
      <c r="K7683" s="246">
        <v>0</v>
      </c>
      <c r="L7683" s="246">
        <v>0</v>
      </c>
      <c r="M7683" s="246">
        <v>0</v>
      </c>
      <c r="N7683" s="246">
        <v>0.333333333333333</v>
      </c>
      <c r="O7683" s="255">
        <v>0</v>
      </c>
    </row>
    <row r="7684" spans="1:15">
      <c r="A7684" s="240" t="s">
        <v>68</v>
      </c>
      <c r="B7684" s="47" t="s">
        <v>55</v>
      </c>
      <c r="C7684" s="12">
        <v>0.0716021524040965</v>
      </c>
      <c r="D7684" s="241">
        <v>0.096342551293488</v>
      </c>
      <c r="E7684" s="241">
        <v>0.0715909090909091</v>
      </c>
      <c r="F7684" s="241">
        <v>0.0694275274056029</v>
      </c>
      <c r="G7684" s="241">
        <v>0.0695770804911323</v>
      </c>
      <c r="H7684" s="241">
        <v>0.0957446808510638</v>
      </c>
      <c r="I7684" s="241">
        <v>0.0639269406392694</v>
      </c>
      <c r="J7684" s="241">
        <v>0.0625583566760037</v>
      </c>
      <c r="K7684" s="241">
        <v>0.0586292320396367</v>
      </c>
      <c r="L7684" s="241">
        <v>0.0618120237087214</v>
      </c>
      <c r="M7684" s="241">
        <v>0.0525686977299881</v>
      </c>
      <c r="N7684" s="241">
        <v>0.0941935483870968</v>
      </c>
      <c r="O7684" s="252">
        <v>0.0676779463243874</v>
      </c>
    </row>
    <row r="7685" spans="1:15">
      <c r="A7685" s="242" t="s">
        <v>68</v>
      </c>
      <c r="B7685" s="43" t="s">
        <v>57</v>
      </c>
      <c r="C7685" s="15">
        <v>11522</v>
      </c>
      <c r="D7685" s="243">
        <v>1121</v>
      </c>
      <c r="E7685" s="243">
        <v>880</v>
      </c>
      <c r="F7685" s="243">
        <v>821</v>
      </c>
      <c r="G7685" s="243">
        <v>733</v>
      </c>
      <c r="H7685" s="243">
        <v>940</v>
      </c>
      <c r="I7685" s="243">
        <v>1095</v>
      </c>
      <c r="J7685" s="243">
        <v>1071</v>
      </c>
      <c r="K7685" s="243">
        <v>1211</v>
      </c>
      <c r="L7685" s="243">
        <v>1181</v>
      </c>
      <c r="M7685" s="243">
        <v>837</v>
      </c>
      <c r="N7685" s="243">
        <v>775</v>
      </c>
      <c r="O7685" s="253">
        <v>857</v>
      </c>
    </row>
    <row r="7686" spans="1:15">
      <c r="A7686" s="240" t="s">
        <v>68</v>
      </c>
      <c r="B7686" s="47" t="s">
        <v>59</v>
      </c>
      <c r="C7686" s="15">
        <v>825</v>
      </c>
      <c r="D7686" s="243">
        <v>108</v>
      </c>
      <c r="E7686" s="243">
        <v>63</v>
      </c>
      <c r="F7686" s="243">
        <v>57</v>
      </c>
      <c r="G7686" s="243">
        <v>51</v>
      </c>
      <c r="H7686" s="243">
        <v>90</v>
      </c>
      <c r="I7686" s="243">
        <v>70</v>
      </c>
      <c r="J7686" s="243">
        <v>67</v>
      </c>
      <c r="K7686" s="243">
        <v>71</v>
      </c>
      <c r="L7686" s="243">
        <v>73</v>
      </c>
      <c r="M7686" s="243">
        <v>44</v>
      </c>
      <c r="N7686" s="243">
        <v>73</v>
      </c>
      <c r="O7686" s="253">
        <v>58</v>
      </c>
    </row>
    <row r="7687" spans="1:15">
      <c r="A7687" s="242" t="s">
        <v>68</v>
      </c>
      <c r="B7687" s="43" t="s">
        <v>4</v>
      </c>
      <c r="C7687" s="15">
        <v>73</v>
      </c>
      <c r="D7687" s="244">
        <v>4</v>
      </c>
      <c r="E7687" s="244">
        <v>7</v>
      </c>
      <c r="F7687" s="244">
        <v>2</v>
      </c>
      <c r="G7687" s="244">
        <v>13</v>
      </c>
      <c r="H7687" s="244">
        <v>6</v>
      </c>
      <c r="I7687" s="244">
        <v>4</v>
      </c>
      <c r="J7687" s="244">
        <v>9</v>
      </c>
      <c r="K7687" s="244">
        <v>6</v>
      </c>
      <c r="L7687" s="244">
        <v>7</v>
      </c>
      <c r="M7687" s="244">
        <v>5</v>
      </c>
      <c r="N7687" s="244">
        <v>6</v>
      </c>
      <c r="O7687" s="254">
        <v>4</v>
      </c>
    </row>
    <row r="7688" spans="1:15">
      <c r="A7688" s="240" t="s">
        <v>68</v>
      </c>
      <c r="B7688" s="47" t="s">
        <v>5</v>
      </c>
      <c r="C7688" s="12">
        <v>0.0884848484848485</v>
      </c>
      <c r="D7688" s="241">
        <v>0.037037037037037</v>
      </c>
      <c r="E7688" s="241">
        <v>0.111111111111111</v>
      </c>
      <c r="F7688" s="241">
        <v>0.0350877192982456</v>
      </c>
      <c r="G7688" s="241">
        <v>0.254901960784314</v>
      </c>
      <c r="H7688" s="241">
        <v>0.0666666666666667</v>
      </c>
      <c r="I7688" s="241">
        <v>0.0571428571428571</v>
      </c>
      <c r="J7688" s="241">
        <v>0.134328358208955</v>
      </c>
      <c r="K7688" s="241">
        <v>0.0845070422535211</v>
      </c>
      <c r="L7688" s="241">
        <v>0.0958904109589041</v>
      </c>
      <c r="M7688" s="241">
        <v>0.113636363636364</v>
      </c>
      <c r="N7688" s="241">
        <v>0.0821917808219178</v>
      </c>
      <c r="O7688" s="252">
        <v>0.0689655172413793</v>
      </c>
    </row>
    <row r="7689" spans="1:15">
      <c r="A7689" s="242" t="s">
        <v>68</v>
      </c>
      <c r="B7689" s="43" t="s">
        <v>6</v>
      </c>
      <c r="C7689" s="15">
        <v>34</v>
      </c>
      <c r="D7689" s="244">
        <v>3</v>
      </c>
      <c r="E7689" s="244">
        <v>3</v>
      </c>
      <c r="F7689" s="244">
        <v>1</v>
      </c>
      <c r="G7689" s="244">
        <v>6</v>
      </c>
      <c r="H7689" s="244">
        <v>3</v>
      </c>
      <c r="I7689" s="244">
        <v>1</v>
      </c>
      <c r="J7689" s="244">
        <v>4</v>
      </c>
      <c r="K7689" s="244">
        <v>5</v>
      </c>
      <c r="L7689" s="244">
        <v>5</v>
      </c>
      <c r="M7689" s="244">
        <v>3</v>
      </c>
      <c r="N7689" s="244">
        <v>0</v>
      </c>
      <c r="O7689" s="254">
        <v>0</v>
      </c>
    </row>
    <row r="7690" ht="14.25" spans="1:15">
      <c r="A7690" s="245" t="s">
        <v>68</v>
      </c>
      <c r="B7690" s="52" t="s">
        <v>64</v>
      </c>
      <c r="C7690" s="19">
        <v>0.465753424657534</v>
      </c>
      <c r="D7690" s="246">
        <v>0.75</v>
      </c>
      <c r="E7690" s="246">
        <v>0.428571428571429</v>
      </c>
      <c r="F7690" s="246">
        <v>0.5</v>
      </c>
      <c r="G7690" s="246">
        <v>0.461538461538462</v>
      </c>
      <c r="H7690" s="246">
        <v>0.5</v>
      </c>
      <c r="I7690" s="246">
        <v>0.25</v>
      </c>
      <c r="J7690" s="246">
        <v>0.444444444444444</v>
      </c>
      <c r="K7690" s="246">
        <v>0.833333333333333</v>
      </c>
      <c r="L7690" s="246">
        <v>0.714285714285714</v>
      </c>
      <c r="M7690" s="246">
        <v>0.6</v>
      </c>
      <c r="N7690" s="246">
        <v>0</v>
      </c>
      <c r="O7690" s="255">
        <v>0</v>
      </c>
    </row>
    <row r="7691" spans="1:15">
      <c r="A7691" s="240" t="s">
        <v>69</v>
      </c>
      <c r="B7691" s="47" t="s">
        <v>55</v>
      </c>
      <c r="C7691" s="12">
        <v>0.902173913043478</v>
      </c>
      <c r="D7691" s="241">
        <v>0.75</v>
      </c>
      <c r="E7691" s="241">
        <v>1.14285714285714</v>
      </c>
      <c r="F7691" s="241">
        <v>0.928571428571429</v>
      </c>
      <c r="G7691" s="241">
        <v>0.583333333333333</v>
      </c>
      <c r="H7691" s="241">
        <v>1.125</v>
      </c>
      <c r="I7691" s="241">
        <v>0.772727272727273</v>
      </c>
      <c r="J7691" s="241">
        <v>1.125</v>
      </c>
      <c r="K7691" s="241">
        <v>0.828571428571429</v>
      </c>
      <c r="L7691" s="241">
        <v>0.931034482758621</v>
      </c>
      <c r="M7691" s="241">
        <v>0.916666666666667</v>
      </c>
      <c r="N7691" s="241">
        <v>1.04166666666667</v>
      </c>
      <c r="O7691" s="252">
        <v>0.8</v>
      </c>
    </row>
    <row r="7692" spans="1:15">
      <c r="A7692" s="242" t="s">
        <v>69</v>
      </c>
      <c r="B7692" s="43" t="s">
        <v>57</v>
      </c>
      <c r="C7692" s="15">
        <v>276</v>
      </c>
      <c r="D7692" s="243">
        <v>28</v>
      </c>
      <c r="E7692" s="243">
        <v>21</v>
      </c>
      <c r="F7692" s="243">
        <v>14</v>
      </c>
      <c r="G7692" s="243">
        <v>12</v>
      </c>
      <c r="H7692" s="243">
        <v>16</v>
      </c>
      <c r="I7692" s="243">
        <v>22</v>
      </c>
      <c r="J7692" s="243">
        <v>16</v>
      </c>
      <c r="K7692" s="243">
        <v>35</v>
      </c>
      <c r="L7692" s="243">
        <v>29</v>
      </c>
      <c r="M7692" s="243">
        <v>24</v>
      </c>
      <c r="N7692" s="243">
        <v>24</v>
      </c>
      <c r="O7692" s="253">
        <v>35</v>
      </c>
    </row>
    <row r="7693" spans="1:15">
      <c r="A7693" s="240" t="s">
        <v>69</v>
      </c>
      <c r="B7693" s="47" t="s">
        <v>59</v>
      </c>
      <c r="C7693" s="15">
        <v>249</v>
      </c>
      <c r="D7693" s="243">
        <v>21</v>
      </c>
      <c r="E7693" s="243">
        <v>24</v>
      </c>
      <c r="F7693" s="243">
        <v>13</v>
      </c>
      <c r="G7693" s="243">
        <v>7</v>
      </c>
      <c r="H7693" s="243">
        <v>18</v>
      </c>
      <c r="I7693" s="243">
        <v>17</v>
      </c>
      <c r="J7693" s="243">
        <v>18</v>
      </c>
      <c r="K7693" s="243">
        <v>29</v>
      </c>
      <c r="L7693" s="243">
        <v>27</v>
      </c>
      <c r="M7693" s="243">
        <v>22</v>
      </c>
      <c r="N7693" s="243">
        <v>25</v>
      </c>
      <c r="O7693" s="253">
        <v>28</v>
      </c>
    </row>
    <row r="7694" spans="1:15">
      <c r="A7694" s="242" t="s">
        <v>69</v>
      </c>
      <c r="B7694" s="43" t="s">
        <v>4</v>
      </c>
      <c r="C7694" s="15">
        <v>3</v>
      </c>
      <c r="D7694" s="244">
        <v>0</v>
      </c>
      <c r="E7694" s="244">
        <v>0</v>
      </c>
      <c r="F7694" s="244">
        <v>0</v>
      </c>
      <c r="G7694" s="244">
        <v>0</v>
      </c>
      <c r="H7694" s="244">
        <v>0</v>
      </c>
      <c r="I7694" s="244">
        <v>0</v>
      </c>
      <c r="J7694" s="244">
        <v>0</v>
      </c>
      <c r="K7694" s="244">
        <v>0</v>
      </c>
      <c r="L7694" s="244">
        <v>0</v>
      </c>
      <c r="M7694" s="244">
        <v>1</v>
      </c>
      <c r="N7694" s="244">
        <v>1</v>
      </c>
      <c r="O7694" s="254">
        <v>1</v>
      </c>
    </row>
    <row r="7695" spans="1:15">
      <c r="A7695" s="240" t="s">
        <v>69</v>
      </c>
      <c r="B7695" s="47" t="s">
        <v>5</v>
      </c>
      <c r="C7695" s="12">
        <v>0.0120481927710843</v>
      </c>
      <c r="D7695" s="241">
        <v>0</v>
      </c>
      <c r="E7695" s="241">
        <v>0</v>
      </c>
      <c r="F7695" s="241">
        <v>0</v>
      </c>
      <c r="G7695" s="241">
        <v>0</v>
      </c>
      <c r="H7695" s="241">
        <v>0</v>
      </c>
      <c r="I7695" s="241">
        <v>0</v>
      </c>
      <c r="J7695" s="241">
        <v>0</v>
      </c>
      <c r="K7695" s="241">
        <v>0</v>
      </c>
      <c r="L7695" s="241">
        <v>0</v>
      </c>
      <c r="M7695" s="241">
        <v>0.0454545454545455</v>
      </c>
      <c r="N7695" s="241">
        <v>0.04</v>
      </c>
      <c r="O7695" s="252">
        <v>0.0357142857142857</v>
      </c>
    </row>
    <row r="7696" spans="1:15">
      <c r="A7696" s="242" t="s">
        <v>69</v>
      </c>
      <c r="B7696" s="43" t="s">
        <v>6</v>
      </c>
      <c r="C7696" s="15">
        <v>0</v>
      </c>
      <c r="D7696" s="244">
        <v>0</v>
      </c>
      <c r="E7696" s="244">
        <v>0</v>
      </c>
      <c r="F7696" s="244">
        <v>0</v>
      </c>
      <c r="G7696" s="244">
        <v>0</v>
      </c>
      <c r="H7696" s="244">
        <v>0</v>
      </c>
      <c r="I7696" s="244">
        <v>0</v>
      </c>
      <c r="J7696" s="244">
        <v>0</v>
      </c>
      <c r="K7696" s="244">
        <v>0</v>
      </c>
      <c r="L7696" s="244">
        <v>0</v>
      </c>
      <c r="M7696" s="244">
        <v>0</v>
      </c>
      <c r="N7696" s="244">
        <v>0</v>
      </c>
      <c r="O7696" s="254">
        <v>0</v>
      </c>
    </row>
    <row r="7697" ht="14.25" spans="1:15">
      <c r="A7697" s="245" t="s">
        <v>69</v>
      </c>
      <c r="B7697" s="52" t="s">
        <v>64</v>
      </c>
      <c r="C7697" s="19">
        <v>0</v>
      </c>
      <c r="D7697" s="246">
        <v>0</v>
      </c>
      <c r="E7697" s="246">
        <v>0</v>
      </c>
      <c r="F7697" s="246">
        <v>0</v>
      </c>
      <c r="G7697" s="246">
        <v>0</v>
      </c>
      <c r="H7697" s="246">
        <v>0</v>
      </c>
      <c r="I7697" s="246">
        <v>0</v>
      </c>
      <c r="J7697" s="246">
        <v>0</v>
      </c>
      <c r="K7697" s="246">
        <v>0</v>
      </c>
      <c r="L7697" s="246">
        <v>0</v>
      </c>
      <c r="M7697" s="246">
        <v>0</v>
      </c>
      <c r="N7697" s="246">
        <v>0</v>
      </c>
      <c r="O7697" s="255">
        <v>0</v>
      </c>
    </row>
    <row r="7698" spans="1:15">
      <c r="A7698" s="240" t="s">
        <v>70</v>
      </c>
      <c r="B7698" s="47" t="s">
        <v>55</v>
      </c>
      <c r="C7698" s="12">
        <v>0.783317353787152</v>
      </c>
      <c r="D7698" s="241">
        <v>0.652892561983471</v>
      </c>
      <c r="E7698" s="241">
        <v>1</v>
      </c>
      <c r="F7698" s="241">
        <v>1.15384615384615</v>
      </c>
      <c r="G7698" s="241">
        <v>0.431818181818182</v>
      </c>
      <c r="H7698" s="241">
        <v>0.592105263157895</v>
      </c>
      <c r="I7698" s="241">
        <v>0.822916666666667</v>
      </c>
      <c r="J7698" s="241">
        <v>0.737373737373737</v>
      </c>
      <c r="K7698" s="241">
        <v>0.628787878787879</v>
      </c>
      <c r="L7698" s="241">
        <v>0.825242718446602</v>
      </c>
      <c r="M7698" s="241">
        <v>1.0625</v>
      </c>
      <c r="N7698" s="241">
        <v>0.674418604651163</v>
      </c>
      <c r="O7698" s="252">
        <v>1.16129032258065</v>
      </c>
    </row>
    <row r="7699" spans="1:15">
      <c r="A7699" s="242" t="s">
        <v>70</v>
      </c>
      <c r="B7699" s="43" t="s">
        <v>57</v>
      </c>
      <c r="C7699" s="15">
        <v>1043</v>
      </c>
      <c r="D7699" s="243">
        <v>121</v>
      </c>
      <c r="E7699" s="243">
        <v>44</v>
      </c>
      <c r="F7699" s="243">
        <v>26</v>
      </c>
      <c r="G7699" s="243">
        <v>44</v>
      </c>
      <c r="H7699" s="243">
        <v>76</v>
      </c>
      <c r="I7699" s="243">
        <v>96</v>
      </c>
      <c r="J7699" s="243">
        <v>99</v>
      </c>
      <c r="K7699" s="243">
        <v>132</v>
      </c>
      <c r="L7699" s="243">
        <v>103</v>
      </c>
      <c r="M7699" s="243">
        <v>80</v>
      </c>
      <c r="N7699" s="243">
        <v>129</v>
      </c>
      <c r="O7699" s="253">
        <v>93</v>
      </c>
    </row>
    <row r="7700" spans="1:15">
      <c r="A7700" s="240" t="s">
        <v>70</v>
      </c>
      <c r="B7700" s="47" t="s">
        <v>59</v>
      </c>
      <c r="C7700" s="15">
        <v>817</v>
      </c>
      <c r="D7700" s="243">
        <v>79</v>
      </c>
      <c r="E7700" s="243">
        <v>44</v>
      </c>
      <c r="F7700" s="243">
        <v>30</v>
      </c>
      <c r="G7700" s="243">
        <v>19</v>
      </c>
      <c r="H7700" s="243">
        <v>45</v>
      </c>
      <c r="I7700" s="243">
        <v>79</v>
      </c>
      <c r="J7700" s="243">
        <v>73</v>
      </c>
      <c r="K7700" s="243">
        <v>83</v>
      </c>
      <c r="L7700" s="243">
        <v>85</v>
      </c>
      <c r="M7700" s="243">
        <v>85</v>
      </c>
      <c r="N7700" s="243">
        <v>87</v>
      </c>
      <c r="O7700" s="253">
        <v>108</v>
      </c>
    </row>
    <row r="7701" spans="1:15">
      <c r="A7701" s="242" t="s">
        <v>70</v>
      </c>
      <c r="B7701" s="43" t="s">
        <v>4</v>
      </c>
      <c r="C7701" s="15">
        <v>28</v>
      </c>
      <c r="D7701" s="244">
        <v>5</v>
      </c>
      <c r="E7701" s="244">
        <v>2</v>
      </c>
      <c r="F7701" s="244">
        <v>4</v>
      </c>
      <c r="G7701" s="244">
        <v>1</v>
      </c>
      <c r="H7701" s="244">
        <v>2</v>
      </c>
      <c r="I7701" s="244">
        <v>1</v>
      </c>
      <c r="J7701" s="244">
        <v>1</v>
      </c>
      <c r="K7701" s="244">
        <v>3</v>
      </c>
      <c r="L7701" s="244">
        <v>2</v>
      </c>
      <c r="M7701" s="244">
        <v>0</v>
      </c>
      <c r="N7701" s="244">
        <v>2</v>
      </c>
      <c r="O7701" s="254">
        <v>5</v>
      </c>
    </row>
    <row r="7702" spans="1:15">
      <c r="A7702" s="240" t="s">
        <v>70</v>
      </c>
      <c r="B7702" s="47" t="s">
        <v>5</v>
      </c>
      <c r="C7702" s="12">
        <v>0.0342717258261934</v>
      </c>
      <c r="D7702" s="241">
        <v>0.0632911392405063</v>
      </c>
      <c r="E7702" s="241">
        <v>0.0454545454545455</v>
      </c>
      <c r="F7702" s="241">
        <v>0.133333333333333</v>
      </c>
      <c r="G7702" s="241">
        <v>0.0526315789473684</v>
      </c>
      <c r="H7702" s="241">
        <v>0.0444444444444444</v>
      </c>
      <c r="I7702" s="241">
        <v>0.0126582278481013</v>
      </c>
      <c r="J7702" s="241">
        <v>0.0136986301369863</v>
      </c>
      <c r="K7702" s="241">
        <v>0.036144578313253</v>
      </c>
      <c r="L7702" s="241">
        <v>0.0235294117647059</v>
      </c>
      <c r="M7702" s="241">
        <v>0</v>
      </c>
      <c r="N7702" s="241">
        <v>0.0229885057471264</v>
      </c>
      <c r="O7702" s="252">
        <v>0.0462962962962963</v>
      </c>
    </row>
    <row r="7703" spans="1:15">
      <c r="A7703" s="242" t="s">
        <v>70</v>
      </c>
      <c r="B7703" s="43" t="s">
        <v>6</v>
      </c>
      <c r="C7703" s="15">
        <v>7</v>
      </c>
      <c r="D7703" s="244">
        <v>1</v>
      </c>
      <c r="E7703" s="244">
        <v>0</v>
      </c>
      <c r="F7703" s="244">
        <v>0</v>
      </c>
      <c r="G7703" s="244">
        <v>1</v>
      </c>
      <c r="H7703" s="244">
        <v>2</v>
      </c>
      <c r="I7703" s="244">
        <v>1</v>
      </c>
      <c r="J7703" s="244">
        <v>0</v>
      </c>
      <c r="K7703" s="244">
        <v>1</v>
      </c>
      <c r="L7703" s="244">
        <v>0</v>
      </c>
      <c r="M7703" s="244">
        <v>0</v>
      </c>
      <c r="N7703" s="244">
        <v>0</v>
      </c>
      <c r="O7703" s="254">
        <v>1</v>
      </c>
    </row>
    <row r="7704" ht="14.25" spans="1:15">
      <c r="A7704" s="245" t="s">
        <v>70</v>
      </c>
      <c r="B7704" s="52" t="s">
        <v>64</v>
      </c>
      <c r="C7704" s="19">
        <v>0.25</v>
      </c>
      <c r="D7704" s="246">
        <v>0.2</v>
      </c>
      <c r="E7704" s="246">
        <v>0</v>
      </c>
      <c r="F7704" s="246">
        <v>0</v>
      </c>
      <c r="G7704" s="246">
        <v>1</v>
      </c>
      <c r="H7704" s="246">
        <v>1</v>
      </c>
      <c r="I7704" s="246">
        <v>1</v>
      </c>
      <c r="J7704" s="246">
        <v>0</v>
      </c>
      <c r="K7704" s="246">
        <v>0.333333333333333</v>
      </c>
      <c r="L7704" s="246">
        <v>0</v>
      </c>
      <c r="M7704" s="246">
        <v>0</v>
      </c>
      <c r="N7704" s="246">
        <v>0</v>
      </c>
      <c r="O7704" s="255">
        <v>0.2</v>
      </c>
    </row>
    <row r="7705" spans="1:15">
      <c r="A7705" s="240" t="s">
        <v>26</v>
      </c>
      <c r="B7705" s="47" t="s">
        <v>55</v>
      </c>
      <c r="C7705" s="12">
        <v>0.978915662650602</v>
      </c>
      <c r="D7705" s="241">
        <v>1.13609467455621</v>
      </c>
      <c r="E7705" s="241">
        <v>1.125</v>
      </c>
      <c r="F7705" s="241">
        <v>1.03333333333333</v>
      </c>
      <c r="G7705" s="241">
        <v>1.26506024096386</v>
      </c>
      <c r="H7705" s="241">
        <v>1.0234375</v>
      </c>
      <c r="I7705" s="241">
        <v>0.848484848484849</v>
      </c>
      <c r="J7705" s="241">
        <v>0.994949494949495</v>
      </c>
      <c r="K7705" s="241">
        <v>0.889908256880734</v>
      </c>
      <c r="L7705" s="241">
        <v>1.02525252525253</v>
      </c>
      <c r="M7705" s="241">
        <v>0.884422110552764</v>
      </c>
      <c r="N7705" s="241">
        <v>0.989304812834225</v>
      </c>
      <c r="O7705" s="252">
        <v>0.877118644067797</v>
      </c>
    </row>
    <row r="7706" spans="1:15">
      <c r="A7706" s="242" t="s">
        <v>26</v>
      </c>
      <c r="B7706" s="43" t="s">
        <v>57</v>
      </c>
      <c r="C7706" s="15">
        <v>1992</v>
      </c>
      <c r="D7706" s="243">
        <v>169</v>
      </c>
      <c r="E7706" s="243">
        <v>88</v>
      </c>
      <c r="F7706" s="243">
        <v>90</v>
      </c>
      <c r="G7706" s="243">
        <v>83</v>
      </c>
      <c r="H7706" s="243">
        <v>128</v>
      </c>
      <c r="I7706" s="243">
        <v>198</v>
      </c>
      <c r="J7706" s="243">
        <v>198</v>
      </c>
      <c r="K7706" s="243">
        <v>218</v>
      </c>
      <c r="L7706" s="243">
        <v>198</v>
      </c>
      <c r="M7706" s="243">
        <v>199</v>
      </c>
      <c r="N7706" s="243">
        <v>187</v>
      </c>
      <c r="O7706" s="253">
        <v>236</v>
      </c>
    </row>
    <row r="7707" spans="1:15">
      <c r="A7707" s="240" t="s">
        <v>26</v>
      </c>
      <c r="B7707" s="47" t="s">
        <v>59</v>
      </c>
      <c r="C7707" s="15">
        <v>1950</v>
      </c>
      <c r="D7707" s="243">
        <v>192</v>
      </c>
      <c r="E7707" s="243">
        <v>99</v>
      </c>
      <c r="F7707" s="243">
        <v>93</v>
      </c>
      <c r="G7707" s="243">
        <v>105</v>
      </c>
      <c r="H7707" s="243">
        <v>131</v>
      </c>
      <c r="I7707" s="243">
        <v>168</v>
      </c>
      <c r="J7707" s="243">
        <v>197</v>
      </c>
      <c r="K7707" s="243">
        <v>194</v>
      </c>
      <c r="L7707" s="243">
        <v>203</v>
      </c>
      <c r="M7707" s="243">
        <v>176</v>
      </c>
      <c r="N7707" s="243">
        <v>185</v>
      </c>
      <c r="O7707" s="253">
        <v>207</v>
      </c>
    </row>
    <row r="7708" spans="1:15">
      <c r="A7708" s="242" t="s">
        <v>26</v>
      </c>
      <c r="B7708" s="43" t="s">
        <v>4</v>
      </c>
      <c r="C7708" s="15">
        <v>28</v>
      </c>
      <c r="D7708" s="244">
        <v>6</v>
      </c>
      <c r="E7708" s="244">
        <v>1</v>
      </c>
      <c r="F7708" s="244">
        <v>2</v>
      </c>
      <c r="G7708" s="244">
        <v>3</v>
      </c>
      <c r="H7708" s="244">
        <v>1</v>
      </c>
      <c r="I7708" s="244">
        <v>1</v>
      </c>
      <c r="J7708" s="244">
        <v>1</v>
      </c>
      <c r="K7708" s="244">
        <v>3</v>
      </c>
      <c r="L7708" s="244">
        <v>2</v>
      </c>
      <c r="M7708" s="244">
        <v>4</v>
      </c>
      <c r="N7708" s="244">
        <v>3</v>
      </c>
      <c r="O7708" s="254">
        <v>1</v>
      </c>
    </row>
    <row r="7709" spans="1:15">
      <c r="A7709" s="240" t="s">
        <v>26</v>
      </c>
      <c r="B7709" s="47" t="s">
        <v>5</v>
      </c>
      <c r="C7709" s="12">
        <v>0.0143589743589744</v>
      </c>
      <c r="D7709" s="241">
        <v>0.03125</v>
      </c>
      <c r="E7709" s="241">
        <v>0.0101010101010101</v>
      </c>
      <c r="F7709" s="241">
        <v>0.021505376344086</v>
      </c>
      <c r="G7709" s="241">
        <v>0.0285714285714286</v>
      </c>
      <c r="H7709" s="241">
        <v>0.00763358778625954</v>
      </c>
      <c r="I7709" s="241">
        <v>0.00595238095238095</v>
      </c>
      <c r="J7709" s="241">
        <v>0.0050761421319797</v>
      </c>
      <c r="K7709" s="241">
        <v>0.0154639175257732</v>
      </c>
      <c r="L7709" s="241">
        <v>0.00985221674876847</v>
      </c>
      <c r="M7709" s="241">
        <v>0.0227272727272727</v>
      </c>
      <c r="N7709" s="241">
        <v>0.0162162162162162</v>
      </c>
      <c r="O7709" s="252">
        <v>0.00483091787439614</v>
      </c>
    </row>
    <row r="7710" spans="1:15">
      <c r="A7710" s="242" t="s">
        <v>26</v>
      </c>
      <c r="B7710" s="43" t="s">
        <v>6</v>
      </c>
      <c r="C7710" s="15">
        <v>7</v>
      </c>
      <c r="D7710" s="244">
        <v>2</v>
      </c>
      <c r="E7710" s="244">
        <v>3</v>
      </c>
      <c r="F7710" s="244">
        <v>0</v>
      </c>
      <c r="G7710" s="244">
        <v>0</v>
      </c>
      <c r="H7710" s="244">
        <v>1</v>
      </c>
      <c r="I7710" s="244">
        <v>0</v>
      </c>
      <c r="J7710" s="244">
        <v>0</v>
      </c>
      <c r="K7710" s="244">
        <v>0</v>
      </c>
      <c r="L7710" s="244">
        <v>0</v>
      </c>
      <c r="M7710" s="244">
        <v>0</v>
      </c>
      <c r="N7710" s="244">
        <v>0</v>
      </c>
      <c r="O7710" s="254">
        <v>1</v>
      </c>
    </row>
    <row r="7711" ht="14.25" spans="1:15">
      <c r="A7711" s="245" t="s">
        <v>26</v>
      </c>
      <c r="B7711" s="52" t="s">
        <v>64</v>
      </c>
      <c r="C7711" s="19">
        <v>0.25</v>
      </c>
      <c r="D7711" s="19">
        <v>0.333333333333333</v>
      </c>
      <c r="E7711" s="19">
        <v>3</v>
      </c>
      <c r="F7711" s="19">
        <v>0</v>
      </c>
      <c r="G7711" s="19">
        <v>0</v>
      </c>
      <c r="H7711" s="19">
        <v>1</v>
      </c>
      <c r="I7711" s="19">
        <v>0</v>
      </c>
      <c r="J7711" s="19">
        <v>0</v>
      </c>
      <c r="K7711" s="19">
        <v>0</v>
      </c>
      <c r="L7711" s="19">
        <v>0</v>
      </c>
      <c r="M7711" s="19">
        <v>0</v>
      </c>
      <c r="N7711" s="19">
        <v>0</v>
      </c>
      <c r="O7711" s="19">
        <v>1</v>
      </c>
    </row>
    <row r="7712" spans="1:15">
      <c r="A7712" s="240" t="s">
        <v>71</v>
      </c>
      <c r="B7712" s="47" t="s">
        <v>55</v>
      </c>
      <c r="C7712" s="12">
        <v>0.102669404517454</v>
      </c>
      <c r="D7712" s="241">
        <v>0.111111111111111</v>
      </c>
      <c r="E7712" s="241">
        <v>0.157894736842105</v>
      </c>
      <c r="F7712" s="241">
        <v>0.0833333333333333</v>
      </c>
      <c r="G7712" s="241">
        <v>0.0769230769230769</v>
      </c>
      <c r="H7712" s="241">
        <v>0.272727272727273</v>
      </c>
      <c r="I7712" s="241">
        <v>0.1</v>
      </c>
      <c r="J7712" s="241">
        <v>0.0769230769230769</v>
      </c>
      <c r="K7712" s="241">
        <v>0.136363636363636</v>
      </c>
      <c r="L7712" s="241">
        <v>0.125</v>
      </c>
      <c r="M7712" s="241">
        <v>0.0925925925925926</v>
      </c>
      <c r="N7712" s="241">
        <v>0.0350877192982456</v>
      </c>
      <c r="O7712" s="252">
        <v>0.0238095238095238</v>
      </c>
    </row>
    <row r="7713" spans="1:15">
      <c r="A7713" s="242" t="s">
        <v>71</v>
      </c>
      <c r="B7713" s="43" t="s">
        <v>57</v>
      </c>
      <c r="C7713" s="15">
        <v>487</v>
      </c>
      <c r="D7713" s="243">
        <v>45</v>
      </c>
      <c r="E7713" s="243">
        <v>38</v>
      </c>
      <c r="F7713" s="243">
        <v>12</v>
      </c>
      <c r="G7713" s="243">
        <v>26</v>
      </c>
      <c r="H7713" s="243">
        <v>22</v>
      </c>
      <c r="I7713" s="243">
        <v>30</v>
      </c>
      <c r="J7713" s="243">
        <v>39</v>
      </c>
      <c r="K7713" s="243">
        <v>66</v>
      </c>
      <c r="L7713" s="243">
        <v>56</v>
      </c>
      <c r="M7713" s="243">
        <v>54</v>
      </c>
      <c r="N7713" s="243">
        <v>57</v>
      </c>
      <c r="O7713" s="253">
        <v>42</v>
      </c>
    </row>
    <row r="7714" spans="1:15">
      <c r="A7714" s="240" t="s">
        <v>71</v>
      </c>
      <c r="B7714" s="47" t="s">
        <v>59</v>
      </c>
      <c r="C7714" s="309">
        <v>50</v>
      </c>
      <c r="D7714" s="310">
        <v>5</v>
      </c>
      <c r="E7714" s="310">
        <v>6</v>
      </c>
      <c r="F7714" s="310">
        <v>1</v>
      </c>
      <c r="G7714" s="310">
        <v>2</v>
      </c>
      <c r="H7714" s="310">
        <v>6</v>
      </c>
      <c r="I7714" s="310">
        <v>3</v>
      </c>
      <c r="J7714" s="310">
        <v>3</v>
      </c>
      <c r="K7714" s="310">
        <v>9</v>
      </c>
      <c r="L7714" s="310">
        <v>7</v>
      </c>
      <c r="M7714" s="310">
        <v>5</v>
      </c>
      <c r="N7714" s="310">
        <v>2</v>
      </c>
      <c r="O7714" s="311">
        <v>1</v>
      </c>
    </row>
    <row r="7715" spans="1:15">
      <c r="A7715" s="242" t="s">
        <v>71</v>
      </c>
      <c r="B7715" s="43" t="s">
        <v>4</v>
      </c>
      <c r="C7715" s="15">
        <v>11</v>
      </c>
      <c r="D7715" s="244">
        <v>2</v>
      </c>
      <c r="E7715" s="244">
        <v>5</v>
      </c>
      <c r="F7715" s="244">
        <v>1</v>
      </c>
      <c r="G7715" s="244">
        <v>1</v>
      </c>
      <c r="H7715" s="244">
        <v>0</v>
      </c>
      <c r="I7715" s="244">
        <v>1</v>
      </c>
      <c r="J7715" s="244">
        <v>1</v>
      </c>
      <c r="K7715" s="244">
        <v>0</v>
      </c>
      <c r="L7715" s="244">
        <v>0</v>
      </c>
      <c r="M7715" s="244">
        <v>0</v>
      </c>
      <c r="N7715" s="244">
        <v>0</v>
      </c>
      <c r="O7715" s="254">
        <v>0</v>
      </c>
    </row>
    <row r="7716" spans="1:15">
      <c r="A7716" s="240" t="s">
        <v>71</v>
      </c>
      <c r="B7716" s="47" t="s">
        <v>5</v>
      </c>
      <c r="C7716" s="241">
        <v>0.22</v>
      </c>
      <c r="D7716" s="241">
        <v>0.4</v>
      </c>
      <c r="E7716" s="241">
        <v>0.833333333333333</v>
      </c>
      <c r="F7716" s="241">
        <v>1</v>
      </c>
      <c r="G7716" s="241">
        <v>0.5</v>
      </c>
      <c r="H7716" s="241">
        <v>0</v>
      </c>
      <c r="I7716" s="241">
        <v>0.333333333333333</v>
      </c>
      <c r="J7716" s="241">
        <v>0.333333333333333</v>
      </c>
      <c r="K7716" s="241">
        <v>0</v>
      </c>
      <c r="L7716" s="241">
        <v>0</v>
      </c>
      <c r="M7716" s="241">
        <v>0</v>
      </c>
      <c r="N7716" s="241">
        <v>0</v>
      </c>
      <c r="O7716" s="252">
        <v>0</v>
      </c>
    </row>
    <row r="7717" spans="1:15">
      <c r="A7717" s="242" t="s">
        <v>71</v>
      </c>
      <c r="B7717" s="43" t="s">
        <v>6</v>
      </c>
      <c r="C7717" s="15">
        <v>4</v>
      </c>
      <c r="D7717" s="244">
        <v>0</v>
      </c>
      <c r="E7717" s="244">
        <v>1</v>
      </c>
      <c r="F7717" s="244">
        <v>0</v>
      </c>
      <c r="G7717" s="244">
        <v>0</v>
      </c>
      <c r="H7717" s="244">
        <v>0</v>
      </c>
      <c r="I7717" s="244">
        <v>0</v>
      </c>
      <c r="J7717" s="244">
        <v>2</v>
      </c>
      <c r="K7717" s="244">
        <v>0</v>
      </c>
      <c r="L7717" s="244">
        <v>1</v>
      </c>
      <c r="M7717" s="244">
        <v>0</v>
      </c>
      <c r="N7717" s="244">
        <v>0</v>
      </c>
      <c r="O7717" s="254">
        <v>0</v>
      </c>
    </row>
    <row r="7718" ht="14.25" spans="1:15">
      <c r="A7718" s="245" t="s">
        <v>71</v>
      </c>
      <c r="B7718" s="52" t="s">
        <v>64</v>
      </c>
      <c r="C7718" s="19">
        <v>0.363636363636364</v>
      </c>
      <c r="D7718" s="19">
        <v>0</v>
      </c>
      <c r="E7718" s="19">
        <v>0.2</v>
      </c>
      <c r="F7718" s="19">
        <v>0</v>
      </c>
      <c r="G7718" s="19">
        <v>0</v>
      </c>
      <c r="H7718" s="19" t="e">
        <v>#DIV/0!</v>
      </c>
      <c r="I7718" s="19">
        <v>0</v>
      </c>
      <c r="J7718" s="19">
        <v>2</v>
      </c>
      <c r="K7718" s="19" t="e">
        <v>#DIV/0!</v>
      </c>
      <c r="L7718" s="19" t="e">
        <v>#DIV/0!</v>
      </c>
      <c r="M7718" s="19" t="e">
        <v>#DIV/0!</v>
      </c>
      <c r="N7718" s="19" t="e">
        <v>#DIV/0!</v>
      </c>
      <c r="O7718" s="19" t="e">
        <v>#DIV/0!</v>
      </c>
    </row>
    <row r="7719" spans="1:15">
      <c r="A7719" s="240" t="s">
        <v>72</v>
      </c>
      <c r="B7719" s="47" t="s">
        <v>55</v>
      </c>
      <c r="C7719" s="12">
        <v>0.0343493273008691</v>
      </c>
      <c r="D7719" s="241">
        <v>0.0476190476190476</v>
      </c>
      <c r="E7719" s="241">
        <v>0.0563380281690141</v>
      </c>
      <c r="F7719" s="241">
        <v>0.0532150776053215</v>
      </c>
      <c r="G7719" s="241">
        <v>0.050531914893617</v>
      </c>
      <c r="H7719" s="241">
        <v>0.0355411954765751</v>
      </c>
      <c r="I7719" s="241">
        <v>0.0315112540192926</v>
      </c>
      <c r="J7719" s="241">
        <v>0.0264005151320026</v>
      </c>
      <c r="K7719" s="241">
        <v>0.0296803652968037</v>
      </c>
      <c r="L7719" s="241">
        <v>0.0248756218905473</v>
      </c>
      <c r="M7719" s="241">
        <v>0.0364077669902913</v>
      </c>
      <c r="N7719" s="241">
        <v>0.0361163227016886</v>
      </c>
      <c r="O7719" s="252">
        <v>0.0246659815005139</v>
      </c>
    </row>
    <row r="7720" spans="1:15">
      <c r="A7720" s="242" t="s">
        <v>72</v>
      </c>
      <c r="B7720" s="43" t="s">
        <v>57</v>
      </c>
      <c r="C7720" s="15">
        <v>16798</v>
      </c>
      <c r="D7720" s="243">
        <v>1323</v>
      </c>
      <c r="E7720" s="243">
        <v>639</v>
      </c>
      <c r="F7720" s="243">
        <v>451</v>
      </c>
      <c r="G7720" s="243">
        <v>752</v>
      </c>
      <c r="H7720" s="243">
        <v>1238</v>
      </c>
      <c r="I7720" s="243">
        <v>1555</v>
      </c>
      <c r="J7720" s="243">
        <v>1553</v>
      </c>
      <c r="K7720" s="243">
        <v>1752</v>
      </c>
      <c r="L7720" s="243">
        <v>1809</v>
      </c>
      <c r="M7720" s="243">
        <v>1648</v>
      </c>
      <c r="N7720" s="243">
        <v>2132</v>
      </c>
      <c r="O7720" s="253">
        <v>1946</v>
      </c>
    </row>
    <row r="7721" spans="1:15">
      <c r="A7721" s="240" t="s">
        <v>72</v>
      </c>
      <c r="B7721" s="47" t="s">
        <v>59</v>
      </c>
      <c r="C7721" s="15">
        <v>577</v>
      </c>
      <c r="D7721" s="243">
        <v>63</v>
      </c>
      <c r="E7721" s="243">
        <v>36</v>
      </c>
      <c r="F7721" s="243">
        <v>24</v>
      </c>
      <c r="G7721" s="243">
        <v>38</v>
      </c>
      <c r="H7721" s="243">
        <v>44</v>
      </c>
      <c r="I7721" s="243">
        <v>49</v>
      </c>
      <c r="J7721" s="243">
        <v>41</v>
      </c>
      <c r="K7721" s="243">
        <v>52</v>
      </c>
      <c r="L7721" s="243">
        <v>45</v>
      </c>
      <c r="M7721" s="243">
        <v>60</v>
      </c>
      <c r="N7721" s="243">
        <v>77</v>
      </c>
      <c r="O7721" s="253">
        <v>48</v>
      </c>
    </row>
    <row r="7722" spans="1:15">
      <c r="A7722" s="242" t="s">
        <v>72</v>
      </c>
      <c r="B7722" s="43" t="s">
        <v>4</v>
      </c>
      <c r="C7722" s="15">
        <v>11</v>
      </c>
      <c r="D7722" s="244">
        <v>0</v>
      </c>
      <c r="E7722" s="244">
        <v>1</v>
      </c>
      <c r="F7722" s="244">
        <v>1</v>
      </c>
      <c r="G7722" s="244">
        <v>1</v>
      </c>
      <c r="H7722" s="244">
        <v>1</v>
      </c>
      <c r="I7722" s="244">
        <v>0</v>
      </c>
      <c r="J7722" s="244">
        <v>2</v>
      </c>
      <c r="K7722" s="244">
        <v>2</v>
      </c>
      <c r="L7722" s="244">
        <v>0</v>
      </c>
      <c r="M7722" s="244">
        <v>2</v>
      </c>
      <c r="N7722" s="244">
        <v>1</v>
      </c>
      <c r="O7722" s="254">
        <v>0</v>
      </c>
    </row>
    <row r="7723" spans="1:15">
      <c r="A7723" s="240" t="s">
        <v>72</v>
      </c>
      <c r="B7723" s="47" t="s">
        <v>5</v>
      </c>
      <c r="C7723" s="12">
        <v>0.0190641247833622</v>
      </c>
      <c r="D7723" s="241">
        <v>0</v>
      </c>
      <c r="E7723" s="241">
        <v>0.0277777777777778</v>
      </c>
      <c r="F7723" s="241">
        <v>0.0416666666666667</v>
      </c>
      <c r="G7723" s="241">
        <v>0.0263157894736842</v>
      </c>
      <c r="H7723" s="241">
        <v>0.0227272727272727</v>
      </c>
      <c r="I7723" s="241">
        <v>0</v>
      </c>
      <c r="J7723" s="241">
        <v>0.0487804878048781</v>
      </c>
      <c r="K7723" s="241">
        <v>0.0384615384615385</v>
      </c>
      <c r="L7723" s="241">
        <v>0</v>
      </c>
      <c r="M7723" s="241">
        <v>0.0333333333333333</v>
      </c>
      <c r="N7723" s="241">
        <v>0.012987012987013</v>
      </c>
      <c r="O7723" s="252">
        <v>0</v>
      </c>
    </row>
    <row r="7724" spans="1:15">
      <c r="A7724" s="242" t="s">
        <v>72</v>
      </c>
      <c r="B7724" s="43" t="s">
        <v>6</v>
      </c>
      <c r="C7724" s="15">
        <v>7</v>
      </c>
      <c r="D7724" s="244">
        <v>0</v>
      </c>
      <c r="E7724" s="244">
        <v>0</v>
      </c>
      <c r="F7724" s="244">
        <v>0</v>
      </c>
      <c r="G7724" s="244">
        <v>0</v>
      </c>
      <c r="H7724" s="244">
        <v>2</v>
      </c>
      <c r="I7724" s="244">
        <v>0</v>
      </c>
      <c r="J7724" s="244">
        <v>2</v>
      </c>
      <c r="K7724" s="244">
        <v>1</v>
      </c>
      <c r="L7724" s="244">
        <v>0</v>
      </c>
      <c r="M7724" s="244">
        <v>2</v>
      </c>
      <c r="N7724" s="244">
        <v>0</v>
      </c>
      <c r="O7724" s="254">
        <v>0</v>
      </c>
    </row>
    <row r="7725" ht="14.25" spans="1:15">
      <c r="A7725" s="245" t="s">
        <v>72</v>
      </c>
      <c r="B7725" s="52" t="s">
        <v>64</v>
      </c>
      <c r="C7725" s="19">
        <v>0.636363636363636</v>
      </c>
      <c r="D7725" s="19" t="e">
        <v>#DIV/0!</v>
      </c>
      <c r="E7725" s="19">
        <v>0</v>
      </c>
      <c r="F7725" s="19">
        <v>0</v>
      </c>
      <c r="G7725" s="19">
        <v>0</v>
      </c>
      <c r="H7725" s="19">
        <v>2</v>
      </c>
      <c r="I7725" s="19" t="e">
        <v>#DIV/0!</v>
      </c>
      <c r="J7725" s="19">
        <v>1</v>
      </c>
      <c r="K7725" s="19">
        <v>0.5</v>
      </c>
      <c r="L7725" s="19" t="e">
        <v>#DIV/0!</v>
      </c>
      <c r="M7725" s="19">
        <v>1</v>
      </c>
      <c r="N7725" s="19">
        <v>0</v>
      </c>
      <c r="O7725" s="19" t="e">
        <v>#DIV/0!</v>
      </c>
    </row>
    <row r="7726" ht="14.25" spans="1:15">
      <c r="A7726" s="237">
        <v>45139</v>
      </c>
      <c r="B7726" s="237"/>
      <c r="C7726" s="237"/>
      <c r="D7726" s="237"/>
      <c r="E7726" s="237"/>
      <c r="F7726" s="237"/>
      <c r="G7726" s="237"/>
      <c r="H7726" s="237"/>
      <c r="I7726" s="237"/>
      <c r="J7726" s="237"/>
      <c r="K7726" s="237"/>
      <c r="L7726" s="237"/>
      <c r="M7726" s="237"/>
      <c r="N7726" s="237"/>
      <c r="O7726" s="237"/>
    </row>
    <row r="7727" spans="1:15">
      <c r="A7727" s="56" t="s">
        <v>1</v>
      </c>
      <c r="B7727" s="238"/>
      <c r="C7727" s="8" t="s">
        <v>42</v>
      </c>
      <c r="D7727" s="239" t="s">
        <v>43</v>
      </c>
      <c r="E7727" s="239" t="s">
        <v>44</v>
      </c>
      <c r="F7727" s="239" t="s">
        <v>45</v>
      </c>
      <c r="G7727" s="239" t="s">
        <v>46</v>
      </c>
      <c r="H7727" s="239" t="s">
        <v>47</v>
      </c>
      <c r="I7727" s="239" t="s">
        <v>48</v>
      </c>
      <c r="J7727" s="239" t="s">
        <v>49</v>
      </c>
      <c r="K7727" s="239" t="s">
        <v>50</v>
      </c>
      <c r="L7727" s="239" t="s">
        <v>51</v>
      </c>
      <c r="M7727" s="239" t="s">
        <v>52</v>
      </c>
      <c r="N7727" s="239" t="s">
        <v>53</v>
      </c>
      <c r="O7727" s="251" t="s">
        <v>54</v>
      </c>
    </row>
    <row r="7728" spans="1:15">
      <c r="A7728" s="240" t="s">
        <v>22</v>
      </c>
      <c r="B7728" s="47" t="s">
        <v>55</v>
      </c>
      <c r="C7728" s="12">
        <v>0.445568114217728</v>
      </c>
      <c r="D7728" s="241">
        <v>0.486842105263158</v>
      </c>
      <c r="E7728" s="241">
        <v>0.695652173913043</v>
      </c>
      <c r="F7728" s="241">
        <v>0.355932203389831</v>
      </c>
      <c r="G7728" s="241">
        <v>0.546875</v>
      </c>
      <c r="H7728" s="241">
        <v>0.482758620689655</v>
      </c>
      <c r="I7728" s="241">
        <v>0.483333333333333</v>
      </c>
      <c r="J7728" s="241">
        <v>0.451807228915663</v>
      </c>
      <c r="K7728" s="241">
        <v>0.420792079207921</v>
      </c>
      <c r="L7728" s="241">
        <v>0.5</v>
      </c>
      <c r="M7728" s="241">
        <v>0.441379310344828</v>
      </c>
      <c r="N7728" s="241">
        <v>0.352941176470588</v>
      </c>
      <c r="O7728" s="252">
        <v>0.352422907488987</v>
      </c>
    </row>
    <row r="7729" spans="1:15">
      <c r="A7729" s="242" t="s">
        <v>22</v>
      </c>
      <c r="B7729" s="43" t="s">
        <v>57</v>
      </c>
      <c r="C7729" s="15">
        <v>1681</v>
      </c>
      <c r="D7729" s="243">
        <v>152</v>
      </c>
      <c r="E7729" s="243">
        <v>69</v>
      </c>
      <c r="F7729" s="243">
        <v>59</v>
      </c>
      <c r="G7729" s="243">
        <v>64</v>
      </c>
      <c r="H7729" s="243">
        <v>116</v>
      </c>
      <c r="I7729" s="243">
        <v>120</v>
      </c>
      <c r="J7729" s="243">
        <v>166</v>
      </c>
      <c r="K7729" s="243">
        <v>202</v>
      </c>
      <c r="L7729" s="243">
        <v>174</v>
      </c>
      <c r="M7729" s="243">
        <v>145</v>
      </c>
      <c r="N7729" s="243">
        <v>187</v>
      </c>
      <c r="O7729" s="253">
        <v>227</v>
      </c>
    </row>
    <row r="7730" spans="1:15">
      <c r="A7730" s="240" t="s">
        <v>22</v>
      </c>
      <c r="B7730" s="47" t="s">
        <v>59</v>
      </c>
      <c r="C7730" s="15">
        <v>749</v>
      </c>
      <c r="D7730" s="243">
        <v>74</v>
      </c>
      <c r="E7730" s="243">
        <v>48</v>
      </c>
      <c r="F7730" s="243">
        <v>21</v>
      </c>
      <c r="G7730" s="243">
        <v>35</v>
      </c>
      <c r="H7730" s="243">
        <v>56</v>
      </c>
      <c r="I7730" s="243">
        <v>58</v>
      </c>
      <c r="J7730" s="243">
        <v>75</v>
      </c>
      <c r="K7730" s="243">
        <v>85</v>
      </c>
      <c r="L7730" s="243">
        <v>87</v>
      </c>
      <c r="M7730" s="243">
        <v>64</v>
      </c>
      <c r="N7730" s="243">
        <v>66</v>
      </c>
      <c r="O7730" s="253">
        <v>80</v>
      </c>
    </row>
    <row r="7731" spans="1:15">
      <c r="A7731" s="242" t="s">
        <v>22</v>
      </c>
      <c r="B7731" s="43" t="s">
        <v>4</v>
      </c>
      <c r="C7731" s="15">
        <v>35</v>
      </c>
      <c r="D7731" s="244">
        <v>7</v>
      </c>
      <c r="E7731" s="244">
        <v>1</v>
      </c>
      <c r="F7731" s="244">
        <v>0</v>
      </c>
      <c r="G7731" s="244">
        <v>0</v>
      </c>
      <c r="H7731" s="244">
        <v>3</v>
      </c>
      <c r="I7731" s="244">
        <v>4</v>
      </c>
      <c r="J7731" s="244">
        <v>4</v>
      </c>
      <c r="K7731" s="244">
        <v>1</v>
      </c>
      <c r="L7731" s="244">
        <v>6</v>
      </c>
      <c r="M7731" s="244">
        <v>2</v>
      </c>
      <c r="N7731" s="244">
        <v>3</v>
      </c>
      <c r="O7731" s="254">
        <v>4</v>
      </c>
    </row>
    <row r="7732" spans="1:15">
      <c r="A7732" s="240" t="s">
        <v>22</v>
      </c>
      <c r="B7732" s="47" t="s">
        <v>5</v>
      </c>
      <c r="C7732" s="12">
        <v>0.0467289719626168</v>
      </c>
      <c r="D7732" s="241">
        <v>0.0945945945945946</v>
      </c>
      <c r="E7732" s="241">
        <v>0.0208333333333333</v>
      </c>
      <c r="F7732" s="241">
        <v>0</v>
      </c>
      <c r="G7732" s="241">
        <v>0</v>
      </c>
      <c r="H7732" s="241">
        <v>0.0535714285714286</v>
      </c>
      <c r="I7732" s="241">
        <v>0.0689655172413793</v>
      </c>
      <c r="J7732" s="241">
        <v>0.0533333333333333</v>
      </c>
      <c r="K7732" s="241">
        <v>0.0117647058823529</v>
      </c>
      <c r="L7732" s="241">
        <v>0.0689655172413793</v>
      </c>
      <c r="M7732" s="241">
        <v>0.03125</v>
      </c>
      <c r="N7732" s="241">
        <v>0.0454545454545455</v>
      </c>
      <c r="O7732" s="252">
        <v>0.05</v>
      </c>
    </row>
    <row r="7733" spans="1:15">
      <c r="A7733" s="242" t="s">
        <v>22</v>
      </c>
      <c r="B7733" s="43" t="s">
        <v>6</v>
      </c>
      <c r="C7733" s="15">
        <v>7</v>
      </c>
      <c r="D7733" s="244">
        <v>1</v>
      </c>
      <c r="E7733" s="244">
        <v>0</v>
      </c>
      <c r="F7733" s="244">
        <v>0</v>
      </c>
      <c r="G7733" s="244">
        <v>1</v>
      </c>
      <c r="H7733" s="244">
        <v>1</v>
      </c>
      <c r="I7733" s="244">
        <v>2</v>
      </c>
      <c r="J7733" s="244">
        <v>1</v>
      </c>
      <c r="K7733" s="244">
        <v>0</v>
      </c>
      <c r="L7733" s="244">
        <v>1</v>
      </c>
      <c r="M7733" s="244">
        <v>0</v>
      </c>
      <c r="N7733" s="244">
        <v>0</v>
      </c>
      <c r="O7733" s="254">
        <v>0</v>
      </c>
    </row>
    <row r="7734" ht="14.25" spans="1:15">
      <c r="A7734" s="245" t="s">
        <v>22</v>
      </c>
      <c r="B7734" s="52" t="s">
        <v>64</v>
      </c>
      <c r="C7734" s="19">
        <v>0.2</v>
      </c>
      <c r="D7734" s="246">
        <v>0.142857142857143</v>
      </c>
      <c r="E7734" s="246">
        <v>0</v>
      </c>
      <c r="F7734" s="246">
        <v>0</v>
      </c>
      <c r="G7734" s="246">
        <v>0</v>
      </c>
      <c r="H7734" s="246">
        <v>0.333333333333333</v>
      </c>
      <c r="I7734" s="246">
        <v>0.5</v>
      </c>
      <c r="J7734" s="246">
        <v>0.25</v>
      </c>
      <c r="K7734" s="246">
        <v>0</v>
      </c>
      <c r="L7734" s="246">
        <v>0.166666666666667</v>
      </c>
      <c r="M7734" s="246">
        <v>0</v>
      </c>
      <c r="N7734" s="246">
        <v>0</v>
      </c>
      <c r="O7734" s="255">
        <v>0</v>
      </c>
    </row>
    <row r="7735" spans="1:15">
      <c r="A7735" s="247" t="s">
        <v>66</v>
      </c>
      <c r="B7735" s="248" t="s">
        <v>55</v>
      </c>
      <c r="C7735" s="12">
        <v>0.084522809963616</v>
      </c>
      <c r="D7735" s="249">
        <v>0.0918727915194346</v>
      </c>
      <c r="E7735" s="249">
        <v>0.0803571428571429</v>
      </c>
      <c r="F7735" s="249">
        <v>0.106870229007634</v>
      </c>
      <c r="G7735" s="249">
        <v>0.08</v>
      </c>
      <c r="H7735" s="249">
        <v>0.0979591836734694</v>
      </c>
      <c r="I7735" s="249">
        <v>0.0869565217391304</v>
      </c>
      <c r="J7735" s="249">
        <v>0.086053412462908</v>
      </c>
      <c r="K7735" s="249">
        <v>0.0898345153664303</v>
      </c>
      <c r="L7735" s="249">
        <v>0.0854922279792746</v>
      </c>
      <c r="M7735" s="249">
        <v>0.0882352941176471</v>
      </c>
      <c r="N7735" s="249">
        <v>0.0746268656716418</v>
      </c>
      <c r="O7735" s="256">
        <v>0.0607734806629834</v>
      </c>
    </row>
    <row r="7736" spans="1:15">
      <c r="A7736" s="242" t="s">
        <v>66</v>
      </c>
      <c r="B7736" s="43" t="s">
        <v>57</v>
      </c>
      <c r="C7736" s="15">
        <v>3573</v>
      </c>
      <c r="D7736" s="243">
        <v>283</v>
      </c>
      <c r="E7736" s="243">
        <v>224</v>
      </c>
      <c r="F7736" s="243">
        <v>131</v>
      </c>
      <c r="G7736" s="243">
        <v>150</v>
      </c>
      <c r="H7736" s="243">
        <v>245</v>
      </c>
      <c r="I7736" s="243">
        <v>391</v>
      </c>
      <c r="J7736" s="243">
        <v>337</v>
      </c>
      <c r="K7736" s="243">
        <v>423</v>
      </c>
      <c r="L7736" s="243">
        <v>386</v>
      </c>
      <c r="M7736" s="243">
        <v>306</v>
      </c>
      <c r="N7736" s="243">
        <v>335</v>
      </c>
      <c r="O7736" s="253">
        <v>362</v>
      </c>
    </row>
    <row r="7737" spans="1:15">
      <c r="A7737" s="240" t="s">
        <v>66</v>
      </c>
      <c r="B7737" s="47" t="s">
        <v>59</v>
      </c>
      <c r="C7737" s="15">
        <v>302</v>
      </c>
      <c r="D7737" s="243">
        <v>26</v>
      </c>
      <c r="E7737" s="243">
        <v>18</v>
      </c>
      <c r="F7737" s="243">
        <v>14</v>
      </c>
      <c r="G7737" s="243">
        <v>12</v>
      </c>
      <c r="H7737" s="243">
        <v>24</v>
      </c>
      <c r="I7737" s="243">
        <v>34</v>
      </c>
      <c r="J7737" s="243">
        <v>29</v>
      </c>
      <c r="K7737" s="243">
        <v>38</v>
      </c>
      <c r="L7737" s="243">
        <v>33</v>
      </c>
      <c r="M7737" s="243">
        <v>27</v>
      </c>
      <c r="N7737" s="243">
        <v>25</v>
      </c>
      <c r="O7737" s="253">
        <v>22</v>
      </c>
    </row>
    <row r="7738" spans="1:15">
      <c r="A7738" s="242" t="s">
        <v>66</v>
      </c>
      <c r="B7738" s="43" t="s">
        <v>4</v>
      </c>
      <c r="C7738" s="15">
        <v>5</v>
      </c>
      <c r="D7738" s="244">
        <v>0</v>
      </c>
      <c r="E7738" s="244">
        <v>1</v>
      </c>
      <c r="F7738" s="244">
        <v>0</v>
      </c>
      <c r="G7738" s="244">
        <v>1</v>
      </c>
      <c r="H7738" s="244">
        <v>0</v>
      </c>
      <c r="I7738" s="244">
        <v>0</v>
      </c>
      <c r="J7738" s="244">
        <v>2</v>
      </c>
      <c r="K7738" s="244">
        <v>0</v>
      </c>
      <c r="L7738" s="244">
        <v>1</v>
      </c>
      <c r="M7738" s="244">
        <v>0</v>
      </c>
      <c r="N7738" s="244">
        <v>0</v>
      </c>
      <c r="O7738" s="254">
        <v>0</v>
      </c>
    </row>
    <row r="7739" spans="1:15">
      <c r="A7739" s="240" t="s">
        <v>66</v>
      </c>
      <c r="B7739" s="47" t="s">
        <v>5</v>
      </c>
      <c r="C7739" s="12">
        <v>0.0165562913907285</v>
      </c>
      <c r="D7739" s="241">
        <v>0</v>
      </c>
      <c r="E7739" s="241">
        <v>0.0555555555555556</v>
      </c>
      <c r="F7739" s="241">
        <v>0</v>
      </c>
      <c r="G7739" s="241">
        <v>0.0833333333333333</v>
      </c>
      <c r="H7739" s="241">
        <v>0</v>
      </c>
      <c r="I7739" s="241">
        <v>0</v>
      </c>
      <c r="J7739" s="241">
        <v>0.0689655172413793</v>
      </c>
      <c r="K7739" s="241">
        <v>0</v>
      </c>
      <c r="L7739" s="241">
        <v>0.0303030303030303</v>
      </c>
      <c r="M7739" s="241">
        <v>0</v>
      </c>
      <c r="N7739" s="241">
        <v>0</v>
      </c>
      <c r="O7739" s="252">
        <v>0</v>
      </c>
    </row>
    <row r="7740" spans="1:15">
      <c r="A7740" s="242" t="s">
        <v>66</v>
      </c>
      <c r="B7740" s="43" t="s">
        <v>6</v>
      </c>
      <c r="C7740" s="15">
        <v>2</v>
      </c>
      <c r="D7740" s="244">
        <v>0</v>
      </c>
      <c r="E7740" s="244">
        <v>0</v>
      </c>
      <c r="F7740" s="244">
        <v>0</v>
      </c>
      <c r="G7740" s="244">
        <v>1</v>
      </c>
      <c r="H7740" s="244">
        <v>1</v>
      </c>
      <c r="I7740" s="244">
        <v>0</v>
      </c>
      <c r="J7740" s="244">
        <v>0</v>
      </c>
      <c r="K7740" s="244">
        <v>0</v>
      </c>
      <c r="L7740" s="244">
        <v>0</v>
      </c>
      <c r="M7740" s="244">
        <v>0</v>
      </c>
      <c r="N7740" s="244">
        <v>0</v>
      </c>
      <c r="O7740" s="254">
        <v>0</v>
      </c>
    </row>
    <row r="7741" ht="14.25" spans="1:15">
      <c r="A7741" s="245" t="s">
        <v>66</v>
      </c>
      <c r="B7741" s="52" t="s">
        <v>64</v>
      </c>
      <c r="C7741" s="19">
        <v>0.4</v>
      </c>
      <c r="D7741" s="246">
        <v>0</v>
      </c>
      <c r="E7741" s="246">
        <v>0</v>
      </c>
      <c r="F7741" s="246">
        <v>0</v>
      </c>
      <c r="G7741" s="246">
        <v>1</v>
      </c>
      <c r="H7741" s="246">
        <v>0</v>
      </c>
      <c r="I7741" s="246">
        <v>0</v>
      </c>
      <c r="J7741" s="246">
        <v>0</v>
      </c>
      <c r="K7741" s="246">
        <v>0</v>
      </c>
      <c r="L7741" s="246">
        <v>0</v>
      </c>
      <c r="M7741" s="246">
        <v>0</v>
      </c>
      <c r="N7741" s="246">
        <v>0</v>
      </c>
      <c r="O7741" s="255">
        <v>0</v>
      </c>
    </row>
    <row r="7742" spans="1:15">
      <c r="A7742" s="240" t="s">
        <v>67</v>
      </c>
      <c r="B7742" s="47" t="s">
        <v>55</v>
      </c>
      <c r="C7742" s="12">
        <v>0.484324324324324</v>
      </c>
      <c r="D7742" s="241">
        <v>0.593406593406593</v>
      </c>
      <c r="E7742" s="241">
        <v>0.448979591836735</v>
      </c>
      <c r="F7742" s="241">
        <v>0.586206896551724</v>
      </c>
      <c r="G7742" s="241">
        <v>0.595744680851064</v>
      </c>
      <c r="H7742" s="241">
        <v>0.530612244897959</v>
      </c>
      <c r="I7742" s="241">
        <v>0.528571428571429</v>
      </c>
      <c r="J7742" s="241">
        <v>0.349514563106796</v>
      </c>
      <c r="K7742" s="241">
        <v>0.505376344086022</v>
      </c>
      <c r="L7742" s="241">
        <v>0.48936170212766</v>
      </c>
      <c r="M7742" s="241">
        <v>0.49</v>
      </c>
      <c r="N7742" s="241">
        <v>0.348214285714286</v>
      </c>
      <c r="O7742" s="252">
        <v>0.534090909090909</v>
      </c>
    </row>
    <row r="7743" spans="1:15">
      <c r="A7743" s="242" t="s">
        <v>67</v>
      </c>
      <c r="B7743" s="43" t="s">
        <v>57</v>
      </c>
      <c r="C7743" s="15">
        <v>925</v>
      </c>
      <c r="D7743" s="243">
        <v>91</v>
      </c>
      <c r="E7743" s="243">
        <v>49</v>
      </c>
      <c r="F7743" s="243">
        <v>29</v>
      </c>
      <c r="G7743" s="243">
        <v>47</v>
      </c>
      <c r="H7743" s="243">
        <v>49</v>
      </c>
      <c r="I7743" s="243">
        <v>70</v>
      </c>
      <c r="J7743" s="243">
        <v>103</v>
      </c>
      <c r="K7743" s="243">
        <v>93</v>
      </c>
      <c r="L7743" s="243">
        <v>94</v>
      </c>
      <c r="M7743" s="243">
        <v>100</v>
      </c>
      <c r="N7743" s="243">
        <v>112</v>
      </c>
      <c r="O7743" s="253">
        <v>88</v>
      </c>
    </row>
    <row r="7744" spans="1:15">
      <c r="A7744" s="240" t="s">
        <v>67</v>
      </c>
      <c r="B7744" s="47" t="s">
        <v>59</v>
      </c>
      <c r="C7744" s="15">
        <v>448</v>
      </c>
      <c r="D7744" s="243">
        <v>54</v>
      </c>
      <c r="E7744" s="243">
        <v>22</v>
      </c>
      <c r="F7744" s="243">
        <v>17</v>
      </c>
      <c r="G7744" s="243">
        <v>28</v>
      </c>
      <c r="H7744" s="243">
        <v>26</v>
      </c>
      <c r="I7744" s="243">
        <v>37</v>
      </c>
      <c r="J7744" s="243">
        <v>36</v>
      </c>
      <c r="K7744" s="243">
        <v>47</v>
      </c>
      <c r="L7744" s="243">
        <v>46</v>
      </c>
      <c r="M7744" s="243">
        <v>49</v>
      </c>
      <c r="N7744" s="243">
        <v>39</v>
      </c>
      <c r="O7744" s="253">
        <v>47</v>
      </c>
    </row>
    <row r="7745" spans="1:15">
      <c r="A7745" s="242" t="s">
        <v>67</v>
      </c>
      <c r="B7745" s="43" t="s">
        <v>4</v>
      </c>
      <c r="C7745" s="15">
        <v>8</v>
      </c>
      <c r="D7745" s="244">
        <v>0</v>
      </c>
      <c r="E7745" s="244">
        <v>1</v>
      </c>
      <c r="F7745" s="244">
        <v>1</v>
      </c>
      <c r="G7745" s="244">
        <v>1</v>
      </c>
      <c r="H7745" s="244">
        <v>0</v>
      </c>
      <c r="I7745" s="244">
        <v>0</v>
      </c>
      <c r="J7745" s="244">
        <v>0</v>
      </c>
      <c r="K7745" s="244">
        <v>1</v>
      </c>
      <c r="L7745" s="244">
        <v>1</v>
      </c>
      <c r="M7745" s="244">
        <v>0</v>
      </c>
      <c r="N7745" s="244">
        <v>1</v>
      </c>
      <c r="O7745" s="254">
        <v>2</v>
      </c>
    </row>
    <row r="7746" spans="1:15">
      <c r="A7746" s="240" t="s">
        <v>67</v>
      </c>
      <c r="B7746" s="47" t="s">
        <v>5</v>
      </c>
      <c r="C7746" s="12">
        <v>0.0178571428571429</v>
      </c>
      <c r="D7746" s="241">
        <v>0</v>
      </c>
      <c r="E7746" s="241">
        <v>0.0454545454545455</v>
      </c>
      <c r="F7746" s="241">
        <v>0.0588235294117647</v>
      </c>
      <c r="G7746" s="241">
        <v>0.0357142857142857</v>
      </c>
      <c r="H7746" s="241">
        <v>0</v>
      </c>
      <c r="I7746" s="241">
        <v>0</v>
      </c>
      <c r="J7746" s="241">
        <v>0</v>
      </c>
      <c r="K7746" s="241">
        <v>0.0212765957446809</v>
      </c>
      <c r="L7746" s="241">
        <v>0.0217391304347826</v>
      </c>
      <c r="M7746" s="241">
        <v>0</v>
      </c>
      <c r="N7746" s="241">
        <v>0.0256410256410256</v>
      </c>
      <c r="O7746" s="252">
        <v>0.0425531914893617</v>
      </c>
    </row>
    <row r="7747" spans="1:15">
      <c r="A7747" s="242" t="s">
        <v>67</v>
      </c>
      <c r="B7747" s="43" t="s">
        <v>6</v>
      </c>
      <c r="C7747" s="15">
        <v>9</v>
      </c>
      <c r="D7747" s="244">
        <v>0</v>
      </c>
      <c r="E7747" s="244">
        <v>2</v>
      </c>
      <c r="F7747" s="244">
        <v>1</v>
      </c>
      <c r="G7747" s="244">
        <v>1</v>
      </c>
      <c r="H7747" s="244">
        <v>0</v>
      </c>
      <c r="I7747" s="244">
        <v>0</v>
      </c>
      <c r="J7747" s="244">
        <v>0</v>
      </c>
      <c r="K7747" s="244">
        <v>1</v>
      </c>
      <c r="L7747" s="244">
        <v>1</v>
      </c>
      <c r="M7747" s="244">
        <v>1</v>
      </c>
      <c r="N7747" s="244">
        <v>1</v>
      </c>
      <c r="O7747" s="254">
        <v>1</v>
      </c>
    </row>
    <row r="7748" ht="14.25" spans="1:15">
      <c r="A7748" s="245" t="s">
        <v>67</v>
      </c>
      <c r="B7748" s="52" t="s">
        <v>64</v>
      </c>
      <c r="C7748" s="19">
        <v>1.125</v>
      </c>
      <c r="D7748" s="246">
        <v>0</v>
      </c>
      <c r="E7748" s="246">
        <v>2</v>
      </c>
      <c r="F7748" s="246">
        <v>1</v>
      </c>
      <c r="G7748" s="246">
        <v>1</v>
      </c>
      <c r="H7748" s="246">
        <v>0</v>
      </c>
      <c r="I7748" s="246">
        <v>0</v>
      </c>
      <c r="J7748" s="246">
        <v>0</v>
      </c>
      <c r="K7748" s="246">
        <v>1</v>
      </c>
      <c r="L7748" s="246">
        <v>1</v>
      </c>
      <c r="M7748" s="246">
        <v>0</v>
      </c>
      <c r="N7748" s="246">
        <v>1</v>
      </c>
      <c r="O7748" s="255">
        <v>0.5</v>
      </c>
    </row>
    <row r="7749" spans="1:15">
      <c r="A7749" s="240" t="s">
        <v>68</v>
      </c>
      <c r="B7749" s="47" t="s">
        <v>55</v>
      </c>
      <c r="C7749" s="12">
        <v>0.128587830080367</v>
      </c>
      <c r="D7749" s="241">
        <v>0.103409090909091</v>
      </c>
      <c r="E7749" s="241">
        <v>0.0572246065808298</v>
      </c>
      <c r="F7749" s="241">
        <v>0.0356589147286822</v>
      </c>
      <c r="G7749" s="241">
        <v>0.0461997019374069</v>
      </c>
      <c r="H7749" s="241">
        <v>0.320574162679426</v>
      </c>
      <c r="I7749" s="241">
        <v>0.174089068825911</v>
      </c>
      <c r="J7749" s="241">
        <v>0.222222222222222</v>
      </c>
      <c r="K7749" s="241">
        <v>0.185643564356436</v>
      </c>
      <c r="L7749" s="241">
        <v>0.238754325259516</v>
      </c>
      <c r="M7749" s="241">
        <v>0.244444444444444</v>
      </c>
      <c r="N7749" s="241">
        <v>0.200680272108844</v>
      </c>
      <c r="O7749" s="252">
        <v>0.150127226463104</v>
      </c>
    </row>
    <row r="7750" spans="1:15">
      <c r="A7750" s="242" t="s">
        <v>68</v>
      </c>
      <c r="B7750" s="43" t="s">
        <v>57</v>
      </c>
      <c r="C7750" s="15">
        <v>5226</v>
      </c>
      <c r="D7750" s="243">
        <v>880</v>
      </c>
      <c r="E7750" s="243">
        <v>699</v>
      </c>
      <c r="F7750" s="243">
        <v>645</v>
      </c>
      <c r="G7750" s="243">
        <v>671</v>
      </c>
      <c r="H7750" s="243">
        <v>209</v>
      </c>
      <c r="I7750" s="243">
        <v>247</v>
      </c>
      <c r="J7750" s="243">
        <v>270</v>
      </c>
      <c r="K7750" s="243">
        <v>404</v>
      </c>
      <c r="L7750" s="243">
        <v>289</v>
      </c>
      <c r="M7750" s="243">
        <v>225</v>
      </c>
      <c r="N7750" s="243">
        <v>294</v>
      </c>
      <c r="O7750" s="253">
        <v>393</v>
      </c>
    </row>
    <row r="7751" spans="1:15">
      <c r="A7751" s="240" t="s">
        <v>68</v>
      </c>
      <c r="B7751" s="47" t="s">
        <v>59</v>
      </c>
      <c r="C7751" s="15">
        <v>672</v>
      </c>
      <c r="D7751" s="243">
        <v>91</v>
      </c>
      <c r="E7751" s="243">
        <v>40</v>
      </c>
      <c r="F7751" s="243">
        <v>23</v>
      </c>
      <c r="G7751" s="243">
        <v>31</v>
      </c>
      <c r="H7751" s="243">
        <v>67</v>
      </c>
      <c r="I7751" s="243">
        <v>43</v>
      </c>
      <c r="J7751" s="243">
        <v>60</v>
      </c>
      <c r="K7751" s="243">
        <v>75</v>
      </c>
      <c r="L7751" s="243">
        <v>69</v>
      </c>
      <c r="M7751" s="243">
        <v>55</v>
      </c>
      <c r="N7751" s="243">
        <v>59</v>
      </c>
      <c r="O7751" s="253">
        <v>59</v>
      </c>
    </row>
    <row r="7752" spans="1:15">
      <c r="A7752" s="242" t="s">
        <v>68</v>
      </c>
      <c r="B7752" s="43" t="s">
        <v>4</v>
      </c>
      <c r="C7752" s="15">
        <v>33</v>
      </c>
      <c r="D7752" s="244">
        <v>6</v>
      </c>
      <c r="E7752" s="244">
        <v>4</v>
      </c>
      <c r="F7752" s="244">
        <v>1</v>
      </c>
      <c r="G7752" s="244">
        <v>1</v>
      </c>
      <c r="H7752" s="244">
        <v>1</v>
      </c>
      <c r="I7752" s="244">
        <v>3</v>
      </c>
      <c r="J7752" s="244">
        <v>2</v>
      </c>
      <c r="K7752" s="244">
        <v>2</v>
      </c>
      <c r="L7752" s="244">
        <v>2</v>
      </c>
      <c r="M7752" s="244">
        <v>4</v>
      </c>
      <c r="N7752" s="244">
        <v>4</v>
      </c>
      <c r="O7752" s="254">
        <v>3</v>
      </c>
    </row>
    <row r="7753" spans="1:15">
      <c r="A7753" s="240" t="s">
        <v>68</v>
      </c>
      <c r="B7753" s="47" t="s">
        <v>5</v>
      </c>
      <c r="C7753" s="12">
        <v>0.0491071428571429</v>
      </c>
      <c r="D7753" s="241">
        <v>0.0659340659340659</v>
      </c>
      <c r="E7753" s="241">
        <v>0.1</v>
      </c>
      <c r="F7753" s="241">
        <v>0.0434782608695652</v>
      </c>
      <c r="G7753" s="241">
        <v>0.032258064516129</v>
      </c>
      <c r="H7753" s="241">
        <v>0.0149253731343284</v>
      </c>
      <c r="I7753" s="241">
        <v>0.0697674418604651</v>
      </c>
      <c r="J7753" s="241">
        <v>0.0333333333333333</v>
      </c>
      <c r="K7753" s="241">
        <v>0.0266666666666667</v>
      </c>
      <c r="L7753" s="241">
        <v>0.0289855072463768</v>
      </c>
      <c r="M7753" s="241">
        <v>0.0727272727272727</v>
      </c>
      <c r="N7753" s="241">
        <v>0.0677966101694915</v>
      </c>
      <c r="O7753" s="252">
        <v>0.0508474576271186</v>
      </c>
    </row>
    <row r="7754" spans="1:15">
      <c r="A7754" s="242" t="s">
        <v>68</v>
      </c>
      <c r="B7754" s="43" t="s">
        <v>6</v>
      </c>
      <c r="C7754" s="15">
        <v>11</v>
      </c>
      <c r="D7754" s="244">
        <v>1</v>
      </c>
      <c r="E7754" s="244">
        <v>1</v>
      </c>
      <c r="F7754" s="244">
        <v>1</v>
      </c>
      <c r="G7754" s="244">
        <v>0</v>
      </c>
      <c r="H7754" s="244">
        <v>0</v>
      </c>
      <c r="I7754" s="244">
        <v>0</v>
      </c>
      <c r="J7754" s="244">
        <v>0</v>
      </c>
      <c r="K7754" s="244">
        <v>2</v>
      </c>
      <c r="L7754" s="244">
        <v>1</v>
      </c>
      <c r="M7754" s="244">
        <v>2</v>
      </c>
      <c r="N7754" s="244">
        <v>2</v>
      </c>
      <c r="O7754" s="254">
        <v>1</v>
      </c>
    </row>
    <row r="7755" ht="14.25" spans="1:15">
      <c r="A7755" s="245" t="s">
        <v>68</v>
      </c>
      <c r="B7755" s="52" t="s">
        <v>64</v>
      </c>
      <c r="C7755" s="19">
        <v>0.333333333333333</v>
      </c>
      <c r="D7755" s="246">
        <v>0.166666666666667</v>
      </c>
      <c r="E7755" s="246">
        <v>0.25</v>
      </c>
      <c r="F7755" s="246">
        <v>1</v>
      </c>
      <c r="G7755" s="246">
        <v>0</v>
      </c>
      <c r="H7755" s="246">
        <v>0</v>
      </c>
      <c r="I7755" s="246">
        <v>0</v>
      </c>
      <c r="J7755" s="246">
        <v>0</v>
      </c>
      <c r="K7755" s="246">
        <v>1</v>
      </c>
      <c r="L7755" s="246">
        <v>0.5</v>
      </c>
      <c r="M7755" s="246">
        <v>0.5</v>
      </c>
      <c r="N7755" s="246">
        <v>0.5</v>
      </c>
      <c r="O7755" s="255">
        <v>0.333333333333333</v>
      </c>
    </row>
    <row r="7756" spans="1:15">
      <c r="A7756" s="240" t="s">
        <v>69</v>
      </c>
      <c r="B7756" s="47" t="s">
        <v>55</v>
      </c>
      <c r="C7756" s="12">
        <v>0.89247311827957</v>
      </c>
      <c r="D7756" s="241">
        <v>0.9</v>
      </c>
      <c r="E7756" s="241">
        <v>1</v>
      </c>
      <c r="F7756" s="241">
        <v>1.57142857142857</v>
      </c>
      <c r="G7756" s="241">
        <v>0.625</v>
      </c>
      <c r="H7756" s="241">
        <v>1.10526315789474</v>
      </c>
      <c r="I7756" s="241">
        <v>0.84</v>
      </c>
      <c r="J7756" s="241">
        <v>1</v>
      </c>
      <c r="K7756" s="241">
        <v>1</v>
      </c>
      <c r="L7756" s="241">
        <v>0.694444444444444</v>
      </c>
      <c r="M7756" s="241">
        <v>0.846153846153846</v>
      </c>
      <c r="N7756" s="241">
        <v>0.75</v>
      </c>
      <c r="O7756" s="252">
        <v>0.923076923076923</v>
      </c>
    </row>
    <row r="7757" spans="1:15">
      <c r="A7757" s="242" t="s">
        <v>69</v>
      </c>
      <c r="B7757" s="43" t="s">
        <v>57</v>
      </c>
      <c r="C7757" s="15">
        <v>279</v>
      </c>
      <c r="D7757" s="243">
        <v>30</v>
      </c>
      <c r="E7757" s="243">
        <v>15</v>
      </c>
      <c r="F7757" s="243">
        <v>7</v>
      </c>
      <c r="G7757" s="243">
        <v>8</v>
      </c>
      <c r="H7757" s="243">
        <v>19</v>
      </c>
      <c r="I7757" s="243">
        <v>25</v>
      </c>
      <c r="J7757" s="243">
        <v>20</v>
      </c>
      <c r="K7757" s="243">
        <v>31</v>
      </c>
      <c r="L7757" s="243">
        <v>36</v>
      </c>
      <c r="M7757" s="243">
        <v>26</v>
      </c>
      <c r="N7757" s="243">
        <v>36</v>
      </c>
      <c r="O7757" s="253">
        <v>26</v>
      </c>
    </row>
    <row r="7758" spans="1:15">
      <c r="A7758" s="240" t="s">
        <v>69</v>
      </c>
      <c r="B7758" s="47" t="s">
        <v>59</v>
      </c>
      <c r="C7758" s="15">
        <v>249</v>
      </c>
      <c r="D7758" s="243">
        <v>27</v>
      </c>
      <c r="E7758" s="243">
        <v>15</v>
      </c>
      <c r="F7758" s="243">
        <v>11</v>
      </c>
      <c r="G7758" s="243">
        <v>5</v>
      </c>
      <c r="H7758" s="243">
        <v>21</v>
      </c>
      <c r="I7758" s="243">
        <v>21</v>
      </c>
      <c r="J7758" s="243">
        <v>20</v>
      </c>
      <c r="K7758" s="243">
        <v>31</v>
      </c>
      <c r="L7758" s="243">
        <v>25</v>
      </c>
      <c r="M7758" s="243">
        <v>22</v>
      </c>
      <c r="N7758" s="243">
        <v>27</v>
      </c>
      <c r="O7758" s="253">
        <v>24</v>
      </c>
    </row>
    <row r="7759" spans="1:15">
      <c r="A7759" s="242" t="s">
        <v>69</v>
      </c>
      <c r="B7759" s="43" t="s">
        <v>4</v>
      </c>
      <c r="C7759" s="15">
        <v>5</v>
      </c>
      <c r="D7759" s="244">
        <v>1</v>
      </c>
      <c r="E7759" s="244">
        <v>1</v>
      </c>
      <c r="F7759" s="244">
        <v>0</v>
      </c>
      <c r="G7759" s="244">
        <v>0</v>
      </c>
      <c r="H7759" s="244">
        <v>0</v>
      </c>
      <c r="I7759" s="244">
        <v>0</v>
      </c>
      <c r="J7759" s="244">
        <v>0</v>
      </c>
      <c r="K7759" s="244">
        <v>0</v>
      </c>
      <c r="L7759" s="244">
        <v>1</v>
      </c>
      <c r="M7759" s="244">
        <v>2</v>
      </c>
      <c r="N7759" s="244">
        <v>0</v>
      </c>
      <c r="O7759" s="254">
        <v>0</v>
      </c>
    </row>
    <row r="7760" spans="1:15">
      <c r="A7760" s="240" t="s">
        <v>69</v>
      </c>
      <c r="B7760" s="47" t="s">
        <v>5</v>
      </c>
      <c r="C7760" s="12">
        <v>0.0200803212851406</v>
      </c>
      <c r="D7760" s="241">
        <v>0.037037037037037</v>
      </c>
      <c r="E7760" s="241">
        <v>0.0666666666666667</v>
      </c>
      <c r="F7760" s="241">
        <v>0</v>
      </c>
      <c r="G7760" s="241">
        <v>0</v>
      </c>
      <c r="H7760" s="241">
        <v>0</v>
      </c>
      <c r="I7760" s="241">
        <v>0</v>
      </c>
      <c r="J7760" s="241">
        <v>0</v>
      </c>
      <c r="K7760" s="241">
        <v>0</v>
      </c>
      <c r="L7760" s="241">
        <v>0.04</v>
      </c>
      <c r="M7760" s="241">
        <v>0.0909090909090909</v>
      </c>
      <c r="N7760" s="241">
        <v>0</v>
      </c>
      <c r="O7760" s="252">
        <v>0</v>
      </c>
    </row>
    <row r="7761" spans="1:15">
      <c r="A7761" s="242" t="s">
        <v>69</v>
      </c>
      <c r="B7761" s="43" t="s">
        <v>6</v>
      </c>
      <c r="C7761" s="15">
        <v>5</v>
      </c>
      <c r="D7761" s="244">
        <v>1</v>
      </c>
      <c r="E7761" s="244">
        <v>1</v>
      </c>
      <c r="F7761" s="244">
        <v>0</v>
      </c>
      <c r="G7761" s="244">
        <v>0</v>
      </c>
      <c r="H7761" s="244">
        <v>0</v>
      </c>
      <c r="I7761" s="244">
        <v>0</v>
      </c>
      <c r="J7761" s="244">
        <v>0</v>
      </c>
      <c r="K7761" s="244">
        <v>1</v>
      </c>
      <c r="L7761" s="244">
        <v>1</v>
      </c>
      <c r="M7761" s="244">
        <v>1</v>
      </c>
      <c r="N7761" s="244">
        <v>0</v>
      </c>
      <c r="O7761" s="254">
        <v>0</v>
      </c>
    </row>
    <row r="7762" ht="14.25" spans="1:15">
      <c r="A7762" s="245" t="s">
        <v>69</v>
      </c>
      <c r="B7762" s="52" t="s">
        <v>64</v>
      </c>
      <c r="C7762" s="19">
        <v>1</v>
      </c>
      <c r="D7762" s="246">
        <v>1</v>
      </c>
      <c r="E7762" s="246">
        <v>1</v>
      </c>
      <c r="F7762" s="246">
        <v>0</v>
      </c>
      <c r="G7762" s="246">
        <v>0</v>
      </c>
      <c r="H7762" s="246">
        <v>0</v>
      </c>
      <c r="I7762" s="246">
        <v>0</v>
      </c>
      <c r="J7762" s="246">
        <v>0</v>
      </c>
      <c r="K7762" s="246">
        <v>0</v>
      </c>
      <c r="L7762" s="246">
        <v>1</v>
      </c>
      <c r="M7762" s="246">
        <v>0.5</v>
      </c>
      <c r="N7762" s="246">
        <v>0</v>
      </c>
      <c r="O7762" s="255">
        <v>0</v>
      </c>
    </row>
    <row r="7763" spans="1:15">
      <c r="A7763" s="240" t="s">
        <v>70</v>
      </c>
      <c r="B7763" s="47" t="s">
        <v>55</v>
      </c>
      <c r="C7763" s="12">
        <v>0.818099547511312</v>
      </c>
      <c r="D7763" s="241">
        <v>1.05479452054795</v>
      </c>
      <c r="E7763" s="241">
        <v>0.775510204081633</v>
      </c>
      <c r="F7763" s="241">
        <v>1.14285714285714</v>
      </c>
      <c r="G7763" s="241">
        <v>1</v>
      </c>
      <c r="H7763" s="241">
        <v>0.630434782608696</v>
      </c>
      <c r="I7763" s="241">
        <v>0.788990825688073</v>
      </c>
      <c r="J7763" s="241">
        <v>0.878787878787879</v>
      </c>
      <c r="K7763" s="241">
        <v>0.731884057971015</v>
      </c>
      <c r="L7763" s="241">
        <v>0.866141732283465</v>
      </c>
      <c r="M7763" s="241">
        <v>1.01020408163265</v>
      </c>
      <c r="N7763" s="241">
        <v>0.793650793650794</v>
      </c>
      <c r="O7763" s="252">
        <v>0.62406015037594</v>
      </c>
    </row>
    <row r="7764" spans="1:15">
      <c r="A7764" s="242" t="s">
        <v>70</v>
      </c>
      <c r="B7764" s="43" t="s">
        <v>57</v>
      </c>
      <c r="C7764" s="15">
        <v>1105</v>
      </c>
      <c r="D7764" s="243">
        <v>73</v>
      </c>
      <c r="E7764" s="243">
        <v>49</v>
      </c>
      <c r="F7764" s="243">
        <v>28</v>
      </c>
      <c r="G7764" s="243">
        <v>33</v>
      </c>
      <c r="H7764" s="243">
        <v>92</v>
      </c>
      <c r="I7764" s="243">
        <v>109</v>
      </c>
      <c r="J7764" s="243">
        <v>99</v>
      </c>
      <c r="K7764" s="243">
        <v>138</v>
      </c>
      <c r="L7764" s="243">
        <v>127</v>
      </c>
      <c r="M7764" s="243">
        <v>98</v>
      </c>
      <c r="N7764" s="243">
        <v>126</v>
      </c>
      <c r="O7764" s="253">
        <v>133</v>
      </c>
    </row>
    <row r="7765" spans="1:15">
      <c r="A7765" s="240" t="s">
        <v>70</v>
      </c>
      <c r="B7765" s="47" t="s">
        <v>59</v>
      </c>
      <c r="C7765" s="15">
        <v>904</v>
      </c>
      <c r="D7765" s="243">
        <v>77</v>
      </c>
      <c r="E7765" s="243">
        <v>38</v>
      </c>
      <c r="F7765" s="243">
        <v>32</v>
      </c>
      <c r="G7765" s="243">
        <v>33</v>
      </c>
      <c r="H7765" s="243">
        <v>58</v>
      </c>
      <c r="I7765" s="243">
        <v>86</v>
      </c>
      <c r="J7765" s="243">
        <v>87</v>
      </c>
      <c r="K7765" s="243">
        <v>101</v>
      </c>
      <c r="L7765" s="243">
        <v>110</v>
      </c>
      <c r="M7765" s="243">
        <v>99</v>
      </c>
      <c r="N7765" s="243">
        <v>100</v>
      </c>
      <c r="O7765" s="253">
        <v>83</v>
      </c>
    </row>
    <row r="7766" spans="1:15">
      <c r="A7766" s="242" t="s">
        <v>70</v>
      </c>
      <c r="B7766" s="43" t="s">
        <v>4</v>
      </c>
      <c r="C7766" s="15">
        <v>23</v>
      </c>
      <c r="D7766" s="244">
        <v>6</v>
      </c>
      <c r="E7766" s="244">
        <v>0</v>
      </c>
      <c r="F7766" s="244">
        <v>0</v>
      </c>
      <c r="G7766" s="244">
        <v>0</v>
      </c>
      <c r="H7766" s="244">
        <v>0</v>
      </c>
      <c r="I7766" s="244">
        <v>3</v>
      </c>
      <c r="J7766" s="244">
        <v>1</v>
      </c>
      <c r="K7766" s="244">
        <v>4</v>
      </c>
      <c r="L7766" s="244">
        <v>1</v>
      </c>
      <c r="M7766" s="244">
        <v>1</v>
      </c>
      <c r="N7766" s="244">
        <v>2</v>
      </c>
      <c r="O7766" s="254">
        <v>5</v>
      </c>
    </row>
    <row r="7767" spans="1:15">
      <c r="A7767" s="240" t="s">
        <v>70</v>
      </c>
      <c r="B7767" s="47" t="s">
        <v>5</v>
      </c>
      <c r="C7767" s="12">
        <v>0.0254424778761062</v>
      </c>
      <c r="D7767" s="241">
        <v>0.0779220779220779</v>
      </c>
      <c r="E7767" s="241">
        <v>0</v>
      </c>
      <c r="F7767" s="241">
        <v>0</v>
      </c>
      <c r="G7767" s="241">
        <v>0</v>
      </c>
      <c r="H7767" s="241">
        <v>0</v>
      </c>
      <c r="I7767" s="241">
        <v>0.0348837209302326</v>
      </c>
      <c r="J7767" s="241">
        <v>0.0114942528735632</v>
      </c>
      <c r="K7767" s="241">
        <v>0.0396039603960396</v>
      </c>
      <c r="L7767" s="241">
        <v>0.00909090909090909</v>
      </c>
      <c r="M7767" s="241">
        <v>0.0101010101010101</v>
      </c>
      <c r="N7767" s="241">
        <v>0.02</v>
      </c>
      <c r="O7767" s="252">
        <v>0.0602409638554217</v>
      </c>
    </row>
    <row r="7768" spans="1:15">
      <c r="A7768" s="242" t="s">
        <v>70</v>
      </c>
      <c r="B7768" s="43" t="s">
        <v>6</v>
      </c>
      <c r="C7768" s="15">
        <v>5</v>
      </c>
      <c r="D7768" s="244">
        <v>1</v>
      </c>
      <c r="E7768" s="244">
        <v>0</v>
      </c>
      <c r="F7768" s="244">
        <v>0</v>
      </c>
      <c r="G7768" s="244">
        <v>0</v>
      </c>
      <c r="H7768" s="244">
        <v>0</v>
      </c>
      <c r="I7768" s="244">
        <v>2</v>
      </c>
      <c r="J7768" s="244">
        <v>0</v>
      </c>
      <c r="K7768" s="244">
        <v>2</v>
      </c>
      <c r="L7768" s="244">
        <v>0</v>
      </c>
      <c r="M7768" s="244">
        <v>0</v>
      </c>
      <c r="N7768" s="244">
        <v>0</v>
      </c>
      <c r="O7768" s="254">
        <v>0</v>
      </c>
    </row>
    <row r="7769" ht="14.25" spans="1:15">
      <c r="A7769" s="245" t="s">
        <v>70</v>
      </c>
      <c r="B7769" s="52" t="s">
        <v>64</v>
      </c>
      <c r="C7769" s="19">
        <v>0.217391304347826</v>
      </c>
      <c r="D7769" s="246">
        <v>0.166666666666667</v>
      </c>
      <c r="E7769" s="246">
        <v>0</v>
      </c>
      <c r="F7769" s="246">
        <v>0</v>
      </c>
      <c r="G7769" s="246">
        <v>0</v>
      </c>
      <c r="H7769" s="246">
        <v>0</v>
      </c>
      <c r="I7769" s="246">
        <v>0.666666666666667</v>
      </c>
      <c r="J7769" s="246">
        <v>0</v>
      </c>
      <c r="K7769" s="246">
        <v>0.5</v>
      </c>
      <c r="L7769" s="246">
        <v>0</v>
      </c>
      <c r="M7769" s="246">
        <v>0</v>
      </c>
      <c r="N7769" s="246">
        <v>0</v>
      </c>
      <c r="O7769" s="255">
        <v>0</v>
      </c>
    </row>
    <row r="7770" spans="1:15">
      <c r="A7770" s="240" t="s">
        <v>26</v>
      </c>
      <c r="B7770" s="47" t="s">
        <v>55</v>
      </c>
      <c r="C7770" s="12">
        <v>1.00837598883201</v>
      </c>
      <c r="D7770" s="241">
        <v>0.942105263157895</v>
      </c>
      <c r="E7770" s="241">
        <v>1.07142857142857</v>
      </c>
      <c r="F7770" s="241">
        <v>0.868131868131868</v>
      </c>
      <c r="G7770" s="241">
        <v>1.15384615384615</v>
      </c>
      <c r="H7770" s="241">
        <v>1.32214765100671</v>
      </c>
      <c r="I7770" s="241">
        <v>1.08602150537634</v>
      </c>
      <c r="J7770" s="241">
        <v>1.01990049751244</v>
      </c>
      <c r="K7770" s="241">
        <v>0.949612403100775</v>
      </c>
      <c r="L7770" s="241">
        <v>1.04435483870968</v>
      </c>
      <c r="M7770" s="241">
        <v>0.903061224489796</v>
      </c>
      <c r="N7770" s="241">
        <v>0.982758620689655</v>
      </c>
      <c r="O7770" s="252">
        <v>0.915254237288136</v>
      </c>
    </row>
    <row r="7771" spans="1:15">
      <c r="A7771" s="242" t="s">
        <v>26</v>
      </c>
      <c r="B7771" s="43" t="s">
        <v>57</v>
      </c>
      <c r="C7771" s="15">
        <v>2149</v>
      </c>
      <c r="D7771" s="243">
        <v>190</v>
      </c>
      <c r="E7771" s="243">
        <v>84</v>
      </c>
      <c r="F7771" s="243">
        <v>91</v>
      </c>
      <c r="G7771" s="243">
        <v>78</v>
      </c>
      <c r="H7771" s="243">
        <v>149</v>
      </c>
      <c r="I7771" s="243">
        <v>186</v>
      </c>
      <c r="J7771" s="243">
        <v>201</v>
      </c>
      <c r="K7771" s="243">
        <v>258</v>
      </c>
      <c r="L7771" s="243">
        <v>248</v>
      </c>
      <c r="M7771" s="243">
        <v>196</v>
      </c>
      <c r="N7771" s="243">
        <v>232</v>
      </c>
      <c r="O7771" s="253">
        <v>236</v>
      </c>
    </row>
    <row r="7772" spans="1:15">
      <c r="A7772" s="240" t="s">
        <v>26</v>
      </c>
      <c r="B7772" s="47" t="s">
        <v>59</v>
      </c>
      <c r="C7772" s="15">
        <v>2167</v>
      </c>
      <c r="D7772" s="243">
        <v>179</v>
      </c>
      <c r="E7772" s="243">
        <v>90</v>
      </c>
      <c r="F7772" s="243">
        <v>79</v>
      </c>
      <c r="G7772" s="243">
        <v>90</v>
      </c>
      <c r="H7772" s="243">
        <v>197</v>
      </c>
      <c r="I7772" s="243">
        <v>202</v>
      </c>
      <c r="J7772" s="243">
        <v>205</v>
      </c>
      <c r="K7772" s="243">
        <v>245</v>
      </c>
      <c r="L7772" s="243">
        <v>259</v>
      </c>
      <c r="M7772" s="243">
        <v>177</v>
      </c>
      <c r="N7772" s="243">
        <v>228</v>
      </c>
      <c r="O7772" s="253">
        <v>216</v>
      </c>
    </row>
    <row r="7773" spans="1:15">
      <c r="A7773" s="242" t="s">
        <v>26</v>
      </c>
      <c r="B7773" s="43" t="s">
        <v>4</v>
      </c>
      <c r="C7773" s="15">
        <v>36</v>
      </c>
      <c r="D7773" s="244">
        <v>7</v>
      </c>
      <c r="E7773" s="244">
        <v>1</v>
      </c>
      <c r="F7773" s="244">
        <v>0</v>
      </c>
      <c r="G7773" s="244">
        <v>1</v>
      </c>
      <c r="H7773" s="244">
        <v>1</v>
      </c>
      <c r="I7773" s="244">
        <v>0</v>
      </c>
      <c r="J7773" s="244">
        <v>3</v>
      </c>
      <c r="K7773" s="244">
        <v>2</v>
      </c>
      <c r="L7773" s="244">
        <v>5</v>
      </c>
      <c r="M7773" s="244">
        <v>5</v>
      </c>
      <c r="N7773" s="244">
        <v>4</v>
      </c>
      <c r="O7773" s="254">
        <v>7</v>
      </c>
    </row>
    <row r="7774" spans="1:15">
      <c r="A7774" s="240" t="s">
        <v>26</v>
      </c>
      <c r="B7774" s="47" t="s">
        <v>5</v>
      </c>
      <c r="C7774" s="12">
        <v>0.0166128287955699</v>
      </c>
      <c r="D7774" s="241">
        <v>0.0391061452513966</v>
      </c>
      <c r="E7774" s="241">
        <v>0.0111111111111111</v>
      </c>
      <c r="F7774" s="241">
        <v>0</v>
      </c>
      <c r="G7774" s="241">
        <v>0.0111111111111111</v>
      </c>
      <c r="H7774" s="241">
        <v>0.0050761421319797</v>
      </c>
      <c r="I7774" s="241">
        <v>0</v>
      </c>
      <c r="J7774" s="241">
        <v>0.0146341463414634</v>
      </c>
      <c r="K7774" s="241">
        <v>0.00816326530612245</v>
      </c>
      <c r="L7774" s="241">
        <v>0.0193050193050193</v>
      </c>
      <c r="M7774" s="241">
        <v>0.0282485875706215</v>
      </c>
      <c r="N7774" s="241">
        <v>0.0175438596491228</v>
      </c>
      <c r="O7774" s="252">
        <v>0.0324074074074074</v>
      </c>
    </row>
    <row r="7775" spans="1:15">
      <c r="A7775" s="242" t="s">
        <v>26</v>
      </c>
      <c r="B7775" s="43" t="s">
        <v>6</v>
      </c>
      <c r="C7775" s="15">
        <v>9</v>
      </c>
      <c r="D7775" s="244">
        <v>5</v>
      </c>
      <c r="E7775" s="244">
        <v>1</v>
      </c>
      <c r="F7775" s="244">
        <v>0</v>
      </c>
      <c r="G7775" s="244">
        <v>0</v>
      </c>
      <c r="H7775" s="244">
        <v>0</v>
      </c>
      <c r="I7775" s="244">
        <v>0</v>
      </c>
      <c r="J7775" s="244">
        <v>0</v>
      </c>
      <c r="K7775" s="244">
        <v>1</v>
      </c>
      <c r="L7775" s="244">
        <v>1</v>
      </c>
      <c r="M7775" s="244">
        <v>1</v>
      </c>
      <c r="N7775" s="244">
        <v>0</v>
      </c>
      <c r="O7775" s="254">
        <v>0</v>
      </c>
    </row>
    <row r="7776" ht="14.25" spans="1:15">
      <c r="A7776" s="245" t="s">
        <v>26</v>
      </c>
      <c r="B7776" s="52" t="s">
        <v>64</v>
      </c>
      <c r="C7776" s="19">
        <v>0.25</v>
      </c>
      <c r="D7776" s="19">
        <v>0.714285714285714</v>
      </c>
      <c r="E7776" s="19">
        <v>1</v>
      </c>
      <c r="F7776" s="19" t="e">
        <v>#DIV/0!</v>
      </c>
      <c r="G7776" s="19">
        <v>0</v>
      </c>
      <c r="H7776" s="19">
        <v>0</v>
      </c>
      <c r="I7776" s="19" t="e">
        <v>#DIV/0!</v>
      </c>
      <c r="J7776" s="19">
        <v>0</v>
      </c>
      <c r="K7776" s="19">
        <v>0.5</v>
      </c>
      <c r="L7776" s="19">
        <v>0.2</v>
      </c>
      <c r="M7776" s="19">
        <v>0.2</v>
      </c>
      <c r="N7776" s="19">
        <v>0</v>
      </c>
      <c r="O7776" s="19">
        <v>0</v>
      </c>
    </row>
    <row r="7777" spans="1:15">
      <c r="A7777" s="240" t="s">
        <v>71</v>
      </c>
      <c r="B7777" s="47" t="s">
        <v>55</v>
      </c>
      <c r="C7777" s="12">
        <v>0.120772946859903</v>
      </c>
      <c r="D7777" s="241">
        <v>0.138888888888889</v>
      </c>
      <c r="E7777" s="241">
        <v>0.1</v>
      </c>
      <c r="F7777" s="241">
        <v>0.0740740740740741</v>
      </c>
      <c r="G7777" s="241">
        <v>0.333333333333333</v>
      </c>
      <c r="H7777" s="241">
        <v>0.216216216216216</v>
      </c>
      <c r="I7777" s="241">
        <v>0.136363636363636</v>
      </c>
      <c r="J7777" s="241">
        <v>0.0909090909090909</v>
      </c>
      <c r="K7777" s="241">
        <v>0.0731707317073171</v>
      </c>
      <c r="L7777" s="241">
        <v>0.0833333333333333</v>
      </c>
      <c r="M7777" s="241">
        <v>0.103448275862069</v>
      </c>
      <c r="N7777" s="241">
        <v>0.0294117647058824</v>
      </c>
      <c r="O7777" s="252">
        <v>0.148936170212766</v>
      </c>
    </row>
    <row r="7778" spans="1:15">
      <c r="A7778" s="242" t="s">
        <v>71</v>
      </c>
      <c r="B7778" s="43" t="s">
        <v>57</v>
      </c>
      <c r="C7778" s="15">
        <v>414</v>
      </c>
      <c r="D7778" s="243">
        <v>36</v>
      </c>
      <c r="E7778" s="243">
        <v>20</v>
      </c>
      <c r="F7778" s="243">
        <v>27</v>
      </c>
      <c r="G7778" s="243">
        <v>18</v>
      </c>
      <c r="H7778" s="243">
        <v>37</v>
      </c>
      <c r="I7778" s="243">
        <v>44</v>
      </c>
      <c r="J7778" s="243">
        <v>33</v>
      </c>
      <c r="K7778" s="243">
        <v>41</v>
      </c>
      <c r="L7778" s="243">
        <v>48</v>
      </c>
      <c r="M7778" s="243">
        <v>29</v>
      </c>
      <c r="N7778" s="243">
        <v>34</v>
      </c>
      <c r="O7778" s="253">
        <v>47</v>
      </c>
    </row>
    <row r="7779" spans="1:15">
      <c r="A7779" s="240" t="s">
        <v>71</v>
      </c>
      <c r="B7779" s="47" t="s">
        <v>59</v>
      </c>
      <c r="C7779" s="309">
        <v>50</v>
      </c>
      <c r="D7779" s="310">
        <v>5</v>
      </c>
      <c r="E7779" s="310">
        <v>2</v>
      </c>
      <c r="F7779" s="310">
        <v>2</v>
      </c>
      <c r="G7779" s="310">
        <v>6</v>
      </c>
      <c r="H7779" s="310">
        <v>8</v>
      </c>
      <c r="I7779" s="310">
        <v>6</v>
      </c>
      <c r="J7779" s="310">
        <v>3</v>
      </c>
      <c r="K7779" s="310">
        <v>3</v>
      </c>
      <c r="L7779" s="310">
        <v>4</v>
      </c>
      <c r="M7779" s="310">
        <v>3</v>
      </c>
      <c r="N7779" s="310">
        <v>1</v>
      </c>
      <c r="O7779" s="311">
        <v>7</v>
      </c>
    </row>
    <row r="7780" spans="1:15">
      <c r="A7780" s="242" t="s">
        <v>71</v>
      </c>
      <c r="B7780" s="43" t="s">
        <v>4</v>
      </c>
      <c r="C7780" s="15">
        <v>0</v>
      </c>
      <c r="D7780" s="244">
        <v>0</v>
      </c>
      <c r="E7780" s="244">
        <v>0</v>
      </c>
      <c r="F7780" s="244">
        <v>0</v>
      </c>
      <c r="G7780" s="244">
        <v>0</v>
      </c>
      <c r="H7780" s="244">
        <v>0</v>
      </c>
      <c r="I7780" s="244">
        <v>0</v>
      </c>
      <c r="J7780" s="244">
        <v>0</v>
      </c>
      <c r="K7780" s="244">
        <v>0</v>
      </c>
      <c r="L7780" s="244">
        <v>0</v>
      </c>
      <c r="M7780" s="244">
        <v>0</v>
      </c>
      <c r="N7780" s="244">
        <v>0</v>
      </c>
      <c r="O7780" s="254">
        <v>0</v>
      </c>
    </row>
    <row r="7781" spans="1:15">
      <c r="A7781" s="240" t="s">
        <v>71</v>
      </c>
      <c r="B7781" s="47" t="s">
        <v>5</v>
      </c>
      <c r="C7781" s="241">
        <v>0</v>
      </c>
      <c r="D7781" s="241">
        <v>0</v>
      </c>
      <c r="E7781" s="241">
        <v>0</v>
      </c>
      <c r="F7781" s="241">
        <v>0</v>
      </c>
      <c r="G7781" s="241">
        <v>0</v>
      </c>
      <c r="H7781" s="241">
        <v>0</v>
      </c>
      <c r="I7781" s="241">
        <v>0</v>
      </c>
      <c r="J7781" s="241">
        <v>0</v>
      </c>
      <c r="K7781" s="241">
        <v>0</v>
      </c>
      <c r="L7781" s="241">
        <v>0</v>
      </c>
      <c r="M7781" s="241">
        <v>0</v>
      </c>
      <c r="N7781" s="241">
        <v>0</v>
      </c>
      <c r="O7781" s="252">
        <v>0</v>
      </c>
    </row>
    <row r="7782" spans="1:15">
      <c r="A7782" s="242" t="s">
        <v>71</v>
      </c>
      <c r="B7782" s="43" t="s">
        <v>6</v>
      </c>
      <c r="C7782" s="15">
        <v>1</v>
      </c>
      <c r="D7782" s="244">
        <v>0</v>
      </c>
      <c r="E7782" s="244">
        <v>0</v>
      </c>
      <c r="F7782" s="244">
        <v>0</v>
      </c>
      <c r="G7782" s="244">
        <v>0</v>
      </c>
      <c r="H7782" s="244">
        <v>0</v>
      </c>
      <c r="I7782" s="244">
        <v>0</v>
      </c>
      <c r="J7782" s="244">
        <v>0</v>
      </c>
      <c r="K7782" s="244">
        <v>0</v>
      </c>
      <c r="L7782" s="244">
        <v>0</v>
      </c>
      <c r="M7782" s="244">
        <v>0</v>
      </c>
      <c r="N7782" s="244">
        <v>0</v>
      </c>
      <c r="O7782" s="254">
        <v>1</v>
      </c>
    </row>
    <row r="7783" ht="14.25" spans="1:15">
      <c r="A7783" s="245" t="s">
        <v>71</v>
      </c>
      <c r="B7783" s="52" t="s">
        <v>64</v>
      </c>
      <c r="C7783" s="19" t="e">
        <v>#DIV/0!</v>
      </c>
      <c r="D7783" s="19" t="e">
        <v>#DIV/0!</v>
      </c>
      <c r="E7783" s="19" t="e">
        <v>#DIV/0!</v>
      </c>
      <c r="F7783" s="19" t="e">
        <v>#DIV/0!</v>
      </c>
      <c r="G7783" s="19" t="e">
        <v>#DIV/0!</v>
      </c>
      <c r="H7783" s="19" t="e">
        <v>#DIV/0!</v>
      </c>
      <c r="I7783" s="19" t="e">
        <v>#DIV/0!</v>
      </c>
      <c r="J7783" s="19" t="e">
        <v>#DIV/0!</v>
      </c>
      <c r="K7783" s="19" t="e">
        <v>#DIV/0!</v>
      </c>
      <c r="L7783" s="19" t="e">
        <v>#DIV/0!</v>
      </c>
      <c r="M7783" s="19" t="e">
        <v>#DIV/0!</v>
      </c>
      <c r="N7783" s="19" t="e">
        <v>#DIV/0!</v>
      </c>
      <c r="O7783" s="19" t="e">
        <v>#DIV/0!</v>
      </c>
    </row>
    <row r="7784" spans="1:15">
      <c r="A7784" s="240" t="s">
        <v>72</v>
      </c>
      <c r="B7784" s="47" t="s">
        <v>55</v>
      </c>
      <c r="C7784" s="12">
        <v>0.03526999316473</v>
      </c>
      <c r="D7784" s="241">
        <v>0.0544157002676182</v>
      </c>
      <c r="E7784" s="241">
        <v>0.0421052631578947</v>
      </c>
      <c r="F7784" s="241">
        <v>0.0485714285714286</v>
      </c>
      <c r="G7784" s="241">
        <v>0.0482315112540193</v>
      </c>
      <c r="H7784" s="241">
        <v>0.0471253534401508</v>
      </c>
      <c r="I7784" s="241">
        <v>0.028685790527018</v>
      </c>
      <c r="J7784" s="241">
        <v>0.0345313601127555</v>
      </c>
      <c r="K7784" s="241">
        <v>0.0279441117764471</v>
      </c>
      <c r="L7784" s="241">
        <v>0.0323468685478321</v>
      </c>
      <c r="M7784" s="241">
        <v>0.0348297213622291</v>
      </c>
      <c r="N7784" s="241">
        <v>0.0321543408360129</v>
      </c>
      <c r="O7784" s="252">
        <v>0.0256136606189968</v>
      </c>
    </row>
    <row r="7785" spans="1:15">
      <c r="A7785" s="242" t="s">
        <v>72</v>
      </c>
      <c r="B7785" s="43" t="s">
        <v>57</v>
      </c>
      <c r="C7785" s="15">
        <v>14630</v>
      </c>
      <c r="D7785" s="243">
        <v>1121</v>
      </c>
      <c r="E7785" s="243">
        <v>570</v>
      </c>
      <c r="F7785" s="243">
        <v>350</v>
      </c>
      <c r="G7785" s="243">
        <v>622</v>
      </c>
      <c r="H7785" s="243">
        <v>1061</v>
      </c>
      <c r="I7785" s="243">
        <v>1499</v>
      </c>
      <c r="J7785" s="243">
        <v>1419</v>
      </c>
      <c r="K7785" s="243">
        <v>1503</v>
      </c>
      <c r="L7785" s="243">
        <v>1453</v>
      </c>
      <c r="M7785" s="243">
        <v>1292</v>
      </c>
      <c r="N7785" s="243">
        <v>1866</v>
      </c>
      <c r="O7785" s="253">
        <v>1874</v>
      </c>
    </row>
    <row r="7786" spans="1:15">
      <c r="A7786" s="240" t="s">
        <v>72</v>
      </c>
      <c r="B7786" s="47" t="s">
        <v>59</v>
      </c>
      <c r="C7786" s="15">
        <v>516</v>
      </c>
      <c r="D7786" s="243">
        <v>61</v>
      </c>
      <c r="E7786" s="243">
        <v>24</v>
      </c>
      <c r="F7786" s="243">
        <v>17</v>
      </c>
      <c r="G7786" s="243">
        <v>30</v>
      </c>
      <c r="H7786" s="243">
        <v>50</v>
      </c>
      <c r="I7786" s="243">
        <v>43</v>
      </c>
      <c r="J7786" s="243">
        <v>49</v>
      </c>
      <c r="K7786" s="243">
        <v>42</v>
      </c>
      <c r="L7786" s="243">
        <v>47</v>
      </c>
      <c r="M7786" s="243">
        <v>45</v>
      </c>
      <c r="N7786" s="243">
        <v>60</v>
      </c>
      <c r="O7786" s="253">
        <v>48</v>
      </c>
    </row>
    <row r="7787" spans="1:15">
      <c r="A7787" s="242" t="s">
        <v>72</v>
      </c>
      <c r="B7787" s="43" t="s">
        <v>4</v>
      </c>
      <c r="C7787" s="15">
        <v>20</v>
      </c>
      <c r="D7787" s="244">
        <v>1</v>
      </c>
      <c r="E7787" s="244">
        <v>1</v>
      </c>
      <c r="F7787" s="244">
        <v>0</v>
      </c>
      <c r="G7787" s="244">
        <v>1</v>
      </c>
      <c r="H7787" s="244">
        <v>0</v>
      </c>
      <c r="I7787" s="244">
        <v>3</v>
      </c>
      <c r="J7787" s="244">
        <v>2</v>
      </c>
      <c r="K7787" s="244">
        <v>4</v>
      </c>
      <c r="L7787" s="244">
        <v>2</v>
      </c>
      <c r="M7787" s="244">
        <v>2</v>
      </c>
      <c r="N7787" s="244">
        <v>1</v>
      </c>
      <c r="O7787" s="254">
        <v>3</v>
      </c>
    </row>
    <row r="7788" spans="1:15">
      <c r="A7788" s="240" t="s">
        <v>72</v>
      </c>
      <c r="B7788" s="47" t="s">
        <v>5</v>
      </c>
      <c r="C7788" s="12">
        <v>0.0387596899224806</v>
      </c>
      <c r="D7788" s="241">
        <v>0.0163934426229508</v>
      </c>
      <c r="E7788" s="241">
        <v>0.0416666666666667</v>
      </c>
      <c r="F7788" s="241">
        <v>0</v>
      </c>
      <c r="G7788" s="241">
        <v>0.0333333333333333</v>
      </c>
      <c r="H7788" s="241">
        <v>0</v>
      </c>
      <c r="I7788" s="241">
        <v>0.0697674418604651</v>
      </c>
      <c r="J7788" s="241">
        <v>0.0408163265306122</v>
      </c>
      <c r="K7788" s="241">
        <v>0.0952380952380952</v>
      </c>
      <c r="L7788" s="241">
        <v>0.0425531914893617</v>
      </c>
      <c r="M7788" s="241">
        <v>0.0444444444444444</v>
      </c>
      <c r="N7788" s="241">
        <v>0.0166666666666667</v>
      </c>
      <c r="O7788" s="252">
        <v>0.0625</v>
      </c>
    </row>
    <row r="7789" spans="1:15">
      <c r="A7789" s="242" t="s">
        <v>72</v>
      </c>
      <c r="B7789" s="43" t="s">
        <v>6</v>
      </c>
      <c r="C7789" s="15">
        <v>2</v>
      </c>
      <c r="D7789" s="244">
        <v>1</v>
      </c>
      <c r="E7789" s="244">
        <v>0</v>
      </c>
      <c r="F7789" s="244">
        <v>0</v>
      </c>
      <c r="G7789" s="244">
        <v>0</v>
      </c>
      <c r="H7789" s="244">
        <v>0</v>
      </c>
      <c r="I7789" s="244">
        <v>1</v>
      </c>
      <c r="J7789" s="244">
        <v>0</v>
      </c>
      <c r="K7789" s="244">
        <v>0</v>
      </c>
      <c r="L7789" s="244">
        <v>0</v>
      </c>
      <c r="M7789" s="244">
        <v>0</v>
      </c>
      <c r="N7789" s="244">
        <v>0</v>
      </c>
      <c r="O7789" s="254">
        <v>0</v>
      </c>
    </row>
    <row r="7790" ht="14.25" spans="1:15">
      <c r="A7790" s="245" t="s">
        <v>72</v>
      </c>
      <c r="B7790" s="52" t="s">
        <v>64</v>
      </c>
      <c r="C7790" s="19">
        <v>0.1</v>
      </c>
      <c r="D7790" s="19">
        <v>1</v>
      </c>
      <c r="E7790" s="19">
        <v>0</v>
      </c>
      <c r="F7790" s="19" t="e">
        <v>#DIV/0!</v>
      </c>
      <c r="G7790" s="19">
        <v>0</v>
      </c>
      <c r="H7790" s="19" t="e">
        <v>#DIV/0!</v>
      </c>
      <c r="I7790" s="19">
        <v>0.333333333333333</v>
      </c>
      <c r="J7790" s="19">
        <v>0</v>
      </c>
      <c r="K7790" s="19">
        <v>0</v>
      </c>
      <c r="L7790" s="19">
        <v>0</v>
      </c>
      <c r="M7790" s="19">
        <v>0</v>
      </c>
      <c r="N7790" s="19">
        <v>0</v>
      </c>
      <c r="O7790" s="19">
        <v>0</v>
      </c>
    </row>
    <row r="7791" ht="14.25" spans="1:15">
      <c r="A7791" s="259">
        <v>45140</v>
      </c>
      <c r="B7791" s="259"/>
      <c r="C7791" s="259"/>
      <c r="D7791" s="259"/>
      <c r="E7791" s="259"/>
      <c r="F7791" s="259"/>
      <c r="G7791" s="259"/>
      <c r="H7791" s="259"/>
      <c r="I7791" s="259"/>
      <c r="J7791" s="259"/>
      <c r="K7791" s="259"/>
      <c r="L7791" s="259"/>
      <c r="M7791" s="259"/>
      <c r="N7791" s="259"/>
      <c r="O7791" s="259"/>
    </row>
    <row r="7792" spans="1:15">
      <c r="A7792" s="260" t="s">
        <v>1</v>
      </c>
      <c r="B7792" s="261"/>
      <c r="C7792" s="8" t="s">
        <v>42</v>
      </c>
      <c r="D7792" s="262" t="s">
        <v>43</v>
      </c>
      <c r="E7792" s="262" t="s">
        <v>44</v>
      </c>
      <c r="F7792" s="262" t="s">
        <v>45</v>
      </c>
      <c r="G7792" s="262" t="s">
        <v>46</v>
      </c>
      <c r="H7792" s="262" t="s">
        <v>47</v>
      </c>
      <c r="I7792" s="262" t="s">
        <v>48</v>
      </c>
      <c r="J7792" s="262" t="s">
        <v>49</v>
      </c>
      <c r="K7792" s="262" t="s">
        <v>50</v>
      </c>
      <c r="L7792" s="262" t="s">
        <v>51</v>
      </c>
      <c r="M7792" s="262" t="s">
        <v>52</v>
      </c>
      <c r="N7792" s="262" t="s">
        <v>53</v>
      </c>
      <c r="O7792" s="276" t="s">
        <v>54</v>
      </c>
    </row>
    <row r="7793" spans="1:15">
      <c r="A7793" s="263" t="s">
        <v>22</v>
      </c>
      <c r="B7793" s="264" t="s">
        <v>55</v>
      </c>
      <c r="C7793" s="12">
        <v>0.903577661431065</v>
      </c>
      <c r="D7793" s="265">
        <v>1.1</v>
      </c>
      <c r="E7793" s="265">
        <v>1.03669724770642</v>
      </c>
      <c r="F7793" s="265">
        <v>0.757894736842105</v>
      </c>
      <c r="G7793" s="265">
        <v>0.939393939393939</v>
      </c>
      <c r="H7793" s="265">
        <v>0.919254658385093</v>
      </c>
      <c r="I7793" s="265">
        <v>0.8125</v>
      </c>
      <c r="J7793" s="265">
        <v>0.877358490566038</v>
      </c>
      <c r="K7793" s="265">
        <v>0.991111111111111</v>
      </c>
      <c r="L7793" s="265">
        <v>0.868778280542986</v>
      </c>
      <c r="M7793" s="265">
        <v>0.830917874396135</v>
      </c>
      <c r="N7793" s="265">
        <v>0.854406130268199</v>
      </c>
      <c r="O7793" s="277">
        <v>0.881533101045296</v>
      </c>
    </row>
    <row r="7794" spans="1:15">
      <c r="A7794" s="266" t="s">
        <v>22</v>
      </c>
      <c r="B7794" s="267" t="s">
        <v>57</v>
      </c>
      <c r="C7794" s="15">
        <v>2292</v>
      </c>
      <c r="D7794" s="268">
        <v>190</v>
      </c>
      <c r="E7794" s="268">
        <v>109</v>
      </c>
      <c r="F7794" s="268">
        <v>95</v>
      </c>
      <c r="G7794" s="268">
        <v>132</v>
      </c>
      <c r="H7794" s="268">
        <v>161</v>
      </c>
      <c r="I7794" s="268">
        <v>192</v>
      </c>
      <c r="J7794" s="268">
        <v>212</v>
      </c>
      <c r="K7794" s="268">
        <v>225</v>
      </c>
      <c r="L7794" s="268">
        <v>221</v>
      </c>
      <c r="M7794" s="268">
        <v>207</v>
      </c>
      <c r="N7794" s="268">
        <v>261</v>
      </c>
      <c r="O7794" s="278">
        <v>287</v>
      </c>
    </row>
    <row r="7795" spans="1:15">
      <c r="A7795" s="263" t="s">
        <v>22</v>
      </c>
      <c r="B7795" s="264" t="s">
        <v>59</v>
      </c>
      <c r="C7795" s="15">
        <v>2071</v>
      </c>
      <c r="D7795" s="268">
        <v>209</v>
      </c>
      <c r="E7795" s="268">
        <v>113</v>
      </c>
      <c r="F7795" s="268">
        <v>72</v>
      </c>
      <c r="G7795" s="268">
        <v>124</v>
      </c>
      <c r="H7795" s="268">
        <v>148</v>
      </c>
      <c r="I7795" s="268">
        <v>156</v>
      </c>
      <c r="J7795" s="268">
        <v>186</v>
      </c>
      <c r="K7795" s="268">
        <v>223</v>
      </c>
      <c r="L7795" s="268">
        <v>192</v>
      </c>
      <c r="M7795" s="268">
        <v>172</v>
      </c>
      <c r="N7795" s="268">
        <v>223</v>
      </c>
      <c r="O7795" s="278">
        <v>253</v>
      </c>
    </row>
    <row r="7796" spans="1:15">
      <c r="A7796" s="266" t="s">
        <v>22</v>
      </c>
      <c r="B7796" s="267" t="s">
        <v>4</v>
      </c>
      <c r="C7796" s="15">
        <v>37</v>
      </c>
      <c r="D7796" s="269">
        <v>4</v>
      </c>
      <c r="E7796" s="269">
        <v>1</v>
      </c>
      <c r="F7796" s="269">
        <v>1</v>
      </c>
      <c r="G7796" s="269">
        <v>2</v>
      </c>
      <c r="H7796" s="269">
        <v>3</v>
      </c>
      <c r="I7796" s="269">
        <v>0</v>
      </c>
      <c r="J7796" s="269">
        <v>1</v>
      </c>
      <c r="K7796" s="269">
        <v>5</v>
      </c>
      <c r="L7796" s="269">
        <v>2</v>
      </c>
      <c r="M7796" s="269">
        <v>5</v>
      </c>
      <c r="N7796" s="269">
        <v>6</v>
      </c>
      <c r="O7796" s="279">
        <v>7</v>
      </c>
    </row>
    <row r="7797" spans="1:15">
      <c r="A7797" s="263" t="s">
        <v>22</v>
      </c>
      <c r="B7797" s="264" t="s">
        <v>5</v>
      </c>
      <c r="C7797" s="12">
        <v>0.0178657653307581</v>
      </c>
      <c r="D7797" s="265">
        <v>0.0191387559808612</v>
      </c>
      <c r="E7797" s="265">
        <v>0.00884955752212389</v>
      </c>
      <c r="F7797" s="265">
        <v>0.0138888888888889</v>
      </c>
      <c r="G7797" s="265">
        <v>0.0161290322580645</v>
      </c>
      <c r="H7797" s="265">
        <v>0.0202702702702703</v>
      </c>
      <c r="I7797" s="265">
        <v>0</v>
      </c>
      <c r="J7797" s="265">
        <v>0.00537634408602151</v>
      </c>
      <c r="K7797" s="265">
        <v>0.0224215246636771</v>
      </c>
      <c r="L7797" s="265">
        <v>0.0104166666666667</v>
      </c>
      <c r="M7797" s="265">
        <v>0.0290697674418605</v>
      </c>
      <c r="N7797" s="265">
        <v>0.0269058295964126</v>
      </c>
      <c r="O7797" s="277">
        <v>0.0276679841897233</v>
      </c>
    </row>
    <row r="7798" spans="1:15">
      <c r="A7798" s="266" t="s">
        <v>22</v>
      </c>
      <c r="B7798" s="267" t="s">
        <v>6</v>
      </c>
      <c r="C7798" s="15">
        <v>14</v>
      </c>
      <c r="D7798" s="269">
        <v>2</v>
      </c>
      <c r="E7798" s="269">
        <v>1</v>
      </c>
      <c r="F7798" s="269">
        <v>2</v>
      </c>
      <c r="G7798" s="269">
        <v>1</v>
      </c>
      <c r="H7798" s="269">
        <v>2</v>
      </c>
      <c r="I7798" s="269">
        <v>2</v>
      </c>
      <c r="J7798" s="269">
        <v>0</v>
      </c>
      <c r="K7798" s="269">
        <v>0</v>
      </c>
      <c r="L7798" s="269">
        <v>2</v>
      </c>
      <c r="M7798" s="269">
        <v>1</v>
      </c>
      <c r="N7798" s="269">
        <v>1</v>
      </c>
      <c r="O7798" s="279">
        <v>0</v>
      </c>
    </row>
    <row r="7799" ht="14.25" spans="1:15">
      <c r="A7799" s="270" t="s">
        <v>22</v>
      </c>
      <c r="B7799" s="271" t="s">
        <v>64</v>
      </c>
      <c r="C7799" s="19">
        <v>0.378378378378378</v>
      </c>
      <c r="D7799" s="272">
        <v>0.5</v>
      </c>
      <c r="E7799" s="272">
        <v>1</v>
      </c>
      <c r="F7799" s="272">
        <v>2</v>
      </c>
      <c r="G7799" s="272">
        <v>0.5</v>
      </c>
      <c r="H7799" s="272">
        <v>0.666666666666667</v>
      </c>
      <c r="I7799" s="272">
        <v>0</v>
      </c>
      <c r="J7799" s="272">
        <v>0</v>
      </c>
      <c r="K7799" s="272">
        <v>0</v>
      </c>
      <c r="L7799" s="272">
        <v>1</v>
      </c>
      <c r="M7799" s="272">
        <v>0.2</v>
      </c>
      <c r="N7799" s="272">
        <v>0.166666666666667</v>
      </c>
      <c r="O7799" s="280">
        <v>0</v>
      </c>
    </row>
    <row r="7800" spans="1:15">
      <c r="A7800" s="273" t="s">
        <v>66</v>
      </c>
      <c r="B7800" s="274" t="s">
        <v>55</v>
      </c>
      <c r="C7800" s="12">
        <v>0.0765936004031242</v>
      </c>
      <c r="D7800" s="275">
        <v>0.0810810810810811</v>
      </c>
      <c r="E7800" s="275">
        <v>0.125628140703518</v>
      </c>
      <c r="F7800" s="275">
        <v>0.186274509803922</v>
      </c>
      <c r="G7800" s="275">
        <v>0.0608108108108108</v>
      </c>
      <c r="H7800" s="275">
        <v>0.0948616600790514</v>
      </c>
      <c r="I7800" s="275">
        <v>0.0898203592814371</v>
      </c>
      <c r="J7800" s="275">
        <v>0.0717948717948718</v>
      </c>
      <c r="K7800" s="275">
        <v>0.0810810810810811</v>
      </c>
      <c r="L7800" s="275">
        <v>0.0866510538641686</v>
      </c>
      <c r="M7800" s="275">
        <v>0.0568181818181818</v>
      </c>
      <c r="N7800" s="275">
        <v>0.0492610837438424</v>
      </c>
      <c r="O7800" s="281">
        <v>0.046189376443418</v>
      </c>
    </row>
    <row r="7801" spans="1:15">
      <c r="A7801" s="266" t="s">
        <v>66</v>
      </c>
      <c r="B7801" s="267" t="s">
        <v>57</v>
      </c>
      <c r="C7801" s="15">
        <v>3969</v>
      </c>
      <c r="D7801" s="268">
        <v>333</v>
      </c>
      <c r="E7801" s="268">
        <v>199</v>
      </c>
      <c r="F7801" s="268">
        <v>102</v>
      </c>
      <c r="G7801" s="268">
        <v>296</v>
      </c>
      <c r="H7801" s="268">
        <v>253</v>
      </c>
      <c r="I7801" s="268">
        <v>334</v>
      </c>
      <c r="J7801" s="268">
        <v>390</v>
      </c>
      <c r="K7801" s="268">
        <v>444</v>
      </c>
      <c r="L7801" s="268">
        <v>427</v>
      </c>
      <c r="M7801" s="268">
        <v>352</v>
      </c>
      <c r="N7801" s="268">
        <v>406</v>
      </c>
      <c r="O7801" s="278">
        <v>433</v>
      </c>
    </row>
    <row r="7802" spans="1:15">
      <c r="A7802" s="263" t="s">
        <v>66</v>
      </c>
      <c r="B7802" s="264" t="s">
        <v>59</v>
      </c>
      <c r="C7802" s="15">
        <v>304</v>
      </c>
      <c r="D7802" s="268">
        <v>27</v>
      </c>
      <c r="E7802" s="268">
        <v>25</v>
      </c>
      <c r="F7802" s="268">
        <v>19</v>
      </c>
      <c r="G7802" s="268">
        <v>18</v>
      </c>
      <c r="H7802" s="268">
        <v>24</v>
      </c>
      <c r="I7802" s="268">
        <v>30</v>
      </c>
      <c r="J7802" s="268">
        <v>28</v>
      </c>
      <c r="K7802" s="268">
        <v>36</v>
      </c>
      <c r="L7802" s="268">
        <v>37</v>
      </c>
      <c r="M7802" s="268">
        <v>20</v>
      </c>
      <c r="N7802" s="268">
        <v>20</v>
      </c>
      <c r="O7802" s="278">
        <v>20</v>
      </c>
    </row>
    <row r="7803" spans="1:15">
      <c r="A7803" s="266" t="s">
        <v>66</v>
      </c>
      <c r="B7803" s="267" t="s">
        <v>4</v>
      </c>
      <c r="C7803" s="15">
        <v>8</v>
      </c>
      <c r="D7803" s="269">
        <v>1</v>
      </c>
      <c r="E7803" s="269">
        <v>0</v>
      </c>
      <c r="F7803" s="269">
        <v>0</v>
      </c>
      <c r="G7803" s="269">
        <v>0</v>
      </c>
      <c r="H7803" s="269">
        <v>1</v>
      </c>
      <c r="I7803" s="269">
        <v>0</v>
      </c>
      <c r="J7803" s="269">
        <v>0</v>
      </c>
      <c r="K7803" s="269">
        <v>1</v>
      </c>
      <c r="L7803" s="269">
        <v>1</v>
      </c>
      <c r="M7803" s="269">
        <v>0</v>
      </c>
      <c r="N7803" s="269">
        <v>3</v>
      </c>
      <c r="O7803" s="279">
        <v>1</v>
      </c>
    </row>
    <row r="7804" spans="1:15">
      <c r="A7804" s="263" t="s">
        <v>66</v>
      </c>
      <c r="B7804" s="264" t="s">
        <v>5</v>
      </c>
      <c r="C7804" s="12">
        <v>0.0263157894736842</v>
      </c>
      <c r="D7804" s="265">
        <v>0.037037037037037</v>
      </c>
      <c r="E7804" s="265">
        <v>0</v>
      </c>
      <c r="F7804" s="265">
        <v>0</v>
      </c>
      <c r="G7804" s="265">
        <v>0</v>
      </c>
      <c r="H7804" s="265">
        <v>0.0416666666666667</v>
      </c>
      <c r="I7804" s="265">
        <v>0</v>
      </c>
      <c r="J7804" s="265">
        <v>0</v>
      </c>
      <c r="K7804" s="265">
        <v>0.0277777777777778</v>
      </c>
      <c r="L7804" s="265">
        <v>0.027027027027027</v>
      </c>
      <c r="M7804" s="265">
        <v>0</v>
      </c>
      <c r="N7804" s="265">
        <v>0.15</v>
      </c>
      <c r="O7804" s="277">
        <v>0.05</v>
      </c>
    </row>
    <row r="7805" spans="1:15">
      <c r="A7805" s="266" t="s">
        <v>66</v>
      </c>
      <c r="B7805" s="267" t="s">
        <v>6</v>
      </c>
      <c r="C7805" s="15">
        <v>1</v>
      </c>
      <c r="D7805" s="269">
        <v>1</v>
      </c>
      <c r="E7805" s="269">
        <v>0</v>
      </c>
      <c r="F7805" s="269">
        <v>0</v>
      </c>
      <c r="G7805" s="269">
        <v>0</v>
      </c>
      <c r="H7805" s="269">
        <v>0</v>
      </c>
      <c r="I7805" s="269">
        <v>0</v>
      </c>
      <c r="J7805" s="269">
        <v>0</v>
      </c>
      <c r="K7805" s="269">
        <v>0</v>
      </c>
      <c r="L7805" s="269">
        <v>0</v>
      </c>
      <c r="M7805" s="269">
        <v>0</v>
      </c>
      <c r="N7805" s="269">
        <v>0</v>
      </c>
      <c r="O7805" s="279">
        <v>0</v>
      </c>
    </row>
    <row r="7806" ht="14.25" spans="1:15">
      <c r="A7806" s="270" t="s">
        <v>66</v>
      </c>
      <c r="B7806" s="271" t="s">
        <v>64</v>
      </c>
      <c r="C7806" s="19">
        <v>0.125</v>
      </c>
      <c r="D7806" s="272">
        <v>1</v>
      </c>
      <c r="E7806" s="272">
        <v>0</v>
      </c>
      <c r="F7806" s="272">
        <v>0</v>
      </c>
      <c r="G7806" s="272">
        <v>0</v>
      </c>
      <c r="H7806" s="272">
        <v>0</v>
      </c>
      <c r="I7806" s="272">
        <v>0</v>
      </c>
      <c r="J7806" s="272">
        <v>0</v>
      </c>
      <c r="K7806" s="272">
        <v>0</v>
      </c>
      <c r="L7806" s="272">
        <v>0</v>
      </c>
      <c r="M7806" s="272">
        <v>0</v>
      </c>
      <c r="N7806" s="272">
        <v>0</v>
      </c>
      <c r="O7806" s="280">
        <v>0</v>
      </c>
    </row>
    <row r="7807" spans="1:15">
      <c r="A7807" s="263" t="s">
        <v>67</v>
      </c>
      <c r="B7807" s="264" t="s">
        <v>55</v>
      </c>
      <c r="C7807" s="12">
        <v>0.558730158730159</v>
      </c>
      <c r="D7807" s="265">
        <v>0.712328767123288</v>
      </c>
      <c r="E7807" s="265">
        <v>0.434782608695652</v>
      </c>
      <c r="F7807" s="265">
        <v>0.666666666666667</v>
      </c>
      <c r="G7807" s="265">
        <v>0.617021276595745</v>
      </c>
      <c r="H7807" s="265">
        <v>0.513888888888889</v>
      </c>
      <c r="I7807" s="265">
        <v>0.648648648648649</v>
      </c>
      <c r="J7807" s="265">
        <v>0.547368421052632</v>
      </c>
      <c r="K7807" s="265">
        <v>0.638461538461538</v>
      </c>
      <c r="L7807" s="265">
        <v>0.602150537634409</v>
      </c>
      <c r="M7807" s="265">
        <v>0.469135802469136</v>
      </c>
      <c r="N7807" s="265">
        <v>0.5</v>
      </c>
      <c r="O7807" s="277">
        <v>0.431034482758621</v>
      </c>
    </row>
    <row r="7808" spans="1:15">
      <c r="A7808" s="266" t="s">
        <v>67</v>
      </c>
      <c r="B7808" s="267" t="s">
        <v>57</v>
      </c>
      <c r="C7808" s="15">
        <v>945</v>
      </c>
      <c r="D7808" s="268">
        <v>73</v>
      </c>
      <c r="E7808" s="268">
        <v>46</v>
      </c>
      <c r="F7808" s="268">
        <v>24</v>
      </c>
      <c r="G7808" s="268">
        <v>47</v>
      </c>
      <c r="H7808" s="268">
        <v>72</v>
      </c>
      <c r="I7808" s="268">
        <v>74</v>
      </c>
      <c r="J7808" s="268">
        <v>95</v>
      </c>
      <c r="K7808" s="268">
        <v>130</v>
      </c>
      <c r="L7808" s="268">
        <v>93</v>
      </c>
      <c r="M7808" s="268">
        <v>81</v>
      </c>
      <c r="N7808" s="268">
        <v>94</v>
      </c>
      <c r="O7808" s="278">
        <v>116</v>
      </c>
    </row>
    <row r="7809" spans="1:15">
      <c r="A7809" s="263" t="s">
        <v>67</v>
      </c>
      <c r="B7809" s="264" t="s">
        <v>59</v>
      </c>
      <c r="C7809" s="15">
        <v>528</v>
      </c>
      <c r="D7809" s="268">
        <v>52</v>
      </c>
      <c r="E7809" s="268">
        <v>20</v>
      </c>
      <c r="F7809" s="268">
        <v>16</v>
      </c>
      <c r="G7809" s="268">
        <v>29</v>
      </c>
      <c r="H7809" s="268">
        <v>37</v>
      </c>
      <c r="I7809" s="268">
        <v>48</v>
      </c>
      <c r="J7809" s="268">
        <v>52</v>
      </c>
      <c r="K7809" s="268">
        <v>83</v>
      </c>
      <c r="L7809" s="268">
        <v>56</v>
      </c>
      <c r="M7809" s="268">
        <v>38</v>
      </c>
      <c r="N7809" s="268">
        <v>47</v>
      </c>
      <c r="O7809" s="278">
        <v>50</v>
      </c>
    </row>
    <row r="7810" spans="1:15">
      <c r="A7810" s="266" t="s">
        <v>67</v>
      </c>
      <c r="B7810" s="267" t="s">
        <v>4</v>
      </c>
      <c r="C7810" s="15">
        <v>11</v>
      </c>
      <c r="D7810" s="269">
        <v>2</v>
      </c>
      <c r="E7810" s="269">
        <v>2</v>
      </c>
      <c r="F7810" s="269">
        <v>0</v>
      </c>
      <c r="G7810" s="269">
        <v>1</v>
      </c>
      <c r="H7810" s="269">
        <v>0</v>
      </c>
      <c r="I7810" s="269">
        <v>1</v>
      </c>
      <c r="J7810" s="269">
        <v>0</v>
      </c>
      <c r="K7810" s="269">
        <v>0</v>
      </c>
      <c r="L7810" s="269">
        <v>1</v>
      </c>
      <c r="M7810" s="269">
        <v>2</v>
      </c>
      <c r="N7810" s="269">
        <v>1</v>
      </c>
      <c r="O7810" s="279">
        <v>1</v>
      </c>
    </row>
    <row r="7811" spans="1:15">
      <c r="A7811" s="263" t="s">
        <v>67</v>
      </c>
      <c r="B7811" s="264" t="s">
        <v>5</v>
      </c>
      <c r="C7811" s="12">
        <v>0.0208333333333333</v>
      </c>
      <c r="D7811" s="265">
        <v>0.0384615384615385</v>
      </c>
      <c r="E7811" s="265">
        <v>0.1</v>
      </c>
      <c r="F7811" s="265">
        <v>0</v>
      </c>
      <c r="G7811" s="265">
        <v>0.0344827586206897</v>
      </c>
      <c r="H7811" s="265">
        <v>0</v>
      </c>
      <c r="I7811" s="265">
        <v>0.0208333333333333</v>
      </c>
      <c r="J7811" s="265">
        <v>0</v>
      </c>
      <c r="K7811" s="265">
        <v>0</v>
      </c>
      <c r="L7811" s="265">
        <v>0.0178571428571429</v>
      </c>
      <c r="M7811" s="265">
        <v>0.0526315789473684</v>
      </c>
      <c r="N7811" s="265">
        <v>0.0212765957446809</v>
      </c>
      <c r="O7811" s="277">
        <v>0.02</v>
      </c>
    </row>
    <row r="7812" spans="1:15">
      <c r="A7812" s="266" t="s">
        <v>67</v>
      </c>
      <c r="B7812" s="267" t="s">
        <v>6</v>
      </c>
      <c r="C7812" s="15">
        <v>5</v>
      </c>
      <c r="D7812" s="269">
        <v>1</v>
      </c>
      <c r="E7812" s="269">
        <v>2</v>
      </c>
      <c r="F7812" s="269">
        <v>0</v>
      </c>
      <c r="G7812" s="269">
        <v>0</v>
      </c>
      <c r="H7812" s="269">
        <v>0</v>
      </c>
      <c r="I7812" s="269">
        <v>0</v>
      </c>
      <c r="J7812" s="269">
        <v>0</v>
      </c>
      <c r="K7812" s="269">
        <v>0</v>
      </c>
      <c r="L7812" s="269">
        <v>1</v>
      </c>
      <c r="M7812" s="269">
        <v>0</v>
      </c>
      <c r="N7812" s="269">
        <v>0</v>
      </c>
      <c r="O7812" s="279">
        <v>1</v>
      </c>
    </row>
    <row r="7813" ht="14.25" spans="1:15">
      <c r="A7813" s="270" t="s">
        <v>67</v>
      </c>
      <c r="B7813" s="271" t="s">
        <v>64</v>
      </c>
      <c r="C7813" s="19">
        <v>0.454545454545455</v>
      </c>
      <c r="D7813" s="272">
        <v>0.5</v>
      </c>
      <c r="E7813" s="272">
        <v>1</v>
      </c>
      <c r="F7813" s="272">
        <v>0</v>
      </c>
      <c r="G7813" s="272">
        <v>0</v>
      </c>
      <c r="H7813" s="272">
        <v>0</v>
      </c>
      <c r="I7813" s="272">
        <v>0</v>
      </c>
      <c r="J7813" s="272">
        <v>0</v>
      </c>
      <c r="K7813" s="272">
        <v>0</v>
      </c>
      <c r="L7813" s="272">
        <v>1</v>
      </c>
      <c r="M7813" s="272">
        <v>0</v>
      </c>
      <c r="N7813" s="272">
        <v>0</v>
      </c>
      <c r="O7813" s="280">
        <v>1</v>
      </c>
    </row>
    <row r="7814" spans="1:15">
      <c r="A7814" s="263" t="s">
        <v>68</v>
      </c>
      <c r="B7814" s="264" t="s">
        <v>55</v>
      </c>
      <c r="C7814" s="12">
        <v>0.0451271497868587</v>
      </c>
      <c r="D7814" s="265">
        <v>0.0698039215686275</v>
      </c>
      <c r="E7814" s="265">
        <v>0.0762564991334489</v>
      </c>
      <c r="F7814" s="265">
        <v>0.090625</v>
      </c>
      <c r="G7814" s="265">
        <v>0.113513513513514</v>
      </c>
      <c r="H7814" s="265">
        <v>0.0634920634920635</v>
      </c>
      <c r="I7814" s="265">
        <v>0.0347957639939486</v>
      </c>
      <c r="J7814" s="265">
        <v>0.0421052631578947</v>
      </c>
      <c r="K7814" s="265">
        <v>0.0367372353673724</v>
      </c>
      <c r="L7814" s="265">
        <v>0.0312891113892365</v>
      </c>
      <c r="M7814" s="265">
        <v>0.0345098039215686</v>
      </c>
      <c r="N7814" s="265">
        <v>0.0356911096690461</v>
      </c>
      <c r="O7814" s="277">
        <v>0.0311750599520384</v>
      </c>
    </row>
    <row r="7815" spans="1:15">
      <c r="A7815" s="266" t="s">
        <v>68</v>
      </c>
      <c r="B7815" s="267" t="s">
        <v>57</v>
      </c>
      <c r="C7815" s="15">
        <v>13606</v>
      </c>
      <c r="D7815" s="268">
        <v>1275</v>
      </c>
      <c r="E7815" s="268">
        <v>577</v>
      </c>
      <c r="F7815" s="268">
        <v>320</v>
      </c>
      <c r="G7815" s="268">
        <v>370</v>
      </c>
      <c r="H7815" s="268">
        <v>819</v>
      </c>
      <c r="I7815" s="268">
        <v>1322</v>
      </c>
      <c r="J7815" s="268">
        <v>1235</v>
      </c>
      <c r="K7815" s="268">
        <v>1606</v>
      </c>
      <c r="L7815" s="268">
        <v>1598</v>
      </c>
      <c r="M7815" s="268">
        <v>1275</v>
      </c>
      <c r="N7815" s="268">
        <v>1541</v>
      </c>
      <c r="O7815" s="278">
        <v>1668</v>
      </c>
    </row>
    <row r="7816" spans="1:15">
      <c r="A7816" s="263" t="s">
        <v>68</v>
      </c>
      <c r="B7816" s="264" t="s">
        <v>59</v>
      </c>
      <c r="C7816" s="15">
        <v>614</v>
      </c>
      <c r="D7816" s="268">
        <v>89</v>
      </c>
      <c r="E7816" s="268">
        <v>44</v>
      </c>
      <c r="F7816" s="268">
        <v>29</v>
      </c>
      <c r="G7816" s="268">
        <v>42</v>
      </c>
      <c r="H7816" s="268">
        <v>52</v>
      </c>
      <c r="I7816" s="268">
        <v>46</v>
      </c>
      <c r="J7816" s="268">
        <v>52</v>
      </c>
      <c r="K7816" s="268">
        <v>59</v>
      </c>
      <c r="L7816" s="268">
        <v>50</v>
      </c>
      <c r="M7816" s="268">
        <v>44</v>
      </c>
      <c r="N7816" s="268">
        <v>55</v>
      </c>
      <c r="O7816" s="278">
        <v>52</v>
      </c>
    </row>
    <row r="7817" spans="1:15">
      <c r="A7817" s="266" t="s">
        <v>68</v>
      </c>
      <c r="B7817" s="267" t="s">
        <v>4</v>
      </c>
      <c r="C7817" s="15">
        <v>44</v>
      </c>
      <c r="D7817" s="269">
        <v>6</v>
      </c>
      <c r="E7817" s="269">
        <v>3</v>
      </c>
      <c r="F7817" s="269">
        <v>3</v>
      </c>
      <c r="G7817" s="269">
        <v>3</v>
      </c>
      <c r="H7817" s="269">
        <v>3</v>
      </c>
      <c r="I7817" s="269">
        <v>2</v>
      </c>
      <c r="J7817" s="269">
        <v>4</v>
      </c>
      <c r="K7817" s="269">
        <v>5</v>
      </c>
      <c r="L7817" s="269">
        <v>4</v>
      </c>
      <c r="M7817" s="269">
        <v>0</v>
      </c>
      <c r="N7817" s="269">
        <v>9</v>
      </c>
      <c r="O7817" s="279">
        <v>2</v>
      </c>
    </row>
    <row r="7818" spans="1:15">
      <c r="A7818" s="263" t="s">
        <v>68</v>
      </c>
      <c r="B7818" s="264" t="s">
        <v>5</v>
      </c>
      <c r="C7818" s="12">
        <v>0.0716612377850163</v>
      </c>
      <c r="D7818" s="265">
        <v>0.0674157303370786</v>
      </c>
      <c r="E7818" s="265">
        <v>0.0681818181818182</v>
      </c>
      <c r="F7818" s="265">
        <v>0.103448275862069</v>
      </c>
      <c r="G7818" s="265">
        <v>0.0714285714285714</v>
      </c>
      <c r="H7818" s="265">
        <v>0.0576923076923077</v>
      </c>
      <c r="I7818" s="265">
        <v>0.0434782608695652</v>
      </c>
      <c r="J7818" s="265">
        <v>0.0769230769230769</v>
      </c>
      <c r="K7818" s="265">
        <v>0.0847457627118644</v>
      </c>
      <c r="L7818" s="265">
        <v>0.08</v>
      </c>
      <c r="M7818" s="265">
        <v>0</v>
      </c>
      <c r="N7818" s="265">
        <v>0.163636363636364</v>
      </c>
      <c r="O7818" s="277">
        <v>0.0384615384615385</v>
      </c>
    </row>
    <row r="7819" spans="1:15">
      <c r="A7819" s="266" t="s">
        <v>68</v>
      </c>
      <c r="B7819" s="267" t="s">
        <v>6</v>
      </c>
      <c r="C7819" s="15">
        <v>12</v>
      </c>
      <c r="D7819" s="269">
        <v>2</v>
      </c>
      <c r="E7819" s="269">
        <v>0</v>
      </c>
      <c r="F7819" s="269">
        <v>1</v>
      </c>
      <c r="G7819" s="269">
        <v>0</v>
      </c>
      <c r="H7819" s="269">
        <v>1</v>
      </c>
      <c r="I7819" s="269">
        <v>1</v>
      </c>
      <c r="J7819" s="269">
        <v>1</v>
      </c>
      <c r="K7819" s="269">
        <v>2</v>
      </c>
      <c r="L7819" s="269">
        <v>2</v>
      </c>
      <c r="M7819" s="269">
        <v>0</v>
      </c>
      <c r="N7819" s="269">
        <v>2</v>
      </c>
      <c r="O7819" s="279">
        <v>0</v>
      </c>
    </row>
    <row r="7820" ht="14.25" spans="1:15">
      <c r="A7820" s="270" t="s">
        <v>68</v>
      </c>
      <c r="B7820" s="271" t="s">
        <v>64</v>
      </c>
      <c r="C7820" s="19">
        <v>0.272727272727273</v>
      </c>
      <c r="D7820" s="272">
        <v>0.333333333333333</v>
      </c>
      <c r="E7820" s="272">
        <v>0</v>
      </c>
      <c r="F7820" s="272">
        <v>0.333333333333333</v>
      </c>
      <c r="G7820" s="272">
        <v>0</v>
      </c>
      <c r="H7820" s="272">
        <v>0.333333333333333</v>
      </c>
      <c r="I7820" s="272">
        <v>0.5</v>
      </c>
      <c r="J7820" s="272">
        <v>0.25</v>
      </c>
      <c r="K7820" s="272">
        <v>0.4</v>
      </c>
      <c r="L7820" s="272">
        <v>0.5</v>
      </c>
      <c r="M7820" s="272">
        <v>0</v>
      </c>
      <c r="N7820" s="272">
        <v>0.222222222222222</v>
      </c>
      <c r="O7820" s="280">
        <v>0</v>
      </c>
    </row>
    <row r="7821" spans="1:15">
      <c r="A7821" s="263" t="s">
        <v>69</v>
      </c>
      <c r="B7821" s="264" t="s">
        <v>55</v>
      </c>
      <c r="C7821" s="12">
        <v>0.888059701492537</v>
      </c>
      <c r="D7821" s="265">
        <v>1</v>
      </c>
      <c r="E7821" s="265">
        <v>0.92</v>
      </c>
      <c r="F7821" s="265">
        <v>0.928571428571429</v>
      </c>
      <c r="G7821" s="265">
        <v>0.923076923076923</v>
      </c>
      <c r="H7821" s="265">
        <v>1.23076923076923</v>
      </c>
      <c r="I7821" s="265">
        <v>0.8</v>
      </c>
      <c r="J7821" s="265">
        <v>0.904761904761905</v>
      </c>
      <c r="K7821" s="265">
        <v>0.833333333333333</v>
      </c>
      <c r="L7821" s="265">
        <v>0.884615384615385</v>
      </c>
      <c r="M7821" s="265">
        <v>1.04347826086957</v>
      </c>
      <c r="N7821" s="265">
        <v>0.730769230769231</v>
      </c>
      <c r="O7821" s="277">
        <v>0.71875</v>
      </c>
    </row>
    <row r="7822" spans="1:15">
      <c r="A7822" s="266" t="s">
        <v>69</v>
      </c>
      <c r="B7822" s="267" t="s">
        <v>57</v>
      </c>
      <c r="C7822" s="15">
        <v>268</v>
      </c>
      <c r="D7822" s="268">
        <v>26</v>
      </c>
      <c r="E7822" s="268">
        <v>25</v>
      </c>
      <c r="F7822" s="268">
        <v>14</v>
      </c>
      <c r="G7822" s="268">
        <v>13</v>
      </c>
      <c r="H7822" s="268">
        <v>13</v>
      </c>
      <c r="I7822" s="268">
        <v>25</v>
      </c>
      <c r="J7822" s="268">
        <v>21</v>
      </c>
      <c r="K7822" s="268">
        <v>24</v>
      </c>
      <c r="L7822" s="268">
        <v>26</v>
      </c>
      <c r="M7822" s="268">
        <v>23</v>
      </c>
      <c r="N7822" s="268">
        <v>26</v>
      </c>
      <c r="O7822" s="278">
        <v>32</v>
      </c>
    </row>
    <row r="7823" spans="1:15">
      <c r="A7823" s="263" t="s">
        <v>69</v>
      </c>
      <c r="B7823" s="264" t="s">
        <v>59</v>
      </c>
      <c r="C7823" s="15">
        <v>238</v>
      </c>
      <c r="D7823" s="268">
        <v>26</v>
      </c>
      <c r="E7823" s="268">
        <v>23</v>
      </c>
      <c r="F7823" s="268">
        <v>13</v>
      </c>
      <c r="G7823" s="268">
        <v>12</v>
      </c>
      <c r="H7823" s="268">
        <v>16</v>
      </c>
      <c r="I7823" s="268">
        <v>20</v>
      </c>
      <c r="J7823" s="268">
        <v>19</v>
      </c>
      <c r="K7823" s="268">
        <v>20</v>
      </c>
      <c r="L7823" s="268">
        <v>23</v>
      </c>
      <c r="M7823" s="268">
        <v>24</v>
      </c>
      <c r="N7823" s="268">
        <v>19</v>
      </c>
      <c r="O7823" s="278">
        <v>23</v>
      </c>
    </row>
    <row r="7824" spans="1:15">
      <c r="A7824" s="266" t="s">
        <v>69</v>
      </c>
      <c r="B7824" s="267" t="s">
        <v>4</v>
      </c>
      <c r="C7824" s="15">
        <v>4</v>
      </c>
      <c r="D7824" s="269">
        <v>0</v>
      </c>
      <c r="E7824" s="269">
        <v>1</v>
      </c>
      <c r="F7824" s="269">
        <v>0</v>
      </c>
      <c r="G7824" s="269">
        <v>1</v>
      </c>
      <c r="H7824" s="269">
        <v>0</v>
      </c>
      <c r="I7824" s="269">
        <v>0</v>
      </c>
      <c r="J7824" s="269">
        <v>1</v>
      </c>
      <c r="K7824" s="269">
        <v>0</v>
      </c>
      <c r="L7824" s="269">
        <v>0</v>
      </c>
      <c r="M7824" s="269">
        <v>0</v>
      </c>
      <c r="N7824" s="269">
        <v>0</v>
      </c>
      <c r="O7824" s="279">
        <v>1</v>
      </c>
    </row>
    <row r="7825" spans="1:15">
      <c r="A7825" s="263" t="s">
        <v>69</v>
      </c>
      <c r="B7825" s="264" t="s">
        <v>5</v>
      </c>
      <c r="C7825" s="12">
        <v>0.0168067226890756</v>
      </c>
      <c r="D7825" s="265">
        <v>0</v>
      </c>
      <c r="E7825" s="265">
        <v>0.0434782608695652</v>
      </c>
      <c r="F7825" s="265">
        <v>0</v>
      </c>
      <c r="G7825" s="265">
        <v>0.0833333333333333</v>
      </c>
      <c r="H7825" s="265">
        <v>0</v>
      </c>
      <c r="I7825" s="265">
        <v>0</v>
      </c>
      <c r="J7825" s="265">
        <v>0.0526315789473684</v>
      </c>
      <c r="K7825" s="265">
        <v>0</v>
      </c>
      <c r="L7825" s="265">
        <v>0</v>
      </c>
      <c r="M7825" s="265">
        <v>0</v>
      </c>
      <c r="N7825" s="265">
        <v>0</v>
      </c>
      <c r="O7825" s="277">
        <v>0.0434782608695652</v>
      </c>
    </row>
    <row r="7826" spans="1:15">
      <c r="A7826" s="266" t="s">
        <v>69</v>
      </c>
      <c r="B7826" s="267" t="s">
        <v>6</v>
      </c>
      <c r="C7826" s="15">
        <v>0</v>
      </c>
      <c r="D7826" s="269">
        <v>0</v>
      </c>
      <c r="E7826" s="269">
        <v>0</v>
      </c>
      <c r="F7826" s="269">
        <v>0</v>
      </c>
      <c r="G7826" s="269">
        <v>0</v>
      </c>
      <c r="H7826" s="269">
        <v>0</v>
      </c>
      <c r="I7826" s="269">
        <v>0</v>
      </c>
      <c r="J7826" s="269">
        <v>0</v>
      </c>
      <c r="K7826" s="269">
        <v>0</v>
      </c>
      <c r="L7826" s="269">
        <v>0</v>
      </c>
      <c r="M7826" s="269">
        <v>0</v>
      </c>
      <c r="N7826" s="269">
        <v>0</v>
      </c>
      <c r="O7826" s="279">
        <v>0</v>
      </c>
    </row>
    <row r="7827" ht="14.25" spans="1:15">
      <c r="A7827" s="270" t="s">
        <v>69</v>
      </c>
      <c r="B7827" s="271" t="s">
        <v>64</v>
      </c>
      <c r="C7827" s="19">
        <v>0</v>
      </c>
      <c r="D7827" s="272">
        <v>0</v>
      </c>
      <c r="E7827" s="272">
        <v>0</v>
      </c>
      <c r="F7827" s="272">
        <v>0</v>
      </c>
      <c r="G7827" s="272">
        <v>0</v>
      </c>
      <c r="H7827" s="272">
        <v>0</v>
      </c>
      <c r="I7827" s="272">
        <v>0</v>
      </c>
      <c r="J7827" s="272">
        <v>0</v>
      </c>
      <c r="K7827" s="272">
        <v>0</v>
      </c>
      <c r="L7827" s="272">
        <v>0</v>
      </c>
      <c r="M7827" s="272">
        <v>0</v>
      </c>
      <c r="N7827" s="272">
        <v>0</v>
      </c>
      <c r="O7827" s="280">
        <v>0</v>
      </c>
    </row>
    <row r="7828" spans="1:15">
      <c r="A7828" s="263" t="s">
        <v>70</v>
      </c>
      <c r="B7828" s="264" t="s">
        <v>55</v>
      </c>
      <c r="C7828" s="12">
        <v>0.838650865998177</v>
      </c>
      <c r="D7828" s="265">
        <v>1.02777777777778</v>
      </c>
      <c r="E7828" s="265">
        <v>0.916666666666667</v>
      </c>
      <c r="F7828" s="265">
        <v>0.8</v>
      </c>
      <c r="G7828" s="265">
        <v>1.45454545454545</v>
      </c>
      <c r="H7828" s="265">
        <v>0.975</v>
      </c>
      <c r="I7828" s="265">
        <v>0.796610169491525</v>
      </c>
      <c r="J7828" s="265">
        <v>0.7</v>
      </c>
      <c r="K7828" s="265">
        <v>0.808219178082192</v>
      </c>
      <c r="L7828" s="265">
        <v>0.875</v>
      </c>
      <c r="M7828" s="265">
        <v>0.912621359223301</v>
      </c>
      <c r="N7828" s="265">
        <v>0.732283464566929</v>
      </c>
      <c r="O7828" s="277">
        <v>0.722222222222222</v>
      </c>
    </row>
    <row r="7829" spans="1:15">
      <c r="A7829" s="266" t="s">
        <v>70</v>
      </c>
      <c r="B7829" s="267" t="s">
        <v>57</v>
      </c>
      <c r="C7829" s="15">
        <v>1097</v>
      </c>
      <c r="D7829" s="268">
        <v>72</v>
      </c>
      <c r="E7829" s="268">
        <v>48</v>
      </c>
      <c r="F7829" s="268">
        <v>25</v>
      </c>
      <c r="G7829" s="268">
        <v>22</v>
      </c>
      <c r="H7829" s="268">
        <v>80</v>
      </c>
      <c r="I7829" s="268">
        <v>118</v>
      </c>
      <c r="J7829" s="268">
        <v>110</v>
      </c>
      <c r="K7829" s="268">
        <v>146</v>
      </c>
      <c r="L7829" s="268">
        <v>120</v>
      </c>
      <c r="M7829" s="268">
        <v>103</v>
      </c>
      <c r="N7829" s="268">
        <v>127</v>
      </c>
      <c r="O7829" s="278">
        <v>126</v>
      </c>
    </row>
    <row r="7830" spans="1:15">
      <c r="A7830" s="263" t="s">
        <v>70</v>
      </c>
      <c r="B7830" s="264" t="s">
        <v>59</v>
      </c>
      <c r="C7830" s="15">
        <v>920</v>
      </c>
      <c r="D7830" s="268">
        <v>74</v>
      </c>
      <c r="E7830" s="268">
        <v>44</v>
      </c>
      <c r="F7830" s="268">
        <v>20</v>
      </c>
      <c r="G7830" s="268">
        <v>32</v>
      </c>
      <c r="H7830" s="268">
        <v>78</v>
      </c>
      <c r="I7830" s="268">
        <v>94</v>
      </c>
      <c r="J7830" s="268">
        <v>77</v>
      </c>
      <c r="K7830" s="268">
        <v>118</v>
      </c>
      <c r="L7830" s="268">
        <v>105</v>
      </c>
      <c r="M7830" s="268">
        <v>94</v>
      </c>
      <c r="N7830" s="268">
        <v>93</v>
      </c>
      <c r="O7830" s="278">
        <v>91</v>
      </c>
    </row>
    <row r="7831" spans="1:15">
      <c r="A7831" s="266" t="s">
        <v>70</v>
      </c>
      <c r="B7831" s="267" t="s">
        <v>4</v>
      </c>
      <c r="C7831" s="15">
        <v>20</v>
      </c>
      <c r="D7831" s="269">
        <v>3</v>
      </c>
      <c r="E7831" s="269">
        <v>2</v>
      </c>
      <c r="F7831" s="269">
        <v>0</v>
      </c>
      <c r="G7831" s="269">
        <v>0</v>
      </c>
      <c r="H7831" s="269">
        <v>1</v>
      </c>
      <c r="I7831" s="269">
        <v>2</v>
      </c>
      <c r="J7831" s="269">
        <v>3</v>
      </c>
      <c r="K7831" s="269">
        <v>2</v>
      </c>
      <c r="L7831" s="269">
        <v>1</v>
      </c>
      <c r="M7831" s="269">
        <v>0</v>
      </c>
      <c r="N7831" s="269">
        <v>4</v>
      </c>
      <c r="O7831" s="279">
        <v>2</v>
      </c>
    </row>
    <row r="7832" spans="1:15">
      <c r="A7832" s="263" t="s">
        <v>70</v>
      </c>
      <c r="B7832" s="264" t="s">
        <v>5</v>
      </c>
      <c r="C7832" s="12">
        <v>0.0217391304347826</v>
      </c>
      <c r="D7832" s="265">
        <v>0.0405405405405405</v>
      </c>
      <c r="E7832" s="265">
        <v>0.0454545454545455</v>
      </c>
      <c r="F7832" s="265">
        <v>0</v>
      </c>
      <c r="G7832" s="265">
        <v>0</v>
      </c>
      <c r="H7832" s="265">
        <v>0.0128205128205128</v>
      </c>
      <c r="I7832" s="265">
        <v>0.0212765957446809</v>
      </c>
      <c r="J7832" s="265">
        <v>0.038961038961039</v>
      </c>
      <c r="K7832" s="265">
        <v>0.0169491525423729</v>
      </c>
      <c r="L7832" s="265">
        <v>0.00952380952380952</v>
      </c>
      <c r="M7832" s="265">
        <v>0</v>
      </c>
      <c r="N7832" s="265">
        <v>0.043010752688172</v>
      </c>
      <c r="O7832" s="277">
        <v>0.021978021978022</v>
      </c>
    </row>
    <row r="7833" spans="1:15">
      <c r="A7833" s="266" t="s">
        <v>70</v>
      </c>
      <c r="B7833" s="267" t="s">
        <v>6</v>
      </c>
      <c r="C7833" s="15">
        <v>9</v>
      </c>
      <c r="D7833" s="269">
        <v>1</v>
      </c>
      <c r="E7833" s="269">
        <v>0</v>
      </c>
      <c r="F7833" s="269">
        <v>0</v>
      </c>
      <c r="G7833" s="269">
        <v>0</v>
      </c>
      <c r="H7833" s="269">
        <v>0</v>
      </c>
      <c r="I7833" s="269">
        <v>2</v>
      </c>
      <c r="J7833" s="269">
        <v>2</v>
      </c>
      <c r="K7833" s="269">
        <v>0</v>
      </c>
      <c r="L7833" s="269">
        <v>0</v>
      </c>
      <c r="M7833" s="269">
        <v>1</v>
      </c>
      <c r="N7833" s="269">
        <v>2</v>
      </c>
      <c r="O7833" s="279">
        <v>1</v>
      </c>
    </row>
    <row r="7834" ht="14.25" spans="1:15">
      <c r="A7834" s="270" t="s">
        <v>70</v>
      </c>
      <c r="B7834" s="271" t="s">
        <v>64</v>
      </c>
      <c r="C7834" s="19">
        <v>0.45</v>
      </c>
      <c r="D7834" s="272">
        <v>0.333333333333333</v>
      </c>
      <c r="E7834" s="272">
        <v>0</v>
      </c>
      <c r="F7834" s="272">
        <v>0</v>
      </c>
      <c r="G7834" s="272">
        <v>0</v>
      </c>
      <c r="H7834" s="272">
        <v>0</v>
      </c>
      <c r="I7834" s="272">
        <v>1</v>
      </c>
      <c r="J7834" s="272">
        <v>0.666666666666667</v>
      </c>
      <c r="K7834" s="272">
        <v>0</v>
      </c>
      <c r="L7834" s="272">
        <v>0</v>
      </c>
      <c r="M7834" s="272">
        <v>0</v>
      </c>
      <c r="N7834" s="272">
        <v>0.5</v>
      </c>
      <c r="O7834" s="280">
        <v>0.5</v>
      </c>
    </row>
    <row r="7835" spans="1:15">
      <c r="A7835" s="263" t="s">
        <v>26</v>
      </c>
      <c r="B7835" s="264" t="s">
        <v>55</v>
      </c>
      <c r="C7835" s="12">
        <v>0.95385266723116</v>
      </c>
      <c r="D7835" s="265">
        <v>1.02747252747253</v>
      </c>
      <c r="E7835" s="265">
        <v>0.7734375</v>
      </c>
      <c r="F7835" s="265">
        <v>0.9</v>
      </c>
      <c r="G7835" s="265">
        <v>1.29411764705882</v>
      </c>
      <c r="H7835" s="265">
        <v>1.06666666666667</v>
      </c>
      <c r="I7835" s="265">
        <v>0.899159663865546</v>
      </c>
      <c r="J7835" s="265">
        <v>1.09865470852018</v>
      </c>
      <c r="K7835" s="265">
        <v>0.954372623574145</v>
      </c>
      <c r="L7835" s="265">
        <v>0.866920152091255</v>
      </c>
      <c r="M7835" s="265">
        <v>0.970731707317073</v>
      </c>
      <c r="N7835" s="265">
        <v>0.83587786259542</v>
      </c>
      <c r="O7835" s="277">
        <v>0.94758064516129</v>
      </c>
    </row>
    <row r="7836" spans="1:15">
      <c r="A7836" s="266" t="s">
        <v>26</v>
      </c>
      <c r="B7836" s="267" t="s">
        <v>57</v>
      </c>
      <c r="C7836" s="15">
        <v>2362</v>
      </c>
      <c r="D7836" s="268">
        <v>182</v>
      </c>
      <c r="E7836" s="268">
        <v>128</v>
      </c>
      <c r="F7836" s="268">
        <v>100</v>
      </c>
      <c r="G7836" s="268">
        <v>85</v>
      </c>
      <c r="H7836" s="268">
        <v>165</v>
      </c>
      <c r="I7836" s="268">
        <v>238</v>
      </c>
      <c r="J7836" s="268">
        <v>223</v>
      </c>
      <c r="K7836" s="268">
        <v>263</v>
      </c>
      <c r="L7836" s="268">
        <v>263</v>
      </c>
      <c r="M7836" s="268">
        <v>205</v>
      </c>
      <c r="N7836" s="268">
        <v>262</v>
      </c>
      <c r="O7836" s="278">
        <v>248</v>
      </c>
    </row>
    <row r="7837" spans="1:15">
      <c r="A7837" s="263" t="s">
        <v>26</v>
      </c>
      <c r="B7837" s="264" t="s">
        <v>59</v>
      </c>
      <c r="C7837" s="15">
        <v>2253</v>
      </c>
      <c r="D7837" s="268">
        <v>187</v>
      </c>
      <c r="E7837" s="268">
        <v>99</v>
      </c>
      <c r="F7837" s="268">
        <v>90</v>
      </c>
      <c r="G7837" s="268">
        <v>110</v>
      </c>
      <c r="H7837" s="268">
        <v>176</v>
      </c>
      <c r="I7837" s="268">
        <v>214</v>
      </c>
      <c r="J7837" s="268">
        <v>245</v>
      </c>
      <c r="K7837" s="268">
        <v>251</v>
      </c>
      <c r="L7837" s="268">
        <v>228</v>
      </c>
      <c r="M7837" s="268">
        <v>199</v>
      </c>
      <c r="N7837" s="268">
        <v>219</v>
      </c>
      <c r="O7837" s="278">
        <v>235</v>
      </c>
    </row>
    <row r="7838" spans="1:15">
      <c r="A7838" s="266" t="s">
        <v>26</v>
      </c>
      <c r="B7838" s="267" t="s">
        <v>4</v>
      </c>
      <c r="C7838" s="15">
        <v>31</v>
      </c>
      <c r="D7838" s="269">
        <v>7</v>
      </c>
      <c r="E7838" s="269">
        <v>2</v>
      </c>
      <c r="F7838" s="269">
        <v>1</v>
      </c>
      <c r="G7838" s="269">
        <v>0</v>
      </c>
      <c r="H7838" s="269">
        <v>2</v>
      </c>
      <c r="I7838" s="269">
        <v>1</v>
      </c>
      <c r="J7838" s="269">
        <v>1</v>
      </c>
      <c r="K7838" s="269">
        <v>5</v>
      </c>
      <c r="L7838" s="269">
        <v>2</v>
      </c>
      <c r="M7838" s="269">
        <v>2</v>
      </c>
      <c r="N7838" s="269">
        <v>5</v>
      </c>
      <c r="O7838" s="279">
        <v>3</v>
      </c>
    </row>
    <row r="7839" spans="1:15">
      <c r="A7839" s="263" t="s">
        <v>26</v>
      </c>
      <c r="B7839" s="264" t="s">
        <v>5</v>
      </c>
      <c r="C7839" s="12">
        <v>0.0137594318686196</v>
      </c>
      <c r="D7839" s="265">
        <v>0.0374331550802139</v>
      </c>
      <c r="E7839" s="265">
        <v>0.0202020202020202</v>
      </c>
      <c r="F7839" s="265">
        <v>0.0111111111111111</v>
      </c>
      <c r="G7839" s="265">
        <v>0</v>
      </c>
      <c r="H7839" s="265">
        <v>0.0113636363636364</v>
      </c>
      <c r="I7839" s="265">
        <v>0.00467289719626168</v>
      </c>
      <c r="J7839" s="265">
        <v>0.00408163265306122</v>
      </c>
      <c r="K7839" s="265">
        <v>0.0199203187250996</v>
      </c>
      <c r="L7839" s="265">
        <v>0.0087719298245614</v>
      </c>
      <c r="M7839" s="265">
        <v>0.0100502512562814</v>
      </c>
      <c r="N7839" s="265">
        <v>0.0228310502283105</v>
      </c>
      <c r="O7839" s="277">
        <v>0.0127659574468085</v>
      </c>
    </row>
    <row r="7840" spans="1:15">
      <c r="A7840" s="266" t="s">
        <v>26</v>
      </c>
      <c r="B7840" s="267" t="s">
        <v>6</v>
      </c>
      <c r="C7840" s="15">
        <v>15</v>
      </c>
      <c r="D7840" s="269">
        <v>2</v>
      </c>
      <c r="E7840" s="269">
        <v>0</v>
      </c>
      <c r="F7840" s="269">
        <v>0</v>
      </c>
      <c r="G7840" s="269">
        <v>0</v>
      </c>
      <c r="H7840" s="269">
        <v>1</v>
      </c>
      <c r="I7840" s="269">
        <v>0</v>
      </c>
      <c r="J7840" s="269">
        <v>3</v>
      </c>
      <c r="K7840" s="269">
        <v>2</v>
      </c>
      <c r="L7840" s="269">
        <v>1</v>
      </c>
      <c r="M7840" s="269">
        <v>1</v>
      </c>
      <c r="N7840" s="269">
        <v>3</v>
      </c>
      <c r="O7840" s="279">
        <v>2</v>
      </c>
    </row>
    <row r="7841" ht="14.25" spans="1:15">
      <c r="A7841" s="270" t="s">
        <v>26</v>
      </c>
      <c r="B7841" s="271" t="s">
        <v>64</v>
      </c>
      <c r="C7841" s="19">
        <v>0.483870967741935</v>
      </c>
      <c r="D7841" s="19">
        <v>0.285714285714286</v>
      </c>
      <c r="E7841" s="19">
        <v>0</v>
      </c>
      <c r="F7841" s="19">
        <v>0</v>
      </c>
      <c r="G7841" s="19" t="e">
        <v>#DIV/0!</v>
      </c>
      <c r="H7841" s="19">
        <v>0.5</v>
      </c>
      <c r="I7841" s="19">
        <v>0</v>
      </c>
      <c r="J7841" s="19">
        <v>3</v>
      </c>
      <c r="K7841" s="19">
        <v>0.4</v>
      </c>
      <c r="L7841" s="19">
        <v>0.5</v>
      </c>
      <c r="M7841" s="19">
        <v>0.5</v>
      </c>
      <c r="N7841" s="19">
        <v>0.6</v>
      </c>
      <c r="O7841" s="19">
        <v>0.666666666666667</v>
      </c>
    </row>
    <row r="7842" spans="1:15">
      <c r="A7842" s="263" t="s">
        <v>71</v>
      </c>
      <c r="B7842" s="264" t="s">
        <v>55</v>
      </c>
      <c r="C7842" s="12">
        <v>28</v>
      </c>
      <c r="D7842" s="265" t="e">
        <v>#DIV/0!</v>
      </c>
      <c r="E7842" s="265" t="e">
        <v>#DIV/0!</v>
      </c>
      <c r="F7842" s="265" t="e">
        <v>#DIV/0!</v>
      </c>
      <c r="G7842" s="265" t="e">
        <v>#DIV/0!</v>
      </c>
      <c r="H7842" s="265" t="e">
        <v>#DIV/0!</v>
      </c>
      <c r="I7842" s="265">
        <v>1</v>
      </c>
      <c r="J7842" s="265" t="e">
        <v>#DIV/0!</v>
      </c>
      <c r="K7842" s="265" t="e">
        <v>#DIV/0!</v>
      </c>
      <c r="L7842" s="265" t="e">
        <v>#DIV/0!</v>
      </c>
      <c r="M7842" s="265" t="e">
        <v>#DIV/0!</v>
      </c>
      <c r="N7842" s="265" t="e">
        <v>#DIV/0!</v>
      </c>
      <c r="O7842" s="277" t="e">
        <v>#DIV/0!</v>
      </c>
    </row>
    <row r="7843" spans="1:15">
      <c r="A7843" s="266" t="s">
        <v>71</v>
      </c>
      <c r="B7843" s="267" t="s">
        <v>57</v>
      </c>
      <c r="C7843" s="15">
        <v>1</v>
      </c>
      <c r="D7843" s="268">
        <v>0</v>
      </c>
      <c r="E7843" s="268">
        <v>0</v>
      </c>
      <c r="F7843" s="268">
        <v>0</v>
      </c>
      <c r="G7843" s="268">
        <v>0</v>
      </c>
      <c r="H7843" s="268">
        <v>0</v>
      </c>
      <c r="I7843" s="268">
        <v>1</v>
      </c>
      <c r="J7843" s="268">
        <v>0</v>
      </c>
      <c r="K7843" s="268">
        <v>0</v>
      </c>
      <c r="L7843" s="268">
        <v>0</v>
      </c>
      <c r="M7843" s="268">
        <v>0</v>
      </c>
      <c r="N7843" s="268">
        <v>0</v>
      </c>
      <c r="O7843" s="278">
        <v>0</v>
      </c>
    </row>
    <row r="7844" spans="1:15">
      <c r="A7844" s="263" t="s">
        <v>71</v>
      </c>
      <c r="B7844" s="264" t="s">
        <v>59</v>
      </c>
      <c r="C7844" s="309">
        <v>28</v>
      </c>
      <c r="D7844" s="312">
        <v>0</v>
      </c>
      <c r="E7844" s="312">
        <v>0</v>
      </c>
      <c r="F7844" s="312">
        <v>1</v>
      </c>
      <c r="G7844" s="312">
        <v>3</v>
      </c>
      <c r="H7844" s="312">
        <v>2</v>
      </c>
      <c r="I7844" s="312">
        <v>1</v>
      </c>
      <c r="J7844" s="312">
        <v>4</v>
      </c>
      <c r="K7844" s="312">
        <v>3</v>
      </c>
      <c r="L7844" s="312">
        <v>3</v>
      </c>
      <c r="M7844" s="312">
        <v>3</v>
      </c>
      <c r="N7844" s="312">
        <v>4</v>
      </c>
      <c r="O7844" s="313">
        <v>4</v>
      </c>
    </row>
    <row r="7845" spans="1:15">
      <c r="A7845" s="266" t="s">
        <v>71</v>
      </c>
      <c r="B7845" s="267" t="s">
        <v>4</v>
      </c>
      <c r="C7845" s="15">
        <v>0</v>
      </c>
      <c r="D7845" s="269">
        <v>0</v>
      </c>
      <c r="E7845" s="269">
        <v>0</v>
      </c>
      <c r="F7845" s="269">
        <v>0</v>
      </c>
      <c r="G7845" s="269">
        <v>0</v>
      </c>
      <c r="H7845" s="269">
        <v>0</v>
      </c>
      <c r="I7845" s="269">
        <v>0</v>
      </c>
      <c r="J7845" s="269">
        <v>0</v>
      </c>
      <c r="K7845" s="269">
        <v>0</v>
      </c>
      <c r="L7845" s="269">
        <v>0</v>
      </c>
      <c r="M7845" s="269">
        <v>0</v>
      </c>
      <c r="N7845" s="269">
        <v>0</v>
      </c>
      <c r="O7845" s="279">
        <v>0</v>
      </c>
    </row>
    <row r="7846" spans="1:15">
      <c r="A7846" s="263" t="s">
        <v>71</v>
      </c>
      <c r="B7846" s="264" t="s">
        <v>5</v>
      </c>
      <c r="C7846" s="265">
        <v>0</v>
      </c>
      <c r="D7846" s="265">
        <v>0</v>
      </c>
      <c r="E7846" s="265">
        <v>0</v>
      </c>
      <c r="F7846" s="265">
        <v>0</v>
      </c>
      <c r="G7846" s="265">
        <v>0</v>
      </c>
      <c r="H7846" s="265">
        <v>0</v>
      </c>
      <c r="I7846" s="265">
        <v>0</v>
      </c>
      <c r="J7846" s="265">
        <v>0</v>
      </c>
      <c r="K7846" s="265">
        <v>0</v>
      </c>
      <c r="L7846" s="265">
        <v>0</v>
      </c>
      <c r="M7846" s="265">
        <v>0</v>
      </c>
      <c r="N7846" s="265">
        <v>0</v>
      </c>
      <c r="O7846" s="277">
        <v>0</v>
      </c>
    </row>
    <row r="7847" spans="1:15">
      <c r="A7847" s="266" t="s">
        <v>71</v>
      </c>
      <c r="B7847" s="267" t="s">
        <v>6</v>
      </c>
      <c r="C7847" s="15">
        <v>0</v>
      </c>
      <c r="D7847" s="269">
        <v>0</v>
      </c>
      <c r="E7847" s="269">
        <v>0</v>
      </c>
      <c r="F7847" s="269">
        <v>0</v>
      </c>
      <c r="G7847" s="269">
        <v>0</v>
      </c>
      <c r="H7847" s="269">
        <v>0</v>
      </c>
      <c r="I7847" s="269">
        <v>0</v>
      </c>
      <c r="J7847" s="269">
        <v>0</v>
      </c>
      <c r="K7847" s="269">
        <v>0</v>
      </c>
      <c r="L7847" s="269">
        <v>0</v>
      </c>
      <c r="M7847" s="269">
        <v>0</v>
      </c>
      <c r="N7847" s="269">
        <v>0</v>
      </c>
      <c r="O7847" s="279">
        <v>0</v>
      </c>
    </row>
    <row r="7848" ht="14.25" spans="1:15">
      <c r="A7848" s="270" t="s">
        <v>71</v>
      </c>
      <c r="B7848" s="271" t="s">
        <v>64</v>
      </c>
      <c r="C7848" s="19" t="e">
        <v>#DIV/0!</v>
      </c>
      <c r="D7848" s="19" t="e">
        <v>#DIV/0!</v>
      </c>
      <c r="E7848" s="19" t="e">
        <v>#DIV/0!</v>
      </c>
      <c r="F7848" s="19" t="e">
        <v>#DIV/0!</v>
      </c>
      <c r="G7848" s="19" t="e">
        <v>#DIV/0!</v>
      </c>
      <c r="H7848" s="19" t="e">
        <v>#DIV/0!</v>
      </c>
      <c r="I7848" s="19" t="e">
        <v>#DIV/0!</v>
      </c>
      <c r="J7848" s="19" t="e">
        <v>#DIV/0!</v>
      </c>
      <c r="K7848" s="19" t="e">
        <v>#DIV/0!</v>
      </c>
      <c r="L7848" s="19" t="e">
        <v>#DIV/0!</v>
      </c>
      <c r="M7848" s="19" t="e">
        <v>#DIV/0!</v>
      </c>
      <c r="N7848" s="19" t="e">
        <v>#DIV/0!</v>
      </c>
      <c r="O7848" s="19" t="e">
        <v>#DIV/0!</v>
      </c>
    </row>
    <row r="7849" spans="1:15">
      <c r="A7849" s="263" t="s">
        <v>72</v>
      </c>
      <c r="B7849" s="264" t="s">
        <v>55</v>
      </c>
      <c r="C7849" s="12">
        <v>0.0590405904059041</v>
      </c>
      <c r="D7849" s="265">
        <v>0.0663129973474801</v>
      </c>
      <c r="E7849" s="265">
        <v>0.0772200772200772</v>
      </c>
      <c r="F7849" s="265">
        <v>0.0821917808219178</v>
      </c>
      <c r="G7849" s="265">
        <v>0.0736842105263158</v>
      </c>
      <c r="H7849" s="265">
        <v>0.0527950310559006</v>
      </c>
      <c r="I7849" s="265">
        <v>0.0564784053156146</v>
      </c>
      <c r="J7849" s="265">
        <v>0.0647668393782383</v>
      </c>
      <c r="K7849" s="265">
        <v>0.0558598028477547</v>
      </c>
      <c r="L7849" s="265">
        <v>0.0481798715203426</v>
      </c>
      <c r="M7849" s="265">
        <v>0.0546583850931677</v>
      </c>
      <c r="N7849" s="265">
        <v>0.0528846153846154</v>
      </c>
      <c r="O7849" s="277">
        <v>0.0614754098360656</v>
      </c>
    </row>
    <row r="7850" spans="1:15">
      <c r="A7850" s="266" t="s">
        <v>72</v>
      </c>
      <c r="B7850" s="267" t="s">
        <v>57</v>
      </c>
      <c r="C7850" s="15">
        <v>8672</v>
      </c>
      <c r="D7850" s="268">
        <v>754</v>
      </c>
      <c r="E7850" s="268">
        <v>259</v>
      </c>
      <c r="F7850" s="268">
        <v>292</v>
      </c>
      <c r="G7850" s="268">
        <v>380</v>
      </c>
      <c r="H7850" s="268">
        <v>644</v>
      </c>
      <c r="I7850" s="268">
        <v>903</v>
      </c>
      <c r="J7850" s="268">
        <v>772</v>
      </c>
      <c r="K7850" s="268">
        <v>913</v>
      </c>
      <c r="L7850" s="268">
        <v>934</v>
      </c>
      <c r="M7850" s="268">
        <v>805</v>
      </c>
      <c r="N7850" s="268">
        <v>1040</v>
      </c>
      <c r="O7850" s="278">
        <v>976</v>
      </c>
    </row>
    <row r="7851" spans="1:15">
      <c r="A7851" s="263" t="s">
        <v>72</v>
      </c>
      <c r="B7851" s="264" t="s">
        <v>59</v>
      </c>
      <c r="C7851" s="15">
        <v>512</v>
      </c>
      <c r="D7851" s="268">
        <v>50</v>
      </c>
      <c r="E7851" s="268">
        <v>20</v>
      </c>
      <c r="F7851" s="268">
        <v>24</v>
      </c>
      <c r="G7851" s="268">
        <v>28</v>
      </c>
      <c r="H7851" s="268">
        <v>34</v>
      </c>
      <c r="I7851" s="268">
        <v>51</v>
      </c>
      <c r="J7851" s="268">
        <v>50</v>
      </c>
      <c r="K7851" s="268">
        <v>51</v>
      </c>
      <c r="L7851" s="268">
        <v>45</v>
      </c>
      <c r="M7851" s="268">
        <v>44</v>
      </c>
      <c r="N7851" s="268">
        <v>55</v>
      </c>
      <c r="O7851" s="278">
        <v>60</v>
      </c>
    </row>
    <row r="7852" spans="1:15">
      <c r="A7852" s="266" t="s">
        <v>72</v>
      </c>
      <c r="B7852" s="267" t="s">
        <v>4</v>
      </c>
      <c r="C7852" s="15">
        <v>13</v>
      </c>
      <c r="D7852" s="269">
        <v>0</v>
      </c>
      <c r="E7852" s="269">
        <v>0</v>
      </c>
      <c r="F7852" s="269">
        <v>1</v>
      </c>
      <c r="G7852" s="269">
        <v>0</v>
      </c>
      <c r="H7852" s="269">
        <v>0</v>
      </c>
      <c r="I7852" s="269">
        <v>2</v>
      </c>
      <c r="J7852" s="269">
        <v>4</v>
      </c>
      <c r="K7852" s="269">
        <v>2</v>
      </c>
      <c r="L7852" s="269">
        <v>0</v>
      </c>
      <c r="M7852" s="269">
        <v>0</v>
      </c>
      <c r="N7852" s="269">
        <v>1</v>
      </c>
      <c r="O7852" s="279">
        <v>3</v>
      </c>
    </row>
    <row r="7853" spans="1:15">
      <c r="A7853" s="263" t="s">
        <v>72</v>
      </c>
      <c r="B7853" s="264" t="s">
        <v>5</v>
      </c>
      <c r="C7853" s="12">
        <v>0.025390625</v>
      </c>
      <c r="D7853" s="265">
        <v>0</v>
      </c>
      <c r="E7853" s="265">
        <v>0</v>
      </c>
      <c r="F7853" s="265">
        <v>0.0416666666666667</v>
      </c>
      <c r="G7853" s="265">
        <v>0</v>
      </c>
      <c r="H7853" s="265">
        <v>0</v>
      </c>
      <c r="I7853" s="265">
        <v>0.0392156862745098</v>
      </c>
      <c r="J7853" s="265">
        <v>0.08</v>
      </c>
      <c r="K7853" s="265">
        <v>0.0392156862745098</v>
      </c>
      <c r="L7853" s="265">
        <v>0</v>
      </c>
      <c r="M7853" s="265">
        <v>0</v>
      </c>
      <c r="N7853" s="265">
        <v>0.0181818181818182</v>
      </c>
      <c r="O7853" s="277">
        <v>0.05</v>
      </c>
    </row>
    <row r="7854" spans="1:15">
      <c r="A7854" s="266" t="s">
        <v>72</v>
      </c>
      <c r="B7854" s="267" t="s">
        <v>6</v>
      </c>
      <c r="C7854" s="15">
        <v>4</v>
      </c>
      <c r="D7854" s="269">
        <v>1</v>
      </c>
      <c r="E7854" s="269">
        <v>0</v>
      </c>
      <c r="F7854" s="269">
        <v>0</v>
      </c>
      <c r="G7854" s="269">
        <v>0</v>
      </c>
      <c r="H7854" s="269">
        <v>0</v>
      </c>
      <c r="I7854" s="269">
        <v>0</v>
      </c>
      <c r="J7854" s="269">
        <v>0</v>
      </c>
      <c r="K7854" s="269">
        <v>1</v>
      </c>
      <c r="L7854" s="269">
        <v>1</v>
      </c>
      <c r="M7854" s="269">
        <v>1</v>
      </c>
      <c r="N7854" s="269">
        <v>0</v>
      </c>
      <c r="O7854" s="279">
        <v>0</v>
      </c>
    </row>
    <row r="7855" ht="14.25" spans="1:15">
      <c r="A7855" s="270" t="s">
        <v>72</v>
      </c>
      <c r="B7855" s="271" t="s">
        <v>64</v>
      </c>
      <c r="C7855" s="19">
        <v>0.307692307692308</v>
      </c>
      <c r="D7855" s="19" t="e">
        <v>#DIV/0!</v>
      </c>
      <c r="E7855" s="19" t="e">
        <v>#DIV/0!</v>
      </c>
      <c r="F7855" s="19">
        <v>0</v>
      </c>
      <c r="G7855" s="19" t="e">
        <v>#DIV/0!</v>
      </c>
      <c r="H7855" s="19" t="e">
        <v>#DIV/0!</v>
      </c>
      <c r="I7855" s="19">
        <v>0</v>
      </c>
      <c r="J7855" s="19">
        <v>0</v>
      </c>
      <c r="K7855" s="19">
        <v>0.5</v>
      </c>
      <c r="L7855" s="19" t="e">
        <v>#DIV/0!</v>
      </c>
      <c r="M7855" s="19" t="e">
        <v>#DIV/0!</v>
      </c>
      <c r="N7855" s="19">
        <v>0</v>
      </c>
      <c r="O7855" s="19">
        <v>0</v>
      </c>
    </row>
    <row r="7856" ht="14.25" spans="1:15">
      <c r="A7856" s="259">
        <v>45141</v>
      </c>
      <c r="B7856" s="259"/>
      <c r="C7856" s="259"/>
      <c r="D7856" s="259"/>
      <c r="E7856" s="259"/>
      <c r="F7856" s="259"/>
      <c r="G7856" s="259"/>
      <c r="H7856" s="259"/>
      <c r="I7856" s="259"/>
      <c r="J7856" s="259"/>
      <c r="K7856" s="259"/>
      <c r="L7856" s="259"/>
      <c r="M7856" s="259"/>
      <c r="N7856" s="259"/>
      <c r="O7856" s="259"/>
    </row>
    <row r="7857" spans="1:15">
      <c r="A7857" s="260" t="s">
        <v>1</v>
      </c>
      <c r="B7857" s="261"/>
      <c r="C7857" s="8" t="s">
        <v>42</v>
      </c>
      <c r="D7857" s="262" t="s">
        <v>43</v>
      </c>
      <c r="E7857" s="262" t="s">
        <v>44</v>
      </c>
      <c r="F7857" s="262" t="s">
        <v>45</v>
      </c>
      <c r="G7857" s="262" t="s">
        <v>46</v>
      </c>
      <c r="H7857" s="262" t="s">
        <v>47</v>
      </c>
      <c r="I7857" s="262" t="s">
        <v>48</v>
      </c>
      <c r="J7857" s="262" t="s">
        <v>49</v>
      </c>
      <c r="K7857" s="262" t="s">
        <v>50</v>
      </c>
      <c r="L7857" s="262" t="s">
        <v>51</v>
      </c>
      <c r="M7857" s="262" t="s">
        <v>52</v>
      </c>
      <c r="N7857" s="262" t="s">
        <v>53</v>
      </c>
      <c r="O7857" s="276" t="s">
        <v>54</v>
      </c>
    </row>
    <row r="7858" spans="1:15">
      <c r="A7858" s="263" t="s">
        <v>22</v>
      </c>
      <c r="B7858" s="264" t="s">
        <v>55</v>
      </c>
      <c r="C7858" s="12">
        <v>0.475500345065562</v>
      </c>
      <c r="D7858" s="265">
        <v>0.901098901098901</v>
      </c>
      <c r="E7858" s="265">
        <v>0.923611111111111</v>
      </c>
      <c r="F7858" s="265">
        <v>0.672268907563025</v>
      </c>
      <c r="G7858" s="265">
        <v>0.957627118644068</v>
      </c>
      <c r="H7858" s="265">
        <v>0.883333333333333</v>
      </c>
      <c r="I7858" s="265">
        <v>0.641860465116279</v>
      </c>
      <c r="J7858" s="265">
        <v>0.362637362637363</v>
      </c>
      <c r="K7858" s="265">
        <v>0.264214046822742</v>
      </c>
      <c r="L7858" s="265">
        <v>0.288321167883212</v>
      </c>
      <c r="M7858" s="265">
        <v>0.258064516129032</v>
      </c>
      <c r="N7858" s="265">
        <v>0.266304347826087</v>
      </c>
      <c r="O7858" s="277">
        <v>0.232558139534884</v>
      </c>
    </row>
    <row r="7859" spans="1:15">
      <c r="A7859" s="266" t="s">
        <v>22</v>
      </c>
      <c r="B7859" s="267" t="s">
        <v>57</v>
      </c>
      <c r="C7859" s="15">
        <v>2898</v>
      </c>
      <c r="D7859" s="268">
        <v>273</v>
      </c>
      <c r="E7859" s="268">
        <v>144</v>
      </c>
      <c r="F7859" s="268">
        <v>119</v>
      </c>
      <c r="G7859" s="268">
        <v>118</v>
      </c>
      <c r="H7859" s="268">
        <v>180</v>
      </c>
      <c r="I7859" s="268">
        <v>215</v>
      </c>
      <c r="J7859" s="268">
        <v>273</v>
      </c>
      <c r="K7859" s="268">
        <v>299</v>
      </c>
      <c r="L7859" s="268">
        <v>274</v>
      </c>
      <c r="M7859" s="268">
        <v>248</v>
      </c>
      <c r="N7859" s="268">
        <v>368</v>
      </c>
      <c r="O7859" s="278">
        <v>387</v>
      </c>
    </row>
    <row r="7860" spans="1:15">
      <c r="A7860" s="263" t="s">
        <v>22</v>
      </c>
      <c r="B7860" s="264" t="s">
        <v>59</v>
      </c>
      <c r="C7860" s="15">
        <v>1378</v>
      </c>
      <c r="D7860" s="268">
        <v>246</v>
      </c>
      <c r="E7860" s="268">
        <v>133</v>
      </c>
      <c r="F7860" s="268">
        <v>80</v>
      </c>
      <c r="G7860" s="268">
        <v>113</v>
      </c>
      <c r="H7860" s="268">
        <v>159</v>
      </c>
      <c r="I7860" s="268">
        <v>138</v>
      </c>
      <c r="J7860" s="268">
        <v>99</v>
      </c>
      <c r="K7860" s="268">
        <v>79</v>
      </c>
      <c r="L7860" s="268">
        <v>79</v>
      </c>
      <c r="M7860" s="268">
        <v>64</v>
      </c>
      <c r="N7860" s="268">
        <v>98</v>
      </c>
      <c r="O7860" s="278">
        <v>90</v>
      </c>
    </row>
    <row r="7861" spans="1:15">
      <c r="A7861" s="266" t="s">
        <v>22</v>
      </c>
      <c r="B7861" s="267" t="s">
        <v>4</v>
      </c>
      <c r="C7861" s="15">
        <v>42</v>
      </c>
      <c r="D7861" s="269">
        <v>4</v>
      </c>
      <c r="E7861" s="269">
        <v>2</v>
      </c>
      <c r="F7861" s="269">
        <v>0</v>
      </c>
      <c r="G7861" s="269">
        <v>0</v>
      </c>
      <c r="H7861" s="269">
        <v>0</v>
      </c>
      <c r="I7861" s="269">
        <v>2</v>
      </c>
      <c r="J7861" s="269">
        <v>7</v>
      </c>
      <c r="K7861" s="269">
        <v>2</v>
      </c>
      <c r="L7861" s="269">
        <v>8</v>
      </c>
      <c r="M7861" s="269">
        <v>4</v>
      </c>
      <c r="N7861" s="269">
        <v>6</v>
      </c>
      <c r="O7861" s="279">
        <v>7</v>
      </c>
    </row>
    <row r="7862" spans="1:15">
      <c r="A7862" s="263" t="s">
        <v>22</v>
      </c>
      <c r="B7862" s="264" t="s">
        <v>5</v>
      </c>
      <c r="C7862" s="12">
        <v>0.0304789550072569</v>
      </c>
      <c r="D7862" s="265">
        <v>0.016260162601626</v>
      </c>
      <c r="E7862" s="265">
        <v>0.0150375939849624</v>
      </c>
      <c r="F7862" s="265">
        <v>0</v>
      </c>
      <c r="G7862" s="265">
        <v>0</v>
      </c>
      <c r="H7862" s="265">
        <v>0</v>
      </c>
      <c r="I7862" s="265">
        <v>0.0144927536231884</v>
      </c>
      <c r="J7862" s="265">
        <v>0.0707070707070707</v>
      </c>
      <c r="K7862" s="265">
        <v>0.0253164556962025</v>
      </c>
      <c r="L7862" s="265">
        <v>0.10126582278481</v>
      </c>
      <c r="M7862" s="265">
        <v>0.0625</v>
      </c>
      <c r="N7862" s="265">
        <v>0.0612244897959184</v>
      </c>
      <c r="O7862" s="277">
        <v>0.0777777777777778</v>
      </c>
    </row>
    <row r="7863" spans="1:15">
      <c r="A7863" s="266" t="s">
        <v>22</v>
      </c>
      <c r="B7863" s="267" t="s">
        <v>6</v>
      </c>
      <c r="C7863" s="15">
        <v>10</v>
      </c>
      <c r="D7863" s="269">
        <v>2</v>
      </c>
      <c r="E7863" s="269">
        <v>0</v>
      </c>
      <c r="F7863" s="269">
        <v>0</v>
      </c>
      <c r="G7863" s="269">
        <v>1</v>
      </c>
      <c r="H7863" s="269">
        <v>0</v>
      </c>
      <c r="I7863" s="269">
        <v>0</v>
      </c>
      <c r="J7863" s="269">
        <v>0</v>
      </c>
      <c r="K7863" s="269">
        <v>3</v>
      </c>
      <c r="L7863" s="269">
        <v>1</v>
      </c>
      <c r="M7863" s="269">
        <v>1</v>
      </c>
      <c r="N7863" s="269">
        <v>2</v>
      </c>
      <c r="O7863" s="279">
        <v>0</v>
      </c>
    </row>
    <row r="7864" ht="14.25" spans="1:15">
      <c r="A7864" s="270" t="s">
        <v>22</v>
      </c>
      <c r="B7864" s="271" t="s">
        <v>64</v>
      </c>
      <c r="C7864" s="19">
        <v>0.238095238095238</v>
      </c>
      <c r="D7864" s="272">
        <v>0.5</v>
      </c>
      <c r="E7864" s="272">
        <v>0</v>
      </c>
      <c r="F7864" s="272">
        <v>0</v>
      </c>
      <c r="G7864" s="272">
        <v>0</v>
      </c>
      <c r="H7864" s="272">
        <v>0</v>
      </c>
      <c r="I7864" s="272">
        <v>0</v>
      </c>
      <c r="J7864" s="272">
        <v>0</v>
      </c>
      <c r="K7864" s="272">
        <v>1.5</v>
      </c>
      <c r="L7864" s="272">
        <v>0.125</v>
      </c>
      <c r="M7864" s="272">
        <v>0.25</v>
      </c>
      <c r="N7864" s="272">
        <v>0.333333333333333</v>
      </c>
      <c r="O7864" s="280">
        <v>0</v>
      </c>
    </row>
    <row r="7865" spans="1:15">
      <c r="A7865" s="273" t="s">
        <v>66</v>
      </c>
      <c r="B7865" s="274" t="s">
        <v>55</v>
      </c>
      <c r="C7865" s="12">
        <v>0.0651635282457879</v>
      </c>
      <c r="D7865" s="275">
        <v>0.106741573033708</v>
      </c>
      <c r="E7865" s="275">
        <v>0.0918918918918919</v>
      </c>
      <c r="F7865" s="275">
        <v>0.141104294478528</v>
      </c>
      <c r="G7865" s="275">
        <v>0.0562770562770563</v>
      </c>
      <c r="H7865" s="275">
        <v>0.0900900900900901</v>
      </c>
      <c r="I7865" s="275">
        <v>0.0369318181818182</v>
      </c>
      <c r="J7865" s="275">
        <v>0.0301204819277108</v>
      </c>
      <c r="K7865" s="275">
        <v>0.050314465408805</v>
      </c>
      <c r="L7865" s="275">
        <v>0.0423529411764706</v>
      </c>
      <c r="M7865" s="275">
        <v>0.0764331210191083</v>
      </c>
      <c r="N7865" s="275">
        <v>0.0621890547263682</v>
      </c>
      <c r="O7865" s="281">
        <v>0.0600858369098712</v>
      </c>
    </row>
    <row r="7866" spans="1:15">
      <c r="A7866" s="266" t="s">
        <v>66</v>
      </c>
      <c r="B7866" s="267" t="s">
        <v>57</v>
      </c>
      <c r="C7866" s="15">
        <v>4036</v>
      </c>
      <c r="D7866" s="268">
        <v>356</v>
      </c>
      <c r="E7866" s="268">
        <v>185</v>
      </c>
      <c r="F7866" s="268">
        <v>163</v>
      </c>
      <c r="G7866" s="268">
        <v>231</v>
      </c>
      <c r="H7866" s="268">
        <v>333</v>
      </c>
      <c r="I7866" s="268">
        <v>352</v>
      </c>
      <c r="J7866" s="268">
        <v>332</v>
      </c>
      <c r="K7866" s="268">
        <v>477</v>
      </c>
      <c r="L7866" s="268">
        <v>425</v>
      </c>
      <c r="M7866" s="268">
        <v>314</v>
      </c>
      <c r="N7866" s="268">
        <v>402</v>
      </c>
      <c r="O7866" s="278">
        <v>466</v>
      </c>
    </row>
    <row r="7867" spans="1:15">
      <c r="A7867" s="263" t="s">
        <v>66</v>
      </c>
      <c r="B7867" s="264" t="s">
        <v>59</v>
      </c>
      <c r="C7867" s="15">
        <v>263</v>
      </c>
      <c r="D7867" s="268">
        <v>38</v>
      </c>
      <c r="E7867" s="268">
        <v>17</v>
      </c>
      <c r="F7867" s="268">
        <v>23</v>
      </c>
      <c r="G7867" s="268">
        <v>13</v>
      </c>
      <c r="H7867" s="268">
        <v>30</v>
      </c>
      <c r="I7867" s="268">
        <v>13</v>
      </c>
      <c r="J7867" s="268">
        <v>10</v>
      </c>
      <c r="K7867" s="268">
        <v>24</v>
      </c>
      <c r="L7867" s="268">
        <v>18</v>
      </c>
      <c r="M7867" s="268">
        <v>24</v>
      </c>
      <c r="N7867" s="268">
        <v>25</v>
      </c>
      <c r="O7867" s="278">
        <v>28</v>
      </c>
    </row>
    <row r="7868" spans="1:15">
      <c r="A7868" s="266" t="s">
        <v>66</v>
      </c>
      <c r="B7868" s="267" t="s">
        <v>4</v>
      </c>
      <c r="C7868" s="15">
        <v>8</v>
      </c>
      <c r="D7868" s="269">
        <v>1</v>
      </c>
      <c r="E7868" s="269">
        <v>1</v>
      </c>
      <c r="F7868" s="269">
        <v>0</v>
      </c>
      <c r="G7868" s="269">
        <v>0</v>
      </c>
      <c r="H7868" s="269">
        <v>1</v>
      </c>
      <c r="I7868" s="269">
        <v>1</v>
      </c>
      <c r="J7868" s="269">
        <v>0</v>
      </c>
      <c r="K7868" s="269">
        <v>3</v>
      </c>
      <c r="L7868" s="269">
        <v>0</v>
      </c>
      <c r="M7868" s="269">
        <v>1</v>
      </c>
      <c r="N7868" s="269">
        <v>0</v>
      </c>
      <c r="O7868" s="279">
        <v>0</v>
      </c>
    </row>
    <row r="7869" spans="1:15">
      <c r="A7869" s="263" t="s">
        <v>66</v>
      </c>
      <c r="B7869" s="264" t="s">
        <v>5</v>
      </c>
      <c r="C7869" s="12">
        <v>0.0304182509505703</v>
      </c>
      <c r="D7869" s="265">
        <v>0.0263157894736842</v>
      </c>
      <c r="E7869" s="265">
        <v>0.0588235294117647</v>
      </c>
      <c r="F7869" s="265">
        <v>0</v>
      </c>
      <c r="G7869" s="265">
        <v>0</v>
      </c>
      <c r="H7869" s="265">
        <v>0.0333333333333333</v>
      </c>
      <c r="I7869" s="265">
        <v>0.0769230769230769</v>
      </c>
      <c r="J7869" s="265">
        <v>0</v>
      </c>
      <c r="K7869" s="265">
        <v>0.125</v>
      </c>
      <c r="L7869" s="265">
        <v>0</v>
      </c>
      <c r="M7869" s="265">
        <v>0.0416666666666667</v>
      </c>
      <c r="N7869" s="265">
        <v>0</v>
      </c>
      <c r="O7869" s="277">
        <v>0</v>
      </c>
    </row>
    <row r="7870" spans="1:15">
      <c r="A7870" s="266" t="s">
        <v>66</v>
      </c>
      <c r="B7870" s="267" t="s">
        <v>6</v>
      </c>
      <c r="C7870" s="15">
        <v>4</v>
      </c>
      <c r="D7870" s="269">
        <v>1</v>
      </c>
      <c r="E7870" s="269">
        <v>0</v>
      </c>
      <c r="F7870" s="269">
        <v>0</v>
      </c>
      <c r="G7870" s="269">
        <v>0</v>
      </c>
      <c r="H7870" s="269">
        <v>2</v>
      </c>
      <c r="I7870" s="269">
        <v>0</v>
      </c>
      <c r="J7870" s="269">
        <v>1</v>
      </c>
      <c r="K7870" s="269">
        <v>0</v>
      </c>
      <c r="L7870" s="269">
        <v>0</v>
      </c>
      <c r="M7870" s="269">
        <v>0</v>
      </c>
      <c r="N7870" s="269">
        <v>0</v>
      </c>
      <c r="O7870" s="279">
        <v>0</v>
      </c>
    </row>
    <row r="7871" ht="14.25" spans="1:15">
      <c r="A7871" s="270" t="s">
        <v>66</v>
      </c>
      <c r="B7871" s="271" t="s">
        <v>64</v>
      </c>
      <c r="C7871" s="19">
        <v>0.5</v>
      </c>
      <c r="D7871" s="272">
        <v>1</v>
      </c>
      <c r="E7871" s="272">
        <v>0</v>
      </c>
      <c r="F7871" s="272">
        <v>0</v>
      </c>
      <c r="G7871" s="272">
        <v>0</v>
      </c>
      <c r="H7871" s="272">
        <v>2</v>
      </c>
      <c r="I7871" s="272">
        <v>0</v>
      </c>
      <c r="J7871" s="272">
        <v>0</v>
      </c>
      <c r="K7871" s="272">
        <v>0</v>
      </c>
      <c r="L7871" s="272">
        <v>0</v>
      </c>
      <c r="M7871" s="272">
        <v>0</v>
      </c>
      <c r="N7871" s="272">
        <v>0</v>
      </c>
      <c r="O7871" s="280">
        <v>0</v>
      </c>
    </row>
    <row r="7872" spans="1:15">
      <c r="A7872" s="263" t="s">
        <v>67</v>
      </c>
      <c r="B7872" s="264" t="s">
        <v>55</v>
      </c>
      <c r="C7872" s="12">
        <v>0.487376509330406</v>
      </c>
      <c r="D7872" s="265">
        <v>0.623762376237624</v>
      </c>
      <c r="E7872" s="265">
        <v>0.557377049180328</v>
      </c>
      <c r="F7872" s="265">
        <v>0.84</v>
      </c>
      <c r="G7872" s="265">
        <v>0.571428571428571</v>
      </c>
      <c r="H7872" s="265">
        <v>0.645833333333333</v>
      </c>
      <c r="I7872" s="265">
        <v>0.392156862745098</v>
      </c>
      <c r="J7872" s="265">
        <v>0.382716049382716</v>
      </c>
      <c r="K7872" s="265">
        <v>0.361111111111111</v>
      </c>
      <c r="L7872" s="265">
        <v>0.488888888888889</v>
      </c>
      <c r="M7872" s="265">
        <v>0.336134453781513</v>
      </c>
      <c r="N7872" s="265">
        <v>0.514563106796116</v>
      </c>
      <c r="O7872" s="277">
        <v>0.483050847457627</v>
      </c>
    </row>
    <row r="7873" spans="1:15">
      <c r="A7873" s="266" t="s">
        <v>67</v>
      </c>
      <c r="B7873" s="267" t="s">
        <v>57</v>
      </c>
      <c r="C7873" s="15">
        <v>911</v>
      </c>
      <c r="D7873" s="268">
        <v>101</v>
      </c>
      <c r="E7873" s="268">
        <v>61</v>
      </c>
      <c r="F7873" s="268">
        <v>25</v>
      </c>
      <c r="G7873" s="268">
        <v>42</v>
      </c>
      <c r="H7873" s="268">
        <v>48</v>
      </c>
      <c r="I7873" s="268">
        <v>51</v>
      </c>
      <c r="J7873" s="268">
        <v>81</v>
      </c>
      <c r="K7873" s="268">
        <v>72</v>
      </c>
      <c r="L7873" s="268">
        <v>90</v>
      </c>
      <c r="M7873" s="268">
        <v>119</v>
      </c>
      <c r="N7873" s="268">
        <v>103</v>
      </c>
      <c r="O7873" s="278">
        <v>118</v>
      </c>
    </row>
    <row r="7874" spans="1:15">
      <c r="A7874" s="263" t="s">
        <v>67</v>
      </c>
      <c r="B7874" s="264" t="s">
        <v>59</v>
      </c>
      <c r="C7874" s="15">
        <v>444</v>
      </c>
      <c r="D7874" s="268">
        <v>63</v>
      </c>
      <c r="E7874" s="268">
        <v>34</v>
      </c>
      <c r="F7874" s="268">
        <v>21</v>
      </c>
      <c r="G7874" s="268">
        <v>24</v>
      </c>
      <c r="H7874" s="268">
        <v>31</v>
      </c>
      <c r="I7874" s="268">
        <v>20</v>
      </c>
      <c r="J7874" s="268">
        <v>31</v>
      </c>
      <c r="K7874" s="268">
        <v>26</v>
      </c>
      <c r="L7874" s="268">
        <v>44</v>
      </c>
      <c r="M7874" s="268">
        <v>40</v>
      </c>
      <c r="N7874" s="268">
        <v>53</v>
      </c>
      <c r="O7874" s="278">
        <v>57</v>
      </c>
    </row>
    <row r="7875" spans="1:15">
      <c r="A7875" s="266" t="s">
        <v>67</v>
      </c>
      <c r="B7875" s="267" t="s">
        <v>4</v>
      </c>
      <c r="C7875" s="15">
        <v>5</v>
      </c>
      <c r="D7875" s="269">
        <v>0</v>
      </c>
      <c r="E7875" s="269">
        <v>1</v>
      </c>
      <c r="F7875" s="269">
        <v>1</v>
      </c>
      <c r="G7875" s="269">
        <v>0</v>
      </c>
      <c r="H7875" s="269">
        <v>0</v>
      </c>
      <c r="I7875" s="269">
        <v>0</v>
      </c>
      <c r="J7875" s="269">
        <v>0</v>
      </c>
      <c r="K7875" s="269">
        <v>1</v>
      </c>
      <c r="L7875" s="269">
        <v>0</v>
      </c>
      <c r="M7875" s="269">
        <v>1</v>
      </c>
      <c r="N7875" s="269">
        <v>1</v>
      </c>
      <c r="O7875" s="279">
        <v>0</v>
      </c>
    </row>
    <row r="7876" spans="1:15">
      <c r="A7876" s="263" t="s">
        <v>67</v>
      </c>
      <c r="B7876" s="264" t="s">
        <v>5</v>
      </c>
      <c r="C7876" s="12">
        <v>0.0112612612612613</v>
      </c>
      <c r="D7876" s="265">
        <v>0</v>
      </c>
      <c r="E7876" s="265">
        <v>0.0294117647058824</v>
      </c>
      <c r="F7876" s="265">
        <v>0.0476190476190476</v>
      </c>
      <c r="G7876" s="265">
        <v>0</v>
      </c>
      <c r="H7876" s="265">
        <v>0</v>
      </c>
      <c r="I7876" s="265">
        <v>0</v>
      </c>
      <c r="J7876" s="265">
        <v>0</v>
      </c>
      <c r="K7876" s="265">
        <v>0.0384615384615385</v>
      </c>
      <c r="L7876" s="265">
        <v>0</v>
      </c>
      <c r="M7876" s="265">
        <v>0.025</v>
      </c>
      <c r="N7876" s="265">
        <v>0.0188679245283019</v>
      </c>
      <c r="O7876" s="277">
        <v>0</v>
      </c>
    </row>
    <row r="7877" spans="1:15">
      <c r="A7877" s="266" t="s">
        <v>67</v>
      </c>
      <c r="B7877" s="267" t="s">
        <v>6</v>
      </c>
      <c r="C7877" s="15">
        <v>1</v>
      </c>
      <c r="D7877" s="269">
        <v>0</v>
      </c>
      <c r="E7877" s="269">
        <v>0</v>
      </c>
      <c r="F7877" s="269">
        <v>0</v>
      </c>
      <c r="G7877" s="269">
        <v>0</v>
      </c>
      <c r="H7877" s="269">
        <v>0</v>
      </c>
      <c r="I7877" s="269">
        <v>0</v>
      </c>
      <c r="J7877" s="269">
        <v>0</v>
      </c>
      <c r="K7877" s="269">
        <v>0</v>
      </c>
      <c r="L7877" s="269">
        <v>0</v>
      </c>
      <c r="M7877" s="269">
        <v>0</v>
      </c>
      <c r="N7877" s="269">
        <v>0</v>
      </c>
      <c r="O7877" s="279">
        <v>1</v>
      </c>
    </row>
    <row r="7878" ht="14.25" spans="1:15">
      <c r="A7878" s="270" t="s">
        <v>67</v>
      </c>
      <c r="B7878" s="271" t="s">
        <v>64</v>
      </c>
      <c r="C7878" s="19">
        <v>0.2</v>
      </c>
      <c r="D7878" s="272">
        <v>0</v>
      </c>
      <c r="E7878" s="272">
        <v>0</v>
      </c>
      <c r="F7878" s="272">
        <v>0</v>
      </c>
      <c r="G7878" s="272">
        <v>0</v>
      </c>
      <c r="H7878" s="272">
        <v>0</v>
      </c>
      <c r="I7878" s="272">
        <v>0</v>
      </c>
      <c r="J7878" s="272">
        <v>0</v>
      </c>
      <c r="K7878" s="272">
        <v>0</v>
      </c>
      <c r="L7878" s="272">
        <v>0</v>
      </c>
      <c r="M7878" s="272">
        <v>0</v>
      </c>
      <c r="N7878" s="272">
        <v>0</v>
      </c>
      <c r="O7878" s="280">
        <v>0</v>
      </c>
    </row>
    <row r="7879" spans="1:15">
      <c r="A7879" s="263" t="s">
        <v>68</v>
      </c>
      <c r="B7879" s="264" t="s">
        <v>55</v>
      </c>
      <c r="C7879" s="12">
        <v>0.0406125666241273</v>
      </c>
      <c r="D7879" s="265">
        <v>0.0451930977814297</v>
      </c>
      <c r="E7879" s="265">
        <v>0.073394495412844</v>
      </c>
      <c r="F7879" s="265">
        <v>0.0786163522012579</v>
      </c>
      <c r="G7879" s="265">
        <v>0.132450331125828</v>
      </c>
      <c r="H7879" s="265">
        <v>0.0647921760391198</v>
      </c>
      <c r="I7879" s="265">
        <v>0.0388423457730388</v>
      </c>
      <c r="J7879" s="265">
        <v>0.0309951060358891</v>
      </c>
      <c r="K7879" s="265">
        <v>0.026298044504383</v>
      </c>
      <c r="L7879" s="265">
        <v>0.0339805825242718</v>
      </c>
      <c r="M7879" s="265">
        <v>0.0307807807807808</v>
      </c>
      <c r="N7879" s="265">
        <v>0.0353758686039166</v>
      </c>
      <c r="O7879" s="277">
        <v>0.0309988518943743</v>
      </c>
    </row>
    <row r="7880" spans="1:15">
      <c r="A7880" s="266" t="s">
        <v>68</v>
      </c>
      <c r="B7880" s="267" t="s">
        <v>57</v>
      </c>
      <c r="C7880" s="15">
        <v>13321</v>
      </c>
      <c r="D7880" s="268">
        <v>1217</v>
      </c>
      <c r="E7880" s="268">
        <v>545</v>
      </c>
      <c r="F7880" s="268">
        <v>318</v>
      </c>
      <c r="G7880" s="268">
        <v>302</v>
      </c>
      <c r="H7880" s="268">
        <v>818</v>
      </c>
      <c r="I7880" s="268">
        <v>1313</v>
      </c>
      <c r="J7880" s="268">
        <v>1226</v>
      </c>
      <c r="K7880" s="268">
        <v>1483</v>
      </c>
      <c r="L7880" s="268">
        <v>1442</v>
      </c>
      <c r="M7880" s="268">
        <v>1332</v>
      </c>
      <c r="N7880" s="268">
        <v>1583</v>
      </c>
      <c r="O7880" s="278">
        <v>1742</v>
      </c>
    </row>
    <row r="7881" spans="1:15">
      <c r="A7881" s="263" t="s">
        <v>68</v>
      </c>
      <c r="B7881" s="264" t="s">
        <v>59</v>
      </c>
      <c r="C7881" s="15">
        <v>541</v>
      </c>
      <c r="D7881" s="268">
        <v>55</v>
      </c>
      <c r="E7881" s="268">
        <v>40</v>
      </c>
      <c r="F7881" s="268">
        <v>25</v>
      </c>
      <c r="G7881" s="268">
        <v>40</v>
      </c>
      <c r="H7881" s="268">
        <v>53</v>
      </c>
      <c r="I7881" s="268">
        <v>51</v>
      </c>
      <c r="J7881" s="268">
        <v>38</v>
      </c>
      <c r="K7881" s="268">
        <v>39</v>
      </c>
      <c r="L7881" s="268">
        <v>49</v>
      </c>
      <c r="M7881" s="268">
        <v>41</v>
      </c>
      <c r="N7881" s="268">
        <v>56</v>
      </c>
      <c r="O7881" s="278">
        <v>54</v>
      </c>
    </row>
    <row r="7882" spans="1:15">
      <c r="A7882" s="266" t="s">
        <v>68</v>
      </c>
      <c r="B7882" s="267" t="s">
        <v>4</v>
      </c>
      <c r="C7882" s="15">
        <v>38</v>
      </c>
      <c r="D7882" s="269">
        <v>5</v>
      </c>
      <c r="E7882" s="269">
        <v>4</v>
      </c>
      <c r="F7882" s="269">
        <v>4</v>
      </c>
      <c r="G7882" s="269">
        <v>3</v>
      </c>
      <c r="H7882" s="269">
        <v>4</v>
      </c>
      <c r="I7882" s="269">
        <v>1</v>
      </c>
      <c r="J7882" s="269">
        <v>3</v>
      </c>
      <c r="K7882" s="269">
        <v>2</v>
      </c>
      <c r="L7882" s="269">
        <v>2</v>
      </c>
      <c r="M7882" s="269">
        <v>3</v>
      </c>
      <c r="N7882" s="269">
        <v>2</v>
      </c>
      <c r="O7882" s="279">
        <v>5</v>
      </c>
    </row>
    <row r="7883" spans="1:15">
      <c r="A7883" s="263" t="s">
        <v>68</v>
      </c>
      <c r="B7883" s="264" t="s">
        <v>5</v>
      </c>
      <c r="C7883" s="12">
        <v>0.0702402957486137</v>
      </c>
      <c r="D7883" s="265">
        <v>0.0909090909090909</v>
      </c>
      <c r="E7883" s="265">
        <v>0.1</v>
      </c>
      <c r="F7883" s="265">
        <v>0.16</v>
      </c>
      <c r="G7883" s="265">
        <v>0.075</v>
      </c>
      <c r="H7883" s="265">
        <v>0.0754716981132075</v>
      </c>
      <c r="I7883" s="265">
        <v>0.0196078431372549</v>
      </c>
      <c r="J7883" s="265">
        <v>0.0789473684210526</v>
      </c>
      <c r="K7883" s="265">
        <v>0.0512820512820513</v>
      </c>
      <c r="L7883" s="265">
        <v>0.0408163265306122</v>
      </c>
      <c r="M7883" s="265">
        <v>0.0731707317073171</v>
      </c>
      <c r="N7883" s="265">
        <v>0.0357142857142857</v>
      </c>
      <c r="O7883" s="277">
        <v>0.0925925925925926</v>
      </c>
    </row>
    <row r="7884" spans="1:15">
      <c r="A7884" s="266" t="s">
        <v>68</v>
      </c>
      <c r="B7884" s="267" t="s">
        <v>6</v>
      </c>
      <c r="C7884" s="15">
        <v>9</v>
      </c>
      <c r="D7884" s="269">
        <v>1</v>
      </c>
      <c r="E7884" s="269">
        <v>0</v>
      </c>
      <c r="F7884" s="269">
        <v>1</v>
      </c>
      <c r="G7884" s="269">
        <v>0</v>
      </c>
      <c r="H7884" s="269">
        <v>0</v>
      </c>
      <c r="I7884" s="269">
        <v>0</v>
      </c>
      <c r="J7884" s="269">
        <v>1</v>
      </c>
      <c r="K7884" s="269">
        <v>3</v>
      </c>
      <c r="L7884" s="269">
        <v>2</v>
      </c>
      <c r="M7884" s="269">
        <v>0</v>
      </c>
      <c r="N7884" s="269">
        <v>1</v>
      </c>
      <c r="O7884" s="279">
        <v>0</v>
      </c>
    </row>
    <row r="7885" ht="14.25" spans="1:15">
      <c r="A7885" s="270" t="s">
        <v>68</v>
      </c>
      <c r="B7885" s="271" t="s">
        <v>64</v>
      </c>
      <c r="C7885" s="19">
        <v>0.236842105263158</v>
      </c>
      <c r="D7885" s="272">
        <v>0.2</v>
      </c>
      <c r="E7885" s="272">
        <v>0</v>
      </c>
      <c r="F7885" s="272">
        <v>0.25</v>
      </c>
      <c r="G7885" s="272">
        <v>0</v>
      </c>
      <c r="H7885" s="272">
        <v>0</v>
      </c>
      <c r="I7885" s="272">
        <v>0</v>
      </c>
      <c r="J7885" s="272">
        <v>0.333333333333333</v>
      </c>
      <c r="K7885" s="272">
        <v>1.5</v>
      </c>
      <c r="L7885" s="272">
        <v>1</v>
      </c>
      <c r="M7885" s="272">
        <v>0</v>
      </c>
      <c r="N7885" s="272">
        <v>0.5</v>
      </c>
      <c r="O7885" s="280">
        <v>0</v>
      </c>
    </row>
    <row r="7886" spans="1:15">
      <c r="A7886" s="263" t="s">
        <v>69</v>
      </c>
      <c r="B7886" s="264" t="s">
        <v>55</v>
      </c>
      <c r="C7886" s="12">
        <v>0.849624060150376</v>
      </c>
      <c r="D7886" s="265">
        <v>0.966666666666667</v>
      </c>
      <c r="E7886" s="265">
        <v>1.4</v>
      </c>
      <c r="F7886" s="265">
        <v>0.888888888888889</v>
      </c>
      <c r="G7886" s="265">
        <v>1</v>
      </c>
      <c r="H7886" s="265">
        <v>0.769230769230769</v>
      </c>
      <c r="I7886" s="265">
        <v>0.636363636363636</v>
      </c>
      <c r="J7886" s="265">
        <v>0.378378378378378</v>
      </c>
      <c r="K7886" s="265">
        <v>0.84</v>
      </c>
      <c r="L7886" s="265">
        <v>0.956521739130435</v>
      </c>
      <c r="M7886" s="265">
        <v>0.947368421052632</v>
      </c>
      <c r="N7886" s="265">
        <v>0.978260869565217</v>
      </c>
      <c r="O7886" s="277">
        <v>1.03846153846154</v>
      </c>
    </row>
    <row r="7887" spans="1:15">
      <c r="A7887" s="266" t="s">
        <v>69</v>
      </c>
      <c r="B7887" s="267" t="s">
        <v>57</v>
      </c>
      <c r="C7887" s="15">
        <v>266</v>
      </c>
      <c r="D7887" s="268">
        <v>30</v>
      </c>
      <c r="E7887" s="268">
        <v>5</v>
      </c>
      <c r="F7887" s="268">
        <v>9</v>
      </c>
      <c r="G7887" s="268">
        <v>11</v>
      </c>
      <c r="H7887" s="268">
        <v>13</v>
      </c>
      <c r="I7887" s="268">
        <v>22</v>
      </c>
      <c r="J7887" s="268">
        <v>37</v>
      </c>
      <c r="K7887" s="268">
        <v>25</v>
      </c>
      <c r="L7887" s="268">
        <v>23</v>
      </c>
      <c r="M7887" s="268">
        <v>19</v>
      </c>
      <c r="N7887" s="268">
        <v>46</v>
      </c>
      <c r="O7887" s="278">
        <v>26</v>
      </c>
    </row>
    <row r="7888" spans="1:15">
      <c r="A7888" s="263" t="s">
        <v>69</v>
      </c>
      <c r="B7888" s="264" t="s">
        <v>59</v>
      </c>
      <c r="C7888" s="15">
        <v>226</v>
      </c>
      <c r="D7888" s="268">
        <v>29</v>
      </c>
      <c r="E7888" s="268">
        <v>7</v>
      </c>
      <c r="F7888" s="268">
        <v>8</v>
      </c>
      <c r="G7888" s="268">
        <v>11</v>
      </c>
      <c r="H7888" s="268">
        <v>10</v>
      </c>
      <c r="I7888" s="268">
        <v>14</v>
      </c>
      <c r="J7888" s="268">
        <v>14</v>
      </c>
      <c r="K7888" s="268">
        <v>21</v>
      </c>
      <c r="L7888" s="268">
        <v>22</v>
      </c>
      <c r="M7888" s="268">
        <v>18</v>
      </c>
      <c r="N7888" s="268">
        <v>45</v>
      </c>
      <c r="O7888" s="278">
        <v>27</v>
      </c>
    </row>
    <row r="7889" spans="1:15">
      <c r="A7889" s="266" t="s">
        <v>69</v>
      </c>
      <c r="B7889" s="267" t="s">
        <v>4</v>
      </c>
      <c r="C7889" s="15">
        <v>7</v>
      </c>
      <c r="D7889" s="269">
        <v>0</v>
      </c>
      <c r="E7889" s="269">
        <v>2</v>
      </c>
      <c r="F7889" s="269">
        <v>0</v>
      </c>
      <c r="G7889" s="269">
        <v>0</v>
      </c>
      <c r="H7889" s="269">
        <v>0</v>
      </c>
      <c r="I7889" s="269">
        <v>1</v>
      </c>
      <c r="J7889" s="269">
        <v>0</v>
      </c>
      <c r="K7889" s="269">
        <v>1</v>
      </c>
      <c r="L7889" s="269">
        <v>0</v>
      </c>
      <c r="M7889" s="269">
        <v>1</v>
      </c>
      <c r="N7889" s="269">
        <v>2</v>
      </c>
      <c r="O7889" s="279">
        <v>0</v>
      </c>
    </row>
    <row r="7890" spans="1:15">
      <c r="A7890" s="263" t="s">
        <v>69</v>
      </c>
      <c r="B7890" s="264" t="s">
        <v>5</v>
      </c>
      <c r="C7890" s="12">
        <v>0.0309734513274336</v>
      </c>
      <c r="D7890" s="265">
        <v>0</v>
      </c>
      <c r="E7890" s="265">
        <v>0.285714285714286</v>
      </c>
      <c r="F7890" s="265">
        <v>0</v>
      </c>
      <c r="G7890" s="265">
        <v>0</v>
      </c>
      <c r="H7890" s="265">
        <v>0</v>
      </c>
      <c r="I7890" s="265">
        <v>0.0714285714285714</v>
      </c>
      <c r="J7890" s="265">
        <v>0</v>
      </c>
      <c r="K7890" s="265">
        <v>0.0476190476190476</v>
      </c>
      <c r="L7890" s="265">
        <v>0</v>
      </c>
      <c r="M7890" s="265">
        <v>0.0555555555555556</v>
      </c>
      <c r="N7890" s="265">
        <v>0.0444444444444444</v>
      </c>
      <c r="O7890" s="277">
        <v>0</v>
      </c>
    </row>
    <row r="7891" spans="1:15">
      <c r="A7891" s="266" t="s">
        <v>69</v>
      </c>
      <c r="B7891" s="267" t="s">
        <v>6</v>
      </c>
      <c r="C7891" s="15">
        <v>2</v>
      </c>
      <c r="D7891" s="269">
        <v>0</v>
      </c>
      <c r="E7891" s="269">
        <v>0</v>
      </c>
      <c r="F7891" s="269">
        <v>0</v>
      </c>
      <c r="G7891" s="269">
        <v>0</v>
      </c>
      <c r="H7891" s="269">
        <v>0</v>
      </c>
      <c r="I7891" s="269">
        <v>0</v>
      </c>
      <c r="J7891" s="269">
        <v>0</v>
      </c>
      <c r="K7891" s="269">
        <v>1</v>
      </c>
      <c r="L7891" s="269">
        <v>0</v>
      </c>
      <c r="M7891" s="269">
        <v>0</v>
      </c>
      <c r="N7891" s="269">
        <v>0</v>
      </c>
      <c r="O7891" s="279">
        <v>1</v>
      </c>
    </row>
    <row r="7892" ht="14.25" spans="1:15">
      <c r="A7892" s="270" t="s">
        <v>69</v>
      </c>
      <c r="B7892" s="271" t="s">
        <v>64</v>
      </c>
      <c r="C7892" s="19">
        <v>0.285714285714286</v>
      </c>
      <c r="D7892" s="272">
        <v>0</v>
      </c>
      <c r="E7892" s="272">
        <v>0</v>
      </c>
      <c r="F7892" s="272">
        <v>0</v>
      </c>
      <c r="G7892" s="272">
        <v>0</v>
      </c>
      <c r="H7892" s="272">
        <v>0</v>
      </c>
      <c r="I7892" s="272">
        <v>0</v>
      </c>
      <c r="J7892" s="272">
        <v>0</v>
      </c>
      <c r="K7892" s="272">
        <v>1</v>
      </c>
      <c r="L7892" s="272">
        <v>0</v>
      </c>
      <c r="M7892" s="272">
        <v>0</v>
      </c>
      <c r="N7892" s="272">
        <v>0</v>
      </c>
      <c r="O7892" s="280">
        <v>0</v>
      </c>
    </row>
    <row r="7893" spans="1:15">
      <c r="A7893" s="263" t="s">
        <v>70</v>
      </c>
      <c r="B7893" s="264" t="s">
        <v>55</v>
      </c>
      <c r="C7893" s="12">
        <v>0.779941577409932</v>
      </c>
      <c r="D7893" s="265">
        <v>0.813186813186813</v>
      </c>
      <c r="E7893" s="265">
        <v>1.02127659574468</v>
      </c>
      <c r="F7893" s="265">
        <v>0.67741935483871</v>
      </c>
      <c r="G7893" s="265">
        <v>0.8</v>
      </c>
      <c r="H7893" s="265">
        <v>0.842696629213483</v>
      </c>
      <c r="I7893" s="265">
        <v>0.738095238095238</v>
      </c>
      <c r="J7893" s="265">
        <v>0.761061946902655</v>
      </c>
      <c r="K7893" s="265">
        <v>0.647058823529412</v>
      </c>
      <c r="L7893" s="265">
        <v>0.630872483221476</v>
      </c>
      <c r="M7893" s="265">
        <v>0.712765957446808</v>
      </c>
      <c r="N7893" s="265">
        <v>1.04615384615385</v>
      </c>
      <c r="O7893" s="277">
        <v>1.33333333333333</v>
      </c>
    </row>
    <row r="7894" spans="1:15">
      <c r="A7894" s="266" t="s">
        <v>70</v>
      </c>
      <c r="B7894" s="267" t="s">
        <v>57</v>
      </c>
      <c r="C7894" s="15">
        <v>1027</v>
      </c>
      <c r="D7894" s="268">
        <v>91</v>
      </c>
      <c r="E7894" s="268">
        <v>47</v>
      </c>
      <c r="F7894" s="268">
        <v>31</v>
      </c>
      <c r="G7894" s="268">
        <v>30</v>
      </c>
      <c r="H7894" s="268">
        <v>89</v>
      </c>
      <c r="I7894" s="268">
        <v>126</v>
      </c>
      <c r="J7894" s="268">
        <v>113</v>
      </c>
      <c r="K7894" s="268">
        <v>153</v>
      </c>
      <c r="L7894" s="268">
        <v>149</v>
      </c>
      <c r="M7894" s="268">
        <v>94</v>
      </c>
      <c r="N7894" s="268">
        <v>65</v>
      </c>
      <c r="O7894" s="278">
        <v>39</v>
      </c>
    </row>
    <row r="7895" spans="1:15">
      <c r="A7895" s="263" t="s">
        <v>70</v>
      </c>
      <c r="B7895" s="264" t="s">
        <v>59</v>
      </c>
      <c r="C7895" s="15">
        <v>801</v>
      </c>
      <c r="D7895" s="268">
        <v>74</v>
      </c>
      <c r="E7895" s="268">
        <v>48</v>
      </c>
      <c r="F7895" s="268">
        <v>21</v>
      </c>
      <c r="G7895" s="268">
        <v>24</v>
      </c>
      <c r="H7895" s="268">
        <v>75</v>
      </c>
      <c r="I7895" s="268">
        <v>93</v>
      </c>
      <c r="J7895" s="268">
        <v>86</v>
      </c>
      <c r="K7895" s="268">
        <v>99</v>
      </c>
      <c r="L7895" s="268">
        <v>94</v>
      </c>
      <c r="M7895" s="268">
        <v>67</v>
      </c>
      <c r="N7895" s="268">
        <v>68</v>
      </c>
      <c r="O7895" s="278">
        <v>52</v>
      </c>
    </row>
    <row r="7896" spans="1:15">
      <c r="A7896" s="266" t="s">
        <v>70</v>
      </c>
      <c r="B7896" s="267" t="s">
        <v>4</v>
      </c>
      <c r="C7896" s="15">
        <v>22</v>
      </c>
      <c r="D7896" s="269">
        <v>2</v>
      </c>
      <c r="E7896" s="269">
        <v>1</v>
      </c>
      <c r="F7896" s="269">
        <v>0</v>
      </c>
      <c r="G7896" s="269">
        <v>0</v>
      </c>
      <c r="H7896" s="269">
        <v>2</v>
      </c>
      <c r="I7896" s="269">
        <v>3</v>
      </c>
      <c r="J7896" s="269">
        <v>2</v>
      </c>
      <c r="K7896" s="269">
        <v>2</v>
      </c>
      <c r="L7896" s="269">
        <v>4</v>
      </c>
      <c r="M7896" s="269">
        <v>3</v>
      </c>
      <c r="N7896" s="269">
        <v>2</v>
      </c>
      <c r="O7896" s="279">
        <v>1</v>
      </c>
    </row>
    <row r="7897" spans="1:15">
      <c r="A7897" s="263" t="s">
        <v>70</v>
      </c>
      <c r="B7897" s="264" t="s">
        <v>5</v>
      </c>
      <c r="C7897" s="12">
        <v>0.0274656679151061</v>
      </c>
      <c r="D7897" s="265">
        <v>0.027027027027027</v>
      </c>
      <c r="E7897" s="265">
        <v>0.0208333333333333</v>
      </c>
      <c r="F7897" s="265">
        <v>0</v>
      </c>
      <c r="G7897" s="265">
        <v>0</v>
      </c>
      <c r="H7897" s="265">
        <v>0.0266666666666667</v>
      </c>
      <c r="I7897" s="265">
        <v>0.032258064516129</v>
      </c>
      <c r="J7897" s="265">
        <v>0.0232558139534884</v>
      </c>
      <c r="K7897" s="265">
        <v>0.0202020202020202</v>
      </c>
      <c r="L7897" s="265">
        <v>0.0425531914893617</v>
      </c>
      <c r="M7897" s="265">
        <v>0.0447761194029851</v>
      </c>
      <c r="N7897" s="265">
        <v>0.0294117647058824</v>
      </c>
      <c r="O7897" s="277">
        <v>0.0192307692307692</v>
      </c>
    </row>
    <row r="7898" spans="1:15">
      <c r="A7898" s="266" t="s">
        <v>70</v>
      </c>
      <c r="B7898" s="267" t="s">
        <v>6</v>
      </c>
      <c r="C7898" s="15">
        <v>10</v>
      </c>
      <c r="D7898" s="269">
        <v>1</v>
      </c>
      <c r="E7898" s="269">
        <v>1</v>
      </c>
      <c r="F7898" s="269">
        <v>0</v>
      </c>
      <c r="G7898" s="269">
        <v>0</v>
      </c>
      <c r="H7898" s="269">
        <v>0</v>
      </c>
      <c r="I7898" s="269">
        <v>2</v>
      </c>
      <c r="J7898" s="269">
        <v>0</v>
      </c>
      <c r="K7898" s="269">
        <v>0</v>
      </c>
      <c r="L7898" s="269">
        <v>1</v>
      </c>
      <c r="M7898" s="269">
        <v>2</v>
      </c>
      <c r="N7898" s="269">
        <v>3</v>
      </c>
      <c r="O7898" s="279">
        <v>0</v>
      </c>
    </row>
    <row r="7899" ht="14.25" spans="1:15">
      <c r="A7899" s="270" t="s">
        <v>70</v>
      </c>
      <c r="B7899" s="271" t="s">
        <v>64</v>
      </c>
      <c r="C7899" s="19">
        <v>0.454545454545455</v>
      </c>
      <c r="D7899" s="272">
        <v>0.5</v>
      </c>
      <c r="E7899" s="272">
        <v>1</v>
      </c>
      <c r="F7899" s="272">
        <v>0</v>
      </c>
      <c r="G7899" s="272">
        <v>0</v>
      </c>
      <c r="H7899" s="272">
        <v>0</v>
      </c>
      <c r="I7899" s="272">
        <v>0.666666666666667</v>
      </c>
      <c r="J7899" s="272">
        <v>0</v>
      </c>
      <c r="K7899" s="272">
        <v>0</v>
      </c>
      <c r="L7899" s="272">
        <v>0.25</v>
      </c>
      <c r="M7899" s="272">
        <v>0.666666666666667</v>
      </c>
      <c r="N7899" s="272">
        <v>1.5</v>
      </c>
      <c r="O7899" s="280">
        <v>0</v>
      </c>
    </row>
    <row r="7900" spans="1:15">
      <c r="A7900" s="263" t="s">
        <v>26</v>
      </c>
      <c r="B7900" s="264" t="s">
        <v>55</v>
      </c>
      <c r="C7900" s="12">
        <v>0.890138408304498</v>
      </c>
      <c r="D7900" s="265">
        <v>0.966850828729282</v>
      </c>
      <c r="E7900" s="265">
        <v>0.84375</v>
      </c>
      <c r="F7900" s="265">
        <v>0.905263157894737</v>
      </c>
      <c r="G7900" s="265">
        <v>0.950413223140496</v>
      </c>
      <c r="H7900" s="265">
        <v>0.94475138121547</v>
      </c>
      <c r="I7900" s="265">
        <v>0.608695652173913</v>
      </c>
      <c r="J7900" s="265">
        <v>0.644268774703557</v>
      </c>
      <c r="K7900" s="265">
        <v>1.07563025210084</v>
      </c>
      <c r="L7900" s="265">
        <v>0.885057471264368</v>
      </c>
      <c r="M7900" s="265">
        <v>0.926553672316384</v>
      </c>
      <c r="N7900" s="265">
        <v>1.04651162790698</v>
      </c>
      <c r="O7900" s="277">
        <v>0.96551724137931</v>
      </c>
    </row>
    <row r="7901" spans="1:15">
      <c r="A7901" s="266" t="s">
        <v>26</v>
      </c>
      <c r="B7901" s="267" t="s">
        <v>57</v>
      </c>
      <c r="C7901" s="15">
        <v>2312</v>
      </c>
      <c r="D7901" s="268">
        <v>181</v>
      </c>
      <c r="E7901" s="268">
        <v>128</v>
      </c>
      <c r="F7901" s="268">
        <v>95</v>
      </c>
      <c r="G7901" s="268">
        <v>121</v>
      </c>
      <c r="H7901" s="268">
        <v>181</v>
      </c>
      <c r="I7901" s="268">
        <v>230</v>
      </c>
      <c r="J7901" s="268">
        <v>253</v>
      </c>
      <c r="K7901" s="268">
        <v>238</v>
      </c>
      <c r="L7901" s="268">
        <v>261</v>
      </c>
      <c r="M7901" s="268">
        <v>177</v>
      </c>
      <c r="N7901" s="268">
        <v>215</v>
      </c>
      <c r="O7901" s="278">
        <v>232</v>
      </c>
    </row>
    <row r="7902" spans="1:15">
      <c r="A7902" s="263" t="s">
        <v>26</v>
      </c>
      <c r="B7902" s="264" t="s">
        <v>59</v>
      </c>
      <c r="C7902" s="15">
        <v>2058</v>
      </c>
      <c r="D7902" s="268">
        <v>175</v>
      </c>
      <c r="E7902" s="268">
        <v>108</v>
      </c>
      <c r="F7902" s="268">
        <v>86</v>
      </c>
      <c r="G7902" s="268">
        <v>115</v>
      </c>
      <c r="H7902" s="268">
        <v>171</v>
      </c>
      <c r="I7902" s="268">
        <v>140</v>
      </c>
      <c r="J7902" s="268">
        <v>163</v>
      </c>
      <c r="K7902" s="268">
        <v>256</v>
      </c>
      <c r="L7902" s="268">
        <v>231</v>
      </c>
      <c r="M7902" s="268">
        <v>164</v>
      </c>
      <c r="N7902" s="268">
        <v>225</v>
      </c>
      <c r="O7902" s="278">
        <v>224</v>
      </c>
    </row>
    <row r="7903" spans="1:15">
      <c r="A7903" s="266" t="s">
        <v>26</v>
      </c>
      <c r="B7903" s="267" t="s">
        <v>4</v>
      </c>
      <c r="C7903" s="15">
        <v>31</v>
      </c>
      <c r="D7903" s="269">
        <v>4</v>
      </c>
      <c r="E7903" s="269">
        <v>3</v>
      </c>
      <c r="F7903" s="269">
        <v>4</v>
      </c>
      <c r="G7903" s="269">
        <v>0</v>
      </c>
      <c r="H7903" s="269">
        <v>0</v>
      </c>
      <c r="I7903" s="269">
        <v>4</v>
      </c>
      <c r="J7903" s="269">
        <v>3</v>
      </c>
      <c r="K7903" s="269">
        <v>2</v>
      </c>
      <c r="L7903" s="269">
        <v>3</v>
      </c>
      <c r="M7903" s="269">
        <v>1</v>
      </c>
      <c r="N7903" s="269">
        <v>5</v>
      </c>
      <c r="O7903" s="279">
        <v>2</v>
      </c>
    </row>
    <row r="7904" spans="1:15">
      <c r="A7904" s="263" t="s">
        <v>26</v>
      </c>
      <c r="B7904" s="264" t="s">
        <v>5</v>
      </c>
      <c r="C7904" s="12">
        <v>0.0150631681243926</v>
      </c>
      <c r="D7904" s="265">
        <v>0.0228571428571429</v>
      </c>
      <c r="E7904" s="265">
        <v>0.0277777777777778</v>
      </c>
      <c r="F7904" s="265">
        <v>0.0465116279069767</v>
      </c>
      <c r="G7904" s="265">
        <v>0</v>
      </c>
      <c r="H7904" s="265">
        <v>0</v>
      </c>
      <c r="I7904" s="265">
        <v>0.0285714285714286</v>
      </c>
      <c r="J7904" s="265">
        <v>0.0184049079754601</v>
      </c>
      <c r="K7904" s="265">
        <v>0.0078125</v>
      </c>
      <c r="L7904" s="265">
        <v>0.012987012987013</v>
      </c>
      <c r="M7904" s="265">
        <v>0.00609756097560976</v>
      </c>
      <c r="N7904" s="265">
        <v>0.0222222222222222</v>
      </c>
      <c r="O7904" s="277">
        <v>0.00892857142857143</v>
      </c>
    </row>
    <row r="7905" spans="1:15">
      <c r="A7905" s="266" t="s">
        <v>26</v>
      </c>
      <c r="B7905" s="267" t="s">
        <v>6</v>
      </c>
      <c r="C7905" s="15">
        <v>7</v>
      </c>
      <c r="D7905" s="269">
        <v>1</v>
      </c>
      <c r="E7905" s="269">
        <v>0</v>
      </c>
      <c r="F7905" s="269">
        <v>0</v>
      </c>
      <c r="G7905" s="269">
        <v>0</v>
      </c>
      <c r="H7905" s="269">
        <v>0</v>
      </c>
      <c r="I7905" s="269">
        <v>0</v>
      </c>
      <c r="J7905" s="269">
        <v>0</v>
      </c>
      <c r="K7905" s="269">
        <v>0</v>
      </c>
      <c r="L7905" s="269">
        <v>2</v>
      </c>
      <c r="M7905" s="269">
        <v>1</v>
      </c>
      <c r="N7905" s="269">
        <v>2</v>
      </c>
      <c r="O7905" s="279">
        <v>1</v>
      </c>
    </row>
    <row r="7906" ht="14.25" spans="1:15">
      <c r="A7906" s="270" t="s">
        <v>26</v>
      </c>
      <c r="B7906" s="271" t="s">
        <v>64</v>
      </c>
      <c r="C7906" s="19">
        <v>0.225806451612903</v>
      </c>
      <c r="D7906" s="19">
        <v>0.25</v>
      </c>
      <c r="E7906" s="19">
        <v>0</v>
      </c>
      <c r="F7906" s="19">
        <v>0</v>
      </c>
      <c r="G7906" s="19" t="e">
        <v>#DIV/0!</v>
      </c>
      <c r="H7906" s="19" t="e">
        <v>#DIV/0!</v>
      </c>
      <c r="I7906" s="19">
        <v>0</v>
      </c>
      <c r="J7906" s="19">
        <v>0</v>
      </c>
      <c r="K7906" s="19">
        <v>0</v>
      </c>
      <c r="L7906" s="19">
        <v>0.666666666666667</v>
      </c>
      <c r="M7906" s="19">
        <v>1</v>
      </c>
      <c r="N7906" s="19">
        <v>0.4</v>
      </c>
      <c r="O7906" s="19">
        <v>0.5</v>
      </c>
    </row>
    <row r="7907" spans="1:15">
      <c r="A7907" s="263" t="s">
        <v>71</v>
      </c>
      <c r="B7907" s="264" t="s">
        <v>55</v>
      </c>
      <c r="C7907" s="12" t="e">
        <v>#DIV/0!</v>
      </c>
      <c r="D7907" s="265" t="e">
        <v>#DIV/0!</v>
      </c>
      <c r="E7907" s="265" t="e">
        <v>#DIV/0!</v>
      </c>
      <c r="F7907" s="265" t="e">
        <v>#DIV/0!</v>
      </c>
      <c r="G7907" s="265" t="e">
        <v>#DIV/0!</v>
      </c>
      <c r="H7907" s="265" t="e">
        <v>#DIV/0!</v>
      </c>
      <c r="I7907" s="265" t="e">
        <v>#DIV/0!</v>
      </c>
      <c r="J7907" s="265" t="e">
        <v>#DIV/0!</v>
      </c>
      <c r="K7907" s="265" t="e">
        <v>#DIV/0!</v>
      </c>
      <c r="L7907" s="265" t="e">
        <v>#DIV/0!</v>
      </c>
      <c r="M7907" s="265" t="e">
        <v>#DIV/0!</v>
      </c>
      <c r="N7907" s="265" t="e">
        <v>#DIV/0!</v>
      </c>
      <c r="O7907" s="277" t="e">
        <v>#DIV/0!</v>
      </c>
    </row>
    <row r="7908" spans="1:15">
      <c r="A7908" s="266" t="s">
        <v>71</v>
      </c>
      <c r="B7908" s="267" t="s">
        <v>57</v>
      </c>
      <c r="C7908" s="15">
        <v>0</v>
      </c>
      <c r="D7908" s="268">
        <v>0</v>
      </c>
      <c r="E7908" s="268">
        <v>0</v>
      </c>
      <c r="F7908" s="268">
        <v>0</v>
      </c>
      <c r="G7908" s="268">
        <v>0</v>
      </c>
      <c r="H7908" s="268">
        <v>0</v>
      </c>
      <c r="I7908" s="268">
        <v>0</v>
      </c>
      <c r="J7908" s="268">
        <v>0</v>
      </c>
      <c r="K7908" s="268">
        <v>0</v>
      </c>
      <c r="L7908" s="268">
        <v>0</v>
      </c>
      <c r="M7908" s="268">
        <v>0</v>
      </c>
      <c r="N7908" s="268">
        <v>0</v>
      </c>
      <c r="O7908" s="278">
        <v>0</v>
      </c>
    </row>
    <row r="7909" spans="1:15">
      <c r="A7909" s="263" t="s">
        <v>71</v>
      </c>
      <c r="B7909" s="264" t="s">
        <v>59</v>
      </c>
      <c r="C7909" s="309">
        <v>83</v>
      </c>
      <c r="D7909" s="312">
        <v>9</v>
      </c>
      <c r="E7909" s="312">
        <v>7</v>
      </c>
      <c r="F7909" s="312">
        <v>7</v>
      </c>
      <c r="G7909" s="312">
        <v>1</v>
      </c>
      <c r="H7909" s="312">
        <v>8</v>
      </c>
      <c r="I7909" s="312">
        <v>5</v>
      </c>
      <c r="J7909" s="312">
        <v>7</v>
      </c>
      <c r="K7909" s="312">
        <v>9</v>
      </c>
      <c r="L7909" s="312">
        <v>10</v>
      </c>
      <c r="M7909" s="312">
        <v>4</v>
      </c>
      <c r="N7909" s="312">
        <v>5</v>
      </c>
      <c r="O7909" s="313">
        <v>11</v>
      </c>
    </row>
    <row r="7910" spans="1:15">
      <c r="A7910" s="266" t="s">
        <v>71</v>
      </c>
      <c r="B7910" s="267" t="s">
        <v>4</v>
      </c>
      <c r="C7910" s="15">
        <v>2</v>
      </c>
      <c r="D7910" s="269">
        <v>0</v>
      </c>
      <c r="E7910" s="269">
        <v>0</v>
      </c>
      <c r="F7910" s="269">
        <v>0</v>
      </c>
      <c r="G7910" s="269">
        <v>0</v>
      </c>
      <c r="H7910" s="269">
        <v>0</v>
      </c>
      <c r="I7910" s="269">
        <v>0</v>
      </c>
      <c r="J7910" s="269">
        <v>1</v>
      </c>
      <c r="K7910" s="269">
        <v>0</v>
      </c>
      <c r="L7910" s="269">
        <v>0</v>
      </c>
      <c r="M7910" s="269">
        <v>0</v>
      </c>
      <c r="N7910" s="269">
        <v>0</v>
      </c>
      <c r="O7910" s="279">
        <v>1</v>
      </c>
    </row>
    <row r="7911" spans="1:15">
      <c r="A7911" s="263" t="s">
        <v>71</v>
      </c>
      <c r="B7911" s="264" t="s">
        <v>5</v>
      </c>
      <c r="C7911" s="265">
        <v>0.0240963855421687</v>
      </c>
      <c r="D7911" s="265">
        <v>0</v>
      </c>
      <c r="E7911" s="265">
        <v>0</v>
      </c>
      <c r="F7911" s="265">
        <v>0</v>
      </c>
      <c r="G7911" s="265">
        <v>0</v>
      </c>
      <c r="H7911" s="265">
        <v>0</v>
      </c>
      <c r="I7911" s="265">
        <v>0</v>
      </c>
      <c r="J7911" s="265">
        <v>0.142857142857143</v>
      </c>
      <c r="K7911" s="265">
        <v>0</v>
      </c>
      <c r="L7911" s="265">
        <v>0</v>
      </c>
      <c r="M7911" s="265">
        <v>0</v>
      </c>
      <c r="N7911" s="265">
        <v>0</v>
      </c>
      <c r="O7911" s="277">
        <v>0.0909090909090909</v>
      </c>
    </row>
    <row r="7912" spans="1:15">
      <c r="A7912" s="266" t="s">
        <v>71</v>
      </c>
      <c r="B7912" s="267" t="s">
        <v>6</v>
      </c>
      <c r="C7912" s="15">
        <v>1</v>
      </c>
      <c r="D7912" s="269">
        <v>0</v>
      </c>
      <c r="E7912" s="269">
        <v>0</v>
      </c>
      <c r="F7912" s="269">
        <v>0</v>
      </c>
      <c r="G7912" s="269">
        <v>0</v>
      </c>
      <c r="H7912" s="269">
        <v>0</v>
      </c>
      <c r="I7912" s="269">
        <v>1</v>
      </c>
      <c r="J7912" s="269">
        <v>0</v>
      </c>
      <c r="K7912" s="269">
        <v>0</v>
      </c>
      <c r="L7912" s="269">
        <v>0</v>
      </c>
      <c r="M7912" s="269">
        <v>0</v>
      </c>
      <c r="N7912" s="269">
        <v>0</v>
      </c>
      <c r="O7912" s="279">
        <v>0</v>
      </c>
    </row>
    <row r="7913" ht="14.25" spans="1:15">
      <c r="A7913" s="270" t="s">
        <v>71</v>
      </c>
      <c r="B7913" s="271" t="s">
        <v>64</v>
      </c>
      <c r="C7913" s="19">
        <v>0.5</v>
      </c>
      <c r="D7913" s="19" t="e">
        <v>#DIV/0!</v>
      </c>
      <c r="E7913" s="19" t="e">
        <v>#DIV/0!</v>
      </c>
      <c r="F7913" s="19" t="e">
        <v>#DIV/0!</v>
      </c>
      <c r="G7913" s="19" t="e">
        <v>#DIV/0!</v>
      </c>
      <c r="H7913" s="19" t="e">
        <v>#DIV/0!</v>
      </c>
      <c r="I7913" s="19" t="e">
        <v>#DIV/0!</v>
      </c>
      <c r="J7913" s="19">
        <v>0</v>
      </c>
      <c r="K7913" s="19" t="e">
        <v>#DIV/0!</v>
      </c>
      <c r="L7913" s="19" t="e">
        <v>#DIV/0!</v>
      </c>
      <c r="M7913" s="19" t="e">
        <v>#DIV/0!</v>
      </c>
      <c r="N7913" s="19" t="e">
        <v>#DIV/0!</v>
      </c>
      <c r="O7913" s="19">
        <v>0</v>
      </c>
    </row>
    <row r="7914" spans="1:15">
      <c r="A7914" s="263" t="s">
        <v>72</v>
      </c>
      <c r="B7914" s="264" t="s">
        <v>55</v>
      </c>
      <c r="C7914" s="12">
        <v>0.0584598844241365</v>
      </c>
      <c r="D7914" s="265">
        <v>0.0767716535433071</v>
      </c>
      <c r="E7914" s="265">
        <v>0.0954356846473029</v>
      </c>
      <c r="F7914" s="265">
        <v>0.0792079207920792</v>
      </c>
      <c r="G7914" s="265">
        <v>0.0617283950617284</v>
      </c>
      <c r="H7914" s="265">
        <v>0.0657193605683837</v>
      </c>
      <c r="I7914" s="265">
        <v>0.0508021390374332</v>
      </c>
      <c r="J7914" s="265">
        <v>0.0484330484330484</v>
      </c>
      <c r="K7914" s="265">
        <v>0.0431034482758621</v>
      </c>
      <c r="L7914" s="265">
        <v>0.0594059405940594</v>
      </c>
      <c r="M7914" s="265">
        <v>0.0426758938869665</v>
      </c>
      <c r="N7914" s="265">
        <v>0.0737704918032787</v>
      </c>
      <c r="O7914" s="277">
        <v>0.0521739130434783</v>
      </c>
    </row>
    <row r="7915" spans="1:15">
      <c r="A7915" s="266" t="s">
        <v>72</v>
      </c>
      <c r="B7915" s="267" t="s">
        <v>57</v>
      </c>
      <c r="C7915" s="15">
        <v>7441</v>
      </c>
      <c r="D7915" s="268">
        <v>508</v>
      </c>
      <c r="E7915" s="268">
        <v>241</v>
      </c>
      <c r="F7915" s="268">
        <v>202</v>
      </c>
      <c r="G7915" s="268">
        <v>324</v>
      </c>
      <c r="H7915" s="268">
        <v>563</v>
      </c>
      <c r="I7915" s="268">
        <v>748</v>
      </c>
      <c r="J7915" s="268">
        <v>702</v>
      </c>
      <c r="K7915" s="268">
        <v>812</v>
      </c>
      <c r="L7915" s="268">
        <v>808</v>
      </c>
      <c r="M7915" s="268">
        <v>867</v>
      </c>
      <c r="N7915" s="268">
        <v>976</v>
      </c>
      <c r="O7915" s="278">
        <v>690</v>
      </c>
    </row>
    <row r="7916" spans="1:15">
      <c r="A7916" s="263" t="s">
        <v>72</v>
      </c>
      <c r="B7916" s="264" t="s">
        <v>59</v>
      </c>
      <c r="C7916" s="15">
        <v>435</v>
      </c>
      <c r="D7916" s="268">
        <v>39</v>
      </c>
      <c r="E7916" s="268">
        <v>23</v>
      </c>
      <c r="F7916" s="268">
        <v>16</v>
      </c>
      <c r="G7916" s="268">
        <v>20</v>
      </c>
      <c r="H7916" s="268">
        <v>37</v>
      </c>
      <c r="I7916" s="268">
        <v>38</v>
      </c>
      <c r="J7916" s="268">
        <v>34</v>
      </c>
      <c r="K7916" s="268">
        <v>35</v>
      </c>
      <c r="L7916" s="268">
        <v>48</v>
      </c>
      <c r="M7916" s="268">
        <v>37</v>
      </c>
      <c r="N7916" s="268">
        <v>72</v>
      </c>
      <c r="O7916" s="278">
        <v>36</v>
      </c>
    </row>
    <row r="7917" spans="1:15">
      <c r="A7917" s="266" t="s">
        <v>72</v>
      </c>
      <c r="B7917" s="267" t="s">
        <v>4</v>
      </c>
      <c r="C7917" s="15">
        <v>15</v>
      </c>
      <c r="D7917" s="269">
        <v>0</v>
      </c>
      <c r="E7917" s="269">
        <v>2</v>
      </c>
      <c r="F7917" s="269">
        <v>1</v>
      </c>
      <c r="G7917" s="269">
        <v>0</v>
      </c>
      <c r="H7917" s="269">
        <v>0</v>
      </c>
      <c r="I7917" s="269">
        <v>0</v>
      </c>
      <c r="J7917" s="269">
        <v>3</v>
      </c>
      <c r="K7917" s="269">
        <v>0</v>
      </c>
      <c r="L7917" s="269">
        <v>2</v>
      </c>
      <c r="M7917" s="269">
        <v>1</v>
      </c>
      <c r="N7917" s="269">
        <v>4</v>
      </c>
      <c r="O7917" s="279">
        <v>2</v>
      </c>
    </row>
    <row r="7918" spans="1:15">
      <c r="A7918" s="263" t="s">
        <v>72</v>
      </c>
      <c r="B7918" s="264" t="s">
        <v>5</v>
      </c>
      <c r="C7918" s="12">
        <v>0.0344827586206897</v>
      </c>
      <c r="D7918" s="265">
        <v>0</v>
      </c>
      <c r="E7918" s="265">
        <v>0.0869565217391304</v>
      </c>
      <c r="F7918" s="265">
        <v>0.0625</v>
      </c>
      <c r="G7918" s="265">
        <v>0</v>
      </c>
      <c r="H7918" s="265">
        <v>0</v>
      </c>
      <c r="I7918" s="265">
        <v>0</v>
      </c>
      <c r="J7918" s="265">
        <v>0.0882352941176471</v>
      </c>
      <c r="K7918" s="265">
        <v>0</v>
      </c>
      <c r="L7918" s="265">
        <v>0.0416666666666667</v>
      </c>
      <c r="M7918" s="265">
        <v>0.027027027027027</v>
      </c>
      <c r="N7918" s="265">
        <v>0.0555555555555556</v>
      </c>
      <c r="O7918" s="277">
        <v>0.0555555555555556</v>
      </c>
    </row>
    <row r="7919" spans="1:15">
      <c r="A7919" s="266" t="s">
        <v>72</v>
      </c>
      <c r="B7919" s="267" t="s">
        <v>6</v>
      </c>
      <c r="C7919" s="15">
        <v>1</v>
      </c>
      <c r="D7919" s="269">
        <v>0</v>
      </c>
      <c r="E7919" s="269">
        <v>0</v>
      </c>
      <c r="F7919" s="269">
        <v>0</v>
      </c>
      <c r="G7919" s="269">
        <v>0</v>
      </c>
      <c r="H7919" s="269">
        <v>0</v>
      </c>
      <c r="I7919" s="269">
        <v>0</v>
      </c>
      <c r="J7919" s="269">
        <v>0</v>
      </c>
      <c r="K7919" s="269">
        <v>0</v>
      </c>
      <c r="L7919" s="269">
        <v>1</v>
      </c>
      <c r="M7919" s="269">
        <v>0</v>
      </c>
      <c r="N7919" s="269">
        <v>0</v>
      </c>
      <c r="O7919" s="279">
        <v>0</v>
      </c>
    </row>
    <row r="7920" ht="14.25" spans="1:15">
      <c r="A7920" s="270" t="s">
        <v>72</v>
      </c>
      <c r="B7920" s="271" t="s">
        <v>64</v>
      </c>
      <c r="C7920" s="19">
        <v>0.0666666666666667</v>
      </c>
      <c r="D7920" s="19" t="e">
        <v>#DIV/0!</v>
      </c>
      <c r="E7920" s="19">
        <v>0</v>
      </c>
      <c r="F7920" s="19">
        <v>0</v>
      </c>
      <c r="G7920" s="19" t="e">
        <v>#DIV/0!</v>
      </c>
      <c r="H7920" s="19" t="e">
        <v>#DIV/0!</v>
      </c>
      <c r="I7920" s="19" t="e">
        <v>#DIV/0!</v>
      </c>
      <c r="J7920" s="19">
        <v>0</v>
      </c>
      <c r="K7920" s="19" t="e">
        <v>#DIV/0!</v>
      </c>
      <c r="L7920" s="19">
        <v>0.5</v>
      </c>
      <c r="M7920" s="19">
        <v>0</v>
      </c>
      <c r="N7920" s="19">
        <v>0</v>
      </c>
      <c r="O7920" s="19">
        <v>0</v>
      </c>
    </row>
    <row r="7921" ht="14.25" spans="1:15">
      <c r="A7921" s="237">
        <v>45142</v>
      </c>
      <c r="B7921" s="237"/>
      <c r="C7921" s="237"/>
      <c r="D7921" s="237"/>
      <c r="E7921" s="237"/>
      <c r="F7921" s="237"/>
      <c r="G7921" s="237"/>
      <c r="H7921" s="237"/>
      <c r="I7921" s="237"/>
      <c r="J7921" s="237"/>
      <c r="K7921" s="237"/>
      <c r="L7921" s="237"/>
      <c r="M7921" s="237"/>
      <c r="N7921" s="237"/>
      <c r="O7921" s="237"/>
    </row>
    <row r="7922" spans="1:15">
      <c r="A7922" s="56" t="s">
        <v>1</v>
      </c>
      <c r="B7922" s="238"/>
      <c r="C7922" s="8" t="s">
        <v>42</v>
      </c>
      <c r="D7922" s="239" t="s">
        <v>43</v>
      </c>
      <c r="E7922" s="239" t="s">
        <v>44</v>
      </c>
      <c r="F7922" s="239" t="s">
        <v>45</v>
      </c>
      <c r="G7922" s="239" t="s">
        <v>46</v>
      </c>
      <c r="H7922" s="239" t="s">
        <v>47</v>
      </c>
      <c r="I7922" s="239" t="s">
        <v>48</v>
      </c>
      <c r="J7922" s="239" t="s">
        <v>49</v>
      </c>
      <c r="K7922" s="239" t="s">
        <v>50</v>
      </c>
      <c r="L7922" s="239" t="s">
        <v>51</v>
      </c>
      <c r="M7922" s="239" t="s">
        <v>52</v>
      </c>
      <c r="N7922" s="239" t="s">
        <v>53</v>
      </c>
      <c r="O7922" s="251" t="s">
        <v>54</v>
      </c>
    </row>
    <row r="7923" spans="1:15">
      <c r="A7923" s="240" t="s">
        <v>22</v>
      </c>
      <c r="B7923" s="47" t="s">
        <v>55</v>
      </c>
      <c r="C7923" s="12">
        <v>0.273078160180122</v>
      </c>
      <c r="D7923" s="241">
        <v>0.323615160349854</v>
      </c>
      <c r="E7923" s="241">
        <v>0.296774193548387</v>
      </c>
      <c r="F7923" s="241">
        <v>0.324074074074074</v>
      </c>
      <c r="G7923" s="241">
        <v>0.335820895522388</v>
      </c>
      <c r="H7923" s="241">
        <v>0.241935483870968</v>
      </c>
      <c r="I7923" s="241">
        <v>0.29296875</v>
      </c>
      <c r="J7923" s="241">
        <v>0.268211920529801</v>
      </c>
      <c r="K7923" s="241">
        <v>0.188953488372093</v>
      </c>
      <c r="L7923" s="241">
        <v>0.33457249070632</v>
      </c>
      <c r="M7923" s="241">
        <v>0.261818181818182</v>
      </c>
      <c r="N7923" s="241">
        <v>0.215633423180593</v>
      </c>
      <c r="O7923" s="252">
        <v>0.284153005464481</v>
      </c>
    </row>
    <row r="7924" spans="1:15">
      <c r="A7924" s="242" t="s">
        <v>22</v>
      </c>
      <c r="B7924" s="43" t="s">
        <v>57</v>
      </c>
      <c r="C7924" s="15">
        <v>3109</v>
      </c>
      <c r="D7924" s="243">
        <v>343</v>
      </c>
      <c r="E7924" s="243">
        <v>155</v>
      </c>
      <c r="F7924" s="243">
        <v>108</v>
      </c>
      <c r="G7924" s="243">
        <v>134</v>
      </c>
      <c r="H7924" s="243">
        <v>186</v>
      </c>
      <c r="I7924" s="243">
        <v>256</v>
      </c>
      <c r="J7924" s="243">
        <v>302</v>
      </c>
      <c r="K7924" s="243">
        <v>344</v>
      </c>
      <c r="L7924" s="243">
        <v>269</v>
      </c>
      <c r="M7924" s="243">
        <v>275</v>
      </c>
      <c r="N7924" s="243">
        <v>371</v>
      </c>
      <c r="O7924" s="253">
        <v>366</v>
      </c>
    </row>
    <row r="7925" spans="1:15">
      <c r="A7925" s="240" t="s">
        <v>22</v>
      </c>
      <c r="B7925" s="47" t="s">
        <v>59</v>
      </c>
      <c r="C7925" s="15">
        <v>849</v>
      </c>
      <c r="D7925" s="243">
        <v>111</v>
      </c>
      <c r="E7925" s="243">
        <v>46</v>
      </c>
      <c r="F7925" s="243">
        <v>35</v>
      </c>
      <c r="G7925" s="243">
        <v>45</v>
      </c>
      <c r="H7925" s="243">
        <v>45</v>
      </c>
      <c r="I7925" s="243">
        <v>75</v>
      </c>
      <c r="J7925" s="243">
        <v>81</v>
      </c>
      <c r="K7925" s="243">
        <v>65</v>
      </c>
      <c r="L7925" s="243">
        <v>90</v>
      </c>
      <c r="M7925" s="243">
        <v>72</v>
      </c>
      <c r="N7925" s="243">
        <v>80</v>
      </c>
      <c r="O7925" s="253">
        <v>104</v>
      </c>
    </row>
    <row r="7926" spans="1:15">
      <c r="A7926" s="242" t="s">
        <v>22</v>
      </c>
      <c r="B7926" s="43" t="s">
        <v>4</v>
      </c>
      <c r="C7926" s="15">
        <v>46</v>
      </c>
      <c r="D7926" s="244">
        <v>7</v>
      </c>
      <c r="E7926" s="244">
        <v>1</v>
      </c>
      <c r="F7926" s="244">
        <v>3</v>
      </c>
      <c r="G7926" s="244">
        <v>4</v>
      </c>
      <c r="H7926" s="244">
        <v>2</v>
      </c>
      <c r="I7926" s="244">
        <v>3</v>
      </c>
      <c r="J7926" s="244">
        <v>2</v>
      </c>
      <c r="K7926" s="244">
        <v>6</v>
      </c>
      <c r="L7926" s="244">
        <v>4</v>
      </c>
      <c r="M7926" s="244">
        <v>7</v>
      </c>
      <c r="N7926" s="244">
        <v>2</v>
      </c>
      <c r="O7926" s="254">
        <v>5</v>
      </c>
    </row>
    <row r="7927" spans="1:15">
      <c r="A7927" s="240" t="s">
        <v>22</v>
      </c>
      <c r="B7927" s="47" t="s">
        <v>5</v>
      </c>
      <c r="C7927" s="12">
        <v>0.0541813898704358</v>
      </c>
      <c r="D7927" s="241">
        <v>0.0630630630630631</v>
      </c>
      <c r="E7927" s="241">
        <v>0.0217391304347826</v>
      </c>
      <c r="F7927" s="241">
        <v>0.0857142857142857</v>
      </c>
      <c r="G7927" s="241">
        <v>0.0888888888888889</v>
      </c>
      <c r="H7927" s="241">
        <v>0.0444444444444444</v>
      </c>
      <c r="I7927" s="241">
        <v>0.04</v>
      </c>
      <c r="J7927" s="241">
        <v>0.0246913580246914</v>
      </c>
      <c r="K7927" s="241">
        <v>0.0923076923076923</v>
      </c>
      <c r="L7927" s="241">
        <v>0.0444444444444444</v>
      </c>
      <c r="M7927" s="241">
        <v>0.0972222222222222</v>
      </c>
      <c r="N7927" s="241">
        <v>0.025</v>
      </c>
      <c r="O7927" s="252">
        <v>0.0480769230769231</v>
      </c>
    </row>
    <row r="7928" spans="1:15">
      <c r="A7928" s="242" t="s">
        <v>22</v>
      </c>
      <c r="B7928" s="43" t="s">
        <v>6</v>
      </c>
      <c r="C7928" s="15">
        <v>17</v>
      </c>
      <c r="D7928" s="244">
        <v>1</v>
      </c>
      <c r="E7928" s="244">
        <v>2</v>
      </c>
      <c r="F7928" s="244">
        <v>0</v>
      </c>
      <c r="G7928" s="244">
        <v>1</v>
      </c>
      <c r="H7928" s="244">
        <v>1</v>
      </c>
      <c r="I7928" s="244">
        <v>0</v>
      </c>
      <c r="J7928" s="244">
        <v>3</v>
      </c>
      <c r="K7928" s="244">
        <v>3</v>
      </c>
      <c r="L7928" s="244">
        <v>1</v>
      </c>
      <c r="M7928" s="244">
        <v>1</v>
      </c>
      <c r="N7928" s="244">
        <v>3</v>
      </c>
      <c r="O7928" s="254">
        <v>1</v>
      </c>
    </row>
    <row r="7929" ht="14.25" spans="1:15">
      <c r="A7929" s="245" t="s">
        <v>22</v>
      </c>
      <c r="B7929" s="52" t="s">
        <v>64</v>
      </c>
      <c r="C7929" s="19">
        <v>0.369565217391304</v>
      </c>
      <c r="D7929" s="246">
        <v>0.142857142857143</v>
      </c>
      <c r="E7929" s="246">
        <v>2</v>
      </c>
      <c r="F7929" s="246">
        <v>0</v>
      </c>
      <c r="G7929" s="246">
        <v>0.25</v>
      </c>
      <c r="H7929" s="246">
        <v>0.5</v>
      </c>
      <c r="I7929" s="246">
        <v>0</v>
      </c>
      <c r="J7929" s="246">
        <v>1.5</v>
      </c>
      <c r="K7929" s="246">
        <v>0.5</v>
      </c>
      <c r="L7929" s="246">
        <v>0.25</v>
      </c>
      <c r="M7929" s="246">
        <v>0.142857142857143</v>
      </c>
      <c r="N7929" s="246">
        <v>1.5</v>
      </c>
      <c r="O7929" s="255">
        <v>0.2</v>
      </c>
    </row>
    <row r="7930" spans="1:15">
      <c r="A7930" s="247" t="s">
        <v>66</v>
      </c>
      <c r="B7930" s="248" t="s">
        <v>55</v>
      </c>
      <c r="C7930" s="12">
        <v>0.0583218072844629</v>
      </c>
      <c r="D7930" s="249">
        <v>0.0549738219895288</v>
      </c>
      <c r="E7930" s="249">
        <v>0.0811965811965812</v>
      </c>
      <c r="F7930" s="249">
        <v>0.0732984293193717</v>
      </c>
      <c r="G7930" s="249">
        <v>0.0732758620689655</v>
      </c>
      <c r="H7930" s="249">
        <v>0.0698324022346369</v>
      </c>
      <c r="I7930" s="249">
        <v>0.0539083557951483</v>
      </c>
      <c r="J7930" s="249">
        <v>0.0438144329896907</v>
      </c>
      <c r="K7930" s="249">
        <v>0.0562770562770563</v>
      </c>
      <c r="L7930" s="249">
        <v>0.0655737704918033</v>
      </c>
      <c r="M7930" s="249">
        <v>0.0449438202247191</v>
      </c>
      <c r="N7930" s="249">
        <v>0.0605381165919283</v>
      </c>
      <c r="O7930" s="256">
        <v>0.0468431771894094</v>
      </c>
    </row>
    <row r="7931" spans="1:15">
      <c r="A7931" s="242" t="s">
        <v>66</v>
      </c>
      <c r="B7931" s="43" t="s">
        <v>57</v>
      </c>
      <c r="C7931" s="15">
        <v>4338</v>
      </c>
      <c r="D7931" s="243">
        <v>382</v>
      </c>
      <c r="E7931" s="243">
        <v>234</v>
      </c>
      <c r="F7931" s="243">
        <v>191</v>
      </c>
      <c r="G7931" s="243">
        <v>232</v>
      </c>
      <c r="H7931" s="243">
        <v>358</v>
      </c>
      <c r="I7931" s="243">
        <v>371</v>
      </c>
      <c r="J7931" s="243">
        <v>388</v>
      </c>
      <c r="K7931" s="243">
        <v>462</v>
      </c>
      <c r="L7931" s="243">
        <v>427</v>
      </c>
      <c r="M7931" s="243">
        <v>356</v>
      </c>
      <c r="N7931" s="243">
        <v>446</v>
      </c>
      <c r="O7931" s="253">
        <v>491</v>
      </c>
    </row>
    <row r="7932" spans="1:15">
      <c r="A7932" s="240" t="s">
        <v>66</v>
      </c>
      <c r="B7932" s="47" t="s">
        <v>59</v>
      </c>
      <c r="C7932" s="15">
        <v>253</v>
      </c>
      <c r="D7932" s="243">
        <v>21</v>
      </c>
      <c r="E7932" s="243">
        <v>19</v>
      </c>
      <c r="F7932" s="243">
        <v>14</v>
      </c>
      <c r="G7932" s="243">
        <v>17</v>
      </c>
      <c r="H7932" s="243">
        <v>25</v>
      </c>
      <c r="I7932" s="243">
        <v>20</v>
      </c>
      <c r="J7932" s="243">
        <v>17</v>
      </c>
      <c r="K7932" s="243">
        <v>26</v>
      </c>
      <c r="L7932" s="243">
        <v>28</v>
      </c>
      <c r="M7932" s="243">
        <v>16</v>
      </c>
      <c r="N7932" s="243">
        <v>27</v>
      </c>
      <c r="O7932" s="253">
        <v>23</v>
      </c>
    </row>
    <row r="7933" spans="1:15">
      <c r="A7933" s="242" t="s">
        <v>66</v>
      </c>
      <c r="B7933" s="43" t="s">
        <v>4</v>
      </c>
      <c r="C7933" s="15">
        <v>5</v>
      </c>
      <c r="D7933" s="244">
        <v>0</v>
      </c>
      <c r="E7933" s="244">
        <v>0</v>
      </c>
      <c r="F7933" s="244">
        <v>0</v>
      </c>
      <c r="G7933" s="244">
        <v>0</v>
      </c>
      <c r="H7933" s="244">
        <v>0</v>
      </c>
      <c r="I7933" s="244">
        <v>0</v>
      </c>
      <c r="J7933" s="244">
        <v>0</v>
      </c>
      <c r="K7933" s="244">
        <v>3</v>
      </c>
      <c r="L7933" s="244">
        <v>0</v>
      </c>
      <c r="M7933" s="244">
        <v>1</v>
      </c>
      <c r="N7933" s="244">
        <v>0</v>
      </c>
      <c r="O7933" s="254">
        <v>1</v>
      </c>
    </row>
    <row r="7934" spans="1:15">
      <c r="A7934" s="240" t="s">
        <v>66</v>
      </c>
      <c r="B7934" s="47" t="s">
        <v>5</v>
      </c>
      <c r="C7934" s="12">
        <v>0.0197628458498024</v>
      </c>
      <c r="D7934" s="241">
        <v>0</v>
      </c>
      <c r="E7934" s="241">
        <v>0</v>
      </c>
      <c r="F7934" s="241">
        <v>0</v>
      </c>
      <c r="G7934" s="241">
        <v>0</v>
      </c>
      <c r="H7934" s="241">
        <v>0</v>
      </c>
      <c r="I7934" s="241">
        <v>0</v>
      </c>
      <c r="J7934" s="241">
        <v>0</v>
      </c>
      <c r="K7934" s="241">
        <v>0.115384615384615</v>
      </c>
      <c r="L7934" s="241">
        <v>0</v>
      </c>
      <c r="M7934" s="241">
        <v>0.0625</v>
      </c>
      <c r="N7934" s="241">
        <v>0</v>
      </c>
      <c r="O7934" s="252">
        <v>0.0434782608695652</v>
      </c>
    </row>
    <row r="7935" spans="1:15">
      <c r="A7935" s="242" t="s">
        <v>66</v>
      </c>
      <c r="B7935" s="43" t="s">
        <v>6</v>
      </c>
      <c r="C7935" s="15">
        <v>3</v>
      </c>
      <c r="D7935" s="244">
        <v>0</v>
      </c>
      <c r="E7935" s="244">
        <v>0</v>
      </c>
      <c r="F7935" s="244">
        <v>0</v>
      </c>
      <c r="G7935" s="244">
        <v>0</v>
      </c>
      <c r="H7935" s="244">
        <v>0</v>
      </c>
      <c r="I7935" s="244">
        <v>0</v>
      </c>
      <c r="J7935" s="244">
        <v>0</v>
      </c>
      <c r="K7935" s="244">
        <v>0</v>
      </c>
      <c r="L7935" s="244">
        <v>1</v>
      </c>
      <c r="M7935" s="244">
        <v>1</v>
      </c>
      <c r="N7935" s="244">
        <v>0</v>
      </c>
      <c r="O7935" s="254">
        <v>1</v>
      </c>
    </row>
    <row r="7936" ht="14.25" spans="1:15">
      <c r="A7936" s="245" t="s">
        <v>66</v>
      </c>
      <c r="B7936" s="52" t="s">
        <v>64</v>
      </c>
      <c r="C7936" s="19">
        <v>0.6</v>
      </c>
      <c r="D7936" s="246">
        <v>0</v>
      </c>
      <c r="E7936" s="246">
        <v>0</v>
      </c>
      <c r="F7936" s="246">
        <v>0</v>
      </c>
      <c r="G7936" s="246">
        <v>0</v>
      </c>
      <c r="H7936" s="246">
        <v>0</v>
      </c>
      <c r="I7936" s="246">
        <v>0</v>
      </c>
      <c r="J7936" s="246">
        <v>0</v>
      </c>
      <c r="K7936" s="246">
        <v>0</v>
      </c>
      <c r="L7936" s="246">
        <v>0</v>
      </c>
      <c r="M7936" s="246">
        <v>1</v>
      </c>
      <c r="N7936" s="246">
        <v>0</v>
      </c>
      <c r="O7936" s="255">
        <v>1</v>
      </c>
    </row>
    <row r="7937" spans="1:15">
      <c r="A7937" s="240" t="s">
        <v>67</v>
      </c>
      <c r="B7937" s="47" t="s">
        <v>55</v>
      </c>
      <c r="C7937" s="12">
        <v>0.485971943887776</v>
      </c>
      <c r="D7937" s="241">
        <v>0.505154639175258</v>
      </c>
      <c r="E7937" s="241">
        <v>0.673469387755102</v>
      </c>
      <c r="F7937" s="241">
        <v>0.347826086956522</v>
      </c>
      <c r="G7937" s="241">
        <v>0.53968253968254</v>
      </c>
      <c r="H7937" s="241">
        <v>0.43859649122807</v>
      </c>
      <c r="I7937" s="241">
        <v>0.472222222222222</v>
      </c>
      <c r="J7937" s="241">
        <v>0.434782608695652</v>
      </c>
      <c r="K7937" s="241">
        <v>0.424</v>
      </c>
      <c r="L7937" s="241">
        <v>0.555555555555556</v>
      </c>
      <c r="M7937" s="241">
        <v>0.597222222222222</v>
      </c>
      <c r="N7937" s="241">
        <v>0.462962962962963</v>
      </c>
      <c r="O7937" s="252">
        <v>0.440366972477064</v>
      </c>
    </row>
    <row r="7938" spans="1:15">
      <c r="A7938" s="242" t="s">
        <v>67</v>
      </c>
      <c r="B7938" s="43" t="s">
        <v>57</v>
      </c>
      <c r="C7938" s="15">
        <v>998</v>
      </c>
      <c r="D7938" s="243">
        <v>97</v>
      </c>
      <c r="E7938" s="243">
        <v>49</v>
      </c>
      <c r="F7938" s="243">
        <v>46</v>
      </c>
      <c r="G7938" s="243">
        <v>63</v>
      </c>
      <c r="H7938" s="243">
        <v>57</v>
      </c>
      <c r="I7938" s="243">
        <v>72</v>
      </c>
      <c r="J7938" s="243">
        <v>92</v>
      </c>
      <c r="K7938" s="243">
        <v>125</v>
      </c>
      <c r="L7938" s="243">
        <v>108</v>
      </c>
      <c r="M7938" s="243">
        <v>72</v>
      </c>
      <c r="N7938" s="243">
        <v>108</v>
      </c>
      <c r="O7938" s="253">
        <v>109</v>
      </c>
    </row>
    <row r="7939" spans="1:15">
      <c r="A7939" s="240" t="s">
        <v>67</v>
      </c>
      <c r="B7939" s="47" t="s">
        <v>59</v>
      </c>
      <c r="C7939" s="15">
        <v>485</v>
      </c>
      <c r="D7939" s="243">
        <v>49</v>
      </c>
      <c r="E7939" s="243">
        <v>33</v>
      </c>
      <c r="F7939" s="243">
        <v>16</v>
      </c>
      <c r="G7939" s="243">
        <v>34</v>
      </c>
      <c r="H7939" s="243">
        <v>25</v>
      </c>
      <c r="I7939" s="243">
        <v>34</v>
      </c>
      <c r="J7939" s="243">
        <v>40</v>
      </c>
      <c r="K7939" s="243">
        <v>53</v>
      </c>
      <c r="L7939" s="243">
        <v>60</v>
      </c>
      <c r="M7939" s="243">
        <v>43</v>
      </c>
      <c r="N7939" s="243">
        <v>50</v>
      </c>
      <c r="O7939" s="253">
        <v>48</v>
      </c>
    </row>
    <row r="7940" spans="1:15">
      <c r="A7940" s="242" t="s">
        <v>67</v>
      </c>
      <c r="B7940" s="43" t="s">
        <v>4</v>
      </c>
      <c r="C7940" s="15">
        <v>22</v>
      </c>
      <c r="D7940" s="244">
        <v>2</v>
      </c>
      <c r="E7940" s="244">
        <v>3</v>
      </c>
      <c r="F7940" s="244">
        <v>1</v>
      </c>
      <c r="G7940" s="244">
        <v>2</v>
      </c>
      <c r="H7940" s="244">
        <v>0</v>
      </c>
      <c r="I7940" s="244">
        <v>1</v>
      </c>
      <c r="J7940" s="244">
        <v>2</v>
      </c>
      <c r="K7940" s="244">
        <v>3</v>
      </c>
      <c r="L7940" s="244">
        <v>1</v>
      </c>
      <c r="M7940" s="244">
        <v>2</v>
      </c>
      <c r="N7940" s="244">
        <v>3</v>
      </c>
      <c r="O7940" s="254">
        <v>2</v>
      </c>
    </row>
    <row r="7941" spans="1:15">
      <c r="A7941" s="240" t="s">
        <v>67</v>
      </c>
      <c r="B7941" s="47" t="s">
        <v>5</v>
      </c>
      <c r="C7941" s="12">
        <v>0.045360824742268</v>
      </c>
      <c r="D7941" s="241">
        <v>0.0408163265306122</v>
      </c>
      <c r="E7941" s="241">
        <v>0.0909090909090909</v>
      </c>
      <c r="F7941" s="241">
        <v>0.0625</v>
      </c>
      <c r="G7941" s="241">
        <v>0.0588235294117647</v>
      </c>
      <c r="H7941" s="241">
        <v>0</v>
      </c>
      <c r="I7941" s="241">
        <v>0.0294117647058824</v>
      </c>
      <c r="J7941" s="241">
        <v>0.05</v>
      </c>
      <c r="K7941" s="241">
        <v>0.0566037735849057</v>
      </c>
      <c r="L7941" s="241">
        <v>0.0166666666666667</v>
      </c>
      <c r="M7941" s="241">
        <v>0.0465116279069767</v>
      </c>
      <c r="N7941" s="241">
        <v>0.06</v>
      </c>
      <c r="O7941" s="252">
        <v>0.0416666666666667</v>
      </c>
    </row>
    <row r="7942" spans="1:15">
      <c r="A7942" s="242" t="s">
        <v>67</v>
      </c>
      <c r="B7942" s="43" t="s">
        <v>6</v>
      </c>
      <c r="C7942" s="15">
        <v>10</v>
      </c>
      <c r="D7942" s="244">
        <v>1</v>
      </c>
      <c r="E7942" s="244">
        <v>1</v>
      </c>
      <c r="F7942" s="244">
        <v>0</v>
      </c>
      <c r="G7942" s="244">
        <v>0</v>
      </c>
      <c r="H7942" s="244">
        <v>0</v>
      </c>
      <c r="I7942" s="244">
        <v>2</v>
      </c>
      <c r="J7942" s="244">
        <v>2</v>
      </c>
      <c r="K7942" s="244">
        <v>0</v>
      </c>
      <c r="L7942" s="244">
        <v>1</v>
      </c>
      <c r="M7942" s="244">
        <v>1</v>
      </c>
      <c r="N7942" s="244">
        <v>2</v>
      </c>
      <c r="O7942" s="254">
        <v>0</v>
      </c>
    </row>
    <row r="7943" ht="14.25" spans="1:15">
      <c r="A7943" s="245" t="s">
        <v>67</v>
      </c>
      <c r="B7943" s="52" t="s">
        <v>64</v>
      </c>
      <c r="C7943" s="19">
        <v>0.454545454545455</v>
      </c>
      <c r="D7943" s="246">
        <v>0.5</v>
      </c>
      <c r="E7943" s="246">
        <v>0.333333333333333</v>
      </c>
      <c r="F7943" s="246">
        <v>0</v>
      </c>
      <c r="G7943" s="246">
        <v>0</v>
      </c>
      <c r="H7943" s="246">
        <v>0</v>
      </c>
      <c r="I7943" s="246">
        <v>2</v>
      </c>
      <c r="J7943" s="246">
        <v>1</v>
      </c>
      <c r="K7943" s="246">
        <v>0</v>
      </c>
      <c r="L7943" s="246">
        <v>1</v>
      </c>
      <c r="M7943" s="246">
        <v>0.5</v>
      </c>
      <c r="N7943" s="246">
        <v>0.666666666666667</v>
      </c>
      <c r="O7943" s="255">
        <v>0</v>
      </c>
    </row>
    <row r="7944" spans="1:15">
      <c r="A7944" s="240" t="s">
        <v>68</v>
      </c>
      <c r="B7944" s="47" t="s">
        <v>55</v>
      </c>
      <c r="C7944" s="12">
        <v>0.0421028146080484</v>
      </c>
      <c r="D7944" s="241">
        <v>0.0612431444241316</v>
      </c>
      <c r="E7944" s="241">
        <v>0.0727969348659004</v>
      </c>
      <c r="F7944" s="241">
        <v>0.0809248554913295</v>
      </c>
      <c r="G7944" s="241">
        <v>0.105113636363636</v>
      </c>
      <c r="H7944" s="241">
        <v>0.0633802816901408</v>
      </c>
      <c r="I7944" s="241">
        <v>0.0277777777777778</v>
      </c>
      <c r="J7944" s="241">
        <v>0.0342706502636204</v>
      </c>
      <c r="K7944" s="241">
        <v>0.0306122448979592</v>
      </c>
      <c r="L7944" s="241">
        <v>0.0261569416498994</v>
      </c>
      <c r="M7944" s="241">
        <v>0.0357737104825291</v>
      </c>
      <c r="N7944" s="241">
        <v>0.0328697850821745</v>
      </c>
      <c r="O7944" s="252">
        <v>0.041256157635468</v>
      </c>
    </row>
    <row r="7945" spans="1:15">
      <c r="A7945" s="242" t="s">
        <v>68</v>
      </c>
      <c r="B7945" s="43" t="s">
        <v>57</v>
      </c>
      <c r="C7945" s="15">
        <v>12897</v>
      </c>
      <c r="D7945" s="243">
        <v>1094</v>
      </c>
      <c r="E7945" s="243">
        <v>522</v>
      </c>
      <c r="F7945" s="243">
        <v>346</v>
      </c>
      <c r="G7945" s="243">
        <v>352</v>
      </c>
      <c r="H7945" s="243">
        <v>852</v>
      </c>
      <c r="I7945" s="243">
        <v>1224</v>
      </c>
      <c r="J7945" s="243">
        <v>1138</v>
      </c>
      <c r="K7945" s="243">
        <v>1470</v>
      </c>
      <c r="L7945" s="243">
        <v>1491</v>
      </c>
      <c r="M7945" s="243">
        <v>1202</v>
      </c>
      <c r="N7945" s="243">
        <v>1582</v>
      </c>
      <c r="O7945" s="253">
        <v>1624</v>
      </c>
    </row>
    <row r="7946" spans="1:15">
      <c r="A7946" s="240" t="s">
        <v>68</v>
      </c>
      <c r="B7946" s="47" t="s">
        <v>59</v>
      </c>
      <c r="C7946" s="15">
        <v>543</v>
      </c>
      <c r="D7946" s="243">
        <v>67</v>
      </c>
      <c r="E7946" s="243">
        <v>38</v>
      </c>
      <c r="F7946" s="243">
        <v>28</v>
      </c>
      <c r="G7946" s="243">
        <v>37</v>
      </c>
      <c r="H7946" s="243">
        <v>54</v>
      </c>
      <c r="I7946" s="243">
        <v>34</v>
      </c>
      <c r="J7946" s="243">
        <v>39</v>
      </c>
      <c r="K7946" s="243">
        <v>45</v>
      </c>
      <c r="L7946" s="243">
        <v>39</v>
      </c>
      <c r="M7946" s="243">
        <v>43</v>
      </c>
      <c r="N7946" s="243">
        <v>52</v>
      </c>
      <c r="O7946" s="253">
        <v>67</v>
      </c>
    </row>
    <row r="7947" spans="1:15">
      <c r="A7947" s="242" t="s">
        <v>68</v>
      </c>
      <c r="B7947" s="43" t="s">
        <v>4</v>
      </c>
      <c r="C7947" s="15">
        <v>39</v>
      </c>
      <c r="D7947" s="244">
        <v>4</v>
      </c>
      <c r="E7947" s="244">
        <v>2</v>
      </c>
      <c r="F7947" s="244">
        <v>1</v>
      </c>
      <c r="G7947" s="244">
        <v>2</v>
      </c>
      <c r="H7947" s="244">
        <v>3</v>
      </c>
      <c r="I7947" s="244">
        <v>3</v>
      </c>
      <c r="J7947" s="244">
        <v>6</v>
      </c>
      <c r="K7947" s="244">
        <v>3</v>
      </c>
      <c r="L7947" s="244">
        <v>3</v>
      </c>
      <c r="M7947" s="244">
        <v>4</v>
      </c>
      <c r="N7947" s="244">
        <v>5</v>
      </c>
      <c r="O7947" s="254">
        <v>3</v>
      </c>
    </row>
    <row r="7948" spans="1:15">
      <c r="A7948" s="240" t="s">
        <v>68</v>
      </c>
      <c r="B7948" s="47" t="s">
        <v>5</v>
      </c>
      <c r="C7948" s="12">
        <v>0.0718232044198895</v>
      </c>
      <c r="D7948" s="241">
        <v>0.0597014925373134</v>
      </c>
      <c r="E7948" s="241">
        <v>0.0526315789473684</v>
      </c>
      <c r="F7948" s="241">
        <v>0.0357142857142857</v>
      </c>
      <c r="G7948" s="241">
        <v>0.0540540540540541</v>
      </c>
      <c r="H7948" s="241">
        <v>0.0555555555555556</v>
      </c>
      <c r="I7948" s="241">
        <v>0.0882352941176471</v>
      </c>
      <c r="J7948" s="241">
        <v>0.153846153846154</v>
      </c>
      <c r="K7948" s="241">
        <v>0.0666666666666667</v>
      </c>
      <c r="L7948" s="241">
        <v>0.0769230769230769</v>
      </c>
      <c r="M7948" s="241">
        <v>0.0930232558139535</v>
      </c>
      <c r="N7948" s="241">
        <v>0.0961538461538462</v>
      </c>
      <c r="O7948" s="252">
        <v>0.0447761194029851</v>
      </c>
    </row>
    <row r="7949" spans="1:15">
      <c r="A7949" s="242" t="s">
        <v>68</v>
      </c>
      <c r="B7949" s="43" t="s">
        <v>6</v>
      </c>
      <c r="C7949" s="15">
        <v>15</v>
      </c>
      <c r="D7949" s="244">
        <v>2</v>
      </c>
      <c r="E7949" s="244">
        <v>0</v>
      </c>
      <c r="F7949" s="244">
        <v>0</v>
      </c>
      <c r="G7949" s="244">
        <v>0</v>
      </c>
      <c r="H7949" s="244">
        <v>1</v>
      </c>
      <c r="I7949" s="244">
        <v>2</v>
      </c>
      <c r="J7949" s="244">
        <v>1</v>
      </c>
      <c r="K7949" s="244">
        <v>3</v>
      </c>
      <c r="L7949" s="244">
        <v>0</v>
      </c>
      <c r="M7949" s="244">
        <v>2</v>
      </c>
      <c r="N7949" s="244">
        <v>1</v>
      </c>
      <c r="O7949" s="254">
        <v>3</v>
      </c>
    </row>
    <row r="7950" ht="14.25" spans="1:15">
      <c r="A7950" s="245" t="s">
        <v>68</v>
      </c>
      <c r="B7950" s="52" t="s">
        <v>64</v>
      </c>
      <c r="C7950" s="19">
        <v>0.384615384615385</v>
      </c>
      <c r="D7950" s="246">
        <v>0.5</v>
      </c>
      <c r="E7950" s="246">
        <v>0</v>
      </c>
      <c r="F7950" s="246">
        <v>0</v>
      </c>
      <c r="G7950" s="246">
        <v>0</v>
      </c>
      <c r="H7950" s="246">
        <v>0.333333333333333</v>
      </c>
      <c r="I7950" s="246">
        <v>0.666666666666667</v>
      </c>
      <c r="J7950" s="246">
        <v>0.166666666666667</v>
      </c>
      <c r="K7950" s="246">
        <v>1</v>
      </c>
      <c r="L7950" s="246">
        <v>0</v>
      </c>
      <c r="M7950" s="246">
        <v>0.5</v>
      </c>
      <c r="N7950" s="246">
        <v>0.2</v>
      </c>
      <c r="O7950" s="255">
        <v>1</v>
      </c>
    </row>
    <row r="7951" spans="1:15">
      <c r="A7951" s="240" t="s">
        <v>69</v>
      </c>
      <c r="B7951" s="47" t="s">
        <v>55</v>
      </c>
      <c r="C7951" s="12">
        <v>0.852112676056338</v>
      </c>
      <c r="D7951" s="241">
        <v>0.961538461538462</v>
      </c>
      <c r="E7951" s="241">
        <v>1</v>
      </c>
      <c r="F7951" s="241">
        <v>1.2</v>
      </c>
      <c r="G7951" s="241">
        <v>0.764705882352941</v>
      </c>
      <c r="H7951" s="241">
        <v>0.625</v>
      </c>
      <c r="I7951" s="241">
        <v>1.08333333333333</v>
      </c>
      <c r="J7951" s="241">
        <v>0.8</v>
      </c>
      <c r="K7951" s="241">
        <v>1</v>
      </c>
      <c r="L7951" s="241">
        <v>0.6875</v>
      </c>
      <c r="M7951" s="241">
        <v>0.894736842105263</v>
      </c>
      <c r="N7951" s="241">
        <v>0.754716981132076</v>
      </c>
      <c r="O7951" s="252">
        <v>0.967741935483871</v>
      </c>
    </row>
    <row r="7952" spans="1:15">
      <c r="A7952" s="242" t="s">
        <v>69</v>
      </c>
      <c r="B7952" s="43" t="s">
        <v>57</v>
      </c>
      <c r="C7952" s="15">
        <v>284</v>
      </c>
      <c r="D7952" s="243">
        <v>26</v>
      </c>
      <c r="E7952" s="243">
        <v>11</v>
      </c>
      <c r="F7952" s="243">
        <v>10</v>
      </c>
      <c r="G7952" s="243">
        <v>17</v>
      </c>
      <c r="H7952" s="243">
        <v>8</v>
      </c>
      <c r="I7952" s="243">
        <v>12</v>
      </c>
      <c r="J7952" s="243">
        <v>30</v>
      </c>
      <c r="K7952" s="243">
        <v>19</v>
      </c>
      <c r="L7952" s="243">
        <v>48</v>
      </c>
      <c r="M7952" s="243">
        <v>19</v>
      </c>
      <c r="N7952" s="243">
        <v>53</v>
      </c>
      <c r="O7952" s="253">
        <v>31</v>
      </c>
    </row>
    <row r="7953" spans="1:15">
      <c r="A7953" s="240" t="s">
        <v>69</v>
      </c>
      <c r="B7953" s="47" t="s">
        <v>59</v>
      </c>
      <c r="C7953" s="15">
        <v>242</v>
      </c>
      <c r="D7953" s="243">
        <v>25</v>
      </c>
      <c r="E7953" s="243">
        <v>11</v>
      </c>
      <c r="F7953" s="243">
        <v>12</v>
      </c>
      <c r="G7953" s="243">
        <v>13</v>
      </c>
      <c r="H7953" s="243">
        <v>5</v>
      </c>
      <c r="I7953" s="243">
        <v>13</v>
      </c>
      <c r="J7953" s="243">
        <v>24</v>
      </c>
      <c r="K7953" s="243">
        <v>19</v>
      </c>
      <c r="L7953" s="243">
        <v>33</v>
      </c>
      <c r="M7953" s="243">
        <v>17</v>
      </c>
      <c r="N7953" s="243">
        <v>40</v>
      </c>
      <c r="O7953" s="253">
        <v>30</v>
      </c>
    </row>
    <row r="7954" spans="1:15">
      <c r="A7954" s="242" t="s">
        <v>69</v>
      </c>
      <c r="B7954" s="43" t="s">
        <v>4</v>
      </c>
      <c r="C7954" s="15">
        <v>5</v>
      </c>
      <c r="D7954" s="244">
        <v>1</v>
      </c>
      <c r="E7954" s="244">
        <v>1</v>
      </c>
      <c r="F7954" s="244">
        <v>1</v>
      </c>
      <c r="G7954" s="244">
        <v>1</v>
      </c>
      <c r="H7954" s="244">
        <v>0</v>
      </c>
      <c r="I7954" s="244">
        <v>0</v>
      </c>
      <c r="J7954" s="244">
        <v>0</v>
      </c>
      <c r="K7954" s="244">
        <v>1</v>
      </c>
      <c r="L7954" s="244">
        <v>0</v>
      </c>
      <c r="M7954" s="244">
        <v>0</v>
      </c>
      <c r="N7954" s="244">
        <v>0</v>
      </c>
      <c r="O7954" s="254">
        <v>0</v>
      </c>
    </row>
    <row r="7955" spans="1:15">
      <c r="A7955" s="240" t="s">
        <v>69</v>
      </c>
      <c r="B7955" s="47" t="s">
        <v>5</v>
      </c>
      <c r="C7955" s="12">
        <v>0.0206611570247934</v>
      </c>
      <c r="D7955" s="241">
        <v>0.04</v>
      </c>
      <c r="E7955" s="241">
        <v>0.0909090909090909</v>
      </c>
      <c r="F7955" s="241">
        <v>0.0833333333333333</v>
      </c>
      <c r="G7955" s="241">
        <v>0.0769230769230769</v>
      </c>
      <c r="H7955" s="241">
        <v>0</v>
      </c>
      <c r="I7955" s="241">
        <v>0</v>
      </c>
      <c r="J7955" s="241">
        <v>0</v>
      </c>
      <c r="K7955" s="241">
        <v>0.0526315789473684</v>
      </c>
      <c r="L7955" s="241">
        <v>0</v>
      </c>
      <c r="M7955" s="241">
        <v>0</v>
      </c>
      <c r="N7955" s="241">
        <v>0</v>
      </c>
      <c r="O7955" s="252">
        <v>0</v>
      </c>
    </row>
    <row r="7956" spans="1:15">
      <c r="A7956" s="242" t="s">
        <v>69</v>
      </c>
      <c r="B7956" s="43" t="s">
        <v>6</v>
      </c>
      <c r="C7956" s="15">
        <v>4</v>
      </c>
      <c r="D7956" s="244">
        <v>0</v>
      </c>
      <c r="E7956" s="244">
        <v>1</v>
      </c>
      <c r="F7956" s="244">
        <v>1</v>
      </c>
      <c r="G7956" s="244">
        <v>1</v>
      </c>
      <c r="H7956" s="244">
        <v>0</v>
      </c>
      <c r="I7956" s="244">
        <v>0</v>
      </c>
      <c r="J7956" s="244">
        <v>0</v>
      </c>
      <c r="K7956" s="244">
        <v>1</v>
      </c>
      <c r="L7956" s="244">
        <v>0</v>
      </c>
      <c r="M7956" s="244">
        <v>0</v>
      </c>
      <c r="N7956" s="244">
        <v>0</v>
      </c>
      <c r="O7956" s="254">
        <v>0</v>
      </c>
    </row>
    <row r="7957" ht="14.25" spans="1:15">
      <c r="A7957" s="245" t="s">
        <v>69</v>
      </c>
      <c r="B7957" s="52" t="s">
        <v>64</v>
      </c>
      <c r="C7957" s="19">
        <v>0.8</v>
      </c>
      <c r="D7957" s="246">
        <v>0</v>
      </c>
      <c r="E7957" s="246">
        <v>1</v>
      </c>
      <c r="F7957" s="246">
        <v>1</v>
      </c>
      <c r="G7957" s="246">
        <v>1</v>
      </c>
      <c r="H7957" s="246">
        <v>0</v>
      </c>
      <c r="I7957" s="246">
        <v>0</v>
      </c>
      <c r="J7957" s="246">
        <v>0</v>
      </c>
      <c r="K7957" s="246">
        <v>1</v>
      </c>
      <c r="L7957" s="246">
        <v>0</v>
      </c>
      <c r="M7957" s="246">
        <v>0</v>
      </c>
      <c r="N7957" s="246">
        <v>0</v>
      </c>
      <c r="O7957" s="255">
        <v>0</v>
      </c>
    </row>
    <row r="7958" spans="1:15">
      <c r="A7958" s="240" t="s">
        <v>70</v>
      </c>
      <c r="B7958" s="47" t="s">
        <v>55</v>
      </c>
      <c r="C7958" s="12">
        <v>2.94</v>
      </c>
      <c r="D7958" s="241">
        <v>1.55882352941176</v>
      </c>
      <c r="E7958" s="241">
        <v>4</v>
      </c>
      <c r="F7958" s="241">
        <v>3.8</v>
      </c>
      <c r="G7958" s="241">
        <v>1.71428571428571</v>
      </c>
      <c r="H7958" s="241">
        <v>4.7</v>
      </c>
      <c r="I7958" s="241">
        <v>2.38888888888889</v>
      </c>
      <c r="J7958" s="241">
        <v>2.75</v>
      </c>
      <c r="K7958" s="241">
        <v>3.04761904761905</v>
      </c>
      <c r="L7958" s="241">
        <v>2.64516129032258</v>
      </c>
      <c r="M7958" s="241">
        <v>3.61538461538462</v>
      </c>
      <c r="N7958" s="241">
        <v>5.4</v>
      </c>
      <c r="O7958" s="252">
        <v>3.07692307692308</v>
      </c>
    </row>
    <row r="7959" spans="1:15">
      <c r="A7959" s="242" t="s">
        <v>70</v>
      </c>
      <c r="B7959" s="43" t="s">
        <v>57</v>
      </c>
      <c r="C7959" s="15">
        <v>200</v>
      </c>
      <c r="D7959" s="243">
        <v>34</v>
      </c>
      <c r="E7959" s="243">
        <v>4</v>
      </c>
      <c r="F7959" s="243">
        <v>5</v>
      </c>
      <c r="G7959" s="243">
        <v>7</v>
      </c>
      <c r="H7959" s="243">
        <v>10</v>
      </c>
      <c r="I7959" s="243">
        <v>18</v>
      </c>
      <c r="J7959" s="243">
        <v>16</v>
      </c>
      <c r="K7959" s="243">
        <v>21</v>
      </c>
      <c r="L7959" s="243">
        <v>31</v>
      </c>
      <c r="M7959" s="243">
        <v>13</v>
      </c>
      <c r="N7959" s="243">
        <v>15</v>
      </c>
      <c r="O7959" s="253">
        <v>26</v>
      </c>
    </row>
    <row r="7960" spans="1:15">
      <c r="A7960" s="240" t="s">
        <v>70</v>
      </c>
      <c r="B7960" s="47" t="s">
        <v>59</v>
      </c>
      <c r="C7960" s="15">
        <v>588</v>
      </c>
      <c r="D7960" s="243">
        <v>53</v>
      </c>
      <c r="E7960" s="243">
        <v>16</v>
      </c>
      <c r="F7960" s="243">
        <v>19</v>
      </c>
      <c r="G7960" s="243">
        <v>12</v>
      </c>
      <c r="H7960" s="243">
        <v>47</v>
      </c>
      <c r="I7960" s="243">
        <v>43</v>
      </c>
      <c r="J7960" s="243">
        <v>44</v>
      </c>
      <c r="K7960" s="243">
        <v>64</v>
      </c>
      <c r="L7960" s="243">
        <v>82</v>
      </c>
      <c r="M7960" s="243">
        <v>47</v>
      </c>
      <c r="N7960" s="243">
        <v>81</v>
      </c>
      <c r="O7960" s="253">
        <v>80</v>
      </c>
    </row>
    <row r="7961" spans="1:15">
      <c r="A7961" s="242" t="s">
        <v>70</v>
      </c>
      <c r="B7961" s="43" t="s">
        <v>4</v>
      </c>
      <c r="C7961" s="15">
        <v>17</v>
      </c>
      <c r="D7961" s="244">
        <v>3</v>
      </c>
      <c r="E7961" s="244">
        <v>1</v>
      </c>
      <c r="F7961" s="244">
        <v>1</v>
      </c>
      <c r="G7961" s="244">
        <v>1</v>
      </c>
      <c r="H7961" s="244">
        <v>0</v>
      </c>
      <c r="I7961" s="244">
        <v>1</v>
      </c>
      <c r="J7961" s="244">
        <v>5</v>
      </c>
      <c r="K7961" s="244">
        <v>2</v>
      </c>
      <c r="L7961" s="244">
        <v>1</v>
      </c>
      <c r="M7961" s="244">
        <v>1</v>
      </c>
      <c r="N7961" s="244">
        <v>1</v>
      </c>
      <c r="O7961" s="254">
        <v>0</v>
      </c>
    </row>
    <row r="7962" spans="1:15">
      <c r="A7962" s="240" t="s">
        <v>70</v>
      </c>
      <c r="B7962" s="47" t="s">
        <v>5</v>
      </c>
      <c r="C7962" s="12">
        <v>0.0289115646258503</v>
      </c>
      <c r="D7962" s="241">
        <v>0.0566037735849057</v>
      </c>
      <c r="E7962" s="241">
        <v>0.0625</v>
      </c>
      <c r="F7962" s="241">
        <v>0.0526315789473684</v>
      </c>
      <c r="G7962" s="241">
        <v>0.0833333333333333</v>
      </c>
      <c r="H7962" s="241">
        <v>0</v>
      </c>
      <c r="I7962" s="241">
        <v>0.0232558139534884</v>
      </c>
      <c r="J7962" s="241">
        <v>0.113636363636364</v>
      </c>
      <c r="K7962" s="241">
        <v>0.03125</v>
      </c>
      <c r="L7962" s="241">
        <v>0.0121951219512195</v>
      </c>
      <c r="M7962" s="241">
        <v>0.0212765957446809</v>
      </c>
      <c r="N7962" s="241">
        <v>0.0123456790123457</v>
      </c>
      <c r="O7962" s="252">
        <v>0</v>
      </c>
    </row>
    <row r="7963" spans="1:15">
      <c r="A7963" s="242" t="s">
        <v>70</v>
      </c>
      <c r="B7963" s="43" t="s">
        <v>6</v>
      </c>
      <c r="C7963" s="15">
        <v>8</v>
      </c>
      <c r="D7963" s="244">
        <v>2</v>
      </c>
      <c r="E7963" s="244">
        <v>1</v>
      </c>
      <c r="F7963" s="244">
        <v>1</v>
      </c>
      <c r="G7963" s="244">
        <v>0</v>
      </c>
      <c r="H7963" s="244">
        <v>0</v>
      </c>
      <c r="I7963" s="244">
        <v>1</v>
      </c>
      <c r="J7963" s="244">
        <v>2</v>
      </c>
      <c r="K7963" s="244">
        <v>0</v>
      </c>
      <c r="L7963" s="244">
        <v>0</v>
      </c>
      <c r="M7963" s="244">
        <v>1</v>
      </c>
      <c r="N7963" s="244">
        <v>0</v>
      </c>
      <c r="O7963" s="254">
        <v>0</v>
      </c>
    </row>
    <row r="7964" ht="14.25" spans="1:15">
      <c r="A7964" s="245" t="s">
        <v>70</v>
      </c>
      <c r="B7964" s="52" t="s">
        <v>64</v>
      </c>
      <c r="C7964" s="19">
        <v>0.470588235294118</v>
      </c>
      <c r="D7964" s="246">
        <v>0.666666666666667</v>
      </c>
      <c r="E7964" s="246">
        <v>1</v>
      </c>
      <c r="F7964" s="246">
        <v>1</v>
      </c>
      <c r="G7964" s="246">
        <v>0</v>
      </c>
      <c r="H7964" s="246">
        <v>0</v>
      </c>
      <c r="I7964" s="246">
        <v>1</v>
      </c>
      <c r="J7964" s="246">
        <v>0.4</v>
      </c>
      <c r="K7964" s="246">
        <v>0</v>
      </c>
      <c r="L7964" s="246">
        <v>0</v>
      </c>
      <c r="M7964" s="246">
        <v>1</v>
      </c>
      <c r="N7964" s="246">
        <v>0</v>
      </c>
      <c r="O7964" s="255">
        <v>0</v>
      </c>
    </row>
    <row r="7965" spans="1:15">
      <c r="A7965" s="240" t="s">
        <v>26</v>
      </c>
      <c r="B7965" s="47" t="s">
        <v>55</v>
      </c>
      <c r="C7965" s="12">
        <v>0.949725776965265</v>
      </c>
      <c r="D7965" s="241">
        <v>0.973544973544973</v>
      </c>
      <c r="E7965" s="241">
        <v>0.973684210526316</v>
      </c>
      <c r="F7965" s="241">
        <v>0.857142857142857</v>
      </c>
      <c r="G7965" s="241">
        <v>1</v>
      </c>
      <c r="H7965" s="241">
        <v>1.03932584269663</v>
      </c>
      <c r="I7965" s="241">
        <v>1.06976744186047</v>
      </c>
      <c r="J7965" s="241">
        <v>1.00970873786408</v>
      </c>
      <c r="K7965" s="241">
        <v>0.932432432432432</v>
      </c>
      <c r="L7965" s="241">
        <v>0.859649122807018</v>
      </c>
      <c r="M7965" s="241">
        <v>0.909090909090909</v>
      </c>
      <c r="N7965" s="241">
        <v>0.928571428571429</v>
      </c>
      <c r="O7965" s="252">
        <v>0.904109589041096</v>
      </c>
    </row>
    <row r="7966" spans="1:15">
      <c r="A7966" s="242" t="s">
        <v>26</v>
      </c>
      <c r="B7966" s="43" t="s">
        <v>57</v>
      </c>
      <c r="C7966" s="15">
        <v>2188</v>
      </c>
      <c r="D7966" s="243">
        <v>189</v>
      </c>
      <c r="E7966" s="243">
        <v>114</v>
      </c>
      <c r="F7966" s="243">
        <v>84</v>
      </c>
      <c r="G7966" s="243">
        <v>83</v>
      </c>
      <c r="H7966" s="243">
        <v>178</v>
      </c>
      <c r="I7966" s="243">
        <v>172</v>
      </c>
      <c r="J7966" s="243">
        <v>206</v>
      </c>
      <c r="K7966" s="243">
        <v>222</v>
      </c>
      <c r="L7966" s="243">
        <v>285</v>
      </c>
      <c r="M7966" s="243">
        <v>198</v>
      </c>
      <c r="N7966" s="243">
        <v>238</v>
      </c>
      <c r="O7966" s="253">
        <v>219</v>
      </c>
    </row>
    <row r="7967" spans="1:15">
      <c r="A7967" s="240" t="s">
        <v>26</v>
      </c>
      <c r="B7967" s="47" t="s">
        <v>59</v>
      </c>
      <c r="C7967" s="15">
        <v>2078</v>
      </c>
      <c r="D7967" s="243">
        <v>184</v>
      </c>
      <c r="E7967" s="243">
        <v>111</v>
      </c>
      <c r="F7967" s="243">
        <v>72</v>
      </c>
      <c r="G7967" s="243">
        <v>83</v>
      </c>
      <c r="H7967" s="243">
        <v>185</v>
      </c>
      <c r="I7967" s="243">
        <v>184</v>
      </c>
      <c r="J7967" s="243">
        <v>208</v>
      </c>
      <c r="K7967" s="243">
        <v>207</v>
      </c>
      <c r="L7967" s="243">
        <v>245</v>
      </c>
      <c r="M7967" s="243">
        <v>180</v>
      </c>
      <c r="N7967" s="243">
        <v>221</v>
      </c>
      <c r="O7967" s="253">
        <v>198</v>
      </c>
    </row>
    <row r="7968" spans="1:15">
      <c r="A7968" s="242" t="s">
        <v>26</v>
      </c>
      <c r="B7968" s="43" t="s">
        <v>4</v>
      </c>
      <c r="C7968" s="15">
        <v>29</v>
      </c>
      <c r="D7968" s="244">
        <v>2</v>
      </c>
      <c r="E7968" s="244">
        <v>4</v>
      </c>
      <c r="F7968" s="244">
        <v>1</v>
      </c>
      <c r="G7968" s="244">
        <v>1</v>
      </c>
      <c r="H7968" s="244">
        <v>1</v>
      </c>
      <c r="I7968" s="244">
        <v>2</v>
      </c>
      <c r="J7968" s="244">
        <v>1</v>
      </c>
      <c r="K7968" s="244">
        <v>4</v>
      </c>
      <c r="L7968" s="244">
        <v>1</v>
      </c>
      <c r="M7968" s="244">
        <v>4</v>
      </c>
      <c r="N7968" s="244">
        <v>3</v>
      </c>
      <c r="O7968" s="254">
        <v>5</v>
      </c>
    </row>
    <row r="7969" spans="1:15">
      <c r="A7969" s="240" t="s">
        <v>26</v>
      </c>
      <c r="B7969" s="47" t="s">
        <v>5</v>
      </c>
      <c r="C7969" s="12">
        <v>0.0139557266602502</v>
      </c>
      <c r="D7969" s="241">
        <v>0.0108695652173913</v>
      </c>
      <c r="E7969" s="241">
        <v>0.036036036036036</v>
      </c>
      <c r="F7969" s="241">
        <v>0.0138888888888889</v>
      </c>
      <c r="G7969" s="241">
        <v>0.0120481927710843</v>
      </c>
      <c r="H7969" s="241">
        <v>0.00540540540540541</v>
      </c>
      <c r="I7969" s="241">
        <v>0.0108695652173913</v>
      </c>
      <c r="J7969" s="241">
        <v>0.00480769230769231</v>
      </c>
      <c r="K7969" s="241">
        <v>0.0193236714975845</v>
      </c>
      <c r="L7969" s="241">
        <v>0.00408163265306122</v>
      </c>
      <c r="M7969" s="241">
        <v>0.0222222222222222</v>
      </c>
      <c r="N7969" s="241">
        <v>0.0135746606334842</v>
      </c>
      <c r="O7969" s="252">
        <v>0.0252525252525253</v>
      </c>
    </row>
    <row r="7970" spans="1:15">
      <c r="A7970" s="242" t="s">
        <v>26</v>
      </c>
      <c r="B7970" s="43" t="s">
        <v>6</v>
      </c>
      <c r="C7970" s="15">
        <v>13</v>
      </c>
      <c r="D7970" s="244">
        <v>1</v>
      </c>
      <c r="E7970" s="244">
        <v>2</v>
      </c>
      <c r="F7970" s="244">
        <v>0</v>
      </c>
      <c r="G7970" s="244">
        <v>1</v>
      </c>
      <c r="H7970" s="244">
        <v>0</v>
      </c>
      <c r="I7970" s="244">
        <v>2</v>
      </c>
      <c r="J7970" s="244">
        <v>0</v>
      </c>
      <c r="K7970" s="244">
        <v>2</v>
      </c>
      <c r="L7970" s="244">
        <v>2</v>
      </c>
      <c r="M7970" s="244">
        <v>1</v>
      </c>
      <c r="N7970" s="244">
        <v>1</v>
      </c>
      <c r="O7970" s="254">
        <v>1</v>
      </c>
    </row>
    <row r="7971" ht="14.25" spans="1:15">
      <c r="A7971" s="245" t="s">
        <v>26</v>
      </c>
      <c r="B7971" s="52" t="s">
        <v>64</v>
      </c>
      <c r="C7971" s="19">
        <v>0.448275862068966</v>
      </c>
      <c r="D7971" s="19">
        <v>0.5</v>
      </c>
      <c r="E7971" s="19">
        <v>0.5</v>
      </c>
      <c r="F7971" s="19">
        <v>0</v>
      </c>
      <c r="G7971" s="19">
        <v>1</v>
      </c>
      <c r="H7971" s="19">
        <v>0</v>
      </c>
      <c r="I7971" s="19">
        <v>1</v>
      </c>
      <c r="J7971" s="19">
        <v>0</v>
      </c>
      <c r="K7971" s="19">
        <v>0.5</v>
      </c>
      <c r="L7971" s="19">
        <v>2</v>
      </c>
      <c r="M7971" s="19">
        <v>0.25</v>
      </c>
      <c r="N7971" s="19">
        <v>0.333333333333333</v>
      </c>
      <c r="O7971" s="19">
        <v>0.2</v>
      </c>
    </row>
    <row r="7972" spans="1:15">
      <c r="A7972" s="240" t="s">
        <v>71</v>
      </c>
      <c r="B7972" s="47" t="s">
        <v>55</v>
      </c>
      <c r="C7972" s="12" t="e">
        <v>#DIV/0!</v>
      </c>
      <c r="D7972" s="241" t="e">
        <v>#DIV/0!</v>
      </c>
      <c r="E7972" s="241" t="e">
        <v>#DIV/0!</v>
      </c>
      <c r="F7972" s="241" t="e">
        <v>#DIV/0!</v>
      </c>
      <c r="G7972" s="241" t="e">
        <v>#DIV/0!</v>
      </c>
      <c r="H7972" s="241" t="e">
        <v>#DIV/0!</v>
      </c>
      <c r="I7972" s="241" t="e">
        <v>#DIV/0!</v>
      </c>
      <c r="J7972" s="241" t="e">
        <v>#DIV/0!</v>
      </c>
      <c r="K7972" s="241" t="e">
        <v>#DIV/0!</v>
      </c>
      <c r="L7972" s="241" t="e">
        <v>#DIV/0!</v>
      </c>
      <c r="M7972" s="241" t="e">
        <v>#DIV/0!</v>
      </c>
      <c r="N7972" s="241" t="e">
        <v>#DIV/0!</v>
      </c>
      <c r="O7972" s="252" t="e">
        <v>#DIV/0!</v>
      </c>
    </row>
    <row r="7973" spans="1:15">
      <c r="A7973" s="242" t="s">
        <v>71</v>
      </c>
      <c r="B7973" s="43" t="s">
        <v>57</v>
      </c>
      <c r="C7973" s="15">
        <v>0</v>
      </c>
      <c r="D7973" s="243">
        <v>0</v>
      </c>
      <c r="E7973" s="243">
        <v>0</v>
      </c>
      <c r="F7973" s="243">
        <v>0</v>
      </c>
      <c r="G7973" s="243">
        <v>0</v>
      </c>
      <c r="H7973" s="243">
        <v>0</v>
      </c>
      <c r="I7973" s="243">
        <v>0</v>
      </c>
      <c r="J7973" s="243">
        <v>0</v>
      </c>
      <c r="K7973" s="243">
        <v>0</v>
      </c>
      <c r="L7973" s="243">
        <v>0</v>
      </c>
      <c r="M7973" s="243">
        <v>0</v>
      </c>
      <c r="N7973" s="243">
        <v>0</v>
      </c>
      <c r="O7973" s="253">
        <v>0</v>
      </c>
    </row>
    <row r="7974" spans="1:15">
      <c r="A7974" s="240" t="s">
        <v>71</v>
      </c>
      <c r="B7974" s="47" t="s">
        <v>59</v>
      </c>
      <c r="C7974" s="309">
        <v>40</v>
      </c>
      <c r="D7974" s="310">
        <v>3</v>
      </c>
      <c r="E7974" s="310">
        <v>7</v>
      </c>
      <c r="F7974" s="310">
        <v>3</v>
      </c>
      <c r="G7974" s="310">
        <v>1</v>
      </c>
      <c r="H7974" s="310">
        <v>3</v>
      </c>
      <c r="I7974" s="310">
        <v>4</v>
      </c>
      <c r="J7974" s="310">
        <v>5</v>
      </c>
      <c r="K7974" s="310">
        <v>5</v>
      </c>
      <c r="L7974" s="310">
        <v>2</v>
      </c>
      <c r="M7974" s="310">
        <v>4</v>
      </c>
      <c r="N7974" s="310">
        <v>3</v>
      </c>
      <c r="O7974" s="311">
        <v>0</v>
      </c>
    </row>
    <row r="7975" spans="1:15">
      <c r="A7975" s="242" t="s">
        <v>71</v>
      </c>
      <c r="B7975" s="43" t="s">
        <v>4</v>
      </c>
      <c r="C7975" s="15">
        <v>3</v>
      </c>
      <c r="D7975" s="244">
        <v>1</v>
      </c>
      <c r="E7975" s="244">
        <v>0</v>
      </c>
      <c r="F7975" s="244">
        <v>1</v>
      </c>
      <c r="G7975" s="244">
        <v>0</v>
      </c>
      <c r="H7975" s="244">
        <v>1</v>
      </c>
      <c r="I7975" s="244">
        <v>0</v>
      </c>
      <c r="J7975" s="244">
        <v>0</v>
      </c>
      <c r="K7975" s="244">
        <v>0</v>
      </c>
      <c r="L7975" s="244">
        <v>0</v>
      </c>
      <c r="M7975" s="244">
        <v>0</v>
      </c>
      <c r="N7975" s="244">
        <v>0</v>
      </c>
      <c r="O7975" s="254">
        <v>0</v>
      </c>
    </row>
    <row r="7976" spans="1:15">
      <c r="A7976" s="240" t="s">
        <v>71</v>
      </c>
      <c r="B7976" s="47" t="s">
        <v>5</v>
      </c>
      <c r="C7976" s="241">
        <v>0.075</v>
      </c>
      <c r="D7976" s="241">
        <v>0.333333333333333</v>
      </c>
      <c r="E7976" s="241">
        <v>0</v>
      </c>
      <c r="F7976" s="241">
        <v>0.333333333333333</v>
      </c>
      <c r="G7976" s="241">
        <v>0</v>
      </c>
      <c r="H7976" s="241">
        <v>0.333333333333333</v>
      </c>
      <c r="I7976" s="241">
        <v>0</v>
      </c>
      <c r="J7976" s="241">
        <v>0</v>
      </c>
      <c r="K7976" s="241">
        <v>0</v>
      </c>
      <c r="L7976" s="241">
        <v>0</v>
      </c>
      <c r="M7976" s="241">
        <v>0</v>
      </c>
      <c r="N7976" s="241">
        <v>0</v>
      </c>
      <c r="O7976" s="252">
        <v>0</v>
      </c>
    </row>
    <row r="7977" spans="1:15">
      <c r="A7977" s="242" t="s">
        <v>71</v>
      </c>
      <c r="B7977" s="43" t="s">
        <v>6</v>
      </c>
      <c r="C7977" s="15">
        <v>0</v>
      </c>
      <c r="D7977" s="244">
        <v>0</v>
      </c>
      <c r="E7977" s="244">
        <v>0</v>
      </c>
      <c r="F7977" s="244">
        <v>0</v>
      </c>
      <c r="G7977" s="244">
        <v>0</v>
      </c>
      <c r="H7977" s="244">
        <v>0</v>
      </c>
      <c r="I7977" s="244">
        <v>0</v>
      </c>
      <c r="J7977" s="244">
        <v>0</v>
      </c>
      <c r="K7977" s="244">
        <v>0</v>
      </c>
      <c r="L7977" s="244">
        <v>0</v>
      </c>
      <c r="M7977" s="244">
        <v>0</v>
      </c>
      <c r="N7977" s="244">
        <v>0</v>
      </c>
      <c r="O7977" s="254">
        <v>0</v>
      </c>
    </row>
    <row r="7978" ht="14.25" spans="1:15">
      <c r="A7978" s="245" t="s">
        <v>71</v>
      </c>
      <c r="B7978" s="52" t="s">
        <v>64</v>
      </c>
      <c r="C7978" s="19">
        <v>0</v>
      </c>
      <c r="D7978" s="19">
        <v>0</v>
      </c>
      <c r="E7978" s="19" t="e">
        <v>#DIV/0!</v>
      </c>
      <c r="F7978" s="19">
        <v>0</v>
      </c>
      <c r="G7978" s="19" t="e">
        <v>#DIV/0!</v>
      </c>
      <c r="H7978" s="19">
        <v>0</v>
      </c>
      <c r="I7978" s="19" t="e">
        <v>#DIV/0!</v>
      </c>
      <c r="J7978" s="19" t="e">
        <v>#DIV/0!</v>
      </c>
      <c r="K7978" s="19" t="e">
        <v>#DIV/0!</v>
      </c>
      <c r="L7978" s="19" t="e">
        <v>#DIV/0!</v>
      </c>
      <c r="M7978" s="19" t="e">
        <v>#DIV/0!</v>
      </c>
      <c r="N7978" s="19" t="e">
        <v>#DIV/0!</v>
      </c>
      <c r="O7978" s="19" t="e">
        <v>#DIV/0!</v>
      </c>
    </row>
    <row r="7979" spans="1:15">
      <c r="A7979" s="240" t="s">
        <v>72</v>
      </c>
      <c r="B7979" s="47" t="s">
        <v>55</v>
      </c>
      <c r="C7979" s="12">
        <v>0.0662525879917184</v>
      </c>
      <c r="D7979" s="241">
        <v>0.0807291666666667</v>
      </c>
      <c r="E7979" s="241">
        <v>0.105882352941176</v>
      </c>
      <c r="F7979" s="241">
        <v>0.0519031141868512</v>
      </c>
      <c r="G7979" s="241">
        <v>0.113207547169811</v>
      </c>
      <c r="H7979" s="241">
        <v>0.0633245382585752</v>
      </c>
      <c r="I7979" s="241">
        <v>0.0707456978967495</v>
      </c>
      <c r="J7979" s="241">
        <v>0.064128256513026</v>
      </c>
      <c r="K7979" s="241">
        <v>0.0565068493150685</v>
      </c>
      <c r="L7979" s="241">
        <v>0.0645161290322581</v>
      </c>
      <c r="M7979" s="241">
        <v>0.0728597449908925</v>
      </c>
      <c r="N7979" s="241">
        <v>0.0635155096011817</v>
      </c>
      <c r="O7979" s="252">
        <v>0.0417422867513612</v>
      </c>
    </row>
    <row r="7980" spans="1:15">
      <c r="A7980" s="242" t="s">
        <v>72</v>
      </c>
      <c r="B7980" s="43" t="s">
        <v>57</v>
      </c>
      <c r="C7980" s="15">
        <v>5313</v>
      </c>
      <c r="D7980" s="243">
        <v>384</v>
      </c>
      <c r="E7980" s="243">
        <v>170</v>
      </c>
      <c r="F7980" s="243">
        <v>289</v>
      </c>
      <c r="G7980" s="243">
        <v>212</v>
      </c>
      <c r="H7980" s="243">
        <v>379</v>
      </c>
      <c r="I7980" s="243">
        <v>523</v>
      </c>
      <c r="J7980" s="243">
        <v>499</v>
      </c>
      <c r="K7980" s="243">
        <v>584</v>
      </c>
      <c r="L7980" s="243">
        <v>496</v>
      </c>
      <c r="M7980" s="243">
        <v>549</v>
      </c>
      <c r="N7980" s="243">
        <v>677</v>
      </c>
      <c r="O7980" s="253">
        <v>551</v>
      </c>
    </row>
    <row r="7981" spans="1:15">
      <c r="A7981" s="240" t="s">
        <v>72</v>
      </c>
      <c r="B7981" s="47" t="s">
        <v>59</v>
      </c>
      <c r="C7981" s="15">
        <v>352</v>
      </c>
      <c r="D7981" s="243">
        <v>31</v>
      </c>
      <c r="E7981" s="243">
        <v>18</v>
      </c>
      <c r="F7981" s="243">
        <v>15</v>
      </c>
      <c r="G7981" s="243">
        <v>24</v>
      </c>
      <c r="H7981" s="243">
        <v>24</v>
      </c>
      <c r="I7981" s="243">
        <v>37</v>
      </c>
      <c r="J7981" s="243">
        <v>32</v>
      </c>
      <c r="K7981" s="243">
        <v>33</v>
      </c>
      <c r="L7981" s="243">
        <v>32</v>
      </c>
      <c r="M7981" s="243">
        <v>40</v>
      </c>
      <c r="N7981" s="243">
        <v>43</v>
      </c>
      <c r="O7981" s="253">
        <v>23</v>
      </c>
    </row>
    <row r="7982" spans="1:15">
      <c r="A7982" s="242" t="s">
        <v>72</v>
      </c>
      <c r="B7982" s="43" t="s">
        <v>4</v>
      </c>
      <c r="C7982" s="15">
        <v>12</v>
      </c>
      <c r="D7982" s="244">
        <v>1</v>
      </c>
      <c r="E7982" s="244">
        <v>1</v>
      </c>
      <c r="F7982" s="244">
        <v>0</v>
      </c>
      <c r="G7982" s="244">
        <v>1</v>
      </c>
      <c r="H7982" s="244">
        <v>1</v>
      </c>
      <c r="I7982" s="244">
        <v>0</v>
      </c>
      <c r="J7982" s="244">
        <v>1</v>
      </c>
      <c r="K7982" s="244">
        <v>1</v>
      </c>
      <c r="L7982" s="244">
        <v>1</v>
      </c>
      <c r="M7982" s="244">
        <v>2</v>
      </c>
      <c r="N7982" s="244">
        <v>2</v>
      </c>
      <c r="O7982" s="254">
        <v>1</v>
      </c>
    </row>
    <row r="7983" spans="1:15">
      <c r="A7983" s="240" t="s">
        <v>72</v>
      </c>
      <c r="B7983" s="47" t="s">
        <v>5</v>
      </c>
      <c r="C7983" s="12">
        <v>0.0340909090909091</v>
      </c>
      <c r="D7983" s="241">
        <v>0.032258064516129</v>
      </c>
      <c r="E7983" s="241">
        <v>0.0555555555555556</v>
      </c>
      <c r="F7983" s="241">
        <v>0</v>
      </c>
      <c r="G7983" s="241">
        <v>0.0416666666666667</v>
      </c>
      <c r="H7983" s="241">
        <v>0.0416666666666667</v>
      </c>
      <c r="I7983" s="241">
        <v>0</v>
      </c>
      <c r="J7983" s="241">
        <v>0.03125</v>
      </c>
      <c r="K7983" s="241">
        <v>0.0303030303030303</v>
      </c>
      <c r="L7983" s="241">
        <v>0.03125</v>
      </c>
      <c r="M7983" s="241">
        <v>0.05</v>
      </c>
      <c r="N7983" s="241">
        <v>0.0465116279069767</v>
      </c>
      <c r="O7983" s="252">
        <v>0.0434782608695652</v>
      </c>
    </row>
    <row r="7984" spans="1:15">
      <c r="A7984" s="242" t="s">
        <v>72</v>
      </c>
      <c r="B7984" s="43" t="s">
        <v>6</v>
      </c>
      <c r="C7984" s="15">
        <v>3</v>
      </c>
      <c r="D7984" s="244">
        <v>0</v>
      </c>
      <c r="E7984" s="244">
        <v>1</v>
      </c>
      <c r="F7984" s="244">
        <v>0</v>
      </c>
      <c r="G7984" s="244">
        <v>0</v>
      </c>
      <c r="H7984" s="244">
        <v>1</v>
      </c>
      <c r="I7984" s="244">
        <v>0</v>
      </c>
      <c r="J7984" s="244">
        <v>0</v>
      </c>
      <c r="K7984" s="244">
        <v>0</v>
      </c>
      <c r="L7984" s="244">
        <v>1</v>
      </c>
      <c r="M7984" s="244">
        <v>0</v>
      </c>
      <c r="N7984" s="244">
        <v>0</v>
      </c>
      <c r="O7984" s="254">
        <v>0</v>
      </c>
    </row>
    <row r="7985" ht="14.25" spans="1:15">
      <c r="A7985" s="245" t="s">
        <v>72</v>
      </c>
      <c r="B7985" s="52" t="s">
        <v>64</v>
      </c>
      <c r="C7985" s="19">
        <v>0.25</v>
      </c>
      <c r="D7985" s="19">
        <v>0</v>
      </c>
      <c r="E7985" s="19">
        <v>1</v>
      </c>
      <c r="F7985" s="19" t="e">
        <v>#DIV/0!</v>
      </c>
      <c r="G7985" s="19">
        <v>0</v>
      </c>
      <c r="H7985" s="19">
        <v>1</v>
      </c>
      <c r="I7985" s="19" t="e">
        <v>#DIV/0!</v>
      </c>
      <c r="J7985" s="19">
        <v>0</v>
      </c>
      <c r="K7985" s="19">
        <v>0</v>
      </c>
      <c r="L7985" s="19">
        <v>1</v>
      </c>
      <c r="M7985" s="19">
        <v>0</v>
      </c>
      <c r="N7985" s="19">
        <v>0</v>
      </c>
      <c r="O7985" s="19">
        <v>0</v>
      </c>
    </row>
    <row r="7986" ht="14.25" spans="1:15">
      <c r="A7986" s="237">
        <v>45143</v>
      </c>
      <c r="B7986" s="237"/>
      <c r="C7986" s="237"/>
      <c r="D7986" s="237"/>
      <c r="E7986" s="237"/>
      <c r="F7986" s="237"/>
      <c r="G7986" s="237"/>
      <c r="H7986" s="237"/>
      <c r="I7986" s="237"/>
      <c r="J7986" s="237"/>
      <c r="K7986" s="237"/>
      <c r="L7986" s="237"/>
      <c r="M7986" s="237"/>
      <c r="N7986" s="237"/>
      <c r="O7986" s="237"/>
    </row>
    <row r="7987" spans="1:15">
      <c r="A7987" s="56" t="s">
        <v>1</v>
      </c>
      <c r="B7987" s="238"/>
      <c r="C7987" s="8" t="s">
        <v>42</v>
      </c>
      <c r="D7987" s="239" t="s">
        <v>43</v>
      </c>
      <c r="E7987" s="239" t="s">
        <v>44</v>
      </c>
      <c r="F7987" s="239" t="s">
        <v>45</v>
      </c>
      <c r="G7987" s="239" t="s">
        <v>46</v>
      </c>
      <c r="H7987" s="239" t="s">
        <v>47</v>
      </c>
      <c r="I7987" s="239" t="s">
        <v>48</v>
      </c>
      <c r="J7987" s="239" t="s">
        <v>49</v>
      </c>
      <c r="K7987" s="239" t="s">
        <v>50</v>
      </c>
      <c r="L7987" s="239" t="s">
        <v>51</v>
      </c>
      <c r="M7987" s="239" t="s">
        <v>52</v>
      </c>
      <c r="N7987" s="239" t="s">
        <v>53</v>
      </c>
      <c r="O7987" s="251" t="s">
        <v>54</v>
      </c>
    </row>
    <row r="7988" spans="1:15">
      <c r="A7988" s="240" t="s">
        <v>22</v>
      </c>
      <c r="B7988" s="47" t="s">
        <v>55</v>
      </c>
      <c r="C7988" s="12">
        <v>0.300678952473327</v>
      </c>
      <c r="D7988" s="241">
        <v>0.358108108108108</v>
      </c>
      <c r="E7988" s="241">
        <v>0.31638418079096</v>
      </c>
      <c r="F7988" s="241">
        <v>0.355371900826446</v>
      </c>
      <c r="G7988" s="241">
        <v>0.338582677165354</v>
      </c>
      <c r="H7988" s="241">
        <v>0.390862944162437</v>
      </c>
      <c r="I7988" s="241">
        <v>0.3125</v>
      </c>
      <c r="J7988" s="241">
        <v>0.283870967741935</v>
      </c>
      <c r="K7988" s="241">
        <v>0.29126213592233</v>
      </c>
      <c r="L7988" s="241">
        <v>0.389763779527559</v>
      </c>
      <c r="M7988" s="241">
        <v>0.209486166007905</v>
      </c>
      <c r="N7988" s="241">
        <v>0.238636363636364</v>
      </c>
      <c r="O7988" s="252">
        <v>0.25382932166302</v>
      </c>
    </row>
    <row r="7989" spans="1:15">
      <c r="A7989" s="242" t="s">
        <v>22</v>
      </c>
      <c r="B7989" s="43" t="s">
        <v>57</v>
      </c>
      <c r="C7989" s="15">
        <v>3093</v>
      </c>
      <c r="D7989" s="243">
        <v>296</v>
      </c>
      <c r="E7989" s="243">
        <v>177</v>
      </c>
      <c r="F7989" s="243">
        <v>121</v>
      </c>
      <c r="G7989" s="243">
        <v>127</v>
      </c>
      <c r="H7989" s="243">
        <v>197</v>
      </c>
      <c r="I7989" s="243">
        <v>240</v>
      </c>
      <c r="J7989" s="243">
        <v>310</v>
      </c>
      <c r="K7989" s="243">
        <v>309</v>
      </c>
      <c r="L7989" s="243">
        <v>254</v>
      </c>
      <c r="M7989" s="243">
        <v>253</v>
      </c>
      <c r="N7989" s="243">
        <v>352</v>
      </c>
      <c r="O7989" s="253">
        <v>457</v>
      </c>
    </row>
    <row r="7990" spans="1:15">
      <c r="A7990" s="240" t="s">
        <v>22</v>
      </c>
      <c r="B7990" s="47" t="s">
        <v>59</v>
      </c>
      <c r="C7990" s="15">
        <v>930</v>
      </c>
      <c r="D7990" s="243">
        <v>106</v>
      </c>
      <c r="E7990" s="243">
        <v>56</v>
      </c>
      <c r="F7990" s="243">
        <v>43</v>
      </c>
      <c r="G7990" s="243">
        <v>43</v>
      </c>
      <c r="H7990" s="243">
        <v>77</v>
      </c>
      <c r="I7990" s="243">
        <v>75</v>
      </c>
      <c r="J7990" s="243">
        <v>88</v>
      </c>
      <c r="K7990" s="243">
        <v>90</v>
      </c>
      <c r="L7990" s="243">
        <v>99</v>
      </c>
      <c r="M7990" s="243">
        <v>53</v>
      </c>
      <c r="N7990" s="243">
        <v>84</v>
      </c>
      <c r="O7990" s="253">
        <v>116</v>
      </c>
    </row>
    <row r="7991" spans="1:15">
      <c r="A7991" s="242" t="s">
        <v>22</v>
      </c>
      <c r="B7991" s="43" t="s">
        <v>4</v>
      </c>
      <c r="C7991" s="15">
        <v>52</v>
      </c>
      <c r="D7991" s="244">
        <v>5</v>
      </c>
      <c r="E7991" s="244">
        <v>4</v>
      </c>
      <c r="F7991" s="244">
        <v>4</v>
      </c>
      <c r="G7991" s="244">
        <v>0</v>
      </c>
      <c r="H7991" s="244">
        <v>2</v>
      </c>
      <c r="I7991" s="244">
        <v>4</v>
      </c>
      <c r="J7991" s="244">
        <v>5</v>
      </c>
      <c r="K7991" s="244">
        <v>5</v>
      </c>
      <c r="L7991" s="244">
        <v>7</v>
      </c>
      <c r="M7991" s="244">
        <v>2</v>
      </c>
      <c r="N7991" s="244">
        <v>7</v>
      </c>
      <c r="O7991" s="254">
        <v>7</v>
      </c>
    </row>
    <row r="7992" spans="1:15">
      <c r="A7992" s="240" t="s">
        <v>22</v>
      </c>
      <c r="B7992" s="47" t="s">
        <v>5</v>
      </c>
      <c r="C7992" s="12">
        <v>0.0559139784946237</v>
      </c>
      <c r="D7992" s="241">
        <v>0.0471698113207547</v>
      </c>
      <c r="E7992" s="241">
        <v>0.0714285714285714</v>
      </c>
      <c r="F7992" s="241">
        <v>0.0930232558139535</v>
      </c>
      <c r="G7992" s="241">
        <v>0</v>
      </c>
      <c r="H7992" s="241">
        <v>0.025974025974026</v>
      </c>
      <c r="I7992" s="241">
        <v>0.0533333333333333</v>
      </c>
      <c r="J7992" s="241">
        <v>0.0568181818181818</v>
      </c>
      <c r="K7992" s="241">
        <v>0.0555555555555556</v>
      </c>
      <c r="L7992" s="241">
        <v>0.0707070707070707</v>
      </c>
      <c r="M7992" s="241">
        <v>0.0377358490566038</v>
      </c>
      <c r="N7992" s="241">
        <v>0.0833333333333333</v>
      </c>
      <c r="O7992" s="252">
        <v>0.0603448275862069</v>
      </c>
    </row>
    <row r="7993" spans="1:15">
      <c r="A7993" s="242" t="s">
        <v>22</v>
      </c>
      <c r="B7993" s="43" t="s">
        <v>6</v>
      </c>
      <c r="C7993" s="15">
        <v>15</v>
      </c>
      <c r="D7993" s="244">
        <v>2</v>
      </c>
      <c r="E7993" s="244">
        <v>3</v>
      </c>
      <c r="F7993" s="244">
        <v>0</v>
      </c>
      <c r="G7993" s="244">
        <v>0</v>
      </c>
      <c r="H7993" s="244">
        <v>1</v>
      </c>
      <c r="I7993" s="244">
        <v>1</v>
      </c>
      <c r="J7993" s="244">
        <v>3</v>
      </c>
      <c r="K7993" s="244">
        <v>1</v>
      </c>
      <c r="L7993" s="244">
        <v>0</v>
      </c>
      <c r="M7993" s="244">
        <v>1</v>
      </c>
      <c r="N7993" s="244">
        <v>2</v>
      </c>
      <c r="O7993" s="254">
        <v>1</v>
      </c>
    </row>
    <row r="7994" ht="14.25" spans="1:15">
      <c r="A7994" s="245" t="s">
        <v>22</v>
      </c>
      <c r="B7994" s="52" t="s">
        <v>64</v>
      </c>
      <c r="C7994" s="19">
        <v>0.288461538461538</v>
      </c>
      <c r="D7994" s="246">
        <v>0.4</v>
      </c>
      <c r="E7994" s="246">
        <v>0.75</v>
      </c>
      <c r="F7994" s="246">
        <v>0</v>
      </c>
      <c r="G7994" s="246">
        <v>0</v>
      </c>
      <c r="H7994" s="246">
        <v>0.5</v>
      </c>
      <c r="I7994" s="246">
        <v>0.25</v>
      </c>
      <c r="J7994" s="246">
        <v>0.6</v>
      </c>
      <c r="K7994" s="246">
        <v>0.2</v>
      </c>
      <c r="L7994" s="246">
        <v>0</v>
      </c>
      <c r="M7994" s="246">
        <v>0.5</v>
      </c>
      <c r="N7994" s="246">
        <v>0.285714285714286</v>
      </c>
      <c r="O7994" s="255">
        <v>0.142857142857143</v>
      </c>
    </row>
    <row r="7995" spans="1:15">
      <c r="A7995" s="247" t="s">
        <v>66</v>
      </c>
      <c r="B7995" s="248" t="s">
        <v>55</v>
      </c>
      <c r="C7995" s="12">
        <v>0.0725768321513002</v>
      </c>
      <c r="D7995" s="249">
        <v>0.0974212034383954</v>
      </c>
      <c r="E7995" s="249">
        <v>0.123711340206186</v>
      </c>
      <c r="F7995" s="249">
        <v>0.0903614457831325</v>
      </c>
      <c r="G7995" s="249">
        <v>0.09375</v>
      </c>
      <c r="H7995" s="249">
        <v>0.0581039755351682</v>
      </c>
      <c r="I7995" s="249">
        <v>0.0592783505154639</v>
      </c>
      <c r="J7995" s="249">
        <v>0.0496083550913838</v>
      </c>
      <c r="K7995" s="249">
        <v>0.0567375886524823</v>
      </c>
      <c r="L7995" s="249">
        <v>0.0751708428246014</v>
      </c>
      <c r="M7995" s="249">
        <v>0.0645161290322581</v>
      </c>
      <c r="N7995" s="249">
        <v>0.0671296296296296</v>
      </c>
      <c r="O7995" s="256">
        <v>0.0787992495309568</v>
      </c>
    </row>
    <row r="7996" spans="1:15">
      <c r="A7996" s="242" t="s">
        <v>66</v>
      </c>
      <c r="B7996" s="43" t="s">
        <v>57</v>
      </c>
      <c r="C7996" s="15">
        <v>4230</v>
      </c>
      <c r="D7996" s="243">
        <v>349</v>
      </c>
      <c r="E7996" s="243">
        <v>194</v>
      </c>
      <c r="F7996" s="243">
        <v>166</v>
      </c>
      <c r="G7996" s="243">
        <v>224</v>
      </c>
      <c r="H7996" s="243">
        <v>327</v>
      </c>
      <c r="I7996" s="243">
        <v>388</v>
      </c>
      <c r="J7996" s="243">
        <v>383</v>
      </c>
      <c r="K7996" s="243">
        <v>423</v>
      </c>
      <c r="L7996" s="243">
        <v>439</v>
      </c>
      <c r="M7996" s="243">
        <v>372</v>
      </c>
      <c r="N7996" s="243">
        <v>432</v>
      </c>
      <c r="O7996" s="253">
        <v>533</v>
      </c>
    </row>
    <row r="7997" spans="1:15">
      <c r="A7997" s="240" t="s">
        <v>66</v>
      </c>
      <c r="B7997" s="47" t="s">
        <v>59</v>
      </c>
      <c r="C7997" s="15">
        <v>307</v>
      </c>
      <c r="D7997" s="243">
        <v>34</v>
      </c>
      <c r="E7997" s="243">
        <v>24</v>
      </c>
      <c r="F7997" s="243">
        <v>15</v>
      </c>
      <c r="G7997" s="243">
        <v>21</v>
      </c>
      <c r="H7997" s="243">
        <v>19</v>
      </c>
      <c r="I7997" s="243">
        <v>23</v>
      </c>
      <c r="J7997" s="243">
        <v>19</v>
      </c>
      <c r="K7997" s="243">
        <v>24</v>
      </c>
      <c r="L7997" s="243">
        <v>33</v>
      </c>
      <c r="M7997" s="243">
        <v>24</v>
      </c>
      <c r="N7997" s="243">
        <v>29</v>
      </c>
      <c r="O7997" s="253">
        <v>42</v>
      </c>
    </row>
    <row r="7998" spans="1:15">
      <c r="A7998" s="242" t="s">
        <v>66</v>
      </c>
      <c r="B7998" s="43" t="s">
        <v>4</v>
      </c>
      <c r="C7998" s="15">
        <v>8</v>
      </c>
      <c r="D7998" s="244">
        <v>2</v>
      </c>
      <c r="E7998" s="244">
        <v>1</v>
      </c>
      <c r="F7998" s="244">
        <v>2</v>
      </c>
      <c r="G7998" s="244">
        <v>0</v>
      </c>
      <c r="H7998" s="244">
        <v>0</v>
      </c>
      <c r="I7998" s="244">
        <v>1</v>
      </c>
      <c r="J7998" s="244">
        <v>0</v>
      </c>
      <c r="K7998" s="244">
        <v>0</v>
      </c>
      <c r="L7998" s="244">
        <v>1</v>
      </c>
      <c r="M7998" s="244">
        <v>0</v>
      </c>
      <c r="N7998" s="244">
        <v>0</v>
      </c>
      <c r="O7998" s="254">
        <v>1</v>
      </c>
    </row>
    <row r="7999" spans="1:15">
      <c r="A7999" s="240" t="s">
        <v>66</v>
      </c>
      <c r="B7999" s="47" t="s">
        <v>5</v>
      </c>
      <c r="C7999" s="12">
        <v>0.0260586319218241</v>
      </c>
      <c r="D7999" s="241">
        <v>0.0588235294117647</v>
      </c>
      <c r="E7999" s="241">
        <v>0.0416666666666667</v>
      </c>
      <c r="F7999" s="241">
        <v>0.133333333333333</v>
      </c>
      <c r="G7999" s="241">
        <v>0</v>
      </c>
      <c r="H7999" s="241">
        <v>0</v>
      </c>
      <c r="I7999" s="241">
        <v>0.0434782608695652</v>
      </c>
      <c r="J7999" s="241">
        <v>0</v>
      </c>
      <c r="K7999" s="241">
        <v>0</v>
      </c>
      <c r="L7999" s="241">
        <v>0.0303030303030303</v>
      </c>
      <c r="M7999" s="241">
        <v>0</v>
      </c>
      <c r="N7999" s="241">
        <v>0</v>
      </c>
      <c r="O7999" s="252">
        <v>0.0238095238095238</v>
      </c>
    </row>
    <row r="8000" spans="1:15">
      <c r="A8000" s="242" t="s">
        <v>66</v>
      </c>
      <c r="B8000" s="43" t="s">
        <v>6</v>
      </c>
      <c r="C8000" s="15">
        <v>5</v>
      </c>
      <c r="D8000" s="244">
        <v>0</v>
      </c>
      <c r="E8000" s="244">
        <v>1</v>
      </c>
      <c r="F8000" s="244">
        <v>1</v>
      </c>
      <c r="G8000" s="244">
        <v>0</v>
      </c>
      <c r="H8000" s="244">
        <v>1</v>
      </c>
      <c r="I8000" s="244">
        <v>0</v>
      </c>
      <c r="J8000" s="244">
        <v>1</v>
      </c>
      <c r="K8000" s="244">
        <v>0</v>
      </c>
      <c r="L8000" s="244">
        <v>0</v>
      </c>
      <c r="M8000" s="244">
        <v>1</v>
      </c>
      <c r="N8000" s="244">
        <v>0</v>
      </c>
      <c r="O8000" s="254">
        <v>0</v>
      </c>
    </row>
    <row r="8001" ht="14.25" spans="1:15">
      <c r="A8001" s="245" t="s">
        <v>66</v>
      </c>
      <c r="B8001" s="52" t="s">
        <v>64</v>
      </c>
      <c r="C8001" s="19">
        <v>0.625</v>
      </c>
      <c r="D8001" s="246">
        <v>0</v>
      </c>
      <c r="E8001" s="246">
        <v>1</v>
      </c>
      <c r="F8001" s="246">
        <v>0.5</v>
      </c>
      <c r="G8001" s="246">
        <v>0</v>
      </c>
      <c r="H8001" s="246">
        <v>0</v>
      </c>
      <c r="I8001" s="246">
        <v>0</v>
      </c>
      <c r="J8001" s="246">
        <v>0</v>
      </c>
      <c r="K8001" s="246">
        <v>0</v>
      </c>
      <c r="L8001" s="246">
        <v>0</v>
      </c>
      <c r="M8001" s="246">
        <v>0</v>
      </c>
      <c r="N8001" s="246">
        <v>0</v>
      </c>
      <c r="O8001" s="255">
        <v>0</v>
      </c>
    </row>
    <row r="8002" spans="1:15">
      <c r="A8002" s="240" t="s">
        <v>67</v>
      </c>
      <c r="B8002" s="47" t="s">
        <v>55</v>
      </c>
      <c r="C8002" s="12">
        <v>0.499489274770174</v>
      </c>
      <c r="D8002" s="241">
        <v>0.550847457627119</v>
      </c>
      <c r="E8002" s="241">
        <v>0.523076923076923</v>
      </c>
      <c r="F8002" s="241">
        <v>0.40625</v>
      </c>
      <c r="G8002" s="241">
        <v>0.454545454545455</v>
      </c>
      <c r="H8002" s="241">
        <v>0.485714285714286</v>
      </c>
      <c r="I8002" s="241">
        <v>0.454545454545455</v>
      </c>
      <c r="J8002" s="241">
        <v>0.5</v>
      </c>
      <c r="K8002" s="241">
        <v>0.459770114942529</v>
      </c>
      <c r="L8002" s="241">
        <v>0.438775510204082</v>
      </c>
      <c r="M8002" s="241">
        <v>0.537634408602151</v>
      </c>
      <c r="N8002" s="241">
        <v>0.661971830985915</v>
      </c>
      <c r="O8002" s="252">
        <v>0.471153846153846</v>
      </c>
    </row>
    <row r="8003" spans="1:15">
      <c r="A8003" s="242" t="s">
        <v>67</v>
      </c>
      <c r="B8003" s="43" t="s">
        <v>57</v>
      </c>
      <c r="C8003" s="15">
        <v>979</v>
      </c>
      <c r="D8003" s="243">
        <v>118</v>
      </c>
      <c r="E8003" s="243">
        <v>65</v>
      </c>
      <c r="F8003" s="243">
        <v>32</v>
      </c>
      <c r="G8003" s="243">
        <v>66</v>
      </c>
      <c r="H8003" s="243">
        <v>70</v>
      </c>
      <c r="I8003" s="243">
        <v>77</v>
      </c>
      <c r="J8003" s="243">
        <v>98</v>
      </c>
      <c r="K8003" s="243">
        <v>87</v>
      </c>
      <c r="L8003" s="243">
        <v>98</v>
      </c>
      <c r="M8003" s="243">
        <v>93</v>
      </c>
      <c r="N8003" s="243">
        <v>71</v>
      </c>
      <c r="O8003" s="253">
        <v>104</v>
      </c>
    </row>
    <row r="8004" spans="1:15">
      <c r="A8004" s="240" t="s">
        <v>67</v>
      </c>
      <c r="B8004" s="47" t="s">
        <v>59</v>
      </c>
      <c r="C8004" s="15">
        <v>489</v>
      </c>
      <c r="D8004" s="243">
        <v>65</v>
      </c>
      <c r="E8004" s="243">
        <v>34</v>
      </c>
      <c r="F8004" s="243">
        <v>13</v>
      </c>
      <c r="G8004" s="243">
        <v>30</v>
      </c>
      <c r="H8004" s="243">
        <v>34</v>
      </c>
      <c r="I8004" s="243">
        <v>35</v>
      </c>
      <c r="J8004" s="243">
        <v>49</v>
      </c>
      <c r="K8004" s="243">
        <v>40</v>
      </c>
      <c r="L8004" s="243">
        <v>43</v>
      </c>
      <c r="M8004" s="243">
        <v>50</v>
      </c>
      <c r="N8004" s="243">
        <v>47</v>
      </c>
      <c r="O8004" s="253">
        <v>49</v>
      </c>
    </row>
    <row r="8005" spans="1:15">
      <c r="A8005" s="242" t="s">
        <v>67</v>
      </c>
      <c r="B8005" s="43" t="s">
        <v>4</v>
      </c>
      <c r="C8005" s="15">
        <v>17</v>
      </c>
      <c r="D8005" s="244">
        <v>1</v>
      </c>
      <c r="E8005" s="244">
        <v>0</v>
      </c>
      <c r="F8005" s="244">
        <v>1</v>
      </c>
      <c r="G8005" s="244">
        <v>0</v>
      </c>
      <c r="H8005" s="244">
        <v>1</v>
      </c>
      <c r="I8005" s="244">
        <v>1</v>
      </c>
      <c r="J8005" s="244">
        <v>2</v>
      </c>
      <c r="K8005" s="244">
        <v>1</v>
      </c>
      <c r="L8005" s="244">
        <v>6</v>
      </c>
      <c r="M8005" s="244">
        <v>1</v>
      </c>
      <c r="N8005" s="244">
        <v>1</v>
      </c>
      <c r="O8005" s="254">
        <v>2</v>
      </c>
    </row>
    <row r="8006" spans="1:15">
      <c r="A8006" s="240" t="s">
        <v>67</v>
      </c>
      <c r="B8006" s="47" t="s">
        <v>5</v>
      </c>
      <c r="C8006" s="12">
        <v>0.0347648261758691</v>
      </c>
      <c r="D8006" s="241">
        <v>0.0153846153846154</v>
      </c>
      <c r="E8006" s="241">
        <v>0</v>
      </c>
      <c r="F8006" s="241">
        <v>0.0769230769230769</v>
      </c>
      <c r="G8006" s="241">
        <v>0</v>
      </c>
      <c r="H8006" s="241">
        <v>0.0294117647058824</v>
      </c>
      <c r="I8006" s="241">
        <v>0.0285714285714286</v>
      </c>
      <c r="J8006" s="241">
        <v>0.0408163265306122</v>
      </c>
      <c r="K8006" s="241">
        <v>0.025</v>
      </c>
      <c r="L8006" s="241">
        <v>0.13953488372093</v>
      </c>
      <c r="M8006" s="241">
        <v>0.02</v>
      </c>
      <c r="N8006" s="241">
        <v>0.0212765957446809</v>
      </c>
      <c r="O8006" s="252">
        <v>0.0408163265306122</v>
      </c>
    </row>
    <row r="8007" spans="1:15">
      <c r="A8007" s="242" t="s">
        <v>67</v>
      </c>
      <c r="B8007" s="43" t="s">
        <v>6</v>
      </c>
      <c r="C8007" s="15">
        <v>9</v>
      </c>
      <c r="D8007" s="244">
        <v>1</v>
      </c>
      <c r="E8007" s="244">
        <v>0</v>
      </c>
      <c r="F8007" s="244">
        <v>1</v>
      </c>
      <c r="G8007" s="244">
        <v>1</v>
      </c>
      <c r="H8007" s="244">
        <v>1</v>
      </c>
      <c r="I8007" s="244">
        <v>0</v>
      </c>
      <c r="J8007" s="244">
        <v>0</v>
      </c>
      <c r="K8007" s="244">
        <v>0</v>
      </c>
      <c r="L8007" s="244">
        <v>2</v>
      </c>
      <c r="M8007" s="244">
        <v>1</v>
      </c>
      <c r="N8007" s="244">
        <v>2</v>
      </c>
      <c r="O8007" s="254">
        <v>0</v>
      </c>
    </row>
    <row r="8008" ht="14.25" spans="1:15">
      <c r="A8008" s="245" t="s">
        <v>67</v>
      </c>
      <c r="B8008" s="52" t="s">
        <v>64</v>
      </c>
      <c r="C8008" s="19">
        <v>0.529411764705882</v>
      </c>
      <c r="D8008" s="246">
        <v>1</v>
      </c>
      <c r="E8008" s="246">
        <v>0</v>
      </c>
      <c r="F8008" s="246">
        <v>1</v>
      </c>
      <c r="G8008" s="246">
        <v>0</v>
      </c>
      <c r="H8008" s="246">
        <v>1</v>
      </c>
      <c r="I8008" s="246">
        <v>0</v>
      </c>
      <c r="J8008" s="246">
        <v>0</v>
      </c>
      <c r="K8008" s="246">
        <v>0</v>
      </c>
      <c r="L8008" s="246">
        <v>0.333333333333333</v>
      </c>
      <c r="M8008" s="246">
        <v>1</v>
      </c>
      <c r="N8008" s="246">
        <v>2</v>
      </c>
      <c r="O8008" s="255">
        <v>0</v>
      </c>
    </row>
    <row r="8009" spans="1:15">
      <c r="A8009" s="240" t="s">
        <v>68</v>
      </c>
      <c r="B8009" s="47" t="s">
        <v>55</v>
      </c>
      <c r="C8009" s="12">
        <v>0.0445649112925936</v>
      </c>
      <c r="D8009" s="241">
        <v>0.0591526778577138</v>
      </c>
      <c r="E8009" s="241">
        <v>0.0427960057061341</v>
      </c>
      <c r="F8009" s="241">
        <v>0.0489913544668588</v>
      </c>
      <c r="G8009" s="241">
        <v>0.0704845814977974</v>
      </c>
      <c r="H8009" s="241">
        <v>0.0647727272727273</v>
      </c>
      <c r="I8009" s="241">
        <v>0.0352941176470588</v>
      </c>
      <c r="J8009" s="241">
        <v>0.0474777448071217</v>
      </c>
      <c r="K8009" s="241">
        <v>0.035625</v>
      </c>
      <c r="L8009" s="241">
        <v>0.0474254742547425</v>
      </c>
      <c r="M8009" s="241">
        <v>0.0370650529500756</v>
      </c>
      <c r="N8009" s="241">
        <v>0.036773428232503</v>
      </c>
      <c r="O8009" s="252">
        <v>0.0407725321888412</v>
      </c>
    </row>
    <row r="8010" spans="1:15">
      <c r="A8010" s="242" t="s">
        <v>68</v>
      </c>
      <c r="B8010" s="43" t="s">
        <v>57</v>
      </c>
      <c r="C8010" s="15">
        <v>14204</v>
      </c>
      <c r="D8010" s="243">
        <v>1251</v>
      </c>
      <c r="E8010" s="243">
        <v>701</v>
      </c>
      <c r="F8010" s="243">
        <v>347</v>
      </c>
      <c r="G8010" s="243">
        <v>454</v>
      </c>
      <c r="H8010" s="243">
        <v>880</v>
      </c>
      <c r="I8010" s="243">
        <v>1275</v>
      </c>
      <c r="J8010" s="243">
        <v>1348</v>
      </c>
      <c r="K8010" s="243">
        <v>1600</v>
      </c>
      <c r="L8010" s="243">
        <v>1476</v>
      </c>
      <c r="M8010" s="243">
        <v>1322</v>
      </c>
      <c r="N8010" s="243">
        <v>1686</v>
      </c>
      <c r="O8010" s="253">
        <v>1864</v>
      </c>
    </row>
    <row r="8011" spans="1:15">
      <c r="A8011" s="240" t="s">
        <v>68</v>
      </c>
      <c r="B8011" s="47" t="s">
        <v>59</v>
      </c>
      <c r="C8011" s="15">
        <v>633</v>
      </c>
      <c r="D8011" s="243">
        <v>74</v>
      </c>
      <c r="E8011" s="243">
        <v>30</v>
      </c>
      <c r="F8011" s="243">
        <v>17</v>
      </c>
      <c r="G8011" s="243">
        <v>32</v>
      </c>
      <c r="H8011" s="243">
        <v>57</v>
      </c>
      <c r="I8011" s="243">
        <v>45</v>
      </c>
      <c r="J8011" s="243">
        <v>64</v>
      </c>
      <c r="K8011" s="243">
        <v>57</v>
      </c>
      <c r="L8011" s="243">
        <v>70</v>
      </c>
      <c r="M8011" s="243">
        <v>49</v>
      </c>
      <c r="N8011" s="243">
        <v>62</v>
      </c>
      <c r="O8011" s="253">
        <v>76</v>
      </c>
    </row>
    <row r="8012" spans="1:15">
      <c r="A8012" s="242" t="s">
        <v>68</v>
      </c>
      <c r="B8012" s="43" t="s">
        <v>4</v>
      </c>
      <c r="C8012" s="15">
        <v>40</v>
      </c>
      <c r="D8012" s="244">
        <v>3</v>
      </c>
      <c r="E8012" s="244">
        <v>4</v>
      </c>
      <c r="F8012" s="244">
        <v>1</v>
      </c>
      <c r="G8012" s="244">
        <v>0</v>
      </c>
      <c r="H8012" s="244">
        <v>4</v>
      </c>
      <c r="I8012" s="244">
        <v>7</v>
      </c>
      <c r="J8012" s="244">
        <v>4</v>
      </c>
      <c r="K8012" s="244">
        <v>3</v>
      </c>
      <c r="L8012" s="244">
        <v>4</v>
      </c>
      <c r="M8012" s="244">
        <v>2</v>
      </c>
      <c r="N8012" s="244">
        <v>3</v>
      </c>
      <c r="O8012" s="254">
        <v>5</v>
      </c>
    </row>
    <row r="8013" spans="1:15">
      <c r="A8013" s="240" t="s">
        <v>68</v>
      </c>
      <c r="B8013" s="47" t="s">
        <v>5</v>
      </c>
      <c r="C8013" s="12">
        <v>0.0631911532385466</v>
      </c>
      <c r="D8013" s="241">
        <v>0.0405405405405405</v>
      </c>
      <c r="E8013" s="241">
        <v>0.133333333333333</v>
      </c>
      <c r="F8013" s="241">
        <v>0.0588235294117647</v>
      </c>
      <c r="G8013" s="241">
        <v>0</v>
      </c>
      <c r="H8013" s="241">
        <v>0.0701754385964912</v>
      </c>
      <c r="I8013" s="241">
        <v>0.155555555555556</v>
      </c>
      <c r="J8013" s="241">
        <v>0.0625</v>
      </c>
      <c r="K8013" s="241">
        <v>0.0526315789473684</v>
      </c>
      <c r="L8013" s="241">
        <v>0.0571428571428571</v>
      </c>
      <c r="M8013" s="241">
        <v>0.0408163265306122</v>
      </c>
      <c r="N8013" s="241">
        <v>0.0483870967741935</v>
      </c>
      <c r="O8013" s="252">
        <v>0.0657894736842105</v>
      </c>
    </row>
    <row r="8014" spans="1:15">
      <c r="A8014" s="242" t="s">
        <v>68</v>
      </c>
      <c r="B8014" s="43" t="s">
        <v>6</v>
      </c>
      <c r="C8014" s="15">
        <v>17</v>
      </c>
      <c r="D8014" s="244">
        <v>0</v>
      </c>
      <c r="E8014" s="244">
        <v>3</v>
      </c>
      <c r="F8014" s="244">
        <v>1</v>
      </c>
      <c r="G8014" s="244">
        <v>0</v>
      </c>
      <c r="H8014" s="244">
        <v>2</v>
      </c>
      <c r="I8014" s="244">
        <v>2</v>
      </c>
      <c r="J8014" s="244">
        <v>4</v>
      </c>
      <c r="K8014" s="244">
        <v>1</v>
      </c>
      <c r="L8014" s="244">
        <v>0</v>
      </c>
      <c r="M8014" s="244">
        <v>2</v>
      </c>
      <c r="N8014" s="244">
        <v>2</v>
      </c>
      <c r="O8014" s="254">
        <v>0</v>
      </c>
    </row>
    <row r="8015" ht="14.25" spans="1:15">
      <c r="A8015" s="245" t="s">
        <v>68</v>
      </c>
      <c r="B8015" s="52" t="s">
        <v>64</v>
      </c>
      <c r="C8015" s="19">
        <v>0.425</v>
      </c>
      <c r="D8015" s="246">
        <v>0</v>
      </c>
      <c r="E8015" s="246">
        <v>0.75</v>
      </c>
      <c r="F8015" s="246">
        <v>1</v>
      </c>
      <c r="G8015" s="246">
        <v>0</v>
      </c>
      <c r="H8015" s="246">
        <v>0.5</v>
      </c>
      <c r="I8015" s="246">
        <v>0.285714285714286</v>
      </c>
      <c r="J8015" s="246">
        <v>1</v>
      </c>
      <c r="K8015" s="246">
        <v>0.333333333333333</v>
      </c>
      <c r="L8015" s="246">
        <v>0</v>
      </c>
      <c r="M8015" s="246">
        <v>1</v>
      </c>
      <c r="N8015" s="246">
        <v>0.666666666666667</v>
      </c>
      <c r="O8015" s="255">
        <v>0</v>
      </c>
    </row>
    <row r="8016" spans="1:15">
      <c r="A8016" s="240" t="s">
        <v>69</v>
      </c>
      <c r="B8016" s="47" t="s">
        <v>55</v>
      </c>
      <c r="C8016" s="12">
        <v>0.832116788321168</v>
      </c>
      <c r="D8016" s="241">
        <v>0.91304347826087</v>
      </c>
      <c r="E8016" s="241">
        <v>1.1</v>
      </c>
      <c r="F8016" s="241">
        <v>1.11111111111111</v>
      </c>
      <c r="G8016" s="241">
        <v>0.75</v>
      </c>
      <c r="H8016" s="241">
        <v>0.533333333333333</v>
      </c>
      <c r="I8016" s="241">
        <v>0.807692307692308</v>
      </c>
      <c r="J8016" s="241">
        <v>0.785714285714286</v>
      </c>
      <c r="K8016" s="241">
        <v>0.866666666666667</v>
      </c>
      <c r="L8016" s="241">
        <v>0.741935483870968</v>
      </c>
      <c r="M8016" s="241">
        <v>0.84375</v>
      </c>
      <c r="N8016" s="241">
        <v>0.833333333333333</v>
      </c>
      <c r="O8016" s="252">
        <v>0.892857142857143</v>
      </c>
    </row>
    <row r="8017" spans="1:15">
      <c r="A8017" s="242" t="s">
        <v>69</v>
      </c>
      <c r="B8017" s="43" t="s">
        <v>57</v>
      </c>
      <c r="C8017" s="15">
        <v>274</v>
      </c>
      <c r="D8017" s="243">
        <v>23</v>
      </c>
      <c r="E8017" s="243">
        <v>10</v>
      </c>
      <c r="F8017" s="243">
        <v>9</v>
      </c>
      <c r="G8017" s="243">
        <v>20</v>
      </c>
      <c r="H8017" s="243">
        <v>15</v>
      </c>
      <c r="I8017" s="243">
        <v>26</v>
      </c>
      <c r="J8017" s="243">
        <v>14</v>
      </c>
      <c r="K8017" s="243">
        <v>30</v>
      </c>
      <c r="L8017" s="243">
        <v>31</v>
      </c>
      <c r="M8017" s="243">
        <v>32</v>
      </c>
      <c r="N8017" s="243">
        <v>36</v>
      </c>
      <c r="O8017" s="253">
        <v>28</v>
      </c>
    </row>
    <row r="8018" spans="1:15">
      <c r="A8018" s="240" t="s">
        <v>69</v>
      </c>
      <c r="B8018" s="47" t="s">
        <v>59</v>
      </c>
      <c r="C8018" s="15">
        <v>228</v>
      </c>
      <c r="D8018" s="243">
        <v>21</v>
      </c>
      <c r="E8018" s="243">
        <v>11</v>
      </c>
      <c r="F8018" s="243">
        <v>10</v>
      </c>
      <c r="G8018" s="243">
        <v>15</v>
      </c>
      <c r="H8018" s="243">
        <v>8</v>
      </c>
      <c r="I8018" s="243">
        <v>21</v>
      </c>
      <c r="J8018" s="243">
        <v>11</v>
      </c>
      <c r="K8018" s="243">
        <v>26</v>
      </c>
      <c r="L8018" s="243">
        <v>23</v>
      </c>
      <c r="M8018" s="243">
        <v>27</v>
      </c>
      <c r="N8018" s="243">
        <v>30</v>
      </c>
      <c r="O8018" s="253">
        <v>25</v>
      </c>
    </row>
    <row r="8019" spans="1:15">
      <c r="A8019" s="242" t="s">
        <v>69</v>
      </c>
      <c r="B8019" s="43" t="s">
        <v>4</v>
      </c>
      <c r="C8019" s="15">
        <v>3</v>
      </c>
      <c r="D8019" s="244">
        <v>0</v>
      </c>
      <c r="E8019" s="244">
        <v>0</v>
      </c>
      <c r="F8019" s="244">
        <v>0</v>
      </c>
      <c r="G8019" s="244">
        <v>0</v>
      </c>
      <c r="H8019" s="244">
        <v>1</v>
      </c>
      <c r="I8019" s="244">
        <v>0</v>
      </c>
      <c r="J8019" s="244">
        <v>1</v>
      </c>
      <c r="K8019" s="244">
        <v>0</v>
      </c>
      <c r="L8019" s="244">
        <v>0</v>
      </c>
      <c r="M8019" s="244">
        <v>0</v>
      </c>
      <c r="N8019" s="244">
        <v>0</v>
      </c>
      <c r="O8019" s="254">
        <v>1</v>
      </c>
    </row>
    <row r="8020" spans="1:15">
      <c r="A8020" s="240" t="s">
        <v>69</v>
      </c>
      <c r="B8020" s="47" t="s">
        <v>5</v>
      </c>
      <c r="C8020" s="12">
        <v>0.0131578947368421</v>
      </c>
      <c r="D8020" s="241">
        <v>0</v>
      </c>
      <c r="E8020" s="241">
        <v>0</v>
      </c>
      <c r="F8020" s="241">
        <v>0</v>
      </c>
      <c r="G8020" s="241">
        <v>0</v>
      </c>
      <c r="H8020" s="241">
        <v>0.125</v>
      </c>
      <c r="I8020" s="241">
        <v>0</v>
      </c>
      <c r="J8020" s="241">
        <v>0.0909090909090909</v>
      </c>
      <c r="K8020" s="241">
        <v>0</v>
      </c>
      <c r="L8020" s="241">
        <v>0</v>
      </c>
      <c r="M8020" s="241">
        <v>0</v>
      </c>
      <c r="N8020" s="241">
        <v>0</v>
      </c>
      <c r="O8020" s="252">
        <v>0.04</v>
      </c>
    </row>
    <row r="8021" spans="1:15">
      <c r="A8021" s="242" t="s">
        <v>69</v>
      </c>
      <c r="B8021" s="43" t="s">
        <v>6</v>
      </c>
      <c r="C8021" s="15">
        <v>3</v>
      </c>
      <c r="D8021" s="244">
        <v>0</v>
      </c>
      <c r="E8021" s="244">
        <v>0</v>
      </c>
      <c r="F8021" s="244">
        <v>0</v>
      </c>
      <c r="G8021" s="244">
        <v>0</v>
      </c>
      <c r="H8021" s="244">
        <v>0</v>
      </c>
      <c r="I8021" s="244">
        <v>0</v>
      </c>
      <c r="J8021" s="244">
        <v>2</v>
      </c>
      <c r="K8021" s="244">
        <v>0</v>
      </c>
      <c r="L8021" s="244">
        <v>0</v>
      </c>
      <c r="M8021" s="244">
        <v>0</v>
      </c>
      <c r="N8021" s="244">
        <v>1</v>
      </c>
      <c r="O8021" s="254">
        <v>0</v>
      </c>
    </row>
    <row r="8022" ht="14.25" spans="1:15">
      <c r="A8022" s="245" t="s">
        <v>69</v>
      </c>
      <c r="B8022" s="52" t="s">
        <v>64</v>
      </c>
      <c r="C8022" s="19">
        <v>1</v>
      </c>
      <c r="D8022" s="246">
        <v>0</v>
      </c>
      <c r="E8022" s="246">
        <v>0</v>
      </c>
      <c r="F8022" s="246">
        <v>0</v>
      </c>
      <c r="G8022" s="246">
        <v>0</v>
      </c>
      <c r="H8022" s="246">
        <v>0</v>
      </c>
      <c r="I8022" s="246">
        <v>0</v>
      </c>
      <c r="J8022" s="246">
        <v>2</v>
      </c>
      <c r="K8022" s="246">
        <v>0</v>
      </c>
      <c r="L8022" s="246">
        <v>0</v>
      </c>
      <c r="M8022" s="246">
        <v>0</v>
      </c>
      <c r="N8022" s="246">
        <v>0</v>
      </c>
      <c r="O8022" s="255">
        <v>0</v>
      </c>
    </row>
    <row r="8023" spans="1:15">
      <c r="A8023" s="240" t="s">
        <v>70</v>
      </c>
      <c r="B8023" s="47" t="s">
        <v>55</v>
      </c>
      <c r="C8023" s="12">
        <v>3.18817204301075</v>
      </c>
      <c r="D8023" s="241">
        <v>3.11764705882353</v>
      </c>
      <c r="E8023" s="241">
        <v>4</v>
      </c>
      <c r="F8023" s="241">
        <v>2</v>
      </c>
      <c r="G8023" s="241">
        <v>2.25</v>
      </c>
      <c r="H8023" s="241">
        <v>2.5625</v>
      </c>
      <c r="I8023" s="241">
        <v>3.46666666666667</v>
      </c>
      <c r="J8023" s="241">
        <v>2.64705882352941</v>
      </c>
      <c r="K8023" s="241">
        <v>5.125</v>
      </c>
      <c r="L8023" s="241">
        <v>2.61904761904762</v>
      </c>
      <c r="M8023" s="241">
        <v>4.92307692307692</v>
      </c>
      <c r="N8023" s="241">
        <v>3.04166666666667</v>
      </c>
      <c r="O8023" s="252">
        <v>2.76923076923077</v>
      </c>
    </row>
    <row r="8024" spans="1:15">
      <c r="A8024" s="242" t="s">
        <v>70</v>
      </c>
      <c r="B8024" s="43" t="s">
        <v>57</v>
      </c>
      <c r="C8024" s="15">
        <v>186</v>
      </c>
      <c r="D8024" s="243">
        <v>17</v>
      </c>
      <c r="E8024" s="243">
        <v>6</v>
      </c>
      <c r="F8024" s="243">
        <v>7</v>
      </c>
      <c r="G8024" s="243">
        <v>8</v>
      </c>
      <c r="H8024" s="243">
        <v>16</v>
      </c>
      <c r="I8024" s="243">
        <v>15</v>
      </c>
      <c r="J8024" s="243">
        <v>17</v>
      </c>
      <c r="K8024" s="243">
        <v>16</v>
      </c>
      <c r="L8024" s="243">
        <v>21</v>
      </c>
      <c r="M8024" s="243">
        <v>13</v>
      </c>
      <c r="N8024" s="243">
        <v>24</v>
      </c>
      <c r="O8024" s="253">
        <v>26</v>
      </c>
    </row>
    <row r="8025" spans="1:15">
      <c r="A8025" s="240" t="s">
        <v>70</v>
      </c>
      <c r="B8025" s="47" t="s">
        <v>59</v>
      </c>
      <c r="C8025" s="15">
        <v>593</v>
      </c>
      <c r="D8025" s="243">
        <v>53</v>
      </c>
      <c r="E8025" s="243">
        <v>24</v>
      </c>
      <c r="F8025" s="243">
        <v>14</v>
      </c>
      <c r="G8025" s="243">
        <v>18</v>
      </c>
      <c r="H8025" s="243">
        <v>41</v>
      </c>
      <c r="I8025" s="243">
        <v>52</v>
      </c>
      <c r="J8025" s="243">
        <v>45</v>
      </c>
      <c r="K8025" s="243">
        <v>82</v>
      </c>
      <c r="L8025" s="243">
        <v>55</v>
      </c>
      <c r="M8025" s="243">
        <v>64</v>
      </c>
      <c r="N8025" s="243">
        <v>73</v>
      </c>
      <c r="O8025" s="253">
        <v>72</v>
      </c>
    </row>
    <row r="8026" spans="1:15">
      <c r="A8026" s="242" t="s">
        <v>70</v>
      </c>
      <c r="B8026" s="43" t="s">
        <v>4</v>
      </c>
      <c r="C8026" s="15">
        <v>10</v>
      </c>
      <c r="D8026" s="244">
        <v>1</v>
      </c>
      <c r="E8026" s="244">
        <v>2</v>
      </c>
      <c r="F8026" s="244">
        <v>0</v>
      </c>
      <c r="G8026" s="244">
        <v>0</v>
      </c>
      <c r="H8026" s="244">
        <v>1</v>
      </c>
      <c r="I8026" s="244">
        <v>0</v>
      </c>
      <c r="J8026" s="244">
        <v>1</v>
      </c>
      <c r="K8026" s="244">
        <v>2</v>
      </c>
      <c r="L8026" s="244">
        <v>0</v>
      </c>
      <c r="M8026" s="244">
        <v>1</v>
      </c>
      <c r="N8026" s="244">
        <v>1</v>
      </c>
      <c r="O8026" s="254">
        <v>1</v>
      </c>
    </row>
    <row r="8027" spans="1:15">
      <c r="A8027" s="240" t="s">
        <v>70</v>
      </c>
      <c r="B8027" s="47" t="s">
        <v>5</v>
      </c>
      <c r="C8027" s="12">
        <v>0.0168634064080944</v>
      </c>
      <c r="D8027" s="241">
        <v>0.0188679245283019</v>
      </c>
      <c r="E8027" s="241">
        <v>0.0833333333333333</v>
      </c>
      <c r="F8027" s="241">
        <v>0</v>
      </c>
      <c r="G8027" s="241">
        <v>0</v>
      </c>
      <c r="H8027" s="241">
        <v>0.024390243902439</v>
      </c>
      <c r="I8027" s="241">
        <v>0</v>
      </c>
      <c r="J8027" s="241">
        <v>0.0222222222222222</v>
      </c>
      <c r="K8027" s="241">
        <v>0.024390243902439</v>
      </c>
      <c r="L8027" s="241">
        <v>0</v>
      </c>
      <c r="M8027" s="241">
        <v>0.015625</v>
      </c>
      <c r="N8027" s="241">
        <v>0.0136986301369863</v>
      </c>
      <c r="O8027" s="252">
        <v>0.0138888888888889</v>
      </c>
    </row>
    <row r="8028" spans="1:15">
      <c r="A8028" s="242" t="s">
        <v>70</v>
      </c>
      <c r="B8028" s="43" t="s">
        <v>6</v>
      </c>
      <c r="C8028" s="15">
        <v>6</v>
      </c>
      <c r="D8028" s="244">
        <v>0</v>
      </c>
      <c r="E8028" s="244">
        <v>1</v>
      </c>
      <c r="F8028" s="244">
        <v>0</v>
      </c>
      <c r="G8028" s="244">
        <v>0</v>
      </c>
      <c r="H8028" s="244">
        <v>1</v>
      </c>
      <c r="I8028" s="244">
        <v>1</v>
      </c>
      <c r="J8028" s="244">
        <v>1</v>
      </c>
      <c r="K8028" s="244">
        <v>1</v>
      </c>
      <c r="L8028" s="244">
        <v>1</v>
      </c>
      <c r="M8028" s="244">
        <v>0</v>
      </c>
      <c r="N8028" s="244">
        <v>0</v>
      </c>
      <c r="O8028" s="254">
        <v>0</v>
      </c>
    </row>
    <row r="8029" ht="14.25" spans="1:15">
      <c r="A8029" s="245" t="s">
        <v>70</v>
      </c>
      <c r="B8029" s="52" t="s">
        <v>64</v>
      </c>
      <c r="C8029" s="19">
        <v>0.6</v>
      </c>
      <c r="D8029" s="246">
        <v>0</v>
      </c>
      <c r="E8029" s="246">
        <v>0.5</v>
      </c>
      <c r="F8029" s="246">
        <v>0</v>
      </c>
      <c r="G8029" s="246">
        <v>0</v>
      </c>
      <c r="H8029" s="246">
        <v>1</v>
      </c>
      <c r="I8029" s="246">
        <v>0</v>
      </c>
      <c r="J8029" s="246">
        <v>1</v>
      </c>
      <c r="K8029" s="246">
        <v>0.5</v>
      </c>
      <c r="L8029" s="246">
        <v>0</v>
      </c>
      <c r="M8029" s="246">
        <v>0</v>
      </c>
      <c r="N8029" s="246">
        <v>0</v>
      </c>
      <c r="O8029" s="255">
        <v>0</v>
      </c>
    </row>
    <row r="8030" spans="1:15">
      <c r="A8030" s="240" t="s">
        <v>26</v>
      </c>
      <c r="B8030" s="47" t="s">
        <v>55</v>
      </c>
      <c r="C8030" s="12">
        <v>0.958393113342898</v>
      </c>
      <c r="D8030" s="241">
        <v>0.978021978021978</v>
      </c>
      <c r="E8030" s="241">
        <v>0.849557522123894</v>
      </c>
      <c r="F8030" s="241">
        <v>0.925</v>
      </c>
      <c r="G8030" s="241">
        <v>1.23333333333333</v>
      </c>
      <c r="H8030" s="241">
        <v>1.06289308176101</v>
      </c>
      <c r="I8030" s="241">
        <v>0.971590909090909</v>
      </c>
      <c r="J8030" s="241">
        <v>0.942708333333333</v>
      </c>
      <c r="K8030" s="241">
        <v>0.978070175438597</v>
      </c>
      <c r="L8030" s="241">
        <v>0.835294117647059</v>
      </c>
      <c r="M8030" s="241">
        <v>1</v>
      </c>
      <c r="N8030" s="241">
        <v>0.922705314009662</v>
      </c>
      <c r="O8030" s="252">
        <v>0.947368421052632</v>
      </c>
    </row>
    <row r="8031" spans="1:15">
      <c r="A8031" s="242" t="s">
        <v>26</v>
      </c>
      <c r="B8031" s="43" t="s">
        <v>57</v>
      </c>
      <c r="C8031" s="15">
        <v>2091</v>
      </c>
      <c r="D8031" s="243">
        <v>182</v>
      </c>
      <c r="E8031" s="243">
        <v>113</v>
      </c>
      <c r="F8031" s="243">
        <v>80</v>
      </c>
      <c r="G8031" s="243">
        <v>90</v>
      </c>
      <c r="H8031" s="243">
        <v>159</v>
      </c>
      <c r="I8031" s="243">
        <v>176</v>
      </c>
      <c r="J8031" s="243">
        <v>192</v>
      </c>
      <c r="K8031" s="243">
        <v>228</v>
      </c>
      <c r="L8031" s="243">
        <v>255</v>
      </c>
      <c r="M8031" s="243">
        <v>181</v>
      </c>
      <c r="N8031" s="243">
        <v>207</v>
      </c>
      <c r="O8031" s="253">
        <v>228</v>
      </c>
    </row>
    <row r="8032" spans="1:15">
      <c r="A8032" s="240" t="s">
        <v>26</v>
      </c>
      <c r="B8032" s="47" t="s">
        <v>59</v>
      </c>
      <c r="C8032" s="15">
        <v>2004</v>
      </c>
      <c r="D8032" s="243">
        <v>178</v>
      </c>
      <c r="E8032" s="243">
        <v>96</v>
      </c>
      <c r="F8032" s="243">
        <v>74</v>
      </c>
      <c r="G8032" s="243">
        <v>111</v>
      </c>
      <c r="H8032" s="243">
        <v>169</v>
      </c>
      <c r="I8032" s="243">
        <v>171</v>
      </c>
      <c r="J8032" s="243">
        <v>181</v>
      </c>
      <c r="K8032" s="243">
        <v>223</v>
      </c>
      <c r="L8032" s="243">
        <v>213</v>
      </c>
      <c r="M8032" s="243">
        <v>181</v>
      </c>
      <c r="N8032" s="243">
        <v>191</v>
      </c>
      <c r="O8032" s="253">
        <v>216</v>
      </c>
    </row>
    <row r="8033" spans="1:15">
      <c r="A8033" s="242" t="s">
        <v>26</v>
      </c>
      <c r="B8033" s="43" t="s">
        <v>4</v>
      </c>
      <c r="C8033" s="15">
        <v>42</v>
      </c>
      <c r="D8033" s="244">
        <v>8</v>
      </c>
      <c r="E8033" s="244">
        <v>1</v>
      </c>
      <c r="F8033" s="244">
        <v>2</v>
      </c>
      <c r="G8033" s="244">
        <v>3</v>
      </c>
      <c r="H8033" s="244">
        <v>2</v>
      </c>
      <c r="I8033" s="244">
        <v>3</v>
      </c>
      <c r="J8033" s="244">
        <v>2</v>
      </c>
      <c r="K8033" s="244">
        <v>3</v>
      </c>
      <c r="L8033" s="244">
        <v>6</v>
      </c>
      <c r="M8033" s="244">
        <v>5</v>
      </c>
      <c r="N8033" s="244">
        <v>3</v>
      </c>
      <c r="O8033" s="254">
        <v>4</v>
      </c>
    </row>
    <row r="8034" spans="1:15">
      <c r="A8034" s="240" t="s">
        <v>26</v>
      </c>
      <c r="B8034" s="47" t="s">
        <v>5</v>
      </c>
      <c r="C8034" s="12">
        <v>0.0209580838323353</v>
      </c>
      <c r="D8034" s="241">
        <v>0.0449438202247191</v>
      </c>
      <c r="E8034" s="241">
        <v>0.0104166666666667</v>
      </c>
      <c r="F8034" s="241">
        <v>0.027027027027027</v>
      </c>
      <c r="G8034" s="241">
        <v>0.027027027027027</v>
      </c>
      <c r="H8034" s="241">
        <v>0.0118343195266272</v>
      </c>
      <c r="I8034" s="241">
        <v>0.0175438596491228</v>
      </c>
      <c r="J8034" s="241">
        <v>0.0110497237569061</v>
      </c>
      <c r="K8034" s="241">
        <v>0.0134529147982063</v>
      </c>
      <c r="L8034" s="241">
        <v>0.028169014084507</v>
      </c>
      <c r="M8034" s="241">
        <v>0.0276243093922652</v>
      </c>
      <c r="N8034" s="241">
        <v>0.0157068062827225</v>
      </c>
      <c r="O8034" s="252">
        <v>0.0185185185185185</v>
      </c>
    </row>
    <row r="8035" spans="1:15">
      <c r="A8035" s="242" t="s">
        <v>26</v>
      </c>
      <c r="B8035" s="43" t="s">
        <v>6</v>
      </c>
      <c r="C8035" s="15">
        <v>13</v>
      </c>
      <c r="D8035" s="244">
        <v>2</v>
      </c>
      <c r="E8035" s="244">
        <v>1</v>
      </c>
      <c r="F8035" s="244">
        <v>1</v>
      </c>
      <c r="G8035" s="244">
        <v>2</v>
      </c>
      <c r="H8035" s="244">
        <v>2</v>
      </c>
      <c r="I8035" s="244">
        <v>2</v>
      </c>
      <c r="J8035" s="244">
        <v>0</v>
      </c>
      <c r="K8035" s="244">
        <v>1</v>
      </c>
      <c r="L8035" s="244">
        <v>2</v>
      </c>
      <c r="M8035" s="244">
        <v>0</v>
      </c>
      <c r="N8035" s="244">
        <v>0</v>
      </c>
      <c r="O8035" s="254">
        <v>0</v>
      </c>
    </row>
    <row r="8036" ht="14.25" spans="1:15">
      <c r="A8036" s="245" t="s">
        <v>26</v>
      </c>
      <c r="B8036" s="52" t="s">
        <v>64</v>
      </c>
      <c r="C8036" s="19">
        <v>0.30952380952381</v>
      </c>
      <c r="D8036" s="19">
        <v>0.25</v>
      </c>
      <c r="E8036" s="19">
        <v>1</v>
      </c>
      <c r="F8036" s="19">
        <v>0.5</v>
      </c>
      <c r="G8036" s="19">
        <v>0.666666666666667</v>
      </c>
      <c r="H8036" s="19">
        <v>1</v>
      </c>
      <c r="I8036" s="19">
        <v>0.666666666666667</v>
      </c>
      <c r="J8036" s="19">
        <v>0</v>
      </c>
      <c r="K8036" s="19">
        <v>0.333333333333333</v>
      </c>
      <c r="L8036" s="19">
        <v>0.333333333333333</v>
      </c>
      <c r="M8036" s="19">
        <v>0</v>
      </c>
      <c r="N8036" s="19">
        <v>0</v>
      </c>
      <c r="O8036" s="19">
        <v>0</v>
      </c>
    </row>
    <row r="8037" spans="1:15">
      <c r="A8037" s="240" t="s">
        <v>71</v>
      </c>
      <c r="B8037" s="47" t="s">
        <v>55</v>
      </c>
      <c r="C8037" s="12" t="e">
        <v>#DIV/0!</v>
      </c>
      <c r="D8037" s="241" t="e">
        <v>#DIV/0!</v>
      </c>
      <c r="E8037" s="241" t="e">
        <v>#DIV/0!</v>
      </c>
      <c r="F8037" s="241" t="e">
        <v>#DIV/0!</v>
      </c>
      <c r="G8037" s="241" t="e">
        <v>#DIV/0!</v>
      </c>
      <c r="H8037" s="241" t="e">
        <v>#DIV/0!</v>
      </c>
      <c r="I8037" s="241" t="e">
        <v>#DIV/0!</v>
      </c>
      <c r="J8037" s="241" t="e">
        <v>#DIV/0!</v>
      </c>
      <c r="K8037" s="241" t="e">
        <v>#DIV/0!</v>
      </c>
      <c r="L8037" s="241" t="e">
        <v>#DIV/0!</v>
      </c>
      <c r="M8037" s="241" t="e">
        <v>#DIV/0!</v>
      </c>
      <c r="N8037" s="241" t="e">
        <v>#DIV/0!</v>
      </c>
      <c r="O8037" s="252" t="e">
        <v>#DIV/0!</v>
      </c>
    </row>
    <row r="8038" spans="1:15">
      <c r="A8038" s="242" t="s">
        <v>71</v>
      </c>
      <c r="B8038" s="43" t="s">
        <v>57</v>
      </c>
      <c r="C8038" s="15">
        <v>0</v>
      </c>
      <c r="D8038" s="243">
        <v>0</v>
      </c>
      <c r="E8038" s="243">
        <v>0</v>
      </c>
      <c r="F8038" s="243">
        <v>0</v>
      </c>
      <c r="G8038" s="243">
        <v>0</v>
      </c>
      <c r="H8038" s="243">
        <v>0</v>
      </c>
      <c r="I8038" s="243">
        <v>0</v>
      </c>
      <c r="J8038" s="243">
        <v>0</v>
      </c>
      <c r="K8038" s="243">
        <v>0</v>
      </c>
      <c r="L8038" s="243">
        <v>0</v>
      </c>
      <c r="M8038" s="243">
        <v>0</v>
      </c>
      <c r="N8038" s="243">
        <v>0</v>
      </c>
      <c r="O8038" s="253">
        <v>0</v>
      </c>
    </row>
    <row r="8039" spans="1:15">
      <c r="A8039" s="240" t="s">
        <v>71</v>
      </c>
      <c r="B8039" s="47" t="s">
        <v>59</v>
      </c>
      <c r="C8039" s="309">
        <v>42</v>
      </c>
      <c r="D8039" s="310">
        <v>3</v>
      </c>
      <c r="E8039" s="310">
        <v>2</v>
      </c>
      <c r="F8039" s="310">
        <v>1</v>
      </c>
      <c r="G8039" s="310">
        <v>4</v>
      </c>
      <c r="H8039" s="310">
        <v>3</v>
      </c>
      <c r="I8039" s="310">
        <v>3</v>
      </c>
      <c r="J8039" s="310">
        <v>4</v>
      </c>
      <c r="K8039" s="310">
        <v>3</v>
      </c>
      <c r="L8039" s="310">
        <v>12</v>
      </c>
      <c r="M8039" s="310">
        <v>2</v>
      </c>
      <c r="N8039" s="310">
        <v>3</v>
      </c>
      <c r="O8039" s="311">
        <v>2</v>
      </c>
    </row>
    <row r="8040" spans="1:15">
      <c r="A8040" s="242" t="s">
        <v>71</v>
      </c>
      <c r="B8040" s="43" t="s">
        <v>4</v>
      </c>
      <c r="C8040" s="15">
        <v>0</v>
      </c>
      <c r="D8040" s="244">
        <v>0</v>
      </c>
      <c r="E8040" s="244">
        <v>0</v>
      </c>
      <c r="F8040" s="244">
        <v>0</v>
      </c>
      <c r="G8040" s="244">
        <v>0</v>
      </c>
      <c r="H8040" s="244">
        <v>0</v>
      </c>
      <c r="I8040" s="244">
        <v>0</v>
      </c>
      <c r="J8040" s="244">
        <v>0</v>
      </c>
      <c r="K8040" s="244">
        <v>0</v>
      </c>
      <c r="L8040" s="244">
        <v>0</v>
      </c>
      <c r="M8040" s="244">
        <v>0</v>
      </c>
      <c r="N8040" s="244">
        <v>0</v>
      </c>
      <c r="O8040" s="254">
        <v>0</v>
      </c>
    </row>
    <row r="8041" spans="1:15">
      <c r="A8041" s="240" t="s">
        <v>71</v>
      </c>
      <c r="B8041" s="47" t="s">
        <v>5</v>
      </c>
      <c r="C8041" s="241">
        <v>0</v>
      </c>
      <c r="D8041" s="241">
        <v>0</v>
      </c>
      <c r="E8041" s="241">
        <v>0</v>
      </c>
      <c r="F8041" s="241">
        <v>0</v>
      </c>
      <c r="G8041" s="241">
        <v>0</v>
      </c>
      <c r="H8041" s="241">
        <v>0</v>
      </c>
      <c r="I8041" s="241">
        <v>0</v>
      </c>
      <c r="J8041" s="241">
        <v>0</v>
      </c>
      <c r="K8041" s="241">
        <v>0</v>
      </c>
      <c r="L8041" s="241">
        <v>0</v>
      </c>
      <c r="M8041" s="241">
        <v>0</v>
      </c>
      <c r="N8041" s="241">
        <v>0</v>
      </c>
      <c r="O8041" s="252">
        <v>0</v>
      </c>
    </row>
    <row r="8042" spans="1:15">
      <c r="A8042" s="242" t="s">
        <v>71</v>
      </c>
      <c r="B8042" s="43" t="s">
        <v>6</v>
      </c>
      <c r="C8042" s="15">
        <v>0</v>
      </c>
      <c r="D8042" s="244">
        <v>0</v>
      </c>
      <c r="E8042" s="244">
        <v>0</v>
      </c>
      <c r="F8042" s="244">
        <v>0</v>
      </c>
      <c r="G8042" s="244">
        <v>0</v>
      </c>
      <c r="H8042" s="244">
        <v>0</v>
      </c>
      <c r="I8042" s="244">
        <v>0</v>
      </c>
      <c r="J8042" s="244">
        <v>0</v>
      </c>
      <c r="K8042" s="244">
        <v>0</v>
      </c>
      <c r="L8042" s="244">
        <v>0</v>
      </c>
      <c r="M8042" s="244">
        <v>0</v>
      </c>
      <c r="N8042" s="244">
        <v>0</v>
      </c>
      <c r="O8042" s="254">
        <v>0</v>
      </c>
    </row>
    <row r="8043" ht="14.25" spans="1:15">
      <c r="A8043" s="245" t="s">
        <v>71</v>
      </c>
      <c r="B8043" s="52" t="s">
        <v>64</v>
      </c>
      <c r="C8043" s="19" t="e">
        <v>#DIV/0!</v>
      </c>
      <c r="D8043" s="19" t="e">
        <v>#DIV/0!</v>
      </c>
      <c r="E8043" s="19" t="e">
        <v>#DIV/0!</v>
      </c>
      <c r="F8043" s="19" t="e">
        <v>#DIV/0!</v>
      </c>
      <c r="G8043" s="19" t="e">
        <v>#DIV/0!</v>
      </c>
      <c r="H8043" s="19" t="e">
        <v>#DIV/0!</v>
      </c>
      <c r="I8043" s="19" t="e">
        <v>#DIV/0!</v>
      </c>
      <c r="J8043" s="19" t="e">
        <v>#DIV/0!</v>
      </c>
      <c r="K8043" s="19" t="e">
        <v>#DIV/0!</v>
      </c>
      <c r="L8043" s="19" t="e">
        <v>#DIV/0!</v>
      </c>
      <c r="M8043" s="19" t="e">
        <v>#DIV/0!</v>
      </c>
      <c r="N8043" s="19" t="e">
        <v>#DIV/0!</v>
      </c>
      <c r="O8043" s="19" t="e">
        <v>#DIV/0!</v>
      </c>
    </row>
    <row r="8044" spans="1:15">
      <c r="A8044" s="240" t="s">
        <v>72</v>
      </c>
      <c r="B8044" s="47" t="s">
        <v>55</v>
      </c>
      <c r="C8044" s="12">
        <v>0.070855614973262</v>
      </c>
      <c r="D8044" s="241">
        <v>0.128113879003559</v>
      </c>
      <c r="E8044" s="241">
        <v>0.0864864864864865</v>
      </c>
      <c r="F8044" s="241">
        <v>0.0991735537190083</v>
      </c>
      <c r="G8044" s="241">
        <v>0.0511363636363636</v>
      </c>
      <c r="H8044" s="241">
        <v>0.056782334384858</v>
      </c>
      <c r="I8044" s="241">
        <v>0.0625</v>
      </c>
      <c r="J8044" s="241">
        <v>0.0780856423173804</v>
      </c>
      <c r="K8044" s="241">
        <v>0.0575916230366492</v>
      </c>
      <c r="L8044" s="241">
        <v>0.0665236051502146</v>
      </c>
      <c r="M8044" s="241">
        <v>0.0662251655629139</v>
      </c>
      <c r="N8044" s="241">
        <v>0.0562851782363977</v>
      </c>
      <c r="O8044" s="252">
        <v>0.0802047781569966</v>
      </c>
    </row>
    <row r="8045" spans="1:15">
      <c r="A8045" s="242" t="s">
        <v>72</v>
      </c>
      <c r="B8045" s="43" t="s">
        <v>57</v>
      </c>
      <c r="C8045" s="15">
        <v>4488</v>
      </c>
      <c r="D8045" s="243">
        <v>281</v>
      </c>
      <c r="E8045" s="243">
        <v>185</v>
      </c>
      <c r="F8045" s="243">
        <v>121</v>
      </c>
      <c r="G8045" s="243">
        <v>176</v>
      </c>
      <c r="H8045" s="243">
        <v>317</v>
      </c>
      <c r="I8045" s="243">
        <v>400</v>
      </c>
      <c r="J8045" s="243">
        <v>397</v>
      </c>
      <c r="K8045" s="243">
        <v>573</v>
      </c>
      <c r="L8045" s="243">
        <v>466</v>
      </c>
      <c r="M8045" s="243">
        <v>453</v>
      </c>
      <c r="N8045" s="243">
        <v>533</v>
      </c>
      <c r="O8045" s="253">
        <v>586</v>
      </c>
    </row>
    <row r="8046" spans="1:15">
      <c r="A8046" s="240" t="s">
        <v>72</v>
      </c>
      <c r="B8046" s="47" t="s">
        <v>59</v>
      </c>
      <c r="C8046" s="15">
        <v>318</v>
      </c>
      <c r="D8046" s="243">
        <v>36</v>
      </c>
      <c r="E8046" s="243">
        <v>16</v>
      </c>
      <c r="F8046" s="243">
        <v>12</v>
      </c>
      <c r="G8046" s="243">
        <v>9</v>
      </c>
      <c r="H8046" s="243">
        <v>18</v>
      </c>
      <c r="I8046" s="243">
        <v>25</v>
      </c>
      <c r="J8046" s="243">
        <v>31</v>
      </c>
      <c r="K8046" s="243">
        <v>33</v>
      </c>
      <c r="L8046" s="243">
        <v>31</v>
      </c>
      <c r="M8046" s="243">
        <v>30</v>
      </c>
      <c r="N8046" s="243">
        <v>30</v>
      </c>
      <c r="O8046" s="253">
        <v>47</v>
      </c>
    </row>
    <row r="8047" spans="1:15">
      <c r="A8047" s="242" t="s">
        <v>72</v>
      </c>
      <c r="B8047" s="43" t="s">
        <v>4</v>
      </c>
      <c r="C8047" s="15">
        <v>8</v>
      </c>
      <c r="D8047" s="244">
        <v>0</v>
      </c>
      <c r="E8047" s="244">
        <v>1</v>
      </c>
      <c r="F8047" s="244">
        <v>0</v>
      </c>
      <c r="G8047" s="244">
        <v>0</v>
      </c>
      <c r="H8047" s="244">
        <v>0</v>
      </c>
      <c r="I8047" s="244">
        <v>1</v>
      </c>
      <c r="J8047" s="244">
        <v>0</v>
      </c>
      <c r="K8047" s="244">
        <v>1</v>
      </c>
      <c r="L8047" s="244">
        <v>1</v>
      </c>
      <c r="M8047" s="244">
        <v>0</v>
      </c>
      <c r="N8047" s="244">
        <v>0</v>
      </c>
      <c r="O8047" s="254">
        <v>4</v>
      </c>
    </row>
    <row r="8048" spans="1:15">
      <c r="A8048" s="240" t="s">
        <v>72</v>
      </c>
      <c r="B8048" s="47" t="s">
        <v>5</v>
      </c>
      <c r="C8048" s="12">
        <v>0.0251572327044025</v>
      </c>
      <c r="D8048" s="241">
        <v>0</v>
      </c>
      <c r="E8048" s="241">
        <v>0.0625</v>
      </c>
      <c r="F8048" s="241">
        <v>0</v>
      </c>
      <c r="G8048" s="241">
        <v>0</v>
      </c>
      <c r="H8048" s="241">
        <v>0</v>
      </c>
      <c r="I8048" s="241">
        <v>0.04</v>
      </c>
      <c r="J8048" s="241">
        <v>0</v>
      </c>
      <c r="K8048" s="241">
        <v>0.0303030303030303</v>
      </c>
      <c r="L8048" s="241">
        <v>0.032258064516129</v>
      </c>
      <c r="M8048" s="241">
        <v>0</v>
      </c>
      <c r="N8048" s="241">
        <v>0</v>
      </c>
      <c r="O8048" s="252">
        <v>0.0851063829787234</v>
      </c>
    </row>
    <row r="8049" spans="1:15">
      <c r="A8049" s="242" t="s">
        <v>72</v>
      </c>
      <c r="B8049" s="43" t="s">
        <v>6</v>
      </c>
      <c r="C8049" s="15">
        <v>3</v>
      </c>
      <c r="D8049" s="244">
        <v>0</v>
      </c>
      <c r="E8049" s="244">
        <v>0</v>
      </c>
      <c r="F8049" s="244">
        <v>0</v>
      </c>
      <c r="G8049" s="244">
        <v>0</v>
      </c>
      <c r="H8049" s="244">
        <v>0</v>
      </c>
      <c r="I8049" s="244">
        <v>0</v>
      </c>
      <c r="J8049" s="244">
        <v>0</v>
      </c>
      <c r="K8049" s="244">
        <v>1</v>
      </c>
      <c r="L8049" s="244">
        <v>1</v>
      </c>
      <c r="M8049" s="244">
        <v>0</v>
      </c>
      <c r="N8049" s="244">
        <v>1</v>
      </c>
      <c r="O8049" s="254">
        <v>0</v>
      </c>
    </row>
    <row r="8050" ht="14.25" spans="1:15">
      <c r="A8050" s="245" t="s">
        <v>72</v>
      </c>
      <c r="B8050" s="52" t="s">
        <v>64</v>
      </c>
      <c r="C8050" s="19">
        <v>0.375</v>
      </c>
      <c r="D8050" s="19" t="e">
        <v>#DIV/0!</v>
      </c>
      <c r="E8050" s="19">
        <v>0</v>
      </c>
      <c r="F8050" s="19" t="e">
        <v>#DIV/0!</v>
      </c>
      <c r="G8050" s="19" t="e">
        <v>#DIV/0!</v>
      </c>
      <c r="H8050" s="19" t="e">
        <v>#DIV/0!</v>
      </c>
      <c r="I8050" s="19">
        <v>0</v>
      </c>
      <c r="J8050" s="19" t="e">
        <v>#DIV/0!</v>
      </c>
      <c r="K8050" s="19">
        <v>1</v>
      </c>
      <c r="L8050" s="19">
        <v>1</v>
      </c>
      <c r="M8050" s="19" t="e">
        <v>#DIV/0!</v>
      </c>
      <c r="N8050" s="19" t="e">
        <v>#DIV/0!</v>
      </c>
      <c r="O8050" s="19">
        <v>0</v>
      </c>
    </row>
    <row r="8051" ht="14.25" spans="1:15">
      <c r="A8051" s="237">
        <v>45144</v>
      </c>
      <c r="B8051" s="237"/>
      <c r="C8051" s="237"/>
      <c r="D8051" s="237"/>
      <c r="E8051" s="237"/>
      <c r="F8051" s="237"/>
      <c r="G8051" s="237"/>
      <c r="H8051" s="237"/>
      <c r="I8051" s="237"/>
      <c r="J8051" s="237"/>
      <c r="K8051" s="237"/>
      <c r="L8051" s="237"/>
      <c r="M8051" s="237"/>
      <c r="N8051" s="237"/>
      <c r="O8051" s="237"/>
    </row>
    <row r="8052" spans="1:15">
      <c r="A8052" s="56" t="s">
        <v>1</v>
      </c>
      <c r="B8052" s="238"/>
      <c r="C8052" s="8" t="s">
        <v>42</v>
      </c>
      <c r="D8052" s="239" t="s">
        <v>43</v>
      </c>
      <c r="E8052" s="239" t="s">
        <v>44</v>
      </c>
      <c r="F8052" s="239" t="s">
        <v>45</v>
      </c>
      <c r="G8052" s="239" t="s">
        <v>46</v>
      </c>
      <c r="H8052" s="239" t="s">
        <v>47</v>
      </c>
      <c r="I8052" s="239" t="s">
        <v>48</v>
      </c>
      <c r="J8052" s="239" t="s">
        <v>49</v>
      </c>
      <c r="K8052" s="239" t="s">
        <v>50</v>
      </c>
      <c r="L8052" s="239" t="s">
        <v>51</v>
      </c>
      <c r="M8052" s="239" t="s">
        <v>52</v>
      </c>
      <c r="N8052" s="239" t="s">
        <v>53</v>
      </c>
      <c r="O8052" s="251" t="s">
        <v>54</v>
      </c>
    </row>
    <row r="8053" spans="1:15">
      <c r="A8053" s="240" t="s">
        <v>22</v>
      </c>
      <c r="B8053" s="47" t="s">
        <v>55</v>
      </c>
      <c r="C8053" s="12">
        <v>0.293665436654367</v>
      </c>
      <c r="D8053" s="241">
        <v>0.33810888252149</v>
      </c>
      <c r="E8053" s="241">
        <v>0.380710659898477</v>
      </c>
      <c r="F8053" s="241">
        <v>0.303448275862069</v>
      </c>
      <c r="G8053" s="241">
        <v>0.325581395348837</v>
      </c>
      <c r="H8053" s="241">
        <v>0.285714285714286</v>
      </c>
      <c r="I8053" s="241">
        <v>0.312757201646091</v>
      </c>
      <c r="J8053" s="241">
        <v>0.262773722627737</v>
      </c>
      <c r="K8053" s="241">
        <v>0.269972451790634</v>
      </c>
      <c r="L8053" s="241">
        <v>0.282312925170068</v>
      </c>
      <c r="M8053" s="241">
        <v>0.394422310756972</v>
      </c>
      <c r="N8053" s="241">
        <v>0.253263707571802</v>
      </c>
      <c r="O8053" s="252">
        <v>0.222988505747126</v>
      </c>
    </row>
    <row r="8054" spans="1:15">
      <c r="A8054" s="242" t="s">
        <v>22</v>
      </c>
      <c r="B8054" s="43" t="s">
        <v>57</v>
      </c>
      <c r="C8054" s="15">
        <v>3252</v>
      </c>
      <c r="D8054" s="243">
        <v>349</v>
      </c>
      <c r="E8054" s="243">
        <v>197</v>
      </c>
      <c r="F8054" s="243">
        <v>145</v>
      </c>
      <c r="G8054" s="243">
        <v>129</v>
      </c>
      <c r="H8054" s="243">
        <v>189</v>
      </c>
      <c r="I8054" s="243">
        <v>243</v>
      </c>
      <c r="J8054" s="243">
        <v>274</v>
      </c>
      <c r="K8054" s="243">
        <v>363</v>
      </c>
      <c r="L8054" s="243">
        <v>294</v>
      </c>
      <c r="M8054" s="243">
        <v>251</v>
      </c>
      <c r="N8054" s="243">
        <v>383</v>
      </c>
      <c r="O8054" s="253">
        <v>435</v>
      </c>
    </row>
    <row r="8055" spans="1:15">
      <c r="A8055" s="240" t="s">
        <v>22</v>
      </c>
      <c r="B8055" s="47" t="s">
        <v>59</v>
      </c>
      <c r="C8055" s="15">
        <v>955</v>
      </c>
      <c r="D8055" s="243">
        <v>118</v>
      </c>
      <c r="E8055" s="243">
        <v>75</v>
      </c>
      <c r="F8055" s="243">
        <v>44</v>
      </c>
      <c r="G8055" s="243">
        <v>42</v>
      </c>
      <c r="H8055" s="243">
        <v>54</v>
      </c>
      <c r="I8055" s="243">
        <v>76</v>
      </c>
      <c r="J8055" s="243">
        <v>72</v>
      </c>
      <c r="K8055" s="243">
        <v>98</v>
      </c>
      <c r="L8055" s="243">
        <v>83</v>
      </c>
      <c r="M8055" s="243">
        <v>99</v>
      </c>
      <c r="N8055" s="243">
        <v>97</v>
      </c>
      <c r="O8055" s="253">
        <v>97</v>
      </c>
    </row>
    <row r="8056" spans="1:15">
      <c r="A8056" s="242" t="s">
        <v>22</v>
      </c>
      <c r="B8056" s="43" t="s">
        <v>4</v>
      </c>
      <c r="C8056" s="15">
        <v>83</v>
      </c>
      <c r="D8056" s="244">
        <v>7</v>
      </c>
      <c r="E8056" s="244">
        <v>6</v>
      </c>
      <c r="F8056" s="244">
        <v>2</v>
      </c>
      <c r="G8056" s="244">
        <v>2</v>
      </c>
      <c r="H8056" s="244">
        <v>3</v>
      </c>
      <c r="I8056" s="244">
        <v>9</v>
      </c>
      <c r="J8056" s="244">
        <v>8</v>
      </c>
      <c r="K8056" s="244">
        <v>8</v>
      </c>
      <c r="L8056" s="244">
        <v>9</v>
      </c>
      <c r="M8056" s="244">
        <v>10</v>
      </c>
      <c r="N8056" s="244">
        <v>11</v>
      </c>
      <c r="O8056" s="254">
        <v>8</v>
      </c>
    </row>
    <row r="8057" spans="1:15">
      <c r="A8057" s="240" t="s">
        <v>22</v>
      </c>
      <c r="B8057" s="47" t="s">
        <v>5</v>
      </c>
      <c r="C8057" s="12">
        <v>0.0869109947643979</v>
      </c>
      <c r="D8057" s="241">
        <v>0.0593220338983051</v>
      </c>
      <c r="E8057" s="241">
        <v>0.08</v>
      </c>
      <c r="F8057" s="241">
        <v>0.0454545454545455</v>
      </c>
      <c r="G8057" s="241">
        <v>0.0476190476190476</v>
      </c>
      <c r="H8057" s="241">
        <v>0.0555555555555556</v>
      </c>
      <c r="I8057" s="241">
        <v>0.118421052631579</v>
      </c>
      <c r="J8057" s="241">
        <v>0.111111111111111</v>
      </c>
      <c r="K8057" s="241">
        <v>0.0816326530612245</v>
      </c>
      <c r="L8057" s="241">
        <v>0.108433734939759</v>
      </c>
      <c r="M8057" s="241">
        <v>0.101010101010101</v>
      </c>
      <c r="N8057" s="241">
        <v>0.11340206185567</v>
      </c>
      <c r="O8057" s="252">
        <v>0.0824742268041237</v>
      </c>
    </row>
    <row r="8058" spans="1:15">
      <c r="A8058" s="242" t="s">
        <v>22</v>
      </c>
      <c r="B8058" s="43" t="s">
        <v>6</v>
      </c>
      <c r="C8058" s="15">
        <v>21</v>
      </c>
      <c r="D8058" s="244">
        <v>1</v>
      </c>
      <c r="E8058" s="244">
        <v>1</v>
      </c>
      <c r="F8058" s="244">
        <v>0</v>
      </c>
      <c r="G8058" s="244">
        <v>1</v>
      </c>
      <c r="H8058" s="244">
        <v>2</v>
      </c>
      <c r="I8058" s="244">
        <v>0</v>
      </c>
      <c r="J8058" s="244">
        <v>4</v>
      </c>
      <c r="K8058" s="244">
        <v>2</v>
      </c>
      <c r="L8058" s="244">
        <v>1</v>
      </c>
      <c r="M8058" s="244">
        <v>2</v>
      </c>
      <c r="N8058" s="244">
        <v>5</v>
      </c>
      <c r="O8058" s="254">
        <v>2</v>
      </c>
    </row>
    <row r="8059" ht="14.25" spans="1:15">
      <c r="A8059" s="245" t="s">
        <v>22</v>
      </c>
      <c r="B8059" s="52" t="s">
        <v>64</v>
      </c>
      <c r="C8059" s="19">
        <v>0.253012048192771</v>
      </c>
      <c r="D8059" s="246">
        <v>0.142857142857143</v>
      </c>
      <c r="E8059" s="246">
        <v>0.166666666666667</v>
      </c>
      <c r="F8059" s="246">
        <v>0</v>
      </c>
      <c r="G8059" s="246">
        <v>0.5</v>
      </c>
      <c r="H8059" s="246">
        <v>0.666666666666667</v>
      </c>
      <c r="I8059" s="246">
        <v>0</v>
      </c>
      <c r="J8059" s="246">
        <v>0.5</v>
      </c>
      <c r="K8059" s="246">
        <v>0.25</v>
      </c>
      <c r="L8059" s="246">
        <v>0.111111111111111</v>
      </c>
      <c r="M8059" s="246">
        <v>0.2</v>
      </c>
      <c r="N8059" s="246">
        <v>0.454545454545455</v>
      </c>
      <c r="O8059" s="255">
        <v>0.25</v>
      </c>
    </row>
    <row r="8060" spans="1:15">
      <c r="A8060" s="247" t="s">
        <v>66</v>
      </c>
      <c r="B8060" s="248" t="s">
        <v>55</v>
      </c>
      <c r="C8060" s="12">
        <v>0.0772998296422487</v>
      </c>
      <c r="D8060" s="249">
        <v>0.1175</v>
      </c>
      <c r="E8060" s="249">
        <v>0.12992125984252</v>
      </c>
      <c r="F8060" s="249">
        <v>0.118226600985222</v>
      </c>
      <c r="G8060" s="249">
        <v>0.0875</v>
      </c>
      <c r="H8060" s="249">
        <v>0.0759878419452888</v>
      </c>
      <c r="I8060" s="249">
        <v>0.0651558073654391</v>
      </c>
      <c r="J8060" s="249">
        <v>0.0821596244131455</v>
      </c>
      <c r="K8060" s="249">
        <v>0.0631578947368421</v>
      </c>
      <c r="L8060" s="249">
        <v>0.0608519269776876</v>
      </c>
      <c r="M8060" s="249">
        <v>0.046875</v>
      </c>
      <c r="N8060" s="249">
        <v>0.0549645390070922</v>
      </c>
      <c r="O8060" s="256">
        <v>0.08</v>
      </c>
    </row>
    <row r="8061" spans="1:15">
      <c r="A8061" s="242" t="s">
        <v>66</v>
      </c>
      <c r="B8061" s="43" t="s">
        <v>57</v>
      </c>
      <c r="C8061" s="15">
        <v>4696</v>
      </c>
      <c r="D8061" s="243">
        <v>400</v>
      </c>
      <c r="E8061" s="243">
        <v>254</v>
      </c>
      <c r="F8061" s="243">
        <v>203</v>
      </c>
      <c r="G8061" s="243">
        <v>240</v>
      </c>
      <c r="H8061" s="243">
        <v>329</v>
      </c>
      <c r="I8061" s="243">
        <v>353</v>
      </c>
      <c r="J8061" s="243">
        <v>426</v>
      </c>
      <c r="K8061" s="243">
        <v>475</v>
      </c>
      <c r="L8061" s="243">
        <v>493</v>
      </c>
      <c r="M8061" s="243">
        <v>384</v>
      </c>
      <c r="N8061" s="243">
        <v>564</v>
      </c>
      <c r="O8061" s="253">
        <v>575</v>
      </c>
    </row>
    <row r="8062" spans="1:15">
      <c r="A8062" s="240" t="s">
        <v>66</v>
      </c>
      <c r="B8062" s="47" t="s">
        <v>59</v>
      </c>
      <c r="C8062" s="15">
        <v>363</v>
      </c>
      <c r="D8062" s="243">
        <v>47</v>
      </c>
      <c r="E8062" s="243">
        <v>33</v>
      </c>
      <c r="F8062" s="243">
        <v>24</v>
      </c>
      <c r="G8062" s="243">
        <v>21</v>
      </c>
      <c r="H8062" s="243">
        <v>25</v>
      </c>
      <c r="I8062" s="243">
        <v>23</v>
      </c>
      <c r="J8062" s="243">
        <v>35</v>
      </c>
      <c r="K8062" s="243">
        <v>30</v>
      </c>
      <c r="L8062" s="243">
        <v>30</v>
      </c>
      <c r="M8062" s="243">
        <v>18</v>
      </c>
      <c r="N8062" s="243">
        <v>31</v>
      </c>
      <c r="O8062" s="253">
        <v>46</v>
      </c>
    </row>
    <row r="8063" spans="1:15">
      <c r="A8063" s="242" t="s">
        <v>66</v>
      </c>
      <c r="B8063" s="43" t="s">
        <v>4</v>
      </c>
      <c r="C8063" s="15">
        <v>10</v>
      </c>
      <c r="D8063" s="244">
        <v>2</v>
      </c>
      <c r="E8063" s="244">
        <v>1</v>
      </c>
      <c r="F8063" s="244">
        <v>1</v>
      </c>
      <c r="G8063" s="244">
        <v>0</v>
      </c>
      <c r="H8063" s="244">
        <v>0</v>
      </c>
      <c r="I8063" s="244">
        <v>0</v>
      </c>
      <c r="J8063" s="244">
        <v>2</v>
      </c>
      <c r="K8063" s="244">
        <v>1</v>
      </c>
      <c r="L8063" s="244">
        <v>1</v>
      </c>
      <c r="M8063" s="244">
        <v>0</v>
      </c>
      <c r="N8063" s="244">
        <v>2</v>
      </c>
      <c r="O8063" s="254">
        <v>0</v>
      </c>
    </row>
    <row r="8064" spans="1:15">
      <c r="A8064" s="240" t="s">
        <v>66</v>
      </c>
      <c r="B8064" s="47" t="s">
        <v>5</v>
      </c>
      <c r="C8064" s="12">
        <v>0.0275482093663912</v>
      </c>
      <c r="D8064" s="241">
        <v>0.0425531914893617</v>
      </c>
      <c r="E8064" s="241">
        <v>0.0303030303030303</v>
      </c>
      <c r="F8064" s="241">
        <v>0.0416666666666667</v>
      </c>
      <c r="G8064" s="241">
        <v>0</v>
      </c>
      <c r="H8064" s="241">
        <v>0</v>
      </c>
      <c r="I8064" s="241">
        <v>0</v>
      </c>
      <c r="J8064" s="241">
        <v>0.0571428571428571</v>
      </c>
      <c r="K8064" s="241">
        <v>0.0333333333333333</v>
      </c>
      <c r="L8064" s="241">
        <v>0.0333333333333333</v>
      </c>
      <c r="M8064" s="241">
        <v>0</v>
      </c>
      <c r="N8064" s="241">
        <v>0.0645161290322581</v>
      </c>
      <c r="O8064" s="252">
        <v>0</v>
      </c>
    </row>
    <row r="8065" spans="1:15">
      <c r="A8065" s="242" t="s">
        <v>66</v>
      </c>
      <c r="B8065" s="43" t="s">
        <v>6</v>
      </c>
      <c r="C8065" s="15">
        <v>7</v>
      </c>
      <c r="D8065" s="244">
        <v>0</v>
      </c>
      <c r="E8065" s="244">
        <v>1</v>
      </c>
      <c r="F8065" s="244">
        <v>1</v>
      </c>
      <c r="G8065" s="244">
        <v>1</v>
      </c>
      <c r="H8065" s="244">
        <v>0</v>
      </c>
      <c r="I8065" s="244">
        <v>1</v>
      </c>
      <c r="J8065" s="244">
        <v>0</v>
      </c>
      <c r="K8065" s="244">
        <v>2</v>
      </c>
      <c r="L8065" s="244">
        <v>0</v>
      </c>
      <c r="M8065" s="244">
        <v>0</v>
      </c>
      <c r="N8065" s="244">
        <v>1</v>
      </c>
      <c r="O8065" s="254">
        <v>0</v>
      </c>
    </row>
    <row r="8066" ht="14.25" spans="1:15">
      <c r="A8066" s="245" t="s">
        <v>66</v>
      </c>
      <c r="B8066" s="52" t="s">
        <v>64</v>
      </c>
      <c r="C8066" s="19">
        <v>0.7</v>
      </c>
      <c r="D8066" s="246">
        <v>0</v>
      </c>
      <c r="E8066" s="246">
        <v>1</v>
      </c>
      <c r="F8066" s="246">
        <v>1</v>
      </c>
      <c r="G8066" s="246">
        <v>0</v>
      </c>
      <c r="H8066" s="246">
        <v>0</v>
      </c>
      <c r="I8066" s="246">
        <v>0</v>
      </c>
      <c r="J8066" s="246">
        <v>0</v>
      </c>
      <c r="K8066" s="246">
        <v>2</v>
      </c>
      <c r="L8066" s="246">
        <v>0</v>
      </c>
      <c r="M8066" s="246">
        <v>0</v>
      </c>
      <c r="N8066" s="246">
        <v>0.5</v>
      </c>
      <c r="O8066" s="255">
        <v>0</v>
      </c>
    </row>
    <row r="8067" spans="1:15">
      <c r="A8067" s="240" t="s">
        <v>67</v>
      </c>
      <c r="B8067" s="47" t="s">
        <v>55</v>
      </c>
      <c r="C8067" s="12">
        <v>0.567990373044525</v>
      </c>
      <c r="D8067" s="241">
        <v>0.671232876712329</v>
      </c>
      <c r="E8067" s="241">
        <v>0.555555555555556</v>
      </c>
      <c r="F8067" s="241">
        <v>0.538461538461538</v>
      </c>
      <c r="G8067" s="241">
        <v>0.707317073170732</v>
      </c>
      <c r="H8067" s="241">
        <v>0.569230769230769</v>
      </c>
      <c r="I8067" s="241">
        <v>0.578947368421053</v>
      </c>
      <c r="J8067" s="241">
        <v>0.576923076923077</v>
      </c>
      <c r="K8067" s="241">
        <v>0.456310679611651</v>
      </c>
      <c r="L8067" s="241">
        <v>0.536082474226804</v>
      </c>
      <c r="M8067" s="241">
        <v>0.44578313253012</v>
      </c>
      <c r="N8067" s="241">
        <v>0.623188405797101</v>
      </c>
      <c r="O8067" s="252">
        <v>0.666666666666667</v>
      </c>
    </row>
    <row r="8068" spans="1:15">
      <c r="A8068" s="242" t="s">
        <v>67</v>
      </c>
      <c r="B8068" s="43" t="s">
        <v>57</v>
      </c>
      <c r="C8068" s="15">
        <v>831</v>
      </c>
      <c r="D8068" s="243">
        <v>73</v>
      </c>
      <c r="E8068" s="243">
        <v>45</v>
      </c>
      <c r="F8068" s="243">
        <v>39</v>
      </c>
      <c r="G8068" s="243">
        <v>41</v>
      </c>
      <c r="H8068" s="243">
        <v>65</v>
      </c>
      <c r="I8068" s="243">
        <v>57</v>
      </c>
      <c r="J8068" s="243">
        <v>78</v>
      </c>
      <c r="K8068" s="243">
        <v>103</v>
      </c>
      <c r="L8068" s="243">
        <v>97</v>
      </c>
      <c r="M8068" s="243">
        <v>83</v>
      </c>
      <c r="N8068" s="243">
        <v>69</v>
      </c>
      <c r="O8068" s="253">
        <v>81</v>
      </c>
    </row>
    <row r="8069" spans="1:15">
      <c r="A8069" s="240" t="s">
        <v>67</v>
      </c>
      <c r="B8069" s="47" t="s">
        <v>59</v>
      </c>
      <c r="C8069" s="15">
        <v>472</v>
      </c>
      <c r="D8069" s="243">
        <v>49</v>
      </c>
      <c r="E8069" s="243">
        <v>25</v>
      </c>
      <c r="F8069" s="243">
        <v>21</v>
      </c>
      <c r="G8069" s="243">
        <v>29</v>
      </c>
      <c r="H8069" s="243">
        <v>37</v>
      </c>
      <c r="I8069" s="243">
        <v>33</v>
      </c>
      <c r="J8069" s="243">
        <v>45</v>
      </c>
      <c r="K8069" s="243">
        <v>47</v>
      </c>
      <c r="L8069" s="243">
        <v>52</v>
      </c>
      <c r="M8069" s="243">
        <v>37</v>
      </c>
      <c r="N8069" s="243">
        <v>43</v>
      </c>
      <c r="O8069" s="253">
        <v>54</v>
      </c>
    </row>
    <row r="8070" spans="1:15">
      <c r="A8070" s="242" t="s">
        <v>67</v>
      </c>
      <c r="B8070" s="43" t="s">
        <v>4</v>
      </c>
      <c r="C8070" s="15">
        <v>17</v>
      </c>
      <c r="D8070" s="244">
        <v>0</v>
      </c>
      <c r="E8070" s="244">
        <v>0</v>
      </c>
      <c r="F8070" s="244">
        <v>0</v>
      </c>
      <c r="G8070" s="244">
        <v>0</v>
      </c>
      <c r="H8070" s="244">
        <v>1</v>
      </c>
      <c r="I8070" s="244">
        <v>2</v>
      </c>
      <c r="J8070" s="244">
        <v>3</v>
      </c>
      <c r="K8070" s="244">
        <v>4</v>
      </c>
      <c r="L8070" s="244">
        <v>1</v>
      </c>
      <c r="M8070" s="244">
        <v>0</v>
      </c>
      <c r="N8070" s="244">
        <v>2</v>
      </c>
      <c r="O8070" s="254">
        <v>4</v>
      </c>
    </row>
    <row r="8071" spans="1:15">
      <c r="A8071" s="240" t="s">
        <v>67</v>
      </c>
      <c r="B8071" s="47" t="s">
        <v>5</v>
      </c>
      <c r="C8071" s="12">
        <v>0.0360169491525424</v>
      </c>
      <c r="D8071" s="241">
        <v>0</v>
      </c>
      <c r="E8071" s="241">
        <v>0</v>
      </c>
      <c r="F8071" s="241">
        <v>0</v>
      </c>
      <c r="G8071" s="241">
        <v>0</v>
      </c>
      <c r="H8071" s="241">
        <v>0.027027027027027</v>
      </c>
      <c r="I8071" s="241">
        <v>0.0606060606060606</v>
      </c>
      <c r="J8071" s="241">
        <v>0.0666666666666667</v>
      </c>
      <c r="K8071" s="241">
        <v>0.0851063829787234</v>
      </c>
      <c r="L8071" s="241">
        <v>0.0192307692307692</v>
      </c>
      <c r="M8071" s="241">
        <v>0</v>
      </c>
      <c r="N8071" s="241">
        <v>0.0465116279069767</v>
      </c>
      <c r="O8071" s="252">
        <v>0.0740740740740741</v>
      </c>
    </row>
    <row r="8072" spans="1:15">
      <c r="A8072" s="242" t="s">
        <v>67</v>
      </c>
      <c r="B8072" s="43" t="s">
        <v>6</v>
      </c>
      <c r="C8072" s="15">
        <v>3</v>
      </c>
      <c r="D8072" s="244">
        <v>0</v>
      </c>
      <c r="E8072" s="244">
        <v>0</v>
      </c>
      <c r="F8072" s="244">
        <v>0</v>
      </c>
      <c r="G8072" s="244">
        <v>0</v>
      </c>
      <c r="H8072" s="244">
        <v>0</v>
      </c>
      <c r="I8072" s="244">
        <v>0</v>
      </c>
      <c r="J8072" s="244">
        <v>2</v>
      </c>
      <c r="K8072" s="244">
        <v>0</v>
      </c>
      <c r="L8072" s="244">
        <v>0</v>
      </c>
      <c r="M8072" s="244">
        <v>0</v>
      </c>
      <c r="N8072" s="244">
        <v>0</v>
      </c>
      <c r="O8072" s="254">
        <v>1</v>
      </c>
    </row>
    <row r="8073" ht="14.25" spans="1:15">
      <c r="A8073" s="245" t="s">
        <v>67</v>
      </c>
      <c r="B8073" s="52" t="s">
        <v>64</v>
      </c>
      <c r="C8073" s="19">
        <v>0.176470588235294</v>
      </c>
      <c r="D8073" s="246">
        <v>0</v>
      </c>
      <c r="E8073" s="246">
        <v>0</v>
      </c>
      <c r="F8073" s="246">
        <v>0</v>
      </c>
      <c r="G8073" s="246">
        <v>0</v>
      </c>
      <c r="H8073" s="246">
        <v>0</v>
      </c>
      <c r="I8073" s="246">
        <v>0</v>
      </c>
      <c r="J8073" s="246">
        <v>0.666666666666667</v>
      </c>
      <c r="K8073" s="246">
        <v>0</v>
      </c>
      <c r="L8073" s="246">
        <v>0</v>
      </c>
      <c r="M8073" s="246">
        <v>0</v>
      </c>
      <c r="N8073" s="246">
        <v>0</v>
      </c>
      <c r="O8073" s="255">
        <v>0.25</v>
      </c>
    </row>
    <row r="8074" spans="1:15">
      <c r="A8074" s="240" t="s">
        <v>68</v>
      </c>
      <c r="B8074" s="47" t="s">
        <v>55</v>
      </c>
      <c r="C8074" s="12">
        <v>0.0432552336059892</v>
      </c>
      <c r="D8074" s="241">
        <v>0.0528120713305898</v>
      </c>
      <c r="E8074" s="241">
        <v>0.0302091402013943</v>
      </c>
      <c r="F8074" s="241">
        <v>0.0903614457831325</v>
      </c>
      <c r="G8074" s="241">
        <v>0.0522648083623693</v>
      </c>
      <c r="H8074" s="241">
        <v>0.0562429696287964</v>
      </c>
      <c r="I8074" s="241">
        <v>0.0445810914681015</v>
      </c>
      <c r="J8074" s="241">
        <v>0.0384905660377358</v>
      </c>
      <c r="K8074" s="241">
        <v>0.0371517027863777</v>
      </c>
      <c r="L8074" s="241">
        <v>0.0458392101551481</v>
      </c>
      <c r="M8074" s="241">
        <v>0.0366056572379368</v>
      </c>
      <c r="N8074" s="241">
        <v>0.0383542538354254</v>
      </c>
      <c r="O8074" s="252">
        <v>0.0351864883884588</v>
      </c>
    </row>
    <row r="8075" spans="1:15">
      <c r="A8075" s="242" t="s">
        <v>68</v>
      </c>
      <c r="B8075" s="43" t="s">
        <v>57</v>
      </c>
      <c r="C8075" s="15">
        <v>14426</v>
      </c>
      <c r="D8075" s="243">
        <v>1458</v>
      </c>
      <c r="E8075" s="243">
        <v>1291</v>
      </c>
      <c r="F8075" s="243">
        <v>498</v>
      </c>
      <c r="G8075" s="243">
        <v>574</v>
      </c>
      <c r="H8075" s="243">
        <v>889</v>
      </c>
      <c r="I8075" s="243">
        <v>1301</v>
      </c>
      <c r="J8075" s="243">
        <v>1325</v>
      </c>
      <c r="K8075" s="243">
        <v>1615</v>
      </c>
      <c r="L8075" s="243">
        <v>1418</v>
      </c>
      <c r="M8075" s="243">
        <v>1202</v>
      </c>
      <c r="N8075" s="243">
        <v>1434</v>
      </c>
      <c r="O8075" s="253">
        <v>1421</v>
      </c>
    </row>
    <row r="8076" spans="1:15">
      <c r="A8076" s="240" t="s">
        <v>68</v>
      </c>
      <c r="B8076" s="47" t="s">
        <v>59</v>
      </c>
      <c r="C8076" s="15">
        <v>624</v>
      </c>
      <c r="D8076" s="243">
        <v>77</v>
      </c>
      <c r="E8076" s="243">
        <v>39</v>
      </c>
      <c r="F8076" s="243">
        <v>45</v>
      </c>
      <c r="G8076" s="243">
        <v>30</v>
      </c>
      <c r="H8076" s="243">
        <v>50</v>
      </c>
      <c r="I8076" s="243">
        <v>58</v>
      </c>
      <c r="J8076" s="243">
        <v>51</v>
      </c>
      <c r="K8076" s="243">
        <v>60</v>
      </c>
      <c r="L8076" s="243">
        <v>65</v>
      </c>
      <c r="M8076" s="243">
        <v>44</v>
      </c>
      <c r="N8076" s="243">
        <v>55</v>
      </c>
      <c r="O8076" s="253">
        <v>50</v>
      </c>
    </row>
    <row r="8077" spans="1:15">
      <c r="A8077" s="242" t="s">
        <v>68</v>
      </c>
      <c r="B8077" s="43" t="s">
        <v>4</v>
      </c>
      <c r="C8077" s="15">
        <v>49</v>
      </c>
      <c r="D8077" s="244">
        <v>3</v>
      </c>
      <c r="E8077" s="244">
        <v>4</v>
      </c>
      <c r="F8077" s="244">
        <v>4</v>
      </c>
      <c r="G8077" s="244">
        <v>1</v>
      </c>
      <c r="H8077" s="244">
        <v>3</v>
      </c>
      <c r="I8077" s="244">
        <v>3</v>
      </c>
      <c r="J8077" s="244">
        <v>6</v>
      </c>
      <c r="K8077" s="244">
        <v>7</v>
      </c>
      <c r="L8077" s="244">
        <v>6</v>
      </c>
      <c r="M8077" s="244">
        <v>4</v>
      </c>
      <c r="N8077" s="244">
        <v>4</v>
      </c>
      <c r="O8077" s="254">
        <v>4</v>
      </c>
    </row>
    <row r="8078" spans="1:15">
      <c r="A8078" s="240" t="s">
        <v>68</v>
      </c>
      <c r="B8078" s="47" t="s">
        <v>5</v>
      </c>
      <c r="C8078" s="12">
        <v>0.078525641025641</v>
      </c>
      <c r="D8078" s="241">
        <v>0.038961038961039</v>
      </c>
      <c r="E8078" s="241">
        <v>0.102564102564103</v>
      </c>
      <c r="F8078" s="241">
        <v>0.0888888888888889</v>
      </c>
      <c r="G8078" s="241">
        <v>0.0333333333333333</v>
      </c>
      <c r="H8078" s="241">
        <v>0.06</v>
      </c>
      <c r="I8078" s="241">
        <v>0.0517241379310345</v>
      </c>
      <c r="J8078" s="241">
        <v>0.117647058823529</v>
      </c>
      <c r="K8078" s="241">
        <v>0.116666666666667</v>
      </c>
      <c r="L8078" s="241">
        <v>0.0923076923076923</v>
      </c>
      <c r="M8078" s="241">
        <v>0.0909090909090909</v>
      </c>
      <c r="N8078" s="241">
        <v>0.0727272727272727</v>
      </c>
      <c r="O8078" s="252">
        <v>0.08</v>
      </c>
    </row>
    <row r="8079" spans="1:15">
      <c r="A8079" s="242" t="s">
        <v>68</v>
      </c>
      <c r="B8079" s="43" t="s">
        <v>6</v>
      </c>
      <c r="C8079" s="15">
        <v>20</v>
      </c>
      <c r="D8079" s="244">
        <v>2</v>
      </c>
      <c r="E8079" s="244">
        <v>2</v>
      </c>
      <c r="F8079" s="244">
        <v>2</v>
      </c>
      <c r="G8079" s="244">
        <v>1</v>
      </c>
      <c r="H8079" s="244">
        <v>1</v>
      </c>
      <c r="I8079" s="244">
        <v>4</v>
      </c>
      <c r="J8079" s="244">
        <v>3</v>
      </c>
      <c r="K8079" s="244">
        <v>2</v>
      </c>
      <c r="L8079" s="244">
        <v>1</v>
      </c>
      <c r="M8079" s="244">
        <v>1</v>
      </c>
      <c r="N8079" s="244">
        <v>1</v>
      </c>
      <c r="O8079" s="254">
        <v>0</v>
      </c>
    </row>
    <row r="8080" ht="14.25" spans="1:15">
      <c r="A8080" s="245" t="s">
        <v>68</v>
      </c>
      <c r="B8080" s="52" t="s">
        <v>64</v>
      </c>
      <c r="C8080" s="19">
        <v>0.408163265306122</v>
      </c>
      <c r="D8080" s="246">
        <v>0.666666666666667</v>
      </c>
      <c r="E8080" s="246">
        <v>0.5</v>
      </c>
      <c r="F8080" s="246">
        <v>0.5</v>
      </c>
      <c r="G8080" s="246">
        <v>1</v>
      </c>
      <c r="H8080" s="246">
        <v>0.333333333333333</v>
      </c>
      <c r="I8080" s="246">
        <v>1.33333333333333</v>
      </c>
      <c r="J8080" s="246">
        <v>0.5</v>
      </c>
      <c r="K8080" s="246">
        <v>0.285714285714286</v>
      </c>
      <c r="L8080" s="246">
        <v>0.166666666666667</v>
      </c>
      <c r="M8080" s="246">
        <v>0.25</v>
      </c>
      <c r="N8080" s="246">
        <v>0.25</v>
      </c>
      <c r="O8080" s="255">
        <v>0</v>
      </c>
    </row>
    <row r="8081" spans="1:15">
      <c r="A8081" s="240" t="s">
        <v>69</v>
      </c>
      <c r="B8081" s="47" t="s">
        <v>55</v>
      </c>
      <c r="C8081" s="12">
        <v>0.840989399293286</v>
      </c>
      <c r="D8081" s="241">
        <v>0.909090909090909</v>
      </c>
      <c r="E8081" s="241">
        <v>1</v>
      </c>
      <c r="F8081" s="241">
        <v>1.14285714285714</v>
      </c>
      <c r="G8081" s="241">
        <v>1.15384615384615</v>
      </c>
      <c r="H8081" s="241">
        <v>0.857142857142857</v>
      </c>
      <c r="I8081" s="241">
        <v>0.647058823529412</v>
      </c>
      <c r="J8081" s="241">
        <v>0.576923076923077</v>
      </c>
      <c r="K8081" s="241">
        <v>0.90625</v>
      </c>
      <c r="L8081" s="241">
        <v>0.65</v>
      </c>
      <c r="M8081" s="241">
        <v>0.772727272727273</v>
      </c>
      <c r="N8081" s="241">
        <v>0.790697674418605</v>
      </c>
      <c r="O8081" s="252">
        <v>0.911764705882353</v>
      </c>
    </row>
    <row r="8082" spans="1:15">
      <c r="A8082" s="242" t="s">
        <v>69</v>
      </c>
      <c r="B8082" s="43" t="s">
        <v>57</v>
      </c>
      <c r="C8082" s="15">
        <v>283</v>
      </c>
      <c r="D8082" s="243">
        <v>33</v>
      </c>
      <c r="E8082" s="243">
        <v>15</v>
      </c>
      <c r="F8082" s="243">
        <v>14</v>
      </c>
      <c r="G8082" s="243">
        <v>13</v>
      </c>
      <c r="H8082" s="243">
        <v>14</v>
      </c>
      <c r="I8082" s="243">
        <v>17</v>
      </c>
      <c r="J8082" s="243">
        <v>26</v>
      </c>
      <c r="K8082" s="243">
        <v>32</v>
      </c>
      <c r="L8082" s="243">
        <v>20</v>
      </c>
      <c r="M8082" s="243">
        <v>22</v>
      </c>
      <c r="N8082" s="243">
        <v>43</v>
      </c>
      <c r="O8082" s="253">
        <v>34</v>
      </c>
    </row>
    <row r="8083" spans="1:15">
      <c r="A8083" s="240" t="s">
        <v>69</v>
      </c>
      <c r="B8083" s="47" t="s">
        <v>59</v>
      </c>
      <c r="C8083" s="15">
        <v>238</v>
      </c>
      <c r="D8083" s="243">
        <v>30</v>
      </c>
      <c r="E8083" s="243">
        <v>15</v>
      </c>
      <c r="F8083" s="243">
        <v>16</v>
      </c>
      <c r="G8083" s="243">
        <v>15</v>
      </c>
      <c r="H8083" s="243">
        <v>12</v>
      </c>
      <c r="I8083" s="243">
        <v>11</v>
      </c>
      <c r="J8083" s="243">
        <v>15</v>
      </c>
      <c r="K8083" s="243">
        <v>29</v>
      </c>
      <c r="L8083" s="243">
        <v>13</v>
      </c>
      <c r="M8083" s="243">
        <v>17</v>
      </c>
      <c r="N8083" s="243">
        <v>34</v>
      </c>
      <c r="O8083" s="253">
        <v>31</v>
      </c>
    </row>
    <row r="8084" spans="1:15">
      <c r="A8084" s="242" t="s">
        <v>69</v>
      </c>
      <c r="B8084" s="43" t="s">
        <v>4</v>
      </c>
      <c r="C8084" s="15">
        <v>8</v>
      </c>
      <c r="D8084" s="244">
        <v>1</v>
      </c>
      <c r="E8084" s="244">
        <v>1</v>
      </c>
      <c r="F8084" s="244">
        <v>0</v>
      </c>
      <c r="G8084" s="244">
        <v>0</v>
      </c>
      <c r="H8084" s="244">
        <v>1</v>
      </c>
      <c r="I8084" s="244">
        <v>0</v>
      </c>
      <c r="J8084" s="244">
        <v>0</v>
      </c>
      <c r="K8084" s="244">
        <v>0</v>
      </c>
      <c r="L8084" s="244">
        <v>1</v>
      </c>
      <c r="M8084" s="244">
        <v>1</v>
      </c>
      <c r="N8084" s="244">
        <v>1</v>
      </c>
      <c r="O8084" s="254">
        <v>2</v>
      </c>
    </row>
    <row r="8085" spans="1:15">
      <c r="A8085" s="240" t="s">
        <v>69</v>
      </c>
      <c r="B8085" s="47" t="s">
        <v>5</v>
      </c>
      <c r="C8085" s="12">
        <v>0.0336134453781513</v>
      </c>
      <c r="D8085" s="241">
        <v>0.0333333333333333</v>
      </c>
      <c r="E8085" s="241">
        <v>0.0666666666666667</v>
      </c>
      <c r="F8085" s="241">
        <v>0</v>
      </c>
      <c r="G8085" s="241">
        <v>0</v>
      </c>
      <c r="H8085" s="241">
        <v>0.0833333333333333</v>
      </c>
      <c r="I8085" s="241">
        <v>0</v>
      </c>
      <c r="J8085" s="241">
        <v>0</v>
      </c>
      <c r="K8085" s="241">
        <v>0</v>
      </c>
      <c r="L8085" s="241">
        <v>0.0769230769230769</v>
      </c>
      <c r="M8085" s="241">
        <v>0.0588235294117647</v>
      </c>
      <c r="N8085" s="241">
        <v>0.0294117647058824</v>
      </c>
      <c r="O8085" s="252">
        <v>0.0645161290322581</v>
      </c>
    </row>
    <row r="8086" spans="1:15">
      <c r="A8086" s="242" t="s">
        <v>69</v>
      </c>
      <c r="B8086" s="43" t="s">
        <v>6</v>
      </c>
      <c r="C8086" s="15">
        <v>3</v>
      </c>
      <c r="D8086" s="244">
        <v>0</v>
      </c>
      <c r="E8086" s="244">
        <v>0</v>
      </c>
      <c r="F8086" s="244">
        <v>0</v>
      </c>
      <c r="G8086" s="244">
        <v>0</v>
      </c>
      <c r="H8086" s="244">
        <v>1</v>
      </c>
      <c r="I8086" s="244">
        <v>0</v>
      </c>
      <c r="J8086" s="244">
        <v>0</v>
      </c>
      <c r="K8086" s="244">
        <v>0</v>
      </c>
      <c r="L8086" s="244">
        <v>1</v>
      </c>
      <c r="M8086" s="244">
        <v>1</v>
      </c>
      <c r="N8086" s="244">
        <v>0</v>
      </c>
      <c r="O8086" s="254">
        <v>0</v>
      </c>
    </row>
    <row r="8087" ht="14.25" spans="1:15">
      <c r="A8087" s="245" t="s">
        <v>69</v>
      </c>
      <c r="B8087" s="52" t="s">
        <v>64</v>
      </c>
      <c r="C8087" s="19">
        <v>0.375</v>
      </c>
      <c r="D8087" s="246">
        <v>0</v>
      </c>
      <c r="E8087" s="246">
        <v>0</v>
      </c>
      <c r="F8087" s="246">
        <v>0</v>
      </c>
      <c r="G8087" s="246">
        <v>0</v>
      </c>
      <c r="H8087" s="246">
        <v>1</v>
      </c>
      <c r="I8087" s="246">
        <v>0</v>
      </c>
      <c r="J8087" s="246">
        <v>0</v>
      </c>
      <c r="K8087" s="246">
        <v>0</v>
      </c>
      <c r="L8087" s="246">
        <v>1</v>
      </c>
      <c r="M8087" s="246">
        <v>1</v>
      </c>
      <c r="N8087" s="246">
        <v>0</v>
      </c>
      <c r="O8087" s="255">
        <v>0</v>
      </c>
    </row>
    <row r="8088" spans="1:15">
      <c r="A8088" s="240" t="s">
        <v>70</v>
      </c>
      <c r="B8088" s="47" t="s">
        <v>55</v>
      </c>
      <c r="C8088" s="12">
        <v>5.288</v>
      </c>
      <c r="D8088" s="241">
        <v>4.33333333333333</v>
      </c>
      <c r="E8088" s="241">
        <v>4.5</v>
      </c>
      <c r="F8088" s="241">
        <v>2.625</v>
      </c>
      <c r="G8088" s="241">
        <v>2.375</v>
      </c>
      <c r="H8088" s="241">
        <v>5.11111111111111</v>
      </c>
      <c r="I8088" s="241">
        <v>6.22222222222222</v>
      </c>
      <c r="J8088" s="241">
        <v>4.33333333333333</v>
      </c>
      <c r="K8088" s="241">
        <v>4.76923076923077</v>
      </c>
      <c r="L8088" s="241">
        <v>6.81818181818182</v>
      </c>
      <c r="M8088" s="241">
        <v>10.1666666666667</v>
      </c>
      <c r="N8088" s="241">
        <v>10.25</v>
      </c>
      <c r="O8088" s="252">
        <v>4.86666666666667</v>
      </c>
    </row>
    <row r="8089" spans="1:15">
      <c r="A8089" s="242" t="s">
        <v>70</v>
      </c>
      <c r="B8089" s="43" t="s">
        <v>57</v>
      </c>
      <c r="C8089" s="15">
        <v>125</v>
      </c>
      <c r="D8089" s="243">
        <v>15</v>
      </c>
      <c r="E8089" s="243">
        <v>8</v>
      </c>
      <c r="F8089" s="243">
        <v>8</v>
      </c>
      <c r="G8089" s="243">
        <v>8</v>
      </c>
      <c r="H8089" s="243">
        <v>9</v>
      </c>
      <c r="I8089" s="243">
        <v>9</v>
      </c>
      <c r="J8089" s="243">
        <v>15</v>
      </c>
      <c r="K8089" s="243">
        <v>13</v>
      </c>
      <c r="L8089" s="243">
        <v>11</v>
      </c>
      <c r="M8089" s="243">
        <v>6</v>
      </c>
      <c r="N8089" s="243">
        <v>8</v>
      </c>
      <c r="O8089" s="253">
        <v>15</v>
      </c>
    </row>
    <row r="8090" spans="1:15">
      <c r="A8090" s="240" t="s">
        <v>70</v>
      </c>
      <c r="B8090" s="47" t="s">
        <v>59</v>
      </c>
      <c r="C8090" s="15">
        <v>661</v>
      </c>
      <c r="D8090" s="243">
        <v>65</v>
      </c>
      <c r="E8090" s="243">
        <v>36</v>
      </c>
      <c r="F8090" s="243">
        <v>21</v>
      </c>
      <c r="G8090" s="243">
        <v>19</v>
      </c>
      <c r="H8090" s="243">
        <v>46</v>
      </c>
      <c r="I8090" s="243">
        <v>56</v>
      </c>
      <c r="J8090" s="243">
        <v>65</v>
      </c>
      <c r="K8090" s="243">
        <v>62</v>
      </c>
      <c r="L8090" s="243">
        <v>75</v>
      </c>
      <c r="M8090" s="243">
        <v>61</v>
      </c>
      <c r="N8090" s="243">
        <v>82</v>
      </c>
      <c r="O8090" s="253">
        <v>73</v>
      </c>
    </row>
    <row r="8091" spans="1:15">
      <c r="A8091" s="242" t="s">
        <v>70</v>
      </c>
      <c r="B8091" s="43" t="s">
        <v>4</v>
      </c>
      <c r="C8091" s="15">
        <v>8</v>
      </c>
      <c r="D8091" s="244">
        <v>0</v>
      </c>
      <c r="E8091" s="244">
        <v>0</v>
      </c>
      <c r="F8091" s="244">
        <v>1</v>
      </c>
      <c r="G8091" s="244">
        <v>0</v>
      </c>
      <c r="H8091" s="244">
        <v>0</v>
      </c>
      <c r="I8091" s="244">
        <v>1</v>
      </c>
      <c r="J8091" s="244">
        <v>1</v>
      </c>
      <c r="K8091" s="244">
        <v>1</v>
      </c>
      <c r="L8091" s="244">
        <v>2</v>
      </c>
      <c r="M8091" s="244">
        <v>1</v>
      </c>
      <c r="N8091" s="244">
        <v>0</v>
      </c>
      <c r="O8091" s="254">
        <v>1</v>
      </c>
    </row>
    <row r="8092" spans="1:15">
      <c r="A8092" s="240" t="s">
        <v>70</v>
      </c>
      <c r="B8092" s="47" t="s">
        <v>5</v>
      </c>
      <c r="C8092" s="12">
        <v>0.0121028744326778</v>
      </c>
      <c r="D8092" s="241">
        <v>0</v>
      </c>
      <c r="E8092" s="241">
        <v>0</v>
      </c>
      <c r="F8092" s="241">
        <v>0.0476190476190476</v>
      </c>
      <c r="G8092" s="241">
        <v>0</v>
      </c>
      <c r="H8092" s="241">
        <v>0</v>
      </c>
      <c r="I8092" s="241">
        <v>0.0178571428571429</v>
      </c>
      <c r="J8092" s="241">
        <v>0.0153846153846154</v>
      </c>
      <c r="K8092" s="241">
        <v>0.0161290322580645</v>
      </c>
      <c r="L8092" s="241">
        <v>0.0266666666666667</v>
      </c>
      <c r="M8092" s="241">
        <v>0.0163934426229508</v>
      </c>
      <c r="N8092" s="241">
        <v>0</v>
      </c>
      <c r="O8092" s="252">
        <v>0.0136986301369863</v>
      </c>
    </row>
    <row r="8093" spans="1:15">
      <c r="A8093" s="242" t="s">
        <v>70</v>
      </c>
      <c r="B8093" s="43" t="s">
        <v>6</v>
      </c>
      <c r="C8093" s="15">
        <v>4</v>
      </c>
      <c r="D8093" s="244">
        <v>0</v>
      </c>
      <c r="E8093" s="244">
        <v>0</v>
      </c>
      <c r="F8093" s="244">
        <v>0</v>
      </c>
      <c r="G8093" s="244">
        <v>0</v>
      </c>
      <c r="H8093" s="244">
        <v>0</v>
      </c>
      <c r="I8093" s="244">
        <v>1</v>
      </c>
      <c r="J8093" s="244">
        <v>1</v>
      </c>
      <c r="K8093" s="244">
        <v>0</v>
      </c>
      <c r="L8093" s="244">
        <v>1</v>
      </c>
      <c r="M8093" s="244">
        <v>1</v>
      </c>
      <c r="N8093" s="244">
        <v>0</v>
      </c>
      <c r="O8093" s="254">
        <v>0</v>
      </c>
    </row>
    <row r="8094" ht="14.25" spans="1:15">
      <c r="A8094" s="245" t="s">
        <v>70</v>
      </c>
      <c r="B8094" s="52" t="s">
        <v>64</v>
      </c>
      <c r="C8094" s="19">
        <v>0.5</v>
      </c>
      <c r="D8094" s="246">
        <v>0</v>
      </c>
      <c r="E8094" s="246">
        <v>0</v>
      </c>
      <c r="F8094" s="246">
        <v>0</v>
      </c>
      <c r="G8094" s="246">
        <v>0</v>
      </c>
      <c r="H8094" s="246">
        <v>0</v>
      </c>
      <c r="I8094" s="246">
        <v>1</v>
      </c>
      <c r="J8094" s="246">
        <v>1</v>
      </c>
      <c r="K8094" s="246">
        <v>0</v>
      </c>
      <c r="L8094" s="246">
        <v>0.5</v>
      </c>
      <c r="M8094" s="246">
        <v>1</v>
      </c>
      <c r="N8094" s="246">
        <v>0</v>
      </c>
      <c r="O8094" s="255">
        <v>0</v>
      </c>
    </row>
    <row r="8095" spans="1:15">
      <c r="A8095" s="240" t="s">
        <v>26</v>
      </c>
      <c r="B8095" s="47" t="s">
        <v>55</v>
      </c>
      <c r="C8095" s="12">
        <v>0.951869158878505</v>
      </c>
      <c r="D8095" s="241">
        <v>0.974619289340102</v>
      </c>
      <c r="E8095" s="241">
        <v>1.04098360655738</v>
      </c>
      <c r="F8095" s="241">
        <v>0.936170212765957</v>
      </c>
      <c r="G8095" s="241">
        <v>1.0625</v>
      </c>
      <c r="H8095" s="241">
        <v>0.952054794520548</v>
      </c>
      <c r="I8095" s="241">
        <v>0.881720430107527</v>
      </c>
      <c r="J8095" s="241">
        <v>1.04591836734694</v>
      </c>
      <c r="K8095" s="241">
        <v>0.914027149321267</v>
      </c>
      <c r="L8095" s="241">
        <v>0.930693069306931</v>
      </c>
      <c r="M8095" s="241">
        <v>0.914572864321608</v>
      </c>
      <c r="N8095" s="241">
        <v>0.937238493723849</v>
      </c>
      <c r="O8095" s="252">
        <v>0.925619834710744</v>
      </c>
    </row>
    <row r="8096" spans="1:15">
      <c r="A8096" s="242" t="s">
        <v>26</v>
      </c>
      <c r="B8096" s="43" t="s">
        <v>57</v>
      </c>
      <c r="C8096" s="15">
        <v>2140</v>
      </c>
      <c r="D8096" s="243">
        <v>197</v>
      </c>
      <c r="E8096" s="243">
        <v>122</v>
      </c>
      <c r="F8096" s="243">
        <v>94</v>
      </c>
      <c r="G8096" s="243">
        <v>96</v>
      </c>
      <c r="H8096" s="243">
        <v>146</v>
      </c>
      <c r="I8096" s="243">
        <v>186</v>
      </c>
      <c r="J8096" s="243">
        <v>196</v>
      </c>
      <c r="K8096" s="243">
        <v>221</v>
      </c>
      <c r="L8096" s="243">
        <v>202</v>
      </c>
      <c r="M8096" s="243">
        <v>199</v>
      </c>
      <c r="N8096" s="243">
        <v>239</v>
      </c>
      <c r="O8096" s="253">
        <v>242</v>
      </c>
    </row>
    <row r="8097" spans="1:15">
      <c r="A8097" s="240" t="s">
        <v>26</v>
      </c>
      <c r="B8097" s="47" t="s">
        <v>59</v>
      </c>
      <c r="C8097" s="15">
        <v>2037</v>
      </c>
      <c r="D8097" s="243">
        <v>192</v>
      </c>
      <c r="E8097" s="243">
        <v>127</v>
      </c>
      <c r="F8097" s="243">
        <v>88</v>
      </c>
      <c r="G8097" s="243">
        <v>102</v>
      </c>
      <c r="H8097" s="243">
        <v>139</v>
      </c>
      <c r="I8097" s="243">
        <v>164</v>
      </c>
      <c r="J8097" s="243">
        <v>205</v>
      </c>
      <c r="K8097" s="243">
        <v>202</v>
      </c>
      <c r="L8097" s="243">
        <v>188</v>
      </c>
      <c r="M8097" s="243">
        <v>182</v>
      </c>
      <c r="N8097" s="243">
        <v>224</v>
      </c>
      <c r="O8097" s="253">
        <v>224</v>
      </c>
    </row>
    <row r="8098" spans="1:15">
      <c r="A8098" s="242" t="s">
        <v>26</v>
      </c>
      <c r="B8098" s="43" t="s">
        <v>4</v>
      </c>
      <c r="C8098" s="15">
        <v>24</v>
      </c>
      <c r="D8098" s="244">
        <v>3</v>
      </c>
      <c r="E8098" s="244">
        <v>4</v>
      </c>
      <c r="F8098" s="244">
        <v>1</v>
      </c>
      <c r="G8098" s="244">
        <v>1</v>
      </c>
      <c r="H8098" s="244">
        <v>2</v>
      </c>
      <c r="I8098" s="244">
        <v>1</v>
      </c>
      <c r="J8098" s="244">
        <v>0</v>
      </c>
      <c r="K8098" s="244">
        <v>3</v>
      </c>
      <c r="L8098" s="244">
        <v>2</v>
      </c>
      <c r="M8098" s="244">
        <v>1</v>
      </c>
      <c r="N8098" s="244">
        <v>2</v>
      </c>
      <c r="O8098" s="254">
        <v>4</v>
      </c>
    </row>
    <row r="8099" spans="1:15">
      <c r="A8099" s="240" t="s">
        <v>26</v>
      </c>
      <c r="B8099" s="47" t="s">
        <v>5</v>
      </c>
      <c r="C8099" s="12">
        <v>0.0117820324005891</v>
      </c>
      <c r="D8099" s="241">
        <v>0.015625</v>
      </c>
      <c r="E8099" s="241">
        <v>0.031496062992126</v>
      </c>
      <c r="F8099" s="241">
        <v>0.0113636363636364</v>
      </c>
      <c r="G8099" s="241">
        <v>0.00980392156862745</v>
      </c>
      <c r="H8099" s="241">
        <v>0.0143884892086331</v>
      </c>
      <c r="I8099" s="241">
        <v>0.00609756097560976</v>
      </c>
      <c r="J8099" s="241">
        <v>0</v>
      </c>
      <c r="K8099" s="241">
        <v>0.0148514851485149</v>
      </c>
      <c r="L8099" s="241">
        <v>0.0106382978723404</v>
      </c>
      <c r="M8099" s="241">
        <v>0.00549450549450549</v>
      </c>
      <c r="N8099" s="241">
        <v>0.00892857142857143</v>
      </c>
      <c r="O8099" s="252">
        <v>0.0178571428571429</v>
      </c>
    </row>
    <row r="8100" spans="1:15">
      <c r="A8100" s="242" t="s">
        <v>26</v>
      </c>
      <c r="B8100" s="43" t="s">
        <v>6</v>
      </c>
      <c r="C8100" s="15">
        <v>6</v>
      </c>
      <c r="D8100" s="244">
        <v>1</v>
      </c>
      <c r="E8100" s="244">
        <v>0</v>
      </c>
      <c r="F8100" s="244">
        <v>0</v>
      </c>
      <c r="G8100" s="244">
        <v>0</v>
      </c>
      <c r="H8100" s="244">
        <v>0</v>
      </c>
      <c r="I8100" s="244">
        <v>0</v>
      </c>
      <c r="J8100" s="244">
        <v>0</v>
      </c>
      <c r="K8100" s="244">
        <v>3</v>
      </c>
      <c r="L8100" s="244">
        <v>1</v>
      </c>
      <c r="M8100" s="244">
        <v>1</v>
      </c>
      <c r="N8100" s="244">
        <v>0</v>
      </c>
      <c r="O8100" s="254">
        <v>0</v>
      </c>
    </row>
    <row r="8101" ht="14.25" spans="1:15">
      <c r="A8101" s="245" t="s">
        <v>26</v>
      </c>
      <c r="B8101" s="52" t="s">
        <v>64</v>
      </c>
      <c r="C8101" s="19">
        <v>0.25</v>
      </c>
      <c r="D8101" s="19">
        <v>0.333333333333333</v>
      </c>
      <c r="E8101" s="19">
        <v>0</v>
      </c>
      <c r="F8101" s="19">
        <v>0</v>
      </c>
      <c r="G8101" s="19">
        <v>0</v>
      </c>
      <c r="H8101" s="19">
        <v>0</v>
      </c>
      <c r="I8101" s="19">
        <v>0</v>
      </c>
      <c r="J8101" s="19" t="e">
        <v>#DIV/0!</v>
      </c>
      <c r="K8101" s="19">
        <v>1</v>
      </c>
      <c r="L8101" s="19">
        <v>0.5</v>
      </c>
      <c r="M8101" s="19">
        <v>1</v>
      </c>
      <c r="N8101" s="19">
        <v>0</v>
      </c>
      <c r="O8101" s="19">
        <v>0</v>
      </c>
    </row>
    <row r="8102" spans="1:15">
      <c r="A8102" s="240" t="s">
        <v>71</v>
      </c>
      <c r="B8102" s="47" t="s">
        <v>55</v>
      </c>
      <c r="C8102" s="12" t="e">
        <v>#DIV/0!</v>
      </c>
      <c r="D8102" s="241" t="e">
        <v>#DIV/0!</v>
      </c>
      <c r="E8102" s="241" t="e">
        <v>#DIV/0!</v>
      </c>
      <c r="F8102" s="241" t="e">
        <v>#DIV/0!</v>
      </c>
      <c r="G8102" s="241" t="e">
        <v>#DIV/0!</v>
      </c>
      <c r="H8102" s="241" t="e">
        <v>#DIV/0!</v>
      </c>
      <c r="I8102" s="241" t="e">
        <v>#DIV/0!</v>
      </c>
      <c r="J8102" s="241" t="e">
        <v>#DIV/0!</v>
      </c>
      <c r="K8102" s="241" t="e">
        <v>#DIV/0!</v>
      </c>
      <c r="L8102" s="241" t="e">
        <v>#DIV/0!</v>
      </c>
      <c r="M8102" s="241" t="e">
        <v>#DIV/0!</v>
      </c>
      <c r="N8102" s="241" t="e">
        <v>#DIV/0!</v>
      </c>
      <c r="O8102" s="252" t="e">
        <v>#DIV/0!</v>
      </c>
    </row>
    <row r="8103" spans="1:15">
      <c r="A8103" s="242" t="s">
        <v>71</v>
      </c>
      <c r="B8103" s="43" t="s">
        <v>57</v>
      </c>
      <c r="C8103" s="15">
        <v>0</v>
      </c>
      <c r="D8103" s="243">
        <v>0</v>
      </c>
      <c r="E8103" s="243">
        <v>0</v>
      </c>
      <c r="F8103" s="243">
        <v>0</v>
      </c>
      <c r="G8103" s="243">
        <v>0</v>
      </c>
      <c r="H8103" s="243">
        <v>0</v>
      </c>
      <c r="I8103" s="243">
        <v>0</v>
      </c>
      <c r="J8103" s="243">
        <v>0</v>
      </c>
      <c r="K8103" s="243">
        <v>0</v>
      </c>
      <c r="L8103" s="243">
        <v>0</v>
      </c>
      <c r="M8103" s="243">
        <v>0</v>
      </c>
      <c r="N8103" s="243">
        <v>0</v>
      </c>
      <c r="O8103" s="253">
        <v>0</v>
      </c>
    </row>
    <row r="8104" spans="1:15">
      <c r="A8104" s="240" t="s">
        <v>71</v>
      </c>
      <c r="B8104" s="47" t="s">
        <v>59</v>
      </c>
      <c r="C8104" s="309">
        <v>31</v>
      </c>
      <c r="D8104" s="310">
        <v>1</v>
      </c>
      <c r="E8104" s="310">
        <v>2</v>
      </c>
      <c r="F8104" s="310">
        <v>0</v>
      </c>
      <c r="G8104" s="310">
        <v>3</v>
      </c>
      <c r="H8104" s="310">
        <v>1</v>
      </c>
      <c r="I8104" s="310">
        <v>0</v>
      </c>
      <c r="J8104" s="310">
        <v>0</v>
      </c>
      <c r="K8104" s="310">
        <v>6</v>
      </c>
      <c r="L8104" s="310">
        <v>4</v>
      </c>
      <c r="M8104" s="310">
        <v>5</v>
      </c>
      <c r="N8104" s="310">
        <v>6</v>
      </c>
      <c r="O8104" s="311">
        <v>3</v>
      </c>
    </row>
    <row r="8105" spans="1:15">
      <c r="A8105" s="242" t="s">
        <v>71</v>
      </c>
      <c r="B8105" s="43" t="s">
        <v>4</v>
      </c>
      <c r="C8105" s="15">
        <v>1</v>
      </c>
      <c r="D8105" s="244">
        <v>0</v>
      </c>
      <c r="E8105" s="244">
        <v>1</v>
      </c>
      <c r="F8105" s="244">
        <v>0</v>
      </c>
      <c r="G8105" s="244">
        <v>0</v>
      </c>
      <c r="H8105" s="244">
        <v>0</v>
      </c>
      <c r="I8105" s="244">
        <v>0</v>
      </c>
      <c r="J8105" s="244">
        <v>0</v>
      </c>
      <c r="K8105" s="244">
        <v>0</v>
      </c>
      <c r="L8105" s="244">
        <v>0</v>
      </c>
      <c r="M8105" s="244">
        <v>0</v>
      </c>
      <c r="N8105" s="244">
        <v>0</v>
      </c>
      <c r="O8105" s="254">
        <v>0</v>
      </c>
    </row>
    <row r="8106" spans="1:15">
      <c r="A8106" s="240" t="s">
        <v>71</v>
      </c>
      <c r="B8106" s="47" t="s">
        <v>5</v>
      </c>
      <c r="C8106" s="241">
        <v>0.032258064516129</v>
      </c>
      <c r="D8106" s="241">
        <v>0</v>
      </c>
      <c r="E8106" s="241">
        <v>0.5</v>
      </c>
      <c r="F8106" s="241">
        <v>0</v>
      </c>
      <c r="G8106" s="241">
        <v>0</v>
      </c>
      <c r="H8106" s="241">
        <v>0</v>
      </c>
      <c r="I8106" s="241">
        <v>0</v>
      </c>
      <c r="J8106" s="241">
        <v>0</v>
      </c>
      <c r="K8106" s="241">
        <v>0</v>
      </c>
      <c r="L8106" s="241">
        <v>0</v>
      </c>
      <c r="M8106" s="241">
        <v>0</v>
      </c>
      <c r="N8106" s="241">
        <v>0</v>
      </c>
      <c r="O8106" s="252">
        <v>0</v>
      </c>
    </row>
    <row r="8107" spans="1:15">
      <c r="A8107" s="242" t="s">
        <v>71</v>
      </c>
      <c r="B8107" s="43" t="s">
        <v>6</v>
      </c>
      <c r="C8107" s="15">
        <v>0</v>
      </c>
      <c r="D8107" s="244">
        <v>0</v>
      </c>
      <c r="E8107" s="244">
        <v>0</v>
      </c>
      <c r="F8107" s="244">
        <v>0</v>
      </c>
      <c r="G8107" s="244">
        <v>0</v>
      </c>
      <c r="H8107" s="244">
        <v>0</v>
      </c>
      <c r="I8107" s="244">
        <v>0</v>
      </c>
      <c r="J8107" s="244">
        <v>0</v>
      </c>
      <c r="K8107" s="244">
        <v>0</v>
      </c>
      <c r="L8107" s="244">
        <v>0</v>
      </c>
      <c r="M8107" s="244">
        <v>0</v>
      </c>
      <c r="N8107" s="244">
        <v>0</v>
      </c>
      <c r="O8107" s="254">
        <v>0</v>
      </c>
    </row>
    <row r="8108" ht="14.25" spans="1:15">
      <c r="A8108" s="245" t="s">
        <v>71</v>
      </c>
      <c r="B8108" s="52" t="s">
        <v>64</v>
      </c>
      <c r="C8108" s="19">
        <v>0</v>
      </c>
      <c r="D8108" s="19" t="e">
        <v>#DIV/0!</v>
      </c>
      <c r="E8108" s="19">
        <v>0</v>
      </c>
      <c r="F8108" s="19" t="e">
        <v>#DIV/0!</v>
      </c>
      <c r="G8108" s="19" t="e">
        <v>#DIV/0!</v>
      </c>
      <c r="H8108" s="19" t="e">
        <v>#DIV/0!</v>
      </c>
      <c r="I8108" s="19" t="e">
        <v>#DIV/0!</v>
      </c>
      <c r="J8108" s="19" t="e">
        <v>#DIV/0!</v>
      </c>
      <c r="K8108" s="19" t="e">
        <v>#DIV/0!</v>
      </c>
      <c r="L8108" s="19" t="e">
        <v>#DIV/0!</v>
      </c>
      <c r="M8108" s="19" t="e">
        <v>#DIV/0!</v>
      </c>
      <c r="N8108" s="19" t="e">
        <v>#DIV/0!</v>
      </c>
      <c r="O8108" s="19" t="e">
        <v>#DIV/0!</v>
      </c>
    </row>
    <row r="8109" spans="1:15">
      <c r="A8109" s="240" t="s">
        <v>72</v>
      </c>
      <c r="B8109" s="47" t="s">
        <v>55</v>
      </c>
      <c r="C8109" s="12">
        <v>0.0908372827804107</v>
      </c>
      <c r="D8109" s="241">
        <v>0.113268608414239</v>
      </c>
      <c r="E8109" s="241">
        <v>0.126506024096386</v>
      </c>
      <c r="F8109" s="241">
        <v>0.154545454545455</v>
      </c>
      <c r="G8109" s="241">
        <v>0.1171875</v>
      </c>
      <c r="H8109" s="241">
        <v>0.105660377358491</v>
      </c>
      <c r="I8109" s="241">
        <v>0.0481012658227848</v>
      </c>
      <c r="J8109" s="241">
        <v>0.0841121495327103</v>
      </c>
      <c r="K8109" s="241">
        <v>0.117816091954023</v>
      </c>
      <c r="L8109" s="241">
        <v>0.0766871165644172</v>
      </c>
      <c r="M8109" s="241">
        <v>0.0596026490066225</v>
      </c>
      <c r="N8109" s="241">
        <v>0.0789473684210526</v>
      </c>
      <c r="O8109" s="252">
        <v>0.107865168539326</v>
      </c>
    </row>
    <row r="8110" spans="1:15">
      <c r="A8110" s="242" t="s">
        <v>72</v>
      </c>
      <c r="B8110" s="43" t="s">
        <v>57</v>
      </c>
      <c r="C8110" s="15">
        <v>3798</v>
      </c>
      <c r="D8110" s="243">
        <v>309</v>
      </c>
      <c r="E8110" s="243">
        <v>166</v>
      </c>
      <c r="F8110" s="243">
        <v>110</v>
      </c>
      <c r="G8110" s="243">
        <v>128</v>
      </c>
      <c r="H8110" s="243">
        <v>265</v>
      </c>
      <c r="I8110" s="243">
        <v>395</v>
      </c>
      <c r="J8110" s="243">
        <v>321</v>
      </c>
      <c r="K8110" s="243">
        <v>348</v>
      </c>
      <c r="L8110" s="243">
        <v>326</v>
      </c>
      <c r="M8110" s="243">
        <v>453</v>
      </c>
      <c r="N8110" s="243">
        <v>532</v>
      </c>
      <c r="O8110" s="253">
        <v>445</v>
      </c>
    </row>
    <row r="8111" spans="1:15">
      <c r="A8111" s="240" t="s">
        <v>72</v>
      </c>
      <c r="B8111" s="47" t="s">
        <v>59</v>
      </c>
      <c r="C8111" s="15">
        <v>345</v>
      </c>
      <c r="D8111" s="243">
        <v>35</v>
      </c>
      <c r="E8111" s="243">
        <v>21</v>
      </c>
      <c r="F8111" s="243">
        <v>17</v>
      </c>
      <c r="G8111" s="243">
        <v>15</v>
      </c>
      <c r="H8111" s="243">
        <v>28</v>
      </c>
      <c r="I8111" s="243">
        <v>19</v>
      </c>
      <c r="J8111" s="243">
        <v>27</v>
      </c>
      <c r="K8111" s="243">
        <v>41</v>
      </c>
      <c r="L8111" s="243">
        <v>25</v>
      </c>
      <c r="M8111" s="243">
        <v>27</v>
      </c>
      <c r="N8111" s="243">
        <v>42</v>
      </c>
      <c r="O8111" s="253">
        <v>48</v>
      </c>
    </row>
    <row r="8112" spans="1:15">
      <c r="A8112" s="242" t="s">
        <v>72</v>
      </c>
      <c r="B8112" s="43" t="s">
        <v>4</v>
      </c>
      <c r="C8112" s="15">
        <v>7</v>
      </c>
      <c r="D8112" s="244">
        <v>2</v>
      </c>
      <c r="E8112" s="244">
        <v>1</v>
      </c>
      <c r="F8112" s="244">
        <v>0</v>
      </c>
      <c r="G8112" s="244">
        <v>0</v>
      </c>
      <c r="H8112" s="244">
        <v>1</v>
      </c>
      <c r="I8112" s="244">
        <v>0</v>
      </c>
      <c r="J8112" s="244">
        <v>0</v>
      </c>
      <c r="K8112" s="244">
        <v>2</v>
      </c>
      <c r="L8112" s="244">
        <v>0</v>
      </c>
      <c r="M8112" s="244">
        <v>0</v>
      </c>
      <c r="N8112" s="244">
        <v>0</v>
      </c>
      <c r="O8112" s="254">
        <v>1</v>
      </c>
    </row>
    <row r="8113" spans="1:15">
      <c r="A8113" s="240" t="s">
        <v>72</v>
      </c>
      <c r="B8113" s="47" t="s">
        <v>5</v>
      </c>
      <c r="C8113" s="12">
        <v>0.0202898550724638</v>
      </c>
      <c r="D8113" s="241">
        <v>0.0571428571428571</v>
      </c>
      <c r="E8113" s="241">
        <v>0.0476190476190476</v>
      </c>
      <c r="F8113" s="241">
        <v>0</v>
      </c>
      <c r="G8113" s="241">
        <v>0</v>
      </c>
      <c r="H8113" s="241">
        <v>0.0357142857142857</v>
      </c>
      <c r="I8113" s="241">
        <v>0</v>
      </c>
      <c r="J8113" s="241">
        <v>0</v>
      </c>
      <c r="K8113" s="241">
        <v>0.0487804878048781</v>
      </c>
      <c r="L8113" s="241">
        <v>0</v>
      </c>
      <c r="M8113" s="241">
        <v>0</v>
      </c>
      <c r="N8113" s="241">
        <v>0</v>
      </c>
      <c r="O8113" s="252">
        <v>0.0208333333333333</v>
      </c>
    </row>
    <row r="8114" spans="1:15">
      <c r="A8114" s="242" t="s">
        <v>72</v>
      </c>
      <c r="B8114" s="43" t="s">
        <v>6</v>
      </c>
      <c r="C8114" s="15">
        <v>0</v>
      </c>
      <c r="D8114" s="244">
        <v>0</v>
      </c>
      <c r="E8114" s="244">
        <v>0</v>
      </c>
      <c r="F8114" s="244">
        <v>0</v>
      </c>
      <c r="G8114" s="244">
        <v>0</v>
      </c>
      <c r="H8114" s="244">
        <v>0</v>
      </c>
      <c r="I8114" s="244">
        <v>0</v>
      </c>
      <c r="J8114" s="244">
        <v>0</v>
      </c>
      <c r="K8114" s="244">
        <v>0</v>
      </c>
      <c r="L8114" s="244">
        <v>0</v>
      </c>
      <c r="M8114" s="244">
        <v>0</v>
      </c>
      <c r="N8114" s="244">
        <v>0</v>
      </c>
      <c r="O8114" s="254">
        <v>0</v>
      </c>
    </row>
    <row r="8115" ht="14.25" spans="1:15">
      <c r="A8115" s="245" t="s">
        <v>72</v>
      </c>
      <c r="B8115" s="52" t="s">
        <v>64</v>
      </c>
      <c r="C8115" s="19">
        <v>0</v>
      </c>
      <c r="D8115" s="19">
        <v>0</v>
      </c>
      <c r="E8115" s="19">
        <v>0</v>
      </c>
      <c r="F8115" s="19" t="e">
        <v>#DIV/0!</v>
      </c>
      <c r="G8115" s="19" t="e">
        <v>#DIV/0!</v>
      </c>
      <c r="H8115" s="19">
        <v>0</v>
      </c>
      <c r="I8115" s="19" t="e">
        <v>#DIV/0!</v>
      </c>
      <c r="J8115" s="19" t="e">
        <v>#DIV/0!</v>
      </c>
      <c r="K8115" s="19">
        <v>0</v>
      </c>
      <c r="L8115" s="19" t="e">
        <v>#DIV/0!</v>
      </c>
      <c r="M8115" s="19" t="e">
        <v>#DIV/0!</v>
      </c>
      <c r="N8115" s="19" t="e">
        <v>#DIV/0!</v>
      </c>
      <c r="O8115" s="19">
        <v>0</v>
      </c>
    </row>
    <row r="8116" ht="14.25" spans="1:15">
      <c r="A8116" s="237">
        <v>45145</v>
      </c>
      <c r="B8116" s="237"/>
      <c r="C8116" s="237"/>
      <c r="D8116" s="237"/>
      <c r="E8116" s="237"/>
      <c r="F8116" s="237"/>
      <c r="G8116" s="237"/>
      <c r="H8116" s="237"/>
      <c r="I8116" s="237"/>
      <c r="J8116" s="237"/>
      <c r="K8116" s="237"/>
      <c r="L8116" s="237"/>
      <c r="M8116" s="237"/>
      <c r="N8116" s="237"/>
      <c r="O8116" s="237"/>
    </row>
    <row r="8117" spans="1:15">
      <c r="A8117" s="56" t="s">
        <v>1</v>
      </c>
      <c r="B8117" s="238"/>
      <c r="C8117" s="8" t="s">
        <v>42</v>
      </c>
      <c r="D8117" s="239" t="s">
        <v>43</v>
      </c>
      <c r="E8117" s="239" t="s">
        <v>44</v>
      </c>
      <c r="F8117" s="239" t="s">
        <v>45</v>
      </c>
      <c r="G8117" s="239" t="s">
        <v>46</v>
      </c>
      <c r="H8117" s="239" t="s">
        <v>47</v>
      </c>
      <c r="I8117" s="239" t="s">
        <v>48</v>
      </c>
      <c r="J8117" s="239" t="s">
        <v>49</v>
      </c>
      <c r="K8117" s="239" t="s">
        <v>50</v>
      </c>
      <c r="L8117" s="239" t="s">
        <v>51</v>
      </c>
      <c r="M8117" s="239" t="s">
        <v>52</v>
      </c>
      <c r="N8117" s="239" t="s">
        <v>53</v>
      </c>
      <c r="O8117" s="251" t="s">
        <v>54</v>
      </c>
    </row>
    <row r="8118" spans="1:15">
      <c r="A8118" s="240" t="s">
        <v>22</v>
      </c>
      <c r="B8118" s="47" t="s">
        <v>55</v>
      </c>
      <c r="C8118" s="12">
        <v>0.311175616835994</v>
      </c>
      <c r="D8118" s="241">
        <v>0.379204892966361</v>
      </c>
      <c r="E8118" s="241">
        <v>0.363636363636364</v>
      </c>
      <c r="F8118" s="241">
        <v>0.358333333333333</v>
      </c>
      <c r="G8118" s="241">
        <v>0.459677419354839</v>
      </c>
      <c r="H8118" s="241">
        <v>0.280952380952381</v>
      </c>
      <c r="I8118" s="241">
        <v>0.312775330396476</v>
      </c>
      <c r="J8118" s="241">
        <v>0.363309352517986</v>
      </c>
      <c r="K8118" s="241">
        <v>0.28</v>
      </c>
      <c r="L8118" s="241">
        <v>0.326219512195122</v>
      </c>
      <c r="M8118" s="241">
        <v>0.286644951140065</v>
      </c>
      <c r="N8118" s="241">
        <v>0.24765478424015</v>
      </c>
      <c r="O8118" s="252">
        <v>0.275268817204301</v>
      </c>
    </row>
    <row r="8119" spans="1:15">
      <c r="A8119" s="242" t="s">
        <v>22</v>
      </c>
      <c r="B8119" s="43" t="s">
        <v>57</v>
      </c>
      <c r="C8119" s="15">
        <v>3445</v>
      </c>
      <c r="D8119" s="243">
        <v>327</v>
      </c>
      <c r="E8119" s="243">
        <v>176</v>
      </c>
      <c r="F8119" s="243">
        <v>120</v>
      </c>
      <c r="G8119" s="243">
        <v>124</v>
      </c>
      <c r="H8119" s="243">
        <v>210</v>
      </c>
      <c r="I8119" s="243">
        <v>227</v>
      </c>
      <c r="J8119" s="243">
        <v>278</v>
      </c>
      <c r="K8119" s="243">
        <v>350</v>
      </c>
      <c r="L8119" s="243">
        <v>328</v>
      </c>
      <c r="M8119" s="243">
        <v>307</v>
      </c>
      <c r="N8119" s="243">
        <v>533</v>
      </c>
      <c r="O8119" s="253">
        <v>465</v>
      </c>
    </row>
    <row r="8120" spans="1:15">
      <c r="A8120" s="240" t="s">
        <v>22</v>
      </c>
      <c r="B8120" s="47" t="s">
        <v>59</v>
      </c>
      <c r="C8120" s="15">
        <v>1072</v>
      </c>
      <c r="D8120" s="243">
        <v>124</v>
      </c>
      <c r="E8120" s="243">
        <v>64</v>
      </c>
      <c r="F8120" s="243">
        <v>43</v>
      </c>
      <c r="G8120" s="243">
        <v>57</v>
      </c>
      <c r="H8120" s="243">
        <v>59</v>
      </c>
      <c r="I8120" s="243">
        <v>71</v>
      </c>
      <c r="J8120" s="243">
        <v>101</v>
      </c>
      <c r="K8120" s="243">
        <v>98</v>
      </c>
      <c r="L8120" s="243">
        <v>107</v>
      </c>
      <c r="M8120" s="243">
        <v>88</v>
      </c>
      <c r="N8120" s="243">
        <v>132</v>
      </c>
      <c r="O8120" s="253">
        <v>128</v>
      </c>
    </row>
    <row r="8121" spans="1:15">
      <c r="A8121" s="242" t="s">
        <v>22</v>
      </c>
      <c r="B8121" s="43" t="s">
        <v>4</v>
      </c>
      <c r="C8121" s="15">
        <v>78</v>
      </c>
      <c r="D8121" s="244">
        <v>7</v>
      </c>
      <c r="E8121" s="244">
        <v>5</v>
      </c>
      <c r="F8121" s="244">
        <v>1</v>
      </c>
      <c r="G8121" s="244">
        <v>3</v>
      </c>
      <c r="H8121" s="244">
        <v>7</v>
      </c>
      <c r="I8121" s="244">
        <v>7</v>
      </c>
      <c r="J8121" s="244">
        <v>3</v>
      </c>
      <c r="K8121" s="244">
        <v>7</v>
      </c>
      <c r="L8121" s="244">
        <v>7</v>
      </c>
      <c r="M8121" s="244">
        <v>6</v>
      </c>
      <c r="N8121" s="244">
        <v>11</v>
      </c>
      <c r="O8121" s="254">
        <v>14</v>
      </c>
    </row>
    <row r="8122" spans="1:15">
      <c r="A8122" s="240" t="s">
        <v>22</v>
      </c>
      <c r="B8122" s="47" t="s">
        <v>5</v>
      </c>
      <c r="C8122" s="12">
        <v>0.0727611940298507</v>
      </c>
      <c r="D8122" s="241">
        <v>0.0564516129032258</v>
      </c>
      <c r="E8122" s="241">
        <v>0.078125</v>
      </c>
      <c r="F8122" s="241">
        <v>0.0232558139534884</v>
      </c>
      <c r="G8122" s="241">
        <v>0.0526315789473684</v>
      </c>
      <c r="H8122" s="241">
        <v>0.11864406779661</v>
      </c>
      <c r="I8122" s="241">
        <v>0.0985915492957746</v>
      </c>
      <c r="J8122" s="241">
        <v>0.0297029702970297</v>
      </c>
      <c r="K8122" s="241">
        <v>0.0714285714285714</v>
      </c>
      <c r="L8122" s="241">
        <v>0.0654205607476635</v>
      </c>
      <c r="M8122" s="241">
        <v>0.0681818181818182</v>
      </c>
      <c r="N8122" s="241">
        <v>0.0833333333333333</v>
      </c>
      <c r="O8122" s="252">
        <v>0.109375</v>
      </c>
    </row>
    <row r="8123" spans="1:15">
      <c r="A8123" s="242" t="s">
        <v>22</v>
      </c>
      <c r="B8123" s="43" t="s">
        <v>6</v>
      </c>
      <c r="C8123" s="15">
        <v>24</v>
      </c>
      <c r="D8123" s="244">
        <v>3</v>
      </c>
      <c r="E8123" s="244">
        <v>2</v>
      </c>
      <c r="F8123" s="244">
        <v>0</v>
      </c>
      <c r="G8123" s="244">
        <v>1</v>
      </c>
      <c r="H8123" s="244">
        <v>0</v>
      </c>
      <c r="I8123" s="244">
        <v>1</v>
      </c>
      <c r="J8123" s="244">
        <v>1</v>
      </c>
      <c r="K8123" s="244">
        <v>3</v>
      </c>
      <c r="L8123" s="244">
        <v>3</v>
      </c>
      <c r="M8123" s="244">
        <v>7</v>
      </c>
      <c r="N8123" s="244">
        <v>1</v>
      </c>
      <c r="O8123" s="254">
        <v>2</v>
      </c>
    </row>
    <row r="8124" ht="14.25" spans="1:15">
      <c r="A8124" s="245" t="s">
        <v>22</v>
      </c>
      <c r="B8124" s="52" t="s">
        <v>64</v>
      </c>
      <c r="C8124" s="19">
        <v>0.307692307692308</v>
      </c>
      <c r="D8124" s="246">
        <v>0.428571428571429</v>
      </c>
      <c r="E8124" s="246">
        <v>0.4</v>
      </c>
      <c r="F8124" s="246">
        <v>0</v>
      </c>
      <c r="G8124" s="246">
        <v>0.333333333333333</v>
      </c>
      <c r="H8124" s="246">
        <v>0</v>
      </c>
      <c r="I8124" s="246">
        <v>0.142857142857143</v>
      </c>
      <c r="J8124" s="246">
        <v>0.333333333333333</v>
      </c>
      <c r="K8124" s="246">
        <v>0.428571428571429</v>
      </c>
      <c r="L8124" s="246">
        <v>0.428571428571429</v>
      </c>
      <c r="M8124" s="246">
        <v>1.16666666666667</v>
      </c>
      <c r="N8124" s="246">
        <v>0.0909090909090909</v>
      </c>
      <c r="O8124" s="255">
        <v>0.142857142857143</v>
      </c>
    </row>
    <row r="8125" spans="1:15">
      <c r="A8125" s="247" t="s">
        <v>66</v>
      </c>
      <c r="B8125" s="248" t="s">
        <v>55</v>
      </c>
      <c r="C8125" s="12">
        <v>0.0677931176591799</v>
      </c>
      <c r="D8125" s="249">
        <v>0.0955710955710956</v>
      </c>
      <c r="E8125" s="249">
        <v>0.151111111111111</v>
      </c>
      <c r="F8125" s="249">
        <v>0.117647058823529</v>
      </c>
      <c r="G8125" s="249">
        <v>0.094017094017094</v>
      </c>
      <c r="H8125" s="249">
        <v>0.0528846153846154</v>
      </c>
      <c r="I8125" s="249">
        <v>0.0474040632054176</v>
      </c>
      <c r="J8125" s="249">
        <v>0.0585858585858586</v>
      </c>
      <c r="K8125" s="249">
        <v>0.0466101694915254</v>
      </c>
      <c r="L8125" s="249">
        <v>0.0709677419354839</v>
      </c>
      <c r="M8125" s="249">
        <v>0.047979797979798</v>
      </c>
      <c r="N8125" s="249">
        <v>0.0627615062761506</v>
      </c>
      <c r="O8125" s="256">
        <v>0.0554649265905383</v>
      </c>
    </row>
    <row r="8126" spans="1:15">
      <c r="A8126" s="242" t="s">
        <v>66</v>
      </c>
      <c r="B8126" s="43" t="s">
        <v>57</v>
      </c>
      <c r="C8126" s="15">
        <v>4853</v>
      </c>
      <c r="D8126" s="243">
        <v>429</v>
      </c>
      <c r="E8126" s="243">
        <v>225</v>
      </c>
      <c r="F8126" s="243">
        <v>187</v>
      </c>
      <c r="G8126" s="243">
        <v>234</v>
      </c>
      <c r="H8126" s="243">
        <v>416</v>
      </c>
      <c r="I8126" s="243">
        <v>443</v>
      </c>
      <c r="J8126" s="243">
        <v>495</v>
      </c>
      <c r="K8126" s="243">
        <v>472</v>
      </c>
      <c r="L8126" s="243">
        <v>465</v>
      </c>
      <c r="M8126" s="243">
        <v>396</v>
      </c>
      <c r="N8126" s="243">
        <v>478</v>
      </c>
      <c r="O8126" s="253">
        <v>613</v>
      </c>
    </row>
    <row r="8127" spans="1:15">
      <c r="A8127" s="240" t="s">
        <v>66</v>
      </c>
      <c r="B8127" s="47" t="s">
        <v>59</v>
      </c>
      <c r="C8127" s="15">
        <v>329</v>
      </c>
      <c r="D8127" s="243">
        <v>41</v>
      </c>
      <c r="E8127" s="243">
        <v>34</v>
      </c>
      <c r="F8127" s="243">
        <v>22</v>
      </c>
      <c r="G8127" s="243">
        <v>22</v>
      </c>
      <c r="H8127" s="243">
        <v>22</v>
      </c>
      <c r="I8127" s="243">
        <v>21</v>
      </c>
      <c r="J8127" s="243">
        <v>29</v>
      </c>
      <c r="K8127" s="243">
        <v>22</v>
      </c>
      <c r="L8127" s="243">
        <v>33</v>
      </c>
      <c r="M8127" s="243">
        <v>19</v>
      </c>
      <c r="N8127" s="243">
        <v>30</v>
      </c>
      <c r="O8127" s="253">
        <v>34</v>
      </c>
    </row>
    <row r="8128" spans="1:15">
      <c r="A8128" s="242" t="s">
        <v>66</v>
      </c>
      <c r="B8128" s="43" t="s">
        <v>4</v>
      </c>
      <c r="C8128" s="15">
        <v>19</v>
      </c>
      <c r="D8128" s="244">
        <v>2</v>
      </c>
      <c r="E8128" s="244">
        <v>2</v>
      </c>
      <c r="F8128" s="244">
        <v>0</v>
      </c>
      <c r="G8128" s="244">
        <v>1</v>
      </c>
      <c r="H8128" s="244">
        <v>1</v>
      </c>
      <c r="I8128" s="244">
        <v>2</v>
      </c>
      <c r="J8128" s="244">
        <v>1</v>
      </c>
      <c r="K8128" s="244">
        <v>2</v>
      </c>
      <c r="L8128" s="244">
        <v>2</v>
      </c>
      <c r="M8128" s="244">
        <v>2</v>
      </c>
      <c r="N8128" s="244">
        <v>2</v>
      </c>
      <c r="O8128" s="254">
        <v>2</v>
      </c>
    </row>
    <row r="8129" spans="1:15">
      <c r="A8129" s="240" t="s">
        <v>66</v>
      </c>
      <c r="B8129" s="47" t="s">
        <v>5</v>
      </c>
      <c r="C8129" s="12">
        <v>0.0577507598784195</v>
      </c>
      <c r="D8129" s="241">
        <v>0.0487804878048781</v>
      </c>
      <c r="E8129" s="241">
        <v>0.0588235294117647</v>
      </c>
      <c r="F8129" s="241">
        <v>0</v>
      </c>
      <c r="G8129" s="241">
        <v>0.0454545454545455</v>
      </c>
      <c r="H8129" s="241">
        <v>0.0454545454545455</v>
      </c>
      <c r="I8129" s="241">
        <v>0.0952380952380952</v>
      </c>
      <c r="J8129" s="241">
        <v>0.0344827586206897</v>
      </c>
      <c r="K8129" s="241">
        <v>0.0909090909090909</v>
      </c>
      <c r="L8129" s="241">
        <v>0.0606060606060606</v>
      </c>
      <c r="M8129" s="241">
        <v>0.105263157894737</v>
      </c>
      <c r="N8129" s="241">
        <v>0.0666666666666667</v>
      </c>
      <c r="O8129" s="252">
        <v>0.0588235294117647</v>
      </c>
    </row>
    <row r="8130" spans="1:15">
      <c r="A8130" s="242" t="s">
        <v>66</v>
      </c>
      <c r="B8130" s="43" t="s">
        <v>6</v>
      </c>
      <c r="C8130" s="15">
        <v>8</v>
      </c>
      <c r="D8130" s="244">
        <v>1</v>
      </c>
      <c r="E8130" s="244">
        <v>2</v>
      </c>
      <c r="F8130" s="244">
        <v>0</v>
      </c>
      <c r="G8130" s="244">
        <v>0</v>
      </c>
      <c r="H8130" s="244">
        <v>0</v>
      </c>
      <c r="I8130" s="244">
        <v>1</v>
      </c>
      <c r="J8130" s="244">
        <v>1</v>
      </c>
      <c r="K8130" s="244">
        <v>0</v>
      </c>
      <c r="L8130" s="244">
        <v>1</v>
      </c>
      <c r="M8130" s="244">
        <v>1</v>
      </c>
      <c r="N8130" s="244">
        <v>1</v>
      </c>
      <c r="O8130" s="254">
        <v>0</v>
      </c>
    </row>
    <row r="8131" ht="14.25" spans="1:15">
      <c r="A8131" s="245" t="s">
        <v>66</v>
      </c>
      <c r="B8131" s="52" t="s">
        <v>64</v>
      </c>
      <c r="C8131" s="19">
        <v>0.421052631578947</v>
      </c>
      <c r="D8131" s="246">
        <v>0.5</v>
      </c>
      <c r="E8131" s="246">
        <v>1</v>
      </c>
      <c r="F8131" s="246">
        <v>0</v>
      </c>
      <c r="G8131" s="246">
        <v>0</v>
      </c>
      <c r="H8131" s="246">
        <v>0</v>
      </c>
      <c r="I8131" s="246">
        <v>0.5</v>
      </c>
      <c r="J8131" s="246">
        <v>1</v>
      </c>
      <c r="K8131" s="246">
        <v>0</v>
      </c>
      <c r="L8131" s="246">
        <v>0.5</v>
      </c>
      <c r="M8131" s="246">
        <v>0.5</v>
      </c>
      <c r="N8131" s="246">
        <v>0.5</v>
      </c>
      <c r="O8131" s="255">
        <v>0</v>
      </c>
    </row>
    <row r="8132" spans="1:15">
      <c r="A8132" s="240" t="s">
        <v>67</v>
      </c>
      <c r="B8132" s="47" t="s">
        <v>55</v>
      </c>
      <c r="C8132" s="12">
        <v>0.751760563380282</v>
      </c>
      <c r="D8132" s="241">
        <v>1.41860465116279</v>
      </c>
      <c r="E8132" s="241">
        <v>0.852941176470588</v>
      </c>
      <c r="F8132" s="241">
        <v>1.31578947368421</v>
      </c>
      <c r="G8132" s="241">
        <v>1.1875</v>
      </c>
      <c r="H8132" s="241">
        <v>0.853658536585366</v>
      </c>
      <c r="I8132" s="241">
        <v>0.785714285714286</v>
      </c>
      <c r="J8132" s="241">
        <v>0.771929824561403</v>
      </c>
      <c r="K8132" s="241">
        <v>0.616666666666667</v>
      </c>
      <c r="L8132" s="241">
        <v>0.464788732394366</v>
      </c>
      <c r="M8132" s="241">
        <v>0.565217391304348</v>
      </c>
      <c r="N8132" s="241">
        <v>0.545454545454545</v>
      </c>
      <c r="O8132" s="252">
        <v>0.671232876712329</v>
      </c>
    </row>
    <row r="8133" spans="1:15">
      <c r="A8133" s="242" t="s">
        <v>67</v>
      </c>
      <c r="B8133" s="43" t="s">
        <v>57</v>
      </c>
      <c r="C8133" s="15">
        <v>568</v>
      </c>
      <c r="D8133" s="243">
        <v>43</v>
      </c>
      <c r="E8133" s="243">
        <v>34</v>
      </c>
      <c r="F8133" s="243">
        <v>19</v>
      </c>
      <c r="G8133" s="243">
        <v>16</v>
      </c>
      <c r="H8133" s="243">
        <v>41</v>
      </c>
      <c r="I8133" s="243">
        <v>42</v>
      </c>
      <c r="J8133" s="243">
        <v>57</v>
      </c>
      <c r="K8133" s="243">
        <v>60</v>
      </c>
      <c r="L8133" s="243">
        <v>71</v>
      </c>
      <c r="M8133" s="243">
        <v>46</v>
      </c>
      <c r="N8133" s="243">
        <v>66</v>
      </c>
      <c r="O8133" s="253">
        <v>73</v>
      </c>
    </row>
    <row r="8134" spans="1:15">
      <c r="A8134" s="240" t="s">
        <v>67</v>
      </c>
      <c r="B8134" s="47" t="s">
        <v>59</v>
      </c>
      <c r="C8134" s="15">
        <v>427</v>
      </c>
      <c r="D8134" s="243">
        <v>61</v>
      </c>
      <c r="E8134" s="243">
        <v>29</v>
      </c>
      <c r="F8134" s="243">
        <v>25</v>
      </c>
      <c r="G8134" s="243">
        <v>19</v>
      </c>
      <c r="H8134" s="243">
        <v>35</v>
      </c>
      <c r="I8134" s="243">
        <v>33</v>
      </c>
      <c r="J8134" s="243">
        <v>44</v>
      </c>
      <c r="K8134" s="243">
        <v>37</v>
      </c>
      <c r="L8134" s="243">
        <v>33</v>
      </c>
      <c r="M8134" s="243">
        <v>26</v>
      </c>
      <c r="N8134" s="243">
        <v>36</v>
      </c>
      <c r="O8134" s="253">
        <v>49</v>
      </c>
    </row>
    <row r="8135" spans="1:15">
      <c r="A8135" s="242" t="s">
        <v>67</v>
      </c>
      <c r="B8135" s="43" t="s">
        <v>4</v>
      </c>
      <c r="C8135" s="15">
        <v>12</v>
      </c>
      <c r="D8135" s="244">
        <v>1</v>
      </c>
      <c r="E8135" s="244">
        <v>0</v>
      </c>
      <c r="F8135" s="244">
        <v>0</v>
      </c>
      <c r="G8135" s="244">
        <v>0</v>
      </c>
      <c r="H8135" s="244">
        <v>0</v>
      </c>
      <c r="I8135" s="244">
        <v>3</v>
      </c>
      <c r="J8135" s="244">
        <v>2</v>
      </c>
      <c r="K8135" s="244">
        <v>1</v>
      </c>
      <c r="L8135" s="244">
        <v>0</v>
      </c>
      <c r="M8135" s="244">
        <v>1</v>
      </c>
      <c r="N8135" s="244">
        <v>2</v>
      </c>
      <c r="O8135" s="254">
        <v>2</v>
      </c>
    </row>
    <row r="8136" spans="1:15">
      <c r="A8136" s="240" t="s">
        <v>67</v>
      </c>
      <c r="B8136" s="47" t="s">
        <v>5</v>
      </c>
      <c r="C8136" s="12">
        <v>0.0281030444964871</v>
      </c>
      <c r="D8136" s="241">
        <v>0.0163934426229508</v>
      </c>
      <c r="E8136" s="241">
        <v>0</v>
      </c>
      <c r="F8136" s="241">
        <v>0</v>
      </c>
      <c r="G8136" s="241">
        <v>0</v>
      </c>
      <c r="H8136" s="241">
        <v>0</v>
      </c>
      <c r="I8136" s="241">
        <v>0.0909090909090909</v>
      </c>
      <c r="J8136" s="241">
        <v>0.0454545454545455</v>
      </c>
      <c r="K8136" s="241">
        <v>0.027027027027027</v>
      </c>
      <c r="L8136" s="241">
        <v>0</v>
      </c>
      <c r="M8136" s="241">
        <v>0.0384615384615385</v>
      </c>
      <c r="N8136" s="241">
        <v>0.0555555555555556</v>
      </c>
      <c r="O8136" s="252">
        <v>0.0408163265306122</v>
      </c>
    </row>
    <row r="8137" spans="1:15">
      <c r="A8137" s="242" t="s">
        <v>67</v>
      </c>
      <c r="B8137" s="43" t="s">
        <v>6</v>
      </c>
      <c r="C8137" s="15">
        <v>3</v>
      </c>
      <c r="D8137" s="244">
        <v>0</v>
      </c>
      <c r="E8137" s="244">
        <v>0</v>
      </c>
      <c r="F8137" s="244">
        <v>0</v>
      </c>
      <c r="G8137" s="244">
        <v>0</v>
      </c>
      <c r="H8137" s="244">
        <v>0</v>
      </c>
      <c r="I8137" s="244">
        <v>1</v>
      </c>
      <c r="J8137" s="244">
        <v>1</v>
      </c>
      <c r="K8137" s="244">
        <v>0</v>
      </c>
      <c r="L8137" s="244">
        <v>0</v>
      </c>
      <c r="M8137" s="244">
        <v>0</v>
      </c>
      <c r="N8137" s="244">
        <v>1</v>
      </c>
      <c r="O8137" s="254">
        <v>0</v>
      </c>
    </row>
    <row r="8138" ht="14.25" spans="1:15">
      <c r="A8138" s="245" t="s">
        <v>67</v>
      </c>
      <c r="B8138" s="52" t="s">
        <v>64</v>
      </c>
      <c r="C8138" s="19">
        <v>0.25</v>
      </c>
      <c r="D8138" s="246">
        <v>0</v>
      </c>
      <c r="E8138" s="246">
        <v>0</v>
      </c>
      <c r="F8138" s="246">
        <v>0</v>
      </c>
      <c r="G8138" s="246">
        <v>0</v>
      </c>
      <c r="H8138" s="246">
        <v>0</v>
      </c>
      <c r="I8138" s="246">
        <v>0.333333333333333</v>
      </c>
      <c r="J8138" s="246">
        <v>0.5</v>
      </c>
      <c r="K8138" s="246">
        <v>0</v>
      </c>
      <c r="L8138" s="246">
        <v>0</v>
      </c>
      <c r="M8138" s="246">
        <v>0</v>
      </c>
      <c r="N8138" s="246">
        <v>0.5</v>
      </c>
      <c r="O8138" s="255">
        <v>0</v>
      </c>
    </row>
    <row r="8139" spans="1:15">
      <c r="A8139" s="240" t="s">
        <v>68</v>
      </c>
      <c r="B8139" s="47" t="s">
        <v>55</v>
      </c>
      <c r="C8139" s="12">
        <v>0.0767235494880546</v>
      </c>
      <c r="D8139" s="241">
        <v>0.115501519756839</v>
      </c>
      <c r="E8139" s="241">
        <v>0.0990990990990991</v>
      </c>
      <c r="F8139" s="241">
        <v>0.13716814159292</v>
      </c>
      <c r="G8139" s="241">
        <v>0.128712871287129</v>
      </c>
      <c r="H8139" s="241">
        <v>0.0874524714828897</v>
      </c>
      <c r="I8139" s="241">
        <v>0.0597014925373134</v>
      </c>
      <c r="J8139" s="241">
        <v>0.0626865671641791</v>
      </c>
      <c r="K8139" s="241">
        <v>0.0693301997649824</v>
      </c>
      <c r="L8139" s="241">
        <v>0.0537634408602151</v>
      </c>
      <c r="M8139" s="241">
        <v>0.0667613636363636</v>
      </c>
      <c r="N8139" s="241">
        <v>0.0714285714285714</v>
      </c>
      <c r="O8139" s="252">
        <v>0.0706018518518518</v>
      </c>
    </row>
    <row r="8140" spans="1:15">
      <c r="A8140" s="242" t="s">
        <v>68</v>
      </c>
      <c r="B8140" s="43" t="s">
        <v>57</v>
      </c>
      <c r="C8140" s="15">
        <v>7325</v>
      </c>
      <c r="D8140" s="243">
        <v>658</v>
      </c>
      <c r="E8140" s="243">
        <v>333</v>
      </c>
      <c r="F8140" s="243">
        <v>226</v>
      </c>
      <c r="G8140" s="243">
        <v>202</v>
      </c>
      <c r="H8140" s="243">
        <v>526</v>
      </c>
      <c r="I8140" s="243">
        <v>670</v>
      </c>
      <c r="J8140" s="243">
        <v>670</v>
      </c>
      <c r="K8140" s="243">
        <v>851</v>
      </c>
      <c r="L8140" s="243">
        <v>837</v>
      </c>
      <c r="M8140" s="243">
        <v>704</v>
      </c>
      <c r="N8140" s="243">
        <v>784</v>
      </c>
      <c r="O8140" s="253">
        <v>864</v>
      </c>
    </row>
    <row r="8141" spans="1:15">
      <c r="A8141" s="240" t="s">
        <v>68</v>
      </c>
      <c r="B8141" s="47" t="s">
        <v>59</v>
      </c>
      <c r="C8141" s="15">
        <v>562</v>
      </c>
      <c r="D8141" s="243">
        <v>76</v>
      </c>
      <c r="E8141" s="243">
        <v>33</v>
      </c>
      <c r="F8141" s="243">
        <v>31</v>
      </c>
      <c r="G8141" s="243">
        <v>26</v>
      </c>
      <c r="H8141" s="243">
        <v>46</v>
      </c>
      <c r="I8141" s="243">
        <v>40</v>
      </c>
      <c r="J8141" s="243">
        <v>42</v>
      </c>
      <c r="K8141" s="243">
        <v>59</v>
      </c>
      <c r="L8141" s="243">
        <v>45</v>
      </c>
      <c r="M8141" s="243">
        <v>47</v>
      </c>
      <c r="N8141" s="243">
        <v>56</v>
      </c>
      <c r="O8141" s="253">
        <v>61</v>
      </c>
    </row>
    <row r="8142" spans="1:15">
      <c r="A8142" s="242" t="s">
        <v>68</v>
      </c>
      <c r="B8142" s="43" t="s">
        <v>4</v>
      </c>
      <c r="C8142" s="15">
        <v>37</v>
      </c>
      <c r="D8142" s="244">
        <v>2</v>
      </c>
      <c r="E8142" s="244">
        <v>2</v>
      </c>
      <c r="F8142" s="244">
        <v>2</v>
      </c>
      <c r="G8142" s="244">
        <v>3</v>
      </c>
      <c r="H8142" s="244">
        <v>3</v>
      </c>
      <c r="I8142" s="244">
        <v>5</v>
      </c>
      <c r="J8142" s="244">
        <v>3</v>
      </c>
      <c r="K8142" s="244">
        <v>2</v>
      </c>
      <c r="L8142" s="244">
        <v>3</v>
      </c>
      <c r="M8142" s="244">
        <v>2</v>
      </c>
      <c r="N8142" s="244">
        <v>5</v>
      </c>
      <c r="O8142" s="254">
        <v>5</v>
      </c>
    </row>
    <row r="8143" spans="1:15">
      <c r="A8143" s="240" t="s">
        <v>68</v>
      </c>
      <c r="B8143" s="47" t="s">
        <v>5</v>
      </c>
      <c r="C8143" s="12">
        <v>0.0658362989323843</v>
      </c>
      <c r="D8143" s="241">
        <v>0.0263157894736842</v>
      </c>
      <c r="E8143" s="241">
        <v>0.0606060606060606</v>
      </c>
      <c r="F8143" s="241">
        <v>0.0645161290322581</v>
      </c>
      <c r="G8143" s="241">
        <v>0.115384615384615</v>
      </c>
      <c r="H8143" s="241">
        <v>0.0652173913043478</v>
      </c>
      <c r="I8143" s="241">
        <v>0.125</v>
      </c>
      <c r="J8143" s="241">
        <v>0.0714285714285714</v>
      </c>
      <c r="K8143" s="241">
        <v>0.0338983050847458</v>
      </c>
      <c r="L8143" s="241">
        <v>0.0666666666666667</v>
      </c>
      <c r="M8143" s="241">
        <v>0.0425531914893617</v>
      </c>
      <c r="N8143" s="241">
        <v>0.0892857142857143</v>
      </c>
      <c r="O8143" s="252">
        <v>0.0819672131147541</v>
      </c>
    </row>
    <row r="8144" spans="1:15">
      <c r="A8144" s="242" t="s">
        <v>68</v>
      </c>
      <c r="B8144" s="43" t="s">
        <v>6</v>
      </c>
      <c r="C8144" s="15">
        <v>13</v>
      </c>
      <c r="D8144" s="244">
        <v>2</v>
      </c>
      <c r="E8144" s="244">
        <v>1</v>
      </c>
      <c r="F8144" s="244">
        <v>1</v>
      </c>
      <c r="G8144" s="244">
        <v>1</v>
      </c>
      <c r="H8144" s="244">
        <v>0</v>
      </c>
      <c r="I8144" s="244">
        <v>1</v>
      </c>
      <c r="J8144" s="244">
        <v>3</v>
      </c>
      <c r="K8144" s="244">
        <v>2</v>
      </c>
      <c r="L8144" s="244">
        <v>1</v>
      </c>
      <c r="M8144" s="244">
        <v>0</v>
      </c>
      <c r="N8144" s="244">
        <v>0</v>
      </c>
      <c r="O8144" s="254">
        <v>1</v>
      </c>
    </row>
    <row r="8145" ht="14.25" spans="1:15">
      <c r="A8145" s="245" t="s">
        <v>68</v>
      </c>
      <c r="B8145" s="52" t="s">
        <v>64</v>
      </c>
      <c r="C8145" s="19">
        <v>0.351351351351351</v>
      </c>
      <c r="D8145" s="246">
        <v>1</v>
      </c>
      <c r="E8145" s="246">
        <v>0.5</v>
      </c>
      <c r="F8145" s="246">
        <v>0.5</v>
      </c>
      <c r="G8145" s="246">
        <v>0.333333333333333</v>
      </c>
      <c r="H8145" s="246">
        <v>0</v>
      </c>
      <c r="I8145" s="246">
        <v>0.2</v>
      </c>
      <c r="J8145" s="246">
        <v>1</v>
      </c>
      <c r="K8145" s="246">
        <v>1</v>
      </c>
      <c r="L8145" s="246">
        <v>0.333333333333333</v>
      </c>
      <c r="M8145" s="246">
        <v>0</v>
      </c>
      <c r="N8145" s="246">
        <v>0</v>
      </c>
      <c r="O8145" s="255">
        <v>0.2</v>
      </c>
    </row>
    <row r="8146" spans="1:15">
      <c r="A8146" s="240" t="s">
        <v>69</v>
      </c>
      <c r="B8146" s="47" t="s">
        <v>55</v>
      </c>
      <c r="C8146" s="12">
        <v>0.824175824175824</v>
      </c>
      <c r="D8146" s="241">
        <v>0.739130434782609</v>
      </c>
      <c r="E8146" s="241">
        <v>0.882352941176471</v>
      </c>
      <c r="F8146" s="241">
        <v>0.8</v>
      </c>
      <c r="G8146" s="241">
        <v>1</v>
      </c>
      <c r="H8146" s="241">
        <v>0.8</v>
      </c>
      <c r="I8146" s="241">
        <v>0.869565217391304</v>
      </c>
      <c r="J8146" s="241">
        <v>0.791666666666667</v>
      </c>
      <c r="K8146" s="241">
        <v>0.78125</v>
      </c>
      <c r="L8146" s="241">
        <v>0.882352941176471</v>
      </c>
      <c r="M8146" s="241">
        <v>0.666666666666667</v>
      </c>
      <c r="N8146" s="241">
        <v>1.03225806451613</v>
      </c>
      <c r="O8146" s="252">
        <v>0.789473684210526</v>
      </c>
    </row>
    <row r="8147" spans="1:15">
      <c r="A8147" s="242" t="s">
        <v>69</v>
      </c>
      <c r="B8147" s="43" t="s">
        <v>57</v>
      </c>
      <c r="C8147" s="15">
        <v>273</v>
      </c>
      <c r="D8147" s="243">
        <v>23</v>
      </c>
      <c r="E8147" s="243">
        <v>17</v>
      </c>
      <c r="F8147" s="243">
        <v>10</v>
      </c>
      <c r="G8147" s="243">
        <v>8</v>
      </c>
      <c r="H8147" s="243">
        <v>20</v>
      </c>
      <c r="I8147" s="243">
        <v>23</v>
      </c>
      <c r="J8147" s="243">
        <v>24</v>
      </c>
      <c r="K8147" s="243">
        <v>32</v>
      </c>
      <c r="L8147" s="243">
        <v>17</v>
      </c>
      <c r="M8147" s="243">
        <v>30</v>
      </c>
      <c r="N8147" s="243">
        <v>31</v>
      </c>
      <c r="O8147" s="253">
        <v>38</v>
      </c>
    </row>
    <row r="8148" spans="1:15">
      <c r="A8148" s="240" t="s">
        <v>69</v>
      </c>
      <c r="B8148" s="47" t="s">
        <v>59</v>
      </c>
      <c r="C8148" s="15">
        <v>225</v>
      </c>
      <c r="D8148" s="243">
        <v>17</v>
      </c>
      <c r="E8148" s="243">
        <v>15</v>
      </c>
      <c r="F8148" s="243">
        <v>8</v>
      </c>
      <c r="G8148" s="243">
        <v>8</v>
      </c>
      <c r="H8148" s="243">
        <v>16</v>
      </c>
      <c r="I8148" s="243">
        <v>20</v>
      </c>
      <c r="J8148" s="243">
        <v>19</v>
      </c>
      <c r="K8148" s="243">
        <v>25</v>
      </c>
      <c r="L8148" s="243">
        <v>15</v>
      </c>
      <c r="M8148" s="243">
        <v>20</v>
      </c>
      <c r="N8148" s="243">
        <v>32</v>
      </c>
      <c r="O8148" s="253">
        <v>30</v>
      </c>
    </row>
    <row r="8149" spans="1:15">
      <c r="A8149" s="242" t="s">
        <v>69</v>
      </c>
      <c r="B8149" s="43" t="s">
        <v>4</v>
      </c>
      <c r="C8149" s="15">
        <v>6</v>
      </c>
      <c r="D8149" s="244">
        <v>0</v>
      </c>
      <c r="E8149" s="244">
        <v>0</v>
      </c>
      <c r="F8149" s="244">
        <v>0</v>
      </c>
      <c r="G8149" s="244">
        <v>0</v>
      </c>
      <c r="H8149" s="244">
        <v>0</v>
      </c>
      <c r="I8149" s="244">
        <v>1</v>
      </c>
      <c r="J8149" s="244">
        <v>0</v>
      </c>
      <c r="K8149" s="244">
        <v>1</v>
      </c>
      <c r="L8149" s="244">
        <v>2</v>
      </c>
      <c r="M8149" s="244">
        <v>0</v>
      </c>
      <c r="N8149" s="244">
        <v>0</v>
      </c>
      <c r="O8149" s="254">
        <v>2</v>
      </c>
    </row>
    <row r="8150" spans="1:15">
      <c r="A8150" s="240" t="s">
        <v>69</v>
      </c>
      <c r="B8150" s="47" t="s">
        <v>5</v>
      </c>
      <c r="C8150" s="12">
        <v>0.0266666666666667</v>
      </c>
      <c r="D8150" s="241">
        <v>0</v>
      </c>
      <c r="E8150" s="241">
        <v>0</v>
      </c>
      <c r="F8150" s="241">
        <v>0</v>
      </c>
      <c r="G8150" s="241">
        <v>0</v>
      </c>
      <c r="H8150" s="241">
        <v>0</v>
      </c>
      <c r="I8150" s="241">
        <v>0.05</v>
      </c>
      <c r="J8150" s="241">
        <v>0</v>
      </c>
      <c r="K8150" s="241">
        <v>0.04</v>
      </c>
      <c r="L8150" s="241">
        <v>0.133333333333333</v>
      </c>
      <c r="M8150" s="241">
        <v>0</v>
      </c>
      <c r="N8150" s="241">
        <v>0</v>
      </c>
      <c r="O8150" s="252">
        <v>0.0666666666666667</v>
      </c>
    </row>
    <row r="8151" spans="1:15">
      <c r="A8151" s="242" t="s">
        <v>69</v>
      </c>
      <c r="B8151" s="43" t="s">
        <v>6</v>
      </c>
      <c r="C8151" s="15">
        <v>0</v>
      </c>
      <c r="D8151" s="244">
        <v>0</v>
      </c>
      <c r="E8151" s="244">
        <v>0</v>
      </c>
      <c r="F8151" s="244">
        <v>0</v>
      </c>
      <c r="G8151" s="244">
        <v>0</v>
      </c>
      <c r="H8151" s="244">
        <v>0</v>
      </c>
      <c r="I8151" s="244">
        <v>0</v>
      </c>
      <c r="J8151" s="244">
        <v>0</v>
      </c>
      <c r="K8151" s="244">
        <v>0</v>
      </c>
      <c r="L8151" s="244">
        <v>0</v>
      </c>
      <c r="M8151" s="244">
        <v>0</v>
      </c>
      <c r="N8151" s="244">
        <v>0</v>
      </c>
      <c r="O8151" s="254">
        <v>0</v>
      </c>
    </row>
    <row r="8152" ht="14.25" spans="1:15">
      <c r="A8152" s="245" t="s">
        <v>69</v>
      </c>
      <c r="B8152" s="52" t="s">
        <v>64</v>
      </c>
      <c r="C8152" s="19">
        <v>0</v>
      </c>
      <c r="D8152" s="246">
        <v>0</v>
      </c>
      <c r="E8152" s="246">
        <v>0</v>
      </c>
      <c r="F8152" s="246">
        <v>0</v>
      </c>
      <c r="G8152" s="246">
        <v>0</v>
      </c>
      <c r="H8152" s="246">
        <v>0</v>
      </c>
      <c r="I8152" s="246">
        <v>0</v>
      </c>
      <c r="J8152" s="246">
        <v>0</v>
      </c>
      <c r="K8152" s="246">
        <v>0</v>
      </c>
      <c r="L8152" s="246">
        <v>0</v>
      </c>
      <c r="M8152" s="246">
        <v>0</v>
      </c>
      <c r="N8152" s="246">
        <v>0</v>
      </c>
      <c r="O8152" s="255">
        <v>0</v>
      </c>
    </row>
    <row r="8153" spans="1:15">
      <c r="A8153" s="240" t="s">
        <v>70</v>
      </c>
      <c r="B8153" s="47" t="s">
        <v>55</v>
      </c>
      <c r="C8153" s="12">
        <v>0</v>
      </c>
      <c r="D8153" s="241">
        <v>0</v>
      </c>
      <c r="E8153" s="241">
        <v>0</v>
      </c>
      <c r="F8153" s="241">
        <v>0</v>
      </c>
      <c r="G8153" s="241">
        <v>0</v>
      </c>
      <c r="H8153" s="241">
        <v>0</v>
      </c>
      <c r="I8153" s="241">
        <v>0</v>
      </c>
      <c r="J8153" s="241">
        <v>0</v>
      </c>
      <c r="K8153" s="241">
        <v>0</v>
      </c>
      <c r="L8153" s="241">
        <v>0</v>
      </c>
      <c r="M8153" s="241">
        <v>0</v>
      </c>
      <c r="N8153" s="241">
        <v>0</v>
      </c>
      <c r="O8153" s="252">
        <v>0</v>
      </c>
    </row>
    <row r="8154" spans="1:15">
      <c r="A8154" s="242" t="s">
        <v>70</v>
      </c>
      <c r="B8154" s="43" t="s">
        <v>57</v>
      </c>
      <c r="C8154" s="15">
        <v>103</v>
      </c>
      <c r="D8154" s="243">
        <v>13</v>
      </c>
      <c r="E8154" s="243">
        <v>5</v>
      </c>
      <c r="F8154" s="243">
        <v>3</v>
      </c>
      <c r="G8154" s="243">
        <v>4</v>
      </c>
      <c r="H8154" s="243">
        <v>7</v>
      </c>
      <c r="I8154" s="243">
        <v>9</v>
      </c>
      <c r="J8154" s="243">
        <v>7</v>
      </c>
      <c r="K8154" s="243">
        <v>11</v>
      </c>
      <c r="L8154" s="243">
        <v>12</v>
      </c>
      <c r="M8154" s="243">
        <v>9</v>
      </c>
      <c r="N8154" s="243">
        <v>11</v>
      </c>
      <c r="O8154" s="253">
        <v>12</v>
      </c>
    </row>
    <row r="8155" spans="1:15">
      <c r="A8155" s="240" t="s">
        <v>70</v>
      </c>
      <c r="B8155" s="47" t="s">
        <v>59</v>
      </c>
      <c r="C8155" s="15">
        <v>0</v>
      </c>
      <c r="D8155" s="243">
        <v>0</v>
      </c>
      <c r="E8155" s="243">
        <v>0</v>
      </c>
      <c r="F8155" s="243">
        <v>0</v>
      </c>
      <c r="G8155" s="243">
        <v>0</v>
      </c>
      <c r="H8155" s="243">
        <v>0</v>
      </c>
      <c r="I8155" s="243">
        <v>0</v>
      </c>
      <c r="J8155" s="243">
        <v>0</v>
      </c>
      <c r="K8155" s="243">
        <v>0</v>
      </c>
      <c r="L8155" s="243">
        <v>0</v>
      </c>
      <c r="M8155" s="243">
        <v>0</v>
      </c>
      <c r="N8155" s="243">
        <v>0</v>
      </c>
      <c r="O8155" s="253">
        <v>0</v>
      </c>
    </row>
    <row r="8156" spans="1:15">
      <c r="A8156" s="242" t="s">
        <v>70</v>
      </c>
      <c r="B8156" s="43" t="s">
        <v>4</v>
      </c>
      <c r="C8156" s="15">
        <v>14</v>
      </c>
      <c r="D8156" s="244">
        <v>3</v>
      </c>
      <c r="E8156" s="244">
        <v>1</v>
      </c>
      <c r="F8156" s="244">
        <v>0</v>
      </c>
      <c r="G8156" s="244">
        <v>0</v>
      </c>
      <c r="H8156" s="244">
        <v>1</v>
      </c>
      <c r="I8156" s="244">
        <v>0</v>
      </c>
      <c r="J8156" s="244">
        <v>2</v>
      </c>
      <c r="K8156" s="244">
        <v>2</v>
      </c>
      <c r="L8156" s="244">
        <v>0</v>
      </c>
      <c r="M8156" s="244">
        <v>3</v>
      </c>
      <c r="N8156" s="244">
        <v>0</v>
      </c>
      <c r="O8156" s="254">
        <v>2</v>
      </c>
    </row>
    <row r="8157" spans="1:15">
      <c r="A8157" s="240" t="s">
        <v>70</v>
      </c>
      <c r="B8157" s="47" t="s">
        <v>5</v>
      </c>
      <c r="C8157" s="12" t="e">
        <v>#DIV/0!</v>
      </c>
      <c r="D8157" s="241">
        <v>0</v>
      </c>
      <c r="E8157" s="241">
        <v>0</v>
      </c>
      <c r="F8157" s="241">
        <v>0</v>
      </c>
      <c r="G8157" s="241">
        <v>0</v>
      </c>
      <c r="H8157" s="241">
        <v>0</v>
      </c>
      <c r="I8157" s="241">
        <v>0</v>
      </c>
      <c r="J8157" s="241">
        <v>0</v>
      </c>
      <c r="K8157" s="241">
        <v>0</v>
      </c>
      <c r="L8157" s="241">
        <v>0</v>
      </c>
      <c r="M8157" s="241">
        <v>0</v>
      </c>
      <c r="N8157" s="241">
        <v>0</v>
      </c>
      <c r="O8157" s="252">
        <v>0</v>
      </c>
    </row>
    <row r="8158" spans="1:15">
      <c r="A8158" s="242" t="s">
        <v>70</v>
      </c>
      <c r="B8158" s="43" t="s">
        <v>6</v>
      </c>
      <c r="C8158" s="15">
        <v>5</v>
      </c>
      <c r="D8158" s="244">
        <v>1</v>
      </c>
      <c r="E8158" s="244">
        <v>0</v>
      </c>
      <c r="F8158" s="244">
        <v>0</v>
      </c>
      <c r="G8158" s="244">
        <v>0</v>
      </c>
      <c r="H8158" s="244">
        <v>0</v>
      </c>
      <c r="I8158" s="244">
        <v>0</v>
      </c>
      <c r="J8158" s="244">
        <v>1</v>
      </c>
      <c r="K8158" s="244">
        <v>1</v>
      </c>
      <c r="L8158" s="244">
        <v>0</v>
      </c>
      <c r="M8158" s="244">
        <v>1</v>
      </c>
      <c r="N8158" s="244">
        <v>0</v>
      </c>
      <c r="O8158" s="254">
        <v>1</v>
      </c>
    </row>
    <row r="8159" ht="14.25" spans="1:15">
      <c r="A8159" s="245" t="s">
        <v>70</v>
      </c>
      <c r="B8159" s="52" t="s">
        <v>64</v>
      </c>
      <c r="C8159" s="19">
        <v>0.357142857142857</v>
      </c>
      <c r="D8159" s="246">
        <v>0.333333333333333</v>
      </c>
      <c r="E8159" s="246">
        <v>0</v>
      </c>
      <c r="F8159" s="246">
        <v>0</v>
      </c>
      <c r="G8159" s="246">
        <v>0</v>
      </c>
      <c r="H8159" s="246">
        <v>0</v>
      </c>
      <c r="I8159" s="246">
        <v>0</v>
      </c>
      <c r="J8159" s="246">
        <v>0.5</v>
      </c>
      <c r="K8159" s="246">
        <v>0.5</v>
      </c>
      <c r="L8159" s="246">
        <v>0</v>
      </c>
      <c r="M8159" s="246">
        <v>0.333333333333333</v>
      </c>
      <c r="N8159" s="246">
        <v>0</v>
      </c>
      <c r="O8159" s="255">
        <v>0.5</v>
      </c>
    </row>
    <row r="8160" spans="1:15">
      <c r="A8160" s="240" t="s">
        <v>26</v>
      </c>
      <c r="B8160" s="47" t="s">
        <v>55</v>
      </c>
      <c r="C8160" s="12">
        <v>1.41639344262295</v>
      </c>
      <c r="D8160" s="241">
        <v>1.69491525423729</v>
      </c>
      <c r="E8160" s="241">
        <v>1.66666666666667</v>
      </c>
      <c r="F8160" s="241">
        <v>1.58</v>
      </c>
      <c r="G8160" s="241">
        <v>1.4</v>
      </c>
      <c r="H8160" s="241">
        <v>1.62626262626263</v>
      </c>
      <c r="I8160" s="241">
        <v>1.35245901639344</v>
      </c>
      <c r="J8160" s="241">
        <v>1.23717948717949</v>
      </c>
      <c r="K8160" s="241">
        <v>1.36979166666667</v>
      </c>
      <c r="L8160" s="241">
        <v>1.33519553072626</v>
      </c>
      <c r="M8160" s="241">
        <v>1.37837837837838</v>
      </c>
      <c r="N8160" s="241">
        <v>1.38953488372093</v>
      </c>
      <c r="O8160" s="252">
        <v>1.3625</v>
      </c>
    </row>
    <row r="8161" spans="1:15">
      <c r="A8161" s="242" t="s">
        <v>26</v>
      </c>
      <c r="B8161" s="43" t="s">
        <v>57</v>
      </c>
      <c r="C8161" s="15">
        <v>1525</v>
      </c>
      <c r="D8161" s="243">
        <v>118</v>
      </c>
      <c r="E8161" s="243">
        <v>69</v>
      </c>
      <c r="F8161" s="243">
        <v>50</v>
      </c>
      <c r="G8161" s="243">
        <v>60</v>
      </c>
      <c r="H8161" s="243">
        <v>99</v>
      </c>
      <c r="I8161" s="243">
        <v>122</v>
      </c>
      <c r="J8161" s="243">
        <v>156</v>
      </c>
      <c r="K8161" s="243">
        <v>192</v>
      </c>
      <c r="L8161" s="243">
        <v>179</v>
      </c>
      <c r="M8161" s="243">
        <v>148</v>
      </c>
      <c r="N8161" s="243">
        <v>172</v>
      </c>
      <c r="O8161" s="253">
        <v>160</v>
      </c>
    </row>
    <row r="8162" spans="1:15">
      <c r="A8162" s="240" t="s">
        <v>26</v>
      </c>
      <c r="B8162" s="47" t="s">
        <v>59</v>
      </c>
      <c r="C8162" s="15">
        <v>2160</v>
      </c>
      <c r="D8162" s="243">
        <v>200</v>
      </c>
      <c r="E8162" s="243">
        <v>115</v>
      </c>
      <c r="F8162" s="243">
        <v>79</v>
      </c>
      <c r="G8162" s="243">
        <v>84</v>
      </c>
      <c r="H8162" s="243">
        <v>161</v>
      </c>
      <c r="I8162" s="243">
        <v>165</v>
      </c>
      <c r="J8162" s="243">
        <v>193</v>
      </c>
      <c r="K8162" s="243">
        <v>263</v>
      </c>
      <c r="L8162" s="243">
        <v>239</v>
      </c>
      <c r="M8162" s="243">
        <v>204</v>
      </c>
      <c r="N8162" s="243">
        <v>239</v>
      </c>
      <c r="O8162" s="253">
        <v>218</v>
      </c>
    </row>
    <row r="8163" spans="1:15">
      <c r="A8163" s="242" t="s">
        <v>26</v>
      </c>
      <c r="B8163" s="43" t="s">
        <v>4</v>
      </c>
      <c r="C8163" s="15">
        <v>27</v>
      </c>
      <c r="D8163" s="244">
        <v>2</v>
      </c>
      <c r="E8163" s="244">
        <v>5</v>
      </c>
      <c r="F8163" s="244">
        <v>0</v>
      </c>
      <c r="G8163" s="244">
        <v>3</v>
      </c>
      <c r="H8163" s="244">
        <v>1</v>
      </c>
      <c r="I8163" s="244">
        <v>1</v>
      </c>
      <c r="J8163" s="244">
        <v>2</v>
      </c>
      <c r="K8163" s="244">
        <v>5</v>
      </c>
      <c r="L8163" s="244">
        <v>2</v>
      </c>
      <c r="M8163" s="244">
        <v>2</v>
      </c>
      <c r="N8163" s="244">
        <v>3</v>
      </c>
      <c r="O8163" s="254">
        <v>1</v>
      </c>
    </row>
    <row r="8164" spans="1:15">
      <c r="A8164" s="240" t="s">
        <v>26</v>
      </c>
      <c r="B8164" s="47" t="s">
        <v>5</v>
      </c>
      <c r="C8164" s="12">
        <v>0.0125</v>
      </c>
      <c r="D8164" s="241">
        <v>0.01</v>
      </c>
      <c r="E8164" s="241">
        <v>0.0434782608695652</v>
      </c>
      <c r="F8164" s="241">
        <v>0</v>
      </c>
      <c r="G8164" s="241">
        <v>0.0357142857142857</v>
      </c>
      <c r="H8164" s="241">
        <v>0.0062111801242236</v>
      </c>
      <c r="I8164" s="241">
        <v>0.00606060606060606</v>
      </c>
      <c r="J8164" s="241">
        <v>0.0103626943005181</v>
      </c>
      <c r="K8164" s="241">
        <v>0.0190114068441065</v>
      </c>
      <c r="L8164" s="241">
        <v>0.00836820083682008</v>
      </c>
      <c r="M8164" s="241">
        <v>0.00980392156862745</v>
      </c>
      <c r="N8164" s="241">
        <v>0.0125523012552301</v>
      </c>
      <c r="O8164" s="252">
        <v>0.00458715596330275</v>
      </c>
    </row>
    <row r="8165" spans="1:15">
      <c r="A8165" s="242" t="s">
        <v>26</v>
      </c>
      <c r="B8165" s="43" t="s">
        <v>6</v>
      </c>
      <c r="C8165" s="15">
        <v>5</v>
      </c>
      <c r="D8165" s="244">
        <v>0</v>
      </c>
      <c r="E8165" s="244">
        <v>1</v>
      </c>
      <c r="F8165" s="244">
        <v>0</v>
      </c>
      <c r="G8165" s="244">
        <v>1</v>
      </c>
      <c r="H8165" s="244">
        <v>0</v>
      </c>
      <c r="I8165" s="244">
        <v>1</v>
      </c>
      <c r="J8165" s="244">
        <v>0</v>
      </c>
      <c r="K8165" s="244">
        <v>1</v>
      </c>
      <c r="L8165" s="244">
        <v>0</v>
      </c>
      <c r="M8165" s="244">
        <v>0</v>
      </c>
      <c r="N8165" s="244">
        <v>1</v>
      </c>
      <c r="O8165" s="254">
        <v>0</v>
      </c>
    </row>
    <row r="8166" ht="14.25" spans="1:15">
      <c r="A8166" s="245" t="s">
        <v>26</v>
      </c>
      <c r="B8166" s="52" t="s">
        <v>64</v>
      </c>
      <c r="C8166" s="19">
        <v>0.185185185185185</v>
      </c>
      <c r="D8166" s="19">
        <v>0</v>
      </c>
      <c r="E8166" s="19">
        <v>0.2</v>
      </c>
      <c r="F8166" s="19" t="e">
        <v>#DIV/0!</v>
      </c>
      <c r="G8166" s="19">
        <v>0.333333333333333</v>
      </c>
      <c r="H8166" s="19">
        <v>0</v>
      </c>
      <c r="I8166" s="19">
        <v>1</v>
      </c>
      <c r="J8166" s="19">
        <v>0</v>
      </c>
      <c r="K8166" s="19">
        <v>0.2</v>
      </c>
      <c r="L8166" s="19">
        <v>0</v>
      </c>
      <c r="M8166" s="19">
        <v>0</v>
      </c>
      <c r="N8166" s="19">
        <v>0.333333333333333</v>
      </c>
      <c r="O8166" s="19">
        <v>0</v>
      </c>
    </row>
    <row r="8167" spans="1:15">
      <c r="A8167" s="240" t="s">
        <v>71</v>
      </c>
      <c r="B8167" s="47" t="s">
        <v>55</v>
      </c>
      <c r="C8167" s="12" t="e">
        <v>#DIV/0!</v>
      </c>
      <c r="D8167" s="241" t="e">
        <v>#DIV/0!</v>
      </c>
      <c r="E8167" s="241" t="e">
        <v>#DIV/0!</v>
      </c>
      <c r="F8167" s="241" t="e">
        <v>#DIV/0!</v>
      </c>
      <c r="G8167" s="241" t="e">
        <v>#DIV/0!</v>
      </c>
      <c r="H8167" s="241" t="e">
        <v>#DIV/0!</v>
      </c>
      <c r="I8167" s="241" t="e">
        <v>#DIV/0!</v>
      </c>
      <c r="J8167" s="241" t="e">
        <v>#DIV/0!</v>
      </c>
      <c r="K8167" s="241" t="e">
        <v>#DIV/0!</v>
      </c>
      <c r="L8167" s="241" t="e">
        <v>#DIV/0!</v>
      </c>
      <c r="M8167" s="241" t="e">
        <v>#DIV/0!</v>
      </c>
      <c r="N8167" s="241" t="e">
        <v>#DIV/0!</v>
      </c>
      <c r="O8167" s="252" t="e">
        <v>#DIV/0!</v>
      </c>
    </row>
    <row r="8168" spans="1:15">
      <c r="A8168" s="242" t="s">
        <v>71</v>
      </c>
      <c r="B8168" s="43" t="s">
        <v>57</v>
      </c>
      <c r="C8168" s="15">
        <v>0</v>
      </c>
      <c r="D8168" s="243">
        <v>0</v>
      </c>
      <c r="E8168" s="243">
        <v>0</v>
      </c>
      <c r="F8168" s="243">
        <v>0</v>
      </c>
      <c r="G8168" s="243">
        <v>0</v>
      </c>
      <c r="H8168" s="243">
        <v>0</v>
      </c>
      <c r="I8168" s="243">
        <v>0</v>
      </c>
      <c r="J8168" s="243">
        <v>0</v>
      </c>
      <c r="K8168" s="243">
        <v>0</v>
      </c>
      <c r="L8168" s="243">
        <v>0</v>
      </c>
      <c r="M8168" s="243">
        <v>0</v>
      </c>
      <c r="N8168" s="243">
        <v>0</v>
      </c>
      <c r="O8168" s="253">
        <v>0</v>
      </c>
    </row>
    <row r="8169" spans="1:15">
      <c r="A8169" s="240" t="s">
        <v>71</v>
      </c>
      <c r="B8169" s="47" t="s">
        <v>59</v>
      </c>
      <c r="C8169" s="309">
        <v>51</v>
      </c>
      <c r="D8169" s="310">
        <v>2</v>
      </c>
      <c r="E8169" s="310">
        <v>3</v>
      </c>
      <c r="F8169" s="310">
        <v>0</v>
      </c>
      <c r="G8169" s="310">
        <v>3</v>
      </c>
      <c r="H8169" s="310">
        <v>4</v>
      </c>
      <c r="I8169" s="310">
        <v>4</v>
      </c>
      <c r="J8169" s="310">
        <v>5</v>
      </c>
      <c r="K8169" s="310">
        <v>4</v>
      </c>
      <c r="L8169" s="310">
        <v>6</v>
      </c>
      <c r="M8169" s="310">
        <v>11</v>
      </c>
      <c r="N8169" s="310">
        <v>3</v>
      </c>
      <c r="O8169" s="311">
        <v>6</v>
      </c>
    </row>
    <row r="8170" spans="1:15">
      <c r="A8170" s="242" t="s">
        <v>71</v>
      </c>
      <c r="B8170" s="43" t="s">
        <v>4</v>
      </c>
      <c r="C8170" s="15">
        <v>3</v>
      </c>
      <c r="D8170" s="244">
        <v>0</v>
      </c>
      <c r="E8170" s="244">
        <v>0</v>
      </c>
      <c r="F8170" s="244">
        <v>0</v>
      </c>
      <c r="G8170" s="244">
        <v>0</v>
      </c>
      <c r="H8170" s="244">
        <v>0</v>
      </c>
      <c r="I8170" s="244">
        <v>0</v>
      </c>
      <c r="J8170" s="244">
        <v>1</v>
      </c>
      <c r="K8170" s="244">
        <v>0</v>
      </c>
      <c r="L8170" s="244">
        <v>0</v>
      </c>
      <c r="M8170" s="244">
        <v>1</v>
      </c>
      <c r="N8170" s="244">
        <v>0</v>
      </c>
      <c r="O8170" s="254">
        <v>1</v>
      </c>
    </row>
    <row r="8171" spans="1:15">
      <c r="A8171" s="240" t="s">
        <v>71</v>
      </c>
      <c r="B8171" s="47" t="s">
        <v>5</v>
      </c>
      <c r="C8171" s="241">
        <v>0.0588235294117647</v>
      </c>
      <c r="D8171" s="241">
        <v>0</v>
      </c>
      <c r="E8171" s="241">
        <v>0</v>
      </c>
      <c r="F8171" s="241">
        <v>0</v>
      </c>
      <c r="G8171" s="241">
        <v>0</v>
      </c>
      <c r="H8171" s="241">
        <v>0</v>
      </c>
      <c r="I8171" s="241">
        <v>0</v>
      </c>
      <c r="J8171" s="241">
        <v>0.2</v>
      </c>
      <c r="K8171" s="241">
        <v>0</v>
      </c>
      <c r="L8171" s="241">
        <v>0</v>
      </c>
      <c r="M8171" s="241">
        <v>0.0909090909090909</v>
      </c>
      <c r="N8171" s="241">
        <v>0</v>
      </c>
      <c r="O8171" s="252">
        <v>0.166666666666667</v>
      </c>
    </row>
    <row r="8172" spans="1:15">
      <c r="A8172" s="242" t="s">
        <v>71</v>
      </c>
      <c r="B8172" s="43" t="s">
        <v>6</v>
      </c>
      <c r="C8172" s="15">
        <v>2</v>
      </c>
      <c r="D8172" s="244">
        <v>0</v>
      </c>
      <c r="E8172" s="244">
        <v>0</v>
      </c>
      <c r="F8172" s="244">
        <v>0</v>
      </c>
      <c r="G8172" s="244">
        <v>0</v>
      </c>
      <c r="H8172" s="244">
        <v>0</v>
      </c>
      <c r="I8172" s="244">
        <v>0</v>
      </c>
      <c r="J8172" s="244">
        <v>0</v>
      </c>
      <c r="K8172" s="244">
        <v>0</v>
      </c>
      <c r="L8172" s="244">
        <v>0</v>
      </c>
      <c r="M8172" s="244">
        <v>1</v>
      </c>
      <c r="N8172" s="244">
        <v>0</v>
      </c>
      <c r="O8172" s="254">
        <v>1</v>
      </c>
    </row>
    <row r="8173" ht="14.25" spans="1:15">
      <c r="A8173" s="245" t="s">
        <v>71</v>
      </c>
      <c r="B8173" s="52" t="s">
        <v>64</v>
      </c>
      <c r="C8173" s="19">
        <v>0.666666666666667</v>
      </c>
      <c r="D8173" s="19" t="e">
        <v>#DIV/0!</v>
      </c>
      <c r="E8173" s="19" t="e">
        <v>#DIV/0!</v>
      </c>
      <c r="F8173" s="19" t="e">
        <v>#DIV/0!</v>
      </c>
      <c r="G8173" s="19" t="e">
        <v>#DIV/0!</v>
      </c>
      <c r="H8173" s="19" t="e">
        <v>#DIV/0!</v>
      </c>
      <c r="I8173" s="19" t="e">
        <v>#DIV/0!</v>
      </c>
      <c r="J8173" s="19">
        <v>0</v>
      </c>
      <c r="K8173" s="19" t="e">
        <v>#DIV/0!</v>
      </c>
      <c r="L8173" s="19" t="e">
        <v>#DIV/0!</v>
      </c>
      <c r="M8173" s="19">
        <v>1</v>
      </c>
      <c r="N8173" s="19" t="e">
        <v>#DIV/0!</v>
      </c>
      <c r="O8173" s="19">
        <v>1</v>
      </c>
    </row>
    <row r="8174" spans="1:15">
      <c r="A8174" s="240" t="s">
        <v>72</v>
      </c>
      <c r="B8174" s="47" t="s">
        <v>55</v>
      </c>
      <c r="C8174" s="12">
        <v>0.116179337231969</v>
      </c>
      <c r="D8174" s="241">
        <v>0.230769230769231</v>
      </c>
      <c r="E8174" s="241">
        <v>0.246575342465753</v>
      </c>
      <c r="F8174" s="241">
        <v>0.341463414634146</v>
      </c>
      <c r="G8174" s="241">
        <v>0.114864864864865</v>
      </c>
      <c r="H8174" s="241">
        <v>0.127450980392157</v>
      </c>
      <c r="I8174" s="241">
        <v>0.0912698412698413</v>
      </c>
      <c r="J8174" s="241">
        <v>0.117647058823529</v>
      </c>
      <c r="K8174" s="241">
        <v>0.0989010989010989</v>
      </c>
      <c r="L8174" s="241">
        <v>0.069204152249135</v>
      </c>
      <c r="M8174" s="241">
        <v>0.0875</v>
      </c>
      <c r="N8174" s="241">
        <v>0.116022099447514</v>
      </c>
      <c r="O8174" s="252">
        <v>0.0899653979238754</v>
      </c>
    </row>
    <row r="8175" spans="1:15">
      <c r="A8175" s="242" t="s">
        <v>72</v>
      </c>
      <c r="B8175" s="43" t="s">
        <v>57</v>
      </c>
      <c r="C8175" s="15">
        <v>2565</v>
      </c>
      <c r="D8175" s="243">
        <v>156</v>
      </c>
      <c r="E8175" s="243">
        <v>73</v>
      </c>
      <c r="F8175" s="243">
        <v>41</v>
      </c>
      <c r="G8175" s="243">
        <v>148</v>
      </c>
      <c r="H8175" s="243">
        <v>204</v>
      </c>
      <c r="I8175" s="243">
        <v>252</v>
      </c>
      <c r="J8175" s="243">
        <v>238</v>
      </c>
      <c r="K8175" s="243">
        <v>273</v>
      </c>
      <c r="L8175" s="243">
        <v>289</v>
      </c>
      <c r="M8175" s="243">
        <v>240</v>
      </c>
      <c r="N8175" s="243">
        <v>362</v>
      </c>
      <c r="O8175" s="253">
        <v>289</v>
      </c>
    </row>
    <row r="8176" spans="1:15">
      <c r="A8176" s="240" t="s">
        <v>72</v>
      </c>
      <c r="B8176" s="47" t="s">
        <v>59</v>
      </c>
      <c r="C8176" s="15">
        <v>298</v>
      </c>
      <c r="D8176" s="243">
        <v>36</v>
      </c>
      <c r="E8176" s="243">
        <v>18</v>
      </c>
      <c r="F8176" s="243">
        <v>14</v>
      </c>
      <c r="G8176" s="243">
        <v>17</v>
      </c>
      <c r="H8176" s="243">
        <v>26</v>
      </c>
      <c r="I8176" s="243">
        <v>23</v>
      </c>
      <c r="J8176" s="243">
        <v>28</v>
      </c>
      <c r="K8176" s="243">
        <v>27</v>
      </c>
      <c r="L8176" s="243">
        <v>20</v>
      </c>
      <c r="M8176" s="243">
        <v>21</v>
      </c>
      <c r="N8176" s="243">
        <v>42</v>
      </c>
      <c r="O8176" s="253">
        <v>26</v>
      </c>
    </row>
    <row r="8177" spans="1:15">
      <c r="A8177" s="242" t="s">
        <v>72</v>
      </c>
      <c r="B8177" s="43" t="s">
        <v>4</v>
      </c>
      <c r="C8177" s="15">
        <v>14</v>
      </c>
      <c r="D8177" s="244">
        <v>2</v>
      </c>
      <c r="E8177" s="244">
        <v>0</v>
      </c>
      <c r="F8177" s="244">
        <v>2</v>
      </c>
      <c r="G8177" s="244">
        <v>0</v>
      </c>
      <c r="H8177" s="244">
        <v>3</v>
      </c>
      <c r="I8177" s="244">
        <v>0</v>
      </c>
      <c r="J8177" s="244">
        <v>1</v>
      </c>
      <c r="K8177" s="244">
        <v>0</v>
      </c>
      <c r="L8177" s="244">
        <v>3</v>
      </c>
      <c r="M8177" s="244">
        <v>0</v>
      </c>
      <c r="N8177" s="244">
        <v>2</v>
      </c>
      <c r="O8177" s="254">
        <v>1</v>
      </c>
    </row>
    <row r="8178" spans="1:15">
      <c r="A8178" s="240" t="s">
        <v>72</v>
      </c>
      <c r="B8178" s="47" t="s">
        <v>5</v>
      </c>
      <c r="C8178" s="12">
        <v>0.0469798657718121</v>
      </c>
      <c r="D8178" s="241">
        <v>0.0555555555555556</v>
      </c>
      <c r="E8178" s="241">
        <v>0</v>
      </c>
      <c r="F8178" s="241">
        <v>0.142857142857143</v>
      </c>
      <c r="G8178" s="241">
        <v>0</v>
      </c>
      <c r="H8178" s="241">
        <v>0.115384615384615</v>
      </c>
      <c r="I8178" s="241">
        <v>0</v>
      </c>
      <c r="J8178" s="241">
        <v>0.0357142857142857</v>
      </c>
      <c r="K8178" s="241">
        <v>0</v>
      </c>
      <c r="L8178" s="241">
        <v>0.15</v>
      </c>
      <c r="M8178" s="241">
        <v>0</v>
      </c>
      <c r="N8178" s="241">
        <v>0.0476190476190476</v>
      </c>
      <c r="O8178" s="252">
        <v>0.0384615384615385</v>
      </c>
    </row>
    <row r="8179" spans="1:15">
      <c r="A8179" s="242" t="s">
        <v>72</v>
      </c>
      <c r="B8179" s="43" t="s">
        <v>6</v>
      </c>
      <c r="C8179" s="15">
        <v>6</v>
      </c>
      <c r="D8179" s="244">
        <v>0</v>
      </c>
      <c r="E8179" s="244">
        <v>0</v>
      </c>
      <c r="F8179" s="244">
        <v>0</v>
      </c>
      <c r="G8179" s="244">
        <v>0</v>
      </c>
      <c r="H8179" s="244">
        <v>1</v>
      </c>
      <c r="I8179" s="244">
        <v>0</v>
      </c>
      <c r="J8179" s="244">
        <v>0</v>
      </c>
      <c r="K8179" s="244">
        <v>1</v>
      </c>
      <c r="L8179" s="244">
        <v>2</v>
      </c>
      <c r="M8179" s="244">
        <v>0</v>
      </c>
      <c r="N8179" s="244">
        <v>2</v>
      </c>
      <c r="O8179" s="254">
        <v>0</v>
      </c>
    </row>
    <row r="8180" ht="14.25" spans="1:15">
      <c r="A8180" s="245" t="s">
        <v>72</v>
      </c>
      <c r="B8180" s="52" t="s">
        <v>64</v>
      </c>
      <c r="C8180" s="19">
        <v>0.428571428571429</v>
      </c>
      <c r="D8180" s="19">
        <v>0</v>
      </c>
      <c r="E8180" s="19" t="e">
        <v>#DIV/0!</v>
      </c>
      <c r="F8180" s="19">
        <v>0</v>
      </c>
      <c r="G8180" s="19" t="e">
        <v>#DIV/0!</v>
      </c>
      <c r="H8180" s="19">
        <v>0.333333333333333</v>
      </c>
      <c r="I8180" s="19" t="e">
        <v>#DIV/0!</v>
      </c>
      <c r="J8180" s="19">
        <v>0</v>
      </c>
      <c r="K8180" s="19" t="e">
        <v>#DIV/0!</v>
      </c>
      <c r="L8180" s="19">
        <v>0.666666666666667</v>
      </c>
      <c r="M8180" s="19" t="e">
        <v>#DIV/0!</v>
      </c>
      <c r="N8180" s="19">
        <v>1</v>
      </c>
      <c r="O8180" s="19">
        <v>0</v>
      </c>
    </row>
  </sheetData>
  <mergeCells count="256">
    <mergeCell ref="A1:O1"/>
    <mergeCell ref="A2:B2"/>
    <mergeCell ref="A52:O52"/>
    <mergeCell ref="A53:B53"/>
    <mergeCell ref="A103:O103"/>
    <mergeCell ref="A104:B104"/>
    <mergeCell ref="A154:O154"/>
    <mergeCell ref="A155:B155"/>
    <mergeCell ref="A205:O205"/>
    <mergeCell ref="A206:B206"/>
    <mergeCell ref="A256:O256"/>
    <mergeCell ref="A257:B257"/>
    <mergeCell ref="A307:O307"/>
    <mergeCell ref="A308:B308"/>
    <mergeCell ref="A358:O358"/>
    <mergeCell ref="A359:B359"/>
    <mergeCell ref="A409:O409"/>
    <mergeCell ref="A410:B410"/>
    <mergeCell ref="A460:O460"/>
    <mergeCell ref="A461:B461"/>
    <mergeCell ref="A511:O511"/>
    <mergeCell ref="A512:B512"/>
    <mergeCell ref="A576:O576"/>
    <mergeCell ref="A577:B577"/>
    <mergeCell ref="A641:O641"/>
    <mergeCell ref="A642:B642"/>
    <mergeCell ref="A706:O706"/>
    <mergeCell ref="A707:B707"/>
    <mergeCell ref="A771:O771"/>
    <mergeCell ref="A772:B772"/>
    <mergeCell ref="A836:O836"/>
    <mergeCell ref="A837:B837"/>
    <mergeCell ref="A901:O901"/>
    <mergeCell ref="A902:B902"/>
    <mergeCell ref="A966:O966"/>
    <mergeCell ref="A967:B967"/>
    <mergeCell ref="A1031:O1031"/>
    <mergeCell ref="A1032:B1032"/>
    <mergeCell ref="A1096:O1096"/>
    <mergeCell ref="A1097:B1097"/>
    <mergeCell ref="A1161:O1161"/>
    <mergeCell ref="A1162:B1162"/>
    <mergeCell ref="A1226:O1226"/>
    <mergeCell ref="A1227:B1227"/>
    <mergeCell ref="A1291:O1291"/>
    <mergeCell ref="A1292:B1292"/>
    <mergeCell ref="A1356:O1356"/>
    <mergeCell ref="A1357:B1357"/>
    <mergeCell ref="A1421:O1421"/>
    <mergeCell ref="A1422:B1422"/>
    <mergeCell ref="A1486:O1486"/>
    <mergeCell ref="A1487:B1487"/>
    <mergeCell ref="A1551:O1551"/>
    <mergeCell ref="A1552:B1552"/>
    <mergeCell ref="A1616:O1616"/>
    <mergeCell ref="A1617:B1617"/>
    <mergeCell ref="A1681:O1681"/>
    <mergeCell ref="A1682:B1682"/>
    <mergeCell ref="A1746:O1746"/>
    <mergeCell ref="A1747:B1747"/>
    <mergeCell ref="A1811:O1811"/>
    <mergeCell ref="A1812:B1812"/>
    <mergeCell ref="A1876:O1876"/>
    <mergeCell ref="A1877:B1877"/>
    <mergeCell ref="A1941:O1941"/>
    <mergeCell ref="A1942:B1942"/>
    <mergeCell ref="A2006:O2006"/>
    <mergeCell ref="A2007:B2007"/>
    <mergeCell ref="A2071:O2071"/>
    <mergeCell ref="A2072:B2072"/>
    <mergeCell ref="A2136:O2136"/>
    <mergeCell ref="A2137:B2137"/>
    <mergeCell ref="A2201:O2201"/>
    <mergeCell ref="A2202:B2202"/>
    <mergeCell ref="A2266:O2266"/>
    <mergeCell ref="A2267:B2267"/>
    <mergeCell ref="A2331:O2331"/>
    <mergeCell ref="A2332:B2332"/>
    <mergeCell ref="A2396:O2396"/>
    <mergeCell ref="A2397:B2397"/>
    <mergeCell ref="A2461:O2461"/>
    <mergeCell ref="A2462:B2462"/>
    <mergeCell ref="A2526:O2526"/>
    <mergeCell ref="A2527:B2527"/>
    <mergeCell ref="A2591:O2591"/>
    <mergeCell ref="A2592:B2592"/>
    <mergeCell ref="A2656:O2656"/>
    <mergeCell ref="A2657:B2657"/>
    <mergeCell ref="A2721:O2721"/>
    <mergeCell ref="A2722:B2722"/>
    <mergeCell ref="A2786:O2786"/>
    <mergeCell ref="A2787:B2787"/>
    <mergeCell ref="A2851:O2851"/>
    <mergeCell ref="A2852:B2852"/>
    <mergeCell ref="A2916:O2916"/>
    <mergeCell ref="A2917:B2917"/>
    <mergeCell ref="A2981:O2981"/>
    <mergeCell ref="A2982:B2982"/>
    <mergeCell ref="A3046:O3046"/>
    <mergeCell ref="A3047:B3047"/>
    <mergeCell ref="A3111:O3111"/>
    <mergeCell ref="A3112:B3112"/>
    <mergeCell ref="A3176:O3176"/>
    <mergeCell ref="A3177:B3177"/>
    <mergeCell ref="A3241:O3241"/>
    <mergeCell ref="A3242:B3242"/>
    <mergeCell ref="A3306:O3306"/>
    <mergeCell ref="A3307:B3307"/>
    <mergeCell ref="A3371:O3371"/>
    <mergeCell ref="A3372:B3372"/>
    <mergeCell ref="A3436:O3436"/>
    <mergeCell ref="A3437:B3437"/>
    <mergeCell ref="A3501:O3501"/>
    <mergeCell ref="A3502:B3502"/>
    <mergeCell ref="A3566:O3566"/>
    <mergeCell ref="A3567:B3567"/>
    <mergeCell ref="A3631:O3631"/>
    <mergeCell ref="A3632:B3632"/>
    <mergeCell ref="A3696:O3696"/>
    <mergeCell ref="A3697:B3697"/>
    <mergeCell ref="A3761:O3761"/>
    <mergeCell ref="A3762:B3762"/>
    <mergeCell ref="A3826:O3826"/>
    <mergeCell ref="A3827:B3827"/>
    <mergeCell ref="A3891:O3891"/>
    <mergeCell ref="A3892:B3892"/>
    <mergeCell ref="A3956:O3956"/>
    <mergeCell ref="A3957:B3957"/>
    <mergeCell ref="A4021:O4021"/>
    <mergeCell ref="A4022:B4022"/>
    <mergeCell ref="A4086:O4086"/>
    <mergeCell ref="A4087:B4087"/>
    <mergeCell ref="A4151:O4151"/>
    <mergeCell ref="A4152:B4152"/>
    <mergeCell ref="A4216:O4216"/>
    <mergeCell ref="A4217:B4217"/>
    <mergeCell ref="A4281:O4281"/>
    <mergeCell ref="A4282:B4282"/>
    <mergeCell ref="A4346:O4346"/>
    <mergeCell ref="A4347:B4347"/>
    <mergeCell ref="A4411:O4411"/>
    <mergeCell ref="A4412:B4412"/>
    <mergeCell ref="A4476:O4476"/>
    <mergeCell ref="A4477:B4477"/>
    <mergeCell ref="A4541:O4541"/>
    <mergeCell ref="A4542:B4542"/>
    <mergeCell ref="A4606:O4606"/>
    <mergeCell ref="A4607:B4607"/>
    <mergeCell ref="A4671:O4671"/>
    <mergeCell ref="A4672:B4672"/>
    <mergeCell ref="A4736:O4736"/>
    <mergeCell ref="A4737:B4737"/>
    <mergeCell ref="A4801:O4801"/>
    <mergeCell ref="A4802:B4802"/>
    <mergeCell ref="A4866:O4866"/>
    <mergeCell ref="A4867:B4867"/>
    <mergeCell ref="A4931:O4931"/>
    <mergeCell ref="A4932:B4932"/>
    <mergeCell ref="A4996:O4996"/>
    <mergeCell ref="A4997:B4997"/>
    <mergeCell ref="A5061:O5061"/>
    <mergeCell ref="A5062:B5062"/>
    <mergeCell ref="A5126:O5126"/>
    <mergeCell ref="A5127:B5127"/>
    <mergeCell ref="A5191:O5191"/>
    <mergeCell ref="A5192:B5192"/>
    <mergeCell ref="A5256:O5256"/>
    <mergeCell ref="A5257:B5257"/>
    <mergeCell ref="A5321:O5321"/>
    <mergeCell ref="A5322:B5322"/>
    <mergeCell ref="A5386:O5386"/>
    <mergeCell ref="A5387:B5387"/>
    <mergeCell ref="A5451:O5451"/>
    <mergeCell ref="A5452:B5452"/>
    <mergeCell ref="A5516:O5516"/>
    <mergeCell ref="A5517:B5517"/>
    <mergeCell ref="A5581:O5581"/>
    <mergeCell ref="A5582:B5582"/>
    <mergeCell ref="A5646:O5646"/>
    <mergeCell ref="A5647:B5647"/>
    <mergeCell ref="A5711:O5711"/>
    <mergeCell ref="A5712:B5712"/>
    <mergeCell ref="A5776:O5776"/>
    <mergeCell ref="A5777:B5777"/>
    <mergeCell ref="A5841:O5841"/>
    <mergeCell ref="A5842:B5842"/>
    <mergeCell ref="A5906:O5906"/>
    <mergeCell ref="A5907:B5907"/>
    <mergeCell ref="A5971:O5971"/>
    <mergeCell ref="A5972:B5972"/>
    <mergeCell ref="A6036:O6036"/>
    <mergeCell ref="A6037:B6037"/>
    <mergeCell ref="A6101:O6101"/>
    <mergeCell ref="A6102:B6102"/>
    <mergeCell ref="A6166:O6166"/>
    <mergeCell ref="A6167:B6167"/>
    <mergeCell ref="A6231:O6231"/>
    <mergeCell ref="A6232:B6232"/>
    <mergeCell ref="A6296:O6296"/>
    <mergeCell ref="A6297:B6297"/>
    <mergeCell ref="A6361:O6361"/>
    <mergeCell ref="A6362:B6362"/>
    <mergeCell ref="A6426:O6426"/>
    <mergeCell ref="A6427:B6427"/>
    <mergeCell ref="A6491:O6491"/>
    <mergeCell ref="A6492:B6492"/>
    <mergeCell ref="A6556:O6556"/>
    <mergeCell ref="A6557:B6557"/>
    <mergeCell ref="A6621:O6621"/>
    <mergeCell ref="A6622:B6622"/>
    <mergeCell ref="A6686:O6686"/>
    <mergeCell ref="A6687:B6687"/>
    <mergeCell ref="A6751:O6751"/>
    <mergeCell ref="A6752:B6752"/>
    <mergeCell ref="A6816:O6816"/>
    <mergeCell ref="A6817:B6817"/>
    <mergeCell ref="A6881:O6881"/>
    <mergeCell ref="A6882:B6882"/>
    <mergeCell ref="A6946:O6946"/>
    <mergeCell ref="A6947:B6947"/>
    <mergeCell ref="A7011:O7011"/>
    <mergeCell ref="A7012:B7012"/>
    <mergeCell ref="A7076:O7076"/>
    <mergeCell ref="A7077:B7077"/>
    <mergeCell ref="A7141:O7141"/>
    <mergeCell ref="A7142:B7142"/>
    <mergeCell ref="A7206:O7206"/>
    <mergeCell ref="A7207:B7207"/>
    <mergeCell ref="A7271:O7271"/>
    <mergeCell ref="A7272:B7272"/>
    <mergeCell ref="A7336:O7336"/>
    <mergeCell ref="A7337:B7337"/>
    <mergeCell ref="A7401:O7401"/>
    <mergeCell ref="A7402:B7402"/>
    <mergeCell ref="A7466:O7466"/>
    <mergeCell ref="A7467:B7467"/>
    <mergeCell ref="A7531:O7531"/>
    <mergeCell ref="A7532:B7532"/>
    <mergeCell ref="A7596:O7596"/>
    <mergeCell ref="A7597:B7597"/>
    <mergeCell ref="A7661:O7661"/>
    <mergeCell ref="A7662:B7662"/>
    <mergeCell ref="A7726:O7726"/>
    <mergeCell ref="A7727:B7727"/>
    <mergeCell ref="A7791:O7791"/>
    <mergeCell ref="A7792:B7792"/>
    <mergeCell ref="A7856:O7856"/>
    <mergeCell ref="A7857:B7857"/>
    <mergeCell ref="A7921:O7921"/>
    <mergeCell ref="A7922:B7922"/>
    <mergeCell ref="A7986:O7986"/>
    <mergeCell ref="A7987:B7987"/>
    <mergeCell ref="A8051:O8051"/>
    <mergeCell ref="A8052:B8052"/>
    <mergeCell ref="A8116:O8116"/>
    <mergeCell ref="A8117:B8117"/>
  </mergeCells>
  <conditionalFormatting sqref="C2">
    <cfRule type="expression" dxfId="4" priority="4586">
      <formula>C2&lt;S2</formula>
    </cfRule>
  </conditionalFormatting>
  <conditionalFormatting sqref="C3">
    <cfRule type="expression" dxfId="4" priority="4578">
      <formula>C3&lt;S3</formula>
    </cfRule>
  </conditionalFormatting>
  <conditionalFormatting sqref="P8">
    <cfRule type="expression" dxfId="4" priority="314">
      <formula>P8&lt;AF8</formula>
    </cfRule>
  </conditionalFormatting>
  <conditionalFormatting sqref="C16">
    <cfRule type="expression" dxfId="4" priority="4584">
      <formula>C16&lt;S16</formula>
    </cfRule>
  </conditionalFormatting>
  <conditionalFormatting sqref="C23">
    <cfRule type="expression" dxfId="4" priority="4583">
      <formula>C23&lt;S23</formula>
    </cfRule>
  </conditionalFormatting>
  <conditionalFormatting sqref="C30">
    <cfRule type="expression" dxfId="4" priority="4582">
      <formula>C30&lt;S30</formula>
    </cfRule>
  </conditionalFormatting>
  <conditionalFormatting sqref="C37">
    <cfRule type="expression" dxfId="4" priority="4581">
      <formula>C37&lt;S37</formula>
    </cfRule>
  </conditionalFormatting>
  <conditionalFormatting sqref="C44">
    <cfRule type="expression" dxfId="4" priority="4580">
      <formula>C44&lt;S44</formula>
    </cfRule>
  </conditionalFormatting>
  <conditionalFormatting sqref="C51">
    <cfRule type="expression" dxfId="4" priority="4579">
      <formula>C51&lt;S51</formula>
    </cfRule>
  </conditionalFormatting>
  <conditionalFormatting sqref="C53">
    <cfRule type="expression" dxfId="4" priority="4564">
      <formula>C53&lt;S53</formula>
    </cfRule>
  </conditionalFormatting>
  <conditionalFormatting sqref="C54">
    <cfRule type="expression" dxfId="4" priority="4556">
      <formula>C54&lt;S54</formula>
    </cfRule>
  </conditionalFormatting>
  <conditionalFormatting sqref="C67">
    <cfRule type="expression" dxfId="4" priority="4562">
      <formula>C67&lt;S67</formula>
    </cfRule>
  </conditionalFormatting>
  <conditionalFormatting sqref="C74">
    <cfRule type="expression" dxfId="4" priority="4561">
      <formula>C74&lt;S74</formula>
    </cfRule>
  </conditionalFormatting>
  <conditionalFormatting sqref="C81">
    <cfRule type="expression" dxfId="4" priority="4560">
      <formula>C81&lt;S81</formula>
    </cfRule>
  </conditionalFormatting>
  <conditionalFormatting sqref="C88">
    <cfRule type="expression" dxfId="4" priority="4559">
      <formula>C88&lt;S88</formula>
    </cfRule>
  </conditionalFormatting>
  <conditionalFormatting sqref="C95">
    <cfRule type="expression" dxfId="4" priority="4558">
      <formula>C95&lt;S95</formula>
    </cfRule>
  </conditionalFormatting>
  <conditionalFormatting sqref="C102">
    <cfRule type="expression" dxfId="4" priority="4557">
      <formula>C102&lt;S102</formula>
    </cfRule>
  </conditionalFormatting>
  <conditionalFormatting sqref="C104">
    <cfRule type="expression" dxfId="4" priority="4630">
      <formula>C104&lt;S104</formula>
    </cfRule>
  </conditionalFormatting>
  <conditionalFormatting sqref="C105">
    <cfRule type="expression" dxfId="4" priority="4622">
      <formula>C105&lt;S105</formula>
    </cfRule>
  </conditionalFormatting>
  <conditionalFormatting sqref="C118">
    <cfRule type="expression" dxfId="4" priority="4628">
      <formula>C118&lt;S118</formula>
    </cfRule>
  </conditionalFormatting>
  <conditionalFormatting sqref="C125">
    <cfRule type="expression" dxfId="4" priority="4627">
      <formula>C125&lt;S125</formula>
    </cfRule>
  </conditionalFormatting>
  <conditionalFormatting sqref="C132">
    <cfRule type="expression" dxfId="4" priority="4626">
      <formula>C132&lt;S132</formula>
    </cfRule>
  </conditionalFormatting>
  <conditionalFormatting sqref="C139">
    <cfRule type="expression" dxfId="4" priority="4625">
      <formula>C139&lt;S139</formula>
    </cfRule>
  </conditionalFormatting>
  <conditionalFormatting sqref="C146">
    <cfRule type="expression" dxfId="4" priority="4624">
      <formula>C146&lt;S146</formula>
    </cfRule>
  </conditionalFormatting>
  <conditionalFormatting sqref="C153">
    <cfRule type="expression" dxfId="4" priority="4623">
      <formula>C153&lt;S153</formula>
    </cfRule>
  </conditionalFormatting>
  <conditionalFormatting sqref="C155">
    <cfRule type="expression" dxfId="4" priority="4608">
      <formula>C155&lt;S155</formula>
    </cfRule>
  </conditionalFormatting>
  <conditionalFormatting sqref="C156">
    <cfRule type="expression" dxfId="4" priority="4600">
      <formula>C156&lt;S156</formula>
    </cfRule>
  </conditionalFormatting>
  <conditionalFormatting sqref="C169">
    <cfRule type="expression" dxfId="4" priority="4606">
      <formula>C169&lt;S169</formula>
    </cfRule>
  </conditionalFormatting>
  <conditionalFormatting sqref="C176">
    <cfRule type="expression" dxfId="4" priority="4605">
      <formula>C176&lt;S176</formula>
    </cfRule>
  </conditionalFormatting>
  <conditionalFormatting sqref="C183">
    <cfRule type="expression" dxfId="4" priority="4604">
      <formula>C183&lt;S183</formula>
    </cfRule>
  </conditionalFormatting>
  <conditionalFormatting sqref="C190">
    <cfRule type="expression" dxfId="4" priority="4603">
      <formula>C190&lt;S190</formula>
    </cfRule>
  </conditionalFormatting>
  <conditionalFormatting sqref="C197">
    <cfRule type="expression" dxfId="4" priority="4602">
      <formula>C197&lt;S197</formula>
    </cfRule>
  </conditionalFormatting>
  <conditionalFormatting sqref="C204">
    <cfRule type="expression" dxfId="4" priority="4601">
      <formula>C204&lt;S204</formula>
    </cfRule>
  </conditionalFormatting>
  <conditionalFormatting sqref="C206">
    <cfRule type="expression" dxfId="4" priority="4542">
      <formula>C206&lt;S206</formula>
    </cfRule>
  </conditionalFormatting>
  <conditionalFormatting sqref="C207">
    <cfRule type="expression" dxfId="4" priority="4534">
      <formula>C207&lt;S207</formula>
    </cfRule>
  </conditionalFormatting>
  <conditionalFormatting sqref="C220">
    <cfRule type="expression" dxfId="4" priority="4540">
      <formula>C220&lt;S220</formula>
    </cfRule>
  </conditionalFormatting>
  <conditionalFormatting sqref="C227">
    <cfRule type="expression" dxfId="4" priority="4539">
      <formula>C227&lt;S227</formula>
    </cfRule>
  </conditionalFormatting>
  <conditionalFormatting sqref="C234">
    <cfRule type="expression" dxfId="4" priority="4538">
      <formula>C234&lt;S234</formula>
    </cfRule>
  </conditionalFormatting>
  <conditionalFormatting sqref="C241">
    <cfRule type="expression" dxfId="4" priority="4537">
      <formula>C241&lt;S241</formula>
    </cfRule>
  </conditionalFormatting>
  <conditionalFormatting sqref="C248">
    <cfRule type="expression" dxfId="4" priority="4536">
      <formula>C248&lt;S248</formula>
    </cfRule>
  </conditionalFormatting>
  <conditionalFormatting sqref="C255">
    <cfRule type="expression" dxfId="4" priority="4535">
      <formula>C255&lt;S255</formula>
    </cfRule>
  </conditionalFormatting>
  <conditionalFormatting sqref="C257">
    <cfRule type="expression" dxfId="4" priority="4520">
      <formula>C257&lt;S257</formula>
    </cfRule>
  </conditionalFormatting>
  <conditionalFormatting sqref="C258">
    <cfRule type="expression" dxfId="4" priority="4512">
      <formula>C258&lt;S258</formula>
    </cfRule>
  </conditionalFormatting>
  <conditionalFormatting sqref="C271">
    <cfRule type="expression" dxfId="4" priority="4518">
      <formula>C271&lt;S271</formula>
    </cfRule>
  </conditionalFormatting>
  <conditionalFormatting sqref="C278">
    <cfRule type="expression" dxfId="4" priority="4517">
      <formula>C278&lt;S278</formula>
    </cfRule>
  </conditionalFormatting>
  <conditionalFormatting sqref="C285">
    <cfRule type="expression" dxfId="4" priority="4516">
      <formula>C285&lt;S285</formula>
    </cfRule>
  </conditionalFormatting>
  <conditionalFormatting sqref="C292">
    <cfRule type="expression" dxfId="4" priority="4515">
      <formula>C292&lt;S292</formula>
    </cfRule>
  </conditionalFormatting>
  <conditionalFormatting sqref="C299">
    <cfRule type="expression" dxfId="4" priority="4514">
      <formula>C299&lt;S299</formula>
    </cfRule>
  </conditionalFormatting>
  <conditionalFormatting sqref="C306">
    <cfRule type="expression" dxfId="4" priority="4513">
      <formula>C306&lt;S306</formula>
    </cfRule>
  </conditionalFormatting>
  <conditionalFormatting sqref="C308">
    <cfRule type="expression" dxfId="4" priority="4498">
      <formula>C308&lt;S308</formula>
    </cfRule>
  </conditionalFormatting>
  <conditionalFormatting sqref="C309">
    <cfRule type="expression" dxfId="4" priority="4490">
      <formula>C309&lt;S309</formula>
    </cfRule>
  </conditionalFormatting>
  <conditionalFormatting sqref="C322">
    <cfRule type="expression" dxfId="4" priority="4496">
      <formula>C322&lt;S322</formula>
    </cfRule>
  </conditionalFormatting>
  <conditionalFormatting sqref="C329">
    <cfRule type="expression" dxfId="4" priority="4495">
      <formula>C329&lt;S329</formula>
    </cfRule>
  </conditionalFormatting>
  <conditionalFormatting sqref="C336">
    <cfRule type="expression" dxfId="4" priority="4494">
      <formula>C336&lt;S336</formula>
    </cfRule>
  </conditionalFormatting>
  <conditionalFormatting sqref="C343">
    <cfRule type="expression" dxfId="4" priority="4493">
      <formula>C343&lt;S343</formula>
    </cfRule>
  </conditionalFormatting>
  <conditionalFormatting sqref="C350">
    <cfRule type="expression" dxfId="4" priority="4492">
      <formula>C350&lt;S350</formula>
    </cfRule>
  </conditionalFormatting>
  <conditionalFormatting sqref="C357">
    <cfRule type="expression" dxfId="4" priority="4491">
      <formula>C357&lt;S357</formula>
    </cfRule>
  </conditionalFormatting>
  <conditionalFormatting sqref="C359">
    <cfRule type="expression" dxfId="4" priority="4476">
      <formula>C359&lt;S359</formula>
    </cfRule>
  </conditionalFormatting>
  <conditionalFormatting sqref="C360">
    <cfRule type="expression" dxfId="4" priority="4468">
      <formula>C360&lt;S360</formula>
    </cfRule>
  </conditionalFormatting>
  <conditionalFormatting sqref="C373">
    <cfRule type="expression" dxfId="4" priority="4474">
      <formula>C373&lt;S373</formula>
    </cfRule>
  </conditionalFormatting>
  <conditionalFormatting sqref="C380">
    <cfRule type="expression" dxfId="4" priority="4473">
      <formula>C380&lt;S380</formula>
    </cfRule>
  </conditionalFormatting>
  <conditionalFormatting sqref="C387">
    <cfRule type="expression" dxfId="4" priority="4472">
      <formula>C387&lt;S387</formula>
    </cfRule>
  </conditionalFormatting>
  <conditionalFormatting sqref="C394">
    <cfRule type="expression" dxfId="4" priority="4471">
      <formula>C394&lt;S394</formula>
    </cfRule>
  </conditionalFormatting>
  <conditionalFormatting sqref="C401">
    <cfRule type="expression" dxfId="4" priority="4470">
      <formula>C401&lt;S401</formula>
    </cfRule>
  </conditionalFormatting>
  <conditionalFormatting sqref="C408">
    <cfRule type="expression" dxfId="4" priority="4469">
      <formula>C408&lt;S408</formula>
    </cfRule>
  </conditionalFormatting>
  <conditionalFormatting sqref="C410">
    <cfRule type="expression" dxfId="4" priority="4454">
      <formula>C410&lt;S410</formula>
    </cfRule>
  </conditionalFormatting>
  <conditionalFormatting sqref="C411">
    <cfRule type="expression" dxfId="4" priority="4446">
      <formula>C411&lt;S411</formula>
    </cfRule>
  </conditionalFormatting>
  <conditionalFormatting sqref="C424">
    <cfRule type="expression" dxfId="4" priority="4452">
      <formula>C424&lt;S424</formula>
    </cfRule>
  </conditionalFormatting>
  <conditionalFormatting sqref="C431">
    <cfRule type="expression" dxfId="4" priority="4451">
      <formula>C431&lt;S431</formula>
    </cfRule>
  </conditionalFormatting>
  <conditionalFormatting sqref="C438">
    <cfRule type="expression" dxfId="4" priority="4450">
      <formula>C438&lt;S438</formula>
    </cfRule>
  </conditionalFormatting>
  <conditionalFormatting sqref="C445">
    <cfRule type="expression" dxfId="4" priority="4449">
      <formula>C445&lt;S445</formula>
    </cfRule>
  </conditionalFormatting>
  <conditionalFormatting sqref="C452">
    <cfRule type="expression" dxfId="4" priority="4448">
      <formula>C452&lt;S452</formula>
    </cfRule>
  </conditionalFormatting>
  <conditionalFormatting sqref="C459">
    <cfRule type="expression" dxfId="4" priority="4447">
      <formula>C459&lt;S459</formula>
    </cfRule>
  </conditionalFormatting>
  <conditionalFormatting sqref="C461">
    <cfRule type="expression" dxfId="4" priority="4432">
      <formula>C461&lt;S461</formula>
    </cfRule>
  </conditionalFormatting>
  <conditionalFormatting sqref="C462">
    <cfRule type="expression" dxfId="4" priority="4424">
      <formula>C462&lt;S462</formula>
    </cfRule>
  </conditionalFormatting>
  <conditionalFormatting sqref="C475">
    <cfRule type="expression" dxfId="4" priority="4430">
      <formula>C475&lt;S475</formula>
    </cfRule>
  </conditionalFormatting>
  <conditionalFormatting sqref="C482">
    <cfRule type="expression" dxfId="4" priority="4429">
      <formula>C482&lt;S482</formula>
    </cfRule>
  </conditionalFormatting>
  <conditionalFormatting sqref="C489">
    <cfRule type="expression" dxfId="4" priority="4428">
      <formula>C489&lt;S489</formula>
    </cfRule>
  </conditionalFormatting>
  <conditionalFormatting sqref="C496">
    <cfRule type="expression" dxfId="4" priority="4427">
      <formula>C496&lt;S496</formula>
    </cfRule>
  </conditionalFormatting>
  <conditionalFormatting sqref="C503">
    <cfRule type="expression" dxfId="4" priority="4426">
      <formula>C503&lt;S503</formula>
    </cfRule>
  </conditionalFormatting>
  <conditionalFormatting sqref="C510">
    <cfRule type="expression" dxfId="4" priority="4425">
      <formula>C510&lt;S510</formula>
    </cfRule>
  </conditionalFormatting>
  <conditionalFormatting sqref="C512">
    <cfRule type="expression" dxfId="4" priority="4410">
      <formula>C512&lt;S512</formula>
    </cfRule>
  </conditionalFormatting>
  <conditionalFormatting sqref="C513">
    <cfRule type="expression" dxfId="4" priority="4402">
      <formula>C513&lt;S513</formula>
    </cfRule>
  </conditionalFormatting>
  <conditionalFormatting sqref="C526">
    <cfRule type="expression" dxfId="4" priority="4408">
      <formula>C526&lt;S526</formula>
    </cfRule>
  </conditionalFormatting>
  <conditionalFormatting sqref="C533">
    <cfRule type="expression" dxfId="4" priority="4407">
      <formula>C533&lt;S533</formula>
    </cfRule>
  </conditionalFormatting>
  <conditionalFormatting sqref="C540">
    <cfRule type="expression" dxfId="4" priority="4406">
      <formula>C540&lt;S540</formula>
    </cfRule>
  </conditionalFormatting>
  <conditionalFormatting sqref="C547">
    <cfRule type="expression" dxfId="4" priority="4405">
      <formula>C547&lt;S547</formula>
    </cfRule>
  </conditionalFormatting>
  <conditionalFormatting sqref="C554">
    <cfRule type="expression" dxfId="4" priority="4404">
      <formula>C554&lt;S554</formula>
    </cfRule>
  </conditionalFormatting>
  <conditionalFormatting sqref="C561">
    <cfRule type="expression" dxfId="4" priority="4403">
      <formula>C561&lt;S561</formula>
    </cfRule>
  </conditionalFormatting>
  <conditionalFormatting sqref="C568">
    <cfRule type="expression" dxfId="4" priority="4388">
      <formula>C568&lt;S568</formula>
    </cfRule>
  </conditionalFormatting>
  <conditionalFormatting sqref="C575">
    <cfRule type="expression" dxfId="4" priority="4374">
      <formula>C575&lt;S575</formula>
    </cfRule>
  </conditionalFormatting>
  <conditionalFormatting sqref="C577">
    <cfRule type="expression" dxfId="4" priority="4360">
      <formula>C577&lt;S577</formula>
    </cfRule>
  </conditionalFormatting>
  <conditionalFormatting sqref="C578">
    <cfRule type="expression" dxfId="4" priority="4352">
      <formula>C578&lt;S578</formula>
    </cfRule>
  </conditionalFormatting>
  <conditionalFormatting sqref="C591">
    <cfRule type="expression" dxfId="4" priority="4358">
      <formula>C591&lt;S591</formula>
    </cfRule>
  </conditionalFormatting>
  <conditionalFormatting sqref="C598">
    <cfRule type="expression" dxfId="4" priority="4357">
      <formula>C598&lt;S598</formula>
    </cfRule>
  </conditionalFormatting>
  <conditionalFormatting sqref="C605">
    <cfRule type="expression" dxfId="4" priority="4356">
      <formula>C605&lt;S605</formula>
    </cfRule>
  </conditionalFormatting>
  <conditionalFormatting sqref="C612">
    <cfRule type="expression" dxfId="4" priority="4355">
      <formula>C612&lt;S612</formula>
    </cfRule>
  </conditionalFormatting>
  <conditionalFormatting sqref="C619">
    <cfRule type="expression" dxfId="4" priority="4354">
      <formula>C619&lt;S619</formula>
    </cfRule>
  </conditionalFormatting>
  <conditionalFormatting sqref="C626">
    <cfRule type="expression" dxfId="4" priority="4353">
      <formula>C626&lt;S626</formula>
    </cfRule>
  </conditionalFormatting>
  <conditionalFormatting sqref="C633">
    <cfRule type="expression" dxfId="4" priority="4338">
      <formula>C633&lt;S633</formula>
    </cfRule>
  </conditionalFormatting>
  <conditionalFormatting sqref="C640">
    <cfRule type="expression" dxfId="4" priority="4324">
      <formula>C640&lt;S640</formula>
    </cfRule>
  </conditionalFormatting>
  <conditionalFormatting sqref="C642">
    <cfRule type="expression" dxfId="4" priority="4310">
      <formula>C642&lt;S642</formula>
    </cfRule>
  </conditionalFormatting>
  <conditionalFormatting sqref="C643">
    <cfRule type="expression" dxfId="4" priority="4302">
      <formula>C643&lt;S643</formula>
    </cfRule>
  </conditionalFormatting>
  <conditionalFormatting sqref="C656">
    <cfRule type="expression" dxfId="4" priority="4308">
      <formula>C656&lt;S656</formula>
    </cfRule>
  </conditionalFormatting>
  <conditionalFormatting sqref="C663">
    <cfRule type="expression" dxfId="4" priority="4307">
      <formula>C663&lt;S663</formula>
    </cfRule>
  </conditionalFormatting>
  <conditionalFormatting sqref="C670">
    <cfRule type="expression" dxfId="4" priority="4306">
      <formula>C670&lt;S670</formula>
    </cfRule>
  </conditionalFormatting>
  <conditionalFormatting sqref="C677">
    <cfRule type="expression" dxfId="4" priority="4305">
      <formula>C677&lt;S677</formula>
    </cfRule>
  </conditionalFormatting>
  <conditionalFormatting sqref="C684">
    <cfRule type="expression" dxfId="4" priority="4304">
      <formula>C684&lt;S684</formula>
    </cfRule>
  </conditionalFormatting>
  <conditionalFormatting sqref="C691">
    <cfRule type="expression" dxfId="4" priority="4303">
      <formula>C691&lt;S691</formula>
    </cfRule>
  </conditionalFormatting>
  <conditionalFormatting sqref="C698">
    <cfRule type="expression" dxfId="4" priority="4288">
      <formula>C698&lt;S698</formula>
    </cfRule>
  </conditionalFormatting>
  <conditionalFormatting sqref="C705">
    <cfRule type="expression" dxfId="4" priority="4274">
      <formula>C705&lt;S705</formula>
    </cfRule>
  </conditionalFormatting>
  <conditionalFormatting sqref="C707">
    <cfRule type="expression" dxfId="4" priority="4260">
      <formula>C707&lt;S707</formula>
    </cfRule>
  </conditionalFormatting>
  <conditionalFormatting sqref="C708">
    <cfRule type="expression" dxfId="4" priority="4252">
      <formula>C708&lt;S708</formula>
    </cfRule>
  </conditionalFormatting>
  <conditionalFormatting sqref="C721">
    <cfRule type="expression" dxfId="4" priority="4258">
      <formula>C721&lt;S721</formula>
    </cfRule>
  </conditionalFormatting>
  <conditionalFormatting sqref="C728">
    <cfRule type="expression" dxfId="4" priority="4257">
      <formula>C728&lt;S728</formula>
    </cfRule>
  </conditionalFormatting>
  <conditionalFormatting sqref="C735">
    <cfRule type="expression" dxfId="4" priority="4256">
      <formula>C735&lt;S735</formula>
    </cfRule>
  </conditionalFormatting>
  <conditionalFormatting sqref="C742">
    <cfRule type="expression" dxfId="4" priority="4255">
      <formula>C742&lt;S742</formula>
    </cfRule>
  </conditionalFormatting>
  <conditionalFormatting sqref="C749">
    <cfRule type="expression" dxfId="4" priority="4254">
      <formula>C749&lt;S749</formula>
    </cfRule>
  </conditionalFormatting>
  <conditionalFormatting sqref="C756">
    <cfRule type="expression" dxfId="4" priority="4253">
      <formula>C756&lt;S756</formula>
    </cfRule>
  </conditionalFormatting>
  <conditionalFormatting sqref="C763">
    <cfRule type="expression" dxfId="4" priority="4238">
      <formula>C763&lt;S763</formula>
    </cfRule>
  </conditionalFormatting>
  <conditionalFormatting sqref="C770">
    <cfRule type="expression" dxfId="4" priority="4224">
      <formula>C770&lt;S770</formula>
    </cfRule>
  </conditionalFormatting>
  <conditionalFormatting sqref="C772">
    <cfRule type="expression" dxfId="4" priority="4210">
      <formula>C772&lt;S772</formula>
    </cfRule>
  </conditionalFormatting>
  <conditionalFormatting sqref="C779">
    <cfRule type="expression" dxfId="4" priority="4167">
      <formula>C779&lt;S779</formula>
    </cfRule>
  </conditionalFormatting>
  <conditionalFormatting sqref="C786">
    <cfRule type="expression" dxfId="4" priority="4169">
      <formula>C786&lt;S786</formula>
    </cfRule>
  </conditionalFormatting>
  <conditionalFormatting sqref="C793">
    <cfRule type="expression" dxfId="4" priority="4171">
      <formula>C793&lt;S793</formula>
    </cfRule>
  </conditionalFormatting>
  <conditionalFormatting sqref="C800">
    <cfRule type="expression" dxfId="4" priority="4173">
      <formula>C800&lt;S800</formula>
    </cfRule>
  </conditionalFormatting>
  <conditionalFormatting sqref="C807">
    <cfRule type="expression" dxfId="4" priority="4175">
      <formula>C807&lt;S807</formula>
    </cfRule>
  </conditionalFormatting>
  <conditionalFormatting sqref="C814">
    <cfRule type="expression" dxfId="4" priority="4177">
      <formula>C814&lt;S814</formula>
    </cfRule>
  </conditionalFormatting>
  <conditionalFormatting sqref="C821">
    <cfRule type="expression" dxfId="4" priority="4179">
      <formula>C821&lt;S821</formula>
    </cfRule>
  </conditionalFormatting>
  <conditionalFormatting sqref="C828">
    <cfRule type="expression" dxfId="4" priority="4181">
      <formula>C828&lt;S828</formula>
    </cfRule>
  </conditionalFormatting>
  <conditionalFormatting sqref="C835">
    <cfRule type="expression" dxfId="4" priority="4183">
      <formula>C835&lt;S835</formula>
    </cfRule>
  </conditionalFormatting>
  <conditionalFormatting sqref="C837">
    <cfRule type="expression" dxfId="4" priority="4153">
      <formula>C837&lt;S837</formula>
    </cfRule>
  </conditionalFormatting>
  <conditionalFormatting sqref="C844">
    <cfRule type="expression" dxfId="4" priority="4110">
      <formula>C844&lt;S844</formula>
    </cfRule>
  </conditionalFormatting>
  <conditionalFormatting sqref="C851">
    <cfRule type="expression" dxfId="4" priority="4112">
      <formula>C851&lt;S851</formula>
    </cfRule>
  </conditionalFormatting>
  <conditionalFormatting sqref="C858">
    <cfRule type="expression" dxfId="4" priority="4114">
      <formula>C858&lt;S858</formula>
    </cfRule>
  </conditionalFormatting>
  <conditionalFormatting sqref="C865">
    <cfRule type="expression" dxfId="4" priority="4116">
      <formula>C865&lt;S865</formula>
    </cfRule>
  </conditionalFormatting>
  <conditionalFormatting sqref="C872">
    <cfRule type="expression" dxfId="4" priority="4118">
      <formula>C872&lt;S872</formula>
    </cfRule>
  </conditionalFormatting>
  <conditionalFormatting sqref="C879">
    <cfRule type="expression" dxfId="4" priority="4120">
      <formula>C879&lt;S879</formula>
    </cfRule>
  </conditionalFormatting>
  <conditionalFormatting sqref="C886">
    <cfRule type="expression" dxfId="4" priority="4122">
      <formula>C886&lt;S886</formula>
    </cfRule>
  </conditionalFormatting>
  <conditionalFormatting sqref="C893">
    <cfRule type="expression" dxfId="4" priority="4124">
      <formula>C893&lt;S893</formula>
    </cfRule>
  </conditionalFormatting>
  <conditionalFormatting sqref="C900">
    <cfRule type="expression" dxfId="4" priority="4126">
      <formula>C900&lt;S900</formula>
    </cfRule>
  </conditionalFormatting>
  <conditionalFormatting sqref="C902">
    <cfRule type="expression" dxfId="4" priority="4096">
      <formula>C902&lt;S902</formula>
    </cfRule>
  </conditionalFormatting>
  <conditionalFormatting sqref="C909">
    <cfRule type="expression" dxfId="4" priority="4053">
      <formula>C909&lt;S909</formula>
    </cfRule>
  </conditionalFormatting>
  <conditionalFormatting sqref="C916">
    <cfRule type="expression" dxfId="4" priority="4055">
      <formula>C916&lt;S916</formula>
    </cfRule>
  </conditionalFormatting>
  <conditionalFormatting sqref="C923">
    <cfRule type="expression" dxfId="4" priority="4057">
      <formula>C923&lt;S923</formula>
    </cfRule>
  </conditionalFormatting>
  <conditionalFormatting sqref="C930">
    <cfRule type="expression" dxfId="4" priority="4059">
      <formula>C930&lt;S930</formula>
    </cfRule>
  </conditionalFormatting>
  <conditionalFormatting sqref="C937">
    <cfRule type="expression" dxfId="4" priority="4061">
      <formula>C937&lt;S937</formula>
    </cfRule>
  </conditionalFormatting>
  <conditionalFormatting sqref="C944">
    <cfRule type="expression" dxfId="4" priority="4063">
      <formula>C944&lt;S944</formula>
    </cfRule>
  </conditionalFormatting>
  <conditionalFormatting sqref="C951">
    <cfRule type="expression" dxfId="4" priority="4065">
      <formula>C951&lt;S951</formula>
    </cfRule>
  </conditionalFormatting>
  <conditionalFormatting sqref="C958">
    <cfRule type="expression" dxfId="4" priority="4067">
      <formula>C958&lt;S958</formula>
    </cfRule>
  </conditionalFormatting>
  <conditionalFormatting sqref="C965">
    <cfRule type="expression" dxfId="4" priority="4069">
      <formula>C965&lt;S965</formula>
    </cfRule>
  </conditionalFormatting>
  <conditionalFormatting sqref="C967">
    <cfRule type="expression" dxfId="4" priority="4039">
      <formula>C967&lt;S967</formula>
    </cfRule>
  </conditionalFormatting>
  <conditionalFormatting sqref="C974">
    <cfRule type="expression" dxfId="4" priority="3996">
      <formula>C974&lt;S974</formula>
    </cfRule>
  </conditionalFormatting>
  <conditionalFormatting sqref="C981">
    <cfRule type="expression" dxfId="4" priority="3998">
      <formula>C981&lt;S981</formula>
    </cfRule>
  </conditionalFormatting>
  <conditionalFormatting sqref="C988">
    <cfRule type="expression" dxfId="4" priority="4000">
      <formula>C988&lt;S988</formula>
    </cfRule>
  </conditionalFormatting>
  <conditionalFormatting sqref="C995">
    <cfRule type="expression" dxfId="4" priority="4002">
      <formula>C995&lt;S995</formula>
    </cfRule>
  </conditionalFormatting>
  <conditionalFormatting sqref="C1002">
    <cfRule type="expression" dxfId="4" priority="4004">
      <formula>C1002&lt;S1002</formula>
    </cfRule>
  </conditionalFormatting>
  <conditionalFormatting sqref="C1009">
    <cfRule type="expression" dxfId="4" priority="4006">
      <formula>C1009&lt;S1009</formula>
    </cfRule>
  </conditionalFormatting>
  <conditionalFormatting sqref="C1016">
    <cfRule type="expression" dxfId="4" priority="4008">
      <formula>C1016&lt;S1016</formula>
    </cfRule>
  </conditionalFormatting>
  <conditionalFormatting sqref="C1023">
    <cfRule type="expression" dxfId="4" priority="4010">
      <formula>C1023&lt;S1023</formula>
    </cfRule>
  </conditionalFormatting>
  <conditionalFormatting sqref="C1030">
    <cfRule type="expression" dxfId="4" priority="4012">
      <formula>C1030&lt;S1030</formula>
    </cfRule>
  </conditionalFormatting>
  <conditionalFormatting sqref="C1032">
    <cfRule type="expression" dxfId="4" priority="3982">
      <formula>C1032&lt;S1032</formula>
    </cfRule>
  </conditionalFormatting>
  <conditionalFormatting sqref="C1039">
    <cfRule type="expression" dxfId="4" priority="3939">
      <formula>C1039&lt;S1039</formula>
    </cfRule>
  </conditionalFormatting>
  <conditionalFormatting sqref="C1046">
    <cfRule type="expression" dxfId="4" priority="3941">
      <formula>C1046&lt;S1046</formula>
    </cfRule>
  </conditionalFormatting>
  <conditionalFormatting sqref="C1053">
    <cfRule type="expression" dxfId="4" priority="3943">
      <formula>C1053&lt;S1053</formula>
    </cfRule>
  </conditionalFormatting>
  <conditionalFormatting sqref="C1060">
    <cfRule type="expression" dxfId="4" priority="3945">
      <formula>C1060&lt;S1060</formula>
    </cfRule>
  </conditionalFormatting>
  <conditionalFormatting sqref="C1067">
    <cfRule type="expression" dxfId="4" priority="3947">
      <formula>C1067&lt;S1067</formula>
    </cfRule>
  </conditionalFormatting>
  <conditionalFormatting sqref="C1074">
    <cfRule type="expression" dxfId="4" priority="3949">
      <formula>C1074&lt;S1074</formula>
    </cfRule>
  </conditionalFormatting>
  <conditionalFormatting sqref="C1081">
    <cfRule type="expression" dxfId="4" priority="3951">
      <formula>C1081&lt;S1081</formula>
    </cfRule>
  </conditionalFormatting>
  <conditionalFormatting sqref="C1088">
    <cfRule type="expression" dxfId="4" priority="3953">
      <formula>C1088&lt;S1088</formula>
    </cfRule>
  </conditionalFormatting>
  <conditionalFormatting sqref="C1095">
    <cfRule type="expression" dxfId="4" priority="3955">
      <formula>C1095&lt;S1095</formula>
    </cfRule>
  </conditionalFormatting>
  <conditionalFormatting sqref="C1097">
    <cfRule type="expression" dxfId="4" priority="3925">
      <formula>C1097&lt;S1097</formula>
    </cfRule>
  </conditionalFormatting>
  <conditionalFormatting sqref="C1104">
    <cfRule type="expression" dxfId="4" priority="3882">
      <formula>C1104&lt;S1104</formula>
    </cfRule>
  </conditionalFormatting>
  <conditionalFormatting sqref="C1111">
    <cfRule type="expression" dxfId="4" priority="3884">
      <formula>C1111&lt;S1111</formula>
    </cfRule>
  </conditionalFormatting>
  <conditionalFormatting sqref="C1118">
    <cfRule type="expression" dxfId="4" priority="3886">
      <formula>C1118&lt;S1118</formula>
    </cfRule>
  </conditionalFormatting>
  <conditionalFormatting sqref="C1125">
    <cfRule type="expression" dxfId="4" priority="3888">
      <formula>C1125&lt;S1125</formula>
    </cfRule>
  </conditionalFormatting>
  <conditionalFormatting sqref="C1132">
    <cfRule type="expression" dxfId="4" priority="3890">
      <formula>C1132&lt;S1132</formula>
    </cfRule>
  </conditionalFormatting>
  <conditionalFormatting sqref="C1139">
    <cfRule type="expression" dxfId="4" priority="3892">
      <formula>C1139&lt;S1139</formula>
    </cfRule>
  </conditionalFormatting>
  <conditionalFormatting sqref="C1146">
    <cfRule type="expression" dxfId="4" priority="3894">
      <formula>C1146&lt;S1146</formula>
    </cfRule>
  </conditionalFormatting>
  <conditionalFormatting sqref="C1153">
    <cfRule type="expression" dxfId="4" priority="3896">
      <formula>C1153&lt;S1153</formula>
    </cfRule>
  </conditionalFormatting>
  <conditionalFormatting sqref="C1160">
    <cfRule type="expression" dxfId="4" priority="3898">
      <formula>C1160&lt;S1160</formula>
    </cfRule>
  </conditionalFormatting>
  <conditionalFormatting sqref="C1162">
    <cfRule type="expression" dxfId="4" priority="3868">
      <formula>C1162&lt;S1162</formula>
    </cfRule>
  </conditionalFormatting>
  <conditionalFormatting sqref="C1169">
    <cfRule type="expression" dxfId="4" priority="3825">
      <formula>C1169&lt;S1169</formula>
    </cfRule>
  </conditionalFormatting>
  <conditionalFormatting sqref="C1176">
    <cfRule type="expression" dxfId="4" priority="3827">
      <formula>C1176&lt;S1176</formula>
    </cfRule>
  </conditionalFormatting>
  <conditionalFormatting sqref="C1183">
    <cfRule type="expression" dxfId="4" priority="3829">
      <formula>C1183&lt;S1183</formula>
    </cfRule>
  </conditionalFormatting>
  <conditionalFormatting sqref="C1190">
    <cfRule type="expression" dxfId="4" priority="3831">
      <formula>C1190&lt;S1190</formula>
    </cfRule>
  </conditionalFormatting>
  <conditionalFormatting sqref="C1197">
    <cfRule type="expression" dxfId="4" priority="3833">
      <formula>C1197&lt;S1197</formula>
    </cfRule>
  </conditionalFormatting>
  <conditionalFormatting sqref="C1204">
    <cfRule type="expression" dxfId="4" priority="3835">
      <formula>C1204&lt;S1204</formula>
    </cfRule>
  </conditionalFormatting>
  <conditionalFormatting sqref="C1211">
    <cfRule type="expression" dxfId="4" priority="3837">
      <formula>C1211&lt;S1211</formula>
    </cfRule>
  </conditionalFormatting>
  <conditionalFormatting sqref="C1218">
    <cfRule type="expression" dxfId="4" priority="3839">
      <formula>C1218&lt;S1218</formula>
    </cfRule>
  </conditionalFormatting>
  <conditionalFormatting sqref="C1225">
    <cfRule type="expression" dxfId="4" priority="3841">
      <formula>C1225&lt;S1225</formula>
    </cfRule>
  </conditionalFormatting>
  <conditionalFormatting sqref="C1227">
    <cfRule type="expression" dxfId="4" priority="3811">
      <formula>C1227&lt;S1227</formula>
    </cfRule>
  </conditionalFormatting>
  <conditionalFormatting sqref="C1234">
    <cfRule type="expression" dxfId="4" priority="3768">
      <formula>C1234&lt;S1234</formula>
    </cfRule>
  </conditionalFormatting>
  <conditionalFormatting sqref="C1241">
    <cfRule type="expression" dxfId="4" priority="3770">
      <formula>C1241&lt;S1241</formula>
    </cfRule>
  </conditionalFormatting>
  <conditionalFormatting sqref="C1248">
    <cfRule type="expression" dxfId="4" priority="3772">
      <formula>C1248&lt;S1248</formula>
    </cfRule>
  </conditionalFormatting>
  <conditionalFormatting sqref="C1255">
    <cfRule type="expression" dxfId="4" priority="3774">
      <formula>C1255&lt;S1255</formula>
    </cfRule>
  </conditionalFormatting>
  <conditionalFormatting sqref="C1262">
    <cfRule type="expression" dxfId="4" priority="3776">
      <formula>C1262&lt;S1262</formula>
    </cfRule>
  </conditionalFormatting>
  <conditionalFormatting sqref="C1269">
    <cfRule type="expression" dxfId="4" priority="3778">
      <formula>C1269&lt;S1269</formula>
    </cfRule>
  </conditionalFormatting>
  <conditionalFormatting sqref="C1276">
    <cfRule type="expression" dxfId="4" priority="3780">
      <formula>C1276&lt;S1276</formula>
    </cfRule>
  </conditionalFormatting>
  <conditionalFormatting sqref="C1283">
    <cfRule type="expression" dxfId="4" priority="3782">
      <formula>C1283&lt;S1283</formula>
    </cfRule>
  </conditionalFormatting>
  <conditionalFormatting sqref="C1290">
    <cfRule type="expression" dxfId="4" priority="3784">
      <formula>C1290&lt;S1290</formula>
    </cfRule>
  </conditionalFormatting>
  <conditionalFormatting sqref="C1292">
    <cfRule type="expression" dxfId="4" priority="3754">
      <formula>C1292&lt;S1292</formula>
    </cfRule>
  </conditionalFormatting>
  <conditionalFormatting sqref="C1299">
    <cfRule type="expression" dxfId="4" priority="3711">
      <formula>C1299&lt;S1299</formula>
    </cfRule>
  </conditionalFormatting>
  <conditionalFormatting sqref="C1306">
    <cfRule type="expression" dxfId="4" priority="3713">
      <formula>C1306&lt;S1306</formula>
    </cfRule>
  </conditionalFormatting>
  <conditionalFormatting sqref="C1313">
    <cfRule type="expression" dxfId="4" priority="3715">
      <formula>C1313&lt;S1313</formula>
    </cfRule>
  </conditionalFormatting>
  <conditionalFormatting sqref="C1320">
    <cfRule type="expression" dxfId="4" priority="3717">
      <formula>C1320&lt;S1320</formula>
    </cfRule>
  </conditionalFormatting>
  <conditionalFormatting sqref="C1327">
    <cfRule type="expression" dxfId="4" priority="3719">
      <formula>C1327&lt;S1327</formula>
    </cfRule>
  </conditionalFormatting>
  <conditionalFormatting sqref="C1334">
    <cfRule type="expression" dxfId="4" priority="3721">
      <formula>C1334&lt;S1334</formula>
    </cfRule>
  </conditionalFormatting>
  <conditionalFormatting sqref="C1341">
    <cfRule type="expression" dxfId="4" priority="3723">
      <formula>C1341&lt;S1341</formula>
    </cfRule>
  </conditionalFormatting>
  <conditionalFormatting sqref="C1348">
    <cfRule type="expression" dxfId="4" priority="3725">
      <formula>C1348&lt;S1348</formula>
    </cfRule>
  </conditionalFormatting>
  <conditionalFormatting sqref="C1355">
    <cfRule type="expression" dxfId="4" priority="3727">
      <formula>C1355&lt;S1355</formula>
    </cfRule>
  </conditionalFormatting>
  <conditionalFormatting sqref="C1357">
    <cfRule type="expression" dxfId="4" priority="3697">
      <formula>C1357&lt;S1357</formula>
    </cfRule>
  </conditionalFormatting>
  <conditionalFormatting sqref="C1364">
    <cfRule type="expression" dxfId="4" priority="3654">
      <formula>C1364&lt;S1364</formula>
    </cfRule>
  </conditionalFormatting>
  <conditionalFormatting sqref="C1371">
    <cfRule type="expression" dxfId="4" priority="3656">
      <formula>C1371&lt;S1371</formula>
    </cfRule>
  </conditionalFormatting>
  <conditionalFormatting sqref="C1378">
    <cfRule type="expression" dxfId="4" priority="3658">
      <formula>C1378&lt;S1378</formula>
    </cfRule>
  </conditionalFormatting>
  <conditionalFormatting sqref="C1385">
    <cfRule type="expression" dxfId="4" priority="3660">
      <formula>C1385&lt;S1385</formula>
    </cfRule>
  </conditionalFormatting>
  <conditionalFormatting sqref="C1392">
    <cfRule type="expression" dxfId="4" priority="3662">
      <formula>C1392&lt;S1392</formula>
    </cfRule>
  </conditionalFormatting>
  <conditionalFormatting sqref="C1399">
    <cfRule type="expression" dxfId="4" priority="3664">
      <formula>C1399&lt;S1399</formula>
    </cfRule>
  </conditionalFormatting>
  <conditionalFormatting sqref="C1406">
    <cfRule type="expression" dxfId="4" priority="3666">
      <formula>C1406&lt;S1406</formula>
    </cfRule>
  </conditionalFormatting>
  <conditionalFormatting sqref="C1413">
    <cfRule type="expression" dxfId="4" priority="3668">
      <formula>C1413&lt;S1413</formula>
    </cfRule>
  </conditionalFormatting>
  <conditionalFormatting sqref="C1420">
    <cfRule type="expression" dxfId="4" priority="3670">
      <formula>C1420&lt;S1420</formula>
    </cfRule>
  </conditionalFormatting>
  <conditionalFormatting sqref="C1422">
    <cfRule type="expression" dxfId="4" priority="3640">
      <formula>C1422&lt;S1422</formula>
    </cfRule>
  </conditionalFormatting>
  <conditionalFormatting sqref="C1429">
    <cfRule type="expression" dxfId="4" priority="3597">
      <formula>C1429&lt;S1429</formula>
    </cfRule>
  </conditionalFormatting>
  <conditionalFormatting sqref="C1436">
    <cfRule type="expression" dxfId="4" priority="3599">
      <formula>C1436&lt;S1436</formula>
    </cfRule>
  </conditionalFormatting>
  <conditionalFormatting sqref="C1443">
    <cfRule type="expression" dxfId="4" priority="3601">
      <formula>C1443&lt;S1443</formula>
    </cfRule>
  </conditionalFormatting>
  <conditionalFormatting sqref="C1450">
    <cfRule type="expression" dxfId="4" priority="3603">
      <formula>C1450&lt;S1450</formula>
    </cfRule>
  </conditionalFormatting>
  <conditionalFormatting sqref="C1457">
    <cfRule type="expression" dxfId="4" priority="3605">
      <formula>C1457&lt;S1457</formula>
    </cfRule>
  </conditionalFormatting>
  <conditionalFormatting sqref="C1464">
    <cfRule type="expression" dxfId="4" priority="3607">
      <formula>C1464&lt;S1464</formula>
    </cfRule>
  </conditionalFormatting>
  <conditionalFormatting sqref="C1471">
    <cfRule type="expression" dxfId="4" priority="3609">
      <formula>C1471&lt;S1471</formula>
    </cfRule>
  </conditionalFormatting>
  <conditionalFormatting sqref="C1478">
    <cfRule type="expression" dxfId="4" priority="3611">
      <formula>C1478&lt;S1478</formula>
    </cfRule>
  </conditionalFormatting>
  <conditionalFormatting sqref="C1485">
    <cfRule type="expression" dxfId="4" priority="3613">
      <formula>C1485&lt;S1485</formula>
    </cfRule>
  </conditionalFormatting>
  <conditionalFormatting sqref="C1487">
    <cfRule type="expression" dxfId="4" priority="3583">
      <formula>C1487&lt;S1487</formula>
    </cfRule>
  </conditionalFormatting>
  <conditionalFormatting sqref="C1494">
    <cfRule type="expression" dxfId="4" priority="3540">
      <formula>C1494&lt;S1494</formula>
    </cfRule>
  </conditionalFormatting>
  <conditionalFormatting sqref="C1501">
    <cfRule type="expression" dxfId="4" priority="3542">
      <formula>C1501&lt;S1501</formula>
    </cfRule>
  </conditionalFormatting>
  <conditionalFormatting sqref="C1508">
    <cfRule type="expression" dxfId="4" priority="3544">
      <formula>C1508&lt;S1508</formula>
    </cfRule>
  </conditionalFormatting>
  <conditionalFormatting sqref="C1515">
    <cfRule type="expression" dxfId="4" priority="3546">
      <formula>C1515&lt;S1515</formula>
    </cfRule>
  </conditionalFormatting>
  <conditionalFormatting sqref="C1522">
    <cfRule type="expression" dxfId="4" priority="3548">
      <formula>C1522&lt;S1522</formula>
    </cfRule>
  </conditionalFormatting>
  <conditionalFormatting sqref="C1529">
    <cfRule type="expression" dxfId="4" priority="3550">
      <formula>C1529&lt;S1529</formula>
    </cfRule>
  </conditionalFormatting>
  <conditionalFormatting sqref="C1536">
    <cfRule type="expression" dxfId="4" priority="3552">
      <formula>C1536&lt;S1536</formula>
    </cfRule>
  </conditionalFormatting>
  <conditionalFormatting sqref="C1543">
    <cfRule type="expression" dxfId="4" priority="3554">
      <formula>C1543&lt;S1543</formula>
    </cfRule>
  </conditionalFormatting>
  <conditionalFormatting sqref="C1550">
    <cfRule type="expression" dxfId="4" priority="3556">
      <formula>C1550&lt;S1550</formula>
    </cfRule>
  </conditionalFormatting>
  <conditionalFormatting sqref="C1552">
    <cfRule type="expression" dxfId="4" priority="3526">
      <formula>C1552&lt;S1552</formula>
    </cfRule>
  </conditionalFormatting>
  <conditionalFormatting sqref="C1559">
    <cfRule type="expression" dxfId="4" priority="3483">
      <formula>C1559&lt;S1559</formula>
    </cfRule>
  </conditionalFormatting>
  <conditionalFormatting sqref="C1566">
    <cfRule type="expression" dxfId="4" priority="3485">
      <formula>C1566&lt;S1566</formula>
    </cfRule>
  </conditionalFormatting>
  <conditionalFormatting sqref="C1573">
    <cfRule type="expression" dxfId="4" priority="3487">
      <formula>C1573&lt;S1573</formula>
    </cfRule>
  </conditionalFormatting>
  <conditionalFormatting sqref="C1580">
    <cfRule type="expression" dxfId="4" priority="3489">
      <formula>C1580&lt;S1580</formula>
    </cfRule>
  </conditionalFormatting>
  <conditionalFormatting sqref="C1587">
    <cfRule type="expression" dxfId="4" priority="3491">
      <formula>C1587&lt;S1587</formula>
    </cfRule>
  </conditionalFormatting>
  <conditionalFormatting sqref="C1594">
    <cfRule type="expression" dxfId="4" priority="3493">
      <formula>C1594&lt;S1594</formula>
    </cfRule>
  </conditionalFormatting>
  <conditionalFormatting sqref="C1601">
    <cfRule type="expression" dxfId="4" priority="3495">
      <formula>C1601&lt;S1601</formula>
    </cfRule>
  </conditionalFormatting>
  <conditionalFormatting sqref="C1608">
    <cfRule type="expression" dxfId="4" priority="3497">
      <formula>C1608&lt;S1608</formula>
    </cfRule>
  </conditionalFormatting>
  <conditionalFormatting sqref="C1615">
    <cfRule type="expression" dxfId="4" priority="3499">
      <formula>C1615&lt;S1615</formula>
    </cfRule>
  </conditionalFormatting>
  <conditionalFormatting sqref="C1617">
    <cfRule type="expression" dxfId="4" priority="3469">
      <formula>C1617&lt;S1617</formula>
    </cfRule>
  </conditionalFormatting>
  <conditionalFormatting sqref="C1624">
    <cfRule type="expression" dxfId="4" priority="3426">
      <formula>C1624&lt;S1624</formula>
    </cfRule>
  </conditionalFormatting>
  <conditionalFormatting sqref="C1631">
    <cfRule type="expression" dxfId="4" priority="3428">
      <formula>C1631&lt;S1631</formula>
    </cfRule>
  </conditionalFormatting>
  <conditionalFormatting sqref="C1638">
    <cfRule type="expression" dxfId="4" priority="3430">
      <formula>C1638&lt;S1638</formula>
    </cfRule>
  </conditionalFormatting>
  <conditionalFormatting sqref="C1645">
    <cfRule type="expression" dxfId="4" priority="3432">
      <formula>C1645&lt;S1645</formula>
    </cfRule>
  </conditionalFormatting>
  <conditionalFormatting sqref="C1652">
    <cfRule type="expression" dxfId="4" priority="3434">
      <formula>C1652&lt;S1652</formula>
    </cfRule>
  </conditionalFormatting>
  <conditionalFormatting sqref="C1659">
    <cfRule type="expression" dxfId="4" priority="3436">
      <formula>C1659&lt;S1659</formula>
    </cfRule>
  </conditionalFormatting>
  <conditionalFormatting sqref="C1666">
    <cfRule type="expression" dxfId="4" priority="3438">
      <formula>C1666&lt;S1666</formula>
    </cfRule>
  </conditionalFormatting>
  <conditionalFormatting sqref="C1673">
    <cfRule type="expression" dxfId="4" priority="3440">
      <formula>C1673&lt;S1673</formula>
    </cfRule>
  </conditionalFormatting>
  <conditionalFormatting sqref="C1680">
    <cfRule type="expression" dxfId="4" priority="3442">
      <formula>C1680&lt;S1680</formula>
    </cfRule>
  </conditionalFormatting>
  <conditionalFormatting sqref="C1682">
    <cfRule type="expression" dxfId="4" priority="3412">
      <formula>C1682&lt;S1682</formula>
    </cfRule>
  </conditionalFormatting>
  <conditionalFormatting sqref="C1689">
    <cfRule type="expression" dxfId="4" priority="3369">
      <formula>C1689&lt;S1689</formula>
    </cfRule>
  </conditionalFormatting>
  <conditionalFormatting sqref="C1696">
    <cfRule type="expression" dxfId="4" priority="3371">
      <formula>C1696&lt;S1696</formula>
    </cfRule>
  </conditionalFormatting>
  <conditionalFormatting sqref="C1703">
    <cfRule type="expression" dxfId="4" priority="3373">
      <formula>C1703&lt;S1703</formula>
    </cfRule>
  </conditionalFormatting>
  <conditionalFormatting sqref="C1710">
    <cfRule type="expression" dxfId="4" priority="3375">
      <formula>C1710&lt;S1710</formula>
    </cfRule>
  </conditionalFormatting>
  <conditionalFormatting sqref="C1717">
    <cfRule type="expression" dxfId="4" priority="3377">
      <formula>C1717&lt;S1717</formula>
    </cfRule>
  </conditionalFormatting>
  <conditionalFormatting sqref="C1724">
    <cfRule type="expression" dxfId="4" priority="3379">
      <formula>C1724&lt;S1724</formula>
    </cfRule>
  </conditionalFormatting>
  <conditionalFormatting sqref="C1731">
    <cfRule type="expression" dxfId="4" priority="3381">
      <formula>C1731&lt;S1731</formula>
    </cfRule>
  </conditionalFormatting>
  <conditionalFormatting sqref="C1738">
    <cfRule type="expression" dxfId="4" priority="3383">
      <formula>C1738&lt;S1738</formula>
    </cfRule>
  </conditionalFormatting>
  <conditionalFormatting sqref="C1745">
    <cfRule type="expression" dxfId="4" priority="3385">
      <formula>C1745&lt;S1745</formula>
    </cfRule>
  </conditionalFormatting>
  <conditionalFormatting sqref="C1747">
    <cfRule type="expression" dxfId="4" priority="3355">
      <formula>C1747&lt;S1747</formula>
    </cfRule>
  </conditionalFormatting>
  <conditionalFormatting sqref="C1754">
    <cfRule type="expression" dxfId="4" priority="3312">
      <formula>C1754&lt;S1754</formula>
    </cfRule>
  </conditionalFormatting>
  <conditionalFormatting sqref="C1761">
    <cfRule type="expression" dxfId="4" priority="3314">
      <formula>C1761&lt;S1761</formula>
    </cfRule>
  </conditionalFormatting>
  <conditionalFormatting sqref="C1768">
    <cfRule type="expression" dxfId="4" priority="3316">
      <formula>C1768&lt;S1768</formula>
    </cfRule>
  </conditionalFormatting>
  <conditionalFormatting sqref="C1775">
    <cfRule type="expression" dxfId="4" priority="3318">
      <formula>C1775&lt;S1775</formula>
    </cfRule>
  </conditionalFormatting>
  <conditionalFormatting sqref="C1782">
    <cfRule type="expression" dxfId="4" priority="3320">
      <formula>C1782&lt;S1782</formula>
    </cfRule>
  </conditionalFormatting>
  <conditionalFormatting sqref="C1789">
    <cfRule type="expression" dxfId="4" priority="3322">
      <formula>C1789&lt;S1789</formula>
    </cfRule>
  </conditionalFormatting>
  <conditionalFormatting sqref="C1796">
    <cfRule type="expression" dxfId="4" priority="3324">
      <formula>C1796&lt;S1796</formula>
    </cfRule>
  </conditionalFormatting>
  <conditionalFormatting sqref="C1803">
    <cfRule type="expression" dxfId="4" priority="3326">
      <formula>C1803&lt;S1803</formula>
    </cfRule>
  </conditionalFormatting>
  <conditionalFormatting sqref="C1810">
    <cfRule type="expression" dxfId="4" priority="3328">
      <formula>C1810&lt;S1810</formula>
    </cfRule>
  </conditionalFormatting>
  <conditionalFormatting sqref="C1812">
    <cfRule type="expression" dxfId="4" priority="3298">
      <formula>C1812&lt;S1812</formula>
    </cfRule>
  </conditionalFormatting>
  <conditionalFormatting sqref="C1819">
    <cfRule type="expression" dxfId="4" priority="3255">
      <formula>C1819&lt;S1819</formula>
    </cfRule>
  </conditionalFormatting>
  <conditionalFormatting sqref="C1826">
    <cfRule type="expression" dxfId="4" priority="3257">
      <formula>C1826&lt;S1826</formula>
    </cfRule>
  </conditionalFormatting>
  <conditionalFormatting sqref="C1833">
    <cfRule type="expression" dxfId="4" priority="3259">
      <formula>C1833&lt;S1833</formula>
    </cfRule>
  </conditionalFormatting>
  <conditionalFormatting sqref="C1840">
    <cfRule type="expression" dxfId="4" priority="3261">
      <formula>C1840&lt;S1840</formula>
    </cfRule>
  </conditionalFormatting>
  <conditionalFormatting sqref="C1847">
    <cfRule type="expression" dxfId="4" priority="3263">
      <formula>C1847&lt;S1847</formula>
    </cfRule>
  </conditionalFormatting>
  <conditionalFormatting sqref="C1854">
    <cfRule type="expression" dxfId="4" priority="3265">
      <formula>C1854&lt;S1854</formula>
    </cfRule>
  </conditionalFormatting>
  <conditionalFormatting sqref="C1861">
    <cfRule type="expression" dxfId="4" priority="3267">
      <formula>C1861&lt;S1861</formula>
    </cfRule>
  </conditionalFormatting>
  <conditionalFormatting sqref="C1868">
    <cfRule type="expression" dxfId="4" priority="3269">
      <formula>C1868&lt;S1868</formula>
    </cfRule>
  </conditionalFormatting>
  <conditionalFormatting sqref="C1875">
    <cfRule type="expression" dxfId="4" priority="3271">
      <formula>C1875&lt;S1875</formula>
    </cfRule>
  </conditionalFormatting>
  <conditionalFormatting sqref="C1877">
    <cfRule type="expression" dxfId="4" priority="3241">
      <formula>C1877&lt;S1877</formula>
    </cfRule>
  </conditionalFormatting>
  <conditionalFormatting sqref="C1884">
    <cfRule type="expression" dxfId="4" priority="3198">
      <formula>C1884&lt;S1884</formula>
    </cfRule>
  </conditionalFormatting>
  <conditionalFormatting sqref="C1891">
    <cfRule type="expression" dxfId="4" priority="3200">
      <formula>C1891&lt;S1891</formula>
    </cfRule>
  </conditionalFormatting>
  <conditionalFormatting sqref="C1898">
    <cfRule type="expression" dxfId="4" priority="3202">
      <formula>C1898&lt;S1898</formula>
    </cfRule>
  </conditionalFormatting>
  <conditionalFormatting sqref="C1905">
    <cfRule type="expression" dxfId="4" priority="3204">
      <formula>C1905&lt;S1905</formula>
    </cfRule>
  </conditionalFormatting>
  <conditionalFormatting sqref="C1912">
    <cfRule type="expression" dxfId="4" priority="3206">
      <formula>C1912&lt;S1912</formula>
    </cfRule>
  </conditionalFormatting>
  <conditionalFormatting sqref="C1919">
    <cfRule type="expression" dxfId="4" priority="3208">
      <formula>C1919&lt;S1919</formula>
    </cfRule>
  </conditionalFormatting>
  <conditionalFormatting sqref="C1926">
    <cfRule type="expression" dxfId="4" priority="3210">
      <formula>C1926&lt;S1926</formula>
    </cfRule>
  </conditionalFormatting>
  <conditionalFormatting sqref="C1933">
    <cfRule type="expression" dxfId="4" priority="3212">
      <formula>C1933&lt;S1933</formula>
    </cfRule>
  </conditionalFormatting>
  <conditionalFormatting sqref="C1940">
    <cfRule type="expression" dxfId="4" priority="3214">
      <formula>C1940&lt;S1940</formula>
    </cfRule>
  </conditionalFormatting>
  <conditionalFormatting sqref="C1942">
    <cfRule type="expression" dxfId="4" priority="3137">
      <formula>C1942&lt;S1942</formula>
    </cfRule>
  </conditionalFormatting>
  <conditionalFormatting sqref="C2007">
    <cfRule type="expression" dxfId="4" priority="3123">
      <formula>C2007&lt;S2007</formula>
    </cfRule>
  </conditionalFormatting>
  <conditionalFormatting sqref="C2014">
    <cfRule type="expression" dxfId="4" priority="3080">
      <formula>C2014&lt;S2014</formula>
    </cfRule>
  </conditionalFormatting>
  <conditionalFormatting sqref="C2021">
    <cfRule type="expression" dxfId="4" priority="3082">
      <formula>C2021&lt;S2021</formula>
    </cfRule>
  </conditionalFormatting>
  <conditionalFormatting sqref="C2028">
    <cfRule type="expression" dxfId="4" priority="3084">
      <formula>C2028&lt;S2028</formula>
    </cfRule>
  </conditionalFormatting>
  <conditionalFormatting sqref="C2035">
    <cfRule type="expression" dxfId="4" priority="3086">
      <formula>C2035&lt;S2035</formula>
    </cfRule>
  </conditionalFormatting>
  <conditionalFormatting sqref="C2042">
    <cfRule type="expression" dxfId="4" priority="3088">
      <formula>C2042&lt;S2042</formula>
    </cfRule>
  </conditionalFormatting>
  <conditionalFormatting sqref="C2049">
    <cfRule type="expression" dxfId="4" priority="3090">
      <formula>C2049&lt;S2049</formula>
    </cfRule>
  </conditionalFormatting>
  <conditionalFormatting sqref="C2056">
    <cfRule type="expression" dxfId="4" priority="3092">
      <formula>C2056&lt;S2056</formula>
    </cfRule>
  </conditionalFormatting>
  <conditionalFormatting sqref="C2063">
    <cfRule type="expression" dxfId="4" priority="3094">
      <formula>C2063&lt;S2063</formula>
    </cfRule>
  </conditionalFormatting>
  <conditionalFormatting sqref="C2070">
    <cfRule type="expression" dxfId="4" priority="3096">
      <formula>C2070&lt;S2070</formula>
    </cfRule>
  </conditionalFormatting>
  <conditionalFormatting sqref="C2072">
    <cfRule type="expression" dxfId="4" priority="3066">
      <formula>C2072&lt;S2072</formula>
    </cfRule>
  </conditionalFormatting>
  <conditionalFormatting sqref="C2079">
    <cfRule type="expression" dxfId="4" priority="3023">
      <formula>C2079&lt;S2079</formula>
    </cfRule>
  </conditionalFormatting>
  <conditionalFormatting sqref="C2086">
    <cfRule type="expression" dxfId="4" priority="3025">
      <formula>C2086&lt;S2086</formula>
    </cfRule>
  </conditionalFormatting>
  <conditionalFormatting sqref="C2093">
    <cfRule type="expression" dxfId="4" priority="3027">
      <formula>C2093&lt;S2093</formula>
    </cfRule>
  </conditionalFormatting>
  <conditionalFormatting sqref="C2100">
    <cfRule type="expression" dxfId="4" priority="3029">
      <formula>C2100&lt;S2100</formula>
    </cfRule>
  </conditionalFormatting>
  <conditionalFormatting sqref="C2107">
    <cfRule type="expression" dxfId="4" priority="3031">
      <formula>C2107&lt;S2107</formula>
    </cfRule>
  </conditionalFormatting>
  <conditionalFormatting sqref="C2114">
    <cfRule type="expression" dxfId="4" priority="3033">
      <formula>C2114&lt;S2114</formula>
    </cfRule>
  </conditionalFormatting>
  <conditionalFormatting sqref="C2121">
    <cfRule type="expression" dxfId="4" priority="3035">
      <formula>C2121&lt;S2121</formula>
    </cfRule>
  </conditionalFormatting>
  <conditionalFormatting sqref="C2128">
    <cfRule type="expression" dxfId="4" priority="3037">
      <formula>C2128&lt;S2128</formula>
    </cfRule>
  </conditionalFormatting>
  <conditionalFormatting sqref="C2135">
    <cfRule type="expression" dxfId="4" priority="3039">
      <formula>C2135&lt;S2135</formula>
    </cfRule>
  </conditionalFormatting>
  <conditionalFormatting sqref="C2137">
    <cfRule type="expression" dxfId="4" priority="3009">
      <formula>C2137&lt;S2137</formula>
    </cfRule>
  </conditionalFormatting>
  <conditionalFormatting sqref="C2144">
    <cfRule type="expression" dxfId="4" priority="2966">
      <formula>C2144&lt;S2144</formula>
    </cfRule>
  </conditionalFormatting>
  <conditionalFormatting sqref="C2151">
    <cfRule type="expression" dxfId="4" priority="2968">
      <formula>C2151&lt;S2151</formula>
    </cfRule>
  </conditionalFormatting>
  <conditionalFormatting sqref="C2158">
    <cfRule type="expression" dxfId="4" priority="2970">
      <formula>C2158&lt;S2158</formula>
    </cfRule>
  </conditionalFormatting>
  <conditionalFormatting sqref="C2165">
    <cfRule type="expression" dxfId="4" priority="2972">
      <formula>C2165&lt;S2165</formula>
    </cfRule>
  </conditionalFormatting>
  <conditionalFormatting sqref="C2172">
    <cfRule type="expression" dxfId="4" priority="2974">
      <formula>C2172&lt;S2172</formula>
    </cfRule>
  </conditionalFormatting>
  <conditionalFormatting sqref="C2179">
    <cfRule type="expression" dxfId="4" priority="2976">
      <formula>C2179&lt;S2179</formula>
    </cfRule>
  </conditionalFormatting>
  <conditionalFormatting sqref="C2186">
    <cfRule type="expression" dxfId="4" priority="2978">
      <formula>C2186&lt;S2186</formula>
    </cfRule>
  </conditionalFormatting>
  <conditionalFormatting sqref="C2193">
    <cfRule type="expression" dxfId="4" priority="2980">
      <formula>C2193&lt;S2193</formula>
    </cfRule>
  </conditionalFormatting>
  <conditionalFormatting sqref="C2200">
    <cfRule type="expression" dxfId="4" priority="2982">
      <formula>C2200&lt;S2200</formula>
    </cfRule>
  </conditionalFormatting>
  <conditionalFormatting sqref="C2202">
    <cfRule type="expression" dxfId="4" priority="2952">
      <formula>C2202&lt;S2202</formula>
    </cfRule>
  </conditionalFormatting>
  <conditionalFormatting sqref="C2209">
    <cfRule type="expression" dxfId="4" priority="2909">
      <formula>C2209&lt;S2209</formula>
    </cfRule>
  </conditionalFormatting>
  <conditionalFormatting sqref="C2216">
    <cfRule type="expression" dxfId="4" priority="2911">
      <formula>C2216&lt;S2216</formula>
    </cfRule>
  </conditionalFormatting>
  <conditionalFormatting sqref="C2223">
    <cfRule type="expression" dxfId="4" priority="2913">
      <formula>C2223&lt;S2223</formula>
    </cfRule>
  </conditionalFormatting>
  <conditionalFormatting sqref="C2230">
    <cfRule type="expression" dxfId="4" priority="2915">
      <formula>C2230&lt;S2230</formula>
    </cfRule>
  </conditionalFormatting>
  <conditionalFormatting sqref="C2237">
    <cfRule type="expression" dxfId="4" priority="2917">
      <formula>C2237&lt;S2237</formula>
    </cfRule>
  </conditionalFormatting>
  <conditionalFormatting sqref="C2244">
    <cfRule type="expression" dxfId="4" priority="2919">
      <formula>C2244&lt;S2244</formula>
    </cfRule>
  </conditionalFormatting>
  <conditionalFormatting sqref="C2251">
    <cfRule type="expression" dxfId="4" priority="2921">
      <formula>C2251&lt;S2251</formula>
    </cfRule>
  </conditionalFormatting>
  <conditionalFormatting sqref="C2258">
    <cfRule type="expression" dxfId="4" priority="2923">
      <formula>C2258&lt;S2258</formula>
    </cfRule>
  </conditionalFormatting>
  <conditionalFormatting sqref="C2265">
    <cfRule type="expression" dxfId="4" priority="2925">
      <formula>C2265&lt;S2265</formula>
    </cfRule>
  </conditionalFormatting>
  <conditionalFormatting sqref="C2267">
    <cfRule type="expression" dxfId="4" priority="2895">
      <formula>C2267&lt;S2267</formula>
    </cfRule>
  </conditionalFormatting>
  <conditionalFormatting sqref="C2274">
    <cfRule type="expression" dxfId="4" priority="2852">
      <formula>C2274&lt;S2274</formula>
    </cfRule>
  </conditionalFormatting>
  <conditionalFormatting sqref="C2281">
    <cfRule type="expression" dxfId="4" priority="2854">
      <formula>C2281&lt;S2281</formula>
    </cfRule>
  </conditionalFormatting>
  <conditionalFormatting sqref="C2288">
    <cfRule type="expression" dxfId="4" priority="2856">
      <formula>C2288&lt;S2288</formula>
    </cfRule>
  </conditionalFormatting>
  <conditionalFormatting sqref="C2295">
    <cfRule type="expression" dxfId="4" priority="2858">
      <formula>C2295&lt;S2295</formula>
    </cfRule>
  </conditionalFormatting>
  <conditionalFormatting sqref="C2302">
    <cfRule type="expression" dxfId="4" priority="2860">
      <formula>C2302&lt;S2302</formula>
    </cfRule>
  </conditionalFormatting>
  <conditionalFormatting sqref="C2309">
    <cfRule type="expression" dxfId="4" priority="2862">
      <formula>C2309&lt;S2309</formula>
    </cfRule>
  </conditionalFormatting>
  <conditionalFormatting sqref="C2316">
    <cfRule type="expression" dxfId="4" priority="2864">
      <formula>C2316&lt;S2316</formula>
    </cfRule>
  </conditionalFormatting>
  <conditionalFormatting sqref="C2323">
    <cfRule type="expression" dxfId="4" priority="2866">
      <formula>C2323&lt;S2323</formula>
    </cfRule>
  </conditionalFormatting>
  <conditionalFormatting sqref="C2330">
    <cfRule type="expression" dxfId="4" priority="2868">
      <formula>C2330&lt;S2330</formula>
    </cfRule>
  </conditionalFormatting>
  <conditionalFormatting sqref="C2332">
    <cfRule type="expression" dxfId="4" priority="2838">
      <formula>C2332&lt;S2332</formula>
    </cfRule>
  </conditionalFormatting>
  <conditionalFormatting sqref="C2339">
    <cfRule type="expression" dxfId="4" priority="2795">
      <formula>C2339&lt;S2339</formula>
    </cfRule>
  </conditionalFormatting>
  <conditionalFormatting sqref="C2346">
    <cfRule type="expression" dxfId="4" priority="2797">
      <formula>C2346&lt;S2346</formula>
    </cfRule>
  </conditionalFormatting>
  <conditionalFormatting sqref="C2353">
    <cfRule type="expression" dxfId="4" priority="2799">
      <formula>C2353&lt;S2353</formula>
    </cfRule>
  </conditionalFormatting>
  <conditionalFormatting sqref="C2360">
    <cfRule type="expression" dxfId="4" priority="2801">
      <formula>C2360&lt;S2360</formula>
    </cfRule>
  </conditionalFormatting>
  <conditionalFormatting sqref="C2367">
    <cfRule type="expression" dxfId="4" priority="2803">
      <formula>C2367&lt;S2367</formula>
    </cfRule>
  </conditionalFormatting>
  <conditionalFormatting sqref="C2374">
    <cfRule type="expression" dxfId="4" priority="2805">
      <formula>C2374&lt;S2374</formula>
    </cfRule>
  </conditionalFormatting>
  <conditionalFormatting sqref="C2381:O2381">
    <cfRule type="expression" dxfId="4" priority="2807">
      <formula>C2381&lt;S2381</formula>
    </cfRule>
  </conditionalFormatting>
  <conditionalFormatting sqref="C2386">
    <cfRule type="expression" dxfId="4" priority="2794">
      <formula>C2386&lt;S2386</formula>
    </cfRule>
    <cfRule type="expression" dxfId="4" priority="2793">
      <formula>C2386&lt;S2386</formula>
    </cfRule>
  </conditionalFormatting>
  <conditionalFormatting sqref="C2388:O2388">
    <cfRule type="expression" dxfId="4" priority="2809">
      <formula>C2388&lt;S2388</formula>
    </cfRule>
  </conditionalFormatting>
  <conditionalFormatting sqref="C2395:O2395">
    <cfRule type="expression" dxfId="4" priority="2811">
      <formula>C2395&lt;S2395</formula>
    </cfRule>
  </conditionalFormatting>
  <conditionalFormatting sqref="C2397">
    <cfRule type="expression" dxfId="4" priority="2779">
      <formula>C2397&lt;S2397</formula>
    </cfRule>
  </conditionalFormatting>
  <conditionalFormatting sqref="C2404">
    <cfRule type="expression" dxfId="4" priority="2736">
      <formula>C2404&lt;S2404</formula>
    </cfRule>
  </conditionalFormatting>
  <conditionalFormatting sqref="C2411">
    <cfRule type="expression" dxfId="4" priority="2738">
      <formula>C2411&lt;S2411</formula>
    </cfRule>
  </conditionalFormatting>
  <conditionalFormatting sqref="C2418">
    <cfRule type="expression" dxfId="4" priority="2740">
      <formula>C2418&lt;S2418</formula>
    </cfRule>
  </conditionalFormatting>
  <conditionalFormatting sqref="C2425">
    <cfRule type="expression" dxfId="4" priority="2742">
      <formula>C2425&lt;S2425</formula>
    </cfRule>
  </conditionalFormatting>
  <conditionalFormatting sqref="C2432">
    <cfRule type="expression" dxfId="4" priority="2744">
      <formula>C2432&lt;S2432</formula>
    </cfRule>
  </conditionalFormatting>
  <conditionalFormatting sqref="C2439">
    <cfRule type="expression" dxfId="4" priority="2746">
      <formula>C2439&lt;S2439</formula>
    </cfRule>
  </conditionalFormatting>
  <conditionalFormatting sqref="C2446:O2446">
    <cfRule type="expression" dxfId="4" priority="2748">
      <formula>C2446&lt;S2446</formula>
    </cfRule>
  </conditionalFormatting>
  <conditionalFormatting sqref="C2451">
    <cfRule type="expression" dxfId="4" priority="2735">
      <formula>C2451&lt;S2451</formula>
    </cfRule>
    <cfRule type="expression" dxfId="4" priority="2734">
      <formula>C2451&lt;S2451</formula>
    </cfRule>
  </conditionalFormatting>
  <conditionalFormatting sqref="C2453:O2453">
    <cfRule type="expression" dxfId="4" priority="2750">
      <formula>C2453&lt;S2453</formula>
    </cfRule>
  </conditionalFormatting>
  <conditionalFormatting sqref="C2460:O2460">
    <cfRule type="expression" dxfId="4" priority="2752">
      <formula>C2460&lt;S2460</formula>
    </cfRule>
  </conditionalFormatting>
  <conditionalFormatting sqref="C2462">
    <cfRule type="expression" dxfId="4" priority="2720">
      <formula>C2462&lt;S2462</formula>
    </cfRule>
  </conditionalFormatting>
  <conditionalFormatting sqref="C2469">
    <cfRule type="expression" dxfId="4" priority="2677">
      <formula>C2469&lt;S2469</formula>
    </cfRule>
  </conditionalFormatting>
  <conditionalFormatting sqref="C2476">
    <cfRule type="expression" dxfId="4" priority="2679">
      <formula>C2476&lt;S2476</formula>
    </cfRule>
  </conditionalFormatting>
  <conditionalFormatting sqref="C2483">
    <cfRule type="expression" dxfId="4" priority="2681">
      <formula>C2483&lt;S2483</formula>
    </cfRule>
  </conditionalFormatting>
  <conditionalFormatting sqref="C2490">
    <cfRule type="expression" dxfId="4" priority="2683">
      <formula>C2490&lt;S2490</formula>
    </cfRule>
  </conditionalFormatting>
  <conditionalFormatting sqref="C2497">
    <cfRule type="expression" dxfId="4" priority="2685">
      <formula>C2497&lt;S2497</formula>
    </cfRule>
  </conditionalFormatting>
  <conditionalFormatting sqref="C2504">
    <cfRule type="expression" dxfId="4" priority="2687">
      <formula>C2504&lt;S2504</formula>
    </cfRule>
  </conditionalFormatting>
  <conditionalFormatting sqref="C2511:O2511">
    <cfRule type="expression" dxfId="4" priority="2689">
      <formula>C2511&lt;S2511</formula>
    </cfRule>
  </conditionalFormatting>
  <conditionalFormatting sqref="C2516">
    <cfRule type="expression" dxfId="4" priority="2676">
      <formula>C2516&lt;S2516</formula>
    </cfRule>
    <cfRule type="expression" dxfId="4" priority="2675">
      <formula>C2516&lt;S2516</formula>
    </cfRule>
  </conditionalFormatting>
  <conditionalFormatting sqref="C2518:O2518">
    <cfRule type="expression" dxfId="4" priority="2691">
      <formula>C2518&lt;S2518</formula>
    </cfRule>
  </conditionalFormatting>
  <conditionalFormatting sqref="C2525:O2525">
    <cfRule type="expression" dxfId="4" priority="2693">
      <formula>C2525&lt;S2525</formula>
    </cfRule>
  </conditionalFormatting>
  <conditionalFormatting sqref="C2527">
    <cfRule type="expression" dxfId="4" priority="2661">
      <formula>C2527&lt;S2527</formula>
    </cfRule>
  </conditionalFormatting>
  <conditionalFormatting sqref="C2534">
    <cfRule type="expression" dxfId="4" priority="2618">
      <formula>C2534&lt;S2534</formula>
    </cfRule>
  </conditionalFormatting>
  <conditionalFormatting sqref="C2541">
    <cfRule type="expression" dxfId="4" priority="2620">
      <formula>C2541&lt;S2541</formula>
    </cfRule>
  </conditionalFormatting>
  <conditionalFormatting sqref="C2548">
    <cfRule type="expression" dxfId="4" priority="2622">
      <formula>C2548&lt;S2548</formula>
    </cfRule>
  </conditionalFormatting>
  <conditionalFormatting sqref="C2555">
    <cfRule type="expression" dxfId="4" priority="2624">
      <formula>C2555&lt;S2555</formula>
    </cfRule>
  </conditionalFormatting>
  <conditionalFormatting sqref="C2562">
    <cfRule type="expression" dxfId="4" priority="2626">
      <formula>C2562&lt;S2562</formula>
    </cfRule>
  </conditionalFormatting>
  <conditionalFormatting sqref="C2569">
    <cfRule type="expression" dxfId="4" priority="2628">
      <formula>C2569&lt;S2569</formula>
    </cfRule>
  </conditionalFormatting>
  <conditionalFormatting sqref="C2576:O2576">
    <cfRule type="expression" dxfId="4" priority="2630">
      <formula>C2576&lt;S2576</formula>
    </cfRule>
  </conditionalFormatting>
  <conditionalFormatting sqref="C2581">
    <cfRule type="expression" dxfId="4" priority="2617">
      <formula>C2581&lt;S2581</formula>
    </cfRule>
    <cfRule type="expression" dxfId="4" priority="2616">
      <formula>C2581&lt;S2581</formula>
    </cfRule>
  </conditionalFormatting>
  <conditionalFormatting sqref="C2583:O2583">
    <cfRule type="expression" dxfId="4" priority="2632">
      <formula>C2583&lt;S2583</formula>
    </cfRule>
  </conditionalFormatting>
  <conditionalFormatting sqref="C2590:O2590">
    <cfRule type="expression" dxfId="4" priority="2634">
      <formula>C2590&lt;S2590</formula>
    </cfRule>
  </conditionalFormatting>
  <conditionalFormatting sqref="C2592">
    <cfRule type="expression" dxfId="4" priority="2602">
      <formula>C2592&lt;S2592</formula>
    </cfRule>
  </conditionalFormatting>
  <conditionalFormatting sqref="C2599">
    <cfRule type="expression" dxfId="4" priority="2559">
      <formula>C2599&lt;S2599</formula>
    </cfRule>
  </conditionalFormatting>
  <conditionalFormatting sqref="C2606">
    <cfRule type="expression" dxfId="4" priority="2561">
      <formula>C2606&lt;S2606</formula>
    </cfRule>
  </conditionalFormatting>
  <conditionalFormatting sqref="C2613">
    <cfRule type="expression" dxfId="4" priority="2563">
      <formula>C2613&lt;S2613</formula>
    </cfRule>
  </conditionalFormatting>
  <conditionalFormatting sqref="C2620">
    <cfRule type="expression" dxfId="4" priority="2565">
      <formula>C2620&lt;S2620</formula>
    </cfRule>
  </conditionalFormatting>
  <conditionalFormatting sqref="C2627">
    <cfRule type="expression" dxfId="4" priority="2567">
      <formula>C2627&lt;S2627</formula>
    </cfRule>
  </conditionalFormatting>
  <conditionalFormatting sqref="C2634">
    <cfRule type="expression" dxfId="4" priority="2569">
      <formula>C2634&lt;S2634</formula>
    </cfRule>
  </conditionalFormatting>
  <conditionalFormatting sqref="C2641:O2641">
    <cfRule type="expression" dxfId="4" priority="2571">
      <formula>C2641&lt;S2641</formula>
    </cfRule>
  </conditionalFormatting>
  <conditionalFormatting sqref="C2646">
    <cfRule type="expression" dxfId="4" priority="2558">
      <formula>C2646&lt;S2646</formula>
    </cfRule>
    <cfRule type="expression" dxfId="4" priority="2557">
      <formula>C2646&lt;S2646</formula>
    </cfRule>
  </conditionalFormatting>
  <conditionalFormatting sqref="C2648:O2648">
    <cfRule type="expression" dxfId="4" priority="2573">
      <formula>C2648&lt;S2648</formula>
    </cfRule>
  </conditionalFormatting>
  <conditionalFormatting sqref="C2655:O2655">
    <cfRule type="expression" dxfId="4" priority="2575">
      <formula>C2655&lt;S2655</formula>
    </cfRule>
  </conditionalFormatting>
  <conditionalFormatting sqref="C2657">
    <cfRule type="expression" dxfId="4" priority="2543">
      <formula>C2657&lt;S2657</formula>
    </cfRule>
  </conditionalFormatting>
  <conditionalFormatting sqref="C2664">
    <cfRule type="expression" dxfId="4" priority="2500">
      <formula>C2664&lt;S2664</formula>
    </cfRule>
  </conditionalFormatting>
  <conditionalFormatting sqref="C2671">
    <cfRule type="expression" dxfId="4" priority="2502">
      <formula>C2671&lt;S2671</formula>
    </cfRule>
  </conditionalFormatting>
  <conditionalFormatting sqref="C2678">
    <cfRule type="expression" dxfId="4" priority="2504">
      <formula>C2678&lt;S2678</formula>
    </cfRule>
  </conditionalFormatting>
  <conditionalFormatting sqref="C2685">
    <cfRule type="expression" dxfId="4" priority="2506">
      <formula>C2685&lt;S2685</formula>
    </cfRule>
  </conditionalFormatting>
  <conditionalFormatting sqref="C2692">
    <cfRule type="expression" dxfId="4" priority="2508">
      <formula>C2692&lt;S2692</formula>
    </cfRule>
  </conditionalFormatting>
  <conditionalFormatting sqref="C2699">
    <cfRule type="expression" dxfId="4" priority="2510">
      <formula>C2699&lt;S2699</formula>
    </cfRule>
  </conditionalFormatting>
  <conditionalFormatting sqref="C2706:O2706">
    <cfRule type="expression" dxfId="4" priority="2512">
      <formula>C2706&lt;S2706</formula>
    </cfRule>
  </conditionalFormatting>
  <conditionalFormatting sqref="C2711">
    <cfRule type="expression" dxfId="4" priority="2499">
      <formula>C2711&lt;S2711</formula>
    </cfRule>
    <cfRule type="expression" dxfId="4" priority="2498">
      <formula>C2711&lt;S2711</formula>
    </cfRule>
  </conditionalFormatting>
  <conditionalFormatting sqref="C2713:O2713">
    <cfRule type="expression" dxfId="4" priority="2514">
      <formula>C2713&lt;S2713</formula>
    </cfRule>
  </conditionalFormatting>
  <conditionalFormatting sqref="C2720:O2720">
    <cfRule type="expression" dxfId="4" priority="2516">
      <formula>C2720&lt;S2720</formula>
    </cfRule>
  </conditionalFormatting>
  <conditionalFormatting sqref="C2722">
    <cfRule type="expression" dxfId="4" priority="2484">
      <formula>C2722&lt;S2722</formula>
    </cfRule>
  </conditionalFormatting>
  <conditionalFormatting sqref="C2729">
    <cfRule type="expression" dxfId="4" priority="2441">
      <formula>C2729&lt;S2729</formula>
    </cfRule>
  </conditionalFormatting>
  <conditionalFormatting sqref="C2736">
    <cfRule type="expression" dxfId="4" priority="2443">
      <formula>C2736&lt;S2736</formula>
    </cfRule>
  </conditionalFormatting>
  <conditionalFormatting sqref="C2743">
    <cfRule type="expression" dxfId="4" priority="2445">
      <formula>C2743&lt;S2743</formula>
    </cfRule>
  </conditionalFormatting>
  <conditionalFormatting sqref="C2750">
    <cfRule type="expression" dxfId="4" priority="2447">
      <formula>C2750&lt;S2750</formula>
    </cfRule>
  </conditionalFormatting>
  <conditionalFormatting sqref="C2757">
    <cfRule type="expression" dxfId="4" priority="2449">
      <formula>C2757&lt;S2757</formula>
    </cfRule>
  </conditionalFormatting>
  <conditionalFormatting sqref="C2764">
    <cfRule type="expression" dxfId="4" priority="2451">
      <formula>C2764&lt;S2764</formula>
    </cfRule>
  </conditionalFormatting>
  <conditionalFormatting sqref="C2771:O2771">
    <cfRule type="expression" dxfId="4" priority="2453">
      <formula>C2771&lt;S2771</formula>
    </cfRule>
  </conditionalFormatting>
  <conditionalFormatting sqref="C2776">
    <cfRule type="expression" dxfId="4" priority="2440">
      <formula>C2776&lt;S2776</formula>
    </cfRule>
    <cfRule type="expression" dxfId="4" priority="2439">
      <formula>C2776&lt;S2776</formula>
    </cfRule>
  </conditionalFormatting>
  <conditionalFormatting sqref="C2778:O2778">
    <cfRule type="expression" dxfId="4" priority="2455">
      <formula>C2778&lt;S2778</formula>
    </cfRule>
  </conditionalFormatting>
  <conditionalFormatting sqref="C2785:O2785">
    <cfRule type="expression" dxfId="4" priority="2457">
      <formula>C2785&lt;S2785</formula>
    </cfRule>
  </conditionalFormatting>
  <conditionalFormatting sqref="C2787">
    <cfRule type="expression" dxfId="4" priority="2425">
      <formula>C2787&lt;S2787</formula>
    </cfRule>
  </conditionalFormatting>
  <conditionalFormatting sqref="C2794">
    <cfRule type="expression" dxfId="4" priority="2382">
      <formula>C2794&lt;S2794</formula>
    </cfRule>
  </conditionalFormatting>
  <conditionalFormatting sqref="C2801">
    <cfRule type="expression" dxfId="4" priority="2384">
      <formula>C2801&lt;S2801</formula>
    </cfRule>
  </conditionalFormatting>
  <conditionalFormatting sqref="C2808">
    <cfRule type="expression" dxfId="4" priority="2386">
      <formula>C2808&lt;S2808</formula>
    </cfRule>
  </conditionalFormatting>
  <conditionalFormatting sqref="C2815">
    <cfRule type="expression" dxfId="4" priority="2388">
      <formula>C2815&lt;S2815</formula>
    </cfRule>
  </conditionalFormatting>
  <conditionalFormatting sqref="C2822">
    <cfRule type="expression" dxfId="4" priority="2390">
      <formula>C2822&lt;S2822</formula>
    </cfRule>
  </conditionalFormatting>
  <conditionalFormatting sqref="C2829">
    <cfRule type="expression" dxfId="4" priority="2392">
      <formula>C2829&lt;S2829</formula>
    </cfRule>
  </conditionalFormatting>
  <conditionalFormatting sqref="C2836:O2836">
    <cfRule type="expression" dxfId="4" priority="2394">
      <formula>C2836&lt;S2836</formula>
    </cfRule>
  </conditionalFormatting>
  <conditionalFormatting sqref="C2841">
    <cfRule type="expression" dxfId="4" priority="2381">
      <formula>C2841&lt;S2841</formula>
    </cfRule>
    <cfRule type="expression" dxfId="4" priority="2380">
      <formula>C2841&lt;S2841</formula>
    </cfRule>
  </conditionalFormatting>
  <conditionalFormatting sqref="C2843:O2843">
    <cfRule type="expression" dxfId="4" priority="2396">
      <formula>C2843&lt;S2843</formula>
    </cfRule>
  </conditionalFormatting>
  <conditionalFormatting sqref="C2850:O2850">
    <cfRule type="expression" dxfId="4" priority="2398">
      <formula>C2850&lt;S2850</formula>
    </cfRule>
  </conditionalFormatting>
  <conditionalFormatting sqref="C2852">
    <cfRule type="expression" dxfId="4" priority="2366">
      <formula>C2852&lt;S2852</formula>
    </cfRule>
  </conditionalFormatting>
  <conditionalFormatting sqref="C2859">
    <cfRule type="expression" dxfId="4" priority="2323">
      <formula>C2859&lt;S2859</formula>
    </cfRule>
  </conditionalFormatting>
  <conditionalFormatting sqref="C2866">
    <cfRule type="expression" dxfId="4" priority="2325">
      <formula>C2866&lt;S2866</formula>
    </cfRule>
  </conditionalFormatting>
  <conditionalFormatting sqref="C2873">
    <cfRule type="expression" dxfId="4" priority="2327">
      <formula>C2873&lt;S2873</formula>
    </cfRule>
  </conditionalFormatting>
  <conditionalFormatting sqref="C2880">
    <cfRule type="expression" dxfId="4" priority="2329">
      <formula>C2880&lt;S2880</formula>
    </cfRule>
  </conditionalFormatting>
  <conditionalFormatting sqref="C2887">
    <cfRule type="expression" dxfId="4" priority="2331">
      <formula>C2887&lt;S2887</formula>
    </cfRule>
  </conditionalFormatting>
  <conditionalFormatting sqref="C2894">
    <cfRule type="expression" dxfId="4" priority="2333">
      <formula>C2894&lt;S2894</formula>
    </cfRule>
  </conditionalFormatting>
  <conditionalFormatting sqref="C2901:O2901">
    <cfRule type="expression" dxfId="4" priority="2335">
      <formula>C2901&lt;S2901</formula>
    </cfRule>
  </conditionalFormatting>
  <conditionalFormatting sqref="C2906">
    <cfRule type="expression" dxfId="4" priority="2322">
      <formula>C2906&lt;S2906</formula>
    </cfRule>
    <cfRule type="expression" dxfId="4" priority="2321">
      <formula>C2906&lt;S2906</formula>
    </cfRule>
  </conditionalFormatting>
  <conditionalFormatting sqref="C2908:O2908">
    <cfRule type="expression" dxfId="4" priority="2337">
      <formula>C2908&lt;S2908</formula>
    </cfRule>
  </conditionalFormatting>
  <conditionalFormatting sqref="C2915:O2915">
    <cfRule type="expression" dxfId="4" priority="2339">
      <formula>C2915&lt;S2915</formula>
    </cfRule>
  </conditionalFormatting>
  <conditionalFormatting sqref="C2917">
    <cfRule type="expression" dxfId="4" priority="2307">
      <formula>C2917&lt;S2917</formula>
    </cfRule>
  </conditionalFormatting>
  <conditionalFormatting sqref="C2924">
    <cfRule type="expression" dxfId="4" priority="2264">
      <formula>C2924&lt;S2924</formula>
    </cfRule>
  </conditionalFormatting>
  <conditionalFormatting sqref="C2931">
    <cfRule type="expression" dxfId="4" priority="2266">
      <formula>C2931&lt;S2931</formula>
    </cfRule>
  </conditionalFormatting>
  <conditionalFormatting sqref="C2938">
    <cfRule type="expression" dxfId="4" priority="2268">
      <formula>C2938&lt;S2938</formula>
    </cfRule>
  </conditionalFormatting>
  <conditionalFormatting sqref="C2945">
    <cfRule type="expression" dxfId="4" priority="2270">
      <formula>C2945&lt;S2945</formula>
    </cfRule>
  </conditionalFormatting>
  <conditionalFormatting sqref="C2952">
    <cfRule type="expression" dxfId="4" priority="2272">
      <formula>C2952&lt;S2952</formula>
    </cfRule>
  </conditionalFormatting>
  <conditionalFormatting sqref="C2959">
    <cfRule type="expression" dxfId="4" priority="2274">
      <formula>C2959&lt;S2959</formula>
    </cfRule>
  </conditionalFormatting>
  <conditionalFormatting sqref="C2966:O2966">
    <cfRule type="expression" dxfId="4" priority="2276">
      <formula>C2966&lt;S2966</formula>
    </cfRule>
  </conditionalFormatting>
  <conditionalFormatting sqref="C2971">
    <cfRule type="expression" dxfId="4" priority="2263">
      <formula>C2971&lt;S2971</formula>
    </cfRule>
    <cfRule type="expression" dxfId="4" priority="2262">
      <formula>C2971&lt;S2971</formula>
    </cfRule>
  </conditionalFormatting>
  <conditionalFormatting sqref="C2973:O2973">
    <cfRule type="expression" dxfId="4" priority="2278">
      <formula>C2973&lt;S2973</formula>
    </cfRule>
  </conditionalFormatting>
  <conditionalFormatting sqref="C2980:O2980">
    <cfRule type="expression" dxfId="4" priority="2280">
      <formula>C2980&lt;S2980</formula>
    </cfRule>
  </conditionalFormatting>
  <conditionalFormatting sqref="C2982">
    <cfRule type="expression" dxfId="4" priority="2248">
      <formula>C2982&lt;S2982</formula>
    </cfRule>
  </conditionalFormatting>
  <conditionalFormatting sqref="C2989">
    <cfRule type="expression" dxfId="4" priority="2205">
      <formula>C2989&lt;S2989</formula>
    </cfRule>
  </conditionalFormatting>
  <conditionalFormatting sqref="C2996">
    <cfRule type="expression" dxfId="4" priority="2207">
      <formula>C2996&lt;S2996</formula>
    </cfRule>
  </conditionalFormatting>
  <conditionalFormatting sqref="C3003">
    <cfRule type="expression" dxfId="4" priority="2209">
      <formula>C3003&lt;S3003</formula>
    </cfRule>
  </conditionalFormatting>
  <conditionalFormatting sqref="C3010">
    <cfRule type="expression" dxfId="4" priority="2211">
      <formula>C3010&lt;S3010</formula>
    </cfRule>
  </conditionalFormatting>
  <conditionalFormatting sqref="C3017">
    <cfRule type="expression" dxfId="4" priority="2213">
      <formula>C3017&lt;S3017</formula>
    </cfRule>
  </conditionalFormatting>
  <conditionalFormatting sqref="C3024">
    <cfRule type="expression" dxfId="4" priority="2215">
      <formula>C3024&lt;S3024</formula>
    </cfRule>
  </conditionalFormatting>
  <conditionalFormatting sqref="C3031:O3031">
    <cfRule type="expression" dxfId="4" priority="2217">
      <formula>C3031&lt;S3031</formula>
    </cfRule>
  </conditionalFormatting>
  <conditionalFormatting sqref="C3036">
    <cfRule type="expression" dxfId="4" priority="2204">
      <formula>C3036&lt;S3036</formula>
    </cfRule>
    <cfRule type="expression" dxfId="4" priority="2203">
      <formula>C3036&lt;S3036</formula>
    </cfRule>
  </conditionalFormatting>
  <conditionalFormatting sqref="C3038:O3038">
    <cfRule type="expression" dxfId="4" priority="2219">
      <formula>C3038&lt;S3038</formula>
    </cfRule>
  </conditionalFormatting>
  <conditionalFormatting sqref="C3045:O3045">
    <cfRule type="expression" dxfId="4" priority="2221">
      <formula>C3045&lt;S3045</formula>
    </cfRule>
  </conditionalFormatting>
  <conditionalFormatting sqref="C3047">
    <cfRule type="expression" dxfId="4" priority="2189">
      <formula>C3047&lt;S3047</formula>
    </cfRule>
  </conditionalFormatting>
  <conditionalFormatting sqref="C3054">
    <cfRule type="expression" dxfId="4" priority="2146">
      <formula>C3054&lt;S3054</formula>
    </cfRule>
  </conditionalFormatting>
  <conditionalFormatting sqref="C3061">
    <cfRule type="expression" dxfId="4" priority="2148">
      <formula>C3061&lt;S3061</formula>
    </cfRule>
  </conditionalFormatting>
  <conditionalFormatting sqref="C3068">
    <cfRule type="expression" dxfId="4" priority="2150">
      <formula>C3068&lt;S3068</formula>
    </cfRule>
  </conditionalFormatting>
  <conditionalFormatting sqref="C3075">
    <cfRule type="expression" dxfId="4" priority="2152">
      <formula>C3075&lt;S3075</formula>
    </cfRule>
  </conditionalFormatting>
  <conditionalFormatting sqref="C3082">
    <cfRule type="expression" dxfId="4" priority="2154">
      <formula>C3082&lt;S3082</formula>
    </cfRule>
  </conditionalFormatting>
  <conditionalFormatting sqref="C3089">
    <cfRule type="expression" dxfId="4" priority="2156">
      <formula>C3089&lt;S3089</formula>
    </cfRule>
  </conditionalFormatting>
  <conditionalFormatting sqref="C3096:O3096">
    <cfRule type="expression" dxfId="4" priority="2158">
      <formula>C3096&lt;S3096</formula>
    </cfRule>
  </conditionalFormatting>
  <conditionalFormatting sqref="C3101">
    <cfRule type="expression" dxfId="4" priority="2145">
      <formula>C3101&lt;S3101</formula>
    </cfRule>
    <cfRule type="expression" dxfId="4" priority="2144">
      <formula>C3101&lt;S3101</formula>
    </cfRule>
  </conditionalFormatting>
  <conditionalFormatting sqref="C3103:O3103">
    <cfRule type="expression" dxfId="4" priority="2160">
      <formula>C3103&lt;S3103</formula>
    </cfRule>
  </conditionalFormatting>
  <conditionalFormatting sqref="C3110:O3110">
    <cfRule type="expression" dxfId="4" priority="2162">
      <formula>C3110&lt;S3110</formula>
    </cfRule>
  </conditionalFormatting>
  <conditionalFormatting sqref="C3112">
    <cfRule type="expression" dxfId="4" priority="2130">
      <formula>C3112&lt;S3112</formula>
    </cfRule>
  </conditionalFormatting>
  <conditionalFormatting sqref="C3119">
    <cfRule type="expression" dxfId="4" priority="2087">
      <formula>C3119&lt;S3119</formula>
    </cfRule>
  </conditionalFormatting>
  <conditionalFormatting sqref="C3126">
    <cfRule type="expression" dxfId="4" priority="2089">
      <formula>C3126&lt;S3126</formula>
    </cfRule>
  </conditionalFormatting>
  <conditionalFormatting sqref="C3133">
    <cfRule type="expression" dxfId="4" priority="2091">
      <formula>C3133&lt;S3133</formula>
    </cfRule>
  </conditionalFormatting>
  <conditionalFormatting sqref="C3140">
    <cfRule type="expression" dxfId="4" priority="2093">
      <formula>C3140&lt;S3140</formula>
    </cfRule>
  </conditionalFormatting>
  <conditionalFormatting sqref="C3147">
    <cfRule type="expression" dxfId="4" priority="2095">
      <formula>C3147&lt;S3147</formula>
    </cfRule>
  </conditionalFormatting>
  <conditionalFormatting sqref="C3154">
    <cfRule type="expression" dxfId="4" priority="2097">
      <formula>C3154&lt;S3154</formula>
    </cfRule>
  </conditionalFormatting>
  <conditionalFormatting sqref="C3161:O3161">
    <cfRule type="expression" dxfId="4" priority="2099">
      <formula>C3161&lt;S3161</formula>
    </cfRule>
  </conditionalFormatting>
  <conditionalFormatting sqref="C3166">
    <cfRule type="expression" dxfId="4" priority="2086">
      <formula>C3166&lt;S3166</formula>
    </cfRule>
    <cfRule type="expression" dxfId="4" priority="2085">
      <formula>C3166&lt;S3166</formula>
    </cfRule>
  </conditionalFormatting>
  <conditionalFormatting sqref="C3168:O3168">
    <cfRule type="expression" dxfId="4" priority="2101">
      <formula>C3168&lt;S3168</formula>
    </cfRule>
  </conditionalFormatting>
  <conditionalFormatting sqref="C3175:O3175">
    <cfRule type="expression" dxfId="4" priority="2103">
      <formula>C3175&lt;S3175</formula>
    </cfRule>
  </conditionalFormatting>
  <conditionalFormatting sqref="C3177">
    <cfRule type="expression" dxfId="4" priority="2071">
      <formula>C3177&lt;S3177</formula>
    </cfRule>
  </conditionalFormatting>
  <conditionalFormatting sqref="C3184">
    <cfRule type="expression" dxfId="4" priority="2028">
      <formula>C3184&lt;S3184</formula>
    </cfRule>
  </conditionalFormatting>
  <conditionalFormatting sqref="C3191">
    <cfRule type="expression" dxfId="4" priority="2030">
      <formula>C3191&lt;S3191</formula>
    </cfRule>
  </conditionalFormatting>
  <conditionalFormatting sqref="C3198">
    <cfRule type="expression" dxfId="4" priority="2032">
      <formula>C3198&lt;S3198</formula>
    </cfRule>
  </conditionalFormatting>
  <conditionalFormatting sqref="C3205">
    <cfRule type="expression" dxfId="4" priority="2034">
      <formula>C3205&lt;S3205</formula>
    </cfRule>
  </conditionalFormatting>
  <conditionalFormatting sqref="C3212">
    <cfRule type="expression" dxfId="4" priority="2036">
      <formula>C3212&lt;S3212</formula>
    </cfRule>
  </conditionalFormatting>
  <conditionalFormatting sqref="C3219">
    <cfRule type="expression" dxfId="4" priority="2038">
      <formula>C3219&lt;S3219</formula>
    </cfRule>
  </conditionalFormatting>
  <conditionalFormatting sqref="C3226:O3226">
    <cfRule type="expression" dxfId="4" priority="2040">
      <formula>C3226&lt;S3226</formula>
    </cfRule>
  </conditionalFormatting>
  <conditionalFormatting sqref="C3231">
    <cfRule type="expression" dxfId="4" priority="2027">
      <formula>C3231&lt;S3231</formula>
    </cfRule>
    <cfRule type="expression" dxfId="4" priority="2026">
      <formula>C3231&lt;S3231</formula>
    </cfRule>
  </conditionalFormatting>
  <conditionalFormatting sqref="C3233:O3233">
    <cfRule type="expression" dxfId="4" priority="2042">
      <formula>C3233&lt;S3233</formula>
    </cfRule>
  </conditionalFormatting>
  <conditionalFormatting sqref="C3240:O3240">
    <cfRule type="expression" dxfId="4" priority="2044">
      <formula>C3240&lt;S3240</formula>
    </cfRule>
  </conditionalFormatting>
  <conditionalFormatting sqref="C3242">
    <cfRule type="expression" dxfId="4" priority="2012">
      <formula>C3242&lt;S3242</formula>
    </cfRule>
  </conditionalFormatting>
  <conditionalFormatting sqref="C3249">
    <cfRule type="expression" dxfId="4" priority="1969">
      <formula>C3249&lt;S3249</formula>
    </cfRule>
  </conditionalFormatting>
  <conditionalFormatting sqref="C3256">
    <cfRule type="expression" dxfId="4" priority="1971">
      <formula>C3256&lt;S3256</formula>
    </cfRule>
  </conditionalFormatting>
  <conditionalFormatting sqref="C3263">
    <cfRule type="expression" dxfId="4" priority="1973">
      <formula>C3263&lt;S3263</formula>
    </cfRule>
  </conditionalFormatting>
  <conditionalFormatting sqref="C3270">
    <cfRule type="expression" dxfId="4" priority="1975">
      <formula>C3270&lt;S3270</formula>
    </cfRule>
  </conditionalFormatting>
  <conditionalFormatting sqref="C3277">
    <cfRule type="expression" dxfId="4" priority="1977">
      <formula>C3277&lt;S3277</formula>
    </cfRule>
  </conditionalFormatting>
  <conditionalFormatting sqref="C3284">
    <cfRule type="expression" dxfId="4" priority="1979">
      <formula>C3284&lt;S3284</formula>
    </cfRule>
  </conditionalFormatting>
  <conditionalFormatting sqref="C3291:O3291">
    <cfRule type="expression" dxfId="4" priority="1981">
      <formula>C3291&lt;S3291</formula>
    </cfRule>
  </conditionalFormatting>
  <conditionalFormatting sqref="C3296">
    <cfRule type="expression" dxfId="4" priority="1968">
      <formula>C3296&lt;S3296</formula>
    </cfRule>
    <cfRule type="expression" dxfId="4" priority="1967">
      <formula>C3296&lt;S3296</formula>
    </cfRule>
  </conditionalFormatting>
  <conditionalFormatting sqref="C3298:O3298">
    <cfRule type="expression" dxfId="4" priority="1983">
      <formula>C3298&lt;S3298</formula>
    </cfRule>
  </conditionalFormatting>
  <conditionalFormatting sqref="C3305:O3305">
    <cfRule type="expression" dxfId="4" priority="1985">
      <formula>C3305&lt;S3305</formula>
    </cfRule>
  </conditionalFormatting>
  <conditionalFormatting sqref="C3307">
    <cfRule type="expression" dxfId="4" priority="1953">
      <formula>C3307&lt;S3307</formula>
    </cfRule>
  </conditionalFormatting>
  <conditionalFormatting sqref="C3314">
    <cfRule type="expression" dxfId="4" priority="1910">
      <formula>C3314&lt;S3314</formula>
    </cfRule>
  </conditionalFormatting>
  <conditionalFormatting sqref="C3321">
    <cfRule type="expression" dxfId="4" priority="1912">
      <formula>C3321&lt;S3321</formula>
    </cfRule>
  </conditionalFormatting>
  <conditionalFormatting sqref="C3328">
    <cfRule type="expression" dxfId="4" priority="1914">
      <formula>C3328&lt;S3328</formula>
    </cfRule>
  </conditionalFormatting>
  <conditionalFormatting sqref="C3335">
    <cfRule type="expression" dxfId="4" priority="1916">
      <formula>C3335&lt;S3335</formula>
    </cfRule>
  </conditionalFormatting>
  <conditionalFormatting sqref="C3342">
    <cfRule type="expression" dxfId="4" priority="1918">
      <formula>C3342&lt;S3342</formula>
    </cfRule>
  </conditionalFormatting>
  <conditionalFormatting sqref="C3349">
    <cfRule type="expression" dxfId="4" priority="1920">
      <formula>C3349&lt;S3349</formula>
    </cfRule>
  </conditionalFormatting>
  <conditionalFormatting sqref="C3356:O3356">
    <cfRule type="expression" dxfId="4" priority="1922">
      <formula>C3356&lt;S3356</formula>
    </cfRule>
  </conditionalFormatting>
  <conditionalFormatting sqref="C3361">
    <cfRule type="expression" dxfId="4" priority="1909">
      <formula>C3361&lt;S3361</formula>
    </cfRule>
    <cfRule type="expression" dxfId="4" priority="1908">
      <formula>C3361&lt;S3361</formula>
    </cfRule>
  </conditionalFormatting>
  <conditionalFormatting sqref="C3363:O3363">
    <cfRule type="expression" dxfId="4" priority="1924">
      <formula>C3363&lt;S3363</formula>
    </cfRule>
  </conditionalFormatting>
  <conditionalFormatting sqref="C3370:O3370">
    <cfRule type="expression" dxfId="4" priority="1926">
      <formula>C3370&lt;S3370</formula>
    </cfRule>
  </conditionalFormatting>
  <conditionalFormatting sqref="C3372">
    <cfRule type="expression" dxfId="4" priority="1894">
      <formula>C3372&lt;S3372</formula>
    </cfRule>
  </conditionalFormatting>
  <conditionalFormatting sqref="C3379">
    <cfRule type="expression" dxfId="4" priority="1851">
      <formula>C3379&lt;S3379</formula>
    </cfRule>
  </conditionalFormatting>
  <conditionalFormatting sqref="C3386">
    <cfRule type="expression" dxfId="4" priority="1853">
      <formula>C3386&lt;S3386</formula>
    </cfRule>
  </conditionalFormatting>
  <conditionalFormatting sqref="C3393">
    <cfRule type="expression" dxfId="4" priority="1855">
      <formula>C3393&lt;S3393</formula>
    </cfRule>
  </conditionalFormatting>
  <conditionalFormatting sqref="C3400">
    <cfRule type="expression" dxfId="4" priority="1857">
      <formula>C3400&lt;S3400</formula>
    </cfRule>
  </conditionalFormatting>
  <conditionalFormatting sqref="C3407">
    <cfRule type="expression" dxfId="4" priority="1859">
      <formula>C3407&lt;S3407</formula>
    </cfRule>
  </conditionalFormatting>
  <conditionalFormatting sqref="C3414">
    <cfRule type="expression" dxfId="4" priority="1861">
      <formula>C3414&lt;S3414</formula>
    </cfRule>
  </conditionalFormatting>
  <conditionalFormatting sqref="C3421:O3421">
    <cfRule type="expression" dxfId="4" priority="1863">
      <formula>C3421&lt;S3421</formula>
    </cfRule>
  </conditionalFormatting>
  <conditionalFormatting sqref="C3426">
    <cfRule type="expression" dxfId="4" priority="1850">
      <formula>C3426&lt;S3426</formula>
    </cfRule>
    <cfRule type="expression" dxfId="4" priority="1849">
      <formula>C3426&lt;S3426</formula>
    </cfRule>
  </conditionalFormatting>
  <conditionalFormatting sqref="C3428:O3428">
    <cfRule type="expression" dxfId="4" priority="1865">
      <formula>C3428&lt;S3428</formula>
    </cfRule>
  </conditionalFormatting>
  <conditionalFormatting sqref="C3435:O3435">
    <cfRule type="expression" dxfId="4" priority="1867">
      <formula>C3435&lt;S3435</formula>
    </cfRule>
  </conditionalFormatting>
  <conditionalFormatting sqref="C3437">
    <cfRule type="expression" dxfId="4" priority="1835">
      <formula>C3437&lt;S3437</formula>
    </cfRule>
  </conditionalFormatting>
  <conditionalFormatting sqref="C3444">
    <cfRule type="expression" dxfId="4" priority="1792">
      <formula>C3444&lt;S3444</formula>
    </cfRule>
  </conditionalFormatting>
  <conditionalFormatting sqref="C3451">
    <cfRule type="expression" dxfId="4" priority="1794">
      <formula>C3451&lt;S3451</formula>
    </cfRule>
  </conditionalFormatting>
  <conditionalFormatting sqref="C3458">
    <cfRule type="expression" dxfId="4" priority="1796">
      <formula>C3458&lt;S3458</formula>
    </cfRule>
  </conditionalFormatting>
  <conditionalFormatting sqref="C3465">
    <cfRule type="expression" dxfId="4" priority="1798">
      <formula>C3465&lt;S3465</formula>
    </cfRule>
  </conditionalFormatting>
  <conditionalFormatting sqref="C3472">
    <cfRule type="expression" dxfId="4" priority="1800">
      <formula>C3472&lt;S3472</formula>
    </cfRule>
  </conditionalFormatting>
  <conditionalFormatting sqref="C3479">
    <cfRule type="expression" dxfId="4" priority="1802">
      <formula>C3479&lt;S3479</formula>
    </cfRule>
  </conditionalFormatting>
  <conditionalFormatting sqref="C3486:O3486">
    <cfRule type="expression" dxfId="4" priority="1804">
      <formula>C3486&lt;S3486</formula>
    </cfRule>
  </conditionalFormatting>
  <conditionalFormatting sqref="C3491">
    <cfRule type="expression" dxfId="4" priority="1791">
      <formula>C3491&lt;S3491</formula>
    </cfRule>
    <cfRule type="expression" dxfId="4" priority="1790">
      <formula>C3491&lt;S3491</formula>
    </cfRule>
  </conditionalFormatting>
  <conditionalFormatting sqref="C3493:O3493">
    <cfRule type="expression" dxfId="4" priority="1806">
      <formula>C3493&lt;S3493</formula>
    </cfRule>
  </conditionalFormatting>
  <conditionalFormatting sqref="C3500:O3500">
    <cfRule type="expression" dxfId="4" priority="1808">
      <formula>C3500&lt;S3500</formula>
    </cfRule>
  </conditionalFormatting>
  <conditionalFormatting sqref="C3502">
    <cfRule type="expression" dxfId="4" priority="1776">
      <formula>C3502&lt;S3502</formula>
    </cfRule>
  </conditionalFormatting>
  <conditionalFormatting sqref="C3509">
    <cfRule type="expression" dxfId="4" priority="1733">
      <formula>C3509&lt;S3509</formula>
    </cfRule>
  </conditionalFormatting>
  <conditionalFormatting sqref="C3516">
    <cfRule type="expression" dxfId="4" priority="1735">
      <formula>C3516&lt;S3516</formula>
    </cfRule>
  </conditionalFormatting>
  <conditionalFormatting sqref="C3523">
    <cfRule type="expression" dxfId="4" priority="1737">
      <formula>C3523&lt;S3523</formula>
    </cfRule>
  </conditionalFormatting>
  <conditionalFormatting sqref="C3530">
    <cfRule type="expression" dxfId="4" priority="1739">
      <formula>C3530&lt;S3530</formula>
    </cfRule>
  </conditionalFormatting>
  <conditionalFormatting sqref="C3537">
    <cfRule type="expression" dxfId="4" priority="1741">
      <formula>C3537&lt;S3537</formula>
    </cfRule>
  </conditionalFormatting>
  <conditionalFormatting sqref="C3544">
    <cfRule type="expression" dxfId="4" priority="1743">
      <formula>C3544&lt;S3544</formula>
    </cfRule>
  </conditionalFormatting>
  <conditionalFormatting sqref="C3551:O3551">
    <cfRule type="expression" dxfId="4" priority="1745">
      <formula>C3551&lt;S3551</formula>
    </cfRule>
  </conditionalFormatting>
  <conditionalFormatting sqref="C3556">
    <cfRule type="expression" dxfId="4" priority="1732">
      <formula>C3556&lt;S3556</formula>
    </cfRule>
    <cfRule type="expression" dxfId="4" priority="1731">
      <formula>C3556&lt;S3556</formula>
    </cfRule>
  </conditionalFormatting>
  <conditionalFormatting sqref="C3558:O3558">
    <cfRule type="expression" dxfId="4" priority="1747">
      <formula>C3558&lt;S3558</formula>
    </cfRule>
  </conditionalFormatting>
  <conditionalFormatting sqref="C3565:O3565">
    <cfRule type="expression" dxfId="4" priority="1749">
      <formula>C3565&lt;S3565</formula>
    </cfRule>
  </conditionalFormatting>
  <conditionalFormatting sqref="C3567">
    <cfRule type="expression" dxfId="4" priority="1717">
      <formula>C3567&lt;S3567</formula>
    </cfRule>
  </conditionalFormatting>
  <conditionalFormatting sqref="C3574">
    <cfRule type="expression" dxfId="4" priority="1674">
      <formula>C3574&lt;S3574</formula>
    </cfRule>
  </conditionalFormatting>
  <conditionalFormatting sqref="C3581">
    <cfRule type="expression" dxfId="4" priority="1676">
      <formula>C3581&lt;S3581</formula>
    </cfRule>
  </conditionalFormatting>
  <conditionalFormatting sqref="C3588">
    <cfRule type="expression" dxfId="4" priority="1678">
      <formula>C3588&lt;S3588</formula>
    </cfRule>
  </conditionalFormatting>
  <conditionalFormatting sqref="C3595">
    <cfRule type="expression" dxfId="4" priority="1680">
      <formula>C3595&lt;S3595</formula>
    </cfRule>
  </conditionalFormatting>
  <conditionalFormatting sqref="C3602">
    <cfRule type="expression" dxfId="4" priority="1682">
      <formula>C3602&lt;S3602</formula>
    </cfRule>
  </conditionalFormatting>
  <conditionalFormatting sqref="C3609">
    <cfRule type="expression" dxfId="4" priority="1684">
      <formula>C3609&lt;S3609</formula>
    </cfRule>
  </conditionalFormatting>
  <conditionalFormatting sqref="C3616:O3616">
    <cfRule type="expression" dxfId="4" priority="1686">
      <formula>C3616&lt;S3616</formula>
    </cfRule>
  </conditionalFormatting>
  <conditionalFormatting sqref="C3621">
    <cfRule type="expression" dxfId="4" priority="1673">
      <formula>C3621&lt;S3621</formula>
    </cfRule>
    <cfRule type="expression" dxfId="4" priority="1672">
      <formula>C3621&lt;S3621</formula>
    </cfRule>
  </conditionalFormatting>
  <conditionalFormatting sqref="C3623:O3623">
    <cfRule type="expression" dxfId="4" priority="1688">
      <formula>C3623&lt;S3623</formula>
    </cfRule>
  </conditionalFormatting>
  <conditionalFormatting sqref="C3630:O3630">
    <cfRule type="expression" dxfId="4" priority="1690">
      <formula>C3630&lt;S3630</formula>
    </cfRule>
  </conditionalFormatting>
  <conditionalFormatting sqref="C3632">
    <cfRule type="expression" dxfId="4" priority="1658">
      <formula>C3632&lt;S3632</formula>
    </cfRule>
  </conditionalFormatting>
  <conditionalFormatting sqref="C3639">
    <cfRule type="expression" dxfId="4" priority="1615">
      <formula>C3639&lt;S3639</formula>
    </cfRule>
  </conditionalFormatting>
  <conditionalFormatting sqref="C3646">
    <cfRule type="expression" dxfId="4" priority="1617">
      <formula>C3646&lt;S3646</formula>
    </cfRule>
  </conditionalFormatting>
  <conditionalFormatting sqref="C3653">
    <cfRule type="expression" dxfId="4" priority="1619">
      <formula>C3653&lt;S3653</formula>
    </cfRule>
  </conditionalFormatting>
  <conditionalFormatting sqref="C3660">
    <cfRule type="expression" dxfId="4" priority="1621">
      <formula>C3660&lt;S3660</formula>
    </cfRule>
  </conditionalFormatting>
  <conditionalFormatting sqref="C3667">
    <cfRule type="expression" dxfId="4" priority="1623">
      <formula>C3667&lt;S3667</formula>
    </cfRule>
  </conditionalFormatting>
  <conditionalFormatting sqref="C3674">
    <cfRule type="expression" dxfId="4" priority="1625">
      <formula>C3674&lt;S3674</formula>
    </cfRule>
  </conditionalFormatting>
  <conditionalFormatting sqref="C3681:O3681">
    <cfRule type="expression" dxfId="4" priority="1627">
      <formula>C3681&lt;S3681</formula>
    </cfRule>
  </conditionalFormatting>
  <conditionalFormatting sqref="C3686">
    <cfRule type="expression" dxfId="4" priority="1614">
      <formula>C3686&lt;S3686</formula>
    </cfRule>
    <cfRule type="expression" dxfId="4" priority="1613">
      <formula>C3686&lt;S3686</formula>
    </cfRule>
  </conditionalFormatting>
  <conditionalFormatting sqref="C3688:O3688">
    <cfRule type="expression" dxfId="4" priority="1629">
      <formula>C3688&lt;S3688</formula>
    </cfRule>
  </conditionalFormatting>
  <conditionalFormatting sqref="C3695:O3695">
    <cfRule type="expression" dxfId="4" priority="1631">
      <formula>C3695&lt;S3695</formula>
    </cfRule>
  </conditionalFormatting>
  <conditionalFormatting sqref="C3697">
    <cfRule type="expression" dxfId="4" priority="1599">
      <formula>C3697&lt;S3697</formula>
    </cfRule>
  </conditionalFormatting>
  <conditionalFormatting sqref="C3704">
    <cfRule type="expression" dxfId="4" priority="1556">
      <formula>C3704&lt;S3704</formula>
    </cfRule>
  </conditionalFormatting>
  <conditionalFormatting sqref="C3711">
    <cfRule type="expression" dxfId="4" priority="1558">
      <formula>C3711&lt;S3711</formula>
    </cfRule>
  </conditionalFormatting>
  <conditionalFormatting sqref="C3718">
    <cfRule type="expression" dxfId="4" priority="1560">
      <formula>C3718&lt;S3718</formula>
    </cfRule>
  </conditionalFormatting>
  <conditionalFormatting sqref="C3725">
    <cfRule type="expression" dxfId="4" priority="1562">
      <formula>C3725&lt;S3725</formula>
    </cfRule>
  </conditionalFormatting>
  <conditionalFormatting sqref="C3732">
    <cfRule type="expression" dxfId="4" priority="1564">
      <formula>C3732&lt;S3732</formula>
    </cfRule>
  </conditionalFormatting>
  <conditionalFormatting sqref="C3739">
    <cfRule type="expression" dxfId="4" priority="1566">
      <formula>C3739&lt;S3739</formula>
    </cfRule>
  </conditionalFormatting>
  <conditionalFormatting sqref="C3746:O3746">
    <cfRule type="expression" dxfId="4" priority="1568">
      <formula>C3746&lt;S3746</formula>
    </cfRule>
  </conditionalFormatting>
  <conditionalFormatting sqref="C3751">
    <cfRule type="expression" dxfId="4" priority="1555">
      <formula>C3751&lt;S3751</formula>
    </cfRule>
    <cfRule type="expression" dxfId="4" priority="1554">
      <formula>C3751&lt;S3751</formula>
    </cfRule>
  </conditionalFormatting>
  <conditionalFormatting sqref="C3753:O3753">
    <cfRule type="expression" dxfId="4" priority="1570">
      <formula>C3753&lt;S3753</formula>
    </cfRule>
  </conditionalFormatting>
  <conditionalFormatting sqref="C3760:O3760">
    <cfRule type="expression" dxfId="4" priority="1572">
      <formula>C3760&lt;S3760</formula>
    </cfRule>
  </conditionalFormatting>
  <conditionalFormatting sqref="C3762">
    <cfRule type="expression" dxfId="4" priority="1540">
      <formula>C3762&lt;S3762</formula>
    </cfRule>
  </conditionalFormatting>
  <conditionalFormatting sqref="C3769">
    <cfRule type="expression" dxfId="4" priority="1497">
      <formula>C3769&lt;S3769</formula>
    </cfRule>
  </conditionalFormatting>
  <conditionalFormatting sqref="C3776">
    <cfRule type="expression" dxfId="4" priority="1499">
      <formula>C3776&lt;S3776</formula>
    </cfRule>
  </conditionalFormatting>
  <conditionalFormatting sqref="C3783">
    <cfRule type="expression" dxfId="4" priority="1501">
      <formula>C3783&lt;S3783</formula>
    </cfRule>
  </conditionalFormatting>
  <conditionalFormatting sqref="C3790">
    <cfRule type="expression" dxfId="4" priority="1503">
      <formula>C3790&lt;S3790</formula>
    </cfRule>
  </conditionalFormatting>
  <conditionalFormatting sqref="C3797">
    <cfRule type="expression" dxfId="4" priority="1505">
      <formula>C3797&lt;S3797</formula>
    </cfRule>
  </conditionalFormatting>
  <conditionalFormatting sqref="C3804">
    <cfRule type="expression" dxfId="4" priority="1507">
      <formula>C3804&lt;S3804</formula>
    </cfRule>
  </conditionalFormatting>
  <conditionalFormatting sqref="C3811:O3811">
    <cfRule type="expression" dxfId="4" priority="1509">
      <formula>C3811&lt;S3811</formula>
    </cfRule>
  </conditionalFormatting>
  <conditionalFormatting sqref="C3816">
    <cfRule type="expression" dxfId="4" priority="1496">
      <formula>C3816&lt;S3816</formula>
    </cfRule>
    <cfRule type="expression" dxfId="4" priority="1495">
      <formula>C3816&lt;S3816</formula>
    </cfRule>
  </conditionalFormatting>
  <conditionalFormatting sqref="C3818:O3818">
    <cfRule type="expression" dxfId="4" priority="1511">
      <formula>C3818&lt;S3818</formula>
    </cfRule>
  </conditionalFormatting>
  <conditionalFormatting sqref="C3825:O3825">
    <cfRule type="expression" dxfId="4" priority="1513">
      <formula>C3825&lt;S3825</formula>
    </cfRule>
  </conditionalFormatting>
  <conditionalFormatting sqref="C3827">
    <cfRule type="expression" dxfId="4" priority="1481">
      <formula>C3827&lt;S3827</formula>
    </cfRule>
  </conditionalFormatting>
  <conditionalFormatting sqref="C3834">
    <cfRule type="expression" dxfId="4" priority="1438">
      <formula>C3834&lt;S3834</formula>
    </cfRule>
  </conditionalFormatting>
  <conditionalFormatting sqref="C3841">
    <cfRule type="expression" dxfId="4" priority="1440">
      <formula>C3841&lt;S3841</formula>
    </cfRule>
  </conditionalFormatting>
  <conditionalFormatting sqref="C3848">
    <cfRule type="expression" dxfId="4" priority="1442">
      <formula>C3848&lt;S3848</formula>
    </cfRule>
  </conditionalFormatting>
  <conditionalFormatting sqref="C3855">
    <cfRule type="expression" dxfId="4" priority="1444">
      <formula>C3855&lt;S3855</formula>
    </cfRule>
  </conditionalFormatting>
  <conditionalFormatting sqref="C3862">
    <cfRule type="expression" dxfId="4" priority="1446">
      <formula>C3862&lt;S3862</formula>
    </cfRule>
  </conditionalFormatting>
  <conditionalFormatting sqref="C3869">
    <cfRule type="expression" dxfId="4" priority="1448">
      <formula>C3869&lt;S3869</formula>
    </cfRule>
  </conditionalFormatting>
  <conditionalFormatting sqref="C3876:O3876">
    <cfRule type="expression" dxfId="4" priority="1450">
      <formula>C3876&lt;S3876</formula>
    </cfRule>
  </conditionalFormatting>
  <conditionalFormatting sqref="C3881">
    <cfRule type="expression" dxfId="4" priority="1437">
      <formula>C3881&lt;S3881</formula>
    </cfRule>
    <cfRule type="expression" dxfId="4" priority="1436">
      <formula>C3881&lt;S3881</formula>
    </cfRule>
  </conditionalFormatting>
  <conditionalFormatting sqref="C3883:O3883">
    <cfRule type="expression" dxfId="4" priority="1452">
      <formula>C3883&lt;S3883</formula>
    </cfRule>
  </conditionalFormatting>
  <conditionalFormatting sqref="C3890:O3890">
    <cfRule type="expression" dxfId="4" priority="1454">
      <formula>C3890&lt;S3890</formula>
    </cfRule>
  </conditionalFormatting>
  <conditionalFormatting sqref="C3892">
    <cfRule type="expression" dxfId="4" priority="1422">
      <formula>C3892&lt;S3892</formula>
    </cfRule>
  </conditionalFormatting>
  <conditionalFormatting sqref="C3899">
    <cfRule type="expression" dxfId="4" priority="1379">
      <formula>C3899&lt;S3899</formula>
    </cfRule>
  </conditionalFormatting>
  <conditionalFormatting sqref="C3906">
    <cfRule type="expression" dxfId="4" priority="1381">
      <formula>C3906&lt;S3906</formula>
    </cfRule>
  </conditionalFormatting>
  <conditionalFormatting sqref="C3913">
    <cfRule type="expression" dxfId="4" priority="1383">
      <formula>C3913&lt;S3913</formula>
    </cfRule>
  </conditionalFormatting>
  <conditionalFormatting sqref="C3920">
    <cfRule type="expression" dxfId="4" priority="1385">
      <formula>C3920&lt;S3920</formula>
    </cfRule>
  </conditionalFormatting>
  <conditionalFormatting sqref="C3927">
    <cfRule type="expression" dxfId="4" priority="1387">
      <formula>C3927&lt;S3927</formula>
    </cfRule>
  </conditionalFormatting>
  <conditionalFormatting sqref="C3934">
    <cfRule type="expression" dxfId="4" priority="1389">
      <formula>C3934&lt;S3934</formula>
    </cfRule>
  </conditionalFormatting>
  <conditionalFormatting sqref="C3941:O3941">
    <cfRule type="expression" dxfId="4" priority="1391">
      <formula>C3941&lt;S3941</formula>
    </cfRule>
  </conditionalFormatting>
  <conditionalFormatting sqref="C3946">
    <cfRule type="expression" dxfId="4" priority="1378">
      <formula>C3946&lt;S3946</formula>
    </cfRule>
    <cfRule type="expression" dxfId="4" priority="1377">
      <formula>C3946&lt;S3946</formula>
    </cfRule>
  </conditionalFormatting>
  <conditionalFormatting sqref="C3948:O3948">
    <cfRule type="expression" dxfId="4" priority="1393">
      <formula>C3948&lt;S3948</formula>
    </cfRule>
  </conditionalFormatting>
  <conditionalFormatting sqref="C3955:O3955">
    <cfRule type="expression" dxfId="4" priority="1395">
      <formula>C3955&lt;S3955</formula>
    </cfRule>
  </conditionalFormatting>
  <conditionalFormatting sqref="C3957">
    <cfRule type="expression" dxfId="4" priority="1363">
      <formula>C3957&lt;S3957</formula>
    </cfRule>
  </conditionalFormatting>
  <conditionalFormatting sqref="C3964">
    <cfRule type="expression" dxfId="4" priority="1320">
      <formula>C3964&lt;S3964</formula>
    </cfRule>
  </conditionalFormatting>
  <conditionalFormatting sqref="C3971">
    <cfRule type="expression" dxfId="4" priority="1322">
      <formula>C3971&lt;S3971</formula>
    </cfRule>
  </conditionalFormatting>
  <conditionalFormatting sqref="C3978">
    <cfRule type="expression" dxfId="4" priority="1324">
      <formula>C3978&lt;S3978</formula>
    </cfRule>
  </conditionalFormatting>
  <conditionalFormatting sqref="C3985">
    <cfRule type="expression" dxfId="4" priority="1326">
      <formula>C3985&lt;S3985</formula>
    </cfRule>
  </conditionalFormatting>
  <conditionalFormatting sqref="C3992">
    <cfRule type="expression" dxfId="4" priority="1328">
      <formula>C3992&lt;S3992</formula>
    </cfRule>
  </conditionalFormatting>
  <conditionalFormatting sqref="C3999">
    <cfRule type="expression" dxfId="4" priority="1330">
      <formula>C3999&lt;S3999</formula>
    </cfRule>
  </conditionalFormatting>
  <conditionalFormatting sqref="C4006:O4006">
    <cfRule type="expression" dxfId="4" priority="1332">
      <formula>C4006&lt;S4006</formula>
    </cfRule>
  </conditionalFormatting>
  <conditionalFormatting sqref="C4011">
    <cfRule type="expression" dxfId="4" priority="1319">
      <formula>C4011&lt;S4011</formula>
    </cfRule>
    <cfRule type="expression" dxfId="4" priority="1318">
      <formula>C4011&lt;S4011</formula>
    </cfRule>
  </conditionalFormatting>
  <conditionalFormatting sqref="C4013:O4013">
    <cfRule type="expression" dxfId="4" priority="1334">
      <formula>C4013&lt;S4013</formula>
    </cfRule>
  </conditionalFormatting>
  <conditionalFormatting sqref="C4020:O4020">
    <cfRule type="expression" dxfId="4" priority="1336">
      <formula>C4020&lt;S4020</formula>
    </cfRule>
  </conditionalFormatting>
  <conditionalFormatting sqref="C4022">
    <cfRule type="expression" dxfId="4" priority="1304">
      <formula>C4022&lt;S4022</formula>
    </cfRule>
  </conditionalFormatting>
  <conditionalFormatting sqref="C4029">
    <cfRule type="expression" dxfId="4" priority="1261">
      <formula>C4029&lt;S4029</formula>
    </cfRule>
  </conditionalFormatting>
  <conditionalFormatting sqref="C4036">
    <cfRule type="expression" dxfId="4" priority="1263">
      <formula>C4036&lt;S4036</formula>
    </cfRule>
  </conditionalFormatting>
  <conditionalFormatting sqref="C4043">
    <cfRule type="expression" dxfId="4" priority="1265">
      <formula>C4043&lt;S4043</formula>
    </cfRule>
  </conditionalFormatting>
  <conditionalFormatting sqref="C4050">
    <cfRule type="expression" dxfId="4" priority="1267">
      <formula>C4050&lt;S4050</formula>
    </cfRule>
  </conditionalFormatting>
  <conditionalFormatting sqref="C4057">
    <cfRule type="expression" dxfId="4" priority="1269">
      <formula>C4057&lt;S4057</formula>
    </cfRule>
  </conditionalFormatting>
  <conditionalFormatting sqref="C4064">
    <cfRule type="expression" dxfId="4" priority="1271">
      <formula>C4064&lt;S4064</formula>
    </cfRule>
  </conditionalFormatting>
  <conditionalFormatting sqref="C4071:O4071">
    <cfRule type="expression" dxfId="4" priority="1273">
      <formula>C4071&lt;S4071</formula>
    </cfRule>
  </conditionalFormatting>
  <conditionalFormatting sqref="C4076">
    <cfRule type="expression" dxfId="4" priority="1260">
      <formula>C4076&lt;S4076</formula>
    </cfRule>
    <cfRule type="expression" dxfId="4" priority="1259">
      <formula>C4076&lt;S4076</formula>
    </cfRule>
  </conditionalFormatting>
  <conditionalFormatting sqref="C4078:O4078">
    <cfRule type="expression" dxfId="4" priority="1275">
      <formula>C4078&lt;S4078</formula>
    </cfRule>
  </conditionalFormatting>
  <conditionalFormatting sqref="C4085:O4085">
    <cfRule type="expression" dxfId="4" priority="1277">
      <formula>C4085&lt;S4085</formula>
    </cfRule>
  </conditionalFormatting>
  <conditionalFormatting sqref="C4087">
    <cfRule type="expression" dxfId="4" priority="1245">
      <formula>C4087&lt;S4087</formula>
    </cfRule>
  </conditionalFormatting>
  <conditionalFormatting sqref="C4094">
    <cfRule type="expression" dxfId="4" priority="1202">
      <formula>C4094&lt;S4094</formula>
    </cfRule>
  </conditionalFormatting>
  <conditionalFormatting sqref="C4101">
    <cfRule type="expression" dxfId="4" priority="1204">
      <formula>C4101&lt;S4101</formula>
    </cfRule>
  </conditionalFormatting>
  <conditionalFormatting sqref="C4108">
    <cfRule type="expression" dxfId="4" priority="1206">
      <formula>C4108&lt;S4108</formula>
    </cfRule>
  </conditionalFormatting>
  <conditionalFormatting sqref="C4115">
    <cfRule type="expression" dxfId="4" priority="1208">
      <formula>C4115&lt;S4115</formula>
    </cfRule>
  </conditionalFormatting>
  <conditionalFormatting sqref="C4122">
    <cfRule type="expression" dxfId="4" priority="1210">
      <formula>C4122&lt;S4122</formula>
    </cfRule>
  </conditionalFormatting>
  <conditionalFormatting sqref="C4129">
    <cfRule type="expression" dxfId="4" priority="1212">
      <formula>C4129&lt;S4129</formula>
    </cfRule>
  </conditionalFormatting>
  <conditionalFormatting sqref="C4136:O4136">
    <cfRule type="expression" dxfId="4" priority="1214">
      <formula>C4136&lt;S4136</formula>
    </cfRule>
  </conditionalFormatting>
  <conditionalFormatting sqref="C4141">
    <cfRule type="expression" dxfId="4" priority="1201">
      <formula>C4141&lt;S4141</formula>
    </cfRule>
    <cfRule type="expression" dxfId="4" priority="1200">
      <formula>C4141&lt;S4141</formula>
    </cfRule>
  </conditionalFormatting>
  <conditionalFormatting sqref="C4143:O4143">
    <cfRule type="expression" dxfId="4" priority="1216">
      <formula>C4143&lt;S4143</formula>
    </cfRule>
  </conditionalFormatting>
  <conditionalFormatting sqref="C4150:O4150">
    <cfRule type="expression" dxfId="4" priority="1218">
      <formula>C4150&lt;S4150</formula>
    </cfRule>
  </conditionalFormatting>
  <conditionalFormatting sqref="C4152">
    <cfRule type="expression" dxfId="4" priority="1186">
      <formula>C4152&lt;S4152</formula>
    </cfRule>
  </conditionalFormatting>
  <conditionalFormatting sqref="C4159">
    <cfRule type="expression" dxfId="4" priority="1143">
      <formula>C4159&lt;S4159</formula>
    </cfRule>
  </conditionalFormatting>
  <conditionalFormatting sqref="C4166">
    <cfRule type="expression" dxfId="4" priority="1145">
      <formula>C4166&lt;S4166</formula>
    </cfRule>
  </conditionalFormatting>
  <conditionalFormatting sqref="C4173">
    <cfRule type="expression" dxfId="4" priority="1147">
      <formula>C4173&lt;S4173</formula>
    </cfRule>
  </conditionalFormatting>
  <conditionalFormatting sqref="C4180">
    <cfRule type="expression" dxfId="4" priority="1149">
      <formula>C4180&lt;S4180</formula>
    </cfRule>
  </conditionalFormatting>
  <conditionalFormatting sqref="C4187">
    <cfRule type="expression" dxfId="4" priority="1151">
      <formula>C4187&lt;S4187</formula>
    </cfRule>
  </conditionalFormatting>
  <conditionalFormatting sqref="C4194">
    <cfRule type="expression" dxfId="4" priority="1153">
      <formula>C4194&lt;S4194</formula>
    </cfRule>
  </conditionalFormatting>
  <conditionalFormatting sqref="C4201:O4201">
    <cfRule type="expression" dxfId="4" priority="1155">
      <formula>C4201&lt;S4201</formula>
    </cfRule>
  </conditionalFormatting>
  <conditionalFormatting sqref="C4206">
    <cfRule type="expression" dxfId="4" priority="1142">
      <formula>C4206&lt;S4206</formula>
    </cfRule>
    <cfRule type="expression" dxfId="4" priority="1141">
      <formula>C4206&lt;S4206</formula>
    </cfRule>
  </conditionalFormatting>
  <conditionalFormatting sqref="C4208:O4208">
    <cfRule type="expression" dxfId="4" priority="1157">
      <formula>C4208&lt;S4208</formula>
    </cfRule>
  </conditionalFormatting>
  <conditionalFormatting sqref="C4215:O4215">
    <cfRule type="expression" dxfId="4" priority="1159">
      <formula>C4215&lt;S4215</formula>
    </cfRule>
  </conditionalFormatting>
  <conditionalFormatting sqref="C4217">
    <cfRule type="expression" dxfId="4" priority="1127">
      <formula>C4217&lt;S4217</formula>
    </cfRule>
  </conditionalFormatting>
  <conditionalFormatting sqref="C4224">
    <cfRule type="expression" dxfId="4" priority="1084">
      <formula>C4224&lt;S4224</formula>
    </cfRule>
  </conditionalFormatting>
  <conditionalFormatting sqref="C4231">
    <cfRule type="expression" dxfId="4" priority="1086">
      <formula>C4231&lt;S4231</formula>
    </cfRule>
  </conditionalFormatting>
  <conditionalFormatting sqref="C4238">
    <cfRule type="expression" dxfId="4" priority="1088">
      <formula>C4238&lt;S4238</formula>
    </cfRule>
  </conditionalFormatting>
  <conditionalFormatting sqref="C4245">
    <cfRule type="expression" dxfId="4" priority="1090">
      <formula>C4245&lt;S4245</formula>
    </cfRule>
  </conditionalFormatting>
  <conditionalFormatting sqref="C4252">
    <cfRule type="expression" dxfId="4" priority="1092">
      <formula>C4252&lt;S4252</formula>
    </cfRule>
  </conditionalFormatting>
  <conditionalFormatting sqref="C4259">
    <cfRule type="expression" dxfId="4" priority="1094">
      <formula>C4259&lt;S4259</formula>
    </cfRule>
  </conditionalFormatting>
  <conditionalFormatting sqref="C4266:O4266">
    <cfRule type="expression" dxfId="4" priority="1096">
      <formula>C4266&lt;S4266</formula>
    </cfRule>
  </conditionalFormatting>
  <conditionalFormatting sqref="C4271">
    <cfRule type="expression" dxfId="4" priority="1083">
      <formula>C4271&lt;S4271</formula>
    </cfRule>
    <cfRule type="expression" dxfId="4" priority="1082">
      <formula>C4271&lt;S4271</formula>
    </cfRule>
  </conditionalFormatting>
  <conditionalFormatting sqref="C4273:O4273">
    <cfRule type="expression" dxfId="4" priority="1098">
      <formula>C4273&lt;S4273</formula>
    </cfRule>
  </conditionalFormatting>
  <conditionalFormatting sqref="C4280:O4280">
    <cfRule type="expression" dxfId="4" priority="1100">
      <formula>C4280&lt;S4280</formula>
    </cfRule>
  </conditionalFormatting>
  <conditionalFormatting sqref="C4282">
    <cfRule type="expression" dxfId="4" priority="1068">
      <formula>C4282&lt;S4282</formula>
    </cfRule>
  </conditionalFormatting>
  <conditionalFormatting sqref="C4289">
    <cfRule type="expression" dxfId="4" priority="1025">
      <formula>C4289&lt;S4289</formula>
    </cfRule>
  </conditionalFormatting>
  <conditionalFormatting sqref="C4296">
    <cfRule type="expression" dxfId="4" priority="1027">
      <formula>C4296&lt;S4296</formula>
    </cfRule>
  </conditionalFormatting>
  <conditionalFormatting sqref="C4303">
    <cfRule type="expression" dxfId="4" priority="1029">
      <formula>C4303&lt;S4303</formula>
    </cfRule>
  </conditionalFormatting>
  <conditionalFormatting sqref="C4310">
    <cfRule type="expression" dxfId="4" priority="1031">
      <formula>C4310&lt;S4310</formula>
    </cfRule>
  </conditionalFormatting>
  <conditionalFormatting sqref="C4317">
    <cfRule type="expression" dxfId="4" priority="1033">
      <formula>C4317&lt;S4317</formula>
    </cfRule>
  </conditionalFormatting>
  <conditionalFormatting sqref="C4324">
    <cfRule type="expression" dxfId="4" priority="1035">
      <formula>C4324&lt;S4324</formula>
    </cfRule>
  </conditionalFormatting>
  <conditionalFormatting sqref="C4331:O4331">
    <cfRule type="expression" dxfId="4" priority="1037">
      <formula>C4331&lt;S4331</formula>
    </cfRule>
  </conditionalFormatting>
  <conditionalFormatting sqref="C4336">
    <cfRule type="expression" dxfId="4" priority="1024">
      <formula>C4336&lt;S4336</formula>
    </cfRule>
    <cfRule type="expression" dxfId="4" priority="1023">
      <formula>C4336&lt;S4336</formula>
    </cfRule>
  </conditionalFormatting>
  <conditionalFormatting sqref="C4338:O4338">
    <cfRule type="expression" dxfId="4" priority="1039">
      <formula>C4338&lt;S4338</formula>
    </cfRule>
  </conditionalFormatting>
  <conditionalFormatting sqref="C4345:O4345">
    <cfRule type="expression" dxfId="4" priority="1041">
      <formula>C4345&lt;S4345</formula>
    </cfRule>
  </conditionalFormatting>
  <conditionalFormatting sqref="C4347">
    <cfRule type="expression" dxfId="4" priority="1009">
      <formula>C4347&lt;S4347</formula>
    </cfRule>
  </conditionalFormatting>
  <conditionalFormatting sqref="C4354">
    <cfRule type="expression" dxfId="4" priority="966">
      <formula>C4354&lt;S4354</formula>
    </cfRule>
  </conditionalFormatting>
  <conditionalFormatting sqref="C4361">
    <cfRule type="expression" dxfId="4" priority="968">
      <formula>C4361&lt;S4361</formula>
    </cfRule>
  </conditionalFormatting>
  <conditionalFormatting sqref="C4368">
    <cfRule type="expression" dxfId="4" priority="970">
      <formula>C4368&lt;S4368</formula>
    </cfRule>
  </conditionalFormatting>
  <conditionalFormatting sqref="C4375">
    <cfRule type="expression" dxfId="4" priority="972">
      <formula>C4375&lt;S4375</formula>
    </cfRule>
  </conditionalFormatting>
  <conditionalFormatting sqref="C4382">
    <cfRule type="expression" dxfId="4" priority="974">
      <formula>C4382&lt;S4382</formula>
    </cfRule>
  </conditionalFormatting>
  <conditionalFormatting sqref="C4389">
    <cfRule type="expression" dxfId="4" priority="976">
      <formula>C4389&lt;S4389</formula>
    </cfRule>
  </conditionalFormatting>
  <conditionalFormatting sqref="C4396:O4396">
    <cfRule type="expression" dxfId="4" priority="978">
      <formula>C4396&lt;S4396</formula>
    </cfRule>
  </conditionalFormatting>
  <conditionalFormatting sqref="C4401">
    <cfRule type="expression" dxfId="4" priority="965">
      <formula>C4401&lt;S4401</formula>
    </cfRule>
    <cfRule type="expression" dxfId="4" priority="964">
      <formula>C4401&lt;S4401</formula>
    </cfRule>
  </conditionalFormatting>
  <conditionalFormatting sqref="C4403:O4403">
    <cfRule type="expression" dxfId="4" priority="980">
      <formula>C4403&lt;S4403</formula>
    </cfRule>
  </conditionalFormatting>
  <conditionalFormatting sqref="C4410:O4410">
    <cfRule type="expression" dxfId="4" priority="982">
      <formula>C4410&lt;S4410</formula>
    </cfRule>
  </conditionalFormatting>
  <conditionalFormatting sqref="C4412">
    <cfRule type="expression" dxfId="4" priority="950">
      <formula>C4412&lt;S4412</formula>
    </cfRule>
  </conditionalFormatting>
  <conditionalFormatting sqref="C4419">
    <cfRule type="expression" dxfId="4" priority="907">
      <formula>C4419&lt;S4419</formula>
    </cfRule>
  </conditionalFormatting>
  <conditionalFormatting sqref="C4426">
    <cfRule type="expression" dxfId="4" priority="909">
      <formula>C4426&lt;S4426</formula>
    </cfRule>
  </conditionalFormatting>
  <conditionalFormatting sqref="C4433">
    <cfRule type="expression" dxfId="4" priority="911">
      <formula>C4433&lt;S4433</formula>
    </cfRule>
  </conditionalFormatting>
  <conditionalFormatting sqref="C4440">
    <cfRule type="expression" dxfId="4" priority="913">
      <formula>C4440&lt;S4440</formula>
    </cfRule>
  </conditionalFormatting>
  <conditionalFormatting sqref="C4447">
    <cfRule type="expression" dxfId="4" priority="915">
      <formula>C4447&lt;S4447</formula>
    </cfRule>
  </conditionalFormatting>
  <conditionalFormatting sqref="C4454">
    <cfRule type="expression" dxfId="4" priority="917">
      <formula>C4454&lt;S4454</formula>
    </cfRule>
  </conditionalFormatting>
  <conditionalFormatting sqref="C4461:O4461">
    <cfRule type="expression" dxfId="4" priority="919">
      <formula>C4461&lt;S4461</formula>
    </cfRule>
  </conditionalFormatting>
  <conditionalFormatting sqref="C4466">
    <cfRule type="expression" dxfId="4" priority="906">
      <formula>C4466&lt;S4466</formula>
    </cfRule>
    <cfRule type="expression" dxfId="4" priority="905">
      <formula>C4466&lt;S4466</formula>
    </cfRule>
  </conditionalFormatting>
  <conditionalFormatting sqref="C4468:O4468">
    <cfRule type="expression" dxfId="4" priority="921">
      <formula>C4468&lt;S4468</formula>
    </cfRule>
  </conditionalFormatting>
  <conditionalFormatting sqref="C4475:O4475">
    <cfRule type="expression" dxfId="4" priority="923">
      <formula>C4475&lt;S4475</formula>
    </cfRule>
  </conditionalFormatting>
  <conditionalFormatting sqref="C4477">
    <cfRule type="expression" dxfId="4" priority="891">
      <formula>C4477&lt;S4477</formula>
    </cfRule>
  </conditionalFormatting>
  <conditionalFormatting sqref="C4484">
    <cfRule type="expression" dxfId="4" priority="848">
      <formula>C4484&lt;S4484</formula>
    </cfRule>
  </conditionalFormatting>
  <conditionalFormatting sqref="C4491">
    <cfRule type="expression" dxfId="4" priority="850">
      <formula>C4491&lt;S4491</formula>
    </cfRule>
  </conditionalFormatting>
  <conditionalFormatting sqref="C4498">
    <cfRule type="expression" dxfId="4" priority="852">
      <formula>C4498&lt;S4498</formula>
    </cfRule>
  </conditionalFormatting>
  <conditionalFormatting sqref="C4505">
    <cfRule type="expression" dxfId="4" priority="854">
      <formula>C4505&lt;S4505</formula>
    </cfRule>
  </conditionalFormatting>
  <conditionalFormatting sqref="C4512">
    <cfRule type="expression" dxfId="4" priority="856">
      <formula>C4512&lt;S4512</formula>
    </cfRule>
  </conditionalFormatting>
  <conditionalFormatting sqref="C4519">
    <cfRule type="expression" dxfId="4" priority="858">
      <formula>C4519&lt;S4519</formula>
    </cfRule>
  </conditionalFormatting>
  <conditionalFormatting sqref="C4526:O4526">
    <cfRule type="expression" dxfId="4" priority="860">
      <formula>C4526&lt;S4526</formula>
    </cfRule>
  </conditionalFormatting>
  <conditionalFormatting sqref="C4531">
    <cfRule type="expression" dxfId="4" priority="847">
      <formula>C4531&lt;S4531</formula>
    </cfRule>
    <cfRule type="expression" dxfId="4" priority="846">
      <formula>C4531&lt;S4531</formula>
    </cfRule>
  </conditionalFormatting>
  <conditionalFormatting sqref="C4533:O4533">
    <cfRule type="expression" dxfId="4" priority="862">
      <formula>C4533&lt;S4533</formula>
    </cfRule>
  </conditionalFormatting>
  <conditionalFormatting sqref="C4540:O4540">
    <cfRule type="expression" dxfId="4" priority="864">
      <formula>C4540&lt;S4540</formula>
    </cfRule>
  </conditionalFormatting>
  <conditionalFormatting sqref="C4542">
    <cfRule type="expression" dxfId="4" priority="832">
      <formula>C4542&lt;S4542</formula>
    </cfRule>
  </conditionalFormatting>
  <conditionalFormatting sqref="C4549">
    <cfRule type="expression" dxfId="4" priority="789">
      <formula>C4549&lt;S4549</formula>
    </cfRule>
  </conditionalFormatting>
  <conditionalFormatting sqref="C4556">
    <cfRule type="expression" dxfId="4" priority="791">
      <formula>C4556&lt;S4556</formula>
    </cfRule>
  </conditionalFormatting>
  <conditionalFormatting sqref="C4563">
    <cfRule type="expression" dxfId="4" priority="793">
      <formula>C4563&lt;S4563</formula>
    </cfRule>
  </conditionalFormatting>
  <conditionalFormatting sqref="C4570">
    <cfRule type="expression" dxfId="4" priority="795">
      <formula>C4570&lt;S4570</formula>
    </cfRule>
  </conditionalFormatting>
  <conditionalFormatting sqref="C4577">
    <cfRule type="expression" dxfId="4" priority="797">
      <formula>C4577&lt;S4577</formula>
    </cfRule>
  </conditionalFormatting>
  <conditionalFormatting sqref="C4584">
    <cfRule type="expression" dxfId="4" priority="799">
      <formula>C4584&lt;S4584</formula>
    </cfRule>
  </conditionalFormatting>
  <conditionalFormatting sqref="C4591:O4591">
    <cfRule type="expression" dxfId="4" priority="801">
      <formula>C4591&lt;S4591</formula>
    </cfRule>
  </conditionalFormatting>
  <conditionalFormatting sqref="C4596">
    <cfRule type="expression" dxfId="4" priority="788">
      <formula>C4596&lt;S4596</formula>
    </cfRule>
    <cfRule type="expression" dxfId="4" priority="787">
      <formula>C4596&lt;S4596</formula>
    </cfRule>
  </conditionalFormatting>
  <conditionalFormatting sqref="C4598:O4598">
    <cfRule type="expression" dxfId="4" priority="803">
      <formula>C4598&lt;S4598</formula>
    </cfRule>
  </conditionalFormatting>
  <conditionalFormatting sqref="C4605:O4605">
    <cfRule type="expression" dxfId="4" priority="805">
      <formula>C4605&lt;S4605</formula>
    </cfRule>
  </conditionalFormatting>
  <conditionalFormatting sqref="C4607">
    <cfRule type="expression" dxfId="4" priority="773">
      <formula>C4607&lt;S4607</formula>
    </cfRule>
  </conditionalFormatting>
  <conditionalFormatting sqref="C4614">
    <cfRule type="expression" dxfId="4" priority="730">
      <formula>C4614&lt;S4614</formula>
    </cfRule>
  </conditionalFormatting>
  <conditionalFormatting sqref="C4621">
    <cfRule type="expression" dxfId="4" priority="732">
      <formula>C4621&lt;S4621</formula>
    </cfRule>
  </conditionalFormatting>
  <conditionalFormatting sqref="C4628">
    <cfRule type="expression" dxfId="4" priority="734">
      <formula>C4628&lt;S4628</formula>
    </cfRule>
  </conditionalFormatting>
  <conditionalFormatting sqref="C4635">
    <cfRule type="expression" dxfId="4" priority="736">
      <formula>C4635&lt;S4635</formula>
    </cfRule>
  </conditionalFormatting>
  <conditionalFormatting sqref="C4642">
    <cfRule type="expression" dxfId="4" priority="738">
      <formula>C4642&lt;S4642</formula>
    </cfRule>
  </conditionalFormatting>
  <conditionalFormatting sqref="C4649">
    <cfRule type="expression" dxfId="4" priority="740">
      <formula>C4649&lt;S4649</formula>
    </cfRule>
  </conditionalFormatting>
  <conditionalFormatting sqref="C4656:O4656">
    <cfRule type="expression" dxfId="4" priority="742">
      <formula>C4656&lt;S4656</formula>
    </cfRule>
  </conditionalFormatting>
  <conditionalFormatting sqref="C4661">
    <cfRule type="expression" dxfId="4" priority="729">
      <formula>C4661&lt;S4661</formula>
    </cfRule>
    <cfRule type="expression" dxfId="4" priority="728">
      <formula>C4661&lt;S4661</formula>
    </cfRule>
  </conditionalFormatting>
  <conditionalFormatting sqref="C4663:O4663">
    <cfRule type="expression" dxfId="4" priority="744">
      <formula>C4663&lt;S4663</formula>
    </cfRule>
  </conditionalFormatting>
  <conditionalFormatting sqref="C4670:O4670">
    <cfRule type="expression" dxfId="4" priority="746">
      <formula>C4670&lt;S4670</formula>
    </cfRule>
  </conditionalFormatting>
  <conditionalFormatting sqref="C4672">
    <cfRule type="expression" dxfId="4" priority="714">
      <formula>C4672&lt;S4672</formula>
    </cfRule>
  </conditionalFormatting>
  <conditionalFormatting sqref="C4679">
    <cfRule type="expression" dxfId="4" priority="671">
      <formula>C4679&lt;S4679</formula>
    </cfRule>
  </conditionalFormatting>
  <conditionalFormatting sqref="C4686">
    <cfRule type="expression" dxfId="4" priority="673">
      <formula>C4686&lt;S4686</formula>
    </cfRule>
  </conditionalFormatting>
  <conditionalFormatting sqref="C4693">
    <cfRule type="expression" dxfId="4" priority="675">
      <formula>C4693&lt;S4693</formula>
    </cfRule>
  </conditionalFormatting>
  <conditionalFormatting sqref="C4700">
    <cfRule type="expression" dxfId="4" priority="677">
      <formula>C4700&lt;S4700</formula>
    </cfRule>
  </conditionalFormatting>
  <conditionalFormatting sqref="C4707">
    <cfRule type="expression" dxfId="4" priority="679">
      <formula>C4707&lt;S4707</formula>
    </cfRule>
  </conditionalFormatting>
  <conditionalFormatting sqref="C4714">
    <cfRule type="expression" dxfId="4" priority="681">
      <formula>C4714&lt;S4714</formula>
    </cfRule>
  </conditionalFormatting>
  <conditionalFormatting sqref="C4721:O4721">
    <cfRule type="expression" dxfId="4" priority="683">
      <formula>C4721&lt;S4721</formula>
    </cfRule>
  </conditionalFormatting>
  <conditionalFormatting sqref="C4726">
    <cfRule type="expression" dxfId="4" priority="670">
      <formula>C4726&lt;S4726</formula>
    </cfRule>
    <cfRule type="expression" dxfId="4" priority="669">
      <formula>C4726&lt;S4726</formula>
    </cfRule>
  </conditionalFormatting>
  <conditionalFormatting sqref="C4728:O4728">
    <cfRule type="expression" dxfId="4" priority="685">
      <formula>C4728&lt;S4728</formula>
    </cfRule>
  </conditionalFormatting>
  <conditionalFormatting sqref="C4735:O4735">
    <cfRule type="expression" dxfId="4" priority="687">
      <formula>C4735&lt;S4735</formula>
    </cfRule>
  </conditionalFormatting>
  <conditionalFormatting sqref="C4737">
    <cfRule type="expression" dxfId="4" priority="655">
      <formula>C4737&lt;S4737</formula>
    </cfRule>
  </conditionalFormatting>
  <conditionalFormatting sqref="C4744">
    <cfRule type="expression" dxfId="4" priority="612">
      <formula>C4744&lt;S4744</formula>
    </cfRule>
  </conditionalFormatting>
  <conditionalFormatting sqref="C4751">
    <cfRule type="expression" dxfId="4" priority="614">
      <formula>C4751&lt;S4751</formula>
    </cfRule>
  </conditionalFormatting>
  <conditionalFormatting sqref="C4758">
    <cfRule type="expression" dxfId="4" priority="616">
      <formula>C4758&lt;S4758</formula>
    </cfRule>
  </conditionalFormatting>
  <conditionalFormatting sqref="C4765">
    <cfRule type="expression" dxfId="4" priority="618">
      <formula>C4765&lt;S4765</formula>
    </cfRule>
  </conditionalFormatting>
  <conditionalFormatting sqref="C4772">
    <cfRule type="expression" dxfId="4" priority="620">
      <formula>C4772&lt;S4772</formula>
    </cfRule>
  </conditionalFormatting>
  <conditionalFormatting sqref="C4779">
    <cfRule type="expression" dxfId="4" priority="622">
      <formula>C4779&lt;S4779</formula>
    </cfRule>
  </conditionalFormatting>
  <conditionalFormatting sqref="C4786:O4786">
    <cfRule type="expression" dxfId="4" priority="624">
      <formula>C4786&lt;S4786</formula>
    </cfRule>
  </conditionalFormatting>
  <conditionalFormatting sqref="C4791">
    <cfRule type="expression" dxfId="4" priority="611">
      <formula>C4791&lt;S4791</formula>
    </cfRule>
    <cfRule type="expression" dxfId="4" priority="610">
      <formula>C4791&lt;S4791</formula>
    </cfRule>
  </conditionalFormatting>
  <conditionalFormatting sqref="C4793:O4793">
    <cfRule type="expression" dxfId="4" priority="626">
      <formula>C4793&lt;S4793</formula>
    </cfRule>
  </conditionalFormatting>
  <conditionalFormatting sqref="C4800:O4800">
    <cfRule type="expression" dxfId="4" priority="628">
      <formula>C4800&lt;S4800</formula>
    </cfRule>
  </conditionalFormatting>
  <conditionalFormatting sqref="C4802">
    <cfRule type="expression" dxfId="4" priority="596">
      <formula>C4802&lt;S4802</formula>
    </cfRule>
  </conditionalFormatting>
  <conditionalFormatting sqref="C4809">
    <cfRule type="expression" dxfId="4" priority="553">
      <formula>C4809&lt;S4809</formula>
    </cfRule>
  </conditionalFormatting>
  <conditionalFormatting sqref="C4816">
    <cfRule type="expression" dxfId="4" priority="555">
      <formula>C4816&lt;S4816</formula>
    </cfRule>
  </conditionalFormatting>
  <conditionalFormatting sqref="C4823">
    <cfRule type="expression" dxfId="4" priority="557">
      <formula>C4823&lt;S4823</formula>
    </cfRule>
  </conditionalFormatting>
  <conditionalFormatting sqref="C4830">
    <cfRule type="expression" dxfId="4" priority="559">
      <formula>C4830&lt;S4830</formula>
    </cfRule>
  </conditionalFormatting>
  <conditionalFormatting sqref="C4837">
    <cfRule type="expression" dxfId="4" priority="561">
      <formula>C4837&lt;S4837</formula>
    </cfRule>
  </conditionalFormatting>
  <conditionalFormatting sqref="C4844">
    <cfRule type="expression" dxfId="4" priority="563">
      <formula>C4844&lt;S4844</formula>
    </cfRule>
  </conditionalFormatting>
  <conditionalFormatting sqref="C4851:O4851">
    <cfRule type="expression" dxfId="4" priority="565">
      <formula>C4851&lt;S4851</formula>
    </cfRule>
  </conditionalFormatting>
  <conditionalFormatting sqref="C4856">
    <cfRule type="expression" dxfId="4" priority="552">
      <formula>C4856&lt;S4856</formula>
    </cfRule>
    <cfRule type="expression" dxfId="4" priority="551">
      <formula>C4856&lt;S4856</formula>
    </cfRule>
  </conditionalFormatting>
  <conditionalFormatting sqref="C4858:O4858">
    <cfRule type="expression" dxfId="4" priority="567">
      <formula>C4858&lt;S4858</formula>
    </cfRule>
  </conditionalFormatting>
  <conditionalFormatting sqref="C4865:O4865">
    <cfRule type="expression" dxfId="4" priority="569">
      <formula>C4865&lt;S4865</formula>
    </cfRule>
  </conditionalFormatting>
  <conditionalFormatting sqref="C4867">
    <cfRule type="expression" dxfId="4" priority="537">
      <formula>C4867&lt;S4867</formula>
    </cfRule>
  </conditionalFormatting>
  <conditionalFormatting sqref="C4874">
    <cfRule type="expression" dxfId="4" priority="494">
      <formula>C4874&lt;S4874</formula>
    </cfRule>
  </conditionalFormatting>
  <conditionalFormatting sqref="C4881">
    <cfRule type="expression" dxfId="4" priority="496">
      <formula>C4881&lt;S4881</formula>
    </cfRule>
  </conditionalFormatting>
  <conditionalFormatting sqref="C4888">
    <cfRule type="expression" dxfId="4" priority="498">
      <formula>C4888&lt;S4888</formula>
    </cfRule>
  </conditionalFormatting>
  <conditionalFormatting sqref="C4895">
    <cfRule type="expression" dxfId="4" priority="500">
      <formula>C4895&lt;S4895</formula>
    </cfRule>
  </conditionalFormatting>
  <conditionalFormatting sqref="C4902">
    <cfRule type="expression" dxfId="4" priority="502">
      <formula>C4902&lt;S4902</formula>
    </cfRule>
  </conditionalFormatting>
  <conditionalFormatting sqref="C4909">
    <cfRule type="expression" dxfId="4" priority="504">
      <formula>C4909&lt;S4909</formula>
    </cfRule>
  </conditionalFormatting>
  <conditionalFormatting sqref="C4916:O4916">
    <cfRule type="expression" dxfId="4" priority="506">
      <formula>C4916&lt;S4916</formula>
    </cfRule>
  </conditionalFormatting>
  <conditionalFormatting sqref="C4921">
    <cfRule type="expression" dxfId="4" priority="493">
      <formula>C4921&lt;S4921</formula>
    </cfRule>
    <cfRule type="expression" dxfId="4" priority="492">
      <formula>C4921&lt;S4921</formula>
    </cfRule>
  </conditionalFormatting>
  <conditionalFormatting sqref="C4923:O4923">
    <cfRule type="expression" dxfId="4" priority="508">
      <formula>C4923&lt;S4923</formula>
    </cfRule>
  </conditionalFormatting>
  <conditionalFormatting sqref="C4930:O4930">
    <cfRule type="expression" dxfId="4" priority="510">
      <formula>C4930&lt;S4930</formula>
    </cfRule>
  </conditionalFormatting>
  <conditionalFormatting sqref="C4932">
    <cfRule type="expression" dxfId="4" priority="478">
      <formula>C4932&lt;S4932</formula>
    </cfRule>
  </conditionalFormatting>
  <conditionalFormatting sqref="C4939">
    <cfRule type="expression" dxfId="4" priority="435">
      <formula>C4939&lt;S4939</formula>
    </cfRule>
  </conditionalFormatting>
  <conditionalFormatting sqref="C4946">
    <cfRule type="expression" dxfId="4" priority="437">
      <formula>C4946&lt;S4946</formula>
    </cfRule>
  </conditionalFormatting>
  <conditionalFormatting sqref="C4953">
    <cfRule type="expression" dxfId="4" priority="439">
      <formula>C4953&lt;S4953</formula>
    </cfRule>
  </conditionalFormatting>
  <conditionalFormatting sqref="C4960">
    <cfRule type="expression" dxfId="4" priority="441">
      <formula>C4960&lt;S4960</formula>
    </cfRule>
  </conditionalFormatting>
  <conditionalFormatting sqref="C4967">
    <cfRule type="expression" dxfId="4" priority="443">
      <formula>C4967&lt;S4967</formula>
    </cfRule>
  </conditionalFormatting>
  <conditionalFormatting sqref="C4974">
    <cfRule type="expression" dxfId="4" priority="445">
      <formula>C4974&lt;S4974</formula>
    </cfRule>
  </conditionalFormatting>
  <conditionalFormatting sqref="C4981:O4981">
    <cfRule type="expression" dxfId="4" priority="447">
      <formula>C4981&lt;S4981</formula>
    </cfRule>
  </conditionalFormatting>
  <conditionalFormatting sqref="C4986">
    <cfRule type="expression" dxfId="4" priority="434">
      <formula>C4986&lt;S4986</formula>
    </cfRule>
    <cfRule type="expression" dxfId="4" priority="433">
      <formula>C4986&lt;S4986</formula>
    </cfRule>
  </conditionalFormatting>
  <conditionalFormatting sqref="C4988:O4988">
    <cfRule type="expression" dxfId="4" priority="449">
      <formula>C4988&lt;S4988</formula>
    </cfRule>
  </conditionalFormatting>
  <conditionalFormatting sqref="C4995:O4995">
    <cfRule type="expression" dxfId="4" priority="451">
      <formula>C4995&lt;S4995</formula>
    </cfRule>
  </conditionalFormatting>
  <conditionalFormatting sqref="C4997">
    <cfRule type="expression" dxfId="4" priority="419">
      <formula>C4997&lt;S4997</formula>
    </cfRule>
  </conditionalFormatting>
  <conditionalFormatting sqref="C5004">
    <cfRule type="expression" dxfId="4" priority="376">
      <formula>C5004&lt;S5004</formula>
    </cfRule>
  </conditionalFormatting>
  <conditionalFormatting sqref="C5011">
    <cfRule type="expression" dxfId="4" priority="378">
      <formula>C5011&lt;S5011</formula>
    </cfRule>
  </conditionalFormatting>
  <conditionalFormatting sqref="C5018">
    <cfRule type="expression" dxfId="4" priority="380">
      <formula>C5018&lt;S5018</formula>
    </cfRule>
  </conditionalFormatting>
  <conditionalFormatting sqref="C5025">
    <cfRule type="expression" dxfId="4" priority="382">
      <formula>C5025&lt;S5025</formula>
    </cfRule>
  </conditionalFormatting>
  <conditionalFormatting sqref="C5032">
    <cfRule type="expression" dxfId="4" priority="384">
      <formula>C5032&lt;S5032</formula>
    </cfRule>
  </conditionalFormatting>
  <conditionalFormatting sqref="C5039">
    <cfRule type="expression" dxfId="4" priority="386">
      <formula>C5039&lt;S5039</formula>
    </cfRule>
  </conditionalFormatting>
  <conditionalFormatting sqref="C5046:O5046">
    <cfRule type="expression" dxfId="4" priority="388">
      <formula>C5046&lt;S5046</formula>
    </cfRule>
  </conditionalFormatting>
  <conditionalFormatting sqref="C5051">
    <cfRule type="expression" dxfId="4" priority="375">
      <formula>C5051&lt;S5051</formula>
    </cfRule>
    <cfRule type="expression" dxfId="4" priority="374">
      <formula>C5051&lt;S5051</formula>
    </cfRule>
  </conditionalFormatting>
  <conditionalFormatting sqref="C5053:O5053">
    <cfRule type="expression" dxfId="4" priority="390">
      <formula>C5053&lt;S5053</formula>
    </cfRule>
  </conditionalFormatting>
  <conditionalFormatting sqref="C5060:O5060">
    <cfRule type="expression" dxfId="4" priority="392">
      <formula>C5060&lt;S5060</formula>
    </cfRule>
  </conditionalFormatting>
  <conditionalFormatting sqref="C5062">
    <cfRule type="expression" dxfId="4" priority="360">
      <formula>C5062&lt;S5062</formula>
    </cfRule>
  </conditionalFormatting>
  <conditionalFormatting sqref="C5069">
    <cfRule type="expression" dxfId="4" priority="317">
      <formula>C5069&lt;S5069</formula>
    </cfRule>
  </conditionalFormatting>
  <conditionalFormatting sqref="C5076">
    <cfRule type="expression" dxfId="4" priority="319">
      <formula>C5076&lt;S5076</formula>
    </cfRule>
  </conditionalFormatting>
  <conditionalFormatting sqref="C5083">
    <cfRule type="expression" dxfId="4" priority="321">
      <formula>C5083&lt;S5083</formula>
    </cfRule>
  </conditionalFormatting>
  <conditionalFormatting sqref="C5090">
    <cfRule type="expression" dxfId="4" priority="323">
      <formula>C5090&lt;S5090</formula>
    </cfRule>
  </conditionalFormatting>
  <conditionalFormatting sqref="C5097">
    <cfRule type="expression" dxfId="4" priority="325">
      <formula>C5097&lt;S5097</formula>
    </cfRule>
  </conditionalFormatting>
  <conditionalFormatting sqref="C5104">
    <cfRule type="expression" dxfId="4" priority="327">
      <formula>C5104&lt;S5104</formula>
    </cfRule>
  </conditionalFormatting>
  <conditionalFormatting sqref="C5111:O5111">
    <cfRule type="expression" dxfId="4" priority="329">
      <formula>C5111&lt;S5111</formula>
    </cfRule>
  </conditionalFormatting>
  <conditionalFormatting sqref="C5116">
    <cfRule type="expression" dxfId="4" priority="316">
      <formula>C5116&lt;S5116</formula>
    </cfRule>
    <cfRule type="expression" dxfId="4" priority="315">
      <formula>C5116&lt;S5116</formula>
    </cfRule>
  </conditionalFormatting>
  <conditionalFormatting sqref="C5118:O5118">
    <cfRule type="expression" dxfId="4" priority="331">
      <formula>C5118&lt;S5118</formula>
    </cfRule>
  </conditionalFormatting>
  <conditionalFormatting sqref="C5125:O5125">
    <cfRule type="expression" dxfId="4" priority="333">
      <formula>C5125&lt;S5125</formula>
    </cfRule>
  </conditionalFormatting>
  <conditionalFormatting sqref="D5177:E5177">
    <cfRule type="expression" dxfId="4" priority="309">
      <formula>D5177&lt;T5177</formula>
    </cfRule>
  </conditionalFormatting>
  <conditionalFormatting sqref="H5177:J5177">
    <cfRule type="expression" dxfId="4" priority="308">
      <formula>H5177&lt;X5177</formula>
    </cfRule>
  </conditionalFormatting>
  <conditionalFormatting sqref="L5177:O5177">
    <cfRule type="expression" dxfId="4" priority="307">
      <formula>L5177&lt;AB5177</formula>
    </cfRule>
  </conditionalFormatting>
  <conditionalFormatting sqref="D5242:O5242">
    <cfRule type="expression" dxfId="4" priority="300">
      <formula>D5242&lt;T5242</formula>
    </cfRule>
  </conditionalFormatting>
  <conditionalFormatting sqref="D5307:O5307">
    <cfRule type="expression" dxfId="4" priority="295">
      <formula>D5307&lt;T5307</formula>
    </cfRule>
  </conditionalFormatting>
  <conditionalFormatting sqref="D5950:L5950">
    <cfRule type="expression" dxfId="4" priority="248">
      <formula>D5950&lt;T5950</formula>
    </cfRule>
  </conditionalFormatting>
  <conditionalFormatting sqref="D6080:L6080">
    <cfRule type="expression" dxfId="4" priority="237">
      <formula>D6080&lt;T6080</formula>
    </cfRule>
  </conditionalFormatting>
  <conditionalFormatting sqref="D6145:L6145">
    <cfRule type="expression" dxfId="4" priority="230">
      <formula>D6145&lt;T6145</formula>
    </cfRule>
  </conditionalFormatting>
  <conditionalFormatting sqref="D6210:L6210">
    <cfRule type="expression" dxfId="4" priority="223">
      <formula>D6210&lt;T6210</formula>
    </cfRule>
  </conditionalFormatting>
  <conditionalFormatting sqref="D6275:L6275">
    <cfRule type="expression" dxfId="4" priority="216">
      <formula>D6275&lt;T6275</formula>
    </cfRule>
  </conditionalFormatting>
  <conditionalFormatting sqref="C7321:O7321">
    <cfRule type="expression" dxfId="4" priority="126">
      <formula>C7321&lt;S7321</formula>
    </cfRule>
  </conditionalFormatting>
  <conditionalFormatting sqref="C7386:O7386">
    <cfRule type="expression" dxfId="4" priority="105">
      <formula>C7386&lt;S7386</formula>
    </cfRule>
  </conditionalFormatting>
  <conditionalFormatting sqref="C7451:O7451">
    <cfRule type="expression" dxfId="4" priority="84">
      <formula>C7451&lt;S7451</formula>
    </cfRule>
  </conditionalFormatting>
  <conditionalFormatting sqref="C7516:O7516">
    <cfRule type="expression" dxfId="4" priority="63">
      <formula>C7516&lt;S7516</formula>
    </cfRule>
  </conditionalFormatting>
  <conditionalFormatting sqref="C7581:O7581">
    <cfRule type="expression" dxfId="4" priority="42">
      <formula>C7581&lt;S7581</formula>
    </cfRule>
  </conditionalFormatting>
  <conditionalFormatting sqref="C4:C9">
    <cfRule type="expression" dxfId="4" priority="4585">
      <formula>C4&lt;S4</formula>
    </cfRule>
  </conditionalFormatting>
  <conditionalFormatting sqref="C55:C60">
    <cfRule type="expression" dxfId="4" priority="4563">
      <formula>C55&lt;S55</formula>
    </cfRule>
  </conditionalFormatting>
  <conditionalFormatting sqref="C106:C111">
    <cfRule type="expression" dxfId="4" priority="4629">
      <formula>C106&lt;S106</formula>
    </cfRule>
  </conditionalFormatting>
  <conditionalFormatting sqref="C157:C162">
    <cfRule type="expression" dxfId="4" priority="4607">
      <formula>C157&lt;S157</formula>
    </cfRule>
  </conditionalFormatting>
  <conditionalFormatting sqref="C208:C213">
    <cfRule type="expression" dxfId="4" priority="4541">
      <formula>C208&lt;S208</formula>
    </cfRule>
  </conditionalFormatting>
  <conditionalFormatting sqref="C259:C264">
    <cfRule type="expression" dxfId="4" priority="4519">
      <formula>C259&lt;S259</formula>
    </cfRule>
  </conditionalFormatting>
  <conditionalFormatting sqref="C310:C315">
    <cfRule type="expression" dxfId="4" priority="4497">
      <formula>C310&lt;S310</formula>
    </cfRule>
  </conditionalFormatting>
  <conditionalFormatting sqref="C361:C366">
    <cfRule type="expression" dxfId="4" priority="4475">
      <formula>C361&lt;S361</formula>
    </cfRule>
  </conditionalFormatting>
  <conditionalFormatting sqref="C412:C417">
    <cfRule type="expression" dxfId="4" priority="4453">
      <formula>C412&lt;S412</formula>
    </cfRule>
  </conditionalFormatting>
  <conditionalFormatting sqref="C463:C468">
    <cfRule type="expression" dxfId="4" priority="4431">
      <formula>C463&lt;S463</formula>
    </cfRule>
  </conditionalFormatting>
  <conditionalFormatting sqref="C514:C519">
    <cfRule type="expression" dxfId="4" priority="4409">
      <formula>C514&lt;S514</formula>
    </cfRule>
  </conditionalFormatting>
  <conditionalFormatting sqref="C579:C584">
    <cfRule type="expression" dxfId="4" priority="4359">
      <formula>C579&lt;S579</formula>
    </cfRule>
  </conditionalFormatting>
  <conditionalFormatting sqref="C644:C649">
    <cfRule type="expression" dxfId="4" priority="4309">
      <formula>C644&lt;S644</formula>
    </cfRule>
  </conditionalFormatting>
  <conditionalFormatting sqref="C709:C714">
    <cfRule type="expression" dxfId="4" priority="4259">
      <formula>C709&lt;S709</formula>
    </cfRule>
  </conditionalFormatting>
  <conditionalFormatting sqref="C773:C778">
    <cfRule type="expression" dxfId="4" priority="4168">
      <formula>C773&lt;S773</formula>
    </cfRule>
  </conditionalFormatting>
  <conditionalFormatting sqref="C780:C785">
    <cfRule type="expression" dxfId="4" priority="4170">
      <formula>C780&lt;S780</formula>
    </cfRule>
  </conditionalFormatting>
  <conditionalFormatting sqref="C787:C792">
    <cfRule type="expression" dxfId="4" priority="4172">
      <formula>C787&lt;S787</formula>
    </cfRule>
  </conditionalFormatting>
  <conditionalFormatting sqref="C794:C799">
    <cfRule type="expression" dxfId="4" priority="4174">
      <formula>C794&lt;S794</formula>
    </cfRule>
  </conditionalFormatting>
  <conditionalFormatting sqref="C801:C806">
    <cfRule type="expression" dxfId="4" priority="4176">
      <formula>C801&lt;S801</formula>
    </cfRule>
  </conditionalFormatting>
  <conditionalFormatting sqref="C808:C813">
    <cfRule type="expression" dxfId="4" priority="4178">
      <formula>C808&lt;S808</formula>
    </cfRule>
  </conditionalFormatting>
  <conditionalFormatting sqref="C815:C820">
    <cfRule type="expression" dxfId="4" priority="4180">
      <formula>C815&lt;S815</formula>
    </cfRule>
  </conditionalFormatting>
  <conditionalFormatting sqref="C822:C827">
    <cfRule type="expression" dxfId="4" priority="4182">
      <formula>C822&lt;S822</formula>
    </cfRule>
  </conditionalFormatting>
  <conditionalFormatting sqref="C838:C843">
    <cfRule type="expression" dxfId="4" priority="4111">
      <formula>C838&lt;S838</formula>
    </cfRule>
  </conditionalFormatting>
  <conditionalFormatting sqref="C845:C850">
    <cfRule type="expression" dxfId="4" priority="4113">
      <formula>C845&lt;S845</formula>
    </cfRule>
  </conditionalFormatting>
  <conditionalFormatting sqref="C852:C857">
    <cfRule type="expression" dxfId="4" priority="4115">
      <formula>C852&lt;S852</formula>
    </cfRule>
  </conditionalFormatting>
  <conditionalFormatting sqref="C859:C864">
    <cfRule type="expression" dxfId="4" priority="4117">
      <formula>C859&lt;S859</formula>
    </cfRule>
  </conditionalFormatting>
  <conditionalFormatting sqref="C866:C871">
    <cfRule type="expression" dxfId="4" priority="4119">
      <formula>C866&lt;S866</formula>
    </cfRule>
  </conditionalFormatting>
  <conditionalFormatting sqref="C873:C878">
    <cfRule type="expression" dxfId="4" priority="4121">
      <formula>C873&lt;S873</formula>
    </cfRule>
  </conditionalFormatting>
  <conditionalFormatting sqref="C880:C885">
    <cfRule type="expression" dxfId="4" priority="4123">
      <formula>C880&lt;S880</formula>
    </cfRule>
  </conditionalFormatting>
  <conditionalFormatting sqref="C887:C892">
    <cfRule type="expression" dxfId="4" priority="4125">
      <formula>C887&lt;S887</formula>
    </cfRule>
  </conditionalFormatting>
  <conditionalFormatting sqref="C903:C908">
    <cfRule type="expression" dxfId="4" priority="4054">
      <formula>C903&lt;S903</formula>
    </cfRule>
  </conditionalFormatting>
  <conditionalFormatting sqref="C910:C915">
    <cfRule type="expression" dxfId="4" priority="4056">
      <formula>C910&lt;S910</formula>
    </cfRule>
  </conditionalFormatting>
  <conditionalFormatting sqref="C917:C922">
    <cfRule type="expression" dxfId="4" priority="4058">
      <formula>C917&lt;S917</formula>
    </cfRule>
  </conditionalFormatting>
  <conditionalFormatting sqref="C924:C929">
    <cfRule type="expression" dxfId="4" priority="4060">
      <formula>C924&lt;S924</formula>
    </cfRule>
  </conditionalFormatting>
  <conditionalFormatting sqref="C931:C936">
    <cfRule type="expression" dxfId="4" priority="4062">
      <formula>C931&lt;S931</formula>
    </cfRule>
  </conditionalFormatting>
  <conditionalFormatting sqref="C938:C943">
    <cfRule type="expression" dxfId="4" priority="4064">
      <formula>C938&lt;S938</formula>
    </cfRule>
  </conditionalFormatting>
  <conditionalFormatting sqref="C945:C950">
    <cfRule type="expression" dxfId="4" priority="4066">
      <formula>C945&lt;S945</formula>
    </cfRule>
  </conditionalFormatting>
  <conditionalFormatting sqref="C952:C957">
    <cfRule type="expression" dxfId="4" priority="4068">
      <formula>C952&lt;S952</formula>
    </cfRule>
  </conditionalFormatting>
  <conditionalFormatting sqref="C968:C973">
    <cfRule type="expression" dxfId="4" priority="3997">
      <formula>C968&lt;S968</formula>
    </cfRule>
  </conditionalFormatting>
  <conditionalFormatting sqref="C975:C980">
    <cfRule type="expression" dxfId="4" priority="3999">
      <formula>C975&lt;S975</formula>
    </cfRule>
  </conditionalFormatting>
  <conditionalFormatting sqref="C982:C987">
    <cfRule type="expression" dxfId="4" priority="4001">
      <formula>C982&lt;S982</formula>
    </cfRule>
  </conditionalFormatting>
  <conditionalFormatting sqref="C989:C994">
    <cfRule type="expression" dxfId="4" priority="4003">
      <formula>C989&lt;S989</formula>
    </cfRule>
  </conditionalFormatting>
  <conditionalFormatting sqref="C996:C1001">
    <cfRule type="expression" dxfId="4" priority="4005">
      <formula>C996&lt;S996</formula>
    </cfRule>
  </conditionalFormatting>
  <conditionalFormatting sqref="C1003:C1008">
    <cfRule type="expression" dxfId="4" priority="4007">
      <formula>C1003&lt;S1003</formula>
    </cfRule>
  </conditionalFormatting>
  <conditionalFormatting sqref="C1010:C1015">
    <cfRule type="expression" dxfId="4" priority="4009">
      <formula>C1010&lt;S1010</formula>
    </cfRule>
  </conditionalFormatting>
  <conditionalFormatting sqref="C1017:C1022">
    <cfRule type="expression" dxfId="4" priority="4011">
      <formula>C1017&lt;S1017</formula>
    </cfRule>
  </conditionalFormatting>
  <conditionalFormatting sqref="C1033:C1038">
    <cfRule type="expression" dxfId="4" priority="3940">
      <formula>C1033&lt;S1033</formula>
    </cfRule>
  </conditionalFormatting>
  <conditionalFormatting sqref="C1040:C1045">
    <cfRule type="expression" dxfId="4" priority="3942">
      <formula>C1040&lt;S1040</formula>
    </cfRule>
  </conditionalFormatting>
  <conditionalFormatting sqref="C1047:C1052">
    <cfRule type="expression" dxfId="4" priority="3944">
      <formula>C1047&lt;S1047</formula>
    </cfRule>
  </conditionalFormatting>
  <conditionalFormatting sqref="C1054:C1059">
    <cfRule type="expression" dxfId="4" priority="3946">
      <formula>C1054&lt;S1054</formula>
    </cfRule>
  </conditionalFormatting>
  <conditionalFormatting sqref="C1061:C1066">
    <cfRule type="expression" dxfId="4" priority="3948">
      <formula>C1061&lt;S1061</formula>
    </cfRule>
  </conditionalFormatting>
  <conditionalFormatting sqref="C1068:C1073">
    <cfRule type="expression" dxfId="4" priority="3950">
      <formula>C1068&lt;S1068</formula>
    </cfRule>
  </conditionalFormatting>
  <conditionalFormatting sqref="C1075:C1080">
    <cfRule type="expression" dxfId="4" priority="3952">
      <formula>C1075&lt;S1075</formula>
    </cfRule>
  </conditionalFormatting>
  <conditionalFormatting sqref="C1082:C1087">
    <cfRule type="expression" dxfId="4" priority="3954">
      <formula>C1082&lt;S1082</formula>
    </cfRule>
  </conditionalFormatting>
  <conditionalFormatting sqref="C1098:C1103">
    <cfRule type="expression" dxfId="4" priority="3883">
      <formula>C1098&lt;S1098</formula>
    </cfRule>
  </conditionalFormatting>
  <conditionalFormatting sqref="C1105:C1110">
    <cfRule type="expression" dxfId="4" priority="3885">
      <formula>C1105&lt;S1105</formula>
    </cfRule>
  </conditionalFormatting>
  <conditionalFormatting sqref="C1112:C1117">
    <cfRule type="expression" dxfId="4" priority="3887">
      <formula>C1112&lt;S1112</formula>
    </cfRule>
  </conditionalFormatting>
  <conditionalFormatting sqref="C1119:C1124">
    <cfRule type="expression" dxfId="4" priority="3889">
      <formula>C1119&lt;S1119</formula>
    </cfRule>
  </conditionalFormatting>
  <conditionalFormatting sqref="C1126:C1131">
    <cfRule type="expression" dxfId="4" priority="3891">
      <formula>C1126&lt;S1126</formula>
    </cfRule>
  </conditionalFormatting>
  <conditionalFormatting sqref="C1133:C1138">
    <cfRule type="expression" dxfId="4" priority="3893">
      <formula>C1133&lt;S1133</formula>
    </cfRule>
  </conditionalFormatting>
  <conditionalFormatting sqref="C1140:C1145">
    <cfRule type="expression" dxfId="4" priority="3895">
      <formula>C1140&lt;S1140</formula>
    </cfRule>
  </conditionalFormatting>
  <conditionalFormatting sqref="C1147:C1152">
    <cfRule type="expression" dxfId="4" priority="3897">
      <formula>C1147&lt;S1147</formula>
    </cfRule>
  </conditionalFormatting>
  <conditionalFormatting sqref="C1163:C1168">
    <cfRule type="expression" dxfId="4" priority="3826">
      <formula>C1163&lt;S1163</formula>
    </cfRule>
  </conditionalFormatting>
  <conditionalFormatting sqref="C1170:C1175">
    <cfRule type="expression" dxfId="4" priority="3828">
      <formula>C1170&lt;S1170</formula>
    </cfRule>
  </conditionalFormatting>
  <conditionalFormatting sqref="C1177:C1182">
    <cfRule type="expression" dxfId="4" priority="3830">
      <formula>C1177&lt;S1177</formula>
    </cfRule>
  </conditionalFormatting>
  <conditionalFormatting sqref="C1184:C1189">
    <cfRule type="expression" dxfId="4" priority="3832">
      <formula>C1184&lt;S1184</formula>
    </cfRule>
  </conditionalFormatting>
  <conditionalFormatting sqref="C1191:C1196">
    <cfRule type="expression" dxfId="4" priority="3834">
      <formula>C1191&lt;S1191</formula>
    </cfRule>
  </conditionalFormatting>
  <conditionalFormatting sqref="C1198:C1203">
    <cfRule type="expression" dxfId="4" priority="3836">
      <formula>C1198&lt;S1198</formula>
    </cfRule>
  </conditionalFormatting>
  <conditionalFormatting sqref="C1205:C1210">
    <cfRule type="expression" dxfId="4" priority="3838">
      <formula>C1205&lt;S1205</formula>
    </cfRule>
  </conditionalFormatting>
  <conditionalFormatting sqref="C1212:C1217">
    <cfRule type="expression" dxfId="4" priority="3840">
      <formula>C1212&lt;S1212</formula>
    </cfRule>
  </conditionalFormatting>
  <conditionalFormatting sqref="C1228:C1233">
    <cfRule type="expression" dxfId="4" priority="3769">
      <formula>C1228&lt;S1228</formula>
    </cfRule>
  </conditionalFormatting>
  <conditionalFormatting sqref="C1235:C1240">
    <cfRule type="expression" dxfId="4" priority="3771">
      <formula>C1235&lt;S1235</formula>
    </cfRule>
  </conditionalFormatting>
  <conditionalFormatting sqref="C1242:C1247">
    <cfRule type="expression" dxfId="4" priority="3773">
      <formula>C1242&lt;S1242</formula>
    </cfRule>
  </conditionalFormatting>
  <conditionalFormatting sqref="C1249:C1254">
    <cfRule type="expression" dxfId="4" priority="3775">
      <formula>C1249&lt;S1249</formula>
    </cfRule>
  </conditionalFormatting>
  <conditionalFormatting sqref="C1256:C1261">
    <cfRule type="expression" dxfId="4" priority="3777">
      <formula>C1256&lt;S1256</formula>
    </cfRule>
  </conditionalFormatting>
  <conditionalFormatting sqref="C1263:C1268">
    <cfRule type="expression" dxfId="4" priority="3779">
      <formula>C1263&lt;S1263</formula>
    </cfRule>
  </conditionalFormatting>
  <conditionalFormatting sqref="C1270:C1275">
    <cfRule type="expression" dxfId="4" priority="3781">
      <formula>C1270&lt;S1270</formula>
    </cfRule>
  </conditionalFormatting>
  <conditionalFormatting sqref="C1277:C1282">
    <cfRule type="expression" dxfId="4" priority="3783">
      <formula>C1277&lt;S1277</formula>
    </cfRule>
  </conditionalFormatting>
  <conditionalFormatting sqref="C1293:C1298">
    <cfRule type="expression" dxfId="4" priority="3712">
      <formula>C1293&lt;S1293</formula>
    </cfRule>
  </conditionalFormatting>
  <conditionalFormatting sqref="C1300:C1305">
    <cfRule type="expression" dxfId="4" priority="3714">
      <formula>C1300&lt;S1300</formula>
    </cfRule>
  </conditionalFormatting>
  <conditionalFormatting sqref="C1307:C1312">
    <cfRule type="expression" dxfId="4" priority="3716">
      <formula>C1307&lt;S1307</formula>
    </cfRule>
  </conditionalFormatting>
  <conditionalFormatting sqref="C1314:C1319">
    <cfRule type="expression" dxfId="4" priority="3718">
      <formula>C1314&lt;S1314</formula>
    </cfRule>
  </conditionalFormatting>
  <conditionalFormatting sqref="C1321:C1326">
    <cfRule type="expression" dxfId="4" priority="3720">
      <formula>C1321&lt;S1321</formula>
    </cfRule>
  </conditionalFormatting>
  <conditionalFormatting sqref="C1328:C1333">
    <cfRule type="expression" dxfId="4" priority="3722">
      <formula>C1328&lt;S1328</formula>
    </cfRule>
  </conditionalFormatting>
  <conditionalFormatting sqref="C1335:C1340">
    <cfRule type="expression" dxfId="4" priority="3724">
      <formula>C1335&lt;S1335</formula>
    </cfRule>
  </conditionalFormatting>
  <conditionalFormatting sqref="C1342:C1347">
    <cfRule type="expression" dxfId="4" priority="3726">
      <formula>C1342&lt;S1342</formula>
    </cfRule>
  </conditionalFormatting>
  <conditionalFormatting sqref="C1358:C1363">
    <cfRule type="expression" dxfId="4" priority="3655">
      <formula>C1358&lt;S1358</formula>
    </cfRule>
  </conditionalFormatting>
  <conditionalFormatting sqref="C1365:C1370">
    <cfRule type="expression" dxfId="4" priority="3657">
      <formula>C1365&lt;S1365</formula>
    </cfRule>
  </conditionalFormatting>
  <conditionalFormatting sqref="C1372:C1377">
    <cfRule type="expression" dxfId="4" priority="3659">
      <formula>C1372&lt;S1372</formula>
    </cfRule>
  </conditionalFormatting>
  <conditionalFormatting sqref="C1379:C1384">
    <cfRule type="expression" dxfId="4" priority="3661">
      <formula>C1379&lt;S1379</formula>
    </cfRule>
  </conditionalFormatting>
  <conditionalFormatting sqref="C1386:C1391">
    <cfRule type="expression" dxfId="4" priority="3663">
      <formula>C1386&lt;S1386</formula>
    </cfRule>
  </conditionalFormatting>
  <conditionalFormatting sqref="C1393:C1398">
    <cfRule type="expression" dxfId="4" priority="3665">
      <formula>C1393&lt;S1393</formula>
    </cfRule>
  </conditionalFormatting>
  <conditionalFormatting sqref="C1400:C1405">
    <cfRule type="expression" dxfId="4" priority="3667">
      <formula>C1400&lt;S1400</formula>
    </cfRule>
  </conditionalFormatting>
  <conditionalFormatting sqref="C1407:C1412">
    <cfRule type="expression" dxfId="4" priority="3669">
      <formula>C1407&lt;S1407</formula>
    </cfRule>
  </conditionalFormatting>
  <conditionalFormatting sqref="C1423:C1428">
    <cfRule type="expression" dxfId="4" priority="3598">
      <formula>C1423&lt;S1423</formula>
    </cfRule>
  </conditionalFormatting>
  <conditionalFormatting sqref="C1430:C1435">
    <cfRule type="expression" dxfId="4" priority="3600">
      <formula>C1430&lt;S1430</formula>
    </cfRule>
  </conditionalFormatting>
  <conditionalFormatting sqref="C1437:C1442">
    <cfRule type="expression" dxfId="4" priority="3602">
      <formula>C1437&lt;S1437</formula>
    </cfRule>
  </conditionalFormatting>
  <conditionalFormatting sqref="C1444:C1449">
    <cfRule type="expression" dxfId="4" priority="3604">
      <formula>C1444&lt;S1444</formula>
    </cfRule>
  </conditionalFormatting>
  <conditionalFormatting sqref="C1451:C1456">
    <cfRule type="expression" dxfId="4" priority="3606">
      <formula>C1451&lt;S1451</formula>
    </cfRule>
  </conditionalFormatting>
  <conditionalFormatting sqref="C1458:C1463">
    <cfRule type="expression" dxfId="4" priority="3608">
      <formula>C1458&lt;S1458</formula>
    </cfRule>
  </conditionalFormatting>
  <conditionalFormatting sqref="C1465:C1470">
    <cfRule type="expression" dxfId="4" priority="3610">
      <formula>C1465&lt;S1465</formula>
    </cfRule>
  </conditionalFormatting>
  <conditionalFormatting sqref="C1472:C1477">
    <cfRule type="expression" dxfId="4" priority="3612">
      <formula>C1472&lt;S1472</formula>
    </cfRule>
  </conditionalFormatting>
  <conditionalFormatting sqref="C1488:C1493">
    <cfRule type="expression" dxfId="4" priority="3541">
      <formula>C1488&lt;S1488</formula>
    </cfRule>
  </conditionalFormatting>
  <conditionalFormatting sqref="C1495:C1500">
    <cfRule type="expression" dxfId="4" priority="3543">
      <formula>C1495&lt;S1495</formula>
    </cfRule>
  </conditionalFormatting>
  <conditionalFormatting sqref="C1502:C1507">
    <cfRule type="expression" dxfId="4" priority="3545">
      <formula>C1502&lt;S1502</formula>
    </cfRule>
  </conditionalFormatting>
  <conditionalFormatting sqref="C1509:C1514">
    <cfRule type="expression" dxfId="4" priority="3547">
      <formula>C1509&lt;S1509</formula>
    </cfRule>
  </conditionalFormatting>
  <conditionalFormatting sqref="C1516:C1521">
    <cfRule type="expression" dxfId="4" priority="3549">
      <formula>C1516&lt;S1516</formula>
    </cfRule>
  </conditionalFormatting>
  <conditionalFormatting sqref="C1523:C1528">
    <cfRule type="expression" dxfId="4" priority="3551">
      <formula>C1523&lt;S1523</formula>
    </cfRule>
  </conditionalFormatting>
  <conditionalFormatting sqref="C1530:C1535">
    <cfRule type="expression" dxfId="4" priority="3553">
      <formula>C1530&lt;S1530</formula>
    </cfRule>
  </conditionalFormatting>
  <conditionalFormatting sqref="C1537:C1542">
    <cfRule type="expression" dxfId="4" priority="3555">
      <formula>C1537&lt;S1537</formula>
    </cfRule>
  </conditionalFormatting>
  <conditionalFormatting sqref="C1553:C1558">
    <cfRule type="expression" dxfId="4" priority="3484">
      <formula>C1553&lt;S1553</formula>
    </cfRule>
  </conditionalFormatting>
  <conditionalFormatting sqref="C1560:C1565">
    <cfRule type="expression" dxfId="4" priority="3486">
      <formula>C1560&lt;S1560</formula>
    </cfRule>
  </conditionalFormatting>
  <conditionalFormatting sqref="C1567:C1572">
    <cfRule type="expression" dxfId="4" priority="3488">
      <formula>C1567&lt;S1567</formula>
    </cfRule>
  </conditionalFormatting>
  <conditionalFormatting sqref="C1574:C1579">
    <cfRule type="expression" dxfId="4" priority="3490">
      <formula>C1574&lt;S1574</formula>
    </cfRule>
  </conditionalFormatting>
  <conditionalFormatting sqref="C1581:C1586">
    <cfRule type="expression" dxfId="4" priority="3492">
      <formula>C1581&lt;S1581</formula>
    </cfRule>
  </conditionalFormatting>
  <conditionalFormatting sqref="C1588:C1593">
    <cfRule type="expression" dxfId="4" priority="3494">
      <formula>C1588&lt;S1588</formula>
    </cfRule>
  </conditionalFormatting>
  <conditionalFormatting sqref="C1595:C1600">
    <cfRule type="expression" dxfId="4" priority="3496">
      <formula>C1595&lt;S1595</formula>
    </cfRule>
  </conditionalFormatting>
  <conditionalFormatting sqref="C1602:C1607">
    <cfRule type="expression" dxfId="4" priority="3498">
      <formula>C1602&lt;S1602</formula>
    </cfRule>
  </conditionalFormatting>
  <conditionalFormatting sqref="C1618:C1623">
    <cfRule type="expression" dxfId="4" priority="3427">
      <formula>C1618&lt;S1618</formula>
    </cfRule>
  </conditionalFormatting>
  <conditionalFormatting sqref="C1625:C1630">
    <cfRule type="expression" dxfId="4" priority="3429">
      <formula>C1625&lt;S1625</formula>
    </cfRule>
  </conditionalFormatting>
  <conditionalFormatting sqref="C1632:C1637">
    <cfRule type="expression" dxfId="4" priority="3431">
      <formula>C1632&lt;S1632</formula>
    </cfRule>
  </conditionalFormatting>
  <conditionalFormatting sqref="C1639:C1644">
    <cfRule type="expression" dxfId="4" priority="3433">
      <formula>C1639&lt;S1639</formula>
    </cfRule>
  </conditionalFormatting>
  <conditionalFormatting sqref="C1646:C1651">
    <cfRule type="expression" dxfId="4" priority="3435">
      <formula>C1646&lt;S1646</formula>
    </cfRule>
  </conditionalFormatting>
  <conditionalFormatting sqref="C1653:C1658">
    <cfRule type="expression" dxfId="4" priority="3437">
      <formula>C1653&lt;S1653</formula>
    </cfRule>
  </conditionalFormatting>
  <conditionalFormatting sqref="C1660:C1665">
    <cfRule type="expression" dxfId="4" priority="3439">
      <formula>C1660&lt;S1660</formula>
    </cfRule>
  </conditionalFormatting>
  <conditionalFormatting sqref="C1667:C1672">
    <cfRule type="expression" dxfId="4" priority="3441">
      <formula>C1667&lt;S1667</formula>
    </cfRule>
  </conditionalFormatting>
  <conditionalFormatting sqref="C1683:C1688">
    <cfRule type="expression" dxfId="4" priority="3370">
      <formula>C1683&lt;S1683</formula>
    </cfRule>
  </conditionalFormatting>
  <conditionalFormatting sqref="C1690:C1695">
    <cfRule type="expression" dxfId="4" priority="3372">
      <formula>C1690&lt;S1690</formula>
    </cfRule>
  </conditionalFormatting>
  <conditionalFormatting sqref="C1697:C1702">
    <cfRule type="expression" dxfId="4" priority="3374">
      <formula>C1697&lt;S1697</formula>
    </cfRule>
  </conditionalFormatting>
  <conditionalFormatting sqref="C1704:C1709">
    <cfRule type="expression" dxfId="4" priority="3376">
      <formula>C1704&lt;S1704</formula>
    </cfRule>
  </conditionalFormatting>
  <conditionalFormatting sqref="C1711:C1716">
    <cfRule type="expression" dxfId="4" priority="3378">
      <formula>C1711&lt;S1711</formula>
    </cfRule>
  </conditionalFormatting>
  <conditionalFormatting sqref="C1718:C1723">
    <cfRule type="expression" dxfId="4" priority="3380">
      <formula>C1718&lt;S1718</formula>
    </cfRule>
  </conditionalFormatting>
  <conditionalFormatting sqref="C1725:C1730">
    <cfRule type="expression" dxfId="4" priority="3382">
      <formula>C1725&lt;S1725</formula>
    </cfRule>
  </conditionalFormatting>
  <conditionalFormatting sqref="C1732:C1737">
    <cfRule type="expression" dxfId="4" priority="3384">
      <formula>C1732&lt;S1732</formula>
    </cfRule>
  </conditionalFormatting>
  <conditionalFormatting sqref="C1748:C1753">
    <cfRule type="expression" dxfId="4" priority="3313">
      <formula>C1748&lt;S1748</formula>
    </cfRule>
  </conditionalFormatting>
  <conditionalFormatting sqref="C1755:C1760">
    <cfRule type="expression" dxfId="4" priority="3315">
      <formula>C1755&lt;S1755</formula>
    </cfRule>
  </conditionalFormatting>
  <conditionalFormatting sqref="C1762:C1767">
    <cfRule type="expression" dxfId="4" priority="3317">
      <formula>C1762&lt;S1762</formula>
    </cfRule>
  </conditionalFormatting>
  <conditionalFormatting sqref="C1769:C1774">
    <cfRule type="expression" dxfId="4" priority="3319">
      <formula>C1769&lt;S1769</formula>
    </cfRule>
  </conditionalFormatting>
  <conditionalFormatting sqref="C1776:C1781">
    <cfRule type="expression" dxfId="4" priority="3321">
      <formula>C1776&lt;S1776</formula>
    </cfRule>
  </conditionalFormatting>
  <conditionalFormatting sqref="C1783:C1788">
    <cfRule type="expression" dxfId="4" priority="3323">
      <formula>C1783&lt;S1783</formula>
    </cfRule>
  </conditionalFormatting>
  <conditionalFormatting sqref="C1790:C1795">
    <cfRule type="expression" dxfId="4" priority="3325">
      <formula>C1790&lt;S1790</formula>
    </cfRule>
  </conditionalFormatting>
  <conditionalFormatting sqref="C1797:C1802">
    <cfRule type="expression" dxfId="4" priority="3327">
      <formula>C1797&lt;S1797</formula>
    </cfRule>
  </conditionalFormatting>
  <conditionalFormatting sqref="C1813:C1818">
    <cfRule type="expression" dxfId="4" priority="3256">
      <formula>C1813&lt;S1813</formula>
    </cfRule>
  </conditionalFormatting>
  <conditionalFormatting sqref="C1820:C1825">
    <cfRule type="expression" dxfId="4" priority="3258">
      <formula>C1820&lt;S1820</formula>
    </cfRule>
  </conditionalFormatting>
  <conditionalFormatting sqref="C1827:C1832">
    <cfRule type="expression" dxfId="4" priority="3260">
      <formula>C1827&lt;S1827</formula>
    </cfRule>
  </conditionalFormatting>
  <conditionalFormatting sqref="C1834:C1839">
    <cfRule type="expression" dxfId="4" priority="3262">
      <formula>C1834&lt;S1834</formula>
    </cfRule>
  </conditionalFormatting>
  <conditionalFormatting sqref="C1841:C1846">
    <cfRule type="expression" dxfId="4" priority="3264">
      <formula>C1841&lt;S1841</formula>
    </cfRule>
  </conditionalFormatting>
  <conditionalFormatting sqref="C1848:C1853">
    <cfRule type="expression" dxfId="4" priority="3266">
      <formula>C1848&lt;S1848</formula>
    </cfRule>
  </conditionalFormatting>
  <conditionalFormatting sqref="C1855:C1860">
    <cfRule type="expression" dxfId="4" priority="3268">
      <formula>C1855&lt;S1855</formula>
    </cfRule>
  </conditionalFormatting>
  <conditionalFormatting sqref="C1862:C1867">
    <cfRule type="expression" dxfId="4" priority="3270">
      <formula>C1862&lt;S1862</formula>
    </cfRule>
  </conditionalFormatting>
  <conditionalFormatting sqref="C1878:C1883">
    <cfRule type="expression" dxfId="4" priority="3199">
      <formula>C1878&lt;S1878</formula>
    </cfRule>
  </conditionalFormatting>
  <conditionalFormatting sqref="C1885:C1890">
    <cfRule type="expression" dxfId="4" priority="3201">
      <formula>C1885&lt;S1885</formula>
    </cfRule>
  </conditionalFormatting>
  <conditionalFormatting sqref="C1892:C1897">
    <cfRule type="expression" dxfId="4" priority="3203">
      <formula>C1892&lt;S1892</formula>
    </cfRule>
  </conditionalFormatting>
  <conditionalFormatting sqref="C1899:C1904">
    <cfRule type="expression" dxfId="4" priority="3205">
      <formula>C1899&lt;S1899</formula>
    </cfRule>
  </conditionalFormatting>
  <conditionalFormatting sqref="C1906:C1911">
    <cfRule type="expression" dxfId="4" priority="3207">
      <formula>C1906&lt;S1906</formula>
    </cfRule>
  </conditionalFormatting>
  <conditionalFormatting sqref="C1913:C1918">
    <cfRule type="expression" dxfId="4" priority="3209">
      <formula>C1913&lt;S1913</formula>
    </cfRule>
  </conditionalFormatting>
  <conditionalFormatting sqref="C1920:C1925">
    <cfRule type="expression" dxfId="4" priority="3211">
      <formula>C1920&lt;S1920</formula>
    </cfRule>
  </conditionalFormatting>
  <conditionalFormatting sqref="C1927:C1932">
    <cfRule type="expression" dxfId="4" priority="3213">
      <formula>C1927&lt;S1927</formula>
    </cfRule>
  </conditionalFormatting>
  <conditionalFormatting sqref="C1943:C1998">
    <cfRule type="expression" dxfId="4" priority="3138">
      <formula>C1943&lt;S1943</formula>
    </cfRule>
  </conditionalFormatting>
  <conditionalFormatting sqref="C2008:C2013">
    <cfRule type="expression" dxfId="4" priority="3081">
      <formula>C2008&lt;S2008</formula>
    </cfRule>
  </conditionalFormatting>
  <conditionalFormatting sqref="C2015:C2020">
    <cfRule type="expression" dxfId="4" priority="3083">
      <formula>C2015&lt;S2015</formula>
    </cfRule>
  </conditionalFormatting>
  <conditionalFormatting sqref="C2022:C2027">
    <cfRule type="expression" dxfId="4" priority="3085">
      <formula>C2022&lt;S2022</formula>
    </cfRule>
  </conditionalFormatting>
  <conditionalFormatting sqref="C2029:C2034">
    <cfRule type="expression" dxfId="4" priority="3087">
      <formula>C2029&lt;S2029</formula>
    </cfRule>
  </conditionalFormatting>
  <conditionalFormatting sqref="C2036:C2041">
    <cfRule type="expression" dxfId="4" priority="3089">
      <formula>C2036&lt;S2036</formula>
    </cfRule>
  </conditionalFormatting>
  <conditionalFormatting sqref="C2043:C2048">
    <cfRule type="expression" dxfId="4" priority="3091">
      <formula>C2043&lt;S2043</formula>
    </cfRule>
  </conditionalFormatting>
  <conditionalFormatting sqref="C2050:C2055">
    <cfRule type="expression" dxfId="4" priority="3093">
      <formula>C2050&lt;S2050</formula>
    </cfRule>
  </conditionalFormatting>
  <conditionalFormatting sqref="C2057:C2062">
    <cfRule type="expression" dxfId="4" priority="3095">
      <formula>C2057&lt;S2057</formula>
    </cfRule>
  </conditionalFormatting>
  <conditionalFormatting sqref="C2073:C2078">
    <cfRule type="expression" dxfId="4" priority="3024">
      <formula>C2073&lt;S2073</formula>
    </cfRule>
  </conditionalFormatting>
  <conditionalFormatting sqref="C2080:C2085">
    <cfRule type="expression" dxfId="4" priority="3026">
      <formula>C2080&lt;S2080</formula>
    </cfRule>
  </conditionalFormatting>
  <conditionalFormatting sqref="C2087:C2092">
    <cfRule type="expression" dxfId="4" priority="3028">
      <formula>C2087&lt;S2087</formula>
    </cfRule>
  </conditionalFormatting>
  <conditionalFormatting sqref="C2094:C2099">
    <cfRule type="expression" dxfId="4" priority="3030">
      <formula>C2094&lt;S2094</formula>
    </cfRule>
  </conditionalFormatting>
  <conditionalFormatting sqref="C2101:C2106">
    <cfRule type="expression" dxfId="4" priority="3032">
      <formula>C2101&lt;S2101</formula>
    </cfRule>
  </conditionalFormatting>
  <conditionalFormatting sqref="C2108:C2113">
    <cfRule type="expression" dxfId="4" priority="3034">
      <formula>C2108&lt;S2108</formula>
    </cfRule>
  </conditionalFormatting>
  <conditionalFormatting sqref="C2115:C2120">
    <cfRule type="expression" dxfId="4" priority="3036">
      <formula>C2115&lt;S2115</formula>
    </cfRule>
  </conditionalFormatting>
  <conditionalFormatting sqref="C2122:C2127">
    <cfRule type="expression" dxfId="4" priority="3038">
      <formula>C2122&lt;S2122</formula>
    </cfRule>
  </conditionalFormatting>
  <conditionalFormatting sqref="C2138:C2143">
    <cfRule type="expression" dxfId="4" priority="2967">
      <formula>C2138&lt;S2138</formula>
    </cfRule>
  </conditionalFormatting>
  <conditionalFormatting sqref="C2145:C2150">
    <cfRule type="expression" dxfId="4" priority="2969">
      <formula>C2145&lt;S2145</formula>
    </cfRule>
  </conditionalFormatting>
  <conditionalFormatting sqref="C2152:C2157">
    <cfRule type="expression" dxfId="4" priority="2971">
      <formula>C2152&lt;S2152</formula>
    </cfRule>
  </conditionalFormatting>
  <conditionalFormatting sqref="C2159:C2164">
    <cfRule type="expression" dxfId="4" priority="2973">
      <formula>C2159&lt;S2159</formula>
    </cfRule>
  </conditionalFormatting>
  <conditionalFormatting sqref="C2166:C2171">
    <cfRule type="expression" dxfId="4" priority="2975">
      <formula>C2166&lt;S2166</formula>
    </cfRule>
  </conditionalFormatting>
  <conditionalFormatting sqref="C2173:C2178">
    <cfRule type="expression" dxfId="4" priority="2977">
      <formula>C2173&lt;S2173</formula>
    </cfRule>
  </conditionalFormatting>
  <conditionalFormatting sqref="C2180:C2185">
    <cfRule type="expression" dxfId="4" priority="2979">
      <formula>C2180&lt;S2180</formula>
    </cfRule>
  </conditionalFormatting>
  <conditionalFormatting sqref="C2187:C2192">
    <cfRule type="expression" dxfId="4" priority="2981">
      <formula>C2187&lt;S2187</formula>
    </cfRule>
  </conditionalFormatting>
  <conditionalFormatting sqref="C2203:C2208">
    <cfRule type="expression" dxfId="4" priority="2910">
      <formula>C2203&lt;S2203</formula>
    </cfRule>
  </conditionalFormatting>
  <conditionalFormatting sqref="C2210:C2215">
    <cfRule type="expression" dxfId="4" priority="2912">
      <formula>C2210&lt;S2210</formula>
    </cfRule>
  </conditionalFormatting>
  <conditionalFormatting sqref="C2217:C2222">
    <cfRule type="expression" dxfId="4" priority="2914">
      <formula>C2217&lt;S2217</formula>
    </cfRule>
  </conditionalFormatting>
  <conditionalFormatting sqref="C2224:C2229">
    <cfRule type="expression" dxfId="4" priority="2916">
      <formula>C2224&lt;S2224</formula>
    </cfRule>
  </conditionalFormatting>
  <conditionalFormatting sqref="C2231:C2236">
    <cfRule type="expression" dxfId="4" priority="2918">
      <formula>C2231&lt;S2231</formula>
    </cfRule>
  </conditionalFormatting>
  <conditionalFormatting sqref="C2238:C2243">
    <cfRule type="expression" dxfId="4" priority="2920">
      <formula>C2238&lt;S2238</formula>
    </cfRule>
  </conditionalFormatting>
  <conditionalFormatting sqref="C2245:C2250">
    <cfRule type="expression" dxfId="4" priority="2922">
      <formula>C2245&lt;S2245</formula>
    </cfRule>
  </conditionalFormatting>
  <conditionalFormatting sqref="C2252:C2257">
    <cfRule type="expression" dxfId="4" priority="2924">
      <formula>C2252&lt;S2252</formula>
    </cfRule>
  </conditionalFormatting>
  <conditionalFormatting sqref="C2268:C2273">
    <cfRule type="expression" dxfId="4" priority="2853">
      <formula>C2268&lt;S2268</formula>
    </cfRule>
  </conditionalFormatting>
  <conditionalFormatting sqref="C2275:C2280">
    <cfRule type="expression" dxfId="4" priority="2855">
      <formula>C2275&lt;S2275</formula>
    </cfRule>
  </conditionalFormatting>
  <conditionalFormatting sqref="C2282:C2287">
    <cfRule type="expression" dxfId="4" priority="2857">
      <formula>C2282&lt;S2282</formula>
    </cfRule>
  </conditionalFormatting>
  <conditionalFormatting sqref="C2289:C2294">
    <cfRule type="expression" dxfId="4" priority="2859">
      <formula>C2289&lt;S2289</formula>
    </cfRule>
  </conditionalFormatting>
  <conditionalFormatting sqref="C2296:C2301">
    <cfRule type="expression" dxfId="4" priority="2861">
      <formula>C2296&lt;S2296</formula>
    </cfRule>
  </conditionalFormatting>
  <conditionalFormatting sqref="C2303:C2308">
    <cfRule type="expression" dxfId="4" priority="2863">
      <formula>C2303&lt;S2303</formula>
    </cfRule>
  </conditionalFormatting>
  <conditionalFormatting sqref="C2310:C2315">
    <cfRule type="expression" dxfId="4" priority="2865">
      <formula>C2310&lt;S2310</formula>
    </cfRule>
  </conditionalFormatting>
  <conditionalFormatting sqref="C2317:C2322">
    <cfRule type="expression" dxfId="4" priority="2867">
      <formula>C2317&lt;S2317</formula>
    </cfRule>
  </conditionalFormatting>
  <conditionalFormatting sqref="C2333:C2338">
    <cfRule type="expression" dxfId="4" priority="2796">
      <formula>C2333&lt;S2333</formula>
    </cfRule>
  </conditionalFormatting>
  <conditionalFormatting sqref="C2340:C2345">
    <cfRule type="expression" dxfId="4" priority="2798">
      <formula>C2340&lt;S2340</formula>
    </cfRule>
  </conditionalFormatting>
  <conditionalFormatting sqref="C2347:C2352">
    <cfRule type="expression" dxfId="4" priority="2800">
      <formula>C2347&lt;S2347</formula>
    </cfRule>
  </conditionalFormatting>
  <conditionalFormatting sqref="C2354:C2359">
    <cfRule type="expression" dxfId="4" priority="2802">
      <formula>C2354&lt;S2354</formula>
    </cfRule>
  </conditionalFormatting>
  <conditionalFormatting sqref="C2361:C2366">
    <cfRule type="expression" dxfId="4" priority="2804">
      <formula>C2361&lt;S2361</formula>
    </cfRule>
  </conditionalFormatting>
  <conditionalFormatting sqref="C2368:C2373">
    <cfRule type="expression" dxfId="4" priority="2806">
      <formula>C2368&lt;S2368</formula>
    </cfRule>
  </conditionalFormatting>
  <conditionalFormatting sqref="C2375:C2380">
    <cfRule type="expression" dxfId="4" priority="2808">
      <formula>C2375&lt;S2375</formula>
    </cfRule>
  </conditionalFormatting>
  <conditionalFormatting sqref="C2398:C2403">
    <cfRule type="expression" dxfId="4" priority="2737">
      <formula>C2398&lt;S2398</formula>
    </cfRule>
  </conditionalFormatting>
  <conditionalFormatting sqref="C2405:C2410">
    <cfRule type="expression" dxfId="4" priority="2739">
      <formula>C2405&lt;S2405</formula>
    </cfRule>
  </conditionalFormatting>
  <conditionalFormatting sqref="C2412:C2417">
    <cfRule type="expression" dxfId="4" priority="2741">
      <formula>C2412&lt;S2412</formula>
    </cfRule>
  </conditionalFormatting>
  <conditionalFormatting sqref="C2419:C2424">
    <cfRule type="expression" dxfId="4" priority="2743">
      <formula>C2419&lt;S2419</formula>
    </cfRule>
  </conditionalFormatting>
  <conditionalFormatting sqref="C2426:C2431">
    <cfRule type="expression" dxfId="4" priority="2745">
      <formula>C2426&lt;S2426</formula>
    </cfRule>
  </conditionalFormatting>
  <conditionalFormatting sqref="C2433:C2438">
    <cfRule type="expression" dxfId="4" priority="2747">
      <formula>C2433&lt;S2433</formula>
    </cfRule>
  </conditionalFormatting>
  <conditionalFormatting sqref="C2440:C2445">
    <cfRule type="expression" dxfId="4" priority="2749">
      <formula>C2440&lt;S2440</formula>
    </cfRule>
  </conditionalFormatting>
  <conditionalFormatting sqref="C2463:C2468">
    <cfRule type="expression" dxfId="4" priority="2678">
      <formula>C2463&lt;S2463</formula>
    </cfRule>
  </conditionalFormatting>
  <conditionalFormatting sqref="C2470:C2475">
    <cfRule type="expression" dxfId="4" priority="2680">
      <formula>C2470&lt;S2470</formula>
    </cfRule>
  </conditionalFormatting>
  <conditionalFormatting sqref="C2477:C2482">
    <cfRule type="expression" dxfId="4" priority="2682">
      <formula>C2477&lt;S2477</formula>
    </cfRule>
  </conditionalFormatting>
  <conditionalFormatting sqref="C2484:C2489">
    <cfRule type="expression" dxfId="4" priority="2684">
      <formula>C2484&lt;S2484</formula>
    </cfRule>
  </conditionalFormatting>
  <conditionalFormatting sqref="C2491:C2496">
    <cfRule type="expression" dxfId="4" priority="2686">
      <formula>C2491&lt;S2491</formula>
    </cfRule>
  </conditionalFormatting>
  <conditionalFormatting sqref="C2498:C2503">
    <cfRule type="expression" dxfId="4" priority="2688">
      <formula>C2498&lt;S2498</formula>
    </cfRule>
  </conditionalFormatting>
  <conditionalFormatting sqref="C2505:C2510">
    <cfRule type="expression" dxfId="4" priority="2690">
      <formula>C2505&lt;S2505</formula>
    </cfRule>
  </conditionalFormatting>
  <conditionalFormatting sqref="C2528:C2533">
    <cfRule type="expression" dxfId="4" priority="2619">
      <formula>C2528&lt;S2528</formula>
    </cfRule>
  </conditionalFormatting>
  <conditionalFormatting sqref="C2535:C2540">
    <cfRule type="expression" dxfId="4" priority="2621">
      <formula>C2535&lt;S2535</formula>
    </cfRule>
  </conditionalFormatting>
  <conditionalFormatting sqref="C2542:C2547">
    <cfRule type="expression" dxfId="4" priority="2623">
      <formula>C2542&lt;S2542</formula>
    </cfRule>
  </conditionalFormatting>
  <conditionalFormatting sqref="C2549:C2554">
    <cfRule type="expression" dxfId="4" priority="2625">
      <formula>C2549&lt;S2549</formula>
    </cfRule>
  </conditionalFormatting>
  <conditionalFormatting sqref="C2556:C2561">
    <cfRule type="expression" dxfId="4" priority="2627">
      <formula>C2556&lt;S2556</formula>
    </cfRule>
  </conditionalFormatting>
  <conditionalFormatting sqref="C2563:C2568">
    <cfRule type="expression" dxfId="4" priority="2629">
      <formula>C2563&lt;S2563</formula>
    </cfRule>
  </conditionalFormatting>
  <conditionalFormatting sqref="C2570:C2575">
    <cfRule type="expression" dxfId="4" priority="2631">
      <formula>C2570&lt;S2570</formula>
    </cfRule>
  </conditionalFormatting>
  <conditionalFormatting sqref="C2593:C2598">
    <cfRule type="expression" dxfId="4" priority="2560">
      <formula>C2593&lt;S2593</formula>
    </cfRule>
  </conditionalFormatting>
  <conditionalFormatting sqref="C2600:C2605">
    <cfRule type="expression" dxfId="4" priority="2562">
      <formula>C2600&lt;S2600</formula>
    </cfRule>
  </conditionalFormatting>
  <conditionalFormatting sqref="C2607:C2612">
    <cfRule type="expression" dxfId="4" priority="2564">
      <formula>C2607&lt;S2607</formula>
    </cfRule>
  </conditionalFormatting>
  <conditionalFormatting sqref="C2614:C2619">
    <cfRule type="expression" dxfId="4" priority="2566">
      <formula>C2614&lt;S2614</formula>
    </cfRule>
  </conditionalFormatting>
  <conditionalFormatting sqref="C2621:C2626">
    <cfRule type="expression" dxfId="4" priority="2568">
      <formula>C2621&lt;S2621</formula>
    </cfRule>
  </conditionalFormatting>
  <conditionalFormatting sqref="C2628:C2633">
    <cfRule type="expression" dxfId="4" priority="2570">
      <formula>C2628&lt;S2628</formula>
    </cfRule>
  </conditionalFormatting>
  <conditionalFormatting sqref="C2635:C2640">
    <cfRule type="expression" dxfId="4" priority="2572">
      <formula>C2635&lt;S2635</formula>
    </cfRule>
  </conditionalFormatting>
  <conditionalFormatting sqref="C2658:C2663">
    <cfRule type="expression" dxfId="4" priority="2501">
      <formula>C2658&lt;S2658</formula>
    </cfRule>
  </conditionalFormatting>
  <conditionalFormatting sqref="C2665:C2670">
    <cfRule type="expression" dxfId="4" priority="2503">
      <formula>C2665&lt;S2665</formula>
    </cfRule>
  </conditionalFormatting>
  <conditionalFormatting sqref="C2672:C2677">
    <cfRule type="expression" dxfId="4" priority="2505">
      <formula>C2672&lt;S2672</formula>
    </cfRule>
  </conditionalFormatting>
  <conditionalFormatting sqref="C2679:C2684">
    <cfRule type="expression" dxfId="4" priority="2507">
      <formula>C2679&lt;S2679</formula>
    </cfRule>
  </conditionalFormatting>
  <conditionalFormatting sqref="C2686:C2691">
    <cfRule type="expression" dxfId="4" priority="2509">
      <formula>C2686&lt;S2686</formula>
    </cfRule>
  </conditionalFormatting>
  <conditionalFormatting sqref="C2693:C2698">
    <cfRule type="expression" dxfId="4" priority="2511">
      <formula>C2693&lt;S2693</formula>
    </cfRule>
  </conditionalFormatting>
  <conditionalFormatting sqref="C2700:C2705">
    <cfRule type="expression" dxfId="4" priority="2513">
      <formula>C2700&lt;S2700</formula>
    </cfRule>
  </conditionalFormatting>
  <conditionalFormatting sqref="C2723:C2728">
    <cfRule type="expression" dxfId="4" priority="2442">
      <formula>C2723&lt;S2723</formula>
    </cfRule>
  </conditionalFormatting>
  <conditionalFormatting sqref="C2730:C2735">
    <cfRule type="expression" dxfId="4" priority="2444">
      <formula>C2730&lt;S2730</formula>
    </cfRule>
  </conditionalFormatting>
  <conditionalFormatting sqref="C2737:C2742">
    <cfRule type="expression" dxfId="4" priority="2446">
      <formula>C2737&lt;S2737</formula>
    </cfRule>
  </conditionalFormatting>
  <conditionalFormatting sqref="C2744:C2749">
    <cfRule type="expression" dxfId="4" priority="2448">
      <formula>C2744&lt;S2744</formula>
    </cfRule>
  </conditionalFormatting>
  <conditionalFormatting sqref="C2751:C2756">
    <cfRule type="expression" dxfId="4" priority="2450">
      <formula>C2751&lt;S2751</formula>
    </cfRule>
  </conditionalFormatting>
  <conditionalFormatting sqref="C2758:C2763">
    <cfRule type="expression" dxfId="4" priority="2452">
      <formula>C2758&lt;S2758</formula>
    </cfRule>
  </conditionalFormatting>
  <conditionalFormatting sqref="C2765:C2770">
    <cfRule type="expression" dxfId="4" priority="2454">
      <formula>C2765&lt;S2765</formula>
    </cfRule>
  </conditionalFormatting>
  <conditionalFormatting sqref="C2788:C2793">
    <cfRule type="expression" dxfId="4" priority="2383">
      <formula>C2788&lt;S2788</formula>
    </cfRule>
  </conditionalFormatting>
  <conditionalFormatting sqref="C2795:C2800">
    <cfRule type="expression" dxfId="4" priority="2385">
      <formula>C2795&lt;S2795</formula>
    </cfRule>
  </conditionalFormatting>
  <conditionalFormatting sqref="C2802:C2807">
    <cfRule type="expression" dxfId="4" priority="2387">
      <formula>C2802&lt;S2802</formula>
    </cfRule>
  </conditionalFormatting>
  <conditionalFormatting sqref="C2809:C2814">
    <cfRule type="expression" dxfId="4" priority="2389">
      <formula>C2809&lt;S2809</formula>
    </cfRule>
  </conditionalFormatting>
  <conditionalFormatting sqref="C2816:C2821">
    <cfRule type="expression" dxfId="4" priority="2391">
      <formula>C2816&lt;S2816</formula>
    </cfRule>
  </conditionalFormatting>
  <conditionalFormatting sqref="C2823:C2828">
    <cfRule type="expression" dxfId="4" priority="2393">
      <formula>C2823&lt;S2823</formula>
    </cfRule>
  </conditionalFormatting>
  <conditionalFormatting sqref="C2830:C2835">
    <cfRule type="expression" dxfId="4" priority="2395">
      <formula>C2830&lt;S2830</formula>
    </cfRule>
  </conditionalFormatting>
  <conditionalFormatting sqref="C2853:C2858">
    <cfRule type="expression" dxfId="4" priority="2324">
      <formula>C2853&lt;S2853</formula>
    </cfRule>
  </conditionalFormatting>
  <conditionalFormatting sqref="C2860:C2865">
    <cfRule type="expression" dxfId="4" priority="2326">
      <formula>C2860&lt;S2860</formula>
    </cfRule>
  </conditionalFormatting>
  <conditionalFormatting sqref="C2867:C2872">
    <cfRule type="expression" dxfId="4" priority="2328">
      <formula>C2867&lt;S2867</formula>
    </cfRule>
  </conditionalFormatting>
  <conditionalFormatting sqref="C2874:C2879">
    <cfRule type="expression" dxfId="4" priority="2330">
      <formula>C2874&lt;S2874</formula>
    </cfRule>
  </conditionalFormatting>
  <conditionalFormatting sqref="C2881:C2886">
    <cfRule type="expression" dxfId="4" priority="2332">
      <formula>C2881&lt;S2881</formula>
    </cfRule>
  </conditionalFormatting>
  <conditionalFormatting sqref="C2888:C2893">
    <cfRule type="expression" dxfId="4" priority="2334">
      <formula>C2888&lt;S2888</formula>
    </cfRule>
  </conditionalFormatting>
  <conditionalFormatting sqref="C2895:C2900">
    <cfRule type="expression" dxfId="4" priority="2336">
      <formula>C2895&lt;S2895</formula>
    </cfRule>
  </conditionalFormatting>
  <conditionalFormatting sqref="C2918:C2923">
    <cfRule type="expression" dxfId="4" priority="2265">
      <formula>C2918&lt;S2918</formula>
    </cfRule>
  </conditionalFormatting>
  <conditionalFormatting sqref="C2925:C2930">
    <cfRule type="expression" dxfId="4" priority="2267">
      <formula>C2925&lt;S2925</formula>
    </cfRule>
  </conditionalFormatting>
  <conditionalFormatting sqref="C2932:C2937">
    <cfRule type="expression" dxfId="4" priority="2269">
      <formula>C2932&lt;S2932</formula>
    </cfRule>
  </conditionalFormatting>
  <conditionalFormatting sqref="C2939:C2944">
    <cfRule type="expression" dxfId="4" priority="2271">
      <formula>C2939&lt;S2939</formula>
    </cfRule>
  </conditionalFormatting>
  <conditionalFormatting sqref="C2946:C2951">
    <cfRule type="expression" dxfId="4" priority="2273">
      <formula>C2946&lt;S2946</formula>
    </cfRule>
  </conditionalFormatting>
  <conditionalFormatting sqref="C2953:C2958">
    <cfRule type="expression" dxfId="4" priority="2275">
      <formula>C2953&lt;S2953</formula>
    </cfRule>
  </conditionalFormatting>
  <conditionalFormatting sqref="C2960:C2965">
    <cfRule type="expression" dxfId="4" priority="2277">
      <formula>C2960&lt;S2960</formula>
    </cfRule>
  </conditionalFormatting>
  <conditionalFormatting sqref="C2983:C2988">
    <cfRule type="expression" dxfId="4" priority="2206">
      <formula>C2983&lt;S2983</formula>
    </cfRule>
  </conditionalFormatting>
  <conditionalFormatting sqref="C2990:C2995">
    <cfRule type="expression" dxfId="4" priority="2208">
      <formula>C2990&lt;S2990</formula>
    </cfRule>
  </conditionalFormatting>
  <conditionalFormatting sqref="C2997:C3002">
    <cfRule type="expression" dxfId="4" priority="2210">
      <formula>C2997&lt;S2997</formula>
    </cfRule>
  </conditionalFormatting>
  <conditionalFormatting sqref="C3004:C3009">
    <cfRule type="expression" dxfId="4" priority="2212">
      <formula>C3004&lt;S3004</formula>
    </cfRule>
  </conditionalFormatting>
  <conditionalFormatting sqref="C3011:C3016">
    <cfRule type="expression" dxfId="4" priority="2214">
      <formula>C3011&lt;S3011</formula>
    </cfRule>
  </conditionalFormatting>
  <conditionalFormatting sqref="C3018:C3023">
    <cfRule type="expression" dxfId="4" priority="2216">
      <formula>C3018&lt;S3018</formula>
    </cfRule>
  </conditionalFormatting>
  <conditionalFormatting sqref="C3025:C3030">
    <cfRule type="expression" dxfId="4" priority="2218">
      <formula>C3025&lt;S3025</formula>
    </cfRule>
  </conditionalFormatting>
  <conditionalFormatting sqref="C3048:C3053">
    <cfRule type="expression" dxfId="4" priority="2147">
      <formula>C3048&lt;S3048</formula>
    </cfRule>
  </conditionalFormatting>
  <conditionalFormatting sqref="C3055:C3060">
    <cfRule type="expression" dxfId="4" priority="2149">
      <formula>C3055&lt;S3055</formula>
    </cfRule>
  </conditionalFormatting>
  <conditionalFormatting sqref="C3062:C3067">
    <cfRule type="expression" dxfId="4" priority="2151">
      <formula>C3062&lt;S3062</formula>
    </cfRule>
  </conditionalFormatting>
  <conditionalFormatting sqref="C3069:C3074">
    <cfRule type="expression" dxfId="4" priority="2153">
      <formula>C3069&lt;S3069</formula>
    </cfRule>
  </conditionalFormatting>
  <conditionalFormatting sqref="C3076:C3081">
    <cfRule type="expression" dxfId="4" priority="2155">
      <formula>C3076&lt;S3076</formula>
    </cfRule>
  </conditionalFormatting>
  <conditionalFormatting sqref="C3083:C3088">
    <cfRule type="expression" dxfId="4" priority="2157">
      <formula>C3083&lt;S3083</formula>
    </cfRule>
  </conditionalFormatting>
  <conditionalFormatting sqref="C3090:C3095">
    <cfRule type="expression" dxfId="4" priority="2159">
      <formula>C3090&lt;S3090</formula>
    </cfRule>
  </conditionalFormatting>
  <conditionalFormatting sqref="C3113:C3118">
    <cfRule type="expression" dxfId="4" priority="2088">
      <formula>C3113&lt;S3113</formula>
    </cfRule>
  </conditionalFormatting>
  <conditionalFormatting sqref="C3120:C3125">
    <cfRule type="expression" dxfId="4" priority="2090">
      <formula>C3120&lt;S3120</formula>
    </cfRule>
  </conditionalFormatting>
  <conditionalFormatting sqref="C3127:C3132">
    <cfRule type="expression" dxfId="4" priority="2092">
      <formula>C3127&lt;S3127</formula>
    </cfRule>
  </conditionalFormatting>
  <conditionalFormatting sqref="C3134:C3139">
    <cfRule type="expression" dxfId="4" priority="2094">
      <formula>C3134&lt;S3134</formula>
    </cfRule>
  </conditionalFormatting>
  <conditionalFormatting sqref="C3141:C3146">
    <cfRule type="expression" dxfId="4" priority="2096">
      <formula>C3141&lt;S3141</formula>
    </cfRule>
  </conditionalFormatting>
  <conditionalFormatting sqref="C3148:C3153">
    <cfRule type="expression" dxfId="4" priority="2098">
      <formula>C3148&lt;S3148</formula>
    </cfRule>
  </conditionalFormatting>
  <conditionalFormatting sqref="C3155:C3160">
    <cfRule type="expression" dxfId="4" priority="2100">
      <formula>C3155&lt;S3155</formula>
    </cfRule>
  </conditionalFormatting>
  <conditionalFormatting sqref="C3178:C3183">
    <cfRule type="expression" dxfId="4" priority="2029">
      <formula>C3178&lt;S3178</formula>
    </cfRule>
  </conditionalFormatting>
  <conditionalFormatting sqref="C3185:C3190">
    <cfRule type="expression" dxfId="4" priority="2031">
      <formula>C3185&lt;S3185</formula>
    </cfRule>
  </conditionalFormatting>
  <conditionalFormatting sqref="C3192:C3197">
    <cfRule type="expression" dxfId="4" priority="2033">
      <formula>C3192&lt;S3192</formula>
    </cfRule>
  </conditionalFormatting>
  <conditionalFormatting sqref="C3199:C3204">
    <cfRule type="expression" dxfId="4" priority="2035">
      <formula>C3199&lt;S3199</formula>
    </cfRule>
  </conditionalFormatting>
  <conditionalFormatting sqref="C3206:C3211">
    <cfRule type="expression" dxfId="4" priority="2037">
      <formula>C3206&lt;S3206</formula>
    </cfRule>
  </conditionalFormatting>
  <conditionalFormatting sqref="C3213:C3218">
    <cfRule type="expression" dxfId="4" priority="2039">
      <formula>C3213&lt;S3213</formula>
    </cfRule>
  </conditionalFormatting>
  <conditionalFormatting sqref="C3220:C3225">
    <cfRule type="expression" dxfId="4" priority="2041">
      <formula>C3220&lt;S3220</formula>
    </cfRule>
  </conditionalFormatting>
  <conditionalFormatting sqref="C3243:C3248">
    <cfRule type="expression" dxfId="4" priority="1970">
      <formula>C3243&lt;S3243</formula>
    </cfRule>
  </conditionalFormatting>
  <conditionalFormatting sqref="C3250:C3255">
    <cfRule type="expression" dxfId="4" priority="1972">
      <formula>C3250&lt;S3250</formula>
    </cfRule>
  </conditionalFormatting>
  <conditionalFormatting sqref="C3257:C3262">
    <cfRule type="expression" dxfId="4" priority="1974">
      <formula>C3257&lt;S3257</formula>
    </cfRule>
  </conditionalFormatting>
  <conditionalFormatting sqref="C3264:C3269">
    <cfRule type="expression" dxfId="4" priority="1976">
      <formula>C3264&lt;S3264</formula>
    </cfRule>
  </conditionalFormatting>
  <conditionalFormatting sqref="C3271:C3276">
    <cfRule type="expression" dxfId="4" priority="1978">
      <formula>C3271&lt;S3271</formula>
    </cfRule>
  </conditionalFormatting>
  <conditionalFormatting sqref="C3278:C3283">
    <cfRule type="expression" dxfId="4" priority="1980">
      <formula>C3278&lt;S3278</formula>
    </cfRule>
  </conditionalFormatting>
  <conditionalFormatting sqref="C3285:C3290">
    <cfRule type="expression" dxfId="4" priority="1982">
      <formula>C3285&lt;S3285</formula>
    </cfRule>
  </conditionalFormatting>
  <conditionalFormatting sqref="C3308:C3313">
    <cfRule type="expression" dxfId="4" priority="1911">
      <formula>C3308&lt;S3308</formula>
    </cfRule>
  </conditionalFormatting>
  <conditionalFormatting sqref="C3315:C3320">
    <cfRule type="expression" dxfId="4" priority="1913">
      <formula>C3315&lt;S3315</formula>
    </cfRule>
  </conditionalFormatting>
  <conditionalFormatting sqref="C3322:C3327">
    <cfRule type="expression" dxfId="4" priority="1915">
      <formula>C3322&lt;S3322</formula>
    </cfRule>
  </conditionalFormatting>
  <conditionalFormatting sqref="C3329:C3334">
    <cfRule type="expression" dxfId="4" priority="1917">
      <formula>C3329&lt;S3329</formula>
    </cfRule>
  </conditionalFormatting>
  <conditionalFormatting sqref="C3336:C3341">
    <cfRule type="expression" dxfId="4" priority="1919">
      <formula>C3336&lt;S3336</formula>
    </cfRule>
  </conditionalFormatting>
  <conditionalFormatting sqref="C3343:C3348">
    <cfRule type="expression" dxfId="4" priority="1921">
      <formula>C3343&lt;S3343</formula>
    </cfRule>
  </conditionalFormatting>
  <conditionalFormatting sqref="C3350:C3355">
    <cfRule type="expression" dxfId="4" priority="1923">
      <formula>C3350&lt;S3350</formula>
    </cfRule>
  </conditionalFormatting>
  <conditionalFormatting sqref="C3373:C3378">
    <cfRule type="expression" dxfId="4" priority="1852">
      <formula>C3373&lt;S3373</formula>
    </cfRule>
  </conditionalFormatting>
  <conditionalFormatting sqref="C3380:C3385">
    <cfRule type="expression" dxfId="4" priority="1854">
      <formula>C3380&lt;S3380</formula>
    </cfRule>
  </conditionalFormatting>
  <conditionalFormatting sqref="C3387:C3392">
    <cfRule type="expression" dxfId="4" priority="1856">
      <formula>C3387&lt;S3387</formula>
    </cfRule>
  </conditionalFormatting>
  <conditionalFormatting sqref="C3394:C3399">
    <cfRule type="expression" dxfId="4" priority="1858">
      <formula>C3394&lt;S3394</formula>
    </cfRule>
  </conditionalFormatting>
  <conditionalFormatting sqref="C3401:C3406">
    <cfRule type="expression" dxfId="4" priority="1860">
      <formula>C3401&lt;S3401</formula>
    </cfRule>
  </conditionalFormatting>
  <conditionalFormatting sqref="C3408:C3413">
    <cfRule type="expression" dxfId="4" priority="1862">
      <formula>C3408&lt;S3408</formula>
    </cfRule>
  </conditionalFormatting>
  <conditionalFormatting sqref="C3415:C3420">
    <cfRule type="expression" dxfId="4" priority="1864">
      <formula>C3415&lt;S3415</formula>
    </cfRule>
  </conditionalFormatting>
  <conditionalFormatting sqref="C3438:C3443">
    <cfRule type="expression" dxfId="4" priority="1793">
      <formula>C3438&lt;S3438</formula>
    </cfRule>
  </conditionalFormatting>
  <conditionalFormatting sqref="C3445:C3450">
    <cfRule type="expression" dxfId="4" priority="1795">
      <formula>C3445&lt;S3445</formula>
    </cfRule>
  </conditionalFormatting>
  <conditionalFormatting sqref="C3452:C3457">
    <cfRule type="expression" dxfId="4" priority="1797">
      <formula>C3452&lt;S3452</formula>
    </cfRule>
  </conditionalFormatting>
  <conditionalFormatting sqref="C3459:C3464">
    <cfRule type="expression" dxfId="4" priority="1799">
      <formula>C3459&lt;S3459</formula>
    </cfRule>
  </conditionalFormatting>
  <conditionalFormatting sqref="C3466:C3471">
    <cfRule type="expression" dxfId="4" priority="1801">
      <formula>C3466&lt;S3466</formula>
    </cfRule>
  </conditionalFormatting>
  <conditionalFormatting sqref="C3473:C3478">
    <cfRule type="expression" dxfId="4" priority="1803">
      <formula>C3473&lt;S3473</formula>
    </cfRule>
  </conditionalFormatting>
  <conditionalFormatting sqref="C3480:C3485">
    <cfRule type="expression" dxfId="4" priority="1805">
      <formula>C3480&lt;S3480</formula>
    </cfRule>
  </conditionalFormatting>
  <conditionalFormatting sqref="C3503:C3508">
    <cfRule type="expression" dxfId="4" priority="1734">
      <formula>C3503&lt;S3503</formula>
    </cfRule>
  </conditionalFormatting>
  <conditionalFormatting sqref="C3510:C3515">
    <cfRule type="expression" dxfId="4" priority="1736">
      <formula>C3510&lt;S3510</formula>
    </cfRule>
  </conditionalFormatting>
  <conditionalFormatting sqref="C3517:C3522">
    <cfRule type="expression" dxfId="4" priority="1738">
      <formula>C3517&lt;S3517</formula>
    </cfRule>
  </conditionalFormatting>
  <conditionalFormatting sqref="C3524:C3529">
    <cfRule type="expression" dxfId="4" priority="1740">
      <formula>C3524&lt;S3524</formula>
    </cfRule>
  </conditionalFormatting>
  <conditionalFormatting sqref="C3531:C3536">
    <cfRule type="expression" dxfId="4" priority="1742">
      <formula>C3531&lt;S3531</formula>
    </cfRule>
  </conditionalFormatting>
  <conditionalFormatting sqref="C3538:C3543">
    <cfRule type="expression" dxfId="4" priority="1744">
      <formula>C3538&lt;S3538</formula>
    </cfRule>
  </conditionalFormatting>
  <conditionalFormatting sqref="C3545:C3550">
    <cfRule type="expression" dxfId="4" priority="1746">
      <formula>C3545&lt;S3545</formula>
    </cfRule>
  </conditionalFormatting>
  <conditionalFormatting sqref="C3568:C3573">
    <cfRule type="expression" dxfId="4" priority="1675">
      <formula>C3568&lt;S3568</formula>
    </cfRule>
  </conditionalFormatting>
  <conditionalFormatting sqref="C3575:C3580">
    <cfRule type="expression" dxfId="4" priority="1677">
      <formula>C3575&lt;S3575</formula>
    </cfRule>
  </conditionalFormatting>
  <conditionalFormatting sqref="C3582:C3587">
    <cfRule type="expression" dxfId="4" priority="1679">
      <formula>C3582&lt;S3582</formula>
    </cfRule>
  </conditionalFormatting>
  <conditionalFormatting sqref="C3589:C3594">
    <cfRule type="expression" dxfId="4" priority="1681">
      <formula>C3589&lt;S3589</formula>
    </cfRule>
  </conditionalFormatting>
  <conditionalFormatting sqref="C3596:C3601">
    <cfRule type="expression" dxfId="4" priority="1683">
      <formula>C3596&lt;S3596</formula>
    </cfRule>
  </conditionalFormatting>
  <conditionalFormatting sqref="C3603:C3608">
    <cfRule type="expression" dxfId="4" priority="1685">
      <formula>C3603&lt;S3603</formula>
    </cfRule>
  </conditionalFormatting>
  <conditionalFormatting sqref="C3610:C3615">
    <cfRule type="expression" dxfId="4" priority="1687">
      <formula>C3610&lt;S3610</formula>
    </cfRule>
  </conditionalFormatting>
  <conditionalFormatting sqref="C3633:C3638">
    <cfRule type="expression" dxfId="4" priority="1616">
      <formula>C3633&lt;S3633</formula>
    </cfRule>
  </conditionalFormatting>
  <conditionalFormatting sqref="C3640:C3645">
    <cfRule type="expression" dxfId="4" priority="1618">
      <formula>C3640&lt;S3640</formula>
    </cfRule>
  </conditionalFormatting>
  <conditionalFormatting sqref="C3647:C3652">
    <cfRule type="expression" dxfId="4" priority="1620">
      <formula>C3647&lt;S3647</formula>
    </cfRule>
  </conditionalFormatting>
  <conditionalFormatting sqref="C3654:C3659">
    <cfRule type="expression" dxfId="4" priority="1622">
      <formula>C3654&lt;S3654</formula>
    </cfRule>
  </conditionalFormatting>
  <conditionalFormatting sqref="C3661:C3666">
    <cfRule type="expression" dxfId="4" priority="1624">
      <formula>C3661&lt;S3661</formula>
    </cfRule>
  </conditionalFormatting>
  <conditionalFormatting sqref="C3668:C3673">
    <cfRule type="expression" dxfId="4" priority="1626">
      <formula>C3668&lt;S3668</formula>
    </cfRule>
  </conditionalFormatting>
  <conditionalFormatting sqref="C3675:C3680">
    <cfRule type="expression" dxfId="4" priority="1628">
      <formula>C3675&lt;S3675</formula>
    </cfRule>
  </conditionalFormatting>
  <conditionalFormatting sqref="C3698:C3703">
    <cfRule type="expression" dxfId="4" priority="1557">
      <formula>C3698&lt;S3698</formula>
    </cfRule>
  </conditionalFormatting>
  <conditionalFormatting sqref="C3705:C3710">
    <cfRule type="expression" dxfId="4" priority="1559">
      <formula>C3705&lt;S3705</formula>
    </cfRule>
  </conditionalFormatting>
  <conditionalFormatting sqref="C3712:C3717">
    <cfRule type="expression" dxfId="4" priority="1561">
      <formula>C3712&lt;S3712</formula>
    </cfRule>
  </conditionalFormatting>
  <conditionalFormatting sqref="C3719:C3724">
    <cfRule type="expression" dxfId="4" priority="1563">
      <formula>C3719&lt;S3719</formula>
    </cfRule>
  </conditionalFormatting>
  <conditionalFormatting sqref="C3726:C3731">
    <cfRule type="expression" dxfId="4" priority="1565">
      <formula>C3726&lt;S3726</formula>
    </cfRule>
  </conditionalFormatting>
  <conditionalFormatting sqref="C3733:C3738">
    <cfRule type="expression" dxfId="4" priority="1567">
      <formula>C3733&lt;S3733</formula>
    </cfRule>
  </conditionalFormatting>
  <conditionalFormatting sqref="C3740:C3745">
    <cfRule type="expression" dxfId="4" priority="1569">
      <formula>C3740&lt;S3740</formula>
    </cfRule>
  </conditionalFormatting>
  <conditionalFormatting sqref="C3763:C3768">
    <cfRule type="expression" dxfId="4" priority="1498">
      <formula>C3763&lt;S3763</formula>
    </cfRule>
  </conditionalFormatting>
  <conditionalFormatting sqref="C3770:C3775">
    <cfRule type="expression" dxfId="4" priority="1500">
      <formula>C3770&lt;S3770</formula>
    </cfRule>
  </conditionalFormatting>
  <conditionalFormatting sqref="C3777:C3782">
    <cfRule type="expression" dxfId="4" priority="1502">
      <formula>C3777&lt;S3777</formula>
    </cfRule>
  </conditionalFormatting>
  <conditionalFormatting sqref="C3784:C3789">
    <cfRule type="expression" dxfId="4" priority="1504">
      <formula>C3784&lt;S3784</formula>
    </cfRule>
  </conditionalFormatting>
  <conditionalFormatting sqref="C3791:C3796">
    <cfRule type="expression" dxfId="4" priority="1506">
      <formula>C3791&lt;S3791</formula>
    </cfRule>
  </conditionalFormatting>
  <conditionalFormatting sqref="C3798:C3803">
    <cfRule type="expression" dxfId="4" priority="1508">
      <formula>C3798&lt;S3798</formula>
    </cfRule>
  </conditionalFormatting>
  <conditionalFormatting sqref="C3805:C3810">
    <cfRule type="expression" dxfId="4" priority="1510">
      <formula>C3805&lt;S3805</formula>
    </cfRule>
  </conditionalFormatting>
  <conditionalFormatting sqref="C3828:C3833">
    <cfRule type="expression" dxfId="4" priority="1439">
      <formula>C3828&lt;S3828</formula>
    </cfRule>
  </conditionalFormatting>
  <conditionalFormatting sqref="C3835:C3840">
    <cfRule type="expression" dxfId="4" priority="1441">
      <formula>C3835&lt;S3835</formula>
    </cfRule>
  </conditionalFormatting>
  <conditionalFormatting sqref="C3842:C3847">
    <cfRule type="expression" dxfId="4" priority="1443">
      <formula>C3842&lt;S3842</formula>
    </cfRule>
  </conditionalFormatting>
  <conditionalFormatting sqref="C3849:C3854">
    <cfRule type="expression" dxfId="4" priority="1445">
      <formula>C3849&lt;S3849</formula>
    </cfRule>
  </conditionalFormatting>
  <conditionalFormatting sqref="C3856:C3861">
    <cfRule type="expression" dxfId="4" priority="1447">
      <formula>C3856&lt;S3856</formula>
    </cfRule>
  </conditionalFormatting>
  <conditionalFormatting sqref="C3863:C3868">
    <cfRule type="expression" dxfId="4" priority="1449">
      <formula>C3863&lt;S3863</formula>
    </cfRule>
  </conditionalFormatting>
  <conditionalFormatting sqref="C3870:C3875">
    <cfRule type="expression" dxfId="4" priority="1451">
      <formula>C3870&lt;S3870</formula>
    </cfRule>
  </conditionalFormatting>
  <conditionalFormatting sqref="C3893:C3898">
    <cfRule type="expression" dxfId="4" priority="1380">
      <formula>C3893&lt;S3893</formula>
    </cfRule>
  </conditionalFormatting>
  <conditionalFormatting sqref="C3900:C3905">
    <cfRule type="expression" dxfId="4" priority="1382">
      <formula>C3900&lt;S3900</formula>
    </cfRule>
  </conditionalFormatting>
  <conditionalFormatting sqref="C3907:C3912">
    <cfRule type="expression" dxfId="4" priority="1384">
      <formula>C3907&lt;S3907</formula>
    </cfRule>
  </conditionalFormatting>
  <conditionalFormatting sqref="C3914:C3919">
    <cfRule type="expression" dxfId="4" priority="1386">
      <formula>C3914&lt;S3914</formula>
    </cfRule>
  </conditionalFormatting>
  <conditionalFormatting sqref="C3921:C3926">
    <cfRule type="expression" dxfId="4" priority="1388">
      <formula>C3921&lt;S3921</formula>
    </cfRule>
  </conditionalFormatting>
  <conditionalFormatting sqref="C3928:C3933">
    <cfRule type="expression" dxfId="4" priority="1390">
      <formula>C3928&lt;S3928</formula>
    </cfRule>
  </conditionalFormatting>
  <conditionalFormatting sqref="C3935:C3940">
    <cfRule type="expression" dxfId="4" priority="1392">
      <formula>C3935&lt;S3935</formula>
    </cfRule>
  </conditionalFormatting>
  <conditionalFormatting sqref="C3958:C3963">
    <cfRule type="expression" dxfId="4" priority="1321">
      <formula>C3958&lt;S3958</formula>
    </cfRule>
  </conditionalFormatting>
  <conditionalFormatting sqref="C3965:C3970">
    <cfRule type="expression" dxfId="4" priority="1323">
      <formula>C3965&lt;S3965</formula>
    </cfRule>
  </conditionalFormatting>
  <conditionalFormatting sqref="C3972:C3977">
    <cfRule type="expression" dxfId="4" priority="1325">
      <formula>C3972&lt;S3972</formula>
    </cfRule>
  </conditionalFormatting>
  <conditionalFormatting sqref="C3979:C3984">
    <cfRule type="expression" dxfId="4" priority="1327">
      <formula>C3979&lt;S3979</formula>
    </cfRule>
  </conditionalFormatting>
  <conditionalFormatting sqref="C3986:C3991">
    <cfRule type="expression" dxfId="4" priority="1329">
      <formula>C3986&lt;S3986</formula>
    </cfRule>
  </conditionalFormatting>
  <conditionalFormatting sqref="C3993:C3998">
    <cfRule type="expression" dxfId="4" priority="1331">
      <formula>C3993&lt;S3993</formula>
    </cfRule>
  </conditionalFormatting>
  <conditionalFormatting sqref="C4000:C4005">
    <cfRule type="expression" dxfId="4" priority="1333">
      <formula>C4000&lt;S4000</formula>
    </cfRule>
  </conditionalFormatting>
  <conditionalFormatting sqref="C4023:C4028">
    <cfRule type="expression" dxfId="4" priority="1262">
      <formula>C4023&lt;S4023</formula>
    </cfRule>
  </conditionalFormatting>
  <conditionalFormatting sqref="C4030:C4035">
    <cfRule type="expression" dxfId="4" priority="1264">
      <formula>C4030&lt;S4030</formula>
    </cfRule>
  </conditionalFormatting>
  <conditionalFormatting sqref="C4037:C4042">
    <cfRule type="expression" dxfId="4" priority="1266">
      <formula>C4037&lt;S4037</formula>
    </cfRule>
  </conditionalFormatting>
  <conditionalFormatting sqref="C4044:C4049">
    <cfRule type="expression" dxfId="4" priority="1268">
      <formula>C4044&lt;S4044</formula>
    </cfRule>
  </conditionalFormatting>
  <conditionalFormatting sqref="C4051:C4056">
    <cfRule type="expression" dxfId="4" priority="1270">
      <formula>C4051&lt;S4051</formula>
    </cfRule>
  </conditionalFormatting>
  <conditionalFormatting sqref="C4058:C4063">
    <cfRule type="expression" dxfId="4" priority="1272">
      <formula>C4058&lt;S4058</formula>
    </cfRule>
  </conditionalFormatting>
  <conditionalFormatting sqref="C4065:C4070">
    <cfRule type="expression" dxfId="4" priority="1274">
      <formula>C4065&lt;S4065</formula>
    </cfRule>
  </conditionalFormatting>
  <conditionalFormatting sqref="C4088:C4093">
    <cfRule type="expression" dxfId="4" priority="1203">
      <formula>C4088&lt;S4088</formula>
    </cfRule>
  </conditionalFormatting>
  <conditionalFormatting sqref="C4095:C4100">
    <cfRule type="expression" dxfId="4" priority="1205">
      <formula>C4095&lt;S4095</formula>
    </cfRule>
  </conditionalFormatting>
  <conditionalFormatting sqref="C4102:C4107">
    <cfRule type="expression" dxfId="4" priority="1207">
      <formula>C4102&lt;S4102</formula>
    </cfRule>
  </conditionalFormatting>
  <conditionalFormatting sqref="C4109:C4114">
    <cfRule type="expression" dxfId="4" priority="1209">
      <formula>C4109&lt;S4109</formula>
    </cfRule>
  </conditionalFormatting>
  <conditionalFormatting sqref="C4116:C4121">
    <cfRule type="expression" dxfId="4" priority="1211">
      <formula>C4116&lt;S4116</formula>
    </cfRule>
  </conditionalFormatting>
  <conditionalFormatting sqref="C4123:C4128">
    <cfRule type="expression" dxfId="4" priority="1213">
      <formula>C4123&lt;S4123</formula>
    </cfRule>
  </conditionalFormatting>
  <conditionalFormatting sqref="C4130:C4135">
    <cfRule type="expression" dxfId="4" priority="1215">
      <formula>C4130&lt;S4130</formula>
    </cfRule>
  </conditionalFormatting>
  <conditionalFormatting sqref="C4153:C4158">
    <cfRule type="expression" dxfId="4" priority="1144">
      <formula>C4153&lt;S4153</formula>
    </cfRule>
  </conditionalFormatting>
  <conditionalFormatting sqref="C4160:C4165">
    <cfRule type="expression" dxfId="4" priority="1146">
      <formula>C4160&lt;S4160</formula>
    </cfRule>
  </conditionalFormatting>
  <conditionalFormatting sqref="C4167:C4172">
    <cfRule type="expression" dxfId="4" priority="1148">
      <formula>C4167&lt;S4167</formula>
    </cfRule>
  </conditionalFormatting>
  <conditionalFormatting sqref="C4174:C4179">
    <cfRule type="expression" dxfId="4" priority="1150">
      <formula>C4174&lt;S4174</formula>
    </cfRule>
  </conditionalFormatting>
  <conditionalFormatting sqref="C4181:C4186">
    <cfRule type="expression" dxfId="4" priority="1152">
      <formula>C4181&lt;S4181</formula>
    </cfRule>
  </conditionalFormatting>
  <conditionalFormatting sqref="C4188:C4193">
    <cfRule type="expression" dxfId="4" priority="1154">
      <formula>C4188&lt;S4188</formula>
    </cfRule>
  </conditionalFormatting>
  <conditionalFormatting sqref="C4195:C4200">
    <cfRule type="expression" dxfId="4" priority="1156">
      <formula>C4195&lt;S4195</formula>
    </cfRule>
  </conditionalFormatting>
  <conditionalFormatting sqref="C4218:C4223">
    <cfRule type="expression" dxfId="4" priority="1085">
      <formula>C4218&lt;S4218</formula>
    </cfRule>
  </conditionalFormatting>
  <conditionalFormatting sqref="C4225:C4230">
    <cfRule type="expression" dxfId="4" priority="1087">
      <formula>C4225&lt;S4225</formula>
    </cfRule>
  </conditionalFormatting>
  <conditionalFormatting sqref="C4232:C4237">
    <cfRule type="expression" dxfId="4" priority="1089">
      <formula>C4232&lt;S4232</formula>
    </cfRule>
  </conditionalFormatting>
  <conditionalFormatting sqref="C4239:C4244">
    <cfRule type="expression" dxfId="4" priority="1091">
      <formula>C4239&lt;S4239</formula>
    </cfRule>
  </conditionalFormatting>
  <conditionalFormatting sqref="C4246:C4251">
    <cfRule type="expression" dxfId="4" priority="1093">
      <formula>C4246&lt;S4246</formula>
    </cfRule>
  </conditionalFormatting>
  <conditionalFormatting sqref="C4253:C4258">
    <cfRule type="expression" dxfId="4" priority="1095">
      <formula>C4253&lt;S4253</formula>
    </cfRule>
  </conditionalFormatting>
  <conditionalFormatting sqref="C4260:C4265">
    <cfRule type="expression" dxfId="4" priority="1097">
      <formula>C4260&lt;S4260</formula>
    </cfRule>
  </conditionalFormatting>
  <conditionalFormatting sqref="C4283:C4288">
    <cfRule type="expression" dxfId="4" priority="1026">
      <formula>C4283&lt;S4283</formula>
    </cfRule>
  </conditionalFormatting>
  <conditionalFormatting sqref="C4290:C4295">
    <cfRule type="expression" dxfId="4" priority="1028">
      <formula>C4290&lt;S4290</formula>
    </cfRule>
  </conditionalFormatting>
  <conditionalFormatting sqref="C4297:C4302">
    <cfRule type="expression" dxfId="4" priority="1030">
      <formula>C4297&lt;S4297</formula>
    </cfRule>
  </conditionalFormatting>
  <conditionalFormatting sqref="C4304:C4309">
    <cfRule type="expression" dxfId="4" priority="1032">
      <formula>C4304&lt;S4304</formula>
    </cfRule>
  </conditionalFormatting>
  <conditionalFormatting sqref="C4311:C4316">
    <cfRule type="expression" dxfId="4" priority="1034">
      <formula>C4311&lt;S4311</formula>
    </cfRule>
  </conditionalFormatting>
  <conditionalFormatting sqref="C4318:C4323">
    <cfRule type="expression" dxfId="4" priority="1036">
      <formula>C4318&lt;S4318</formula>
    </cfRule>
  </conditionalFormatting>
  <conditionalFormatting sqref="C4325:C4330">
    <cfRule type="expression" dxfId="4" priority="1038">
      <formula>C4325&lt;S4325</formula>
    </cfRule>
  </conditionalFormatting>
  <conditionalFormatting sqref="C4348:C4353">
    <cfRule type="expression" dxfId="4" priority="967">
      <formula>C4348&lt;S4348</formula>
    </cfRule>
  </conditionalFormatting>
  <conditionalFormatting sqref="C4355:C4360">
    <cfRule type="expression" dxfId="4" priority="969">
      <formula>C4355&lt;S4355</formula>
    </cfRule>
  </conditionalFormatting>
  <conditionalFormatting sqref="C4362:C4367">
    <cfRule type="expression" dxfId="4" priority="971">
      <formula>C4362&lt;S4362</formula>
    </cfRule>
  </conditionalFormatting>
  <conditionalFormatting sqref="C4369:C4374">
    <cfRule type="expression" dxfId="4" priority="973">
      <formula>C4369&lt;S4369</formula>
    </cfRule>
  </conditionalFormatting>
  <conditionalFormatting sqref="C4376:C4381">
    <cfRule type="expression" dxfId="4" priority="975">
      <formula>C4376&lt;S4376</formula>
    </cfRule>
  </conditionalFormatting>
  <conditionalFormatting sqref="C4383:C4388">
    <cfRule type="expression" dxfId="4" priority="977">
      <formula>C4383&lt;S4383</formula>
    </cfRule>
  </conditionalFormatting>
  <conditionalFormatting sqref="C4390:C4395">
    <cfRule type="expression" dxfId="4" priority="979">
      <formula>C4390&lt;S4390</formula>
    </cfRule>
  </conditionalFormatting>
  <conditionalFormatting sqref="C4413:C4418">
    <cfRule type="expression" dxfId="4" priority="908">
      <formula>C4413&lt;S4413</formula>
    </cfRule>
  </conditionalFormatting>
  <conditionalFormatting sqref="C4420:C4425">
    <cfRule type="expression" dxfId="4" priority="910">
      <formula>C4420&lt;S4420</formula>
    </cfRule>
  </conditionalFormatting>
  <conditionalFormatting sqref="C4427:C4432">
    <cfRule type="expression" dxfId="4" priority="912">
      <formula>C4427&lt;S4427</formula>
    </cfRule>
  </conditionalFormatting>
  <conditionalFormatting sqref="C4434:C4439">
    <cfRule type="expression" dxfId="4" priority="914">
      <formula>C4434&lt;S4434</formula>
    </cfRule>
  </conditionalFormatting>
  <conditionalFormatting sqref="C4441:C4446">
    <cfRule type="expression" dxfId="4" priority="916">
      <formula>C4441&lt;S4441</formula>
    </cfRule>
  </conditionalFormatting>
  <conditionalFormatting sqref="C4448:C4453">
    <cfRule type="expression" dxfId="4" priority="918">
      <formula>C4448&lt;S4448</formula>
    </cfRule>
  </conditionalFormatting>
  <conditionalFormatting sqref="C4455:C4460">
    <cfRule type="expression" dxfId="4" priority="920">
      <formula>C4455&lt;S4455</formula>
    </cfRule>
  </conditionalFormatting>
  <conditionalFormatting sqref="C4478:C4483">
    <cfRule type="expression" dxfId="4" priority="849">
      <formula>C4478&lt;S4478</formula>
    </cfRule>
  </conditionalFormatting>
  <conditionalFormatting sqref="C4485:C4490">
    <cfRule type="expression" dxfId="4" priority="851">
      <formula>C4485&lt;S4485</formula>
    </cfRule>
  </conditionalFormatting>
  <conditionalFormatting sqref="C4492:C4497">
    <cfRule type="expression" dxfId="4" priority="853">
      <formula>C4492&lt;S4492</formula>
    </cfRule>
  </conditionalFormatting>
  <conditionalFormatting sqref="C4499:C4504">
    <cfRule type="expression" dxfId="4" priority="855">
      <formula>C4499&lt;S4499</formula>
    </cfRule>
  </conditionalFormatting>
  <conditionalFormatting sqref="C4506:C4511">
    <cfRule type="expression" dxfId="4" priority="857">
      <formula>C4506&lt;S4506</formula>
    </cfRule>
  </conditionalFormatting>
  <conditionalFormatting sqref="C4513:C4518">
    <cfRule type="expression" dxfId="4" priority="859">
      <formula>C4513&lt;S4513</formula>
    </cfRule>
  </conditionalFormatting>
  <conditionalFormatting sqref="C4520:C4525">
    <cfRule type="expression" dxfId="4" priority="861">
      <formula>C4520&lt;S4520</formula>
    </cfRule>
  </conditionalFormatting>
  <conditionalFormatting sqref="C4543:C4548">
    <cfRule type="expression" dxfId="4" priority="790">
      <formula>C4543&lt;S4543</formula>
    </cfRule>
  </conditionalFormatting>
  <conditionalFormatting sqref="C4550:C4555">
    <cfRule type="expression" dxfId="4" priority="792">
      <formula>C4550&lt;S4550</formula>
    </cfRule>
  </conditionalFormatting>
  <conditionalFormatting sqref="C4557:C4562">
    <cfRule type="expression" dxfId="4" priority="794">
      <formula>C4557&lt;S4557</formula>
    </cfRule>
  </conditionalFormatting>
  <conditionalFormatting sqref="C4564:C4569">
    <cfRule type="expression" dxfId="4" priority="796">
      <formula>C4564&lt;S4564</formula>
    </cfRule>
  </conditionalFormatting>
  <conditionalFormatting sqref="C4571:C4576">
    <cfRule type="expression" dxfId="4" priority="798">
      <formula>C4571&lt;S4571</formula>
    </cfRule>
  </conditionalFormatting>
  <conditionalFormatting sqref="C4578:C4583">
    <cfRule type="expression" dxfId="4" priority="800">
      <formula>C4578&lt;S4578</formula>
    </cfRule>
  </conditionalFormatting>
  <conditionalFormatting sqref="C4585:C4590">
    <cfRule type="expression" dxfId="4" priority="802">
      <formula>C4585&lt;S4585</formula>
    </cfRule>
  </conditionalFormatting>
  <conditionalFormatting sqref="C4608:C4613">
    <cfRule type="expression" dxfId="4" priority="731">
      <formula>C4608&lt;S4608</formula>
    </cfRule>
  </conditionalFormatting>
  <conditionalFormatting sqref="C4615:C4620">
    <cfRule type="expression" dxfId="4" priority="733">
      <formula>C4615&lt;S4615</formula>
    </cfRule>
  </conditionalFormatting>
  <conditionalFormatting sqref="C4622:C4627">
    <cfRule type="expression" dxfId="4" priority="735">
      <formula>C4622&lt;S4622</formula>
    </cfRule>
  </conditionalFormatting>
  <conditionalFormatting sqref="C4629:C4634">
    <cfRule type="expression" dxfId="4" priority="737">
      <formula>C4629&lt;S4629</formula>
    </cfRule>
  </conditionalFormatting>
  <conditionalFormatting sqref="C4636:C4641">
    <cfRule type="expression" dxfId="4" priority="739">
      <formula>C4636&lt;S4636</formula>
    </cfRule>
  </conditionalFormatting>
  <conditionalFormatting sqref="C4643:C4648">
    <cfRule type="expression" dxfId="4" priority="741">
      <formula>C4643&lt;S4643</formula>
    </cfRule>
  </conditionalFormatting>
  <conditionalFormatting sqref="C4650:C4655">
    <cfRule type="expression" dxfId="4" priority="743">
      <formula>C4650&lt;S4650</formula>
    </cfRule>
  </conditionalFormatting>
  <conditionalFormatting sqref="C4673:C4678">
    <cfRule type="expression" dxfId="4" priority="672">
      <formula>C4673&lt;S4673</formula>
    </cfRule>
  </conditionalFormatting>
  <conditionalFormatting sqref="C4680:C4685">
    <cfRule type="expression" dxfId="4" priority="674">
      <formula>C4680&lt;S4680</formula>
    </cfRule>
  </conditionalFormatting>
  <conditionalFormatting sqref="C4687:C4692">
    <cfRule type="expression" dxfId="4" priority="676">
      <formula>C4687&lt;S4687</formula>
    </cfRule>
  </conditionalFormatting>
  <conditionalFormatting sqref="C4694:C4699">
    <cfRule type="expression" dxfId="4" priority="678">
      <formula>C4694&lt;S4694</formula>
    </cfRule>
  </conditionalFormatting>
  <conditionalFormatting sqref="C4701:C4706">
    <cfRule type="expression" dxfId="4" priority="680">
      <formula>C4701&lt;S4701</formula>
    </cfRule>
  </conditionalFormatting>
  <conditionalFormatting sqref="C4708:C4713">
    <cfRule type="expression" dxfId="4" priority="682">
      <formula>C4708&lt;S4708</formula>
    </cfRule>
  </conditionalFormatting>
  <conditionalFormatting sqref="C4715:C4720">
    <cfRule type="expression" dxfId="4" priority="684">
      <formula>C4715&lt;S4715</formula>
    </cfRule>
  </conditionalFormatting>
  <conditionalFormatting sqref="C4738:C4743">
    <cfRule type="expression" dxfId="4" priority="613">
      <formula>C4738&lt;S4738</formula>
    </cfRule>
  </conditionalFormatting>
  <conditionalFormatting sqref="C4745:C4750">
    <cfRule type="expression" dxfId="4" priority="615">
      <formula>C4745&lt;S4745</formula>
    </cfRule>
  </conditionalFormatting>
  <conditionalFormatting sqref="C4752:C4757">
    <cfRule type="expression" dxfId="4" priority="617">
      <formula>C4752&lt;S4752</formula>
    </cfRule>
  </conditionalFormatting>
  <conditionalFormatting sqref="C4759:C4764">
    <cfRule type="expression" dxfId="4" priority="619">
      <formula>C4759&lt;S4759</formula>
    </cfRule>
  </conditionalFormatting>
  <conditionalFormatting sqref="C4766:C4771">
    <cfRule type="expression" dxfId="4" priority="621">
      <formula>C4766&lt;S4766</formula>
    </cfRule>
  </conditionalFormatting>
  <conditionalFormatting sqref="C4773:C4778">
    <cfRule type="expression" dxfId="4" priority="623">
      <formula>C4773&lt;S4773</formula>
    </cfRule>
  </conditionalFormatting>
  <conditionalFormatting sqref="C4780:C4785">
    <cfRule type="expression" dxfId="4" priority="625">
      <formula>C4780&lt;S4780</formula>
    </cfRule>
  </conditionalFormatting>
  <conditionalFormatting sqref="C4803:C4808">
    <cfRule type="expression" dxfId="4" priority="554">
      <formula>C4803&lt;S4803</formula>
    </cfRule>
  </conditionalFormatting>
  <conditionalFormatting sqref="C4810:C4815">
    <cfRule type="expression" dxfId="4" priority="556">
      <formula>C4810&lt;S4810</formula>
    </cfRule>
  </conditionalFormatting>
  <conditionalFormatting sqref="C4817:C4822">
    <cfRule type="expression" dxfId="4" priority="558">
      <formula>C4817&lt;S4817</formula>
    </cfRule>
  </conditionalFormatting>
  <conditionalFormatting sqref="C4824:C4829">
    <cfRule type="expression" dxfId="4" priority="560">
      <formula>C4824&lt;S4824</formula>
    </cfRule>
  </conditionalFormatting>
  <conditionalFormatting sqref="C4831:C4836">
    <cfRule type="expression" dxfId="4" priority="562">
      <formula>C4831&lt;S4831</formula>
    </cfRule>
  </conditionalFormatting>
  <conditionalFormatting sqref="C4838:C4843">
    <cfRule type="expression" dxfId="4" priority="564">
      <formula>C4838&lt;S4838</formula>
    </cfRule>
  </conditionalFormatting>
  <conditionalFormatting sqref="C4845:C4850">
    <cfRule type="expression" dxfId="4" priority="566">
      <formula>C4845&lt;S4845</formula>
    </cfRule>
  </conditionalFormatting>
  <conditionalFormatting sqref="C4868:C4873">
    <cfRule type="expression" dxfId="4" priority="495">
      <formula>C4868&lt;S4868</formula>
    </cfRule>
  </conditionalFormatting>
  <conditionalFormatting sqref="C4875:C4880">
    <cfRule type="expression" dxfId="4" priority="497">
      <formula>C4875&lt;S4875</formula>
    </cfRule>
  </conditionalFormatting>
  <conditionalFormatting sqref="C4882:C4887">
    <cfRule type="expression" dxfId="4" priority="499">
      <formula>C4882&lt;S4882</formula>
    </cfRule>
  </conditionalFormatting>
  <conditionalFormatting sqref="C4889:C4894">
    <cfRule type="expression" dxfId="4" priority="501">
      <formula>C4889&lt;S4889</formula>
    </cfRule>
  </conditionalFormatting>
  <conditionalFormatting sqref="C4896:C4901">
    <cfRule type="expression" dxfId="4" priority="503">
      <formula>C4896&lt;S4896</formula>
    </cfRule>
  </conditionalFormatting>
  <conditionalFormatting sqref="C4903:C4908">
    <cfRule type="expression" dxfId="4" priority="505">
      <formula>C4903&lt;S4903</formula>
    </cfRule>
  </conditionalFormatting>
  <conditionalFormatting sqref="C4910:C4915">
    <cfRule type="expression" dxfId="4" priority="507">
      <formula>C4910&lt;S4910</formula>
    </cfRule>
  </conditionalFormatting>
  <conditionalFormatting sqref="C4933:C4938">
    <cfRule type="expression" dxfId="4" priority="436">
      <formula>C4933&lt;S4933</formula>
    </cfRule>
  </conditionalFormatting>
  <conditionalFormatting sqref="C4940:C4945">
    <cfRule type="expression" dxfId="4" priority="438">
      <formula>C4940&lt;S4940</formula>
    </cfRule>
  </conditionalFormatting>
  <conditionalFormatting sqref="C4947:C4952">
    <cfRule type="expression" dxfId="4" priority="440">
      <formula>C4947&lt;S4947</formula>
    </cfRule>
  </conditionalFormatting>
  <conditionalFormatting sqref="C4954:C4959">
    <cfRule type="expression" dxfId="4" priority="442">
      <formula>C4954&lt;S4954</formula>
    </cfRule>
  </conditionalFormatting>
  <conditionalFormatting sqref="C4961:C4966">
    <cfRule type="expression" dxfId="4" priority="444">
      <formula>C4961&lt;S4961</formula>
    </cfRule>
  </conditionalFormatting>
  <conditionalFormatting sqref="C4968:C4973">
    <cfRule type="expression" dxfId="4" priority="446">
      <formula>C4968&lt;S4968</formula>
    </cfRule>
  </conditionalFormatting>
  <conditionalFormatting sqref="C4975:C4980">
    <cfRule type="expression" dxfId="4" priority="448">
      <formula>C4975&lt;S4975</formula>
    </cfRule>
  </conditionalFormatting>
  <conditionalFormatting sqref="C4998:C5003">
    <cfRule type="expression" dxfId="4" priority="377">
      <formula>C4998&lt;S4998</formula>
    </cfRule>
  </conditionalFormatting>
  <conditionalFormatting sqref="C5005:C5010">
    <cfRule type="expression" dxfId="4" priority="379">
      <formula>C5005&lt;S5005</formula>
    </cfRule>
  </conditionalFormatting>
  <conditionalFormatting sqref="C5012:C5017">
    <cfRule type="expression" dxfId="4" priority="381">
      <formula>C5012&lt;S5012</formula>
    </cfRule>
  </conditionalFormatting>
  <conditionalFormatting sqref="C5019:C5024">
    <cfRule type="expression" dxfId="4" priority="383">
      <formula>C5019&lt;S5019</formula>
    </cfRule>
  </conditionalFormatting>
  <conditionalFormatting sqref="C5026:C5031">
    <cfRule type="expression" dxfId="4" priority="385">
      <formula>C5026&lt;S5026</formula>
    </cfRule>
  </conditionalFormatting>
  <conditionalFormatting sqref="C5033:C5038">
    <cfRule type="expression" dxfId="4" priority="387">
      <formula>C5033&lt;S5033</formula>
    </cfRule>
  </conditionalFormatting>
  <conditionalFormatting sqref="C5040:C5045">
    <cfRule type="expression" dxfId="4" priority="389">
      <formula>C5040&lt;S5040</formula>
    </cfRule>
  </conditionalFormatting>
  <conditionalFormatting sqref="C5063:C5068">
    <cfRule type="expression" dxfId="4" priority="318">
      <formula>C5063&lt;S5063</formula>
    </cfRule>
  </conditionalFormatting>
  <conditionalFormatting sqref="C5070:C5075">
    <cfRule type="expression" dxfId="4" priority="320">
      <formula>C5070&lt;S5070</formula>
    </cfRule>
  </conditionalFormatting>
  <conditionalFormatting sqref="C5077:C5082">
    <cfRule type="expression" dxfId="4" priority="322">
      <formula>C5077&lt;S5077</formula>
    </cfRule>
  </conditionalFormatting>
  <conditionalFormatting sqref="C5084:C5089">
    <cfRule type="expression" dxfId="4" priority="324">
      <formula>C5084&lt;S5084</formula>
    </cfRule>
  </conditionalFormatting>
  <conditionalFormatting sqref="C5091:C5096">
    <cfRule type="expression" dxfId="4" priority="326">
      <formula>C5091&lt;S5091</formula>
    </cfRule>
  </conditionalFormatting>
  <conditionalFormatting sqref="C5098:C5103">
    <cfRule type="expression" dxfId="4" priority="328">
      <formula>C5098&lt;S5098</formula>
    </cfRule>
  </conditionalFormatting>
  <conditionalFormatting sqref="C5105:C5110">
    <cfRule type="expression" dxfId="4" priority="330">
      <formula>C5105&lt;S5105</formula>
    </cfRule>
  </conditionalFormatting>
  <conditionalFormatting sqref="C5127:C5175">
    <cfRule type="expression" dxfId="4" priority="311">
      <formula>C5127&lt;S5127</formula>
    </cfRule>
  </conditionalFormatting>
  <conditionalFormatting sqref="C5387:C5435">
    <cfRule type="expression" dxfId="4" priority="288">
      <formula>C5387&lt;S5387</formula>
    </cfRule>
  </conditionalFormatting>
  <conditionalFormatting sqref="C5452:C5500">
    <cfRule type="expression" dxfId="4" priority="284">
      <formula>C5452&lt;S5452</formula>
    </cfRule>
  </conditionalFormatting>
  <conditionalFormatting sqref="C5517:C5565">
    <cfRule type="expression" dxfId="4" priority="280">
      <formula>C5517&lt;#REF!</formula>
    </cfRule>
  </conditionalFormatting>
  <conditionalFormatting sqref="C5582:C5630">
    <cfRule type="expression" dxfId="4" priority="274">
      <formula>C5582&lt;S5582</formula>
    </cfRule>
  </conditionalFormatting>
  <conditionalFormatting sqref="C5647:C5695">
    <cfRule type="expression" dxfId="4" priority="270">
      <formula>C5647&lt;S5647</formula>
    </cfRule>
  </conditionalFormatting>
  <conditionalFormatting sqref="C5712:C5760">
    <cfRule type="expression" dxfId="4" priority="266">
      <formula>C5712&lt;S5712</formula>
    </cfRule>
  </conditionalFormatting>
  <conditionalFormatting sqref="C5777:C5825">
    <cfRule type="expression" dxfId="4" priority="260">
      <formula>C5777&lt;S5777</formula>
    </cfRule>
  </conditionalFormatting>
  <conditionalFormatting sqref="C5842:C5890">
    <cfRule type="expression" dxfId="4" priority="254">
      <formula>C5842&lt;S5842</formula>
    </cfRule>
  </conditionalFormatting>
  <conditionalFormatting sqref="C5907:C5955">
    <cfRule type="expression" dxfId="4" priority="250">
      <formula>C5907&lt;S5907</formula>
    </cfRule>
  </conditionalFormatting>
  <conditionalFormatting sqref="C5972:C6020">
    <cfRule type="expression" dxfId="4" priority="243">
      <formula>C5972&lt;S5972</formula>
    </cfRule>
  </conditionalFormatting>
  <conditionalFormatting sqref="C6037:C6085">
    <cfRule type="expression" dxfId="4" priority="239">
      <formula>C6037&lt;S6037</formula>
    </cfRule>
  </conditionalFormatting>
  <conditionalFormatting sqref="C6102:C6150">
    <cfRule type="expression" dxfId="4" priority="232">
      <formula>C6102&lt;S6102</formula>
    </cfRule>
  </conditionalFormatting>
  <conditionalFormatting sqref="C6167:C6215">
    <cfRule type="expression" dxfId="4" priority="225">
      <formula>C6167&lt;S6167</formula>
    </cfRule>
  </conditionalFormatting>
  <conditionalFormatting sqref="C6232:C6280">
    <cfRule type="expression" dxfId="4" priority="218">
      <formula>C6232&lt;S6232</formula>
    </cfRule>
  </conditionalFormatting>
  <conditionalFormatting sqref="C6297:C6345">
    <cfRule type="expression" dxfId="4" priority="213">
      <formula>C6297&lt;S6297</formula>
    </cfRule>
  </conditionalFormatting>
  <conditionalFormatting sqref="C6362:C6410">
    <cfRule type="expression" dxfId="4" priority="209">
      <formula>C6362&lt;S6362</formula>
    </cfRule>
  </conditionalFormatting>
  <conditionalFormatting sqref="C6427:C6475">
    <cfRule type="expression" dxfId="4" priority="205">
      <formula>C6427&lt;S6427</formula>
    </cfRule>
  </conditionalFormatting>
  <conditionalFormatting sqref="C6492:C6540">
    <cfRule type="expression" dxfId="4" priority="201">
      <formula>C6492&lt;S6492</formula>
    </cfRule>
  </conditionalFormatting>
  <conditionalFormatting sqref="C6557:C6605">
    <cfRule type="expression" dxfId="4" priority="197">
      <formula>C6557&lt;S6557</formula>
    </cfRule>
  </conditionalFormatting>
  <conditionalFormatting sqref="C6622:C6670">
    <cfRule type="expression" dxfId="4" priority="191">
      <formula>C6622&lt;S6622</formula>
    </cfRule>
  </conditionalFormatting>
  <conditionalFormatting sqref="C6687:C6735">
    <cfRule type="expression" dxfId="4" priority="185">
      <formula>C6687&lt;S6687</formula>
    </cfRule>
  </conditionalFormatting>
  <conditionalFormatting sqref="C6752:C6800">
    <cfRule type="expression" dxfId="4" priority="181">
      <formula>C6752&lt;S6752</formula>
    </cfRule>
  </conditionalFormatting>
  <conditionalFormatting sqref="C6817:C6865">
    <cfRule type="expression" dxfId="4" priority="177">
      <formula>C6817&lt;S6817</formula>
    </cfRule>
  </conditionalFormatting>
  <conditionalFormatting sqref="C6882:C6930">
    <cfRule type="expression" dxfId="4" priority="171">
      <formula>C6882&lt;S6882</formula>
    </cfRule>
  </conditionalFormatting>
  <conditionalFormatting sqref="C6947:C6995">
    <cfRule type="expression" dxfId="4" priority="165">
      <formula>C6947&lt;S6947</formula>
    </cfRule>
  </conditionalFormatting>
  <conditionalFormatting sqref="C7012:C7060">
    <cfRule type="expression" dxfId="4" priority="161">
      <formula>C7012&lt;S7012</formula>
    </cfRule>
  </conditionalFormatting>
  <conditionalFormatting sqref="C7077:C7125">
    <cfRule type="expression" dxfId="4" priority="157">
      <formula>C7077&lt;S7077</formula>
    </cfRule>
  </conditionalFormatting>
  <conditionalFormatting sqref="C7142:C7190">
    <cfRule type="expression" dxfId="4" priority="149">
      <formula>C7142&lt;S7142</formula>
    </cfRule>
  </conditionalFormatting>
  <conditionalFormatting sqref="C7207:C7255">
    <cfRule type="expression" dxfId="4" priority="145">
      <formula>C7207&lt;S7207</formula>
    </cfRule>
  </conditionalFormatting>
  <conditionalFormatting sqref="C7272:C7279">
    <cfRule type="expression" dxfId="4" priority="142">
      <formula>C7272&lt;S7272</formula>
    </cfRule>
  </conditionalFormatting>
  <conditionalFormatting sqref="C7280:C7286">
    <cfRule type="expression" dxfId="4" priority="137">
      <formula>C7280&lt;S7280</formula>
    </cfRule>
  </conditionalFormatting>
  <conditionalFormatting sqref="C7287:C7293">
    <cfRule type="expression" dxfId="4" priority="135">
      <formula>C7287&lt;S7287</formula>
    </cfRule>
  </conditionalFormatting>
  <conditionalFormatting sqref="C7294:C7300">
    <cfRule type="expression" dxfId="4" priority="133">
      <formula>C7294&lt;S7294</formula>
    </cfRule>
  </conditionalFormatting>
  <conditionalFormatting sqref="C7301:C7307">
    <cfRule type="expression" dxfId="4" priority="131">
      <formula>C7301&lt;S7301</formula>
    </cfRule>
  </conditionalFormatting>
  <conditionalFormatting sqref="C7308:C7314">
    <cfRule type="expression" dxfId="4" priority="129">
      <formula>C7308&lt;S7308</formula>
    </cfRule>
  </conditionalFormatting>
  <conditionalFormatting sqref="C7315:C7320">
    <cfRule type="expression" dxfId="4" priority="127">
      <formula>C7315&lt;S7315</formula>
    </cfRule>
  </conditionalFormatting>
  <conditionalFormatting sqref="C7337:C7344">
    <cfRule type="expression" dxfId="4" priority="121">
      <formula>C7337&lt;S7337</formula>
    </cfRule>
  </conditionalFormatting>
  <conditionalFormatting sqref="C7345:C7351">
    <cfRule type="expression" dxfId="4" priority="116">
      <formula>C7345&lt;S7345</formula>
    </cfRule>
  </conditionalFormatting>
  <conditionalFormatting sqref="C7352:C7358">
    <cfRule type="expression" dxfId="4" priority="114">
      <formula>C7352&lt;S7352</formula>
    </cfRule>
  </conditionalFormatting>
  <conditionalFormatting sqref="C7359:C7365">
    <cfRule type="expression" dxfId="4" priority="112">
      <formula>C7359&lt;S7359</formula>
    </cfRule>
  </conditionalFormatting>
  <conditionalFormatting sqref="C7366:C7372">
    <cfRule type="expression" dxfId="4" priority="110">
      <formula>C7366&lt;S7366</formula>
    </cfRule>
  </conditionalFormatting>
  <conditionalFormatting sqref="C7373:C7379">
    <cfRule type="expression" dxfId="4" priority="108">
      <formula>C7373&lt;S7373</formula>
    </cfRule>
  </conditionalFormatting>
  <conditionalFormatting sqref="C7380:C7385">
    <cfRule type="expression" dxfId="4" priority="106">
      <formula>C7380&lt;S7380</formula>
    </cfRule>
  </conditionalFormatting>
  <conditionalFormatting sqref="C7402:C7409">
    <cfRule type="expression" dxfId="4" priority="100">
      <formula>C7402&lt;S7402</formula>
    </cfRule>
  </conditionalFormatting>
  <conditionalFormatting sqref="C7410:C7416">
    <cfRule type="expression" dxfId="4" priority="95">
      <formula>C7410&lt;S7410</formula>
    </cfRule>
  </conditionalFormatting>
  <conditionalFormatting sqref="C7417:C7423">
    <cfRule type="expression" dxfId="4" priority="93">
      <formula>C7417&lt;S7417</formula>
    </cfRule>
  </conditionalFormatting>
  <conditionalFormatting sqref="C7424:C7430">
    <cfRule type="expression" dxfId="4" priority="91">
      <formula>C7424&lt;S7424</formula>
    </cfRule>
  </conditionalFormatting>
  <conditionalFormatting sqref="C7431:C7437">
    <cfRule type="expression" dxfId="4" priority="89">
      <formula>C7431&lt;S7431</formula>
    </cfRule>
  </conditionalFormatting>
  <conditionalFormatting sqref="C7438:C7444">
    <cfRule type="expression" dxfId="4" priority="87">
      <formula>C7438&lt;S7438</formula>
    </cfRule>
  </conditionalFormatting>
  <conditionalFormatting sqref="C7445:C7450">
    <cfRule type="expression" dxfId="4" priority="85">
      <formula>C7445&lt;S7445</formula>
    </cfRule>
  </conditionalFormatting>
  <conditionalFormatting sqref="C7467:C7474">
    <cfRule type="expression" dxfId="4" priority="79">
      <formula>C7467&lt;S7467</formula>
    </cfRule>
  </conditionalFormatting>
  <conditionalFormatting sqref="C7475:C7481">
    <cfRule type="expression" dxfId="4" priority="74">
      <formula>C7475&lt;S7475</formula>
    </cfRule>
  </conditionalFormatting>
  <conditionalFormatting sqref="C7482:C7488">
    <cfRule type="expression" dxfId="4" priority="72">
      <formula>C7482&lt;S7482</formula>
    </cfRule>
  </conditionalFormatting>
  <conditionalFormatting sqref="C7489:C7495">
    <cfRule type="expression" dxfId="4" priority="70">
      <formula>C7489&lt;S7489</formula>
    </cfRule>
  </conditionalFormatting>
  <conditionalFormatting sqref="C7496:C7502">
    <cfRule type="expression" dxfId="4" priority="68">
      <formula>C7496&lt;S7496</formula>
    </cfRule>
  </conditionalFormatting>
  <conditionalFormatting sqref="C7503:C7509">
    <cfRule type="expression" dxfId="4" priority="66">
      <formula>C7503&lt;S7503</formula>
    </cfRule>
  </conditionalFormatting>
  <conditionalFormatting sqref="C7510:C7515">
    <cfRule type="expression" dxfId="4" priority="64">
      <formula>C7510&lt;S7510</formula>
    </cfRule>
  </conditionalFormatting>
  <conditionalFormatting sqref="C7532:C7539">
    <cfRule type="expression" dxfId="4" priority="58">
      <formula>C7532&lt;S7532</formula>
    </cfRule>
  </conditionalFormatting>
  <conditionalFormatting sqref="C7540:C7546">
    <cfRule type="expression" dxfId="4" priority="53">
      <formula>C7540&lt;S7540</formula>
    </cfRule>
  </conditionalFormatting>
  <conditionalFormatting sqref="C7547:C7553">
    <cfRule type="expression" dxfId="4" priority="51">
      <formula>C7547&lt;S7547</formula>
    </cfRule>
  </conditionalFormatting>
  <conditionalFormatting sqref="C7554:C7560">
    <cfRule type="expression" dxfId="4" priority="49">
      <formula>C7554&lt;S7554</formula>
    </cfRule>
  </conditionalFormatting>
  <conditionalFormatting sqref="C7561:C7567">
    <cfRule type="expression" dxfId="4" priority="47">
      <formula>C7561&lt;S7561</formula>
    </cfRule>
  </conditionalFormatting>
  <conditionalFormatting sqref="C7568:C7574">
    <cfRule type="expression" dxfId="4" priority="45">
      <formula>C7568&lt;S7568</formula>
    </cfRule>
  </conditionalFormatting>
  <conditionalFormatting sqref="C7575:C7580">
    <cfRule type="expression" dxfId="4" priority="43">
      <formula>C7575&lt;S7575</formula>
    </cfRule>
  </conditionalFormatting>
  <conditionalFormatting sqref="C7597:C7645">
    <cfRule type="expression" dxfId="4" priority="36">
      <formula>C7597&lt;S7597</formula>
    </cfRule>
  </conditionalFormatting>
  <conditionalFormatting sqref="C7662:C7710">
    <cfRule type="expression" dxfId="4" priority="32">
      <formula>C7662&lt;S7662</formula>
    </cfRule>
  </conditionalFormatting>
  <conditionalFormatting sqref="C7727:C7775">
    <cfRule type="expression" dxfId="4" priority="28">
      <formula>C7727&lt;S7727</formula>
    </cfRule>
  </conditionalFormatting>
  <conditionalFormatting sqref="C7792:C7840">
    <cfRule type="expression" dxfId="4" priority="24">
      <formula>C7792&lt;S7792</formula>
    </cfRule>
  </conditionalFormatting>
  <conditionalFormatting sqref="C7922:C7970">
    <cfRule type="expression" dxfId="4" priority="14">
      <formula>C7922&lt;S7922</formula>
    </cfRule>
  </conditionalFormatting>
  <conditionalFormatting sqref="C7987:C8035">
    <cfRule type="expression" dxfId="4" priority="10">
      <formula>C7987&lt;S7987</formula>
    </cfRule>
  </conditionalFormatting>
  <conditionalFormatting sqref="C8052:C8100">
    <cfRule type="expression" dxfId="4" priority="6">
      <formula>C8052&lt;S8052</formula>
    </cfRule>
  </conditionalFormatting>
  <conditionalFormatting sqref="C8117:C8165">
    <cfRule type="expression" dxfId="4" priority="2">
      <formula>C8117&lt;S8117</formula>
    </cfRule>
  </conditionalFormatting>
  <conditionalFormatting sqref="D3:D51">
    <cfRule type="expression" dxfId="4" priority="4599">
      <formula>D3&lt;T3</formula>
    </cfRule>
  </conditionalFormatting>
  <conditionalFormatting sqref="D54:D102">
    <cfRule type="expression" dxfId="4" priority="4577">
      <formula>D54&lt;T54</formula>
    </cfRule>
  </conditionalFormatting>
  <conditionalFormatting sqref="D105:D153">
    <cfRule type="expression" dxfId="4" priority="4643">
      <formula>D105&lt;T105</formula>
    </cfRule>
  </conditionalFormatting>
  <conditionalFormatting sqref="D156:D204">
    <cfRule type="expression" dxfId="4" priority="4621">
      <formula>D156&lt;T156</formula>
    </cfRule>
  </conditionalFormatting>
  <conditionalFormatting sqref="D207:D255">
    <cfRule type="expression" dxfId="4" priority="4555">
      <formula>D207&lt;T207</formula>
    </cfRule>
  </conditionalFormatting>
  <conditionalFormatting sqref="D258:D306">
    <cfRule type="expression" dxfId="4" priority="4533">
      <formula>D258&lt;T258</formula>
    </cfRule>
  </conditionalFormatting>
  <conditionalFormatting sqref="D309:D357">
    <cfRule type="expression" dxfId="4" priority="4511">
      <formula>D309&lt;T309</formula>
    </cfRule>
  </conditionalFormatting>
  <conditionalFormatting sqref="D360:D408">
    <cfRule type="expression" dxfId="4" priority="4489">
      <formula>D360&lt;T360</formula>
    </cfRule>
  </conditionalFormatting>
  <conditionalFormatting sqref="D411:D459">
    <cfRule type="expression" dxfId="4" priority="4467">
      <formula>D411&lt;T411</formula>
    </cfRule>
  </conditionalFormatting>
  <conditionalFormatting sqref="D462:D510">
    <cfRule type="expression" dxfId="4" priority="4445">
      <formula>D462&lt;T462</formula>
    </cfRule>
  </conditionalFormatting>
  <conditionalFormatting sqref="D513:D561">
    <cfRule type="expression" dxfId="4" priority="4423">
      <formula>D513&lt;T513</formula>
    </cfRule>
  </conditionalFormatting>
  <conditionalFormatting sqref="D562:D568">
    <cfRule type="expression" dxfId="4" priority="4401">
      <formula>D562&lt;T562</formula>
    </cfRule>
  </conditionalFormatting>
  <conditionalFormatting sqref="D569:D575">
    <cfRule type="expression" dxfId="4" priority="4387">
      <formula>D569&lt;T569</formula>
    </cfRule>
  </conditionalFormatting>
  <conditionalFormatting sqref="D578:D626">
    <cfRule type="expression" dxfId="4" priority="4373">
      <formula>D578&lt;T578</formula>
    </cfRule>
  </conditionalFormatting>
  <conditionalFormatting sqref="D627:D633">
    <cfRule type="expression" dxfId="4" priority="4351">
      <formula>D627&lt;T627</formula>
    </cfRule>
  </conditionalFormatting>
  <conditionalFormatting sqref="D634:D640">
    <cfRule type="expression" dxfId="4" priority="4337">
      <formula>D634&lt;T634</formula>
    </cfRule>
  </conditionalFormatting>
  <conditionalFormatting sqref="D643:D691">
    <cfRule type="expression" dxfId="4" priority="4323">
      <formula>D643&lt;T643</formula>
    </cfRule>
  </conditionalFormatting>
  <conditionalFormatting sqref="D692:D698">
    <cfRule type="expression" dxfId="4" priority="4301">
      <formula>D692&lt;T692</formula>
    </cfRule>
  </conditionalFormatting>
  <conditionalFormatting sqref="D699:D705">
    <cfRule type="expression" dxfId="4" priority="4287">
      <formula>D699&lt;T699</formula>
    </cfRule>
  </conditionalFormatting>
  <conditionalFormatting sqref="D708:D756">
    <cfRule type="expression" dxfId="4" priority="4273">
      <formula>D708&lt;T708</formula>
    </cfRule>
  </conditionalFormatting>
  <conditionalFormatting sqref="D757:D763">
    <cfRule type="expression" dxfId="4" priority="4251">
      <formula>D757&lt;T757</formula>
    </cfRule>
  </conditionalFormatting>
  <conditionalFormatting sqref="D764:D770">
    <cfRule type="expression" dxfId="4" priority="4237">
      <formula>D764&lt;T764</formula>
    </cfRule>
  </conditionalFormatting>
  <conditionalFormatting sqref="D773:D821">
    <cfRule type="expression" dxfId="4" priority="4223">
      <formula>D773&lt;T773</formula>
    </cfRule>
  </conditionalFormatting>
  <conditionalFormatting sqref="D822:D828">
    <cfRule type="expression" dxfId="4" priority="4209">
      <formula>D822&lt;T822</formula>
    </cfRule>
  </conditionalFormatting>
  <conditionalFormatting sqref="D829:D835">
    <cfRule type="expression" dxfId="4" priority="4196">
      <formula>D829&lt;T829</formula>
    </cfRule>
  </conditionalFormatting>
  <conditionalFormatting sqref="D838:D886">
    <cfRule type="expression" dxfId="4" priority="4166">
      <formula>D838&lt;T838</formula>
    </cfRule>
  </conditionalFormatting>
  <conditionalFormatting sqref="D887:D893">
    <cfRule type="expression" dxfId="4" priority="4152">
      <formula>D887&lt;T887</formula>
    </cfRule>
  </conditionalFormatting>
  <conditionalFormatting sqref="D894:D900">
    <cfRule type="expression" dxfId="4" priority="4139">
      <formula>D894&lt;T894</formula>
    </cfRule>
  </conditionalFormatting>
  <conditionalFormatting sqref="D903:D951">
    <cfRule type="expression" dxfId="4" priority="4109">
      <formula>D903&lt;T903</formula>
    </cfRule>
  </conditionalFormatting>
  <conditionalFormatting sqref="D952:D958">
    <cfRule type="expression" dxfId="4" priority="4095">
      <formula>D952&lt;T952</formula>
    </cfRule>
  </conditionalFormatting>
  <conditionalFormatting sqref="D959:D965">
    <cfRule type="expression" dxfId="4" priority="4082">
      <formula>D959&lt;T959</formula>
    </cfRule>
  </conditionalFormatting>
  <conditionalFormatting sqref="D968:D1016">
    <cfRule type="expression" dxfId="4" priority="4052">
      <formula>D968&lt;T968</formula>
    </cfRule>
  </conditionalFormatting>
  <conditionalFormatting sqref="D1017:D1023">
    <cfRule type="expression" dxfId="4" priority="4038">
      <formula>D1017&lt;T1017</formula>
    </cfRule>
  </conditionalFormatting>
  <conditionalFormatting sqref="D1024:D1030">
    <cfRule type="expression" dxfId="4" priority="4025">
      <formula>D1024&lt;T1024</formula>
    </cfRule>
  </conditionalFormatting>
  <conditionalFormatting sqref="D1033:D1081">
    <cfRule type="expression" dxfId="4" priority="3995">
      <formula>D1033&lt;T1033</formula>
    </cfRule>
  </conditionalFormatting>
  <conditionalFormatting sqref="D1082:D1088">
    <cfRule type="expression" dxfId="4" priority="3981">
      <formula>D1082&lt;T1082</formula>
    </cfRule>
  </conditionalFormatting>
  <conditionalFormatting sqref="D1089:D1095">
    <cfRule type="expression" dxfId="4" priority="3968">
      <formula>D1089&lt;T1089</formula>
    </cfRule>
  </conditionalFormatting>
  <conditionalFormatting sqref="D1098:D1146">
    <cfRule type="expression" dxfId="4" priority="3938">
      <formula>D1098&lt;T1098</formula>
    </cfRule>
  </conditionalFormatting>
  <conditionalFormatting sqref="D1147:D1153">
    <cfRule type="expression" dxfId="4" priority="3924">
      <formula>D1147&lt;T1147</formula>
    </cfRule>
  </conditionalFormatting>
  <conditionalFormatting sqref="D1154:D1160">
    <cfRule type="expression" dxfId="4" priority="3911">
      <formula>D1154&lt;T1154</formula>
    </cfRule>
  </conditionalFormatting>
  <conditionalFormatting sqref="D1163:D1211">
    <cfRule type="expression" dxfId="4" priority="3881">
      <formula>D1163&lt;T1163</formula>
    </cfRule>
  </conditionalFormatting>
  <conditionalFormatting sqref="D1212:D1218">
    <cfRule type="expression" dxfId="4" priority="3867">
      <formula>D1212&lt;T1212</formula>
    </cfRule>
  </conditionalFormatting>
  <conditionalFormatting sqref="D1219:D1225">
    <cfRule type="expression" dxfId="4" priority="3854">
      <formula>D1219&lt;T1219</formula>
    </cfRule>
  </conditionalFormatting>
  <conditionalFormatting sqref="D1228:D1276">
    <cfRule type="expression" dxfId="4" priority="3824">
      <formula>D1228&lt;T1228</formula>
    </cfRule>
  </conditionalFormatting>
  <conditionalFormatting sqref="D1277:D1283">
    <cfRule type="expression" dxfId="4" priority="3810">
      <formula>D1277&lt;T1277</formula>
    </cfRule>
  </conditionalFormatting>
  <conditionalFormatting sqref="D1284:D1290">
    <cfRule type="expression" dxfId="4" priority="3797">
      <formula>D1284&lt;T1284</formula>
    </cfRule>
  </conditionalFormatting>
  <conditionalFormatting sqref="D1293:D1341">
    <cfRule type="expression" dxfId="4" priority="3767">
      <formula>D1293&lt;T1293</formula>
    </cfRule>
  </conditionalFormatting>
  <conditionalFormatting sqref="D1342:D1348">
    <cfRule type="expression" dxfId="4" priority="3753">
      <formula>D1342&lt;T1342</formula>
    </cfRule>
  </conditionalFormatting>
  <conditionalFormatting sqref="D1349:D1355">
    <cfRule type="expression" dxfId="4" priority="3740">
      <formula>D1349&lt;T1349</formula>
    </cfRule>
  </conditionalFormatting>
  <conditionalFormatting sqref="D1358:D1406">
    <cfRule type="expression" dxfId="4" priority="3710">
      <formula>D1358&lt;T1358</formula>
    </cfRule>
  </conditionalFormatting>
  <conditionalFormatting sqref="D1407:D1413">
    <cfRule type="expression" dxfId="4" priority="3696">
      <formula>D1407&lt;T1407</formula>
    </cfRule>
  </conditionalFormatting>
  <conditionalFormatting sqref="D1414:D1420">
    <cfRule type="expression" dxfId="4" priority="3683">
      <formula>D1414&lt;T1414</formula>
    </cfRule>
  </conditionalFormatting>
  <conditionalFormatting sqref="D1423:D1471">
    <cfRule type="expression" dxfId="4" priority="3653">
      <formula>D1423&lt;T1423</formula>
    </cfRule>
  </conditionalFormatting>
  <conditionalFormatting sqref="D1472:D1478">
    <cfRule type="expression" dxfId="4" priority="3639">
      <formula>D1472&lt;T1472</formula>
    </cfRule>
  </conditionalFormatting>
  <conditionalFormatting sqref="D1479:D1485">
    <cfRule type="expression" dxfId="4" priority="3626">
      <formula>D1479&lt;T1479</formula>
    </cfRule>
  </conditionalFormatting>
  <conditionalFormatting sqref="D1488:D1536">
    <cfRule type="expression" dxfId="4" priority="3596">
      <formula>D1488&lt;T1488</formula>
    </cfRule>
  </conditionalFormatting>
  <conditionalFormatting sqref="D1537:D1543">
    <cfRule type="expression" dxfId="4" priority="3582">
      <formula>D1537&lt;T1537</formula>
    </cfRule>
  </conditionalFormatting>
  <conditionalFormatting sqref="D1544:D1550">
    <cfRule type="expression" dxfId="4" priority="3569">
      <formula>D1544&lt;T1544</formula>
    </cfRule>
  </conditionalFormatting>
  <conditionalFormatting sqref="D1553:D1601">
    <cfRule type="expression" dxfId="4" priority="3539">
      <formula>D1553&lt;T1553</formula>
    </cfRule>
  </conditionalFormatting>
  <conditionalFormatting sqref="D1602:D1608">
    <cfRule type="expression" dxfId="4" priority="3525">
      <formula>D1602&lt;T1602</formula>
    </cfRule>
  </conditionalFormatting>
  <conditionalFormatting sqref="D1609:D1615">
    <cfRule type="expression" dxfId="4" priority="3512">
      <formula>D1609&lt;T1609</formula>
    </cfRule>
  </conditionalFormatting>
  <conditionalFormatting sqref="D1618:D1666">
    <cfRule type="expression" dxfId="4" priority="3482">
      <formula>D1618&lt;T1618</formula>
    </cfRule>
  </conditionalFormatting>
  <conditionalFormatting sqref="D1667:D1673">
    <cfRule type="expression" dxfId="4" priority="3468">
      <formula>D1667&lt;T1667</formula>
    </cfRule>
  </conditionalFormatting>
  <conditionalFormatting sqref="D1674:D1680">
    <cfRule type="expression" dxfId="4" priority="3455">
      <formula>D1674&lt;T1674</formula>
    </cfRule>
  </conditionalFormatting>
  <conditionalFormatting sqref="D1683:D1731">
    <cfRule type="expression" dxfId="4" priority="3425">
      <formula>D1683&lt;T1683</formula>
    </cfRule>
  </conditionalFormatting>
  <conditionalFormatting sqref="D1732:D1738">
    <cfRule type="expression" dxfId="4" priority="3411">
      <formula>D1732&lt;T1732</formula>
    </cfRule>
  </conditionalFormatting>
  <conditionalFormatting sqref="D1739:D1745">
    <cfRule type="expression" dxfId="4" priority="3398">
      <formula>D1739&lt;T1739</formula>
    </cfRule>
  </conditionalFormatting>
  <conditionalFormatting sqref="D1748:D1796">
    <cfRule type="expression" dxfId="4" priority="3368">
      <formula>D1748&lt;T1748</formula>
    </cfRule>
  </conditionalFormatting>
  <conditionalFormatting sqref="D1797:D1803">
    <cfRule type="expression" dxfId="4" priority="3354">
      <formula>D1797&lt;T1797</formula>
    </cfRule>
  </conditionalFormatting>
  <conditionalFormatting sqref="D1804:D1810">
    <cfRule type="expression" dxfId="4" priority="3341">
      <formula>D1804&lt;T1804</formula>
    </cfRule>
  </conditionalFormatting>
  <conditionalFormatting sqref="D1813:D1861">
    <cfRule type="expression" dxfId="4" priority="3311">
      <formula>D1813&lt;T1813</formula>
    </cfRule>
  </conditionalFormatting>
  <conditionalFormatting sqref="D1862:D1868">
    <cfRule type="expression" dxfId="4" priority="3297">
      <formula>D1862&lt;T1862</formula>
    </cfRule>
  </conditionalFormatting>
  <conditionalFormatting sqref="D1869:D1875">
    <cfRule type="expression" dxfId="4" priority="3284">
      <formula>D1869&lt;T1869</formula>
    </cfRule>
  </conditionalFormatting>
  <conditionalFormatting sqref="D1878:D1926">
    <cfRule type="expression" dxfId="4" priority="3254">
      <formula>D1878&lt;T1878</formula>
    </cfRule>
  </conditionalFormatting>
  <conditionalFormatting sqref="D1927:D1933">
    <cfRule type="expression" dxfId="4" priority="3240">
      <formula>D1927&lt;T1927</formula>
    </cfRule>
  </conditionalFormatting>
  <conditionalFormatting sqref="D1934:D1940">
    <cfRule type="expression" dxfId="4" priority="3227">
      <formula>D1934&lt;T1934</formula>
    </cfRule>
  </conditionalFormatting>
  <conditionalFormatting sqref="D2008:D2056">
    <cfRule type="expression" dxfId="4" priority="3136">
      <formula>D2008&lt;T2008</formula>
    </cfRule>
  </conditionalFormatting>
  <conditionalFormatting sqref="D2057:D2063">
    <cfRule type="expression" dxfId="4" priority="3122">
      <formula>D2057&lt;T2057</formula>
    </cfRule>
  </conditionalFormatting>
  <conditionalFormatting sqref="D2064:D2070">
    <cfRule type="expression" dxfId="4" priority="3109">
      <formula>D2064&lt;T2064</formula>
    </cfRule>
  </conditionalFormatting>
  <conditionalFormatting sqref="D2073:D2121">
    <cfRule type="expression" dxfId="4" priority="3079">
      <formula>D2073&lt;T2073</formula>
    </cfRule>
  </conditionalFormatting>
  <conditionalFormatting sqref="D2122:D2128">
    <cfRule type="expression" dxfId="4" priority="3065">
      <formula>D2122&lt;T2122</formula>
    </cfRule>
  </conditionalFormatting>
  <conditionalFormatting sqref="D2129:D2135">
    <cfRule type="expression" dxfId="4" priority="3052">
      <formula>D2129&lt;T2129</formula>
    </cfRule>
  </conditionalFormatting>
  <conditionalFormatting sqref="D2138:D2186">
    <cfRule type="expression" dxfId="4" priority="3022">
      <formula>D2138&lt;T2138</formula>
    </cfRule>
  </conditionalFormatting>
  <conditionalFormatting sqref="D2187:D2193">
    <cfRule type="expression" dxfId="4" priority="3008">
      <formula>D2187&lt;T2187</formula>
    </cfRule>
  </conditionalFormatting>
  <conditionalFormatting sqref="D2194:D2200">
    <cfRule type="expression" dxfId="4" priority="2995">
      <formula>D2194&lt;T2194</formula>
    </cfRule>
  </conditionalFormatting>
  <conditionalFormatting sqref="D2203:D2251">
    <cfRule type="expression" dxfId="4" priority="2965">
      <formula>D2203&lt;T2203</formula>
    </cfRule>
  </conditionalFormatting>
  <conditionalFormatting sqref="D2252:D2258">
    <cfRule type="expression" dxfId="4" priority="2951">
      <formula>D2252&lt;T2252</formula>
    </cfRule>
  </conditionalFormatting>
  <conditionalFormatting sqref="D2259:D2265">
    <cfRule type="expression" dxfId="4" priority="2938">
      <formula>D2259&lt;T2259</formula>
    </cfRule>
  </conditionalFormatting>
  <conditionalFormatting sqref="D2268:D2316">
    <cfRule type="expression" dxfId="4" priority="2908">
      <formula>D2268&lt;T2268</formula>
    </cfRule>
  </conditionalFormatting>
  <conditionalFormatting sqref="D2317:D2323">
    <cfRule type="expression" dxfId="4" priority="2894">
      <formula>D2317&lt;T2317</formula>
    </cfRule>
  </conditionalFormatting>
  <conditionalFormatting sqref="D2324:D2330">
    <cfRule type="expression" dxfId="4" priority="2881">
      <formula>D2324&lt;T2324</formula>
    </cfRule>
  </conditionalFormatting>
  <conditionalFormatting sqref="D2333:D2380">
    <cfRule type="expression" dxfId="4" priority="2851">
      <formula>D2333&lt;T2333</formula>
    </cfRule>
  </conditionalFormatting>
  <conditionalFormatting sqref="D2382:D2387">
    <cfRule type="expression" dxfId="4" priority="2837">
      <formula>D2382&lt;T2382</formula>
    </cfRule>
  </conditionalFormatting>
  <conditionalFormatting sqref="D2389:D2394">
    <cfRule type="expression" dxfId="4" priority="2824">
      <formula>D2389&lt;T2389</formula>
    </cfRule>
  </conditionalFormatting>
  <conditionalFormatting sqref="D2398:D2445">
    <cfRule type="expression" dxfId="4" priority="2792">
      <formula>D2398&lt;T2398</formula>
    </cfRule>
  </conditionalFormatting>
  <conditionalFormatting sqref="D2447:D2452">
    <cfRule type="expression" dxfId="4" priority="2778">
      <formula>D2447&lt;T2447</formula>
    </cfRule>
  </conditionalFormatting>
  <conditionalFormatting sqref="D2454:D2459">
    <cfRule type="expression" dxfId="4" priority="2765">
      <formula>D2454&lt;T2454</formula>
    </cfRule>
  </conditionalFormatting>
  <conditionalFormatting sqref="D2463:D2510">
    <cfRule type="expression" dxfId="4" priority="2733">
      <formula>D2463&lt;T2463</formula>
    </cfRule>
  </conditionalFormatting>
  <conditionalFormatting sqref="D2512:D2517">
    <cfRule type="expression" dxfId="4" priority="2719">
      <formula>D2512&lt;T2512</formula>
    </cfRule>
  </conditionalFormatting>
  <conditionalFormatting sqref="D2519:D2524">
    <cfRule type="expression" dxfId="4" priority="2706">
      <formula>D2519&lt;T2519</formula>
    </cfRule>
  </conditionalFormatting>
  <conditionalFormatting sqref="D2528:D2575">
    <cfRule type="expression" dxfId="4" priority="2674">
      <formula>D2528&lt;T2528</formula>
    </cfRule>
  </conditionalFormatting>
  <conditionalFormatting sqref="D2577:D2582">
    <cfRule type="expression" dxfId="4" priority="2660">
      <formula>D2577&lt;T2577</formula>
    </cfRule>
  </conditionalFormatting>
  <conditionalFormatting sqref="D2584:D2589">
    <cfRule type="expression" dxfId="4" priority="2647">
      <formula>D2584&lt;T2584</formula>
    </cfRule>
  </conditionalFormatting>
  <conditionalFormatting sqref="D2593:D2640">
    <cfRule type="expression" dxfId="4" priority="2615">
      <formula>D2593&lt;T2593</formula>
    </cfRule>
  </conditionalFormatting>
  <conditionalFormatting sqref="D2642:D2647">
    <cfRule type="expression" dxfId="4" priority="2601">
      <formula>D2642&lt;T2642</formula>
    </cfRule>
  </conditionalFormatting>
  <conditionalFormatting sqref="D2649:D2654">
    <cfRule type="expression" dxfId="4" priority="2588">
      <formula>D2649&lt;T2649</formula>
    </cfRule>
  </conditionalFormatting>
  <conditionalFormatting sqref="D2658:D2705">
    <cfRule type="expression" dxfId="4" priority="2556">
      <formula>D2658&lt;T2658</formula>
    </cfRule>
  </conditionalFormatting>
  <conditionalFormatting sqref="D2707:D2712">
    <cfRule type="expression" dxfId="4" priority="2542">
      <formula>D2707&lt;T2707</formula>
    </cfRule>
  </conditionalFormatting>
  <conditionalFormatting sqref="D2714:D2719">
    <cfRule type="expression" dxfId="4" priority="2529">
      <formula>D2714&lt;T2714</formula>
    </cfRule>
  </conditionalFormatting>
  <conditionalFormatting sqref="D2723:D2770">
    <cfRule type="expression" dxfId="4" priority="2497">
      <formula>D2723&lt;T2723</formula>
    </cfRule>
  </conditionalFormatting>
  <conditionalFormatting sqref="D2772:D2777">
    <cfRule type="expression" dxfId="4" priority="2483">
      <formula>D2772&lt;T2772</formula>
    </cfRule>
  </conditionalFormatting>
  <conditionalFormatting sqref="D2779:D2784">
    <cfRule type="expression" dxfId="4" priority="2470">
      <formula>D2779&lt;T2779</formula>
    </cfRule>
  </conditionalFormatting>
  <conditionalFormatting sqref="D2788:D2835">
    <cfRule type="expression" dxfId="4" priority="2438">
      <formula>D2788&lt;T2788</formula>
    </cfRule>
  </conditionalFormatting>
  <conditionalFormatting sqref="D2837:D2842">
    <cfRule type="expression" dxfId="4" priority="2424">
      <formula>D2837&lt;T2837</formula>
    </cfRule>
  </conditionalFormatting>
  <conditionalFormatting sqref="D2844:D2849">
    <cfRule type="expression" dxfId="4" priority="2411">
      <formula>D2844&lt;T2844</formula>
    </cfRule>
  </conditionalFormatting>
  <conditionalFormatting sqref="D2853:D2900">
    <cfRule type="expression" dxfId="4" priority="2379">
      <formula>D2853&lt;T2853</formula>
    </cfRule>
  </conditionalFormatting>
  <conditionalFormatting sqref="D2902:D2907">
    <cfRule type="expression" dxfId="4" priority="2365">
      <formula>D2902&lt;T2902</formula>
    </cfRule>
  </conditionalFormatting>
  <conditionalFormatting sqref="D2909:D2914">
    <cfRule type="expression" dxfId="4" priority="2352">
      <formula>D2909&lt;T2909</formula>
    </cfRule>
  </conditionalFormatting>
  <conditionalFormatting sqref="D2918:D2965">
    <cfRule type="expression" dxfId="4" priority="2320">
      <formula>D2918&lt;T2918</formula>
    </cfRule>
  </conditionalFormatting>
  <conditionalFormatting sqref="D2967:D2972">
    <cfRule type="expression" dxfId="4" priority="2306">
      <formula>D2967&lt;T2967</formula>
    </cfRule>
  </conditionalFormatting>
  <conditionalFormatting sqref="D2974:D2979">
    <cfRule type="expression" dxfId="4" priority="2293">
      <formula>D2974&lt;T2974</formula>
    </cfRule>
  </conditionalFormatting>
  <conditionalFormatting sqref="D2983:D3030">
    <cfRule type="expression" dxfId="4" priority="2261">
      <formula>D2983&lt;T2983</formula>
    </cfRule>
  </conditionalFormatting>
  <conditionalFormatting sqref="D3032:D3037">
    <cfRule type="expression" dxfId="4" priority="2247">
      <formula>D3032&lt;T3032</formula>
    </cfRule>
  </conditionalFormatting>
  <conditionalFormatting sqref="D3039:D3044">
    <cfRule type="expression" dxfId="4" priority="2234">
      <formula>D3039&lt;T3039</formula>
    </cfRule>
  </conditionalFormatting>
  <conditionalFormatting sqref="D3048:D3095">
    <cfRule type="expression" dxfId="4" priority="2202">
      <formula>D3048&lt;T3048</formula>
    </cfRule>
  </conditionalFormatting>
  <conditionalFormatting sqref="D3097:D3102">
    <cfRule type="expression" dxfId="4" priority="2188">
      <formula>D3097&lt;T3097</formula>
    </cfRule>
  </conditionalFormatting>
  <conditionalFormatting sqref="D3104:D3109">
    <cfRule type="expression" dxfId="4" priority="2175">
      <formula>D3104&lt;T3104</formula>
    </cfRule>
  </conditionalFormatting>
  <conditionalFormatting sqref="D3113:D3160">
    <cfRule type="expression" dxfId="4" priority="2143">
      <formula>D3113&lt;T3113</formula>
    </cfRule>
  </conditionalFormatting>
  <conditionalFormatting sqref="D3162:D3167">
    <cfRule type="expression" dxfId="4" priority="2129">
      <formula>D3162&lt;T3162</formula>
    </cfRule>
  </conditionalFormatting>
  <conditionalFormatting sqref="D3169:D3174">
    <cfRule type="expression" dxfId="4" priority="2116">
      <formula>D3169&lt;T3169</formula>
    </cfRule>
  </conditionalFormatting>
  <conditionalFormatting sqref="D3178:D3225">
    <cfRule type="expression" dxfId="4" priority="2084">
      <formula>D3178&lt;T3178</formula>
    </cfRule>
  </conditionalFormatting>
  <conditionalFormatting sqref="D3227:D3232">
    <cfRule type="expression" dxfId="4" priority="2070">
      <formula>D3227&lt;T3227</formula>
    </cfRule>
  </conditionalFormatting>
  <conditionalFormatting sqref="D3234:D3239">
    <cfRule type="expression" dxfId="4" priority="2057">
      <formula>D3234&lt;T3234</formula>
    </cfRule>
  </conditionalFormatting>
  <conditionalFormatting sqref="D3243:D3290">
    <cfRule type="expression" dxfId="4" priority="2025">
      <formula>D3243&lt;T3243</formula>
    </cfRule>
  </conditionalFormatting>
  <conditionalFormatting sqref="D3292:D3297">
    <cfRule type="expression" dxfId="4" priority="2011">
      <formula>D3292&lt;T3292</formula>
    </cfRule>
  </conditionalFormatting>
  <conditionalFormatting sqref="D3299:D3304">
    <cfRule type="expression" dxfId="4" priority="1998">
      <formula>D3299&lt;T3299</formula>
    </cfRule>
  </conditionalFormatting>
  <conditionalFormatting sqref="D3308:D3355">
    <cfRule type="expression" dxfId="4" priority="1966">
      <formula>D3308&lt;T3308</formula>
    </cfRule>
  </conditionalFormatting>
  <conditionalFormatting sqref="D3357:D3362">
    <cfRule type="expression" dxfId="4" priority="1952">
      <formula>D3357&lt;T3357</formula>
    </cfRule>
  </conditionalFormatting>
  <conditionalFormatting sqref="D3364:D3369">
    <cfRule type="expression" dxfId="4" priority="1939">
      <formula>D3364&lt;T3364</formula>
    </cfRule>
  </conditionalFormatting>
  <conditionalFormatting sqref="D3373:D3420">
    <cfRule type="expression" dxfId="4" priority="1907">
      <formula>D3373&lt;T3373</formula>
    </cfRule>
  </conditionalFormatting>
  <conditionalFormatting sqref="D3422:D3427">
    <cfRule type="expression" dxfId="4" priority="1893">
      <formula>D3422&lt;T3422</formula>
    </cfRule>
  </conditionalFormatting>
  <conditionalFormatting sqref="D3429:D3434">
    <cfRule type="expression" dxfId="4" priority="1880">
      <formula>D3429&lt;T3429</formula>
    </cfRule>
  </conditionalFormatting>
  <conditionalFormatting sqref="D3438:D3485">
    <cfRule type="expression" dxfId="4" priority="1848">
      <formula>D3438&lt;T3438</formula>
    </cfRule>
  </conditionalFormatting>
  <conditionalFormatting sqref="D3487:D3492">
    <cfRule type="expression" dxfId="4" priority="1834">
      <formula>D3487&lt;T3487</formula>
    </cfRule>
  </conditionalFormatting>
  <conditionalFormatting sqref="D3494:D3499">
    <cfRule type="expression" dxfId="4" priority="1821">
      <formula>D3494&lt;T3494</formula>
    </cfRule>
  </conditionalFormatting>
  <conditionalFormatting sqref="D3503:D3550">
    <cfRule type="expression" dxfId="4" priority="1789">
      <formula>D3503&lt;T3503</formula>
    </cfRule>
  </conditionalFormatting>
  <conditionalFormatting sqref="D3552:D3557">
    <cfRule type="expression" dxfId="4" priority="1775">
      <formula>D3552&lt;T3552</formula>
    </cfRule>
  </conditionalFormatting>
  <conditionalFormatting sqref="D3559:D3564">
    <cfRule type="expression" dxfId="4" priority="1762">
      <formula>D3559&lt;T3559</formula>
    </cfRule>
  </conditionalFormatting>
  <conditionalFormatting sqref="D3568:D3615">
    <cfRule type="expression" dxfId="4" priority="1730">
      <formula>D3568&lt;T3568</formula>
    </cfRule>
  </conditionalFormatting>
  <conditionalFormatting sqref="D3617:D3622">
    <cfRule type="expression" dxfId="4" priority="1716">
      <formula>D3617&lt;T3617</formula>
    </cfRule>
  </conditionalFormatting>
  <conditionalFormatting sqref="D3624:D3629">
    <cfRule type="expression" dxfId="4" priority="1703">
      <formula>D3624&lt;T3624</formula>
    </cfRule>
  </conditionalFormatting>
  <conditionalFormatting sqref="D3633:D3680">
    <cfRule type="expression" dxfId="4" priority="1671">
      <formula>D3633&lt;T3633</formula>
    </cfRule>
  </conditionalFormatting>
  <conditionalFormatting sqref="D3682:D3687">
    <cfRule type="expression" dxfId="4" priority="1657">
      <formula>D3682&lt;T3682</formula>
    </cfRule>
  </conditionalFormatting>
  <conditionalFormatting sqref="D3689:D3694">
    <cfRule type="expression" dxfId="4" priority="1644">
      <formula>D3689&lt;T3689</formula>
    </cfRule>
  </conditionalFormatting>
  <conditionalFormatting sqref="D3698:D3745">
    <cfRule type="expression" dxfId="4" priority="1612">
      <formula>D3698&lt;T3698</formula>
    </cfRule>
  </conditionalFormatting>
  <conditionalFormatting sqref="D3747:D3752">
    <cfRule type="expression" dxfId="4" priority="1598">
      <formula>D3747&lt;T3747</formula>
    </cfRule>
  </conditionalFormatting>
  <conditionalFormatting sqref="D3754:D3759">
    <cfRule type="expression" dxfId="4" priority="1585">
      <formula>D3754&lt;T3754</formula>
    </cfRule>
  </conditionalFormatting>
  <conditionalFormatting sqref="D3763:D3810">
    <cfRule type="expression" dxfId="4" priority="1553">
      <formula>D3763&lt;T3763</formula>
    </cfRule>
  </conditionalFormatting>
  <conditionalFormatting sqref="D3812:D3817">
    <cfRule type="expression" dxfId="4" priority="1539">
      <formula>D3812&lt;T3812</formula>
    </cfRule>
  </conditionalFormatting>
  <conditionalFormatting sqref="D3819:D3824">
    <cfRule type="expression" dxfId="4" priority="1526">
      <formula>D3819&lt;T3819</formula>
    </cfRule>
  </conditionalFormatting>
  <conditionalFormatting sqref="D3828:D3875">
    <cfRule type="expression" dxfId="4" priority="1494">
      <formula>D3828&lt;T3828</formula>
    </cfRule>
  </conditionalFormatting>
  <conditionalFormatting sqref="D3877:D3882">
    <cfRule type="expression" dxfId="4" priority="1480">
      <formula>D3877&lt;T3877</formula>
    </cfRule>
  </conditionalFormatting>
  <conditionalFormatting sqref="D3884:D3889">
    <cfRule type="expression" dxfId="4" priority="1467">
      <formula>D3884&lt;T3884</formula>
    </cfRule>
  </conditionalFormatting>
  <conditionalFormatting sqref="D3893:D3940">
    <cfRule type="expression" dxfId="4" priority="1435">
      <formula>D3893&lt;T3893</formula>
    </cfRule>
  </conditionalFormatting>
  <conditionalFormatting sqref="D3942:D3947">
    <cfRule type="expression" dxfId="4" priority="1421">
      <formula>D3942&lt;T3942</formula>
    </cfRule>
  </conditionalFormatting>
  <conditionalFormatting sqref="D3949:D3954">
    <cfRule type="expression" dxfId="4" priority="1408">
      <formula>D3949&lt;T3949</formula>
    </cfRule>
  </conditionalFormatting>
  <conditionalFormatting sqref="D3958:D4005">
    <cfRule type="expression" dxfId="4" priority="1376">
      <formula>D3958&lt;T3958</formula>
    </cfRule>
  </conditionalFormatting>
  <conditionalFormatting sqref="D4007:D4012">
    <cfRule type="expression" dxfId="4" priority="1362">
      <formula>D4007&lt;T4007</formula>
    </cfRule>
  </conditionalFormatting>
  <conditionalFormatting sqref="D4014:D4019">
    <cfRule type="expression" dxfId="4" priority="1349">
      <formula>D4014&lt;T4014</formula>
    </cfRule>
  </conditionalFormatting>
  <conditionalFormatting sqref="D4023:D4070">
    <cfRule type="expression" dxfId="4" priority="1317">
      <formula>D4023&lt;T4023</formula>
    </cfRule>
  </conditionalFormatting>
  <conditionalFormatting sqref="D4072:D4077">
    <cfRule type="expression" dxfId="4" priority="1303">
      <formula>D4072&lt;T4072</formula>
    </cfRule>
  </conditionalFormatting>
  <conditionalFormatting sqref="D4079:D4084">
    <cfRule type="expression" dxfId="4" priority="1290">
      <formula>D4079&lt;T4079</formula>
    </cfRule>
  </conditionalFormatting>
  <conditionalFormatting sqref="D4088:D4135">
    <cfRule type="expression" dxfId="4" priority="1258">
      <formula>D4088&lt;T4088</formula>
    </cfRule>
  </conditionalFormatting>
  <conditionalFormatting sqref="D4137:D4142">
    <cfRule type="expression" dxfId="4" priority="1244">
      <formula>D4137&lt;T4137</formula>
    </cfRule>
  </conditionalFormatting>
  <conditionalFormatting sqref="D4144:D4149">
    <cfRule type="expression" dxfId="4" priority="1231">
      <formula>D4144&lt;T4144</formula>
    </cfRule>
  </conditionalFormatting>
  <conditionalFormatting sqref="D4153:D4200">
    <cfRule type="expression" dxfId="4" priority="1199">
      <formula>D4153&lt;T4153</formula>
    </cfRule>
  </conditionalFormatting>
  <conditionalFormatting sqref="D4202:D4207">
    <cfRule type="expression" dxfId="4" priority="1185">
      <formula>D4202&lt;T4202</formula>
    </cfRule>
  </conditionalFormatting>
  <conditionalFormatting sqref="D4209:D4214">
    <cfRule type="expression" dxfId="4" priority="1172">
      <formula>D4209&lt;T4209</formula>
    </cfRule>
  </conditionalFormatting>
  <conditionalFormatting sqref="D4218:D4265">
    <cfRule type="expression" dxfId="4" priority="1140">
      <formula>D4218&lt;T4218</formula>
    </cfRule>
  </conditionalFormatting>
  <conditionalFormatting sqref="D4267:D4272">
    <cfRule type="expression" dxfId="4" priority="1126">
      <formula>D4267&lt;T4267</formula>
    </cfRule>
  </conditionalFormatting>
  <conditionalFormatting sqref="D4274:D4279">
    <cfRule type="expression" dxfId="4" priority="1113">
      <formula>D4274&lt;T4274</formula>
    </cfRule>
  </conditionalFormatting>
  <conditionalFormatting sqref="D4283:D4330">
    <cfRule type="expression" dxfId="4" priority="1081">
      <formula>D4283&lt;T4283</formula>
    </cfRule>
  </conditionalFormatting>
  <conditionalFormatting sqref="D4332:D4337">
    <cfRule type="expression" dxfId="4" priority="1067">
      <formula>D4332&lt;T4332</formula>
    </cfRule>
  </conditionalFormatting>
  <conditionalFormatting sqref="D4339:D4344">
    <cfRule type="expression" dxfId="4" priority="1054">
      <formula>D4339&lt;T4339</formula>
    </cfRule>
  </conditionalFormatting>
  <conditionalFormatting sqref="D4348:D4395">
    <cfRule type="expression" dxfId="4" priority="1022">
      <formula>D4348&lt;T4348</formula>
    </cfRule>
  </conditionalFormatting>
  <conditionalFormatting sqref="D4397:D4402">
    <cfRule type="expression" dxfId="4" priority="1008">
      <formula>D4397&lt;T4397</formula>
    </cfRule>
  </conditionalFormatting>
  <conditionalFormatting sqref="D4404:D4409">
    <cfRule type="expression" dxfId="4" priority="995">
      <formula>D4404&lt;T4404</formula>
    </cfRule>
  </conditionalFormatting>
  <conditionalFormatting sqref="D4413:D4460">
    <cfRule type="expression" dxfId="4" priority="963">
      <formula>D4413&lt;T4413</formula>
    </cfRule>
  </conditionalFormatting>
  <conditionalFormatting sqref="D4462:D4467">
    <cfRule type="expression" dxfId="4" priority="949">
      <formula>D4462&lt;T4462</formula>
    </cfRule>
  </conditionalFormatting>
  <conditionalFormatting sqref="D4469:D4474">
    <cfRule type="expression" dxfId="4" priority="936">
      <formula>D4469&lt;T4469</formula>
    </cfRule>
  </conditionalFormatting>
  <conditionalFormatting sqref="D4478:D4525">
    <cfRule type="expression" dxfId="4" priority="904">
      <formula>D4478&lt;T4478</formula>
    </cfRule>
  </conditionalFormatting>
  <conditionalFormatting sqref="D4527:D4532">
    <cfRule type="expression" dxfId="4" priority="890">
      <formula>D4527&lt;T4527</formula>
    </cfRule>
  </conditionalFormatting>
  <conditionalFormatting sqref="D4534:D4539">
    <cfRule type="expression" dxfId="4" priority="877">
      <formula>D4534&lt;T4534</formula>
    </cfRule>
  </conditionalFormatting>
  <conditionalFormatting sqref="D4543:D4590">
    <cfRule type="expression" dxfId="4" priority="845">
      <formula>D4543&lt;T4543</formula>
    </cfRule>
  </conditionalFormatting>
  <conditionalFormatting sqref="D4592:D4597">
    <cfRule type="expression" dxfId="4" priority="831">
      <formula>D4592&lt;T4592</formula>
    </cfRule>
  </conditionalFormatting>
  <conditionalFormatting sqref="D4599:D4604">
    <cfRule type="expression" dxfId="4" priority="818">
      <formula>D4599&lt;T4599</formula>
    </cfRule>
  </conditionalFormatting>
  <conditionalFormatting sqref="D4608:D4655">
    <cfRule type="expression" dxfId="4" priority="786">
      <formula>D4608&lt;T4608</formula>
    </cfRule>
  </conditionalFormatting>
  <conditionalFormatting sqref="D4657:D4662">
    <cfRule type="expression" dxfId="4" priority="772">
      <formula>D4657&lt;T4657</formula>
    </cfRule>
  </conditionalFormatting>
  <conditionalFormatting sqref="D4664:D4669">
    <cfRule type="expression" dxfId="4" priority="759">
      <formula>D4664&lt;T4664</formula>
    </cfRule>
  </conditionalFormatting>
  <conditionalFormatting sqref="D4673:D4720">
    <cfRule type="expression" dxfId="4" priority="727">
      <formula>D4673&lt;T4673</formula>
    </cfRule>
  </conditionalFormatting>
  <conditionalFormatting sqref="D4722:D4727">
    <cfRule type="expression" dxfId="4" priority="713">
      <formula>D4722&lt;T4722</formula>
    </cfRule>
  </conditionalFormatting>
  <conditionalFormatting sqref="D4729:D4734">
    <cfRule type="expression" dxfId="4" priority="700">
      <formula>D4729&lt;T4729</formula>
    </cfRule>
  </conditionalFormatting>
  <conditionalFormatting sqref="D4738:D4785">
    <cfRule type="expression" dxfId="4" priority="668">
      <formula>D4738&lt;T4738</formula>
    </cfRule>
  </conditionalFormatting>
  <conditionalFormatting sqref="D4787:D4792">
    <cfRule type="expression" dxfId="4" priority="654">
      <formula>D4787&lt;T4787</formula>
    </cfRule>
  </conditionalFormatting>
  <conditionalFormatting sqref="D4794:D4799">
    <cfRule type="expression" dxfId="4" priority="641">
      <formula>D4794&lt;T4794</formula>
    </cfRule>
  </conditionalFormatting>
  <conditionalFormatting sqref="D4803:D4850">
    <cfRule type="expression" dxfId="4" priority="609">
      <formula>D4803&lt;T4803</formula>
    </cfRule>
  </conditionalFormatting>
  <conditionalFormatting sqref="D4852:D4857">
    <cfRule type="expression" dxfId="4" priority="595">
      <formula>D4852&lt;T4852</formula>
    </cfRule>
  </conditionalFormatting>
  <conditionalFormatting sqref="D4859:D4864">
    <cfRule type="expression" dxfId="4" priority="582">
      <formula>D4859&lt;T4859</formula>
    </cfRule>
  </conditionalFormatting>
  <conditionalFormatting sqref="D4868:D4915">
    <cfRule type="expression" dxfId="4" priority="550">
      <formula>D4868&lt;T4868</formula>
    </cfRule>
  </conditionalFormatting>
  <conditionalFormatting sqref="D4917:D4922">
    <cfRule type="expression" dxfId="4" priority="536">
      <formula>D4917&lt;T4917</formula>
    </cfRule>
  </conditionalFormatting>
  <conditionalFormatting sqref="D4924:D4929">
    <cfRule type="expression" dxfId="4" priority="523">
      <formula>D4924&lt;T4924</formula>
    </cfRule>
  </conditionalFormatting>
  <conditionalFormatting sqref="D4933:D4980">
    <cfRule type="expression" dxfId="4" priority="491">
      <formula>D4933&lt;T4933</formula>
    </cfRule>
  </conditionalFormatting>
  <conditionalFormatting sqref="D4982:D4987">
    <cfRule type="expression" dxfId="4" priority="477">
      <formula>D4982&lt;T4982</formula>
    </cfRule>
  </conditionalFormatting>
  <conditionalFormatting sqref="D4989:D4994">
    <cfRule type="expression" dxfId="4" priority="464">
      <formula>D4989&lt;T4989</formula>
    </cfRule>
  </conditionalFormatting>
  <conditionalFormatting sqref="D4998:D5045">
    <cfRule type="expression" dxfId="4" priority="432">
      <formula>D4998&lt;T4998</formula>
    </cfRule>
  </conditionalFormatting>
  <conditionalFormatting sqref="D5047:D5052">
    <cfRule type="expression" dxfId="4" priority="418">
      <formula>D5047&lt;T5047</formula>
    </cfRule>
  </conditionalFormatting>
  <conditionalFormatting sqref="D5054:D5059">
    <cfRule type="expression" dxfId="4" priority="405">
      <formula>D5054&lt;T5054</formula>
    </cfRule>
  </conditionalFormatting>
  <conditionalFormatting sqref="D5063:D5110">
    <cfRule type="expression" dxfId="4" priority="373">
      <formula>D5063&lt;T5063</formula>
    </cfRule>
  </conditionalFormatting>
  <conditionalFormatting sqref="D5112:D5117">
    <cfRule type="expression" dxfId="4" priority="359">
      <formula>D5112&lt;T5112</formula>
    </cfRule>
  </conditionalFormatting>
  <conditionalFormatting sqref="D5119:D5124">
    <cfRule type="expression" dxfId="4" priority="346">
      <formula>D5119&lt;T5119</formula>
    </cfRule>
  </conditionalFormatting>
  <conditionalFormatting sqref="E3:E51">
    <cfRule type="expression" dxfId="4" priority="4598">
      <formula>E3&lt;U3</formula>
    </cfRule>
  </conditionalFormatting>
  <conditionalFormatting sqref="E54:E102">
    <cfRule type="expression" dxfId="4" priority="4576">
      <formula>E54&lt;U54</formula>
    </cfRule>
  </conditionalFormatting>
  <conditionalFormatting sqref="E105:E153">
    <cfRule type="expression" dxfId="4" priority="4642">
      <formula>E105&lt;U105</formula>
    </cfRule>
  </conditionalFormatting>
  <conditionalFormatting sqref="E156:E204">
    <cfRule type="expression" dxfId="4" priority="4620">
      <formula>E156&lt;U156</formula>
    </cfRule>
  </conditionalFormatting>
  <conditionalFormatting sqref="E207:E255">
    <cfRule type="expression" dxfId="4" priority="4554">
      <formula>E207&lt;U207</formula>
    </cfRule>
  </conditionalFormatting>
  <conditionalFormatting sqref="E258:E306">
    <cfRule type="expression" dxfId="4" priority="4532">
      <formula>E258&lt;U258</formula>
    </cfRule>
  </conditionalFormatting>
  <conditionalFormatting sqref="E309:E357">
    <cfRule type="expression" dxfId="4" priority="4510">
      <formula>E309&lt;U309</formula>
    </cfRule>
  </conditionalFormatting>
  <conditionalFormatting sqref="E360:E408">
    <cfRule type="expression" dxfId="4" priority="4488">
      <formula>E360&lt;U360</formula>
    </cfRule>
  </conditionalFormatting>
  <conditionalFormatting sqref="E411:E459">
    <cfRule type="expression" dxfId="4" priority="4466">
      <formula>E411&lt;U411</formula>
    </cfRule>
  </conditionalFormatting>
  <conditionalFormatting sqref="E462:E510">
    <cfRule type="expression" dxfId="4" priority="4444">
      <formula>E462&lt;U462</formula>
    </cfRule>
  </conditionalFormatting>
  <conditionalFormatting sqref="E513:E561">
    <cfRule type="expression" dxfId="4" priority="4422">
      <formula>E513&lt;U513</formula>
    </cfRule>
  </conditionalFormatting>
  <conditionalFormatting sqref="E562:E568">
    <cfRule type="expression" dxfId="4" priority="4400">
      <formula>E562&lt;U562</formula>
    </cfRule>
  </conditionalFormatting>
  <conditionalFormatting sqref="E569:E575">
    <cfRule type="expression" dxfId="4" priority="4386">
      <formula>E569&lt;U569</formula>
    </cfRule>
  </conditionalFormatting>
  <conditionalFormatting sqref="E578:E626">
    <cfRule type="expression" dxfId="4" priority="4372">
      <formula>E578&lt;U578</formula>
    </cfRule>
  </conditionalFormatting>
  <conditionalFormatting sqref="E627:E633">
    <cfRule type="expression" dxfId="4" priority="4350">
      <formula>E627&lt;U627</formula>
    </cfRule>
  </conditionalFormatting>
  <conditionalFormatting sqref="E634:E640">
    <cfRule type="expression" dxfId="4" priority="4336">
      <formula>E634&lt;U634</formula>
    </cfRule>
  </conditionalFormatting>
  <conditionalFormatting sqref="E643:E691">
    <cfRule type="expression" dxfId="4" priority="4322">
      <formula>E643&lt;U643</formula>
    </cfRule>
  </conditionalFormatting>
  <conditionalFormatting sqref="E692:E698">
    <cfRule type="expression" dxfId="4" priority="4300">
      <formula>E692&lt;U692</formula>
    </cfRule>
  </conditionalFormatting>
  <conditionalFormatting sqref="E699:E705">
    <cfRule type="expression" dxfId="4" priority="4286">
      <formula>E699&lt;U699</formula>
    </cfRule>
  </conditionalFormatting>
  <conditionalFormatting sqref="E708:E756">
    <cfRule type="expression" dxfId="4" priority="4272">
      <formula>E708&lt;U708</formula>
    </cfRule>
  </conditionalFormatting>
  <conditionalFormatting sqref="E757:E763">
    <cfRule type="expression" dxfId="4" priority="4250">
      <formula>E757&lt;U757</formula>
    </cfRule>
  </conditionalFormatting>
  <conditionalFormatting sqref="E764:E770">
    <cfRule type="expression" dxfId="4" priority="4236">
      <formula>E764&lt;U764</formula>
    </cfRule>
  </conditionalFormatting>
  <conditionalFormatting sqref="E773:E821">
    <cfRule type="expression" dxfId="4" priority="4222">
      <formula>E773&lt;U773</formula>
    </cfRule>
  </conditionalFormatting>
  <conditionalFormatting sqref="E822:E828">
    <cfRule type="expression" dxfId="4" priority="4208">
      <formula>E822&lt;U822</formula>
    </cfRule>
  </conditionalFormatting>
  <conditionalFormatting sqref="E829:E835">
    <cfRule type="expression" dxfId="4" priority="4195">
      <formula>E829&lt;U829</formula>
    </cfRule>
  </conditionalFormatting>
  <conditionalFormatting sqref="E838:E886">
    <cfRule type="expression" dxfId="4" priority="4165">
      <formula>E838&lt;U838</formula>
    </cfRule>
  </conditionalFormatting>
  <conditionalFormatting sqref="E887:E893">
    <cfRule type="expression" dxfId="4" priority="4151">
      <formula>E887&lt;U887</formula>
    </cfRule>
  </conditionalFormatting>
  <conditionalFormatting sqref="E894:E900">
    <cfRule type="expression" dxfId="4" priority="4138">
      <formula>E894&lt;U894</formula>
    </cfRule>
  </conditionalFormatting>
  <conditionalFormatting sqref="E903:E951">
    <cfRule type="expression" dxfId="4" priority="4108">
      <formula>E903&lt;U903</formula>
    </cfRule>
  </conditionalFormatting>
  <conditionalFormatting sqref="E952:E958">
    <cfRule type="expression" dxfId="4" priority="4094">
      <formula>E952&lt;U952</formula>
    </cfRule>
  </conditionalFormatting>
  <conditionalFormatting sqref="E959:E965">
    <cfRule type="expression" dxfId="4" priority="4081">
      <formula>E959&lt;U959</formula>
    </cfRule>
  </conditionalFormatting>
  <conditionalFormatting sqref="E968:E1016">
    <cfRule type="expression" dxfId="4" priority="4051">
      <formula>E968&lt;U968</formula>
    </cfRule>
  </conditionalFormatting>
  <conditionalFormatting sqref="E1017:E1023">
    <cfRule type="expression" dxfId="4" priority="4037">
      <formula>E1017&lt;U1017</formula>
    </cfRule>
  </conditionalFormatting>
  <conditionalFormatting sqref="E1024:E1030">
    <cfRule type="expression" dxfId="4" priority="4024">
      <formula>E1024&lt;U1024</formula>
    </cfRule>
  </conditionalFormatting>
  <conditionalFormatting sqref="E1033:E1081">
    <cfRule type="expression" dxfId="4" priority="3994">
      <formula>E1033&lt;U1033</formula>
    </cfRule>
  </conditionalFormatting>
  <conditionalFormatting sqref="E1082:E1088">
    <cfRule type="expression" dxfId="4" priority="3980">
      <formula>E1082&lt;U1082</formula>
    </cfRule>
  </conditionalFormatting>
  <conditionalFormatting sqref="E1089:E1095">
    <cfRule type="expression" dxfId="4" priority="3967">
      <formula>E1089&lt;U1089</formula>
    </cfRule>
  </conditionalFormatting>
  <conditionalFormatting sqref="E1098:E1146">
    <cfRule type="expression" dxfId="4" priority="3937">
      <formula>E1098&lt;U1098</formula>
    </cfRule>
  </conditionalFormatting>
  <conditionalFormatting sqref="E1147:E1153">
    <cfRule type="expression" dxfId="4" priority="3923">
      <formula>E1147&lt;U1147</formula>
    </cfRule>
  </conditionalFormatting>
  <conditionalFormatting sqref="E1154:E1160">
    <cfRule type="expression" dxfId="4" priority="3910">
      <formula>E1154&lt;U1154</formula>
    </cfRule>
  </conditionalFormatting>
  <conditionalFormatting sqref="E1163:E1211">
    <cfRule type="expression" dxfId="4" priority="3880">
      <formula>E1163&lt;U1163</formula>
    </cfRule>
  </conditionalFormatting>
  <conditionalFormatting sqref="E1212:E1218">
    <cfRule type="expression" dxfId="4" priority="3866">
      <formula>E1212&lt;U1212</formula>
    </cfRule>
  </conditionalFormatting>
  <conditionalFormatting sqref="E1219:E1225">
    <cfRule type="expression" dxfId="4" priority="3853">
      <formula>E1219&lt;U1219</formula>
    </cfRule>
  </conditionalFormatting>
  <conditionalFormatting sqref="E1228:E1276">
    <cfRule type="expression" dxfId="4" priority="3823">
      <formula>E1228&lt;U1228</formula>
    </cfRule>
  </conditionalFormatting>
  <conditionalFormatting sqref="E1277:E1283">
    <cfRule type="expression" dxfId="4" priority="3809">
      <formula>E1277&lt;U1277</formula>
    </cfRule>
  </conditionalFormatting>
  <conditionalFormatting sqref="E1284:E1290">
    <cfRule type="expression" dxfId="4" priority="3796">
      <formula>E1284&lt;U1284</formula>
    </cfRule>
  </conditionalFormatting>
  <conditionalFormatting sqref="E1293:E1341">
    <cfRule type="expression" dxfId="4" priority="3766">
      <formula>E1293&lt;U1293</formula>
    </cfRule>
  </conditionalFormatting>
  <conditionalFormatting sqref="E1342:E1348">
    <cfRule type="expression" dxfId="4" priority="3752">
      <formula>E1342&lt;U1342</formula>
    </cfRule>
  </conditionalFormatting>
  <conditionalFormatting sqref="E1349:E1355">
    <cfRule type="expression" dxfId="4" priority="3739">
      <formula>E1349&lt;U1349</formula>
    </cfRule>
  </conditionalFormatting>
  <conditionalFormatting sqref="E1358:E1406">
    <cfRule type="expression" dxfId="4" priority="3709">
      <formula>E1358&lt;U1358</formula>
    </cfRule>
  </conditionalFormatting>
  <conditionalFormatting sqref="E1407:E1413">
    <cfRule type="expression" dxfId="4" priority="3695">
      <formula>E1407&lt;U1407</formula>
    </cfRule>
  </conditionalFormatting>
  <conditionalFormatting sqref="E1414:E1420">
    <cfRule type="expression" dxfId="4" priority="3682">
      <formula>E1414&lt;U1414</formula>
    </cfRule>
  </conditionalFormatting>
  <conditionalFormatting sqref="E1423:E1471">
    <cfRule type="expression" dxfId="4" priority="3652">
      <formula>E1423&lt;U1423</formula>
    </cfRule>
  </conditionalFormatting>
  <conditionalFormatting sqref="E1472:E1478">
    <cfRule type="expression" dxfId="4" priority="3638">
      <formula>E1472&lt;U1472</formula>
    </cfRule>
  </conditionalFormatting>
  <conditionalFormatting sqref="E1479:E1485">
    <cfRule type="expression" dxfId="4" priority="3625">
      <formula>E1479&lt;U1479</formula>
    </cfRule>
  </conditionalFormatting>
  <conditionalFormatting sqref="E1488:E1536">
    <cfRule type="expression" dxfId="4" priority="3595">
      <formula>E1488&lt;U1488</formula>
    </cfRule>
  </conditionalFormatting>
  <conditionalFormatting sqref="E1537:E1543">
    <cfRule type="expression" dxfId="4" priority="3581">
      <formula>E1537&lt;U1537</formula>
    </cfRule>
  </conditionalFormatting>
  <conditionalFormatting sqref="E1544:E1550">
    <cfRule type="expression" dxfId="4" priority="3568">
      <formula>E1544&lt;U1544</formula>
    </cfRule>
  </conditionalFormatting>
  <conditionalFormatting sqref="E1553:E1601">
    <cfRule type="expression" dxfId="4" priority="3538">
      <formula>E1553&lt;U1553</formula>
    </cfRule>
  </conditionalFormatting>
  <conditionalFormatting sqref="E1602:E1608">
    <cfRule type="expression" dxfId="4" priority="3524">
      <formula>E1602&lt;U1602</formula>
    </cfRule>
  </conditionalFormatting>
  <conditionalFormatting sqref="E1609:E1615">
    <cfRule type="expression" dxfId="4" priority="3511">
      <formula>E1609&lt;U1609</formula>
    </cfRule>
  </conditionalFormatting>
  <conditionalFormatting sqref="E1618:E1666">
    <cfRule type="expression" dxfId="4" priority="3481">
      <formula>E1618&lt;U1618</formula>
    </cfRule>
  </conditionalFormatting>
  <conditionalFormatting sqref="E1667:E1673">
    <cfRule type="expression" dxfId="4" priority="3467">
      <formula>E1667&lt;U1667</formula>
    </cfRule>
  </conditionalFormatting>
  <conditionalFormatting sqref="E1674:E1680">
    <cfRule type="expression" dxfId="4" priority="3454">
      <formula>E1674&lt;U1674</formula>
    </cfRule>
  </conditionalFormatting>
  <conditionalFormatting sqref="E1683:E1731">
    <cfRule type="expression" dxfId="4" priority="3424">
      <formula>E1683&lt;U1683</formula>
    </cfRule>
  </conditionalFormatting>
  <conditionalFormatting sqref="E1732:E1738">
    <cfRule type="expression" dxfId="4" priority="3410">
      <formula>E1732&lt;U1732</formula>
    </cfRule>
  </conditionalFormatting>
  <conditionalFormatting sqref="E1739:E1745">
    <cfRule type="expression" dxfId="4" priority="3397">
      <formula>E1739&lt;U1739</formula>
    </cfRule>
  </conditionalFormatting>
  <conditionalFormatting sqref="E1748:E1796">
    <cfRule type="expression" dxfId="4" priority="3367">
      <formula>E1748&lt;U1748</formula>
    </cfRule>
  </conditionalFormatting>
  <conditionalFormatting sqref="E1797:E1803">
    <cfRule type="expression" dxfId="4" priority="3353">
      <formula>E1797&lt;U1797</formula>
    </cfRule>
  </conditionalFormatting>
  <conditionalFormatting sqref="E1804:E1810">
    <cfRule type="expression" dxfId="4" priority="3340">
      <formula>E1804&lt;U1804</formula>
    </cfRule>
  </conditionalFormatting>
  <conditionalFormatting sqref="E1813:E1861">
    <cfRule type="expression" dxfId="4" priority="3310">
      <formula>E1813&lt;U1813</formula>
    </cfRule>
  </conditionalFormatting>
  <conditionalFormatting sqref="E1862:E1868">
    <cfRule type="expression" dxfId="4" priority="3296">
      <formula>E1862&lt;U1862</formula>
    </cfRule>
  </conditionalFormatting>
  <conditionalFormatting sqref="E1869:E1875">
    <cfRule type="expression" dxfId="4" priority="3283">
      <formula>E1869&lt;U1869</formula>
    </cfRule>
  </conditionalFormatting>
  <conditionalFormatting sqref="E1878:E1926">
    <cfRule type="expression" dxfId="4" priority="3253">
      <formula>E1878&lt;U1878</formula>
    </cfRule>
  </conditionalFormatting>
  <conditionalFormatting sqref="E1927:E1933">
    <cfRule type="expression" dxfId="4" priority="3239">
      <formula>E1927&lt;U1927</formula>
    </cfRule>
  </conditionalFormatting>
  <conditionalFormatting sqref="E1934:E1940">
    <cfRule type="expression" dxfId="4" priority="3226">
      <formula>E1934&lt;U1934</formula>
    </cfRule>
  </conditionalFormatting>
  <conditionalFormatting sqref="E2008:E2056">
    <cfRule type="expression" dxfId="4" priority="3135">
      <formula>E2008&lt;U2008</formula>
    </cfRule>
  </conditionalFormatting>
  <conditionalFormatting sqref="E2057:E2063">
    <cfRule type="expression" dxfId="4" priority="3121">
      <formula>E2057&lt;U2057</formula>
    </cfRule>
  </conditionalFormatting>
  <conditionalFormatting sqref="E2064:E2070">
    <cfRule type="expression" dxfId="4" priority="3108">
      <formula>E2064&lt;U2064</formula>
    </cfRule>
  </conditionalFormatting>
  <conditionalFormatting sqref="E2073:E2121">
    <cfRule type="expression" dxfId="4" priority="3078">
      <formula>E2073&lt;U2073</formula>
    </cfRule>
  </conditionalFormatting>
  <conditionalFormatting sqref="E2122:E2128">
    <cfRule type="expression" dxfId="4" priority="3064">
      <formula>E2122&lt;U2122</formula>
    </cfRule>
  </conditionalFormatting>
  <conditionalFormatting sqref="E2129:E2135">
    <cfRule type="expression" dxfId="4" priority="3051">
      <formula>E2129&lt;U2129</formula>
    </cfRule>
  </conditionalFormatting>
  <conditionalFormatting sqref="E2138:E2186">
    <cfRule type="expression" dxfId="4" priority="3021">
      <formula>E2138&lt;U2138</formula>
    </cfRule>
  </conditionalFormatting>
  <conditionalFormatting sqref="E2187:E2193">
    <cfRule type="expression" dxfId="4" priority="3007">
      <formula>E2187&lt;U2187</formula>
    </cfRule>
  </conditionalFormatting>
  <conditionalFormatting sqref="E2194:E2200">
    <cfRule type="expression" dxfId="4" priority="2994">
      <formula>E2194&lt;U2194</formula>
    </cfRule>
  </conditionalFormatting>
  <conditionalFormatting sqref="E2203:E2251">
    <cfRule type="expression" dxfId="4" priority="2964">
      <formula>E2203&lt;U2203</formula>
    </cfRule>
  </conditionalFormatting>
  <conditionalFormatting sqref="E2252:E2258">
    <cfRule type="expression" dxfId="4" priority="2950">
      <formula>E2252&lt;U2252</formula>
    </cfRule>
  </conditionalFormatting>
  <conditionalFormatting sqref="E2259:E2265">
    <cfRule type="expression" dxfId="4" priority="2937">
      <formula>E2259&lt;U2259</formula>
    </cfRule>
  </conditionalFormatting>
  <conditionalFormatting sqref="E2268:E2316">
    <cfRule type="expression" dxfId="4" priority="2907">
      <formula>E2268&lt;U2268</formula>
    </cfRule>
  </conditionalFormatting>
  <conditionalFormatting sqref="E2317:E2323">
    <cfRule type="expression" dxfId="4" priority="2893">
      <formula>E2317&lt;U2317</formula>
    </cfRule>
  </conditionalFormatting>
  <conditionalFormatting sqref="E2324:E2330">
    <cfRule type="expression" dxfId="4" priority="2880">
      <formula>E2324&lt;U2324</formula>
    </cfRule>
  </conditionalFormatting>
  <conditionalFormatting sqref="E2333:E2380">
    <cfRule type="expression" dxfId="4" priority="2850">
      <formula>E2333&lt;U2333</formula>
    </cfRule>
  </conditionalFormatting>
  <conditionalFormatting sqref="E2382:E2387">
    <cfRule type="expression" dxfId="4" priority="2836">
      <formula>E2382&lt;U2382</formula>
    </cfRule>
  </conditionalFormatting>
  <conditionalFormatting sqref="E2389:E2394">
    <cfRule type="expression" dxfId="4" priority="2823">
      <formula>E2389&lt;U2389</formula>
    </cfRule>
  </conditionalFormatting>
  <conditionalFormatting sqref="E2398:E2445">
    <cfRule type="expression" dxfId="4" priority="2791">
      <formula>E2398&lt;U2398</formula>
    </cfRule>
  </conditionalFormatting>
  <conditionalFormatting sqref="E2447:E2452">
    <cfRule type="expression" dxfId="4" priority="2777">
      <formula>E2447&lt;U2447</formula>
    </cfRule>
  </conditionalFormatting>
  <conditionalFormatting sqref="E2454:E2459">
    <cfRule type="expression" dxfId="4" priority="2764">
      <formula>E2454&lt;U2454</formula>
    </cfRule>
  </conditionalFormatting>
  <conditionalFormatting sqref="E2463:E2510">
    <cfRule type="expression" dxfId="4" priority="2732">
      <formula>E2463&lt;U2463</formula>
    </cfRule>
  </conditionalFormatting>
  <conditionalFormatting sqref="E2512:E2517">
    <cfRule type="expression" dxfId="4" priority="2718">
      <formula>E2512&lt;U2512</formula>
    </cfRule>
  </conditionalFormatting>
  <conditionalFormatting sqref="E2519:E2524">
    <cfRule type="expression" dxfId="4" priority="2705">
      <formula>E2519&lt;U2519</formula>
    </cfRule>
  </conditionalFormatting>
  <conditionalFormatting sqref="E2528:E2575">
    <cfRule type="expression" dxfId="4" priority="2673">
      <formula>E2528&lt;U2528</formula>
    </cfRule>
  </conditionalFormatting>
  <conditionalFormatting sqref="E2577:E2582">
    <cfRule type="expression" dxfId="4" priority="2659">
      <formula>E2577&lt;U2577</formula>
    </cfRule>
  </conditionalFormatting>
  <conditionalFormatting sqref="E2584:E2589">
    <cfRule type="expression" dxfId="4" priority="2646">
      <formula>E2584&lt;U2584</formula>
    </cfRule>
  </conditionalFormatting>
  <conditionalFormatting sqref="E2593:E2640">
    <cfRule type="expression" dxfId="4" priority="2614">
      <formula>E2593&lt;U2593</formula>
    </cfRule>
  </conditionalFormatting>
  <conditionalFormatting sqref="E2642:E2647">
    <cfRule type="expression" dxfId="4" priority="2600">
      <formula>E2642&lt;U2642</formula>
    </cfRule>
  </conditionalFormatting>
  <conditionalFormatting sqref="E2649:E2654">
    <cfRule type="expression" dxfId="4" priority="2587">
      <formula>E2649&lt;U2649</formula>
    </cfRule>
  </conditionalFormatting>
  <conditionalFormatting sqref="E2658:E2705">
    <cfRule type="expression" dxfId="4" priority="2555">
      <formula>E2658&lt;U2658</formula>
    </cfRule>
  </conditionalFormatting>
  <conditionalFormatting sqref="E2707:E2712">
    <cfRule type="expression" dxfId="4" priority="2541">
      <formula>E2707&lt;U2707</formula>
    </cfRule>
  </conditionalFormatting>
  <conditionalFormatting sqref="E2714:E2719">
    <cfRule type="expression" dxfId="4" priority="2528">
      <formula>E2714&lt;U2714</formula>
    </cfRule>
  </conditionalFormatting>
  <conditionalFormatting sqref="E2723:E2770">
    <cfRule type="expression" dxfId="4" priority="2496">
      <formula>E2723&lt;U2723</formula>
    </cfRule>
  </conditionalFormatting>
  <conditionalFormatting sqref="E2772:E2777">
    <cfRule type="expression" dxfId="4" priority="2482">
      <formula>E2772&lt;U2772</formula>
    </cfRule>
  </conditionalFormatting>
  <conditionalFormatting sqref="E2779:E2784">
    <cfRule type="expression" dxfId="4" priority="2469">
      <formula>E2779&lt;U2779</formula>
    </cfRule>
  </conditionalFormatting>
  <conditionalFormatting sqref="E2788:E2835">
    <cfRule type="expression" dxfId="4" priority="2437">
      <formula>E2788&lt;U2788</formula>
    </cfRule>
  </conditionalFormatting>
  <conditionalFormatting sqref="E2837:E2842">
    <cfRule type="expression" dxfId="4" priority="2423">
      <formula>E2837&lt;U2837</formula>
    </cfRule>
  </conditionalFormatting>
  <conditionalFormatting sqref="E2844:E2849">
    <cfRule type="expression" dxfId="4" priority="2410">
      <formula>E2844&lt;U2844</formula>
    </cfRule>
  </conditionalFormatting>
  <conditionalFormatting sqref="E2853:E2900">
    <cfRule type="expression" dxfId="4" priority="2378">
      <formula>E2853&lt;U2853</formula>
    </cfRule>
  </conditionalFormatting>
  <conditionalFormatting sqref="E2902:E2907">
    <cfRule type="expression" dxfId="4" priority="2364">
      <formula>E2902&lt;U2902</formula>
    </cfRule>
  </conditionalFormatting>
  <conditionalFormatting sqref="E2909:E2914">
    <cfRule type="expression" dxfId="4" priority="2351">
      <formula>E2909&lt;U2909</formula>
    </cfRule>
  </conditionalFormatting>
  <conditionalFormatting sqref="E2918:E2965">
    <cfRule type="expression" dxfId="4" priority="2319">
      <formula>E2918&lt;U2918</formula>
    </cfRule>
  </conditionalFormatting>
  <conditionalFormatting sqref="E2967:E2972">
    <cfRule type="expression" dxfId="4" priority="2305">
      <formula>E2967&lt;U2967</formula>
    </cfRule>
  </conditionalFormatting>
  <conditionalFormatting sqref="E2974:E2979">
    <cfRule type="expression" dxfId="4" priority="2292">
      <formula>E2974&lt;U2974</formula>
    </cfRule>
  </conditionalFormatting>
  <conditionalFormatting sqref="E2983:E3030">
    <cfRule type="expression" dxfId="4" priority="2260">
      <formula>E2983&lt;U2983</formula>
    </cfRule>
  </conditionalFormatting>
  <conditionalFormatting sqref="E3032:E3037">
    <cfRule type="expression" dxfId="4" priority="2246">
      <formula>E3032&lt;U3032</formula>
    </cfRule>
  </conditionalFormatting>
  <conditionalFormatting sqref="E3039:E3044">
    <cfRule type="expression" dxfId="4" priority="2233">
      <formula>E3039&lt;U3039</formula>
    </cfRule>
  </conditionalFormatting>
  <conditionalFormatting sqref="E3048:E3095">
    <cfRule type="expression" dxfId="4" priority="2201">
      <formula>E3048&lt;U3048</formula>
    </cfRule>
  </conditionalFormatting>
  <conditionalFormatting sqref="E3097:E3102">
    <cfRule type="expression" dxfId="4" priority="2187">
      <formula>E3097&lt;U3097</formula>
    </cfRule>
  </conditionalFormatting>
  <conditionalFormatting sqref="E3104:E3109">
    <cfRule type="expression" dxfId="4" priority="2174">
      <formula>E3104&lt;U3104</formula>
    </cfRule>
  </conditionalFormatting>
  <conditionalFormatting sqref="E3113:E3160">
    <cfRule type="expression" dxfId="4" priority="2142">
      <formula>E3113&lt;U3113</formula>
    </cfRule>
  </conditionalFormatting>
  <conditionalFormatting sqref="E3162:E3167">
    <cfRule type="expression" dxfId="4" priority="2128">
      <formula>E3162&lt;U3162</formula>
    </cfRule>
  </conditionalFormatting>
  <conditionalFormatting sqref="E3169:E3174">
    <cfRule type="expression" dxfId="4" priority="2115">
      <formula>E3169&lt;U3169</formula>
    </cfRule>
  </conditionalFormatting>
  <conditionalFormatting sqref="E3178:E3225">
    <cfRule type="expression" dxfId="4" priority="2083">
      <formula>E3178&lt;U3178</formula>
    </cfRule>
  </conditionalFormatting>
  <conditionalFormatting sqref="E3227:E3232">
    <cfRule type="expression" dxfId="4" priority="2069">
      <formula>E3227&lt;U3227</formula>
    </cfRule>
  </conditionalFormatting>
  <conditionalFormatting sqref="E3234:E3239">
    <cfRule type="expression" dxfId="4" priority="2056">
      <formula>E3234&lt;U3234</formula>
    </cfRule>
  </conditionalFormatting>
  <conditionalFormatting sqref="E3243:E3290">
    <cfRule type="expression" dxfId="4" priority="2024">
      <formula>E3243&lt;U3243</formula>
    </cfRule>
  </conditionalFormatting>
  <conditionalFormatting sqref="E3292:E3297">
    <cfRule type="expression" dxfId="4" priority="2010">
      <formula>E3292&lt;U3292</formula>
    </cfRule>
  </conditionalFormatting>
  <conditionalFormatting sqref="E3299:E3304">
    <cfRule type="expression" dxfId="4" priority="1997">
      <formula>E3299&lt;U3299</formula>
    </cfRule>
  </conditionalFormatting>
  <conditionalFormatting sqref="E3308:E3355">
    <cfRule type="expression" dxfId="4" priority="1965">
      <formula>E3308&lt;U3308</formula>
    </cfRule>
  </conditionalFormatting>
  <conditionalFormatting sqref="E3357:E3362">
    <cfRule type="expression" dxfId="4" priority="1951">
      <formula>E3357&lt;U3357</formula>
    </cfRule>
  </conditionalFormatting>
  <conditionalFormatting sqref="E3364:E3369">
    <cfRule type="expression" dxfId="4" priority="1938">
      <formula>E3364&lt;U3364</formula>
    </cfRule>
  </conditionalFormatting>
  <conditionalFormatting sqref="E3373:E3420">
    <cfRule type="expression" dxfId="4" priority="1906">
      <formula>E3373&lt;U3373</formula>
    </cfRule>
  </conditionalFormatting>
  <conditionalFormatting sqref="E3422:E3427">
    <cfRule type="expression" dxfId="4" priority="1892">
      <formula>E3422&lt;U3422</formula>
    </cfRule>
  </conditionalFormatting>
  <conditionalFormatting sqref="E3429:E3434">
    <cfRule type="expression" dxfId="4" priority="1879">
      <formula>E3429&lt;U3429</formula>
    </cfRule>
  </conditionalFormatting>
  <conditionalFormatting sqref="E3438:E3485">
    <cfRule type="expression" dxfId="4" priority="1847">
      <formula>E3438&lt;U3438</formula>
    </cfRule>
  </conditionalFormatting>
  <conditionalFormatting sqref="E3487:E3492">
    <cfRule type="expression" dxfId="4" priority="1833">
      <formula>E3487&lt;U3487</formula>
    </cfRule>
  </conditionalFormatting>
  <conditionalFormatting sqref="E3494:E3499">
    <cfRule type="expression" dxfId="4" priority="1820">
      <formula>E3494&lt;U3494</formula>
    </cfRule>
  </conditionalFormatting>
  <conditionalFormatting sqref="E3503:E3550">
    <cfRule type="expression" dxfId="4" priority="1788">
      <formula>E3503&lt;U3503</formula>
    </cfRule>
  </conditionalFormatting>
  <conditionalFormatting sqref="E3552:E3557">
    <cfRule type="expression" dxfId="4" priority="1774">
      <formula>E3552&lt;U3552</formula>
    </cfRule>
  </conditionalFormatting>
  <conditionalFormatting sqref="E3559:E3564">
    <cfRule type="expression" dxfId="4" priority="1761">
      <formula>E3559&lt;U3559</formula>
    </cfRule>
  </conditionalFormatting>
  <conditionalFormatting sqref="E3568:E3615">
    <cfRule type="expression" dxfId="4" priority="1729">
      <formula>E3568&lt;U3568</formula>
    </cfRule>
  </conditionalFormatting>
  <conditionalFormatting sqref="E3617:E3622">
    <cfRule type="expression" dxfId="4" priority="1715">
      <formula>E3617&lt;U3617</formula>
    </cfRule>
  </conditionalFormatting>
  <conditionalFormatting sqref="E3624:E3629">
    <cfRule type="expression" dxfId="4" priority="1702">
      <formula>E3624&lt;U3624</formula>
    </cfRule>
  </conditionalFormatting>
  <conditionalFormatting sqref="E3633:E3680">
    <cfRule type="expression" dxfId="4" priority="1670">
      <formula>E3633&lt;U3633</formula>
    </cfRule>
  </conditionalFormatting>
  <conditionalFormatting sqref="E3682:E3687">
    <cfRule type="expression" dxfId="4" priority="1656">
      <formula>E3682&lt;U3682</formula>
    </cfRule>
  </conditionalFormatting>
  <conditionalFormatting sqref="E3689:E3694">
    <cfRule type="expression" dxfId="4" priority="1643">
      <formula>E3689&lt;U3689</formula>
    </cfRule>
  </conditionalFormatting>
  <conditionalFormatting sqref="E3698:E3745">
    <cfRule type="expression" dxfId="4" priority="1611">
      <formula>E3698&lt;U3698</formula>
    </cfRule>
  </conditionalFormatting>
  <conditionalFormatting sqref="E3747:E3752">
    <cfRule type="expression" dxfId="4" priority="1597">
      <formula>E3747&lt;U3747</formula>
    </cfRule>
  </conditionalFormatting>
  <conditionalFormatting sqref="E3754:E3759">
    <cfRule type="expression" dxfId="4" priority="1584">
      <formula>E3754&lt;U3754</formula>
    </cfRule>
  </conditionalFormatting>
  <conditionalFormatting sqref="E3763:E3810">
    <cfRule type="expression" dxfId="4" priority="1552">
      <formula>E3763&lt;U3763</formula>
    </cfRule>
  </conditionalFormatting>
  <conditionalFormatting sqref="E3812:E3817">
    <cfRule type="expression" dxfId="4" priority="1538">
      <formula>E3812&lt;U3812</formula>
    </cfRule>
  </conditionalFormatting>
  <conditionalFormatting sqref="E3819:E3824">
    <cfRule type="expression" dxfId="4" priority="1525">
      <formula>E3819&lt;U3819</formula>
    </cfRule>
  </conditionalFormatting>
  <conditionalFormatting sqref="E3828:E3875">
    <cfRule type="expression" dxfId="4" priority="1493">
      <formula>E3828&lt;U3828</formula>
    </cfRule>
  </conditionalFormatting>
  <conditionalFormatting sqref="E3877:E3882">
    <cfRule type="expression" dxfId="4" priority="1479">
      <formula>E3877&lt;U3877</formula>
    </cfRule>
  </conditionalFormatting>
  <conditionalFormatting sqref="E3884:E3889">
    <cfRule type="expression" dxfId="4" priority="1466">
      <formula>E3884&lt;U3884</formula>
    </cfRule>
  </conditionalFormatting>
  <conditionalFormatting sqref="E3893:E3940">
    <cfRule type="expression" dxfId="4" priority="1434">
      <formula>E3893&lt;U3893</formula>
    </cfRule>
  </conditionalFormatting>
  <conditionalFormatting sqref="E3942:E3947">
    <cfRule type="expression" dxfId="4" priority="1420">
      <formula>E3942&lt;U3942</formula>
    </cfRule>
  </conditionalFormatting>
  <conditionalFormatting sqref="E3949:E3954">
    <cfRule type="expression" dxfId="4" priority="1407">
      <formula>E3949&lt;U3949</formula>
    </cfRule>
  </conditionalFormatting>
  <conditionalFormatting sqref="E3958:E4005">
    <cfRule type="expression" dxfId="4" priority="1375">
      <formula>E3958&lt;U3958</formula>
    </cfRule>
  </conditionalFormatting>
  <conditionalFormatting sqref="E4007:E4012">
    <cfRule type="expression" dxfId="4" priority="1361">
      <formula>E4007&lt;U4007</formula>
    </cfRule>
  </conditionalFormatting>
  <conditionalFormatting sqref="E4014:E4019">
    <cfRule type="expression" dxfId="4" priority="1348">
      <formula>E4014&lt;U4014</formula>
    </cfRule>
  </conditionalFormatting>
  <conditionalFormatting sqref="E4023:E4070">
    <cfRule type="expression" dxfId="4" priority="1316">
      <formula>E4023&lt;U4023</formula>
    </cfRule>
  </conditionalFormatting>
  <conditionalFormatting sqref="E4072:E4077">
    <cfRule type="expression" dxfId="4" priority="1302">
      <formula>E4072&lt;U4072</formula>
    </cfRule>
  </conditionalFormatting>
  <conditionalFormatting sqref="E4079:E4084">
    <cfRule type="expression" dxfId="4" priority="1289">
      <formula>E4079&lt;U4079</formula>
    </cfRule>
  </conditionalFormatting>
  <conditionalFormatting sqref="E4088:E4135">
    <cfRule type="expression" dxfId="4" priority="1257">
      <formula>E4088&lt;U4088</formula>
    </cfRule>
  </conditionalFormatting>
  <conditionalFormatting sqref="E4137:E4142">
    <cfRule type="expression" dxfId="4" priority="1243">
      <formula>E4137&lt;U4137</formula>
    </cfRule>
  </conditionalFormatting>
  <conditionalFormatting sqref="E4144:E4149">
    <cfRule type="expression" dxfId="4" priority="1230">
      <formula>E4144&lt;U4144</formula>
    </cfRule>
  </conditionalFormatting>
  <conditionalFormatting sqref="E4153:E4200">
    <cfRule type="expression" dxfId="4" priority="1198">
      <formula>E4153&lt;U4153</formula>
    </cfRule>
  </conditionalFormatting>
  <conditionalFormatting sqref="E4202:E4207">
    <cfRule type="expression" dxfId="4" priority="1184">
      <formula>E4202&lt;U4202</formula>
    </cfRule>
  </conditionalFormatting>
  <conditionalFormatting sqref="E4209:E4214">
    <cfRule type="expression" dxfId="4" priority="1171">
      <formula>E4209&lt;U4209</formula>
    </cfRule>
  </conditionalFormatting>
  <conditionalFormatting sqref="E4218:E4265">
    <cfRule type="expression" dxfId="4" priority="1139">
      <formula>E4218&lt;U4218</formula>
    </cfRule>
  </conditionalFormatting>
  <conditionalFormatting sqref="E4267:E4272">
    <cfRule type="expression" dxfId="4" priority="1125">
      <formula>E4267&lt;U4267</formula>
    </cfRule>
  </conditionalFormatting>
  <conditionalFormatting sqref="E4274:E4279">
    <cfRule type="expression" dxfId="4" priority="1112">
      <formula>E4274&lt;U4274</formula>
    </cfRule>
  </conditionalFormatting>
  <conditionalFormatting sqref="E4283:E4330">
    <cfRule type="expression" dxfId="4" priority="1080">
      <formula>E4283&lt;U4283</formula>
    </cfRule>
  </conditionalFormatting>
  <conditionalFormatting sqref="E4332:E4337">
    <cfRule type="expression" dxfId="4" priority="1066">
      <formula>E4332&lt;U4332</formula>
    </cfRule>
  </conditionalFormatting>
  <conditionalFormatting sqref="E4339:E4344">
    <cfRule type="expression" dxfId="4" priority="1053">
      <formula>E4339&lt;U4339</formula>
    </cfRule>
  </conditionalFormatting>
  <conditionalFormatting sqref="E4348:E4395">
    <cfRule type="expression" dxfId="4" priority="1021">
      <formula>E4348&lt;U4348</formula>
    </cfRule>
  </conditionalFormatting>
  <conditionalFormatting sqref="E4397:E4402">
    <cfRule type="expression" dxfId="4" priority="1007">
      <formula>E4397&lt;U4397</formula>
    </cfRule>
  </conditionalFormatting>
  <conditionalFormatting sqref="E4404:E4409">
    <cfRule type="expression" dxfId="4" priority="994">
      <formula>E4404&lt;U4404</formula>
    </cfRule>
  </conditionalFormatting>
  <conditionalFormatting sqref="E4413:E4460">
    <cfRule type="expression" dxfId="4" priority="962">
      <formula>E4413&lt;U4413</formula>
    </cfRule>
  </conditionalFormatting>
  <conditionalFormatting sqref="E4462:E4467">
    <cfRule type="expression" dxfId="4" priority="948">
      <formula>E4462&lt;U4462</formula>
    </cfRule>
  </conditionalFormatting>
  <conditionalFormatting sqref="E4469:E4474">
    <cfRule type="expression" dxfId="4" priority="935">
      <formula>E4469&lt;U4469</formula>
    </cfRule>
  </conditionalFormatting>
  <conditionalFormatting sqref="E4478:E4525">
    <cfRule type="expression" dxfId="4" priority="903">
      <formula>E4478&lt;U4478</formula>
    </cfRule>
  </conditionalFormatting>
  <conditionalFormatting sqref="E4527:E4532">
    <cfRule type="expression" dxfId="4" priority="889">
      <formula>E4527&lt;U4527</formula>
    </cfRule>
  </conditionalFormatting>
  <conditionalFormatting sqref="E4534:E4539">
    <cfRule type="expression" dxfId="4" priority="876">
      <formula>E4534&lt;U4534</formula>
    </cfRule>
  </conditionalFormatting>
  <conditionalFormatting sqref="E4543:E4590">
    <cfRule type="expression" dxfId="4" priority="844">
      <formula>E4543&lt;U4543</formula>
    </cfRule>
  </conditionalFormatting>
  <conditionalFormatting sqref="E4592:E4597">
    <cfRule type="expression" dxfId="4" priority="830">
      <formula>E4592&lt;U4592</formula>
    </cfRule>
  </conditionalFormatting>
  <conditionalFormatting sqref="E4599:E4604">
    <cfRule type="expression" dxfId="4" priority="817">
      <formula>E4599&lt;U4599</formula>
    </cfRule>
  </conditionalFormatting>
  <conditionalFormatting sqref="E4608:E4655">
    <cfRule type="expression" dxfId="4" priority="785">
      <formula>E4608&lt;U4608</formula>
    </cfRule>
  </conditionalFormatting>
  <conditionalFormatting sqref="E4657:E4662">
    <cfRule type="expression" dxfId="4" priority="771">
      <formula>E4657&lt;U4657</formula>
    </cfRule>
  </conditionalFormatting>
  <conditionalFormatting sqref="E4664:E4669">
    <cfRule type="expression" dxfId="4" priority="758">
      <formula>E4664&lt;U4664</formula>
    </cfRule>
  </conditionalFormatting>
  <conditionalFormatting sqref="E4673:E4720">
    <cfRule type="expression" dxfId="4" priority="726">
      <formula>E4673&lt;U4673</formula>
    </cfRule>
  </conditionalFormatting>
  <conditionalFormatting sqref="E4722:E4727">
    <cfRule type="expression" dxfId="4" priority="712">
      <formula>E4722&lt;U4722</formula>
    </cfRule>
  </conditionalFormatting>
  <conditionalFormatting sqref="E4729:E4734">
    <cfRule type="expression" dxfId="4" priority="699">
      <formula>E4729&lt;U4729</formula>
    </cfRule>
  </conditionalFormatting>
  <conditionalFormatting sqref="E4738:E4785">
    <cfRule type="expression" dxfId="4" priority="667">
      <formula>E4738&lt;U4738</formula>
    </cfRule>
  </conditionalFormatting>
  <conditionalFormatting sqref="E4787:E4792">
    <cfRule type="expression" dxfId="4" priority="653">
      <formula>E4787&lt;U4787</formula>
    </cfRule>
  </conditionalFormatting>
  <conditionalFormatting sqref="E4794:E4799">
    <cfRule type="expression" dxfId="4" priority="640">
      <formula>E4794&lt;U4794</formula>
    </cfRule>
  </conditionalFormatting>
  <conditionalFormatting sqref="E4803:E4850">
    <cfRule type="expression" dxfId="4" priority="608">
      <formula>E4803&lt;U4803</formula>
    </cfRule>
  </conditionalFormatting>
  <conditionalFormatting sqref="E4852:E4857">
    <cfRule type="expression" dxfId="4" priority="594">
      <formula>E4852&lt;U4852</formula>
    </cfRule>
  </conditionalFormatting>
  <conditionalFormatting sqref="E4859:E4864">
    <cfRule type="expression" dxfId="4" priority="581">
      <formula>E4859&lt;U4859</formula>
    </cfRule>
  </conditionalFormatting>
  <conditionalFormatting sqref="E4868:E4915">
    <cfRule type="expression" dxfId="4" priority="549">
      <formula>E4868&lt;U4868</formula>
    </cfRule>
  </conditionalFormatting>
  <conditionalFormatting sqref="E4917:E4922">
    <cfRule type="expression" dxfId="4" priority="535">
      <formula>E4917&lt;U4917</formula>
    </cfRule>
  </conditionalFormatting>
  <conditionalFormatting sqref="E4924:E4929">
    <cfRule type="expression" dxfId="4" priority="522">
      <formula>E4924&lt;U4924</formula>
    </cfRule>
  </conditionalFormatting>
  <conditionalFormatting sqref="E4933:E4980">
    <cfRule type="expression" dxfId="4" priority="490">
      <formula>E4933&lt;U4933</formula>
    </cfRule>
  </conditionalFormatting>
  <conditionalFormatting sqref="E4982:E4987">
    <cfRule type="expression" dxfId="4" priority="476">
      <formula>E4982&lt;U4982</formula>
    </cfRule>
  </conditionalFormatting>
  <conditionalFormatting sqref="E4989:E4994">
    <cfRule type="expression" dxfId="4" priority="463">
      <formula>E4989&lt;U4989</formula>
    </cfRule>
  </conditionalFormatting>
  <conditionalFormatting sqref="E4998:E5045">
    <cfRule type="expression" dxfId="4" priority="431">
      <formula>E4998&lt;U4998</formula>
    </cfRule>
  </conditionalFormatting>
  <conditionalFormatting sqref="E5047:E5052">
    <cfRule type="expression" dxfId="4" priority="417">
      <formula>E5047&lt;U5047</formula>
    </cfRule>
  </conditionalFormatting>
  <conditionalFormatting sqref="E5054:E5059">
    <cfRule type="expression" dxfId="4" priority="404">
      <formula>E5054&lt;U5054</formula>
    </cfRule>
  </conditionalFormatting>
  <conditionalFormatting sqref="E5063:E5110">
    <cfRule type="expression" dxfId="4" priority="372">
      <formula>E5063&lt;U5063</formula>
    </cfRule>
  </conditionalFormatting>
  <conditionalFormatting sqref="E5112:E5117">
    <cfRule type="expression" dxfId="4" priority="358">
      <formula>E5112&lt;U5112</formula>
    </cfRule>
  </conditionalFormatting>
  <conditionalFormatting sqref="E5119:E5124">
    <cfRule type="expression" dxfId="4" priority="345">
      <formula>E5119&lt;U5119</formula>
    </cfRule>
  </conditionalFormatting>
  <conditionalFormatting sqref="F3:F51">
    <cfRule type="expression" dxfId="4" priority="4597">
      <formula>F3&lt;V3</formula>
    </cfRule>
  </conditionalFormatting>
  <conditionalFormatting sqref="F54:F102">
    <cfRule type="expression" dxfId="4" priority="4575">
      <formula>F54&lt;V54</formula>
    </cfRule>
  </conditionalFormatting>
  <conditionalFormatting sqref="F105:F153">
    <cfRule type="expression" dxfId="4" priority="4641">
      <formula>F105&lt;V105</formula>
    </cfRule>
  </conditionalFormatting>
  <conditionalFormatting sqref="F156:F204">
    <cfRule type="expression" dxfId="4" priority="4619">
      <formula>F156&lt;V156</formula>
    </cfRule>
  </conditionalFormatting>
  <conditionalFormatting sqref="F207:F255">
    <cfRule type="expression" dxfId="4" priority="4553">
      <formula>F207&lt;V207</formula>
    </cfRule>
  </conditionalFormatting>
  <conditionalFormatting sqref="F258:F306">
    <cfRule type="expression" dxfId="4" priority="4531">
      <formula>F258&lt;V258</formula>
    </cfRule>
  </conditionalFormatting>
  <conditionalFormatting sqref="F309:F357">
    <cfRule type="expression" dxfId="4" priority="4509">
      <formula>F309&lt;V309</formula>
    </cfRule>
  </conditionalFormatting>
  <conditionalFormatting sqref="F360:F408">
    <cfRule type="expression" dxfId="4" priority="4487">
      <formula>F360&lt;V360</formula>
    </cfRule>
  </conditionalFormatting>
  <conditionalFormatting sqref="F411:F459">
    <cfRule type="expression" dxfId="4" priority="4465">
      <formula>F411&lt;V411</formula>
    </cfRule>
  </conditionalFormatting>
  <conditionalFormatting sqref="F462:F510">
    <cfRule type="expression" dxfId="4" priority="4443">
      <formula>F462&lt;V462</formula>
    </cfRule>
  </conditionalFormatting>
  <conditionalFormatting sqref="F513:F561">
    <cfRule type="expression" dxfId="4" priority="4421">
      <formula>F513&lt;V513</formula>
    </cfRule>
  </conditionalFormatting>
  <conditionalFormatting sqref="F562:F568">
    <cfRule type="expression" dxfId="4" priority="4399">
      <formula>F562&lt;V562</formula>
    </cfRule>
  </conditionalFormatting>
  <conditionalFormatting sqref="F569:F575">
    <cfRule type="expression" dxfId="4" priority="4385">
      <formula>F569&lt;V569</formula>
    </cfRule>
  </conditionalFormatting>
  <conditionalFormatting sqref="F578:F626">
    <cfRule type="expression" dxfId="4" priority="4371">
      <formula>F578&lt;V578</formula>
    </cfRule>
  </conditionalFormatting>
  <conditionalFormatting sqref="F627:F633">
    <cfRule type="expression" dxfId="4" priority="4349">
      <formula>F627&lt;V627</formula>
    </cfRule>
  </conditionalFormatting>
  <conditionalFormatting sqref="F634:F640">
    <cfRule type="expression" dxfId="4" priority="4335">
      <formula>F634&lt;V634</formula>
    </cfRule>
  </conditionalFormatting>
  <conditionalFormatting sqref="F643:F691">
    <cfRule type="expression" dxfId="4" priority="4321">
      <formula>F643&lt;V643</formula>
    </cfRule>
  </conditionalFormatting>
  <conditionalFormatting sqref="F692:F698">
    <cfRule type="expression" dxfId="4" priority="4299">
      <formula>F692&lt;V692</formula>
    </cfRule>
  </conditionalFormatting>
  <conditionalFormatting sqref="F699:F705">
    <cfRule type="expression" dxfId="4" priority="4285">
      <formula>F699&lt;V699</formula>
    </cfRule>
  </conditionalFormatting>
  <conditionalFormatting sqref="F708:F756">
    <cfRule type="expression" dxfId="4" priority="4271">
      <formula>F708&lt;V708</formula>
    </cfRule>
  </conditionalFormatting>
  <conditionalFormatting sqref="F757:F763">
    <cfRule type="expression" dxfId="4" priority="4249">
      <formula>F757&lt;V757</formula>
    </cfRule>
  </conditionalFormatting>
  <conditionalFormatting sqref="F764:F770">
    <cfRule type="expression" dxfId="4" priority="4235">
      <formula>F764&lt;V764</formula>
    </cfRule>
  </conditionalFormatting>
  <conditionalFormatting sqref="F773:F821">
    <cfRule type="expression" dxfId="4" priority="4221">
      <formula>F773&lt;V773</formula>
    </cfRule>
  </conditionalFormatting>
  <conditionalFormatting sqref="F822:F828">
    <cfRule type="expression" dxfId="4" priority="4207">
      <formula>F822&lt;V822</formula>
    </cfRule>
  </conditionalFormatting>
  <conditionalFormatting sqref="F829:F835">
    <cfRule type="expression" dxfId="4" priority="4194">
      <formula>F829&lt;V829</formula>
    </cfRule>
  </conditionalFormatting>
  <conditionalFormatting sqref="F838:F886">
    <cfRule type="expression" dxfId="4" priority="4164">
      <formula>F838&lt;V838</formula>
    </cfRule>
  </conditionalFormatting>
  <conditionalFormatting sqref="F887:F893">
    <cfRule type="expression" dxfId="4" priority="4150">
      <formula>F887&lt;V887</formula>
    </cfRule>
  </conditionalFormatting>
  <conditionalFormatting sqref="F894:F900">
    <cfRule type="expression" dxfId="4" priority="4137">
      <formula>F894&lt;V894</formula>
    </cfRule>
  </conditionalFormatting>
  <conditionalFormatting sqref="F903:F951">
    <cfRule type="expression" dxfId="4" priority="4107">
      <formula>F903&lt;V903</formula>
    </cfRule>
  </conditionalFormatting>
  <conditionalFormatting sqref="F952:F958">
    <cfRule type="expression" dxfId="4" priority="4093">
      <formula>F952&lt;V952</formula>
    </cfRule>
  </conditionalFormatting>
  <conditionalFormatting sqref="F959:F965">
    <cfRule type="expression" dxfId="4" priority="4080">
      <formula>F959&lt;V959</formula>
    </cfRule>
  </conditionalFormatting>
  <conditionalFormatting sqref="F968:F1016">
    <cfRule type="expression" dxfId="4" priority="4050">
      <formula>F968&lt;V968</formula>
    </cfRule>
  </conditionalFormatting>
  <conditionalFormatting sqref="F1017:F1023">
    <cfRule type="expression" dxfId="4" priority="4036">
      <formula>F1017&lt;V1017</formula>
    </cfRule>
  </conditionalFormatting>
  <conditionalFormatting sqref="F1024:F1030">
    <cfRule type="expression" dxfId="4" priority="4023">
      <formula>F1024&lt;V1024</formula>
    </cfRule>
  </conditionalFormatting>
  <conditionalFormatting sqref="F1033:F1081">
    <cfRule type="expression" dxfId="4" priority="3993">
      <formula>F1033&lt;V1033</formula>
    </cfRule>
  </conditionalFormatting>
  <conditionalFormatting sqref="F1082:F1088">
    <cfRule type="expression" dxfId="4" priority="3979">
      <formula>F1082&lt;V1082</formula>
    </cfRule>
  </conditionalFormatting>
  <conditionalFormatting sqref="F1089:F1095">
    <cfRule type="expression" dxfId="4" priority="3966">
      <formula>F1089&lt;V1089</formula>
    </cfRule>
  </conditionalFormatting>
  <conditionalFormatting sqref="F1098:F1146">
    <cfRule type="expression" dxfId="4" priority="3936">
      <formula>F1098&lt;V1098</formula>
    </cfRule>
  </conditionalFormatting>
  <conditionalFormatting sqref="F1147:F1153">
    <cfRule type="expression" dxfId="4" priority="3922">
      <formula>F1147&lt;V1147</formula>
    </cfRule>
  </conditionalFormatting>
  <conditionalFormatting sqref="F1154:F1160">
    <cfRule type="expression" dxfId="4" priority="3909">
      <formula>F1154&lt;V1154</formula>
    </cfRule>
  </conditionalFormatting>
  <conditionalFormatting sqref="F1163:F1211">
    <cfRule type="expression" dxfId="4" priority="3879">
      <formula>F1163&lt;V1163</formula>
    </cfRule>
  </conditionalFormatting>
  <conditionalFormatting sqref="F1212:F1218">
    <cfRule type="expression" dxfId="4" priority="3865">
      <formula>F1212&lt;V1212</formula>
    </cfRule>
  </conditionalFormatting>
  <conditionalFormatting sqref="F1219:F1225">
    <cfRule type="expression" dxfId="4" priority="3852">
      <formula>F1219&lt;V1219</formula>
    </cfRule>
  </conditionalFormatting>
  <conditionalFormatting sqref="F1228:F1276">
    <cfRule type="expression" dxfId="4" priority="3822">
      <formula>F1228&lt;V1228</formula>
    </cfRule>
  </conditionalFormatting>
  <conditionalFormatting sqref="F1277:F1283">
    <cfRule type="expression" dxfId="4" priority="3808">
      <formula>F1277&lt;V1277</formula>
    </cfRule>
  </conditionalFormatting>
  <conditionalFormatting sqref="F1284:F1290">
    <cfRule type="expression" dxfId="4" priority="3795">
      <formula>F1284&lt;V1284</formula>
    </cfRule>
  </conditionalFormatting>
  <conditionalFormatting sqref="F1293:F1341">
    <cfRule type="expression" dxfId="4" priority="3765">
      <formula>F1293&lt;V1293</formula>
    </cfRule>
  </conditionalFormatting>
  <conditionalFormatting sqref="F1342:F1348">
    <cfRule type="expression" dxfId="4" priority="3751">
      <formula>F1342&lt;V1342</formula>
    </cfRule>
  </conditionalFormatting>
  <conditionalFormatting sqref="F1349:F1355">
    <cfRule type="expression" dxfId="4" priority="3738">
      <formula>F1349&lt;V1349</formula>
    </cfRule>
  </conditionalFormatting>
  <conditionalFormatting sqref="F1358:F1406">
    <cfRule type="expression" dxfId="4" priority="3708">
      <formula>F1358&lt;V1358</formula>
    </cfRule>
  </conditionalFormatting>
  <conditionalFormatting sqref="F1407:F1413">
    <cfRule type="expression" dxfId="4" priority="3694">
      <formula>F1407&lt;V1407</formula>
    </cfRule>
  </conditionalFormatting>
  <conditionalFormatting sqref="F1414:F1420">
    <cfRule type="expression" dxfId="4" priority="3681">
      <formula>F1414&lt;V1414</formula>
    </cfRule>
  </conditionalFormatting>
  <conditionalFormatting sqref="F1423:F1471">
    <cfRule type="expression" dxfId="4" priority="3651">
      <formula>F1423&lt;V1423</formula>
    </cfRule>
  </conditionalFormatting>
  <conditionalFormatting sqref="F1472:F1478">
    <cfRule type="expression" dxfId="4" priority="3637">
      <formula>F1472&lt;V1472</formula>
    </cfRule>
  </conditionalFormatting>
  <conditionalFormatting sqref="F1479:F1485">
    <cfRule type="expression" dxfId="4" priority="3624">
      <formula>F1479&lt;V1479</formula>
    </cfRule>
  </conditionalFormatting>
  <conditionalFormatting sqref="F1488:F1536">
    <cfRule type="expression" dxfId="4" priority="3594">
      <formula>F1488&lt;V1488</formula>
    </cfRule>
  </conditionalFormatting>
  <conditionalFormatting sqref="F1537:F1543">
    <cfRule type="expression" dxfId="4" priority="3580">
      <formula>F1537&lt;V1537</formula>
    </cfRule>
  </conditionalFormatting>
  <conditionalFormatting sqref="F1544:F1550">
    <cfRule type="expression" dxfId="4" priority="3567">
      <formula>F1544&lt;V1544</formula>
    </cfRule>
  </conditionalFormatting>
  <conditionalFormatting sqref="F1553:F1601">
    <cfRule type="expression" dxfId="4" priority="3537">
      <formula>F1553&lt;V1553</formula>
    </cfRule>
  </conditionalFormatting>
  <conditionalFormatting sqref="F1602:F1608">
    <cfRule type="expression" dxfId="4" priority="3523">
      <formula>F1602&lt;V1602</formula>
    </cfRule>
  </conditionalFormatting>
  <conditionalFormatting sqref="F1609:F1615">
    <cfRule type="expression" dxfId="4" priority="3510">
      <formula>F1609&lt;V1609</formula>
    </cfRule>
  </conditionalFormatting>
  <conditionalFormatting sqref="F1618:F1666">
    <cfRule type="expression" dxfId="4" priority="3480">
      <formula>F1618&lt;V1618</formula>
    </cfRule>
  </conditionalFormatting>
  <conditionalFormatting sqref="F1667:F1673">
    <cfRule type="expression" dxfId="4" priority="3466">
      <formula>F1667&lt;V1667</formula>
    </cfRule>
  </conditionalFormatting>
  <conditionalFormatting sqref="F1674:F1680">
    <cfRule type="expression" dxfId="4" priority="3453">
      <formula>F1674&lt;V1674</formula>
    </cfRule>
  </conditionalFormatting>
  <conditionalFormatting sqref="F1683:F1731">
    <cfRule type="expression" dxfId="4" priority="3423">
      <formula>F1683&lt;V1683</formula>
    </cfRule>
  </conditionalFormatting>
  <conditionalFormatting sqref="F1732:F1738">
    <cfRule type="expression" dxfId="4" priority="3409">
      <formula>F1732&lt;V1732</formula>
    </cfRule>
  </conditionalFormatting>
  <conditionalFormatting sqref="F1739:F1745">
    <cfRule type="expression" dxfId="4" priority="3396">
      <formula>F1739&lt;V1739</formula>
    </cfRule>
  </conditionalFormatting>
  <conditionalFormatting sqref="F1748:F1796">
    <cfRule type="expression" dxfId="4" priority="3366">
      <formula>F1748&lt;V1748</formula>
    </cfRule>
  </conditionalFormatting>
  <conditionalFormatting sqref="F1797:F1803">
    <cfRule type="expression" dxfId="4" priority="3352">
      <formula>F1797&lt;V1797</formula>
    </cfRule>
  </conditionalFormatting>
  <conditionalFormatting sqref="F1804:F1810">
    <cfRule type="expression" dxfId="4" priority="3339">
      <formula>F1804&lt;V1804</formula>
    </cfRule>
  </conditionalFormatting>
  <conditionalFormatting sqref="F1813:F1861">
    <cfRule type="expression" dxfId="4" priority="3309">
      <formula>F1813&lt;V1813</formula>
    </cfRule>
  </conditionalFormatting>
  <conditionalFormatting sqref="F1862:F1868">
    <cfRule type="expression" dxfId="4" priority="3295">
      <formula>F1862&lt;V1862</formula>
    </cfRule>
  </conditionalFormatting>
  <conditionalFormatting sqref="F1869:F1875">
    <cfRule type="expression" dxfId="4" priority="3282">
      <formula>F1869&lt;V1869</formula>
    </cfRule>
  </conditionalFormatting>
  <conditionalFormatting sqref="F1878:F1926">
    <cfRule type="expression" dxfId="4" priority="3252">
      <formula>F1878&lt;V1878</formula>
    </cfRule>
  </conditionalFormatting>
  <conditionalFormatting sqref="F1927:F1933">
    <cfRule type="expression" dxfId="4" priority="3238">
      <formula>F1927&lt;V1927</formula>
    </cfRule>
  </conditionalFormatting>
  <conditionalFormatting sqref="F1934:F1940">
    <cfRule type="expression" dxfId="4" priority="3225">
      <formula>F1934&lt;V1934</formula>
    </cfRule>
  </conditionalFormatting>
  <conditionalFormatting sqref="F2008:F2056">
    <cfRule type="expression" dxfId="4" priority="3134">
      <formula>F2008&lt;V2008</formula>
    </cfRule>
  </conditionalFormatting>
  <conditionalFormatting sqref="F2057:F2063">
    <cfRule type="expression" dxfId="4" priority="3120">
      <formula>F2057&lt;V2057</formula>
    </cfRule>
  </conditionalFormatting>
  <conditionalFormatting sqref="F2064:F2070">
    <cfRule type="expression" dxfId="4" priority="3107">
      <formula>F2064&lt;V2064</formula>
    </cfRule>
  </conditionalFormatting>
  <conditionalFormatting sqref="F2073:F2121">
    <cfRule type="expression" dxfId="4" priority="3077">
      <formula>F2073&lt;V2073</formula>
    </cfRule>
  </conditionalFormatting>
  <conditionalFormatting sqref="F2122:F2128">
    <cfRule type="expression" dxfId="4" priority="3063">
      <formula>F2122&lt;V2122</formula>
    </cfRule>
  </conditionalFormatting>
  <conditionalFormatting sqref="F2129:F2135">
    <cfRule type="expression" dxfId="4" priority="3050">
      <formula>F2129&lt;V2129</formula>
    </cfRule>
  </conditionalFormatting>
  <conditionalFormatting sqref="F2138:F2186">
    <cfRule type="expression" dxfId="4" priority="3020">
      <formula>F2138&lt;V2138</formula>
    </cfRule>
  </conditionalFormatting>
  <conditionalFormatting sqref="F2187:F2193">
    <cfRule type="expression" dxfId="4" priority="3006">
      <formula>F2187&lt;V2187</formula>
    </cfRule>
  </conditionalFormatting>
  <conditionalFormatting sqref="F2194:F2200">
    <cfRule type="expression" dxfId="4" priority="2993">
      <formula>F2194&lt;V2194</formula>
    </cfRule>
  </conditionalFormatting>
  <conditionalFormatting sqref="F2203:F2251">
    <cfRule type="expression" dxfId="4" priority="2963">
      <formula>F2203&lt;V2203</formula>
    </cfRule>
  </conditionalFormatting>
  <conditionalFormatting sqref="F2252:F2258">
    <cfRule type="expression" dxfId="4" priority="2949">
      <formula>F2252&lt;V2252</formula>
    </cfRule>
  </conditionalFormatting>
  <conditionalFormatting sqref="F2259:F2265">
    <cfRule type="expression" dxfId="4" priority="2936">
      <formula>F2259&lt;V2259</formula>
    </cfRule>
  </conditionalFormatting>
  <conditionalFormatting sqref="F2268:F2316">
    <cfRule type="expression" dxfId="4" priority="2906">
      <formula>F2268&lt;V2268</formula>
    </cfRule>
  </conditionalFormatting>
  <conditionalFormatting sqref="F2317:F2323">
    <cfRule type="expression" dxfId="4" priority="2892">
      <formula>F2317&lt;V2317</formula>
    </cfRule>
  </conditionalFormatting>
  <conditionalFormatting sqref="F2324:F2330">
    <cfRule type="expression" dxfId="4" priority="2879">
      <formula>F2324&lt;V2324</formula>
    </cfRule>
  </conditionalFormatting>
  <conditionalFormatting sqref="F2333:F2380">
    <cfRule type="expression" dxfId="4" priority="2849">
      <formula>F2333&lt;V2333</formula>
    </cfRule>
  </conditionalFormatting>
  <conditionalFormatting sqref="F2382:F2387">
    <cfRule type="expression" dxfId="4" priority="2835">
      <formula>F2382&lt;V2382</formula>
    </cfRule>
  </conditionalFormatting>
  <conditionalFormatting sqref="F2389:F2394">
    <cfRule type="expression" dxfId="4" priority="2822">
      <formula>F2389&lt;V2389</formula>
    </cfRule>
  </conditionalFormatting>
  <conditionalFormatting sqref="F2398:F2445">
    <cfRule type="expression" dxfId="4" priority="2790">
      <formula>F2398&lt;V2398</formula>
    </cfRule>
  </conditionalFormatting>
  <conditionalFormatting sqref="F2447:F2452">
    <cfRule type="expression" dxfId="4" priority="2776">
      <formula>F2447&lt;V2447</formula>
    </cfRule>
  </conditionalFormatting>
  <conditionalFormatting sqref="F2454:F2459">
    <cfRule type="expression" dxfId="4" priority="2763">
      <formula>F2454&lt;V2454</formula>
    </cfRule>
  </conditionalFormatting>
  <conditionalFormatting sqref="F2463:F2510">
    <cfRule type="expression" dxfId="4" priority="2731">
      <formula>F2463&lt;V2463</formula>
    </cfRule>
  </conditionalFormatting>
  <conditionalFormatting sqref="F2512:F2517">
    <cfRule type="expression" dxfId="4" priority="2717">
      <formula>F2512&lt;V2512</formula>
    </cfRule>
  </conditionalFormatting>
  <conditionalFormatting sqref="F2519:F2524">
    <cfRule type="expression" dxfId="4" priority="2704">
      <formula>F2519&lt;V2519</formula>
    </cfRule>
  </conditionalFormatting>
  <conditionalFormatting sqref="F2528:F2575">
    <cfRule type="expression" dxfId="4" priority="2672">
      <formula>F2528&lt;V2528</formula>
    </cfRule>
  </conditionalFormatting>
  <conditionalFormatting sqref="F2577:F2582">
    <cfRule type="expression" dxfId="4" priority="2658">
      <formula>F2577&lt;V2577</formula>
    </cfRule>
  </conditionalFormatting>
  <conditionalFormatting sqref="F2584:F2589">
    <cfRule type="expression" dxfId="4" priority="2645">
      <formula>F2584&lt;V2584</formula>
    </cfRule>
  </conditionalFormatting>
  <conditionalFormatting sqref="F2593:F2640">
    <cfRule type="expression" dxfId="4" priority="2613">
      <formula>F2593&lt;V2593</formula>
    </cfRule>
  </conditionalFormatting>
  <conditionalFormatting sqref="F2642:F2647">
    <cfRule type="expression" dxfId="4" priority="2599">
      <formula>F2642&lt;V2642</formula>
    </cfRule>
  </conditionalFormatting>
  <conditionalFormatting sqref="F2649:F2654">
    <cfRule type="expression" dxfId="4" priority="2586">
      <formula>F2649&lt;V2649</formula>
    </cfRule>
  </conditionalFormatting>
  <conditionalFormatting sqref="F2658:F2705">
    <cfRule type="expression" dxfId="4" priority="2554">
      <formula>F2658&lt;V2658</formula>
    </cfRule>
  </conditionalFormatting>
  <conditionalFormatting sqref="F2707:F2712">
    <cfRule type="expression" dxfId="4" priority="2540">
      <formula>F2707&lt;V2707</formula>
    </cfRule>
  </conditionalFormatting>
  <conditionalFormatting sqref="F2714:F2719">
    <cfRule type="expression" dxfId="4" priority="2527">
      <formula>F2714&lt;V2714</formula>
    </cfRule>
  </conditionalFormatting>
  <conditionalFormatting sqref="F2723:F2770">
    <cfRule type="expression" dxfId="4" priority="2495">
      <formula>F2723&lt;V2723</formula>
    </cfRule>
  </conditionalFormatting>
  <conditionalFormatting sqref="F2772:F2777">
    <cfRule type="expression" dxfId="4" priority="2481">
      <formula>F2772&lt;V2772</formula>
    </cfRule>
  </conditionalFormatting>
  <conditionalFormatting sqref="F2779:F2784">
    <cfRule type="expression" dxfId="4" priority="2468">
      <formula>F2779&lt;V2779</formula>
    </cfRule>
  </conditionalFormatting>
  <conditionalFormatting sqref="F2788:F2835">
    <cfRule type="expression" dxfId="4" priority="2436">
      <formula>F2788&lt;V2788</formula>
    </cfRule>
  </conditionalFormatting>
  <conditionalFormatting sqref="F2837:F2842">
    <cfRule type="expression" dxfId="4" priority="2422">
      <formula>F2837&lt;V2837</formula>
    </cfRule>
  </conditionalFormatting>
  <conditionalFormatting sqref="F2844:F2849">
    <cfRule type="expression" dxfId="4" priority="2409">
      <formula>F2844&lt;V2844</formula>
    </cfRule>
  </conditionalFormatting>
  <conditionalFormatting sqref="F2853:F2900">
    <cfRule type="expression" dxfId="4" priority="2377">
      <formula>F2853&lt;V2853</formula>
    </cfRule>
  </conditionalFormatting>
  <conditionalFormatting sqref="F2902:F2907">
    <cfRule type="expression" dxfId="4" priority="2363">
      <formula>F2902&lt;V2902</formula>
    </cfRule>
  </conditionalFormatting>
  <conditionalFormatting sqref="F2909:F2914">
    <cfRule type="expression" dxfId="4" priority="2350">
      <formula>F2909&lt;V2909</formula>
    </cfRule>
  </conditionalFormatting>
  <conditionalFormatting sqref="F2918:F2965">
    <cfRule type="expression" dxfId="4" priority="2318">
      <formula>F2918&lt;V2918</formula>
    </cfRule>
  </conditionalFormatting>
  <conditionalFormatting sqref="F2967:F2972">
    <cfRule type="expression" dxfId="4" priority="2304">
      <formula>F2967&lt;V2967</formula>
    </cfRule>
  </conditionalFormatting>
  <conditionalFormatting sqref="F2974:F2979">
    <cfRule type="expression" dxfId="4" priority="2291">
      <formula>F2974&lt;V2974</formula>
    </cfRule>
  </conditionalFormatting>
  <conditionalFormatting sqref="F2983:F3030">
    <cfRule type="expression" dxfId="4" priority="2259">
      <formula>F2983&lt;V2983</formula>
    </cfRule>
  </conditionalFormatting>
  <conditionalFormatting sqref="F3032:F3037">
    <cfRule type="expression" dxfId="4" priority="2245">
      <formula>F3032&lt;V3032</formula>
    </cfRule>
  </conditionalFormatting>
  <conditionalFormatting sqref="F3039:F3044">
    <cfRule type="expression" dxfId="4" priority="2232">
      <formula>F3039&lt;V3039</formula>
    </cfRule>
  </conditionalFormatting>
  <conditionalFormatting sqref="F3048:F3095">
    <cfRule type="expression" dxfId="4" priority="2200">
      <formula>F3048&lt;V3048</formula>
    </cfRule>
  </conditionalFormatting>
  <conditionalFormatting sqref="F3097:F3102">
    <cfRule type="expression" dxfId="4" priority="2186">
      <formula>F3097&lt;V3097</formula>
    </cfRule>
  </conditionalFormatting>
  <conditionalFormatting sqref="F3104:F3109">
    <cfRule type="expression" dxfId="4" priority="2173">
      <formula>F3104&lt;V3104</formula>
    </cfRule>
  </conditionalFormatting>
  <conditionalFormatting sqref="F3113:F3160">
    <cfRule type="expression" dxfId="4" priority="2141">
      <formula>F3113&lt;V3113</formula>
    </cfRule>
  </conditionalFormatting>
  <conditionalFormatting sqref="F3162:F3167">
    <cfRule type="expression" dxfId="4" priority="2127">
      <formula>F3162&lt;V3162</formula>
    </cfRule>
  </conditionalFormatting>
  <conditionalFormatting sqref="F3169:F3174">
    <cfRule type="expression" dxfId="4" priority="2114">
      <formula>F3169&lt;V3169</formula>
    </cfRule>
  </conditionalFormatting>
  <conditionalFormatting sqref="F3178:F3225">
    <cfRule type="expression" dxfId="4" priority="2082">
      <formula>F3178&lt;V3178</formula>
    </cfRule>
  </conditionalFormatting>
  <conditionalFormatting sqref="F3227:F3232">
    <cfRule type="expression" dxfId="4" priority="2068">
      <formula>F3227&lt;V3227</formula>
    </cfRule>
  </conditionalFormatting>
  <conditionalFormatting sqref="F3234:F3239">
    <cfRule type="expression" dxfId="4" priority="2055">
      <formula>F3234&lt;V3234</formula>
    </cfRule>
  </conditionalFormatting>
  <conditionalFormatting sqref="F3243:F3290">
    <cfRule type="expression" dxfId="4" priority="2023">
      <formula>F3243&lt;V3243</formula>
    </cfRule>
  </conditionalFormatting>
  <conditionalFormatting sqref="F3292:F3297">
    <cfRule type="expression" dxfId="4" priority="2009">
      <formula>F3292&lt;V3292</formula>
    </cfRule>
  </conditionalFormatting>
  <conditionalFormatting sqref="F3299:F3304">
    <cfRule type="expression" dxfId="4" priority="1996">
      <formula>F3299&lt;V3299</formula>
    </cfRule>
  </conditionalFormatting>
  <conditionalFormatting sqref="F3308:F3355">
    <cfRule type="expression" dxfId="4" priority="1964">
      <formula>F3308&lt;V3308</formula>
    </cfRule>
  </conditionalFormatting>
  <conditionalFormatting sqref="F3357:F3362">
    <cfRule type="expression" dxfId="4" priority="1950">
      <formula>F3357&lt;V3357</formula>
    </cfRule>
  </conditionalFormatting>
  <conditionalFormatting sqref="F3364:F3369">
    <cfRule type="expression" dxfId="4" priority="1937">
      <formula>F3364&lt;V3364</formula>
    </cfRule>
  </conditionalFormatting>
  <conditionalFormatting sqref="F3373:F3420">
    <cfRule type="expression" dxfId="4" priority="1905">
      <formula>F3373&lt;V3373</formula>
    </cfRule>
  </conditionalFormatting>
  <conditionalFormatting sqref="F3422:F3427">
    <cfRule type="expression" dxfId="4" priority="1891">
      <formula>F3422&lt;V3422</formula>
    </cfRule>
  </conditionalFormatting>
  <conditionalFormatting sqref="F3429:F3434">
    <cfRule type="expression" dxfId="4" priority="1878">
      <formula>F3429&lt;V3429</formula>
    </cfRule>
  </conditionalFormatting>
  <conditionalFormatting sqref="F3438:F3485">
    <cfRule type="expression" dxfId="4" priority="1846">
      <formula>F3438&lt;V3438</formula>
    </cfRule>
  </conditionalFormatting>
  <conditionalFormatting sqref="F3487:F3492">
    <cfRule type="expression" dxfId="4" priority="1832">
      <formula>F3487&lt;V3487</formula>
    </cfRule>
  </conditionalFormatting>
  <conditionalFormatting sqref="F3494:F3499">
    <cfRule type="expression" dxfId="4" priority="1819">
      <formula>F3494&lt;V3494</formula>
    </cfRule>
  </conditionalFormatting>
  <conditionalFormatting sqref="F3503:F3550">
    <cfRule type="expression" dxfId="4" priority="1787">
      <formula>F3503&lt;V3503</formula>
    </cfRule>
  </conditionalFormatting>
  <conditionalFormatting sqref="F3552:F3557">
    <cfRule type="expression" dxfId="4" priority="1773">
      <formula>F3552&lt;V3552</formula>
    </cfRule>
  </conditionalFormatting>
  <conditionalFormatting sqref="F3559:F3564">
    <cfRule type="expression" dxfId="4" priority="1760">
      <formula>F3559&lt;V3559</formula>
    </cfRule>
  </conditionalFormatting>
  <conditionalFormatting sqref="F3568:F3615">
    <cfRule type="expression" dxfId="4" priority="1728">
      <formula>F3568&lt;V3568</formula>
    </cfRule>
  </conditionalFormatting>
  <conditionalFormatting sqref="F3617:F3622">
    <cfRule type="expression" dxfId="4" priority="1714">
      <formula>F3617&lt;V3617</formula>
    </cfRule>
  </conditionalFormatting>
  <conditionalFormatting sqref="F3624:F3629">
    <cfRule type="expression" dxfId="4" priority="1701">
      <formula>F3624&lt;V3624</formula>
    </cfRule>
  </conditionalFormatting>
  <conditionalFormatting sqref="F3633:F3680">
    <cfRule type="expression" dxfId="4" priority="1669">
      <formula>F3633&lt;V3633</formula>
    </cfRule>
  </conditionalFormatting>
  <conditionalFormatting sqref="F3682:F3687">
    <cfRule type="expression" dxfId="4" priority="1655">
      <formula>F3682&lt;V3682</formula>
    </cfRule>
  </conditionalFormatting>
  <conditionalFormatting sqref="F3689:F3694">
    <cfRule type="expression" dxfId="4" priority="1642">
      <formula>F3689&lt;V3689</formula>
    </cfRule>
  </conditionalFormatting>
  <conditionalFormatting sqref="F3698:F3745">
    <cfRule type="expression" dxfId="4" priority="1610">
      <formula>F3698&lt;V3698</formula>
    </cfRule>
  </conditionalFormatting>
  <conditionalFormatting sqref="F3747:F3752">
    <cfRule type="expression" dxfId="4" priority="1596">
      <formula>F3747&lt;V3747</formula>
    </cfRule>
  </conditionalFormatting>
  <conditionalFormatting sqref="F3754:F3759">
    <cfRule type="expression" dxfId="4" priority="1583">
      <formula>F3754&lt;V3754</formula>
    </cfRule>
  </conditionalFormatting>
  <conditionalFormatting sqref="F3763:F3810">
    <cfRule type="expression" dxfId="4" priority="1551">
      <formula>F3763&lt;V3763</formula>
    </cfRule>
  </conditionalFormatting>
  <conditionalFormatting sqref="F3812:F3817">
    <cfRule type="expression" dxfId="4" priority="1537">
      <formula>F3812&lt;V3812</formula>
    </cfRule>
  </conditionalFormatting>
  <conditionalFormatting sqref="F3819:F3824">
    <cfRule type="expression" dxfId="4" priority="1524">
      <formula>F3819&lt;V3819</formula>
    </cfRule>
  </conditionalFormatting>
  <conditionalFormatting sqref="F3828:F3875">
    <cfRule type="expression" dxfId="4" priority="1492">
      <formula>F3828&lt;V3828</formula>
    </cfRule>
  </conditionalFormatting>
  <conditionalFormatting sqref="F3877:F3882">
    <cfRule type="expression" dxfId="4" priority="1478">
      <formula>F3877&lt;V3877</formula>
    </cfRule>
  </conditionalFormatting>
  <conditionalFormatting sqref="F3884:F3889">
    <cfRule type="expression" dxfId="4" priority="1465">
      <formula>F3884&lt;V3884</formula>
    </cfRule>
  </conditionalFormatting>
  <conditionalFormatting sqref="F3893:F3940">
    <cfRule type="expression" dxfId="4" priority="1433">
      <formula>F3893&lt;V3893</formula>
    </cfRule>
  </conditionalFormatting>
  <conditionalFormatting sqref="F3942:F3947">
    <cfRule type="expression" dxfId="4" priority="1419">
      <formula>F3942&lt;V3942</formula>
    </cfRule>
  </conditionalFormatting>
  <conditionalFormatting sqref="F3949:F3954">
    <cfRule type="expression" dxfId="4" priority="1406">
      <formula>F3949&lt;V3949</formula>
    </cfRule>
  </conditionalFormatting>
  <conditionalFormatting sqref="F3958:F4005">
    <cfRule type="expression" dxfId="4" priority="1374">
      <formula>F3958&lt;V3958</formula>
    </cfRule>
  </conditionalFormatting>
  <conditionalFormatting sqref="F4007:F4012">
    <cfRule type="expression" dxfId="4" priority="1360">
      <formula>F4007&lt;V4007</formula>
    </cfRule>
  </conditionalFormatting>
  <conditionalFormatting sqref="F4014:F4019">
    <cfRule type="expression" dxfId="4" priority="1347">
      <formula>F4014&lt;V4014</formula>
    </cfRule>
  </conditionalFormatting>
  <conditionalFormatting sqref="F4023:F4070">
    <cfRule type="expression" dxfId="4" priority="1315">
      <formula>F4023&lt;V4023</formula>
    </cfRule>
  </conditionalFormatting>
  <conditionalFormatting sqref="F4072:F4077">
    <cfRule type="expression" dxfId="4" priority="1301">
      <formula>F4072&lt;V4072</formula>
    </cfRule>
  </conditionalFormatting>
  <conditionalFormatting sqref="F4079:F4084">
    <cfRule type="expression" dxfId="4" priority="1288">
      <formula>F4079&lt;V4079</formula>
    </cfRule>
  </conditionalFormatting>
  <conditionalFormatting sqref="F4088:F4135">
    <cfRule type="expression" dxfId="4" priority="1256">
      <formula>F4088&lt;V4088</formula>
    </cfRule>
  </conditionalFormatting>
  <conditionalFormatting sqref="F4137:F4142">
    <cfRule type="expression" dxfId="4" priority="1242">
      <formula>F4137&lt;V4137</formula>
    </cfRule>
  </conditionalFormatting>
  <conditionalFormatting sqref="F4144:F4149">
    <cfRule type="expression" dxfId="4" priority="1229">
      <formula>F4144&lt;V4144</formula>
    </cfRule>
  </conditionalFormatting>
  <conditionalFormatting sqref="F4153:F4200">
    <cfRule type="expression" dxfId="4" priority="1197">
      <formula>F4153&lt;V4153</formula>
    </cfRule>
  </conditionalFormatting>
  <conditionalFormatting sqref="F4202:F4207">
    <cfRule type="expression" dxfId="4" priority="1183">
      <formula>F4202&lt;V4202</formula>
    </cfRule>
  </conditionalFormatting>
  <conditionalFormatting sqref="F4209:F4214">
    <cfRule type="expression" dxfId="4" priority="1170">
      <formula>F4209&lt;V4209</formula>
    </cfRule>
  </conditionalFormatting>
  <conditionalFormatting sqref="F4218:F4265">
    <cfRule type="expression" dxfId="4" priority="1138">
      <formula>F4218&lt;V4218</formula>
    </cfRule>
  </conditionalFormatting>
  <conditionalFormatting sqref="F4267:F4272">
    <cfRule type="expression" dxfId="4" priority="1124">
      <formula>F4267&lt;V4267</formula>
    </cfRule>
  </conditionalFormatting>
  <conditionalFormatting sqref="F4274:F4279">
    <cfRule type="expression" dxfId="4" priority="1111">
      <formula>F4274&lt;V4274</formula>
    </cfRule>
  </conditionalFormatting>
  <conditionalFormatting sqref="F4283:F4330">
    <cfRule type="expression" dxfId="4" priority="1079">
      <formula>F4283&lt;V4283</formula>
    </cfRule>
  </conditionalFormatting>
  <conditionalFormatting sqref="F4332:F4337">
    <cfRule type="expression" dxfId="4" priority="1065">
      <formula>F4332&lt;V4332</formula>
    </cfRule>
  </conditionalFormatting>
  <conditionalFormatting sqref="F4339:F4344">
    <cfRule type="expression" dxfId="4" priority="1052">
      <formula>F4339&lt;V4339</formula>
    </cfRule>
  </conditionalFormatting>
  <conditionalFormatting sqref="F4348:F4395">
    <cfRule type="expression" dxfId="4" priority="1020">
      <formula>F4348&lt;V4348</formula>
    </cfRule>
  </conditionalFormatting>
  <conditionalFormatting sqref="F4397:F4402">
    <cfRule type="expression" dxfId="4" priority="1006">
      <formula>F4397&lt;V4397</formula>
    </cfRule>
  </conditionalFormatting>
  <conditionalFormatting sqref="F4404:F4409">
    <cfRule type="expression" dxfId="4" priority="993">
      <formula>F4404&lt;V4404</formula>
    </cfRule>
  </conditionalFormatting>
  <conditionalFormatting sqref="F4413:F4460">
    <cfRule type="expression" dxfId="4" priority="961">
      <formula>F4413&lt;V4413</formula>
    </cfRule>
  </conditionalFormatting>
  <conditionalFormatting sqref="F4462:F4467">
    <cfRule type="expression" dxfId="4" priority="947">
      <formula>F4462&lt;V4462</formula>
    </cfRule>
  </conditionalFormatting>
  <conditionalFormatting sqref="F4469:F4474">
    <cfRule type="expression" dxfId="4" priority="934">
      <formula>F4469&lt;V4469</formula>
    </cfRule>
  </conditionalFormatting>
  <conditionalFormatting sqref="F4478:F4525">
    <cfRule type="expression" dxfId="4" priority="902">
      <formula>F4478&lt;V4478</formula>
    </cfRule>
  </conditionalFormatting>
  <conditionalFormatting sqref="F4527:F4532">
    <cfRule type="expression" dxfId="4" priority="888">
      <formula>F4527&lt;V4527</formula>
    </cfRule>
  </conditionalFormatting>
  <conditionalFormatting sqref="F4534:F4539">
    <cfRule type="expression" dxfId="4" priority="875">
      <formula>F4534&lt;V4534</formula>
    </cfRule>
  </conditionalFormatting>
  <conditionalFormatting sqref="F4543:F4590">
    <cfRule type="expression" dxfId="4" priority="843">
      <formula>F4543&lt;V4543</formula>
    </cfRule>
  </conditionalFormatting>
  <conditionalFormatting sqref="F4592:F4597">
    <cfRule type="expression" dxfId="4" priority="829">
      <formula>F4592&lt;V4592</formula>
    </cfRule>
  </conditionalFormatting>
  <conditionalFormatting sqref="F4599:F4604">
    <cfRule type="expression" dxfId="4" priority="816">
      <formula>F4599&lt;V4599</formula>
    </cfRule>
  </conditionalFormatting>
  <conditionalFormatting sqref="F4608:F4655">
    <cfRule type="expression" dxfId="4" priority="784">
      <formula>F4608&lt;V4608</formula>
    </cfRule>
  </conditionalFormatting>
  <conditionalFormatting sqref="F4657:F4662">
    <cfRule type="expression" dxfId="4" priority="770">
      <formula>F4657&lt;V4657</formula>
    </cfRule>
  </conditionalFormatting>
  <conditionalFormatting sqref="F4664:F4669">
    <cfRule type="expression" dxfId="4" priority="757">
      <formula>F4664&lt;V4664</formula>
    </cfRule>
  </conditionalFormatting>
  <conditionalFormatting sqref="F4673:F4720">
    <cfRule type="expression" dxfId="4" priority="725">
      <formula>F4673&lt;V4673</formula>
    </cfRule>
  </conditionalFormatting>
  <conditionalFormatting sqref="F4722:F4727">
    <cfRule type="expression" dxfId="4" priority="711">
      <formula>F4722&lt;V4722</formula>
    </cfRule>
  </conditionalFormatting>
  <conditionalFormatting sqref="F4729:F4734">
    <cfRule type="expression" dxfId="4" priority="698">
      <formula>F4729&lt;V4729</formula>
    </cfRule>
  </conditionalFormatting>
  <conditionalFormatting sqref="F4738:F4785">
    <cfRule type="expression" dxfId="4" priority="666">
      <formula>F4738&lt;V4738</formula>
    </cfRule>
  </conditionalFormatting>
  <conditionalFormatting sqref="F4787:F4792">
    <cfRule type="expression" dxfId="4" priority="652">
      <formula>F4787&lt;V4787</formula>
    </cfRule>
  </conditionalFormatting>
  <conditionalFormatting sqref="F4794:F4799">
    <cfRule type="expression" dxfId="4" priority="639">
      <formula>F4794&lt;V4794</formula>
    </cfRule>
  </conditionalFormatting>
  <conditionalFormatting sqref="F4803:F4850">
    <cfRule type="expression" dxfId="4" priority="607">
      <formula>F4803&lt;V4803</formula>
    </cfRule>
  </conditionalFormatting>
  <conditionalFormatting sqref="F4852:F4857">
    <cfRule type="expression" dxfId="4" priority="593">
      <formula>F4852&lt;V4852</formula>
    </cfRule>
  </conditionalFormatting>
  <conditionalFormatting sqref="F4859:F4864">
    <cfRule type="expression" dxfId="4" priority="580">
      <formula>F4859&lt;V4859</formula>
    </cfRule>
  </conditionalFormatting>
  <conditionalFormatting sqref="F4868:F4915">
    <cfRule type="expression" dxfId="4" priority="548">
      <formula>F4868&lt;V4868</formula>
    </cfRule>
  </conditionalFormatting>
  <conditionalFormatting sqref="F4917:F4922">
    <cfRule type="expression" dxfId="4" priority="534">
      <formula>F4917&lt;V4917</formula>
    </cfRule>
  </conditionalFormatting>
  <conditionalFormatting sqref="F4924:F4929">
    <cfRule type="expression" dxfId="4" priority="521">
      <formula>F4924&lt;V4924</formula>
    </cfRule>
  </conditionalFormatting>
  <conditionalFormatting sqref="F4933:F4980">
    <cfRule type="expression" dxfId="4" priority="489">
      <formula>F4933&lt;V4933</formula>
    </cfRule>
  </conditionalFormatting>
  <conditionalFormatting sqref="F4982:F4987">
    <cfRule type="expression" dxfId="4" priority="475">
      <formula>F4982&lt;V4982</formula>
    </cfRule>
  </conditionalFormatting>
  <conditionalFormatting sqref="F4989:F4994">
    <cfRule type="expression" dxfId="4" priority="462">
      <formula>F4989&lt;V4989</formula>
    </cfRule>
  </conditionalFormatting>
  <conditionalFormatting sqref="F4998:F5045">
    <cfRule type="expression" dxfId="4" priority="430">
      <formula>F4998&lt;V4998</formula>
    </cfRule>
  </conditionalFormatting>
  <conditionalFormatting sqref="F5047:F5052">
    <cfRule type="expression" dxfId="4" priority="416">
      <formula>F5047&lt;V5047</formula>
    </cfRule>
  </conditionalFormatting>
  <conditionalFormatting sqref="F5054:F5059">
    <cfRule type="expression" dxfId="4" priority="403">
      <formula>F5054&lt;V5054</formula>
    </cfRule>
  </conditionalFormatting>
  <conditionalFormatting sqref="F5063:F5110">
    <cfRule type="expression" dxfId="4" priority="371">
      <formula>F5063&lt;V5063</formula>
    </cfRule>
  </conditionalFormatting>
  <conditionalFormatting sqref="F5112:F5117">
    <cfRule type="expression" dxfId="4" priority="357">
      <formula>F5112&lt;V5112</formula>
    </cfRule>
  </conditionalFormatting>
  <conditionalFormatting sqref="F5119:F5124">
    <cfRule type="expression" dxfId="4" priority="344">
      <formula>F5119&lt;V5119</formula>
    </cfRule>
  </conditionalFormatting>
  <conditionalFormatting sqref="G3:G51">
    <cfRule type="expression" dxfId="4" priority="4596">
      <formula>G3&lt;W3</formula>
    </cfRule>
  </conditionalFormatting>
  <conditionalFormatting sqref="G54:G102">
    <cfRule type="expression" dxfId="4" priority="4574">
      <formula>G54&lt;W54</formula>
    </cfRule>
  </conditionalFormatting>
  <conditionalFormatting sqref="G105:G153">
    <cfRule type="expression" dxfId="4" priority="4640">
      <formula>G105&lt;W105</formula>
    </cfRule>
  </conditionalFormatting>
  <conditionalFormatting sqref="G156:G204">
    <cfRule type="expression" dxfId="4" priority="4618">
      <formula>G156&lt;W156</formula>
    </cfRule>
  </conditionalFormatting>
  <conditionalFormatting sqref="G207:G255">
    <cfRule type="expression" dxfId="4" priority="4552">
      <formula>G207&lt;W207</formula>
    </cfRule>
  </conditionalFormatting>
  <conditionalFormatting sqref="G258:G306">
    <cfRule type="expression" dxfId="4" priority="4530">
      <formula>G258&lt;W258</formula>
    </cfRule>
  </conditionalFormatting>
  <conditionalFormatting sqref="G309:G357">
    <cfRule type="expression" dxfId="4" priority="4508">
      <formula>G309&lt;W309</formula>
    </cfRule>
  </conditionalFormatting>
  <conditionalFormatting sqref="G360:G408">
    <cfRule type="expression" dxfId="4" priority="4486">
      <formula>G360&lt;W360</formula>
    </cfRule>
  </conditionalFormatting>
  <conditionalFormatting sqref="G411:G459">
    <cfRule type="expression" dxfId="4" priority="4464">
      <formula>G411&lt;W411</formula>
    </cfRule>
  </conditionalFormatting>
  <conditionalFormatting sqref="G462:G510">
    <cfRule type="expression" dxfId="4" priority="4442">
      <formula>G462&lt;W462</formula>
    </cfRule>
  </conditionalFormatting>
  <conditionalFormatting sqref="G513:G561">
    <cfRule type="expression" dxfId="4" priority="4420">
      <formula>G513&lt;W513</formula>
    </cfRule>
  </conditionalFormatting>
  <conditionalFormatting sqref="G562:G568">
    <cfRule type="expression" dxfId="4" priority="4398">
      <formula>G562&lt;W562</formula>
    </cfRule>
  </conditionalFormatting>
  <conditionalFormatting sqref="G569:G575">
    <cfRule type="expression" dxfId="4" priority="4384">
      <formula>G569&lt;W569</formula>
    </cfRule>
  </conditionalFormatting>
  <conditionalFormatting sqref="G578:G626">
    <cfRule type="expression" dxfId="4" priority="4370">
      <formula>G578&lt;W578</formula>
    </cfRule>
  </conditionalFormatting>
  <conditionalFormatting sqref="G627:G633">
    <cfRule type="expression" dxfId="4" priority="4348">
      <formula>G627&lt;W627</formula>
    </cfRule>
  </conditionalFormatting>
  <conditionalFormatting sqref="G634:G640">
    <cfRule type="expression" dxfId="4" priority="4334">
      <formula>G634&lt;W634</formula>
    </cfRule>
  </conditionalFormatting>
  <conditionalFormatting sqref="G643:G691">
    <cfRule type="expression" dxfId="4" priority="4320">
      <formula>G643&lt;W643</formula>
    </cfRule>
  </conditionalFormatting>
  <conditionalFormatting sqref="G692:G698">
    <cfRule type="expression" dxfId="4" priority="4298">
      <formula>G692&lt;W692</formula>
    </cfRule>
  </conditionalFormatting>
  <conditionalFormatting sqref="G699:G705">
    <cfRule type="expression" dxfId="4" priority="4284">
      <formula>G699&lt;W699</formula>
    </cfRule>
  </conditionalFormatting>
  <conditionalFormatting sqref="G708:G756">
    <cfRule type="expression" dxfId="4" priority="4270">
      <formula>G708&lt;W708</formula>
    </cfRule>
  </conditionalFormatting>
  <conditionalFormatting sqref="G757:G763">
    <cfRule type="expression" dxfId="4" priority="4248">
      <formula>G757&lt;W757</formula>
    </cfRule>
  </conditionalFormatting>
  <conditionalFormatting sqref="G764:G770">
    <cfRule type="expression" dxfId="4" priority="4234">
      <formula>G764&lt;W764</formula>
    </cfRule>
  </conditionalFormatting>
  <conditionalFormatting sqref="G773:G821">
    <cfRule type="expression" dxfId="4" priority="4220">
      <formula>G773&lt;W773</formula>
    </cfRule>
  </conditionalFormatting>
  <conditionalFormatting sqref="G822:G828">
    <cfRule type="expression" dxfId="4" priority="4206">
      <formula>G822&lt;W822</formula>
    </cfRule>
  </conditionalFormatting>
  <conditionalFormatting sqref="G829:G835">
    <cfRule type="expression" dxfId="4" priority="4193">
      <formula>G829&lt;W829</formula>
    </cfRule>
  </conditionalFormatting>
  <conditionalFormatting sqref="G838:G886">
    <cfRule type="expression" dxfId="4" priority="4163">
      <formula>G838&lt;W838</formula>
    </cfRule>
  </conditionalFormatting>
  <conditionalFormatting sqref="G887:G893">
    <cfRule type="expression" dxfId="4" priority="4149">
      <formula>G887&lt;W887</formula>
    </cfRule>
  </conditionalFormatting>
  <conditionalFormatting sqref="G894:G900">
    <cfRule type="expression" dxfId="4" priority="4136">
      <formula>G894&lt;W894</formula>
    </cfRule>
  </conditionalFormatting>
  <conditionalFormatting sqref="G903:G951">
    <cfRule type="expression" dxfId="4" priority="4106">
      <formula>G903&lt;W903</formula>
    </cfRule>
  </conditionalFormatting>
  <conditionalFormatting sqref="G952:G958">
    <cfRule type="expression" dxfId="4" priority="4092">
      <formula>G952&lt;W952</formula>
    </cfRule>
  </conditionalFormatting>
  <conditionalFormatting sqref="G959:G965">
    <cfRule type="expression" dxfId="4" priority="4079">
      <formula>G959&lt;W959</formula>
    </cfRule>
  </conditionalFormatting>
  <conditionalFormatting sqref="G968:G1016">
    <cfRule type="expression" dxfId="4" priority="4049">
      <formula>G968&lt;W968</formula>
    </cfRule>
  </conditionalFormatting>
  <conditionalFormatting sqref="G1017:G1023">
    <cfRule type="expression" dxfId="4" priority="4035">
      <formula>G1017&lt;W1017</formula>
    </cfRule>
  </conditionalFormatting>
  <conditionalFormatting sqref="G1024:G1030">
    <cfRule type="expression" dxfId="4" priority="4022">
      <formula>G1024&lt;W1024</formula>
    </cfRule>
  </conditionalFormatting>
  <conditionalFormatting sqref="G1033:G1081">
    <cfRule type="expression" dxfId="4" priority="3992">
      <formula>G1033&lt;W1033</formula>
    </cfRule>
  </conditionalFormatting>
  <conditionalFormatting sqref="G1082:G1088">
    <cfRule type="expression" dxfId="4" priority="3978">
      <formula>G1082&lt;W1082</formula>
    </cfRule>
  </conditionalFormatting>
  <conditionalFormatting sqref="G1089:G1095">
    <cfRule type="expression" dxfId="4" priority="3965">
      <formula>G1089&lt;W1089</formula>
    </cfRule>
  </conditionalFormatting>
  <conditionalFormatting sqref="G1098:G1146">
    <cfRule type="expression" dxfId="4" priority="3935">
      <formula>G1098&lt;W1098</formula>
    </cfRule>
  </conditionalFormatting>
  <conditionalFormatting sqref="G1147:G1153">
    <cfRule type="expression" dxfId="4" priority="3921">
      <formula>G1147&lt;W1147</formula>
    </cfRule>
  </conditionalFormatting>
  <conditionalFormatting sqref="G1154:G1160">
    <cfRule type="expression" dxfId="4" priority="3908">
      <formula>G1154&lt;W1154</formula>
    </cfRule>
  </conditionalFormatting>
  <conditionalFormatting sqref="G1163:G1211">
    <cfRule type="expression" dxfId="4" priority="3878">
      <formula>G1163&lt;W1163</formula>
    </cfRule>
  </conditionalFormatting>
  <conditionalFormatting sqref="G1212:G1218">
    <cfRule type="expression" dxfId="4" priority="3864">
      <formula>G1212&lt;W1212</formula>
    </cfRule>
  </conditionalFormatting>
  <conditionalFormatting sqref="G1219:G1225">
    <cfRule type="expression" dxfId="4" priority="3851">
      <formula>G1219&lt;W1219</formula>
    </cfRule>
  </conditionalFormatting>
  <conditionalFormatting sqref="G1228:G1276">
    <cfRule type="expression" dxfId="4" priority="3821">
      <formula>G1228&lt;W1228</formula>
    </cfRule>
  </conditionalFormatting>
  <conditionalFormatting sqref="G1277:G1283">
    <cfRule type="expression" dxfId="4" priority="3807">
      <formula>G1277&lt;W1277</formula>
    </cfRule>
  </conditionalFormatting>
  <conditionalFormatting sqref="G1284:G1290">
    <cfRule type="expression" dxfId="4" priority="3794">
      <formula>G1284&lt;W1284</formula>
    </cfRule>
  </conditionalFormatting>
  <conditionalFormatting sqref="G1293:G1341">
    <cfRule type="expression" dxfId="4" priority="3764">
      <formula>G1293&lt;W1293</formula>
    </cfRule>
  </conditionalFormatting>
  <conditionalFormatting sqref="G1342:G1348">
    <cfRule type="expression" dxfId="4" priority="3750">
      <formula>G1342&lt;W1342</formula>
    </cfRule>
  </conditionalFormatting>
  <conditionalFormatting sqref="G1349:G1355">
    <cfRule type="expression" dxfId="4" priority="3737">
      <formula>G1349&lt;W1349</formula>
    </cfRule>
  </conditionalFormatting>
  <conditionalFormatting sqref="G1358:G1406">
    <cfRule type="expression" dxfId="4" priority="3707">
      <formula>G1358&lt;W1358</formula>
    </cfRule>
  </conditionalFormatting>
  <conditionalFormatting sqref="G1407:G1413">
    <cfRule type="expression" dxfId="4" priority="3693">
      <formula>G1407&lt;W1407</formula>
    </cfRule>
  </conditionalFormatting>
  <conditionalFormatting sqref="G1414:G1420">
    <cfRule type="expression" dxfId="4" priority="3680">
      <formula>G1414&lt;W1414</formula>
    </cfRule>
  </conditionalFormatting>
  <conditionalFormatting sqref="G1423:G1471">
    <cfRule type="expression" dxfId="4" priority="3650">
      <formula>G1423&lt;W1423</formula>
    </cfRule>
  </conditionalFormatting>
  <conditionalFormatting sqref="G1472:G1478">
    <cfRule type="expression" dxfId="4" priority="3636">
      <formula>G1472&lt;W1472</formula>
    </cfRule>
  </conditionalFormatting>
  <conditionalFormatting sqref="G1479:G1485">
    <cfRule type="expression" dxfId="4" priority="3623">
      <formula>G1479&lt;W1479</formula>
    </cfRule>
  </conditionalFormatting>
  <conditionalFormatting sqref="G1488:G1536">
    <cfRule type="expression" dxfId="4" priority="3593">
      <formula>G1488&lt;W1488</formula>
    </cfRule>
  </conditionalFormatting>
  <conditionalFormatting sqref="G1537:G1543">
    <cfRule type="expression" dxfId="4" priority="3579">
      <formula>G1537&lt;W1537</formula>
    </cfRule>
  </conditionalFormatting>
  <conditionalFormatting sqref="G1544:G1550">
    <cfRule type="expression" dxfId="4" priority="3566">
      <formula>G1544&lt;W1544</formula>
    </cfRule>
  </conditionalFormatting>
  <conditionalFormatting sqref="G1553:G1601">
    <cfRule type="expression" dxfId="4" priority="3536">
      <formula>G1553&lt;W1553</formula>
    </cfRule>
  </conditionalFormatting>
  <conditionalFormatting sqref="G1602:G1608">
    <cfRule type="expression" dxfId="4" priority="3522">
      <formula>G1602&lt;W1602</formula>
    </cfRule>
  </conditionalFormatting>
  <conditionalFormatting sqref="G1609:G1615">
    <cfRule type="expression" dxfId="4" priority="3509">
      <formula>G1609&lt;W1609</formula>
    </cfRule>
  </conditionalFormatting>
  <conditionalFormatting sqref="G1618:G1666">
    <cfRule type="expression" dxfId="4" priority="3479">
      <formula>G1618&lt;W1618</formula>
    </cfRule>
  </conditionalFormatting>
  <conditionalFormatting sqref="G1667:G1673">
    <cfRule type="expression" dxfId="4" priority="3465">
      <formula>G1667&lt;W1667</formula>
    </cfRule>
  </conditionalFormatting>
  <conditionalFormatting sqref="G1674:G1680">
    <cfRule type="expression" dxfId="4" priority="3452">
      <formula>G1674&lt;W1674</formula>
    </cfRule>
  </conditionalFormatting>
  <conditionalFormatting sqref="G1683:G1731">
    <cfRule type="expression" dxfId="4" priority="3422">
      <formula>G1683&lt;W1683</formula>
    </cfRule>
  </conditionalFormatting>
  <conditionalFormatting sqref="G1732:G1738">
    <cfRule type="expression" dxfId="4" priority="3408">
      <formula>G1732&lt;W1732</formula>
    </cfRule>
  </conditionalFormatting>
  <conditionalFormatting sqref="G1739:G1745">
    <cfRule type="expression" dxfId="4" priority="3395">
      <formula>G1739&lt;W1739</formula>
    </cfRule>
  </conditionalFormatting>
  <conditionalFormatting sqref="G1748:G1796">
    <cfRule type="expression" dxfId="4" priority="3365">
      <formula>G1748&lt;W1748</formula>
    </cfRule>
  </conditionalFormatting>
  <conditionalFormatting sqref="G1797:G1803">
    <cfRule type="expression" dxfId="4" priority="3351">
      <formula>G1797&lt;W1797</formula>
    </cfRule>
  </conditionalFormatting>
  <conditionalFormatting sqref="G1804:G1810">
    <cfRule type="expression" dxfId="4" priority="3338">
      <formula>G1804&lt;W1804</formula>
    </cfRule>
  </conditionalFormatting>
  <conditionalFormatting sqref="G1813:G1861">
    <cfRule type="expression" dxfId="4" priority="3308">
      <formula>G1813&lt;W1813</formula>
    </cfRule>
  </conditionalFormatting>
  <conditionalFormatting sqref="G1862:G1868">
    <cfRule type="expression" dxfId="4" priority="3294">
      <formula>G1862&lt;W1862</formula>
    </cfRule>
  </conditionalFormatting>
  <conditionalFormatting sqref="G1869:G1875">
    <cfRule type="expression" dxfId="4" priority="3281">
      <formula>G1869&lt;W1869</formula>
    </cfRule>
  </conditionalFormatting>
  <conditionalFormatting sqref="G1878:G1926">
    <cfRule type="expression" dxfId="4" priority="3251">
      <formula>G1878&lt;W1878</formula>
    </cfRule>
  </conditionalFormatting>
  <conditionalFormatting sqref="G1927:G1933">
    <cfRule type="expression" dxfId="4" priority="3237">
      <formula>G1927&lt;W1927</formula>
    </cfRule>
  </conditionalFormatting>
  <conditionalFormatting sqref="G1934:G1940">
    <cfRule type="expression" dxfId="4" priority="3224">
      <formula>G1934&lt;W1934</formula>
    </cfRule>
  </conditionalFormatting>
  <conditionalFormatting sqref="G2008:G2056">
    <cfRule type="expression" dxfId="4" priority="3133">
      <formula>G2008&lt;W2008</formula>
    </cfRule>
  </conditionalFormatting>
  <conditionalFormatting sqref="G2057:G2063">
    <cfRule type="expression" dxfId="4" priority="3119">
      <formula>G2057&lt;W2057</formula>
    </cfRule>
  </conditionalFormatting>
  <conditionalFormatting sqref="G2064:G2070">
    <cfRule type="expression" dxfId="4" priority="3106">
      <formula>G2064&lt;W2064</formula>
    </cfRule>
  </conditionalFormatting>
  <conditionalFormatting sqref="G2073:G2121">
    <cfRule type="expression" dxfId="4" priority="3076">
      <formula>G2073&lt;W2073</formula>
    </cfRule>
  </conditionalFormatting>
  <conditionalFormatting sqref="G2122:G2128">
    <cfRule type="expression" dxfId="4" priority="3062">
      <formula>G2122&lt;W2122</formula>
    </cfRule>
  </conditionalFormatting>
  <conditionalFormatting sqref="G2129:G2135">
    <cfRule type="expression" dxfId="4" priority="3049">
      <formula>G2129&lt;W2129</formula>
    </cfRule>
  </conditionalFormatting>
  <conditionalFormatting sqref="G2138:G2186">
    <cfRule type="expression" dxfId="4" priority="3019">
      <formula>G2138&lt;W2138</formula>
    </cfRule>
  </conditionalFormatting>
  <conditionalFormatting sqref="G2187:G2193">
    <cfRule type="expression" dxfId="4" priority="3005">
      <formula>G2187&lt;W2187</formula>
    </cfRule>
  </conditionalFormatting>
  <conditionalFormatting sqref="G2194:G2200">
    <cfRule type="expression" dxfId="4" priority="2992">
      <formula>G2194&lt;W2194</formula>
    </cfRule>
  </conditionalFormatting>
  <conditionalFormatting sqref="G2203:G2251">
    <cfRule type="expression" dxfId="4" priority="2962">
      <formula>G2203&lt;W2203</formula>
    </cfRule>
  </conditionalFormatting>
  <conditionalFormatting sqref="G2252:G2258">
    <cfRule type="expression" dxfId="4" priority="2948">
      <formula>G2252&lt;W2252</formula>
    </cfRule>
  </conditionalFormatting>
  <conditionalFormatting sqref="G2259:G2265">
    <cfRule type="expression" dxfId="4" priority="2935">
      <formula>G2259&lt;W2259</formula>
    </cfRule>
  </conditionalFormatting>
  <conditionalFormatting sqref="G2268:G2316">
    <cfRule type="expression" dxfId="4" priority="2905">
      <formula>G2268&lt;W2268</formula>
    </cfRule>
  </conditionalFormatting>
  <conditionalFormatting sqref="G2317:G2323">
    <cfRule type="expression" dxfId="4" priority="2891">
      <formula>G2317&lt;W2317</formula>
    </cfRule>
  </conditionalFormatting>
  <conditionalFormatting sqref="G2324:G2330">
    <cfRule type="expression" dxfId="4" priority="2878">
      <formula>G2324&lt;W2324</formula>
    </cfRule>
  </conditionalFormatting>
  <conditionalFormatting sqref="G2333:G2380">
    <cfRule type="expression" dxfId="4" priority="2848">
      <formula>G2333&lt;W2333</formula>
    </cfRule>
  </conditionalFormatting>
  <conditionalFormatting sqref="G2382:G2387">
    <cfRule type="expression" dxfId="4" priority="2834">
      <formula>G2382&lt;W2382</formula>
    </cfRule>
  </conditionalFormatting>
  <conditionalFormatting sqref="G2389:G2394">
    <cfRule type="expression" dxfId="4" priority="2821">
      <formula>G2389&lt;W2389</formula>
    </cfRule>
  </conditionalFormatting>
  <conditionalFormatting sqref="G2398:G2445">
    <cfRule type="expression" dxfId="4" priority="2789">
      <formula>G2398&lt;W2398</formula>
    </cfRule>
  </conditionalFormatting>
  <conditionalFormatting sqref="G2447:G2452">
    <cfRule type="expression" dxfId="4" priority="2775">
      <formula>G2447&lt;W2447</formula>
    </cfRule>
  </conditionalFormatting>
  <conditionalFormatting sqref="G2454:G2459">
    <cfRule type="expression" dxfId="4" priority="2762">
      <formula>G2454&lt;W2454</formula>
    </cfRule>
  </conditionalFormatting>
  <conditionalFormatting sqref="G2463:G2510">
    <cfRule type="expression" dxfId="4" priority="2730">
      <formula>G2463&lt;W2463</formula>
    </cfRule>
  </conditionalFormatting>
  <conditionalFormatting sqref="G2512:G2517">
    <cfRule type="expression" dxfId="4" priority="2716">
      <formula>G2512&lt;W2512</formula>
    </cfRule>
  </conditionalFormatting>
  <conditionalFormatting sqref="G2519:G2524">
    <cfRule type="expression" dxfId="4" priority="2703">
      <formula>G2519&lt;W2519</formula>
    </cfRule>
  </conditionalFormatting>
  <conditionalFormatting sqref="G2528:G2575">
    <cfRule type="expression" dxfId="4" priority="2671">
      <formula>G2528&lt;W2528</formula>
    </cfRule>
  </conditionalFormatting>
  <conditionalFormatting sqref="G2577:G2582">
    <cfRule type="expression" dxfId="4" priority="2657">
      <formula>G2577&lt;W2577</formula>
    </cfRule>
  </conditionalFormatting>
  <conditionalFormatting sqref="G2584:G2589">
    <cfRule type="expression" dxfId="4" priority="2644">
      <formula>G2584&lt;W2584</formula>
    </cfRule>
  </conditionalFormatting>
  <conditionalFormatting sqref="G2593:G2640">
    <cfRule type="expression" dxfId="4" priority="2612">
      <formula>G2593&lt;W2593</formula>
    </cfRule>
  </conditionalFormatting>
  <conditionalFormatting sqref="G2642:G2647">
    <cfRule type="expression" dxfId="4" priority="2598">
      <formula>G2642&lt;W2642</formula>
    </cfRule>
  </conditionalFormatting>
  <conditionalFormatting sqref="G2649:G2654">
    <cfRule type="expression" dxfId="4" priority="2585">
      <formula>G2649&lt;W2649</formula>
    </cfRule>
  </conditionalFormatting>
  <conditionalFormatting sqref="G2658:G2705">
    <cfRule type="expression" dxfId="4" priority="2553">
      <formula>G2658&lt;W2658</formula>
    </cfRule>
  </conditionalFormatting>
  <conditionalFormatting sqref="G2707:G2712">
    <cfRule type="expression" dxfId="4" priority="2539">
      <formula>G2707&lt;W2707</formula>
    </cfRule>
  </conditionalFormatting>
  <conditionalFormatting sqref="G2714:G2719">
    <cfRule type="expression" dxfId="4" priority="2526">
      <formula>G2714&lt;W2714</formula>
    </cfRule>
  </conditionalFormatting>
  <conditionalFormatting sqref="G2723:G2770">
    <cfRule type="expression" dxfId="4" priority="2494">
      <formula>G2723&lt;W2723</formula>
    </cfRule>
  </conditionalFormatting>
  <conditionalFormatting sqref="G2772:G2777">
    <cfRule type="expression" dxfId="4" priority="2480">
      <formula>G2772&lt;W2772</formula>
    </cfRule>
  </conditionalFormatting>
  <conditionalFormatting sqref="G2779:G2784">
    <cfRule type="expression" dxfId="4" priority="2467">
      <formula>G2779&lt;W2779</formula>
    </cfRule>
  </conditionalFormatting>
  <conditionalFormatting sqref="G2788:G2835">
    <cfRule type="expression" dxfId="4" priority="2435">
      <formula>G2788&lt;W2788</formula>
    </cfRule>
  </conditionalFormatting>
  <conditionalFormatting sqref="G2837:G2842">
    <cfRule type="expression" dxfId="4" priority="2421">
      <formula>G2837&lt;W2837</formula>
    </cfRule>
  </conditionalFormatting>
  <conditionalFormatting sqref="G2844:G2849">
    <cfRule type="expression" dxfId="4" priority="2408">
      <formula>G2844&lt;W2844</formula>
    </cfRule>
  </conditionalFormatting>
  <conditionalFormatting sqref="G2853:G2900">
    <cfRule type="expression" dxfId="4" priority="2376">
      <formula>G2853&lt;W2853</formula>
    </cfRule>
  </conditionalFormatting>
  <conditionalFormatting sqref="G2902:G2907">
    <cfRule type="expression" dxfId="4" priority="2362">
      <formula>G2902&lt;W2902</formula>
    </cfRule>
  </conditionalFormatting>
  <conditionalFormatting sqref="G2909:G2914">
    <cfRule type="expression" dxfId="4" priority="2349">
      <formula>G2909&lt;W2909</formula>
    </cfRule>
  </conditionalFormatting>
  <conditionalFormatting sqref="G2918:G2965">
    <cfRule type="expression" dxfId="4" priority="2317">
      <formula>G2918&lt;W2918</formula>
    </cfRule>
  </conditionalFormatting>
  <conditionalFormatting sqref="G2967:G2972">
    <cfRule type="expression" dxfId="4" priority="2303">
      <formula>G2967&lt;W2967</formula>
    </cfRule>
  </conditionalFormatting>
  <conditionalFormatting sqref="G2974:G2979">
    <cfRule type="expression" dxfId="4" priority="2290">
      <formula>G2974&lt;W2974</formula>
    </cfRule>
  </conditionalFormatting>
  <conditionalFormatting sqref="G2983:G3030">
    <cfRule type="expression" dxfId="4" priority="2258">
      <formula>G2983&lt;W2983</formula>
    </cfRule>
  </conditionalFormatting>
  <conditionalFormatting sqref="G3032:G3037">
    <cfRule type="expression" dxfId="4" priority="2244">
      <formula>G3032&lt;W3032</formula>
    </cfRule>
  </conditionalFormatting>
  <conditionalFormatting sqref="G3039:G3044">
    <cfRule type="expression" dxfId="4" priority="2231">
      <formula>G3039&lt;W3039</formula>
    </cfRule>
  </conditionalFormatting>
  <conditionalFormatting sqref="G3048:G3095">
    <cfRule type="expression" dxfId="4" priority="2199">
      <formula>G3048&lt;W3048</formula>
    </cfRule>
  </conditionalFormatting>
  <conditionalFormatting sqref="G3097:G3102">
    <cfRule type="expression" dxfId="4" priority="2185">
      <formula>G3097&lt;W3097</formula>
    </cfRule>
  </conditionalFormatting>
  <conditionalFormatting sqref="G3104:G3109">
    <cfRule type="expression" dxfId="4" priority="2172">
      <formula>G3104&lt;W3104</formula>
    </cfRule>
  </conditionalFormatting>
  <conditionalFormatting sqref="G3113:G3160">
    <cfRule type="expression" dxfId="4" priority="2140">
      <formula>G3113&lt;W3113</formula>
    </cfRule>
  </conditionalFormatting>
  <conditionalFormatting sqref="G3162:G3167">
    <cfRule type="expression" dxfId="4" priority="2126">
      <formula>G3162&lt;W3162</formula>
    </cfRule>
  </conditionalFormatting>
  <conditionalFormatting sqref="G3169:G3174">
    <cfRule type="expression" dxfId="4" priority="2113">
      <formula>G3169&lt;W3169</formula>
    </cfRule>
  </conditionalFormatting>
  <conditionalFormatting sqref="G3178:G3225">
    <cfRule type="expression" dxfId="4" priority="2081">
      <formula>G3178&lt;W3178</formula>
    </cfRule>
  </conditionalFormatting>
  <conditionalFormatting sqref="G3227:G3232">
    <cfRule type="expression" dxfId="4" priority="2067">
      <formula>G3227&lt;W3227</formula>
    </cfRule>
  </conditionalFormatting>
  <conditionalFormatting sqref="G3234:G3239">
    <cfRule type="expression" dxfId="4" priority="2054">
      <formula>G3234&lt;W3234</formula>
    </cfRule>
  </conditionalFormatting>
  <conditionalFormatting sqref="G3243:G3290">
    <cfRule type="expression" dxfId="4" priority="2022">
      <formula>G3243&lt;W3243</formula>
    </cfRule>
  </conditionalFormatting>
  <conditionalFormatting sqref="G3292:G3297">
    <cfRule type="expression" dxfId="4" priority="2008">
      <formula>G3292&lt;W3292</formula>
    </cfRule>
  </conditionalFormatting>
  <conditionalFormatting sqref="G3299:G3304">
    <cfRule type="expression" dxfId="4" priority="1995">
      <formula>G3299&lt;W3299</formula>
    </cfRule>
  </conditionalFormatting>
  <conditionalFormatting sqref="G3308:G3355">
    <cfRule type="expression" dxfId="4" priority="1963">
      <formula>G3308&lt;W3308</formula>
    </cfRule>
  </conditionalFormatting>
  <conditionalFormatting sqref="G3357:G3362">
    <cfRule type="expression" dxfId="4" priority="1949">
      <formula>G3357&lt;W3357</formula>
    </cfRule>
  </conditionalFormatting>
  <conditionalFormatting sqref="G3364:G3369">
    <cfRule type="expression" dxfId="4" priority="1936">
      <formula>G3364&lt;W3364</formula>
    </cfRule>
  </conditionalFormatting>
  <conditionalFormatting sqref="G3373:G3420">
    <cfRule type="expression" dxfId="4" priority="1904">
      <formula>G3373&lt;W3373</formula>
    </cfRule>
  </conditionalFormatting>
  <conditionalFormatting sqref="G3422:G3427">
    <cfRule type="expression" dxfId="4" priority="1890">
      <formula>G3422&lt;W3422</formula>
    </cfRule>
  </conditionalFormatting>
  <conditionalFormatting sqref="G3429:G3434">
    <cfRule type="expression" dxfId="4" priority="1877">
      <formula>G3429&lt;W3429</formula>
    </cfRule>
  </conditionalFormatting>
  <conditionalFormatting sqref="G3438:G3485">
    <cfRule type="expression" dxfId="4" priority="1845">
      <formula>G3438&lt;W3438</formula>
    </cfRule>
  </conditionalFormatting>
  <conditionalFormatting sqref="G3487:G3492">
    <cfRule type="expression" dxfId="4" priority="1831">
      <formula>G3487&lt;W3487</formula>
    </cfRule>
  </conditionalFormatting>
  <conditionalFormatting sqref="G3494:G3499">
    <cfRule type="expression" dxfId="4" priority="1818">
      <formula>G3494&lt;W3494</formula>
    </cfRule>
  </conditionalFormatting>
  <conditionalFormatting sqref="G3503:G3550">
    <cfRule type="expression" dxfId="4" priority="1786">
      <formula>G3503&lt;W3503</formula>
    </cfRule>
  </conditionalFormatting>
  <conditionalFormatting sqref="G3552:G3557">
    <cfRule type="expression" dxfId="4" priority="1772">
      <formula>G3552&lt;W3552</formula>
    </cfRule>
  </conditionalFormatting>
  <conditionalFormatting sqref="G3559:G3564">
    <cfRule type="expression" dxfId="4" priority="1759">
      <formula>G3559&lt;W3559</formula>
    </cfRule>
  </conditionalFormatting>
  <conditionalFormatting sqref="G3568:G3615">
    <cfRule type="expression" dxfId="4" priority="1727">
      <formula>G3568&lt;W3568</formula>
    </cfRule>
  </conditionalFormatting>
  <conditionalFormatting sqref="G3617:G3622">
    <cfRule type="expression" dxfId="4" priority="1713">
      <formula>G3617&lt;W3617</formula>
    </cfRule>
  </conditionalFormatting>
  <conditionalFormatting sqref="G3624:G3629">
    <cfRule type="expression" dxfId="4" priority="1700">
      <formula>G3624&lt;W3624</formula>
    </cfRule>
  </conditionalFormatting>
  <conditionalFormatting sqref="G3633:G3680">
    <cfRule type="expression" dxfId="4" priority="1668">
      <formula>G3633&lt;W3633</formula>
    </cfRule>
  </conditionalFormatting>
  <conditionalFormatting sqref="G3682:G3687">
    <cfRule type="expression" dxfId="4" priority="1654">
      <formula>G3682&lt;W3682</formula>
    </cfRule>
  </conditionalFormatting>
  <conditionalFormatting sqref="G3689:G3694">
    <cfRule type="expression" dxfId="4" priority="1641">
      <formula>G3689&lt;W3689</formula>
    </cfRule>
  </conditionalFormatting>
  <conditionalFormatting sqref="G3698:G3745">
    <cfRule type="expression" dxfId="4" priority="1609">
      <formula>G3698&lt;W3698</formula>
    </cfRule>
  </conditionalFormatting>
  <conditionalFormatting sqref="G3747:G3752">
    <cfRule type="expression" dxfId="4" priority="1595">
      <formula>G3747&lt;W3747</formula>
    </cfRule>
  </conditionalFormatting>
  <conditionalFormatting sqref="G3754:G3759">
    <cfRule type="expression" dxfId="4" priority="1582">
      <formula>G3754&lt;W3754</formula>
    </cfRule>
  </conditionalFormatting>
  <conditionalFormatting sqref="G3763:G3810">
    <cfRule type="expression" dxfId="4" priority="1550">
      <formula>G3763&lt;W3763</formula>
    </cfRule>
  </conditionalFormatting>
  <conditionalFormatting sqref="G3812:G3817">
    <cfRule type="expression" dxfId="4" priority="1536">
      <formula>G3812&lt;W3812</formula>
    </cfRule>
  </conditionalFormatting>
  <conditionalFormatting sqref="G3819:G3824">
    <cfRule type="expression" dxfId="4" priority="1523">
      <formula>G3819&lt;W3819</formula>
    </cfRule>
  </conditionalFormatting>
  <conditionalFormatting sqref="G3828:G3875">
    <cfRule type="expression" dxfId="4" priority="1491">
      <formula>G3828&lt;W3828</formula>
    </cfRule>
  </conditionalFormatting>
  <conditionalFormatting sqref="G3877:G3882">
    <cfRule type="expression" dxfId="4" priority="1477">
      <formula>G3877&lt;W3877</formula>
    </cfRule>
  </conditionalFormatting>
  <conditionalFormatting sqref="G3884:G3889">
    <cfRule type="expression" dxfId="4" priority="1464">
      <formula>G3884&lt;W3884</formula>
    </cfRule>
  </conditionalFormatting>
  <conditionalFormatting sqref="G3893:G3940">
    <cfRule type="expression" dxfId="4" priority="1432">
      <formula>G3893&lt;W3893</formula>
    </cfRule>
  </conditionalFormatting>
  <conditionalFormatting sqref="G3942:G3947">
    <cfRule type="expression" dxfId="4" priority="1418">
      <formula>G3942&lt;W3942</formula>
    </cfRule>
  </conditionalFormatting>
  <conditionalFormatting sqref="G3949:G3954">
    <cfRule type="expression" dxfId="4" priority="1405">
      <formula>G3949&lt;W3949</formula>
    </cfRule>
  </conditionalFormatting>
  <conditionalFormatting sqref="G3958:G4005">
    <cfRule type="expression" dxfId="4" priority="1373">
      <formula>G3958&lt;W3958</formula>
    </cfRule>
  </conditionalFormatting>
  <conditionalFormatting sqref="G4007:G4012">
    <cfRule type="expression" dxfId="4" priority="1359">
      <formula>G4007&lt;W4007</formula>
    </cfRule>
  </conditionalFormatting>
  <conditionalFormatting sqref="G4014:G4019">
    <cfRule type="expression" dxfId="4" priority="1346">
      <formula>G4014&lt;W4014</formula>
    </cfRule>
  </conditionalFormatting>
  <conditionalFormatting sqref="G4023:G4070">
    <cfRule type="expression" dxfId="4" priority="1314">
      <formula>G4023&lt;W4023</formula>
    </cfRule>
  </conditionalFormatting>
  <conditionalFormatting sqref="G4072:G4077">
    <cfRule type="expression" dxfId="4" priority="1300">
      <formula>G4072&lt;W4072</formula>
    </cfRule>
  </conditionalFormatting>
  <conditionalFormatting sqref="G4079:G4084">
    <cfRule type="expression" dxfId="4" priority="1287">
      <formula>G4079&lt;W4079</formula>
    </cfRule>
  </conditionalFormatting>
  <conditionalFormatting sqref="G4088:G4135">
    <cfRule type="expression" dxfId="4" priority="1255">
      <formula>G4088&lt;W4088</formula>
    </cfRule>
  </conditionalFormatting>
  <conditionalFormatting sqref="G4137:G4142">
    <cfRule type="expression" dxfId="4" priority="1241">
      <formula>G4137&lt;W4137</formula>
    </cfRule>
  </conditionalFormatting>
  <conditionalFormatting sqref="G4144:G4149">
    <cfRule type="expression" dxfId="4" priority="1228">
      <formula>G4144&lt;W4144</formula>
    </cfRule>
  </conditionalFormatting>
  <conditionalFormatting sqref="G4153:G4200">
    <cfRule type="expression" dxfId="4" priority="1196">
      <formula>G4153&lt;W4153</formula>
    </cfRule>
  </conditionalFormatting>
  <conditionalFormatting sqref="G4202:G4207">
    <cfRule type="expression" dxfId="4" priority="1182">
      <formula>G4202&lt;W4202</formula>
    </cfRule>
  </conditionalFormatting>
  <conditionalFormatting sqref="G4209:G4214">
    <cfRule type="expression" dxfId="4" priority="1169">
      <formula>G4209&lt;W4209</formula>
    </cfRule>
  </conditionalFormatting>
  <conditionalFormatting sqref="G4218:G4265">
    <cfRule type="expression" dxfId="4" priority="1137">
      <formula>G4218&lt;W4218</formula>
    </cfRule>
  </conditionalFormatting>
  <conditionalFormatting sqref="G4267:G4272">
    <cfRule type="expression" dxfId="4" priority="1123">
      <formula>G4267&lt;W4267</formula>
    </cfRule>
  </conditionalFormatting>
  <conditionalFormatting sqref="G4274:G4279">
    <cfRule type="expression" dxfId="4" priority="1110">
      <formula>G4274&lt;W4274</formula>
    </cfRule>
  </conditionalFormatting>
  <conditionalFormatting sqref="G4283:G4330">
    <cfRule type="expression" dxfId="4" priority="1078">
      <formula>G4283&lt;W4283</formula>
    </cfRule>
  </conditionalFormatting>
  <conditionalFormatting sqref="G4332:G4337">
    <cfRule type="expression" dxfId="4" priority="1064">
      <formula>G4332&lt;W4332</formula>
    </cfRule>
  </conditionalFormatting>
  <conditionalFormatting sqref="G4339:G4344">
    <cfRule type="expression" dxfId="4" priority="1051">
      <formula>G4339&lt;W4339</formula>
    </cfRule>
  </conditionalFormatting>
  <conditionalFormatting sqref="G4348:G4395">
    <cfRule type="expression" dxfId="4" priority="1019">
      <formula>G4348&lt;W4348</formula>
    </cfRule>
  </conditionalFormatting>
  <conditionalFormatting sqref="G4397:G4402">
    <cfRule type="expression" dxfId="4" priority="1005">
      <formula>G4397&lt;W4397</formula>
    </cfRule>
  </conditionalFormatting>
  <conditionalFormatting sqref="G4404:G4409">
    <cfRule type="expression" dxfId="4" priority="992">
      <formula>G4404&lt;W4404</formula>
    </cfRule>
  </conditionalFormatting>
  <conditionalFormatting sqref="G4413:G4460">
    <cfRule type="expression" dxfId="4" priority="960">
      <formula>G4413&lt;W4413</formula>
    </cfRule>
  </conditionalFormatting>
  <conditionalFormatting sqref="G4462:G4467">
    <cfRule type="expression" dxfId="4" priority="946">
      <formula>G4462&lt;W4462</formula>
    </cfRule>
  </conditionalFormatting>
  <conditionalFormatting sqref="G4469:G4474">
    <cfRule type="expression" dxfId="4" priority="933">
      <formula>G4469&lt;W4469</formula>
    </cfRule>
  </conditionalFormatting>
  <conditionalFormatting sqref="G4478:G4525">
    <cfRule type="expression" dxfId="4" priority="901">
      <formula>G4478&lt;W4478</formula>
    </cfRule>
  </conditionalFormatting>
  <conditionalFormatting sqref="G4527:G4532">
    <cfRule type="expression" dxfId="4" priority="887">
      <formula>G4527&lt;W4527</formula>
    </cfRule>
  </conditionalFormatting>
  <conditionalFormatting sqref="G4534:G4539">
    <cfRule type="expression" dxfId="4" priority="874">
      <formula>G4534&lt;W4534</formula>
    </cfRule>
  </conditionalFormatting>
  <conditionalFormatting sqref="G4543:G4590">
    <cfRule type="expression" dxfId="4" priority="842">
      <formula>G4543&lt;W4543</formula>
    </cfRule>
  </conditionalFormatting>
  <conditionalFormatting sqref="G4592:G4597">
    <cfRule type="expression" dxfId="4" priority="828">
      <formula>G4592&lt;W4592</formula>
    </cfRule>
  </conditionalFormatting>
  <conditionalFormatting sqref="G4599:G4604">
    <cfRule type="expression" dxfId="4" priority="815">
      <formula>G4599&lt;W4599</formula>
    </cfRule>
  </conditionalFormatting>
  <conditionalFormatting sqref="G4608:G4655">
    <cfRule type="expression" dxfId="4" priority="783">
      <formula>G4608&lt;W4608</formula>
    </cfRule>
  </conditionalFormatting>
  <conditionalFormatting sqref="G4657:G4662">
    <cfRule type="expression" dxfId="4" priority="769">
      <formula>G4657&lt;W4657</formula>
    </cfRule>
  </conditionalFormatting>
  <conditionalFormatting sqref="G4664:G4669">
    <cfRule type="expression" dxfId="4" priority="756">
      <formula>G4664&lt;W4664</formula>
    </cfRule>
  </conditionalFormatting>
  <conditionalFormatting sqref="G4673:G4720">
    <cfRule type="expression" dxfId="4" priority="724">
      <formula>G4673&lt;W4673</formula>
    </cfRule>
  </conditionalFormatting>
  <conditionalFormatting sqref="G4722:G4727">
    <cfRule type="expression" dxfId="4" priority="710">
      <formula>G4722&lt;W4722</formula>
    </cfRule>
  </conditionalFormatting>
  <conditionalFormatting sqref="G4729:G4734">
    <cfRule type="expression" dxfId="4" priority="697">
      <formula>G4729&lt;W4729</formula>
    </cfRule>
  </conditionalFormatting>
  <conditionalFormatting sqref="G4738:G4785">
    <cfRule type="expression" dxfId="4" priority="665">
      <formula>G4738&lt;W4738</formula>
    </cfRule>
  </conditionalFormatting>
  <conditionalFormatting sqref="G4787:G4792">
    <cfRule type="expression" dxfId="4" priority="651">
      <formula>G4787&lt;W4787</formula>
    </cfRule>
  </conditionalFormatting>
  <conditionalFormatting sqref="G4794:G4799">
    <cfRule type="expression" dxfId="4" priority="638">
      <formula>G4794&lt;W4794</formula>
    </cfRule>
  </conditionalFormatting>
  <conditionalFormatting sqref="G4803:G4850">
    <cfRule type="expression" dxfId="4" priority="606">
      <formula>G4803&lt;W4803</formula>
    </cfRule>
  </conditionalFormatting>
  <conditionalFormatting sqref="G4852:G4857">
    <cfRule type="expression" dxfId="4" priority="592">
      <formula>G4852&lt;W4852</formula>
    </cfRule>
  </conditionalFormatting>
  <conditionalFormatting sqref="G4859:G4864">
    <cfRule type="expression" dxfId="4" priority="579">
      <formula>G4859&lt;W4859</formula>
    </cfRule>
  </conditionalFormatting>
  <conditionalFormatting sqref="G4868:G4915">
    <cfRule type="expression" dxfId="4" priority="547">
      <formula>G4868&lt;W4868</formula>
    </cfRule>
  </conditionalFormatting>
  <conditionalFormatting sqref="G4917:G4922">
    <cfRule type="expression" dxfId="4" priority="533">
      <formula>G4917&lt;W4917</formula>
    </cfRule>
  </conditionalFormatting>
  <conditionalFormatting sqref="G4924:G4929">
    <cfRule type="expression" dxfId="4" priority="520">
      <formula>G4924&lt;W4924</formula>
    </cfRule>
  </conditionalFormatting>
  <conditionalFormatting sqref="G4933:G4980">
    <cfRule type="expression" dxfId="4" priority="488">
      <formula>G4933&lt;W4933</formula>
    </cfRule>
  </conditionalFormatting>
  <conditionalFormatting sqref="G4982:G4987">
    <cfRule type="expression" dxfId="4" priority="474">
      <formula>G4982&lt;W4982</formula>
    </cfRule>
  </conditionalFormatting>
  <conditionalFormatting sqref="G4989:G4994">
    <cfRule type="expression" dxfId="4" priority="461">
      <formula>G4989&lt;W4989</formula>
    </cfRule>
  </conditionalFormatting>
  <conditionalFormatting sqref="G4998:G5045">
    <cfRule type="expression" dxfId="4" priority="429">
      <formula>G4998&lt;W4998</formula>
    </cfRule>
  </conditionalFormatting>
  <conditionalFormatting sqref="G5047:G5052">
    <cfRule type="expression" dxfId="4" priority="415">
      <formula>G5047&lt;W5047</formula>
    </cfRule>
  </conditionalFormatting>
  <conditionalFormatting sqref="G5054:G5059">
    <cfRule type="expression" dxfId="4" priority="402">
      <formula>G5054&lt;W5054</formula>
    </cfRule>
  </conditionalFormatting>
  <conditionalFormatting sqref="G5063:G5110">
    <cfRule type="expression" dxfId="4" priority="370">
      <formula>G5063&lt;W5063</formula>
    </cfRule>
  </conditionalFormatting>
  <conditionalFormatting sqref="G5112:G5117">
    <cfRule type="expression" dxfId="4" priority="356">
      <formula>G5112&lt;W5112</formula>
    </cfRule>
  </conditionalFormatting>
  <conditionalFormatting sqref="G5119:G5124">
    <cfRule type="expression" dxfId="4" priority="343">
      <formula>G5119&lt;W5119</formula>
    </cfRule>
  </conditionalFormatting>
  <conditionalFormatting sqref="H3:H51">
    <cfRule type="expression" dxfId="4" priority="4595">
      <formula>H3&lt;X3</formula>
    </cfRule>
  </conditionalFormatting>
  <conditionalFormatting sqref="H54:H102">
    <cfRule type="expression" dxfId="4" priority="4573">
      <formula>H54&lt;X54</formula>
    </cfRule>
  </conditionalFormatting>
  <conditionalFormatting sqref="H105:H153">
    <cfRule type="expression" dxfId="4" priority="4639">
      <formula>H105&lt;X105</formula>
    </cfRule>
  </conditionalFormatting>
  <conditionalFormatting sqref="H156:H204">
    <cfRule type="expression" dxfId="4" priority="4617">
      <formula>H156&lt;X156</formula>
    </cfRule>
  </conditionalFormatting>
  <conditionalFormatting sqref="H207:H255">
    <cfRule type="expression" dxfId="4" priority="4551">
      <formula>H207&lt;X207</formula>
    </cfRule>
  </conditionalFormatting>
  <conditionalFormatting sqref="H258:H306">
    <cfRule type="expression" dxfId="4" priority="4529">
      <formula>H258&lt;X258</formula>
    </cfRule>
  </conditionalFormatting>
  <conditionalFormatting sqref="H309:H357">
    <cfRule type="expression" dxfId="4" priority="4507">
      <formula>H309&lt;X309</formula>
    </cfRule>
  </conditionalFormatting>
  <conditionalFormatting sqref="H360:H408">
    <cfRule type="expression" dxfId="4" priority="4485">
      <formula>H360&lt;X360</formula>
    </cfRule>
  </conditionalFormatting>
  <conditionalFormatting sqref="H411:H459">
    <cfRule type="expression" dxfId="4" priority="4463">
      <formula>H411&lt;X411</formula>
    </cfRule>
  </conditionalFormatting>
  <conditionalFormatting sqref="H462:H510">
    <cfRule type="expression" dxfId="4" priority="4441">
      <formula>H462&lt;X462</formula>
    </cfRule>
  </conditionalFormatting>
  <conditionalFormatting sqref="H513:H561">
    <cfRule type="expression" dxfId="4" priority="4419">
      <formula>H513&lt;X513</formula>
    </cfRule>
  </conditionalFormatting>
  <conditionalFormatting sqref="H562:H568">
    <cfRule type="expression" dxfId="4" priority="4397">
      <formula>H562&lt;X562</formula>
    </cfRule>
  </conditionalFormatting>
  <conditionalFormatting sqref="H569:H575">
    <cfRule type="expression" dxfId="4" priority="4383">
      <formula>H569&lt;X569</formula>
    </cfRule>
  </conditionalFormatting>
  <conditionalFormatting sqref="H578:H626">
    <cfRule type="expression" dxfId="4" priority="4369">
      <formula>H578&lt;X578</formula>
    </cfRule>
  </conditionalFormatting>
  <conditionalFormatting sqref="H627:H633">
    <cfRule type="expression" dxfId="4" priority="4347">
      <formula>H627&lt;X627</formula>
    </cfRule>
  </conditionalFormatting>
  <conditionalFormatting sqref="H634:H640">
    <cfRule type="expression" dxfId="4" priority="4333">
      <formula>H634&lt;X634</formula>
    </cfRule>
  </conditionalFormatting>
  <conditionalFormatting sqref="H643:H691">
    <cfRule type="expression" dxfId="4" priority="4319">
      <formula>H643&lt;X643</formula>
    </cfRule>
  </conditionalFormatting>
  <conditionalFormatting sqref="H692:H698">
    <cfRule type="expression" dxfId="4" priority="4297">
      <formula>H692&lt;X692</formula>
    </cfRule>
  </conditionalFormatting>
  <conditionalFormatting sqref="H699:H705">
    <cfRule type="expression" dxfId="4" priority="4283">
      <formula>H699&lt;X699</formula>
    </cfRule>
  </conditionalFormatting>
  <conditionalFormatting sqref="H708:H756">
    <cfRule type="expression" dxfId="4" priority="4269">
      <formula>H708&lt;X708</formula>
    </cfRule>
  </conditionalFormatting>
  <conditionalFormatting sqref="H757:H763">
    <cfRule type="expression" dxfId="4" priority="4247">
      <formula>H757&lt;X757</formula>
    </cfRule>
  </conditionalFormatting>
  <conditionalFormatting sqref="H764:H770">
    <cfRule type="expression" dxfId="4" priority="4233">
      <formula>H764&lt;X764</formula>
    </cfRule>
  </conditionalFormatting>
  <conditionalFormatting sqref="H773:H821">
    <cfRule type="expression" dxfId="4" priority="4219">
      <formula>H773&lt;X773</formula>
    </cfRule>
  </conditionalFormatting>
  <conditionalFormatting sqref="H822:H828">
    <cfRule type="expression" dxfId="4" priority="4205">
      <formula>H822&lt;X822</formula>
    </cfRule>
  </conditionalFormatting>
  <conditionalFormatting sqref="H829:H835">
    <cfRule type="expression" dxfId="4" priority="4192">
      <formula>H829&lt;X829</formula>
    </cfRule>
  </conditionalFormatting>
  <conditionalFormatting sqref="H838:H886">
    <cfRule type="expression" dxfId="4" priority="4162">
      <formula>H838&lt;X838</formula>
    </cfRule>
  </conditionalFormatting>
  <conditionalFormatting sqref="H887:H893">
    <cfRule type="expression" dxfId="4" priority="4148">
      <formula>H887&lt;X887</formula>
    </cfRule>
  </conditionalFormatting>
  <conditionalFormatting sqref="H894:H900">
    <cfRule type="expression" dxfId="4" priority="4135">
      <formula>H894&lt;X894</formula>
    </cfRule>
  </conditionalFormatting>
  <conditionalFormatting sqref="H903:H951">
    <cfRule type="expression" dxfId="4" priority="4105">
      <formula>H903&lt;X903</formula>
    </cfRule>
  </conditionalFormatting>
  <conditionalFormatting sqref="H952:H958">
    <cfRule type="expression" dxfId="4" priority="4091">
      <formula>H952&lt;X952</formula>
    </cfRule>
  </conditionalFormatting>
  <conditionalFormatting sqref="H959:H965">
    <cfRule type="expression" dxfId="4" priority="4078">
      <formula>H959&lt;X959</formula>
    </cfRule>
  </conditionalFormatting>
  <conditionalFormatting sqref="H968:H1016">
    <cfRule type="expression" dxfId="4" priority="4048">
      <formula>H968&lt;X968</formula>
    </cfRule>
  </conditionalFormatting>
  <conditionalFormatting sqref="H1017:H1023">
    <cfRule type="expression" dxfId="4" priority="4034">
      <formula>H1017&lt;X1017</formula>
    </cfRule>
  </conditionalFormatting>
  <conditionalFormatting sqref="H1024:H1030">
    <cfRule type="expression" dxfId="4" priority="4021">
      <formula>H1024&lt;X1024</formula>
    </cfRule>
  </conditionalFormatting>
  <conditionalFormatting sqref="H1033:H1081">
    <cfRule type="expression" dxfId="4" priority="3991">
      <formula>H1033&lt;X1033</formula>
    </cfRule>
  </conditionalFormatting>
  <conditionalFormatting sqref="H1082:H1088">
    <cfRule type="expression" dxfId="4" priority="3977">
      <formula>H1082&lt;X1082</formula>
    </cfRule>
  </conditionalFormatting>
  <conditionalFormatting sqref="H1089:H1095">
    <cfRule type="expression" dxfId="4" priority="3964">
      <formula>H1089&lt;X1089</formula>
    </cfRule>
  </conditionalFormatting>
  <conditionalFormatting sqref="H1098:H1146">
    <cfRule type="expression" dxfId="4" priority="3934">
      <formula>H1098&lt;X1098</formula>
    </cfRule>
  </conditionalFormatting>
  <conditionalFormatting sqref="H1147:H1153">
    <cfRule type="expression" dxfId="4" priority="3920">
      <formula>H1147&lt;X1147</formula>
    </cfRule>
  </conditionalFormatting>
  <conditionalFormatting sqref="H1154:H1160">
    <cfRule type="expression" dxfId="4" priority="3907">
      <formula>H1154&lt;X1154</formula>
    </cfRule>
  </conditionalFormatting>
  <conditionalFormatting sqref="H1163:H1211">
    <cfRule type="expression" dxfId="4" priority="3877">
      <formula>H1163&lt;X1163</formula>
    </cfRule>
  </conditionalFormatting>
  <conditionalFormatting sqref="H1212:H1218">
    <cfRule type="expression" dxfId="4" priority="3863">
      <formula>H1212&lt;X1212</formula>
    </cfRule>
  </conditionalFormatting>
  <conditionalFormatting sqref="H1219:H1225">
    <cfRule type="expression" dxfId="4" priority="3850">
      <formula>H1219&lt;X1219</formula>
    </cfRule>
  </conditionalFormatting>
  <conditionalFormatting sqref="H1228:H1276">
    <cfRule type="expression" dxfId="4" priority="3820">
      <formula>H1228&lt;X1228</formula>
    </cfRule>
  </conditionalFormatting>
  <conditionalFormatting sqref="H1277:H1283">
    <cfRule type="expression" dxfId="4" priority="3806">
      <formula>H1277&lt;X1277</formula>
    </cfRule>
  </conditionalFormatting>
  <conditionalFormatting sqref="H1284:H1290">
    <cfRule type="expression" dxfId="4" priority="3793">
      <formula>H1284&lt;X1284</formula>
    </cfRule>
  </conditionalFormatting>
  <conditionalFormatting sqref="H1293:H1341">
    <cfRule type="expression" dxfId="4" priority="3763">
      <formula>H1293&lt;X1293</formula>
    </cfRule>
  </conditionalFormatting>
  <conditionalFormatting sqref="H1342:H1348">
    <cfRule type="expression" dxfId="4" priority="3749">
      <formula>H1342&lt;X1342</formula>
    </cfRule>
  </conditionalFormatting>
  <conditionalFormatting sqref="H1349:H1355">
    <cfRule type="expression" dxfId="4" priority="3736">
      <formula>H1349&lt;X1349</formula>
    </cfRule>
  </conditionalFormatting>
  <conditionalFormatting sqref="H1358:H1406">
    <cfRule type="expression" dxfId="4" priority="3706">
      <formula>H1358&lt;X1358</formula>
    </cfRule>
  </conditionalFormatting>
  <conditionalFormatting sqref="H1407:H1413">
    <cfRule type="expression" dxfId="4" priority="3692">
      <formula>H1407&lt;X1407</formula>
    </cfRule>
  </conditionalFormatting>
  <conditionalFormatting sqref="H1414:H1420">
    <cfRule type="expression" dxfId="4" priority="3679">
      <formula>H1414&lt;X1414</formula>
    </cfRule>
  </conditionalFormatting>
  <conditionalFormatting sqref="H1423:H1471">
    <cfRule type="expression" dxfId="4" priority="3649">
      <formula>H1423&lt;X1423</formula>
    </cfRule>
  </conditionalFormatting>
  <conditionalFormatting sqref="H1472:H1478">
    <cfRule type="expression" dxfId="4" priority="3635">
      <formula>H1472&lt;X1472</formula>
    </cfRule>
  </conditionalFormatting>
  <conditionalFormatting sqref="H1479:H1485">
    <cfRule type="expression" dxfId="4" priority="3622">
      <formula>H1479&lt;X1479</formula>
    </cfRule>
  </conditionalFormatting>
  <conditionalFormatting sqref="H1488:H1536">
    <cfRule type="expression" dxfId="4" priority="3592">
      <formula>H1488&lt;X1488</formula>
    </cfRule>
  </conditionalFormatting>
  <conditionalFormatting sqref="H1537:H1543">
    <cfRule type="expression" dxfId="4" priority="3578">
      <formula>H1537&lt;X1537</formula>
    </cfRule>
  </conditionalFormatting>
  <conditionalFormatting sqref="H1544:H1550">
    <cfRule type="expression" dxfId="4" priority="3565">
      <formula>H1544&lt;X1544</formula>
    </cfRule>
  </conditionalFormatting>
  <conditionalFormatting sqref="H1553:H1601">
    <cfRule type="expression" dxfId="4" priority="3535">
      <formula>H1553&lt;X1553</formula>
    </cfRule>
  </conditionalFormatting>
  <conditionalFormatting sqref="H1602:H1608">
    <cfRule type="expression" dxfId="4" priority="3521">
      <formula>H1602&lt;X1602</formula>
    </cfRule>
  </conditionalFormatting>
  <conditionalFormatting sqref="H1609:H1615">
    <cfRule type="expression" dxfId="4" priority="3508">
      <formula>H1609&lt;X1609</formula>
    </cfRule>
  </conditionalFormatting>
  <conditionalFormatting sqref="H1618:H1666">
    <cfRule type="expression" dxfId="4" priority="3478">
      <formula>H1618&lt;X1618</formula>
    </cfRule>
  </conditionalFormatting>
  <conditionalFormatting sqref="H1667:H1673">
    <cfRule type="expression" dxfId="4" priority="3464">
      <formula>H1667&lt;X1667</formula>
    </cfRule>
  </conditionalFormatting>
  <conditionalFormatting sqref="H1674:H1680">
    <cfRule type="expression" dxfId="4" priority="3451">
      <formula>H1674&lt;X1674</formula>
    </cfRule>
  </conditionalFormatting>
  <conditionalFormatting sqref="H1683:H1731">
    <cfRule type="expression" dxfId="4" priority="3421">
      <formula>H1683&lt;X1683</formula>
    </cfRule>
  </conditionalFormatting>
  <conditionalFormatting sqref="H1732:H1738">
    <cfRule type="expression" dxfId="4" priority="3407">
      <formula>H1732&lt;X1732</formula>
    </cfRule>
  </conditionalFormatting>
  <conditionalFormatting sqref="H1739:H1745">
    <cfRule type="expression" dxfId="4" priority="3394">
      <formula>H1739&lt;X1739</formula>
    </cfRule>
  </conditionalFormatting>
  <conditionalFormatting sqref="H1748:H1796">
    <cfRule type="expression" dxfId="4" priority="3364">
      <formula>H1748&lt;X1748</formula>
    </cfRule>
  </conditionalFormatting>
  <conditionalFormatting sqref="H1797:H1803">
    <cfRule type="expression" dxfId="4" priority="3350">
      <formula>H1797&lt;X1797</formula>
    </cfRule>
  </conditionalFormatting>
  <conditionalFormatting sqref="H1804:H1810">
    <cfRule type="expression" dxfId="4" priority="3337">
      <formula>H1804&lt;X1804</formula>
    </cfRule>
  </conditionalFormatting>
  <conditionalFormatting sqref="H1813:H1861">
    <cfRule type="expression" dxfId="4" priority="3307">
      <formula>H1813&lt;X1813</formula>
    </cfRule>
  </conditionalFormatting>
  <conditionalFormatting sqref="H1862:H1868">
    <cfRule type="expression" dxfId="4" priority="3293">
      <formula>H1862&lt;X1862</formula>
    </cfRule>
  </conditionalFormatting>
  <conditionalFormatting sqref="H1869:H1875">
    <cfRule type="expression" dxfId="4" priority="3280">
      <formula>H1869&lt;X1869</formula>
    </cfRule>
  </conditionalFormatting>
  <conditionalFormatting sqref="H1878:H1926">
    <cfRule type="expression" dxfId="4" priority="3250">
      <formula>H1878&lt;X1878</formula>
    </cfRule>
  </conditionalFormatting>
  <conditionalFormatting sqref="H1927:H1933">
    <cfRule type="expression" dxfId="4" priority="3236">
      <formula>H1927&lt;X1927</formula>
    </cfRule>
  </conditionalFormatting>
  <conditionalFormatting sqref="H1934:H1940">
    <cfRule type="expression" dxfId="4" priority="3223">
      <formula>H1934&lt;X1934</formula>
    </cfRule>
  </conditionalFormatting>
  <conditionalFormatting sqref="H2008:H2056">
    <cfRule type="expression" dxfId="4" priority="3132">
      <formula>H2008&lt;X2008</formula>
    </cfRule>
  </conditionalFormatting>
  <conditionalFormatting sqref="H2057:H2063">
    <cfRule type="expression" dxfId="4" priority="3118">
      <formula>H2057&lt;X2057</formula>
    </cfRule>
  </conditionalFormatting>
  <conditionalFormatting sqref="H2064:H2070">
    <cfRule type="expression" dxfId="4" priority="3105">
      <formula>H2064&lt;X2064</formula>
    </cfRule>
  </conditionalFormatting>
  <conditionalFormatting sqref="H2073:H2121">
    <cfRule type="expression" dxfId="4" priority="3075">
      <formula>H2073&lt;X2073</formula>
    </cfRule>
  </conditionalFormatting>
  <conditionalFormatting sqref="H2122:H2128">
    <cfRule type="expression" dxfId="4" priority="3061">
      <formula>H2122&lt;X2122</formula>
    </cfRule>
  </conditionalFormatting>
  <conditionalFormatting sqref="H2129:H2135">
    <cfRule type="expression" dxfId="4" priority="3048">
      <formula>H2129&lt;X2129</formula>
    </cfRule>
  </conditionalFormatting>
  <conditionalFormatting sqref="H2138:H2186">
    <cfRule type="expression" dxfId="4" priority="3018">
      <formula>H2138&lt;X2138</formula>
    </cfRule>
  </conditionalFormatting>
  <conditionalFormatting sqref="H2187:H2193">
    <cfRule type="expression" dxfId="4" priority="3004">
      <formula>H2187&lt;X2187</formula>
    </cfRule>
  </conditionalFormatting>
  <conditionalFormatting sqref="H2194:H2200">
    <cfRule type="expression" dxfId="4" priority="2991">
      <formula>H2194&lt;X2194</formula>
    </cfRule>
  </conditionalFormatting>
  <conditionalFormatting sqref="H2203:H2251">
    <cfRule type="expression" dxfId="4" priority="2961">
      <formula>H2203&lt;X2203</formula>
    </cfRule>
  </conditionalFormatting>
  <conditionalFormatting sqref="H2252:H2258">
    <cfRule type="expression" dxfId="4" priority="2947">
      <formula>H2252&lt;X2252</formula>
    </cfRule>
  </conditionalFormatting>
  <conditionalFormatting sqref="H2259:H2265">
    <cfRule type="expression" dxfId="4" priority="2934">
      <formula>H2259&lt;X2259</formula>
    </cfRule>
  </conditionalFormatting>
  <conditionalFormatting sqref="H2268:H2316">
    <cfRule type="expression" dxfId="4" priority="2904">
      <formula>H2268&lt;X2268</formula>
    </cfRule>
  </conditionalFormatting>
  <conditionalFormatting sqref="H2317:H2323">
    <cfRule type="expression" dxfId="4" priority="2890">
      <formula>H2317&lt;X2317</formula>
    </cfRule>
  </conditionalFormatting>
  <conditionalFormatting sqref="H2324:H2330">
    <cfRule type="expression" dxfId="4" priority="2877">
      <formula>H2324&lt;X2324</formula>
    </cfRule>
  </conditionalFormatting>
  <conditionalFormatting sqref="H2333:H2380">
    <cfRule type="expression" dxfId="4" priority="2847">
      <formula>H2333&lt;X2333</formula>
    </cfRule>
  </conditionalFormatting>
  <conditionalFormatting sqref="H2382:H2387">
    <cfRule type="expression" dxfId="4" priority="2833">
      <formula>H2382&lt;X2382</formula>
    </cfRule>
  </conditionalFormatting>
  <conditionalFormatting sqref="H2389:H2394">
    <cfRule type="expression" dxfId="4" priority="2820">
      <formula>H2389&lt;X2389</formula>
    </cfRule>
  </conditionalFormatting>
  <conditionalFormatting sqref="H2398:H2445">
    <cfRule type="expression" dxfId="4" priority="2788">
      <formula>H2398&lt;X2398</formula>
    </cfRule>
  </conditionalFormatting>
  <conditionalFormatting sqref="H2447:H2452">
    <cfRule type="expression" dxfId="4" priority="2774">
      <formula>H2447&lt;X2447</formula>
    </cfRule>
  </conditionalFormatting>
  <conditionalFormatting sqref="H2454:H2459">
    <cfRule type="expression" dxfId="4" priority="2761">
      <formula>H2454&lt;X2454</formula>
    </cfRule>
  </conditionalFormatting>
  <conditionalFormatting sqref="H2463:H2510">
    <cfRule type="expression" dxfId="4" priority="2729">
      <formula>H2463&lt;X2463</formula>
    </cfRule>
  </conditionalFormatting>
  <conditionalFormatting sqref="H2512:H2517">
    <cfRule type="expression" dxfId="4" priority="2715">
      <formula>H2512&lt;X2512</formula>
    </cfRule>
  </conditionalFormatting>
  <conditionalFormatting sqref="H2519:H2524">
    <cfRule type="expression" dxfId="4" priority="2702">
      <formula>H2519&lt;X2519</formula>
    </cfRule>
  </conditionalFormatting>
  <conditionalFormatting sqref="H2528:H2575">
    <cfRule type="expression" dxfId="4" priority="2670">
      <formula>H2528&lt;X2528</formula>
    </cfRule>
  </conditionalFormatting>
  <conditionalFormatting sqref="H2577:H2582">
    <cfRule type="expression" dxfId="4" priority="2656">
      <formula>H2577&lt;X2577</formula>
    </cfRule>
  </conditionalFormatting>
  <conditionalFormatting sqref="H2584:H2589">
    <cfRule type="expression" dxfId="4" priority="2643">
      <formula>H2584&lt;X2584</formula>
    </cfRule>
  </conditionalFormatting>
  <conditionalFormatting sqref="H2593:H2640">
    <cfRule type="expression" dxfId="4" priority="2611">
      <formula>H2593&lt;X2593</formula>
    </cfRule>
  </conditionalFormatting>
  <conditionalFormatting sqref="H2642:H2647">
    <cfRule type="expression" dxfId="4" priority="2597">
      <formula>H2642&lt;X2642</formula>
    </cfRule>
  </conditionalFormatting>
  <conditionalFormatting sqref="H2649:H2654">
    <cfRule type="expression" dxfId="4" priority="2584">
      <formula>H2649&lt;X2649</formula>
    </cfRule>
  </conditionalFormatting>
  <conditionalFormatting sqref="H2658:H2705">
    <cfRule type="expression" dxfId="4" priority="2552">
      <formula>H2658&lt;X2658</formula>
    </cfRule>
  </conditionalFormatting>
  <conditionalFormatting sqref="H2707:H2712">
    <cfRule type="expression" dxfId="4" priority="2538">
      <formula>H2707&lt;X2707</formula>
    </cfRule>
  </conditionalFormatting>
  <conditionalFormatting sqref="H2714:H2719">
    <cfRule type="expression" dxfId="4" priority="2525">
      <formula>H2714&lt;X2714</formula>
    </cfRule>
  </conditionalFormatting>
  <conditionalFormatting sqref="H2723:H2770">
    <cfRule type="expression" dxfId="4" priority="2493">
      <formula>H2723&lt;X2723</formula>
    </cfRule>
  </conditionalFormatting>
  <conditionalFormatting sqref="H2772:H2777">
    <cfRule type="expression" dxfId="4" priority="2479">
      <formula>H2772&lt;X2772</formula>
    </cfRule>
  </conditionalFormatting>
  <conditionalFormatting sqref="H2779:H2784">
    <cfRule type="expression" dxfId="4" priority="2466">
      <formula>H2779&lt;X2779</formula>
    </cfRule>
  </conditionalFormatting>
  <conditionalFormatting sqref="H2788:H2835">
    <cfRule type="expression" dxfId="4" priority="2434">
      <formula>H2788&lt;X2788</formula>
    </cfRule>
  </conditionalFormatting>
  <conditionalFormatting sqref="H2837:H2842">
    <cfRule type="expression" dxfId="4" priority="2420">
      <formula>H2837&lt;X2837</formula>
    </cfRule>
  </conditionalFormatting>
  <conditionalFormatting sqref="H2844:H2849">
    <cfRule type="expression" dxfId="4" priority="2407">
      <formula>H2844&lt;X2844</formula>
    </cfRule>
  </conditionalFormatting>
  <conditionalFormatting sqref="H2853:H2900">
    <cfRule type="expression" dxfId="4" priority="2375">
      <formula>H2853&lt;X2853</formula>
    </cfRule>
  </conditionalFormatting>
  <conditionalFormatting sqref="H2902:H2907">
    <cfRule type="expression" dxfId="4" priority="2361">
      <formula>H2902&lt;X2902</formula>
    </cfRule>
  </conditionalFormatting>
  <conditionalFormatting sqref="H2909:H2914">
    <cfRule type="expression" dxfId="4" priority="2348">
      <formula>H2909&lt;X2909</formula>
    </cfRule>
  </conditionalFormatting>
  <conditionalFormatting sqref="H2918:H2965">
    <cfRule type="expression" dxfId="4" priority="2316">
      <formula>H2918&lt;X2918</formula>
    </cfRule>
  </conditionalFormatting>
  <conditionalFormatting sqref="H2967:H2972">
    <cfRule type="expression" dxfId="4" priority="2302">
      <formula>H2967&lt;X2967</formula>
    </cfRule>
  </conditionalFormatting>
  <conditionalFormatting sqref="H2974:H2979">
    <cfRule type="expression" dxfId="4" priority="2289">
      <formula>H2974&lt;X2974</formula>
    </cfRule>
  </conditionalFormatting>
  <conditionalFormatting sqref="H2983:H3030">
    <cfRule type="expression" dxfId="4" priority="2257">
      <formula>H2983&lt;X2983</formula>
    </cfRule>
  </conditionalFormatting>
  <conditionalFormatting sqref="H3032:H3037">
    <cfRule type="expression" dxfId="4" priority="2243">
      <formula>H3032&lt;X3032</formula>
    </cfRule>
  </conditionalFormatting>
  <conditionalFormatting sqref="H3039:H3044">
    <cfRule type="expression" dxfId="4" priority="2230">
      <formula>H3039&lt;X3039</formula>
    </cfRule>
  </conditionalFormatting>
  <conditionalFormatting sqref="H3048:H3095">
    <cfRule type="expression" dxfId="4" priority="2198">
      <formula>H3048&lt;X3048</formula>
    </cfRule>
  </conditionalFormatting>
  <conditionalFormatting sqref="H3097:H3102">
    <cfRule type="expression" dxfId="4" priority="2184">
      <formula>H3097&lt;X3097</formula>
    </cfRule>
  </conditionalFormatting>
  <conditionalFormatting sqref="H3104:H3109">
    <cfRule type="expression" dxfId="4" priority="2171">
      <formula>H3104&lt;X3104</formula>
    </cfRule>
  </conditionalFormatting>
  <conditionalFormatting sqref="H3113:H3160">
    <cfRule type="expression" dxfId="4" priority="2139">
      <formula>H3113&lt;X3113</formula>
    </cfRule>
  </conditionalFormatting>
  <conditionalFormatting sqref="H3162:H3167">
    <cfRule type="expression" dxfId="4" priority="2125">
      <formula>H3162&lt;X3162</formula>
    </cfRule>
  </conditionalFormatting>
  <conditionalFormatting sqref="H3169:H3174">
    <cfRule type="expression" dxfId="4" priority="2112">
      <formula>H3169&lt;X3169</formula>
    </cfRule>
  </conditionalFormatting>
  <conditionalFormatting sqref="H3178:H3225">
    <cfRule type="expression" dxfId="4" priority="2080">
      <formula>H3178&lt;X3178</formula>
    </cfRule>
  </conditionalFormatting>
  <conditionalFormatting sqref="H3227:H3232">
    <cfRule type="expression" dxfId="4" priority="2066">
      <formula>H3227&lt;X3227</formula>
    </cfRule>
  </conditionalFormatting>
  <conditionalFormatting sqref="H3234:H3239">
    <cfRule type="expression" dxfId="4" priority="2053">
      <formula>H3234&lt;X3234</formula>
    </cfRule>
  </conditionalFormatting>
  <conditionalFormatting sqref="H3243:H3290">
    <cfRule type="expression" dxfId="4" priority="2021">
      <formula>H3243&lt;X3243</formula>
    </cfRule>
  </conditionalFormatting>
  <conditionalFormatting sqref="H3292:H3297">
    <cfRule type="expression" dxfId="4" priority="2007">
      <formula>H3292&lt;X3292</formula>
    </cfRule>
  </conditionalFormatting>
  <conditionalFormatting sqref="H3299:H3304">
    <cfRule type="expression" dxfId="4" priority="1994">
      <formula>H3299&lt;X3299</formula>
    </cfRule>
  </conditionalFormatting>
  <conditionalFormatting sqref="H3308:H3355">
    <cfRule type="expression" dxfId="4" priority="1962">
      <formula>H3308&lt;X3308</formula>
    </cfRule>
  </conditionalFormatting>
  <conditionalFormatting sqref="H3357:H3362">
    <cfRule type="expression" dxfId="4" priority="1948">
      <formula>H3357&lt;X3357</formula>
    </cfRule>
  </conditionalFormatting>
  <conditionalFormatting sqref="H3364:H3369">
    <cfRule type="expression" dxfId="4" priority="1935">
      <formula>H3364&lt;X3364</formula>
    </cfRule>
  </conditionalFormatting>
  <conditionalFormatting sqref="H3373:H3420">
    <cfRule type="expression" dxfId="4" priority="1903">
      <formula>H3373&lt;X3373</formula>
    </cfRule>
  </conditionalFormatting>
  <conditionalFormatting sqref="H3422:H3427">
    <cfRule type="expression" dxfId="4" priority="1889">
      <formula>H3422&lt;X3422</formula>
    </cfRule>
  </conditionalFormatting>
  <conditionalFormatting sqref="H3429:H3434">
    <cfRule type="expression" dxfId="4" priority="1876">
      <formula>H3429&lt;X3429</formula>
    </cfRule>
  </conditionalFormatting>
  <conditionalFormatting sqref="H3438:H3485">
    <cfRule type="expression" dxfId="4" priority="1844">
      <formula>H3438&lt;X3438</formula>
    </cfRule>
  </conditionalFormatting>
  <conditionalFormatting sqref="H3487:H3492">
    <cfRule type="expression" dxfId="4" priority="1830">
      <formula>H3487&lt;X3487</formula>
    </cfRule>
  </conditionalFormatting>
  <conditionalFormatting sqref="H3494:H3499">
    <cfRule type="expression" dxfId="4" priority="1817">
      <formula>H3494&lt;X3494</formula>
    </cfRule>
  </conditionalFormatting>
  <conditionalFormatting sqref="H3503:H3550">
    <cfRule type="expression" dxfId="4" priority="1785">
      <formula>H3503&lt;X3503</formula>
    </cfRule>
  </conditionalFormatting>
  <conditionalFormatting sqref="H3552:H3557">
    <cfRule type="expression" dxfId="4" priority="1771">
      <formula>H3552&lt;X3552</formula>
    </cfRule>
  </conditionalFormatting>
  <conditionalFormatting sqref="H3559:H3564">
    <cfRule type="expression" dxfId="4" priority="1758">
      <formula>H3559&lt;X3559</formula>
    </cfRule>
  </conditionalFormatting>
  <conditionalFormatting sqref="H3568:H3615">
    <cfRule type="expression" dxfId="4" priority="1726">
      <formula>H3568&lt;X3568</formula>
    </cfRule>
  </conditionalFormatting>
  <conditionalFormatting sqref="H3617:H3622">
    <cfRule type="expression" dxfId="4" priority="1712">
      <formula>H3617&lt;X3617</formula>
    </cfRule>
  </conditionalFormatting>
  <conditionalFormatting sqref="H3624:H3629">
    <cfRule type="expression" dxfId="4" priority="1699">
      <formula>H3624&lt;X3624</formula>
    </cfRule>
  </conditionalFormatting>
  <conditionalFormatting sqref="H3633:H3680">
    <cfRule type="expression" dxfId="4" priority="1667">
      <formula>H3633&lt;X3633</formula>
    </cfRule>
  </conditionalFormatting>
  <conditionalFormatting sqref="H3682:H3687">
    <cfRule type="expression" dxfId="4" priority="1653">
      <formula>H3682&lt;X3682</formula>
    </cfRule>
  </conditionalFormatting>
  <conditionalFormatting sqref="H3689:H3694">
    <cfRule type="expression" dxfId="4" priority="1640">
      <formula>H3689&lt;X3689</formula>
    </cfRule>
  </conditionalFormatting>
  <conditionalFormatting sqref="H3698:H3745">
    <cfRule type="expression" dxfId="4" priority="1608">
      <formula>H3698&lt;X3698</formula>
    </cfRule>
  </conditionalFormatting>
  <conditionalFormatting sqref="H3747:H3752">
    <cfRule type="expression" dxfId="4" priority="1594">
      <formula>H3747&lt;X3747</formula>
    </cfRule>
  </conditionalFormatting>
  <conditionalFormatting sqref="H3754:H3759">
    <cfRule type="expression" dxfId="4" priority="1581">
      <formula>H3754&lt;X3754</formula>
    </cfRule>
  </conditionalFormatting>
  <conditionalFormatting sqref="H3763:H3810">
    <cfRule type="expression" dxfId="4" priority="1549">
      <formula>H3763&lt;X3763</formula>
    </cfRule>
  </conditionalFormatting>
  <conditionalFormatting sqref="H3812:H3817">
    <cfRule type="expression" dxfId="4" priority="1535">
      <formula>H3812&lt;X3812</formula>
    </cfRule>
  </conditionalFormatting>
  <conditionalFormatting sqref="H3819:H3824">
    <cfRule type="expression" dxfId="4" priority="1522">
      <formula>H3819&lt;X3819</formula>
    </cfRule>
  </conditionalFormatting>
  <conditionalFormatting sqref="H3828:H3875">
    <cfRule type="expression" dxfId="4" priority="1490">
      <formula>H3828&lt;X3828</formula>
    </cfRule>
  </conditionalFormatting>
  <conditionalFormatting sqref="H3877:H3882">
    <cfRule type="expression" dxfId="4" priority="1476">
      <formula>H3877&lt;X3877</formula>
    </cfRule>
  </conditionalFormatting>
  <conditionalFormatting sqref="H3884:H3889">
    <cfRule type="expression" dxfId="4" priority="1463">
      <formula>H3884&lt;X3884</formula>
    </cfRule>
  </conditionalFormatting>
  <conditionalFormatting sqref="H3893:H3940">
    <cfRule type="expression" dxfId="4" priority="1431">
      <formula>H3893&lt;X3893</formula>
    </cfRule>
  </conditionalFormatting>
  <conditionalFormatting sqref="H3942:H3947">
    <cfRule type="expression" dxfId="4" priority="1417">
      <formula>H3942&lt;X3942</formula>
    </cfRule>
  </conditionalFormatting>
  <conditionalFormatting sqref="H3949:H3954">
    <cfRule type="expression" dxfId="4" priority="1404">
      <formula>H3949&lt;X3949</formula>
    </cfRule>
  </conditionalFormatting>
  <conditionalFormatting sqref="H3958:H4005">
    <cfRule type="expression" dxfId="4" priority="1372">
      <formula>H3958&lt;X3958</formula>
    </cfRule>
  </conditionalFormatting>
  <conditionalFormatting sqref="H4007:H4012">
    <cfRule type="expression" dxfId="4" priority="1358">
      <formula>H4007&lt;X4007</formula>
    </cfRule>
  </conditionalFormatting>
  <conditionalFormatting sqref="H4014:H4019">
    <cfRule type="expression" dxfId="4" priority="1345">
      <formula>H4014&lt;X4014</formula>
    </cfRule>
  </conditionalFormatting>
  <conditionalFormatting sqref="H4023:H4070">
    <cfRule type="expression" dxfId="4" priority="1313">
      <formula>H4023&lt;X4023</formula>
    </cfRule>
  </conditionalFormatting>
  <conditionalFormatting sqref="H4072:H4077">
    <cfRule type="expression" dxfId="4" priority="1299">
      <formula>H4072&lt;X4072</formula>
    </cfRule>
  </conditionalFormatting>
  <conditionalFormatting sqref="H4079:H4084">
    <cfRule type="expression" dxfId="4" priority="1286">
      <formula>H4079&lt;X4079</formula>
    </cfRule>
  </conditionalFormatting>
  <conditionalFormatting sqref="H4088:H4135">
    <cfRule type="expression" dxfId="4" priority="1254">
      <formula>H4088&lt;X4088</formula>
    </cfRule>
  </conditionalFormatting>
  <conditionalFormatting sqref="H4137:H4142">
    <cfRule type="expression" dxfId="4" priority="1240">
      <formula>H4137&lt;X4137</formula>
    </cfRule>
  </conditionalFormatting>
  <conditionalFormatting sqref="H4144:H4149">
    <cfRule type="expression" dxfId="4" priority="1227">
      <formula>H4144&lt;X4144</formula>
    </cfRule>
  </conditionalFormatting>
  <conditionalFormatting sqref="H4153:H4200">
    <cfRule type="expression" dxfId="4" priority="1195">
      <formula>H4153&lt;X4153</formula>
    </cfRule>
  </conditionalFormatting>
  <conditionalFormatting sqref="H4202:H4207">
    <cfRule type="expression" dxfId="4" priority="1181">
      <formula>H4202&lt;X4202</formula>
    </cfRule>
  </conditionalFormatting>
  <conditionalFormatting sqref="H4209:H4214">
    <cfRule type="expression" dxfId="4" priority="1168">
      <formula>H4209&lt;X4209</formula>
    </cfRule>
  </conditionalFormatting>
  <conditionalFormatting sqref="H4218:H4265">
    <cfRule type="expression" dxfId="4" priority="1136">
      <formula>H4218&lt;X4218</formula>
    </cfRule>
  </conditionalFormatting>
  <conditionalFormatting sqref="H4267:H4272">
    <cfRule type="expression" dxfId="4" priority="1122">
      <formula>H4267&lt;X4267</formula>
    </cfRule>
  </conditionalFormatting>
  <conditionalFormatting sqref="H4274:H4279">
    <cfRule type="expression" dxfId="4" priority="1109">
      <formula>H4274&lt;X4274</formula>
    </cfRule>
  </conditionalFormatting>
  <conditionalFormatting sqref="H4283:H4330">
    <cfRule type="expression" dxfId="4" priority="1077">
      <formula>H4283&lt;X4283</formula>
    </cfRule>
  </conditionalFormatting>
  <conditionalFormatting sqref="H4332:H4337">
    <cfRule type="expression" dxfId="4" priority="1063">
      <formula>H4332&lt;X4332</formula>
    </cfRule>
  </conditionalFormatting>
  <conditionalFormatting sqref="H4339:H4344">
    <cfRule type="expression" dxfId="4" priority="1050">
      <formula>H4339&lt;X4339</formula>
    </cfRule>
  </conditionalFormatting>
  <conditionalFormatting sqref="H4348:H4395">
    <cfRule type="expression" dxfId="4" priority="1018">
      <formula>H4348&lt;X4348</formula>
    </cfRule>
  </conditionalFormatting>
  <conditionalFormatting sqref="H4397:H4402">
    <cfRule type="expression" dxfId="4" priority="1004">
      <formula>H4397&lt;X4397</formula>
    </cfRule>
  </conditionalFormatting>
  <conditionalFormatting sqref="H4404:H4409">
    <cfRule type="expression" dxfId="4" priority="991">
      <formula>H4404&lt;X4404</formula>
    </cfRule>
  </conditionalFormatting>
  <conditionalFormatting sqref="H4413:H4460">
    <cfRule type="expression" dxfId="4" priority="959">
      <formula>H4413&lt;X4413</formula>
    </cfRule>
  </conditionalFormatting>
  <conditionalFormatting sqref="H4462:H4467">
    <cfRule type="expression" dxfId="4" priority="945">
      <formula>H4462&lt;X4462</formula>
    </cfRule>
  </conditionalFormatting>
  <conditionalFormatting sqref="H4469:H4474">
    <cfRule type="expression" dxfId="4" priority="932">
      <formula>H4469&lt;X4469</formula>
    </cfRule>
  </conditionalFormatting>
  <conditionalFormatting sqref="H4478:H4525">
    <cfRule type="expression" dxfId="4" priority="900">
      <formula>H4478&lt;X4478</formula>
    </cfRule>
  </conditionalFormatting>
  <conditionalFormatting sqref="H4527:H4532">
    <cfRule type="expression" dxfId="4" priority="886">
      <formula>H4527&lt;X4527</formula>
    </cfRule>
  </conditionalFormatting>
  <conditionalFormatting sqref="H4534:H4539">
    <cfRule type="expression" dxfId="4" priority="873">
      <formula>H4534&lt;X4534</formula>
    </cfRule>
  </conditionalFormatting>
  <conditionalFormatting sqref="H4543:H4590">
    <cfRule type="expression" dxfId="4" priority="841">
      <formula>H4543&lt;X4543</formula>
    </cfRule>
  </conditionalFormatting>
  <conditionalFormatting sqref="H4592:H4597">
    <cfRule type="expression" dxfId="4" priority="827">
      <formula>H4592&lt;X4592</formula>
    </cfRule>
  </conditionalFormatting>
  <conditionalFormatting sqref="H4599:H4604">
    <cfRule type="expression" dxfId="4" priority="814">
      <formula>H4599&lt;X4599</formula>
    </cfRule>
  </conditionalFormatting>
  <conditionalFormatting sqref="H4608:H4655">
    <cfRule type="expression" dxfId="4" priority="782">
      <formula>H4608&lt;X4608</formula>
    </cfRule>
  </conditionalFormatting>
  <conditionalFormatting sqref="H4657:H4662">
    <cfRule type="expression" dxfId="4" priority="768">
      <formula>H4657&lt;X4657</formula>
    </cfRule>
  </conditionalFormatting>
  <conditionalFormatting sqref="H4664:H4669">
    <cfRule type="expression" dxfId="4" priority="755">
      <formula>H4664&lt;X4664</formula>
    </cfRule>
  </conditionalFormatting>
  <conditionalFormatting sqref="H4673:H4720">
    <cfRule type="expression" dxfId="4" priority="723">
      <formula>H4673&lt;X4673</formula>
    </cfRule>
  </conditionalFormatting>
  <conditionalFormatting sqref="H4722:H4727">
    <cfRule type="expression" dxfId="4" priority="709">
      <formula>H4722&lt;X4722</formula>
    </cfRule>
  </conditionalFormatting>
  <conditionalFormatting sqref="H4729:H4734">
    <cfRule type="expression" dxfId="4" priority="696">
      <formula>H4729&lt;X4729</formula>
    </cfRule>
  </conditionalFormatting>
  <conditionalFormatting sqref="H4738:H4785">
    <cfRule type="expression" dxfId="4" priority="664">
      <formula>H4738&lt;X4738</formula>
    </cfRule>
  </conditionalFormatting>
  <conditionalFormatting sqref="H4787:H4792">
    <cfRule type="expression" dxfId="4" priority="650">
      <formula>H4787&lt;X4787</formula>
    </cfRule>
  </conditionalFormatting>
  <conditionalFormatting sqref="H4794:H4799">
    <cfRule type="expression" dxfId="4" priority="637">
      <formula>H4794&lt;X4794</formula>
    </cfRule>
  </conditionalFormatting>
  <conditionalFormatting sqref="H4803:H4850">
    <cfRule type="expression" dxfId="4" priority="605">
      <formula>H4803&lt;X4803</formula>
    </cfRule>
  </conditionalFormatting>
  <conditionalFormatting sqref="H4852:H4857">
    <cfRule type="expression" dxfId="4" priority="591">
      <formula>H4852&lt;X4852</formula>
    </cfRule>
  </conditionalFormatting>
  <conditionalFormatting sqref="H4859:H4864">
    <cfRule type="expression" dxfId="4" priority="578">
      <formula>H4859&lt;X4859</formula>
    </cfRule>
  </conditionalFormatting>
  <conditionalFormatting sqref="H4868:H4915">
    <cfRule type="expression" dxfId="4" priority="546">
      <formula>H4868&lt;X4868</formula>
    </cfRule>
  </conditionalFormatting>
  <conditionalFormatting sqref="H4917:H4922">
    <cfRule type="expression" dxfId="4" priority="532">
      <formula>H4917&lt;X4917</formula>
    </cfRule>
  </conditionalFormatting>
  <conditionalFormatting sqref="H4924:H4929">
    <cfRule type="expression" dxfId="4" priority="519">
      <formula>H4924&lt;X4924</formula>
    </cfRule>
  </conditionalFormatting>
  <conditionalFormatting sqref="H4933:H4980">
    <cfRule type="expression" dxfId="4" priority="487">
      <formula>H4933&lt;X4933</formula>
    </cfRule>
  </conditionalFormatting>
  <conditionalFormatting sqref="H4982:H4987">
    <cfRule type="expression" dxfId="4" priority="473">
      <formula>H4982&lt;X4982</formula>
    </cfRule>
  </conditionalFormatting>
  <conditionalFormatting sqref="H4989:H4994">
    <cfRule type="expression" dxfId="4" priority="460">
      <formula>H4989&lt;X4989</formula>
    </cfRule>
  </conditionalFormatting>
  <conditionalFormatting sqref="H4998:H5045">
    <cfRule type="expression" dxfId="4" priority="428">
      <formula>H4998&lt;X4998</formula>
    </cfRule>
  </conditionalFormatting>
  <conditionalFormatting sqref="H5047:H5052">
    <cfRule type="expression" dxfId="4" priority="414">
      <formula>H5047&lt;X5047</formula>
    </cfRule>
  </conditionalFormatting>
  <conditionalFormatting sqref="H5054:H5059">
    <cfRule type="expression" dxfId="4" priority="401">
      <formula>H5054&lt;X5054</formula>
    </cfRule>
  </conditionalFormatting>
  <conditionalFormatting sqref="H5063:H5110">
    <cfRule type="expression" dxfId="4" priority="369">
      <formula>H5063&lt;X5063</formula>
    </cfRule>
  </conditionalFormatting>
  <conditionalFormatting sqref="H5112:H5117">
    <cfRule type="expression" dxfId="4" priority="355">
      <formula>H5112&lt;X5112</formula>
    </cfRule>
  </conditionalFormatting>
  <conditionalFormatting sqref="H5119:H5124">
    <cfRule type="expression" dxfId="4" priority="342">
      <formula>H5119&lt;X5119</formula>
    </cfRule>
  </conditionalFormatting>
  <conditionalFormatting sqref="I3:I51">
    <cfRule type="expression" dxfId="4" priority="4594">
      <formula>I3&lt;Y3</formula>
    </cfRule>
  </conditionalFormatting>
  <conditionalFormatting sqref="I54:I102">
    <cfRule type="expression" dxfId="4" priority="4572">
      <formula>I54&lt;Y54</formula>
    </cfRule>
  </conditionalFormatting>
  <conditionalFormatting sqref="I105:I153">
    <cfRule type="expression" dxfId="4" priority="4638">
      <formula>I105&lt;Y105</formula>
    </cfRule>
  </conditionalFormatting>
  <conditionalFormatting sqref="I156:I204">
    <cfRule type="expression" dxfId="4" priority="4616">
      <formula>I156&lt;Y156</formula>
    </cfRule>
  </conditionalFormatting>
  <conditionalFormatting sqref="I207:I255">
    <cfRule type="expression" dxfId="4" priority="4550">
      <formula>I207&lt;Y207</formula>
    </cfRule>
  </conditionalFormatting>
  <conditionalFormatting sqref="I258:I306">
    <cfRule type="expression" dxfId="4" priority="4528">
      <formula>I258&lt;Y258</formula>
    </cfRule>
  </conditionalFormatting>
  <conditionalFormatting sqref="I309:I357">
    <cfRule type="expression" dxfId="4" priority="4506">
      <formula>I309&lt;Y309</formula>
    </cfRule>
  </conditionalFormatting>
  <conditionalFormatting sqref="I360:I408">
    <cfRule type="expression" dxfId="4" priority="4484">
      <formula>I360&lt;Y360</formula>
    </cfRule>
  </conditionalFormatting>
  <conditionalFormatting sqref="I411:I459">
    <cfRule type="expression" dxfId="4" priority="4462">
      <formula>I411&lt;Y411</formula>
    </cfRule>
  </conditionalFormatting>
  <conditionalFormatting sqref="I462:I510">
    <cfRule type="expression" dxfId="4" priority="4440">
      <formula>I462&lt;Y462</formula>
    </cfRule>
  </conditionalFormatting>
  <conditionalFormatting sqref="I513:I561">
    <cfRule type="expression" dxfId="4" priority="4418">
      <formula>I513&lt;Y513</formula>
    </cfRule>
  </conditionalFormatting>
  <conditionalFormatting sqref="I562:I568">
    <cfRule type="expression" dxfId="4" priority="4396">
      <formula>I562&lt;Y562</formula>
    </cfRule>
  </conditionalFormatting>
  <conditionalFormatting sqref="I569:I575">
    <cfRule type="expression" dxfId="4" priority="4382">
      <formula>I569&lt;Y569</formula>
    </cfRule>
  </conditionalFormatting>
  <conditionalFormatting sqref="I578:I626">
    <cfRule type="expression" dxfId="4" priority="4368">
      <formula>I578&lt;Y578</formula>
    </cfRule>
  </conditionalFormatting>
  <conditionalFormatting sqref="I627:I633">
    <cfRule type="expression" dxfId="4" priority="4346">
      <formula>I627&lt;Y627</formula>
    </cfRule>
  </conditionalFormatting>
  <conditionalFormatting sqref="I634:I640">
    <cfRule type="expression" dxfId="4" priority="4332">
      <formula>I634&lt;Y634</formula>
    </cfRule>
  </conditionalFormatting>
  <conditionalFormatting sqref="I643:I691">
    <cfRule type="expression" dxfId="4" priority="4318">
      <formula>I643&lt;Y643</formula>
    </cfRule>
  </conditionalFormatting>
  <conditionalFormatting sqref="I692:I698">
    <cfRule type="expression" dxfId="4" priority="4296">
      <formula>I692&lt;Y692</formula>
    </cfRule>
  </conditionalFormatting>
  <conditionalFormatting sqref="I699:I705">
    <cfRule type="expression" dxfId="4" priority="4282">
      <formula>I699&lt;Y699</formula>
    </cfRule>
  </conditionalFormatting>
  <conditionalFormatting sqref="I708:I756">
    <cfRule type="expression" dxfId="4" priority="4268">
      <formula>I708&lt;Y708</formula>
    </cfRule>
  </conditionalFormatting>
  <conditionalFormatting sqref="I757:I763">
    <cfRule type="expression" dxfId="4" priority="4246">
      <formula>I757&lt;Y757</formula>
    </cfRule>
  </conditionalFormatting>
  <conditionalFormatting sqref="I764:I770">
    <cfRule type="expression" dxfId="4" priority="4232">
      <formula>I764&lt;Y764</formula>
    </cfRule>
  </conditionalFormatting>
  <conditionalFormatting sqref="I773:I821">
    <cfRule type="expression" dxfId="4" priority="4218">
      <formula>I773&lt;Y773</formula>
    </cfRule>
  </conditionalFormatting>
  <conditionalFormatting sqref="I822:I828">
    <cfRule type="expression" dxfId="4" priority="4204">
      <formula>I822&lt;Y822</formula>
    </cfRule>
  </conditionalFormatting>
  <conditionalFormatting sqref="I829:I835">
    <cfRule type="expression" dxfId="4" priority="4191">
      <formula>I829&lt;Y829</formula>
    </cfRule>
  </conditionalFormatting>
  <conditionalFormatting sqref="I838:I886">
    <cfRule type="expression" dxfId="4" priority="4161">
      <formula>I838&lt;Y838</formula>
    </cfRule>
  </conditionalFormatting>
  <conditionalFormatting sqref="I887:I893">
    <cfRule type="expression" dxfId="4" priority="4147">
      <formula>I887&lt;Y887</formula>
    </cfRule>
  </conditionalFormatting>
  <conditionalFormatting sqref="I894:I900">
    <cfRule type="expression" dxfId="4" priority="4134">
      <formula>I894&lt;Y894</formula>
    </cfRule>
  </conditionalFormatting>
  <conditionalFormatting sqref="I903:I951">
    <cfRule type="expression" dxfId="4" priority="4104">
      <formula>I903&lt;Y903</formula>
    </cfRule>
  </conditionalFormatting>
  <conditionalFormatting sqref="I952:I958">
    <cfRule type="expression" dxfId="4" priority="4090">
      <formula>I952&lt;Y952</formula>
    </cfRule>
  </conditionalFormatting>
  <conditionalFormatting sqref="I959:I965">
    <cfRule type="expression" dxfId="4" priority="4077">
      <formula>I959&lt;Y959</formula>
    </cfRule>
  </conditionalFormatting>
  <conditionalFormatting sqref="I968:I1016">
    <cfRule type="expression" dxfId="4" priority="4047">
      <formula>I968&lt;Y968</formula>
    </cfRule>
  </conditionalFormatting>
  <conditionalFormatting sqref="I1017:I1023">
    <cfRule type="expression" dxfId="4" priority="4033">
      <formula>I1017&lt;Y1017</formula>
    </cfRule>
  </conditionalFormatting>
  <conditionalFormatting sqref="I1024:I1030">
    <cfRule type="expression" dxfId="4" priority="4020">
      <formula>I1024&lt;Y1024</formula>
    </cfRule>
  </conditionalFormatting>
  <conditionalFormatting sqref="I1033:I1081">
    <cfRule type="expression" dxfId="4" priority="3990">
      <formula>I1033&lt;Y1033</formula>
    </cfRule>
  </conditionalFormatting>
  <conditionalFormatting sqref="I1082:I1088">
    <cfRule type="expression" dxfId="4" priority="3976">
      <formula>I1082&lt;Y1082</formula>
    </cfRule>
  </conditionalFormatting>
  <conditionalFormatting sqref="I1089:I1095">
    <cfRule type="expression" dxfId="4" priority="3963">
      <formula>I1089&lt;Y1089</formula>
    </cfRule>
  </conditionalFormatting>
  <conditionalFormatting sqref="I1098:I1146">
    <cfRule type="expression" dxfId="4" priority="3933">
      <formula>I1098&lt;Y1098</formula>
    </cfRule>
  </conditionalFormatting>
  <conditionalFormatting sqref="I1147:I1153">
    <cfRule type="expression" dxfId="4" priority="3919">
      <formula>I1147&lt;Y1147</formula>
    </cfRule>
  </conditionalFormatting>
  <conditionalFormatting sqref="I1154:I1160">
    <cfRule type="expression" dxfId="4" priority="3906">
      <formula>I1154&lt;Y1154</formula>
    </cfRule>
  </conditionalFormatting>
  <conditionalFormatting sqref="I1163:I1211">
    <cfRule type="expression" dxfId="4" priority="3876">
      <formula>I1163&lt;Y1163</formula>
    </cfRule>
  </conditionalFormatting>
  <conditionalFormatting sqref="I1212:I1218">
    <cfRule type="expression" dxfId="4" priority="3862">
      <formula>I1212&lt;Y1212</formula>
    </cfRule>
  </conditionalFormatting>
  <conditionalFormatting sqref="I1219:I1225">
    <cfRule type="expression" dxfId="4" priority="3849">
      <formula>I1219&lt;Y1219</formula>
    </cfRule>
  </conditionalFormatting>
  <conditionalFormatting sqref="I1228:I1276">
    <cfRule type="expression" dxfId="4" priority="3819">
      <formula>I1228&lt;Y1228</formula>
    </cfRule>
  </conditionalFormatting>
  <conditionalFormatting sqref="I1277:I1283">
    <cfRule type="expression" dxfId="4" priority="3805">
      <formula>I1277&lt;Y1277</formula>
    </cfRule>
  </conditionalFormatting>
  <conditionalFormatting sqref="I1284:I1290">
    <cfRule type="expression" dxfId="4" priority="3792">
      <formula>I1284&lt;Y1284</formula>
    </cfRule>
  </conditionalFormatting>
  <conditionalFormatting sqref="I1293:I1341">
    <cfRule type="expression" dxfId="4" priority="3762">
      <formula>I1293&lt;Y1293</formula>
    </cfRule>
  </conditionalFormatting>
  <conditionalFormatting sqref="I1342:I1348">
    <cfRule type="expression" dxfId="4" priority="3748">
      <formula>I1342&lt;Y1342</formula>
    </cfRule>
  </conditionalFormatting>
  <conditionalFormatting sqref="I1349:I1355">
    <cfRule type="expression" dxfId="4" priority="3735">
      <formula>I1349&lt;Y1349</formula>
    </cfRule>
  </conditionalFormatting>
  <conditionalFormatting sqref="I1358:I1406">
    <cfRule type="expression" dxfId="4" priority="3705">
      <formula>I1358&lt;Y1358</formula>
    </cfRule>
  </conditionalFormatting>
  <conditionalFormatting sqref="I1407:I1413">
    <cfRule type="expression" dxfId="4" priority="3691">
      <formula>I1407&lt;Y1407</formula>
    </cfRule>
  </conditionalFormatting>
  <conditionalFormatting sqref="I1414:I1420">
    <cfRule type="expression" dxfId="4" priority="3678">
      <formula>I1414&lt;Y1414</formula>
    </cfRule>
  </conditionalFormatting>
  <conditionalFormatting sqref="I1423:I1471">
    <cfRule type="expression" dxfId="4" priority="3648">
      <formula>I1423&lt;Y1423</formula>
    </cfRule>
  </conditionalFormatting>
  <conditionalFormatting sqref="I1472:I1478">
    <cfRule type="expression" dxfId="4" priority="3634">
      <formula>I1472&lt;Y1472</formula>
    </cfRule>
  </conditionalFormatting>
  <conditionalFormatting sqref="I1479:I1485">
    <cfRule type="expression" dxfId="4" priority="3621">
      <formula>I1479&lt;Y1479</formula>
    </cfRule>
  </conditionalFormatting>
  <conditionalFormatting sqref="I1488:I1536">
    <cfRule type="expression" dxfId="4" priority="3591">
      <formula>I1488&lt;Y1488</formula>
    </cfRule>
  </conditionalFormatting>
  <conditionalFormatting sqref="I1537:I1543">
    <cfRule type="expression" dxfId="4" priority="3577">
      <formula>I1537&lt;Y1537</formula>
    </cfRule>
  </conditionalFormatting>
  <conditionalFormatting sqref="I1544:I1550">
    <cfRule type="expression" dxfId="4" priority="3564">
      <formula>I1544&lt;Y1544</formula>
    </cfRule>
  </conditionalFormatting>
  <conditionalFormatting sqref="I1553:I1601">
    <cfRule type="expression" dxfId="4" priority="3534">
      <formula>I1553&lt;Y1553</formula>
    </cfRule>
  </conditionalFormatting>
  <conditionalFormatting sqref="I1602:I1608">
    <cfRule type="expression" dxfId="4" priority="3520">
      <formula>I1602&lt;Y1602</formula>
    </cfRule>
  </conditionalFormatting>
  <conditionalFormatting sqref="I1609:I1615">
    <cfRule type="expression" dxfId="4" priority="3507">
      <formula>I1609&lt;Y1609</formula>
    </cfRule>
  </conditionalFormatting>
  <conditionalFormatting sqref="I1618:I1666">
    <cfRule type="expression" dxfId="4" priority="3477">
      <formula>I1618&lt;Y1618</formula>
    </cfRule>
  </conditionalFormatting>
  <conditionalFormatting sqref="I1667:I1673">
    <cfRule type="expression" dxfId="4" priority="3463">
      <formula>I1667&lt;Y1667</formula>
    </cfRule>
  </conditionalFormatting>
  <conditionalFormatting sqref="I1674:I1680">
    <cfRule type="expression" dxfId="4" priority="3450">
      <formula>I1674&lt;Y1674</formula>
    </cfRule>
  </conditionalFormatting>
  <conditionalFormatting sqref="I1683:I1731">
    <cfRule type="expression" dxfId="4" priority="3420">
      <formula>I1683&lt;Y1683</formula>
    </cfRule>
  </conditionalFormatting>
  <conditionalFormatting sqref="I1732:I1738">
    <cfRule type="expression" dxfId="4" priority="3406">
      <formula>I1732&lt;Y1732</formula>
    </cfRule>
  </conditionalFormatting>
  <conditionalFormatting sqref="I1739:I1745">
    <cfRule type="expression" dxfId="4" priority="3393">
      <formula>I1739&lt;Y1739</formula>
    </cfRule>
  </conditionalFormatting>
  <conditionalFormatting sqref="I1748:I1796">
    <cfRule type="expression" dxfId="4" priority="3363">
      <formula>I1748&lt;Y1748</formula>
    </cfRule>
  </conditionalFormatting>
  <conditionalFormatting sqref="I1797:I1803">
    <cfRule type="expression" dxfId="4" priority="3349">
      <formula>I1797&lt;Y1797</formula>
    </cfRule>
  </conditionalFormatting>
  <conditionalFormatting sqref="I1804:I1810">
    <cfRule type="expression" dxfId="4" priority="3336">
      <formula>I1804&lt;Y1804</formula>
    </cfRule>
  </conditionalFormatting>
  <conditionalFormatting sqref="I1813:I1861">
    <cfRule type="expression" dxfId="4" priority="3306">
      <formula>I1813&lt;Y1813</formula>
    </cfRule>
  </conditionalFormatting>
  <conditionalFormatting sqref="I1862:I1868">
    <cfRule type="expression" dxfId="4" priority="3292">
      <formula>I1862&lt;Y1862</formula>
    </cfRule>
  </conditionalFormatting>
  <conditionalFormatting sqref="I1869:I1875">
    <cfRule type="expression" dxfId="4" priority="3279">
      <formula>I1869&lt;Y1869</formula>
    </cfRule>
  </conditionalFormatting>
  <conditionalFormatting sqref="I1878:I1926">
    <cfRule type="expression" dxfId="4" priority="3249">
      <formula>I1878&lt;Y1878</formula>
    </cfRule>
  </conditionalFormatting>
  <conditionalFormatting sqref="I1927:I1933">
    <cfRule type="expression" dxfId="4" priority="3235">
      <formula>I1927&lt;Y1927</formula>
    </cfRule>
  </conditionalFormatting>
  <conditionalFormatting sqref="I1934:I1940">
    <cfRule type="expression" dxfId="4" priority="3222">
      <formula>I1934&lt;Y1934</formula>
    </cfRule>
  </conditionalFormatting>
  <conditionalFormatting sqref="I2008:I2056">
    <cfRule type="expression" dxfId="4" priority="3131">
      <formula>I2008&lt;Y2008</formula>
    </cfRule>
  </conditionalFormatting>
  <conditionalFormatting sqref="I2057:I2063">
    <cfRule type="expression" dxfId="4" priority="3117">
      <formula>I2057&lt;Y2057</formula>
    </cfRule>
  </conditionalFormatting>
  <conditionalFormatting sqref="I2064:I2070">
    <cfRule type="expression" dxfId="4" priority="3104">
      <formula>I2064&lt;Y2064</formula>
    </cfRule>
  </conditionalFormatting>
  <conditionalFormatting sqref="I2073:I2121">
    <cfRule type="expression" dxfId="4" priority="3074">
      <formula>I2073&lt;Y2073</formula>
    </cfRule>
  </conditionalFormatting>
  <conditionalFormatting sqref="I2122:I2128">
    <cfRule type="expression" dxfId="4" priority="3060">
      <formula>I2122&lt;Y2122</formula>
    </cfRule>
  </conditionalFormatting>
  <conditionalFormatting sqref="I2129:I2135">
    <cfRule type="expression" dxfId="4" priority="3047">
      <formula>I2129&lt;Y2129</formula>
    </cfRule>
  </conditionalFormatting>
  <conditionalFormatting sqref="I2138:I2186">
    <cfRule type="expression" dxfId="4" priority="3017">
      <formula>I2138&lt;Y2138</formula>
    </cfRule>
  </conditionalFormatting>
  <conditionalFormatting sqref="I2187:I2193">
    <cfRule type="expression" dxfId="4" priority="3003">
      <formula>I2187&lt;Y2187</formula>
    </cfRule>
  </conditionalFormatting>
  <conditionalFormatting sqref="I2194:I2200">
    <cfRule type="expression" dxfId="4" priority="2990">
      <formula>I2194&lt;Y2194</formula>
    </cfRule>
  </conditionalFormatting>
  <conditionalFormatting sqref="I2203:I2251">
    <cfRule type="expression" dxfId="4" priority="2960">
      <formula>I2203&lt;Y2203</formula>
    </cfRule>
  </conditionalFormatting>
  <conditionalFormatting sqref="I2252:I2258">
    <cfRule type="expression" dxfId="4" priority="2946">
      <formula>I2252&lt;Y2252</formula>
    </cfRule>
  </conditionalFormatting>
  <conditionalFormatting sqref="I2259:I2265">
    <cfRule type="expression" dxfId="4" priority="2933">
      <formula>I2259&lt;Y2259</formula>
    </cfRule>
  </conditionalFormatting>
  <conditionalFormatting sqref="I2268:I2316">
    <cfRule type="expression" dxfId="4" priority="2903">
      <formula>I2268&lt;Y2268</formula>
    </cfRule>
  </conditionalFormatting>
  <conditionalFormatting sqref="I2317:I2323">
    <cfRule type="expression" dxfId="4" priority="2889">
      <formula>I2317&lt;Y2317</formula>
    </cfRule>
  </conditionalFormatting>
  <conditionalFormatting sqref="I2324:I2330">
    <cfRule type="expression" dxfId="4" priority="2876">
      <formula>I2324&lt;Y2324</formula>
    </cfRule>
  </conditionalFormatting>
  <conditionalFormatting sqref="I2333:I2380">
    <cfRule type="expression" dxfId="4" priority="2846">
      <formula>I2333&lt;Y2333</formula>
    </cfRule>
  </conditionalFormatting>
  <conditionalFormatting sqref="I2382:I2387">
    <cfRule type="expression" dxfId="4" priority="2832">
      <formula>I2382&lt;Y2382</formula>
    </cfRule>
  </conditionalFormatting>
  <conditionalFormatting sqref="I2389:I2394">
    <cfRule type="expression" dxfId="4" priority="2819">
      <formula>I2389&lt;Y2389</formula>
    </cfRule>
  </conditionalFormatting>
  <conditionalFormatting sqref="I2398:I2445">
    <cfRule type="expression" dxfId="4" priority="2787">
      <formula>I2398&lt;Y2398</formula>
    </cfRule>
  </conditionalFormatting>
  <conditionalFormatting sqref="I2447:I2452">
    <cfRule type="expression" dxfId="4" priority="2773">
      <formula>I2447&lt;Y2447</formula>
    </cfRule>
  </conditionalFormatting>
  <conditionalFormatting sqref="I2454:I2459">
    <cfRule type="expression" dxfId="4" priority="2760">
      <formula>I2454&lt;Y2454</formula>
    </cfRule>
  </conditionalFormatting>
  <conditionalFormatting sqref="I2463:I2510">
    <cfRule type="expression" dxfId="4" priority="2728">
      <formula>I2463&lt;Y2463</formula>
    </cfRule>
  </conditionalFormatting>
  <conditionalFormatting sqref="I2512:I2517">
    <cfRule type="expression" dxfId="4" priority="2714">
      <formula>I2512&lt;Y2512</formula>
    </cfRule>
  </conditionalFormatting>
  <conditionalFormatting sqref="I2519:I2524">
    <cfRule type="expression" dxfId="4" priority="2701">
      <formula>I2519&lt;Y2519</formula>
    </cfRule>
  </conditionalFormatting>
  <conditionalFormatting sqref="I2528:I2575">
    <cfRule type="expression" dxfId="4" priority="2669">
      <formula>I2528&lt;Y2528</formula>
    </cfRule>
  </conditionalFormatting>
  <conditionalFormatting sqref="I2577:I2582">
    <cfRule type="expression" dxfId="4" priority="2655">
      <formula>I2577&lt;Y2577</formula>
    </cfRule>
  </conditionalFormatting>
  <conditionalFormatting sqref="I2584:I2589">
    <cfRule type="expression" dxfId="4" priority="2642">
      <formula>I2584&lt;Y2584</formula>
    </cfRule>
  </conditionalFormatting>
  <conditionalFormatting sqref="I2593:I2640">
    <cfRule type="expression" dxfId="4" priority="2610">
      <formula>I2593&lt;Y2593</formula>
    </cfRule>
  </conditionalFormatting>
  <conditionalFormatting sqref="I2642:I2647">
    <cfRule type="expression" dxfId="4" priority="2596">
      <formula>I2642&lt;Y2642</formula>
    </cfRule>
  </conditionalFormatting>
  <conditionalFormatting sqref="I2649:I2654">
    <cfRule type="expression" dxfId="4" priority="2583">
      <formula>I2649&lt;Y2649</formula>
    </cfRule>
  </conditionalFormatting>
  <conditionalFormatting sqref="I2658:I2705">
    <cfRule type="expression" dxfId="4" priority="2551">
      <formula>I2658&lt;Y2658</formula>
    </cfRule>
  </conditionalFormatting>
  <conditionalFormatting sqref="I2707:I2712">
    <cfRule type="expression" dxfId="4" priority="2537">
      <formula>I2707&lt;Y2707</formula>
    </cfRule>
  </conditionalFormatting>
  <conditionalFormatting sqref="I2714:I2719">
    <cfRule type="expression" dxfId="4" priority="2524">
      <formula>I2714&lt;Y2714</formula>
    </cfRule>
  </conditionalFormatting>
  <conditionalFormatting sqref="I2723:I2770">
    <cfRule type="expression" dxfId="4" priority="2492">
      <formula>I2723&lt;Y2723</formula>
    </cfRule>
  </conditionalFormatting>
  <conditionalFormatting sqref="I2772:I2777">
    <cfRule type="expression" dxfId="4" priority="2478">
      <formula>I2772&lt;Y2772</formula>
    </cfRule>
  </conditionalFormatting>
  <conditionalFormatting sqref="I2779:I2784">
    <cfRule type="expression" dxfId="4" priority="2465">
      <formula>I2779&lt;Y2779</formula>
    </cfRule>
  </conditionalFormatting>
  <conditionalFormatting sqref="I2788:I2835">
    <cfRule type="expression" dxfId="4" priority="2433">
      <formula>I2788&lt;Y2788</formula>
    </cfRule>
  </conditionalFormatting>
  <conditionalFormatting sqref="I2837:I2842">
    <cfRule type="expression" dxfId="4" priority="2419">
      <formula>I2837&lt;Y2837</formula>
    </cfRule>
  </conditionalFormatting>
  <conditionalFormatting sqref="I2844:I2849">
    <cfRule type="expression" dxfId="4" priority="2406">
      <formula>I2844&lt;Y2844</formula>
    </cfRule>
  </conditionalFormatting>
  <conditionalFormatting sqref="I2853:I2900">
    <cfRule type="expression" dxfId="4" priority="2374">
      <formula>I2853&lt;Y2853</formula>
    </cfRule>
  </conditionalFormatting>
  <conditionalFormatting sqref="I2902:I2907">
    <cfRule type="expression" dxfId="4" priority="2360">
      <formula>I2902&lt;Y2902</formula>
    </cfRule>
  </conditionalFormatting>
  <conditionalFormatting sqref="I2909:I2914">
    <cfRule type="expression" dxfId="4" priority="2347">
      <formula>I2909&lt;Y2909</formula>
    </cfRule>
  </conditionalFormatting>
  <conditionalFormatting sqref="I2918:I2965">
    <cfRule type="expression" dxfId="4" priority="2315">
      <formula>I2918&lt;Y2918</formula>
    </cfRule>
  </conditionalFormatting>
  <conditionalFormatting sqref="I2967:I2972">
    <cfRule type="expression" dxfId="4" priority="2301">
      <formula>I2967&lt;Y2967</formula>
    </cfRule>
  </conditionalFormatting>
  <conditionalFormatting sqref="I2974:I2979">
    <cfRule type="expression" dxfId="4" priority="2288">
      <formula>I2974&lt;Y2974</formula>
    </cfRule>
  </conditionalFormatting>
  <conditionalFormatting sqref="I2983:I3030">
    <cfRule type="expression" dxfId="4" priority="2256">
      <formula>I2983&lt;Y2983</formula>
    </cfRule>
  </conditionalFormatting>
  <conditionalFormatting sqref="I3032:I3037">
    <cfRule type="expression" dxfId="4" priority="2242">
      <formula>I3032&lt;Y3032</formula>
    </cfRule>
  </conditionalFormatting>
  <conditionalFormatting sqref="I3039:I3044">
    <cfRule type="expression" dxfId="4" priority="2229">
      <formula>I3039&lt;Y3039</formula>
    </cfRule>
  </conditionalFormatting>
  <conditionalFormatting sqref="I3048:I3095">
    <cfRule type="expression" dxfId="4" priority="2197">
      <formula>I3048&lt;Y3048</formula>
    </cfRule>
  </conditionalFormatting>
  <conditionalFormatting sqref="I3097:I3102">
    <cfRule type="expression" dxfId="4" priority="2183">
      <formula>I3097&lt;Y3097</formula>
    </cfRule>
  </conditionalFormatting>
  <conditionalFormatting sqref="I3104:I3109">
    <cfRule type="expression" dxfId="4" priority="2170">
      <formula>I3104&lt;Y3104</formula>
    </cfRule>
  </conditionalFormatting>
  <conditionalFormatting sqref="I3113:I3160">
    <cfRule type="expression" dxfId="4" priority="2138">
      <formula>I3113&lt;Y3113</formula>
    </cfRule>
  </conditionalFormatting>
  <conditionalFormatting sqref="I3162:I3167">
    <cfRule type="expression" dxfId="4" priority="2124">
      <formula>I3162&lt;Y3162</formula>
    </cfRule>
  </conditionalFormatting>
  <conditionalFormatting sqref="I3169:I3174">
    <cfRule type="expression" dxfId="4" priority="2111">
      <formula>I3169&lt;Y3169</formula>
    </cfRule>
  </conditionalFormatting>
  <conditionalFormatting sqref="I3178:I3225">
    <cfRule type="expression" dxfId="4" priority="2079">
      <formula>I3178&lt;Y3178</formula>
    </cfRule>
  </conditionalFormatting>
  <conditionalFormatting sqref="I3227:I3232">
    <cfRule type="expression" dxfId="4" priority="2065">
      <formula>I3227&lt;Y3227</formula>
    </cfRule>
  </conditionalFormatting>
  <conditionalFormatting sqref="I3234:I3239">
    <cfRule type="expression" dxfId="4" priority="2052">
      <formula>I3234&lt;Y3234</formula>
    </cfRule>
  </conditionalFormatting>
  <conditionalFormatting sqref="I3243:I3290">
    <cfRule type="expression" dxfId="4" priority="2020">
      <formula>I3243&lt;Y3243</formula>
    </cfRule>
  </conditionalFormatting>
  <conditionalFormatting sqref="I3292:I3297">
    <cfRule type="expression" dxfId="4" priority="2006">
      <formula>I3292&lt;Y3292</formula>
    </cfRule>
  </conditionalFormatting>
  <conditionalFormatting sqref="I3299:I3304">
    <cfRule type="expression" dxfId="4" priority="1993">
      <formula>I3299&lt;Y3299</formula>
    </cfRule>
  </conditionalFormatting>
  <conditionalFormatting sqref="I3308:I3355">
    <cfRule type="expression" dxfId="4" priority="1961">
      <formula>I3308&lt;Y3308</formula>
    </cfRule>
  </conditionalFormatting>
  <conditionalFormatting sqref="I3357:I3362">
    <cfRule type="expression" dxfId="4" priority="1947">
      <formula>I3357&lt;Y3357</formula>
    </cfRule>
  </conditionalFormatting>
  <conditionalFormatting sqref="I3364:I3369">
    <cfRule type="expression" dxfId="4" priority="1934">
      <formula>I3364&lt;Y3364</formula>
    </cfRule>
  </conditionalFormatting>
  <conditionalFormatting sqref="I3373:I3420">
    <cfRule type="expression" dxfId="4" priority="1902">
      <formula>I3373&lt;Y3373</formula>
    </cfRule>
  </conditionalFormatting>
  <conditionalFormatting sqref="I3422:I3427">
    <cfRule type="expression" dxfId="4" priority="1888">
      <formula>I3422&lt;Y3422</formula>
    </cfRule>
  </conditionalFormatting>
  <conditionalFormatting sqref="I3429:I3434">
    <cfRule type="expression" dxfId="4" priority="1875">
      <formula>I3429&lt;Y3429</formula>
    </cfRule>
  </conditionalFormatting>
  <conditionalFormatting sqref="I3438:I3485">
    <cfRule type="expression" dxfId="4" priority="1843">
      <formula>I3438&lt;Y3438</formula>
    </cfRule>
  </conditionalFormatting>
  <conditionalFormatting sqref="I3487:I3492">
    <cfRule type="expression" dxfId="4" priority="1829">
      <formula>I3487&lt;Y3487</formula>
    </cfRule>
  </conditionalFormatting>
  <conditionalFormatting sqref="I3494:I3499">
    <cfRule type="expression" dxfId="4" priority="1816">
      <formula>I3494&lt;Y3494</formula>
    </cfRule>
  </conditionalFormatting>
  <conditionalFormatting sqref="I3503:I3550">
    <cfRule type="expression" dxfId="4" priority="1784">
      <formula>I3503&lt;Y3503</formula>
    </cfRule>
  </conditionalFormatting>
  <conditionalFormatting sqref="I3552:I3557">
    <cfRule type="expression" dxfId="4" priority="1770">
      <formula>I3552&lt;Y3552</formula>
    </cfRule>
  </conditionalFormatting>
  <conditionalFormatting sqref="I3559:I3564">
    <cfRule type="expression" dxfId="4" priority="1757">
      <formula>I3559&lt;Y3559</formula>
    </cfRule>
  </conditionalFormatting>
  <conditionalFormatting sqref="I3568:I3615">
    <cfRule type="expression" dxfId="4" priority="1725">
      <formula>I3568&lt;Y3568</formula>
    </cfRule>
  </conditionalFormatting>
  <conditionalFormatting sqref="I3617:I3622">
    <cfRule type="expression" dxfId="4" priority="1711">
      <formula>I3617&lt;Y3617</formula>
    </cfRule>
  </conditionalFormatting>
  <conditionalFormatting sqref="I3624:I3629">
    <cfRule type="expression" dxfId="4" priority="1698">
      <formula>I3624&lt;Y3624</formula>
    </cfRule>
  </conditionalFormatting>
  <conditionalFormatting sqref="I3633:I3680">
    <cfRule type="expression" dxfId="4" priority="1666">
      <formula>I3633&lt;Y3633</formula>
    </cfRule>
  </conditionalFormatting>
  <conditionalFormatting sqref="I3682:I3687">
    <cfRule type="expression" dxfId="4" priority="1652">
      <formula>I3682&lt;Y3682</formula>
    </cfRule>
  </conditionalFormatting>
  <conditionalFormatting sqref="I3689:I3694">
    <cfRule type="expression" dxfId="4" priority="1639">
      <formula>I3689&lt;Y3689</formula>
    </cfRule>
  </conditionalFormatting>
  <conditionalFormatting sqref="I3698:I3745">
    <cfRule type="expression" dxfId="4" priority="1607">
      <formula>I3698&lt;Y3698</formula>
    </cfRule>
  </conditionalFormatting>
  <conditionalFormatting sqref="I3747:I3752">
    <cfRule type="expression" dxfId="4" priority="1593">
      <formula>I3747&lt;Y3747</formula>
    </cfRule>
  </conditionalFormatting>
  <conditionalFormatting sqref="I3754:I3759">
    <cfRule type="expression" dxfId="4" priority="1580">
      <formula>I3754&lt;Y3754</formula>
    </cfRule>
  </conditionalFormatting>
  <conditionalFormatting sqref="I3763:I3810">
    <cfRule type="expression" dxfId="4" priority="1548">
      <formula>I3763&lt;Y3763</formula>
    </cfRule>
  </conditionalFormatting>
  <conditionalFormatting sqref="I3812:I3817">
    <cfRule type="expression" dxfId="4" priority="1534">
      <formula>I3812&lt;Y3812</formula>
    </cfRule>
  </conditionalFormatting>
  <conditionalFormatting sqref="I3819:I3824">
    <cfRule type="expression" dxfId="4" priority="1521">
      <formula>I3819&lt;Y3819</formula>
    </cfRule>
  </conditionalFormatting>
  <conditionalFormatting sqref="I3828:I3875">
    <cfRule type="expression" dxfId="4" priority="1489">
      <formula>I3828&lt;Y3828</formula>
    </cfRule>
  </conditionalFormatting>
  <conditionalFormatting sqref="I3877:I3882">
    <cfRule type="expression" dxfId="4" priority="1475">
      <formula>I3877&lt;Y3877</formula>
    </cfRule>
  </conditionalFormatting>
  <conditionalFormatting sqref="I3884:I3889">
    <cfRule type="expression" dxfId="4" priority="1462">
      <formula>I3884&lt;Y3884</formula>
    </cfRule>
  </conditionalFormatting>
  <conditionalFormatting sqref="I3893:I3940">
    <cfRule type="expression" dxfId="4" priority="1430">
      <formula>I3893&lt;Y3893</formula>
    </cfRule>
  </conditionalFormatting>
  <conditionalFormatting sqref="I3942:I3947">
    <cfRule type="expression" dxfId="4" priority="1416">
      <formula>I3942&lt;Y3942</formula>
    </cfRule>
  </conditionalFormatting>
  <conditionalFormatting sqref="I3949:I3954">
    <cfRule type="expression" dxfId="4" priority="1403">
      <formula>I3949&lt;Y3949</formula>
    </cfRule>
  </conditionalFormatting>
  <conditionalFormatting sqref="I3958:I4005">
    <cfRule type="expression" dxfId="4" priority="1371">
      <formula>I3958&lt;Y3958</formula>
    </cfRule>
  </conditionalFormatting>
  <conditionalFormatting sqref="I4007:I4012">
    <cfRule type="expression" dxfId="4" priority="1357">
      <formula>I4007&lt;Y4007</formula>
    </cfRule>
  </conditionalFormatting>
  <conditionalFormatting sqref="I4014:I4019">
    <cfRule type="expression" dxfId="4" priority="1344">
      <formula>I4014&lt;Y4014</formula>
    </cfRule>
  </conditionalFormatting>
  <conditionalFormatting sqref="I4023:I4070">
    <cfRule type="expression" dxfId="4" priority="1312">
      <formula>I4023&lt;Y4023</formula>
    </cfRule>
  </conditionalFormatting>
  <conditionalFormatting sqref="I4072:I4077">
    <cfRule type="expression" dxfId="4" priority="1298">
      <formula>I4072&lt;Y4072</formula>
    </cfRule>
  </conditionalFormatting>
  <conditionalFormatting sqref="I4079:I4084">
    <cfRule type="expression" dxfId="4" priority="1285">
      <formula>I4079&lt;Y4079</formula>
    </cfRule>
  </conditionalFormatting>
  <conditionalFormatting sqref="I4088:I4135">
    <cfRule type="expression" dxfId="4" priority="1253">
      <formula>I4088&lt;Y4088</formula>
    </cfRule>
  </conditionalFormatting>
  <conditionalFormatting sqref="I4137:I4142">
    <cfRule type="expression" dxfId="4" priority="1239">
      <formula>I4137&lt;Y4137</formula>
    </cfRule>
  </conditionalFormatting>
  <conditionalFormatting sqref="I4144:I4149">
    <cfRule type="expression" dxfId="4" priority="1226">
      <formula>I4144&lt;Y4144</formula>
    </cfRule>
  </conditionalFormatting>
  <conditionalFormatting sqref="I4153:I4200">
    <cfRule type="expression" dxfId="4" priority="1194">
      <formula>I4153&lt;Y4153</formula>
    </cfRule>
  </conditionalFormatting>
  <conditionalFormatting sqref="I4202:I4207">
    <cfRule type="expression" dxfId="4" priority="1180">
      <formula>I4202&lt;Y4202</formula>
    </cfRule>
  </conditionalFormatting>
  <conditionalFormatting sqref="I4209:I4214">
    <cfRule type="expression" dxfId="4" priority="1167">
      <formula>I4209&lt;Y4209</formula>
    </cfRule>
  </conditionalFormatting>
  <conditionalFormatting sqref="I4218:I4265">
    <cfRule type="expression" dxfId="4" priority="1135">
      <formula>I4218&lt;Y4218</formula>
    </cfRule>
  </conditionalFormatting>
  <conditionalFormatting sqref="I4267:I4272">
    <cfRule type="expression" dxfId="4" priority="1121">
      <formula>I4267&lt;Y4267</formula>
    </cfRule>
  </conditionalFormatting>
  <conditionalFormatting sqref="I4274:I4279">
    <cfRule type="expression" dxfId="4" priority="1108">
      <formula>I4274&lt;Y4274</formula>
    </cfRule>
  </conditionalFormatting>
  <conditionalFormatting sqref="I4283:I4330">
    <cfRule type="expression" dxfId="4" priority="1076">
      <formula>I4283&lt;Y4283</formula>
    </cfRule>
  </conditionalFormatting>
  <conditionalFormatting sqref="I4332:I4337">
    <cfRule type="expression" dxfId="4" priority="1062">
      <formula>I4332&lt;Y4332</formula>
    </cfRule>
  </conditionalFormatting>
  <conditionalFormatting sqref="I4339:I4344">
    <cfRule type="expression" dxfId="4" priority="1049">
      <formula>I4339&lt;Y4339</formula>
    </cfRule>
  </conditionalFormatting>
  <conditionalFormatting sqref="I4348:I4395">
    <cfRule type="expression" dxfId="4" priority="1017">
      <formula>I4348&lt;Y4348</formula>
    </cfRule>
  </conditionalFormatting>
  <conditionalFormatting sqref="I4397:I4402">
    <cfRule type="expression" dxfId="4" priority="1003">
      <formula>I4397&lt;Y4397</formula>
    </cfRule>
  </conditionalFormatting>
  <conditionalFormatting sqref="I4404:I4409">
    <cfRule type="expression" dxfId="4" priority="990">
      <formula>I4404&lt;Y4404</formula>
    </cfRule>
  </conditionalFormatting>
  <conditionalFormatting sqref="I4413:I4460">
    <cfRule type="expression" dxfId="4" priority="958">
      <formula>I4413&lt;Y4413</formula>
    </cfRule>
  </conditionalFormatting>
  <conditionalFormatting sqref="I4462:I4467">
    <cfRule type="expression" dxfId="4" priority="944">
      <formula>I4462&lt;Y4462</formula>
    </cfRule>
  </conditionalFormatting>
  <conditionalFormatting sqref="I4469:I4474">
    <cfRule type="expression" dxfId="4" priority="931">
      <formula>I4469&lt;Y4469</formula>
    </cfRule>
  </conditionalFormatting>
  <conditionalFormatting sqref="I4478:I4525">
    <cfRule type="expression" dxfId="4" priority="899">
      <formula>I4478&lt;Y4478</formula>
    </cfRule>
  </conditionalFormatting>
  <conditionalFormatting sqref="I4527:I4532">
    <cfRule type="expression" dxfId="4" priority="885">
      <formula>I4527&lt;Y4527</formula>
    </cfRule>
  </conditionalFormatting>
  <conditionalFormatting sqref="I4534:I4539">
    <cfRule type="expression" dxfId="4" priority="872">
      <formula>I4534&lt;Y4534</formula>
    </cfRule>
  </conditionalFormatting>
  <conditionalFormatting sqref="I4543:I4590">
    <cfRule type="expression" dxfId="4" priority="840">
      <formula>I4543&lt;Y4543</formula>
    </cfRule>
  </conditionalFormatting>
  <conditionalFormatting sqref="I4592:I4597">
    <cfRule type="expression" dxfId="4" priority="826">
      <formula>I4592&lt;Y4592</formula>
    </cfRule>
  </conditionalFormatting>
  <conditionalFormatting sqref="I4599:I4604">
    <cfRule type="expression" dxfId="4" priority="813">
      <formula>I4599&lt;Y4599</formula>
    </cfRule>
  </conditionalFormatting>
  <conditionalFormatting sqref="I4608:I4655">
    <cfRule type="expression" dxfId="4" priority="781">
      <formula>I4608&lt;Y4608</formula>
    </cfRule>
  </conditionalFormatting>
  <conditionalFormatting sqref="I4657:I4662">
    <cfRule type="expression" dxfId="4" priority="767">
      <formula>I4657&lt;Y4657</formula>
    </cfRule>
  </conditionalFormatting>
  <conditionalFormatting sqref="I4664:I4669">
    <cfRule type="expression" dxfId="4" priority="754">
      <formula>I4664&lt;Y4664</formula>
    </cfRule>
  </conditionalFormatting>
  <conditionalFormatting sqref="I4673:I4720">
    <cfRule type="expression" dxfId="4" priority="722">
      <formula>I4673&lt;Y4673</formula>
    </cfRule>
  </conditionalFormatting>
  <conditionalFormatting sqref="I4722:I4727">
    <cfRule type="expression" dxfId="4" priority="708">
      <formula>I4722&lt;Y4722</formula>
    </cfRule>
  </conditionalFormatting>
  <conditionalFormatting sqref="I4729:I4734">
    <cfRule type="expression" dxfId="4" priority="695">
      <formula>I4729&lt;Y4729</formula>
    </cfRule>
  </conditionalFormatting>
  <conditionalFormatting sqref="I4738:I4785">
    <cfRule type="expression" dxfId="4" priority="663">
      <formula>I4738&lt;Y4738</formula>
    </cfRule>
  </conditionalFormatting>
  <conditionalFormatting sqref="I4787:I4792">
    <cfRule type="expression" dxfId="4" priority="649">
      <formula>I4787&lt;Y4787</formula>
    </cfRule>
  </conditionalFormatting>
  <conditionalFormatting sqref="I4794:I4799">
    <cfRule type="expression" dxfId="4" priority="636">
      <formula>I4794&lt;Y4794</formula>
    </cfRule>
  </conditionalFormatting>
  <conditionalFormatting sqref="I4803:I4850">
    <cfRule type="expression" dxfId="4" priority="604">
      <formula>I4803&lt;Y4803</formula>
    </cfRule>
  </conditionalFormatting>
  <conditionalFormatting sqref="I4852:I4857">
    <cfRule type="expression" dxfId="4" priority="590">
      <formula>I4852&lt;Y4852</formula>
    </cfRule>
  </conditionalFormatting>
  <conditionalFormatting sqref="I4859:I4864">
    <cfRule type="expression" dxfId="4" priority="577">
      <formula>I4859&lt;Y4859</formula>
    </cfRule>
  </conditionalFormatting>
  <conditionalFormatting sqref="I4868:I4915">
    <cfRule type="expression" dxfId="4" priority="545">
      <formula>I4868&lt;Y4868</formula>
    </cfRule>
  </conditionalFormatting>
  <conditionalFormatting sqref="I4917:I4922">
    <cfRule type="expression" dxfId="4" priority="531">
      <formula>I4917&lt;Y4917</formula>
    </cfRule>
  </conditionalFormatting>
  <conditionalFormatting sqref="I4924:I4929">
    <cfRule type="expression" dxfId="4" priority="518">
      <formula>I4924&lt;Y4924</formula>
    </cfRule>
  </conditionalFormatting>
  <conditionalFormatting sqref="I4933:I4980">
    <cfRule type="expression" dxfId="4" priority="486">
      <formula>I4933&lt;Y4933</formula>
    </cfRule>
  </conditionalFormatting>
  <conditionalFormatting sqref="I4982:I4987">
    <cfRule type="expression" dxfId="4" priority="472">
      <formula>I4982&lt;Y4982</formula>
    </cfRule>
  </conditionalFormatting>
  <conditionalFormatting sqref="I4989:I4994">
    <cfRule type="expression" dxfId="4" priority="459">
      <formula>I4989&lt;Y4989</formula>
    </cfRule>
  </conditionalFormatting>
  <conditionalFormatting sqref="I4998:I5045">
    <cfRule type="expression" dxfId="4" priority="427">
      <formula>I4998&lt;Y4998</formula>
    </cfRule>
  </conditionalFormatting>
  <conditionalFormatting sqref="I5047:I5052">
    <cfRule type="expression" dxfId="4" priority="413">
      <formula>I5047&lt;Y5047</formula>
    </cfRule>
  </conditionalFormatting>
  <conditionalFormatting sqref="I5054:I5059">
    <cfRule type="expression" dxfId="4" priority="400">
      <formula>I5054&lt;Y5054</formula>
    </cfRule>
  </conditionalFormatting>
  <conditionalFormatting sqref="I5063:I5110">
    <cfRule type="expression" dxfId="4" priority="368">
      <formula>I5063&lt;Y5063</formula>
    </cfRule>
  </conditionalFormatting>
  <conditionalFormatting sqref="I5112:I5117">
    <cfRule type="expression" dxfId="4" priority="354">
      <formula>I5112&lt;Y5112</formula>
    </cfRule>
  </conditionalFormatting>
  <conditionalFormatting sqref="I5119:I5124">
    <cfRule type="expression" dxfId="4" priority="341">
      <formula>I5119&lt;Y5119</formula>
    </cfRule>
  </conditionalFormatting>
  <conditionalFormatting sqref="J3:J51">
    <cfRule type="expression" dxfId="4" priority="4593">
      <formula>J3&lt;Z3</formula>
    </cfRule>
  </conditionalFormatting>
  <conditionalFormatting sqref="J54:J102">
    <cfRule type="expression" dxfId="4" priority="4571">
      <formula>J54&lt;Z54</formula>
    </cfRule>
  </conditionalFormatting>
  <conditionalFormatting sqref="J105:J153">
    <cfRule type="expression" dxfId="4" priority="4637">
      <formula>J105&lt;Z105</formula>
    </cfRule>
  </conditionalFormatting>
  <conditionalFormatting sqref="J156:J204">
    <cfRule type="expression" dxfId="4" priority="4615">
      <formula>J156&lt;Z156</formula>
    </cfRule>
  </conditionalFormatting>
  <conditionalFormatting sqref="J207:J255">
    <cfRule type="expression" dxfId="4" priority="4549">
      <formula>J207&lt;Z207</formula>
    </cfRule>
  </conditionalFormatting>
  <conditionalFormatting sqref="J258:J306">
    <cfRule type="expression" dxfId="4" priority="4527">
      <formula>J258&lt;Z258</formula>
    </cfRule>
  </conditionalFormatting>
  <conditionalFormatting sqref="J309:J357">
    <cfRule type="expression" dxfId="4" priority="4505">
      <formula>J309&lt;Z309</formula>
    </cfRule>
  </conditionalFormatting>
  <conditionalFormatting sqref="J360:J408">
    <cfRule type="expression" dxfId="4" priority="4483">
      <formula>J360&lt;Z360</formula>
    </cfRule>
  </conditionalFormatting>
  <conditionalFormatting sqref="J411:J459">
    <cfRule type="expression" dxfId="4" priority="4461">
      <formula>J411&lt;Z411</formula>
    </cfRule>
  </conditionalFormatting>
  <conditionalFormatting sqref="J462:J510">
    <cfRule type="expression" dxfId="4" priority="4439">
      <formula>J462&lt;Z462</formula>
    </cfRule>
  </conditionalFormatting>
  <conditionalFormatting sqref="J513:J561">
    <cfRule type="expression" dxfId="4" priority="4417">
      <formula>J513&lt;Z513</formula>
    </cfRule>
  </conditionalFormatting>
  <conditionalFormatting sqref="J562:J568">
    <cfRule type="expression" dxfId="4" priority="4395">
      <formula>J562&lt;Z562</formula>
    </cfRule>
  </conditionalFormatting>
  <conditionalFormatting sqref="J569:J575">
    <cfRule type="expression" dxfId="4" priority="4381">
      <formula>J569&lt;Z569</formula>
    </cfRule>
  </conditionalFormatting>
  <conditionalFormatting sqref="J578:J626">
    <cfRule type="expression" dxfId="4" priority="4367">
      <formula>J578&lt;Z578</formula>
    </cfRule>
  </conditionalFormatting>
  <conditionalFormatting sqref="J627:J633">
    <cfRule type="expression" dxfId="4" priority="4345">
      <formula>J627&lt;Z627</formula>
    </cfRule>
  </conditionalFormatting>
  <conditionalFormatting sqref="J634:J640">
    <cfRule type="expression" dxfId="4" priority="4331">
      <formula>J634&lt;Z634</formula>
    </cfRule>
  </conditionalFormatting>
  <conditionalFormatting sqref="J643:J691">
    <cfRule type="expression" dxfId="4" priority="4317">
      <formula>J643&lt;Z643</formula>
    </cfRule>
  </conditionalFormatting>
  <conditionalFormatting sqref="J692:J698">
    <cfRule type="expression" dxfId="4" priority="4295">
      <formula>J692&lt;Z692</formula>
    </cfRule>
  </conditionalFormatting>
  <conditionalFormatting sqref="J699:J705">
    <cfRule type="expression" dxfId="4" priority="4281">
      <formula>J699&lt;Z699</formula>
    </cfRule>
  </conditionalFormatting>
  <conditionalFormatting sqref="J708:J756">
    <cfRule type="expression" dxfId="4" priority="4267">
      <formula>J708&lt;Z708</formula>
    </cfRule>
  </conditionalFormatting>
  <conditionalFormatting sqref="J757:J763">
    <cfRule type="expression" dxfId="4" priority="4245">
      <formula>J757&lt;Z757</formula>
    </cfRule>
  </conditionalFormatting>
  <conditionalFormatting sqref="J764:J770">
    <cfRule type="expression" dxfId="4" priority="4231">
      <formula>J764&lt;Z764</formula>
    </cfRule>
  </conditionalFormatting>
  <conditionalFormatting sqref="J773:J821">
    <cfRule type="expression" dxfId="4" priority="4217">
      <formula>J773&lt;Z773</formula>
    </cfRule>
  </conditionalFormatting>
  <conditionalFormatting sqref="J822:J828">
    <cfRule type="expression" dxfId="4" priority="4203">
      <formula>J822&lt;Z822</formula>
    </cfRule>
  </conditionalFormatting>
  <conditionalFormatting sqref="J829:J835">
    <cfRule type="expression" dxfId="4" priority="4190">
      <formula>J829&lt;Z829</formula>
    </cfRule>
  </conditionalFormatting>
  <conditionalFormatting sqref="J838:J886">
    <cfRule type="expression" dxfId="4" priority="4160">
      <formula>J838&lt;Z838</formula>
    </cfRule>
  </conditionalFormatting>
  <conditionalFormatting sqref="J887:J893">
    <cfRule type="expression" dxfId="4" priority="4146">
      <formula>J887&lt;Z887</formula>
    </cfRule>
  </conditionalFormatting>
  <conditionalFormatting sqref="J894:J900">
    <cfRule type="expression" dxfId="4" priority="4133">
      <formula>J894&lt;Z894</formula>
    </cfRule>
  </conditionalFormatting>
  <conditionalFormatting sqref="J903:J951">
    <cfRule type="expression" dxfId="4" priority="4103">
      <formula>J903&lt;Z903</formula>
    </cfRule>
  </conditionalFormatting>
  <conditionalFormatting sqref="J952:J958">
    <cfRule type="expression" dxfId="4" priority="4089">
      <formula>J952&lt;Z952</formula>
    </cfRule>
  </conditionalFormatting>
  <conditionalFormatting sqref="J959:J965">
    <cfRule type="expression" dxfId="4" priority="4076">
      <formula>J959&lt;Z959</formula>
    </cfRule>
  </conditionalFormatting>
  <conditionalFormatting sqref="J968:J1016">
    <cfRule type="expression" dxfId="4" priority="4046">
      <formula>J968&lt;Z968</formula>
    </cfRule>
  </conditionalFormatting>
  <conditionalFormatting sqref="J1017:J1023">
    <cfRule type="expression" dxfId="4" priority="4032">
      <formula>J1017&lt;Z1017</formula>
    </cfRule>
  </conditionalFormatting>
  <conditionalFormatting sqref="J1024:J1030">
    <cfRule type="expression" dxfId="4" priority="4019">
      <formula>J1024&lt;Z1024</formula>
    </cfRule>
  </conditionalFormatting>
  <conditionalFormatting sqref="J1033:J1081">
    <cfRule type="expression" dxfId="4" priority="3989">
      <formula>J1033&lt;Z1033</formula>
    </cfRule>
  </conditionalFormatting>
  <conditionalFormatting sqref="J1082:J1088">
    <cfRule type="expression" dxfId="4" priority="3975">
      <formula>J1082&lt;Z1082</formula>
    </cfRule>
  </conditionalFormatting>
  <conditionalFormatting sqref="J1089:J1095">
    <cfRule type="expression" dxfId="4" priority="3962">
      <formula>J1089&lt;Z1089</formula>
    </cfRule>
  </conditionalFormatting>
  <conditionalFormatting sqref="J1098:J1146">
    <cfRule type="expression" dxfId="4" priority="3932">
      <formula>J1098&lt;Z1098</formula>
    </cfRule>
  </conditionalFormatting>
  <conditionalFormatting sqref="J1147:J1153">
    <cfRule type="expression" dxfId="4" priority="3918">
      <formula>J1147&lt;Z1147</formula>
    </cfRule>
  </conditionalFormatting>
  <conditionalFormatting sqref="J1154:J1160">
    <cfRule type="expression" dxfId="4" priority="3905">
      <formula>J1154&lt;Z1154</formula>
    </cfRule>
  </conditionalFormatting>
  <conditionalFormatting sqref="J1163:J1211">
    <cfRule type="expression" dxfId="4" priority="3875">
      <formula>J1163&lt;Z1163</formula>
    </cfRule>
  </conditionalFormatting>
  <conditionalFormatting sqref="J1212:J1218">
    <cfRule type="expression" dxfId="4" priority="3861">
      <formula>J1212&lt;Z1212</formula>
    </cfRule>
  </conditionalFormatting>
  <conditionalFormatting sqref="J1219:J1225">
    <cfRule type="expression" dxfId="4" priority="3848">
      <formula>J1219&lt;Z1219</formula>
    </cfRule>
  </conditionalFormatting>
  <conditionalFormatting sqref="J1228:J1276">
    <cfRule type="expression" dxfId="4" priority="3818">
      <formula>J1228&lt;Z1228</formula>
    </cfRule>
  </conditionalFormatting>
  <conditionalFormatting sqref="J1277:J1283">
    <cfRule type="expression" dxfId="4" priority="3804">
      <formula>J1277&lt;Z1277</formula>
    </cfRule>
  </conditionalFormatting>
  <conditionalFormatting sqref="J1284:J1290">
    <cfRule type="expression" dxfId="4" priority="3791">
      <formula>J1284&lt;Z1284</formula>
    </cfRule>
  </conditionalFormatting>
  <conditionalFormatting sqref="J1293:J1341">
    <cfRule type="expression" dxfId="4" priority="3761">
      <formula>J1293&lt;Z1293</formula>
    </cfRule>
  </conditionalFormatting>
  <conditionalFormatting sqref="J1342:J1348">
    <cfRule type="expression" dxfId="4" priority="3747">
      <formula>J1342&lt;Z1342</formula>
    </cfRule>
  </conditionalFormatting>
  <conditionalFormatting sqref="J1349:J1355">
    <cfRule type="expression" dxfId="4" priority="3734">
      <formula>J1349&lt;Z1349</formula>
    </cfRule>
  </conditionalFormatting>
  <conditionalFormatting sqref="J1358:J1406">
    <cfRule type="expression" dxfId="4" priority="3704">
      <formula>J1358&lt;Z1358</formula>
    </cfRule>
  </conditionalFormatting>
  <conditionalFormatting sqref="J1407:J1413">
    <cfRule type="expression" dxfId="4" priority="3690">
      <formula>J1407&lt;Z1407</formula>
    </cfRule>
  </conditionalFormatting>
  <conditionalFormatting sqref="J1414:J1420">
    <cfRule type="expression" dxfId="4" priority="3677">
      <formula>J1414&lt;Z1414</formula>
    </cfRule>
  </conditionalFormatting>
  <conditionalFormatting sqref="J1423:J1471">
    <cfRule type="expression" dxfId="4" priority="3647">
      <formula>J1423&lt;Z1423</formula>
    </cfRule>
  </conditionalFormatting>
  <conditionalFormatting sqref="J1472:J1478">
    <cfRule type="expression" dxfId="4" priority="3633">
      <formula>J1472&lt;Z1472</formula>
    </cfRule>
  </conditionalFormatting>
  <conditionalFormatting sqref="J1479:J1485">
    <cfRule type="expression" dxfId="4" priority="3620">
      <formula>J1479&lt;Z1479</formula>
    </cfRule>
  </conditionalFormatting>
  <conditionalFormatting sqref="J1488:J1536">
    <cfRule type="expression" dxfId="4" priority="3590">
      <formula>J1488&lt;Z1488</formula>
    </cfRule>
  </conditionalFormatting>
  <conditionalFormatting sqref="J1537:J1543">
    <cfRule type="expression" dxfId="4" priority="3576">
      <formula>J1537&lt;Z1537</formula>
    </cfRule>
  </conditionalFormatting>
  <conditionalFormatting sqref="J1544:J1550">
    <cfRule type="expression" dxfId="4" priority="3563">
      <formula>J1544&lt;Z1544</formula>
    </cfRule>
  </conditionalFormatting>
  <conditionalFormatting sqref="J1553:J1601">
    <cfRule type="expression" dxfId="4" priority="3533">
      <formula>J1553&lt;Z1553</formula>
    </cfRule>
  </conditionalFormatting>
  <conditionalFormatting sqref="J1602:J1608">
    <cfRule type="expression" dxfId="4" priority="3519">
      <formula>J1602&lt;Z1602</formula>
    </cfRule>
  </conditionalFormatting>
  <conditionalFormatting sqref="J1609:J1615">
    <cfRule type="expression" dxfId="4" priority="3506">
      <formula>J1609&lt;Z1609</formula>
    </cfRule>
  </conditionalFormatting>
  <conditionalFormatting sqref="J1618:J1666">
    <cfRule type="expression" dxfId="4" priority="3476">
      <formula>J1618&lt;Z1618</formula>
    </cfRule>
  </conditionalFormatting>
  <conditionalFormatting sqref="J1667:J1673">
    <cfRule type="expression" dxfId="4" priority="3462">
      <formula>J1667&lt;Z1667</formula>
    </cfRule>
  </conditionalFormatting>
  <conditionalFormatting sqref="J1674:J1680">
    <cfRule type="expression" dxfId="4" priority="3449">
      <formula>J1674&lt;Z1674</formula>
    </cfRule>
  </conditionalFormatting>
  <conditionalFormatting sqref="J1683:J1731">
    <cfRule type="expression" dxfId="4" priority="3419">
      <formula>J1683&lt;Z1683</formula>
    </cfRule>
  </conditionalFormatting>
  <conditionalFormatting sqref="J1732:J1738">
    <cfRule type="expression" dxfId="4" priority="3405">
      <formula>J1732&lt;Z1732</formula>
    </cfRule>
  </conditionalFormatting>
  <conditionalFormatting sqref="J1739:J1745">
    <cfRule type="expression" dxfId="4" priority="3392">
      <formula>J1739&lt;Z1739</formula>
    </cfRule>
  </conditionalFormatting>
  <conditionalFormatting sqref="J1748:J1796">
    <cfRule type="expression" dxfId="4" priority="3362">
      <formula>J1748&lt;Z1748</formula>
    </cfRule>
  </conditionalFormatting>
  <conditionalFormatting sqref="J1797:J1803">
    <cfRule type="expression" dxfId="4" priority="3348">
      <formula>J1797&lt;Z1797</formula>
    </cfRule>
  </conditionalFormatting>
  <conditionalFormatting sqref="J1804:J1810">
    <cfRule type="expression" dxfId="4" priority="3335">
      <formula>J1804&lt;Z1804</formula>
    </cfRule>
  </conditionalFormatting>
  <conditionalFormatting sqref="J1813:J1861">
    <cfRule type="expression" dxfId="4" priority="3305">
      <formula>J1813&lt;Z1813</formula>
    </cfRule>
  </conditionalFormatting>
  <conditionalFormatting sqref="J1862:J1868">
    <cfRule type="expression" dxfId="4" priority="3291">
      <formula>J1862&lt;Z1862</formula>
    </cfRule>
  </conditionalFormatting>
  <conditionalFormatting sqref="J1869:J1875">
    <cfRule type="expression" dxfId="4" priority="3278">
      <formula>J1869&lt;Z1869</formula>
    </cfRule>
  </conditionalFormatting>
  <conditionalFormatting sqref="J1878:J1926">
    <cfRule type="expression" dxfId="4" priority="3248">
      <formula>J1878&lt;Z1878</formula>
    </cfRule>
  </conditionalFormatting>
  <conditionalFormatting sqref="J1927:J1933">
    <cfRule type="expression" dxfId="4" priority="3234">
      <formula>J1927&lt;Z1927</formula>
    </cfRule>
  </conditionalFormatting>
  <conditionalFormatting sqref="J1934:J1940">
    <cfRule type="expression" dxfId="4" priority="3221">
      <formula>J1934&lt;Z1934</formula>
    </cfRule>
  </conditionalFormatting>
  <conditionalFormatting sqref="J2008:J2056">
    <cfRule type="expression" dxfId="4" priority="3130">
      <formula>J2008&lt;Z2008</formula>
    </cfRule>
  </conditionalFormatting>
  <conditionalFormatting sqref="J2057:J2063">
    <cfRule type="expression" dxfId="4" priority="3116">
      <formula>J2057&lt;Z2057</formula>
    </cfRule>
  </conditionalFormatting>
  <conditionalFormatting sqref="J2064:J2070">
    <cfRule type="expression" dxfId="4" priority="3103">
      <formula>J2064&lt;Z2064</formula>
    </cfRule>
  </conditionalFormatting>
  <conditionalFormatting sqref="J2073:J2121">
    <cfRule type="expression" dxfId="4" priority="3073">
      <formula>J2073&lt;Z2073</formula>
    </cfRule>
  </conditionalFormatting>
  <conditionalFormatting sqref="J2122:J2128">
    <cfRule type="expression" dxfId="4" priority="3059">
      <formula>J2122&lt;Z2122</formula>
    </cfRule>
  </conditionalFormatting>
  <conditionalFormatting sqref="J2129:J2135">
    <cfRule type="expression" dxfId="4" priority="3046">
      <formula>J2129&lt;Z2129</formula>
    </cfRule>
  </conditionalFormatting>
  <conditionalFormatting sqref="J2138:J2186">
    <cfRule type="expression" dxfId="4" priority="3016">
      <formula>J2138&lt;Z2138</formula>
    </cfRule>
  </conditionalFormatting>
  <conditionalFormatting sqref="J2187:J2193">
    <cfRule type="expression" dxfId="4" priority="3002">
      <formula>J2187&lt;Z2187</formula>
    </cfRule>
  </conditionalFormatting>
  <conditionalFormatting sqref="J2194:J2200">
    <cfRule type="expression" dxfId="4" priority="2989">
      <formula>J2194&lt;Z2194</formula>
    </cfRule>
  </conditionalFormatting>
  <conditionalFormatting sqref="J2203:J2251">
    <cfRule type="expression" dxfId="4" priority="2959">
      <formula>J2203&lt;Z2203</formula>
    </cfRule>
  </conditionalFormatting>
  <conditionalFormatting sqref="J2252:J2258">
    <cfRule type="expression" dxfId="4" priority="2945">
      <formula>J2252&lt;Z2252</formula>
    </cfRule>
  </conditionalFormatting>
  <conditionalFormatting sqref="J2259:J2265">
    <cfRule type="expression" dxfId="4" priority="2932">
      <formula>J2259&lt;Z2259</formula>
    </cfRule>
  </conditionalFormatting>
  <conditionalFormatting sqref="J2268:J2316">
    <cfRule type="expression" dxfId="4" priority="2902">
      <formula>J2268&lt;Z2268</formula>
    </cfRule>
  </conditionalFormatting>
  <conditionalFormatting sqref="J2317:J2323">
    <cfRule type="expression" dxfId="4" priority="2888">
      <formula>J2317&lt;Z2317</formula>
    </cfRule>
  </conditionalFormatting>
  <conditionalFormatting sqref="J2324:J2330">
    <cfRule type="expression" dxfId="4" priority="2875">
      <formula>J2324&lt;Z2324</formula>
    </cfRule>
  </conditionalFormatting>
  <conditionalFormatting sqref="J2333:J2380">
    <cfRule type="expression" dxfId="4" priority="2845">
      <formula>J2333&lt;Z2333</formula>
    </cfRule>
  </conditionalFormatting>
  <conditionalFormatting sqref="J2382:J2387">
    <cfRule type="expression" dxfId="4" priority="2831">
      <formula>J2382&lt;Z2382</formula>
    </cfRule>
  </conditionalFormatting>
  <conditionalFormatting sqref="J2389:J2394">
    <cfRule type="expression" dxfId="4" priority="2818">
      <formula>J2389&lt;Z2389</formula>
    </cfRule>
  </conditionalFormatting>
  <conditionalFormatting sqref="J2398:J2445">
    <cfRule type="expression" dxfId="4" priority="2786">
      <formula>J2398&lt;Z2398</formula>
    </cfRule>
  </conditionalFormatting>
  <conditionalFormatting sqref="J2447:J2452">
    <cfRule type="expression" dxfId="4" priority="2772">
      <formula>J2447&lt;Z2447</formula>
    </cfRule>
  </conditionalFormatting>
  <conditionalFormatting sqref="J2454:J2459">
    <cfRule type="expression" dxfId="4" priority="2759">
      <formula>J2454&lt;Z2454</formula>
    </cfRule>
  </conditionalFormatting>
  <conditionalFormatting sqref="J2463:J2510">
    <cfRule type="expression" dxfId="4" priority="2727">
      <formula>J2463&lt;Z2463</formula>
    </cfRule>
  </conditionalFormatting>
  <conditionalFormatting sqref="J2512:J2517">
    <cfRule type="expression" dxfId="4" priority="2713">
      <formula>J2512&lt;Z2512</formula>
    </cfRule>
  </conditionalFormatting>
  <conditionalFormatting sqref="J2519:J2524">
    <cfRule type="expression" dxfId="4" priority="2700">
      <formula>J2519&lt;Z2519</formula>
    </cfRule>
  </conditionalFormatting>
  <conditionalFormatting sqref="J2528:J2575">
    <cfRule type="expression" dxfId="4" priority="2668">
      <formula>J2528&lt;Z2528</formula>
    </cfRule>
  </conditionalFormatting>
  <conditionalFormatting sqref="J2577:J2582">
    <cfRule type="expression" dxfId="4" priority="2654">
      <formula>J2577&lt;Z2577</formula>
    </cfRule>
  </conditionalFormatting>
  <conditionalFormatting sqref="J2584:J2589">
    <cfRule type="expression" dxfId="4" priority="2641">
      <formula>J2584&lt;Z2584</formula>
    </cfRule>
  </conditionalFormatting>
  <conditionalFormatting sqref="J2593:J2640">
    <cfRule type="expression" dxfId="4" priority="2609">
      <formula>J2593&lt;Z2593</formula>
    </cfRule>
  </conditionalFormatting>
  <conditionalFormatting sqref="J2642:J2647">
    <cfRule type="expression" dxfId="4" priority="2595">
      <formula>J2642&lt;Z2642</formula>
    </cfRule>
  </conditionalFormatting>
  <conditionalFormatting sqref="J2649:J2654">
    <cfRule type="expression" dxfId="4" priority="2582">
      <formula>J2649&lt;Z2649</formula>
    </cfRule>
  </conditionalFormatting>
  <conditionalFormatting sqref="J2658:J2705">
    <cfRule type="expression" dxfId="4" priority="2550">
      <formula>J2658&lt;Z2658</formula>
    </cfRule>
  </conditionalFormatting>
  <conditionalFormatting sqref="J2707:J2712">
    <cfRule type="expression" dxfId="4" priority="2536">
      <formula>J2707&lt;Z2707</formula>
    </cfRule>
  </conditionalFormatting>
  <conditionalFormatting sqref="J2714:J2719">
    <cfRule type="expression" dxfId="4" priority="2523">
      <formula>J2714&lt;Z2714</formula>
    </cfRule>
  </conditionalFormatting>
  <conditionalFormatting sqref="J2723:J2770">
    <cfRule type="expression" dxfId="4" priority="2491">
      <formula>J2723&lt;Z2723</formula>
    </cfRule>
  </conditionalFormatting>
  <conditionalFormatting sqref="J2772:J2777">
    <cfRule type="expression" dxfId="4" priority="2477">
      <formula>J2772&lt;Z2772</formula>
    </cfRule>
  </conditionalFormatting>
  <conditionalFormatting sqref="J2779:J2784">
    <cfRule type="expression" dxfId="4" priority="2464">
      <formula>J2779&lt;Z2779</formula>
    </cfRule>
  </conditionalFormatting>
  <conditionalFormatting sqref="J2788:J2835">
    <cfRule type="expression" dxfId="4" priority="2432">
      <formula>J2788&lt;Z2788</formula>
    </cfRule>
  </conditionalFormatting>
  <conditionalFormatting sqref="J2837:J2842">
    <cfRule type="expression" dxfId="4" priority="2418">
      <formula>J2837&lt;Z2837</formula>
    </cfRule>
  </conditionalFormatting>
  <conditionalFormatting sqref="J2844:J2849">
    <cfRule type="expression" dxfId="4" priority="2405">
      <formula>J2844&lt;Z2844</formula>
    </cfRule>
  </conditionalFormatting>
  <conditionalFormatting sqref="J2853:J2900">
    <cfRule type="expression" dxfId="4" priority="2373">
      <formula>J2853&lt;Z2853</formula>
    </cfRule>
  </conditionalFormatting>
  <conditionalFormatting sqref="J2902:J2907">
    <cfRule type="expression" dxfId="4" priority="2359">
      <formula>J2902&lt;Z2902</formula>
    </cfRule>
  </conditionalFormatting>
  <conditionalFormatting sqref="J2909:J2914">
    <cfRule type="expression" dxfId="4" priority="2346">
      <formula>J2909&lt;Z2909</formula>
    </cfRule>
  </conditionalFormatting>
  <conditionalFormatting sqref="J2918:J2965">
    <cfRule type="expression" dxfId="4" priority="2314">
      <formula>J2918&lt;Z2918</formula>
    </cfRule>
  </conditionalFormatting>
  <conditionalFormatting sqref="J2967:J2972">
    <cfRule type="expression" dxfId="4" priority="2300">
      <formula>J2967&lt;Z2967</formula>
    </cfRule>
  </conditionalFormatting>
  <conditionalFormatting sqref="J2974:J2979">
    <cfRule type="expression" dxfId="4" priority="2287">
      <formula>J2974&lt;Z2974</formula>
    </cfRule>
  </conditionalFormatting>
  <conditionalFormatting sqref="J2983:J3030">
    <cfRule type="expression" dxfId="4" priority="2255">
      <formula>J2983&lt;Z2983</formula>
    </cfRule>
  </conditionalFormatting>
  <conditionalFormatting sqref="J3032:J3037">
    <cfRule type="expression" dxfId="4" priority="2241">
      <formula>J3032&lt;Z3032</formula>
    </cfRule>
  </conditionalFormatting>
  <conditionalFormatting sqref="J3039:J3044">
    <cfRule type="expression" dxfId="4" priority="2228">
      <formula>J3039&lt;Z3039</formula>
    </cfRule>
  </conditionalFormatting>
  <conditionalFormatting sqref="J3048:J3095">
    <cfRule type="expression" dxfId="4" priority="2196">
      <formula>J3048&lt;Z3048</formula>
    </cfRule>
  </conditionalFormatting>
  <conditionalFormatting sqref="J3097:J3102">
    <cfRule type="expression" dxfId="4" priority="2182">
      <formula>J3097&lt;Z3097</formula>
    </cfRule>
  </conditionalFormatting>
  <conditionalFormatting sqref="J3104:J3109">
    <cfRule type="expression" dxfId="4" priority="2169">
      <formula>J3104&lt;Z3104</formula>
    </cfRule>
  </conditionalFormatting>
  <conditionalFormatting sqref="J3113:J3160">
    <cfRule type="expression" dxfId="4" priority="2137">
      <formula>J3113&lt;Z3113</formula>
    </cfRule>
  </conditionalFormatting>
  <conditionalFormatting sqref="J3162:J3167">
    <cfRule type="expression" dxfId="4" priority="2123">
      <formula>J3162&lt;Z3162</formula>
    </cfRule>
  </conditionalFormatting>
  <conditionalFormatting sqref="J3169:J3174">
    <cfRule type="expression" dxfId="4" priority="2110">
      <formula>J3169&lt;Z3169</formula>
    </cfRule>
  </conditionalFormatting>
  <conditionalFormatting sqref="J3178:J3225">
    <cfRule type="expression" dxfId="4" priority="2078">
      <formula>J3178&lt;Z3178</formula>
    </cfRule>
  </conditionalFormatting>
  <conditionalFormatting sqref="J3227:J3232">
    <cfRule type="expression" dxfId="4" priority="2064">
      <formula>J3227&lt;Z3227</formula>
    </cfRule>
  </conditionalFormatting>
  <conditionalFormatting sqref="J3234:J3239">
    <cfRule type="expression" dxfId="4" priority="2051">
      <formula>J3234&lt;Z3234</formula>
    </cfRule>
  </conditionalFormatting>
  <conditionalFormatting sqref="J3243:J3290">
    <cfRule type="expression" dxfId="4" priority="2019">
      <formula>J3243&lt;Z3243</formula>
    </cfRule>
  </conditionalFormatting>
  <conditionalFormatting sqref="J3292:J3297">
    <cfRule type="expression" dxfId="4" priority="2005">
      <formula>J3292&lt;Z3292</formula>
    </cfRule>
  </conditionalFormatting>
  <conditionalFormatting sqref="J3299:J3304">
    <cfRule type="expression" dxfId="4" priority="1992">
      <formula>J3299&lt;Z3299</formula>
    </cfRule>
  </conditionalFormatting>
  <conditionalFormatting sqref="J3308:J3355">
    <cfRule type="expression" dxfId="4" priority="1960">
      <formula>J3308&lt;Z3308</formula>
    </cfRule>
  </conditionalFormatting>
  <conditionalFormatting sqref="J3357:J3362">
    <cfRule type="expression" dxfId="4" priority="1946">
      <formula>J3357&lt;Z3357</formula>
    </cfRule>
  </conditionalFormatting>
  <conditionalFormatting sqref="J3364:J3369">
    <cfRule type="expression" dxfId="4" priority="1933">
      <formula>J3364&lt;Z3364</formula>
    </cfRule>
  </conditionalFormatting>
  <conditionalFormatting sqref="J3373:J3420">
    <cfRule type="expression" dxfId="4" priority="1901">
      <formula>J3373&lt;Z3373</formula>
    </cfRule>
  </conditionalFormatting>
  <conditionalFormatting sqref="J3422:J3427">
    <cfRule type="expression" dxfId="4" priority="1887">
      <formula>J3422&lt;Z3422</formula>
    </cfRule>
  </conditionalFormatting>
  <conditionalFormatting sqref="J3429:J3434">
    <cfRule type="expression" dxfId="4" priority="1874">
      <formula>J3429&lt;Z3429</formula>
    </cfRule>
  </conditionalFormatting>
  <conditionalFormatting sqref="J3438:J3485">
    <cfRule type="expression" dxfId="4" priority="1842">
      <formula>J3438&lt;Z3438</formula>
    </cfRule>
  </conditionalFormatting>
  <conditionalFormatting sqref="J3487:J3492">
    <cfRule type="expression" dxfId="4" priority="1828">
      <formula>J3487&lt;Z3487</formula>
    </cfRule>
  </conditionalFormatting>
  <conditionalFormatting sqref="J3494:J3499">
    <cfRule type="expression" dxfId="4" priority="1815">
      <formula>J3494&lt;Z3494</formula>
    </cfRule>
  </conditionalFormatting>
  <conditionalFormatting sqref="J3503:J3550">
    <cfRule type="expression" dxfId="4" priority="1783">
      <formula>J3503&lt;Z3503</formula>
    </cfRule>
  </conditionalFormatting>
  <conditionalFormatting sqref="J3552:J3557">
    <cfRule type="expression" dxfId="4" priority="1769">
      <formula>J3552&lt;Z3552</formula>
    </cfRule>
  </conditionalFormatting>
  <conditionalFormatting sqref="J3559:J3564">
    <cfRule type="expression" dxfId="4" priority="1756">
      <formula>J3559&lt;Z3559</formula>
    </cfRule>
  </conditionalFormatting>
  <conditionalFormatting sqref="J3568:J3615">
    <cfRule type="expression" dxfId="4" priority="1724">
      <formula>J3568&lt;Z3568</formula>
    </cfRule>
  </conditionalFormatting>
  <conditionalFormatting sqref="J3617:J3622">
    <cfRule type="expression" dxfId="4" priority="1710">
      <formula>J3617&lt;Z3617</formula>
    </cfRule>
  </conditionalFormatting>
  <conditionalFormatting sqref="J3624:J3629">
    <cfRule type="expression" dxfId="4" priority="1697">
      <formula>J3624&lt;Z3624</formula>
    </cfRule>
  </conditionalFormatting>
  <conditionalFormatting sqref="J3633:J3680">
    <cfRule type="expression" dxfId="4" priority="1665">
      <formula>J3633&lt;Z3633</formula>
    </cfRule>
  </conditionalFormatting>
  <conditionalFormatting sqref="J3682:J3687">
    <cfRule type="expression" dxfId="4" priority="1651">
      <formula>J3682&lt;Z3682</formula>
    </cfRule>
  </conditionalFormatting>
  <conditionalFormatting sqref="J3689:J3694">
    <cfRule type="expression" dxfId="4" priority="1638">
      <formula>J3689&lt;Z3689</formula>
    </cfRule>
  </conditionalFormatting>
  <conditionalFormatting sqref="J3698:J3745">
    <cfRule type="expression" dxfId="4" priority="1606">
      <formula>J3698&lt;Z3698</formula>
    </cfRule>
  </conditionalFormatting>
  <conditionalFormatting sqref="J3747:J3752">
    <cfRule type="expression" dxfId="4" priority="1592">
      <formula>J3747&lt;Z3747</formula>
    </cfRule>
  </conditionalFormatting>
  <conditionalFormatting sqref="J3754:J3759">
    <cfRule type="expression" dxfId="4" priority="1579">
      <formula>J3754&lt;Z3754</formula>
    </cfRule>
  </conditionalFormatting>
  <conditionalFormatting sqref="J3763:J3810">
    <cfRule type="expression" dxfId="4" priority="1547">
      <formula>J3763&lt;Z3763</formula>
    </cfRule>
  </conditionalFormatting>
  <conditionalFormatting sqref="J3812:J3817">
    <cfRule type="expression" dxfId="4" priority="1533">
      <formula>J3812&lt;Z3812</formula>
    </cfRule>
  </conditionalFormatting>
  <conditionalFormatting sqref="J3819:J3824">
    <cfRule type="expression" dxfId="4" priority="1520">
      <formula>J3819&lt;Z3819</formula>
    </cfRule>
  </conditionalFormatting>
  <conditionalFormatting sqref="J3828:J3875">
    <cfRule type="expression" dxfId="4" priority="1488">
      <formula>J3828&lt;Z3828</formula>
    </cfRule>
  </conditionalFormatting>
  <conditionalFormatting sqref="J3877:J3882">
    <cfRule type="expression" dxfId="4" priority="1474">
      <formula>J3877&lt;Z3877</formula>
    </cfRule>
  </conditionalFormatting>
  <conditionalFormatting sqref="J3884:J3889">
    <cfRule type="expression" dxfId="4" priority="1461">
      <formula>J3884&lt;Z3884</formula>
    </cfRule>
  </conditionalFormatting>
  <conditionalFormatting sqref="J3893:J3940">
    <cfRule type="expression" dxfId="4" priority="1429">
      <formula>J3893&lt;Z3893</formula>
    </cfRule>
  </conditionalFormatting>
  <conditionalFormatting sqref="J3942:J3947">
    <cfRule type="expression" dxfId="4" priority="1415">
      <formula>J3942&lt;Z3942</formula>
    </cfRule>
  </conditionalFormatting>
  <conditionalFormatting sqref="J3949:J3954">
    <cfRule type="expression" dxfId="4" priority="1402">
      <formula>J3949&lt;Z3949</formula>
    </cfRule>
  </conditionalFormatting>
  <conditionalFormatting sqref="J3958:J4005">
    <cfRule type="expression" dxfId="4" priority="1370">
      <formula>J3958&lt;Z3958</formula>
    </cfRule>
  </conditionalFormatting>
  <conditionalFormatting sqref="J4007:J4012">
    <cfRule type="expression" dxfId="4" priority="1356">
      <formula>J4007&lt;Z4007</formula>
    </cfRule>
  </conditionalFormatting>
  <conditionalFormatting sqref="J4014:J4019">
    <cfRule type="expression" dxfId="4" priority="1343">
      <formula>J4014&lt;Z4014</formula>
    </cfRule>
  </conditionalFormatting>
  <conditionalFormatting sqref="J4023:J4070">
    <cfRule type="expression" dxfId="4" priority="1311">
      <formula>J4023&lt;Z4023</formula>
    </cfRule>
  </conditionalFormatting>
  <conditionalFormatting sqref="J4072:J4077">
    <cfRule type="expression" dxfId="4" priority="1297">
      <formula>J4072&lt;Z4072</formula>
    </cfRule>
  </conditionalFormatting>
  <conditionalFormatting sqref="J4079:J4084">
    <cfRule type="expression" dxfId="4" priority="1284">
      <formula>J4079&lt;Z4079</formula>
    </cfRule>
  </conditionalFormatting>
  <conditionalFormatting sqref="J4088:J4135">
    <cfRule type="expression" dxfId="4" priority="1252">
      <formula>J4088&lt;Z4088</formula>
    </cfRule>
  </conditionalFormatting>
  <conditionalFormatting sqref="J4137:J4142">
    <cfRule type="expression" dxfId="4" priority="1238">
      <formula>J4137&lt;Z4137</formula>
    </cfRule>
  </conditionalFormatting>
  <conditionalFormatting sqref="J4144:J4149">
    <cfRule type="expression" dxfId="4" priority="1225">
      <formula>J4144&lt;Z4144</formula>
    </cfRule>
  </conditionalFormatting>
  <conditionalFormatting sqref="J4153:J4200">
    <cfRule type="expression" dxfId="4" priority="1193">
      <formula>J4153&lt;Z4153</formula>
    </cfRule>
  </conditionalFormatting>
  <conditionalFormatting sqref="J4202:J4207">
    <cfRule type="expression" dxfId="4" priority="1179">
      <formula>J4202&lt;Z4202</formula>
    </cfRule>
  </conditionalFormatting>
  <conditionalFormatting sqref="J4209:J4214">
    <cfRule type="expression" dxfId="4" priority="1166">
      <formula>J4209&lt;Z4209</formula>
    </cfRule>
  </conditionalFormatting>
  <conditionalFormatting sqref="J4218:J4265">
    <cfRule type="expression" dxfId="4" priority="1134">
      <formula>J4218&lt;Z4218</formula>
    </cfRule>
  </conditionalFormatting>
  <conditionalFormatting sqref="J4267:J4272">
    <cfRule type="expression" dxfId="4" priority="1120">
      <formula>J4267&lt;Z4267</formula>
    </cfRule>
  </conditionalFormatting>
  <conditionalFormatting sqref="J4274:J4279">
    <cfRule type="expression" dxfId="4" priority="1107">
      <formula>J4274&lt;Z4274</formula>
    </cfRule>
  </conditionalFormatting>
  <conditionalFormatting sqref="J4283:J4330">
    <cfRule type="expression" dxfId="4" priority="1075">
      <formula>J4283&lt;Z4283</formula>
    </cfRule>
  </conditionalFormatting>
  <conditionalFormatting sqref="J4332:J4337">
    <cfRule type="expression" dxfId="4" priority="1061">
      <formula>J4332&lt;Z4332</formula>
    </cfRule>
  </conditionalFormatting>
  <conditionalFormatting sqref="J4339:J4344">
    <cfRule type="expression" dxfId="4" priority="1048">
      <formula>J4339&lt;Z4339</formula>
    </cfRule>
  </conditionalFormatting>
  <conditionalFormatting sqref="J4348:J4395">
    <cfRule type="expression" dxfId="4" priority="1016">
      <formula>J4348&lt;Z4348</formula>
    </cfRule>
  </conditionalFormatting>
  <conditionalFormatting sqref="J4397:J4402">
    <cfRule type="expression" dxfId="4" priority="1002">
      <formula>J4397&lt;Z4397</formula>
    </cfRule>
  </conditionalFormatting>
  <conditionalFormatting sqref="J4404:J4409">
    <cfRule type="expression" dxfId="4" priority="989">
      <formula>J4404&lt;Z4404</formula>
    </cfRule>
  </conditionalFormatting>
  <conditionalFormatting sqref="J4413:J4460">
    <cfRule type="expression" dxfId="4" priority="957">
      <formula>J4413&lt;Z4413</formula>
    </cfRule>
  </conditionalFormatting>
  <conditionalFormatting sqref="J4462:J4467">
    <cfRule type="expression" dxfId="4" priority="943">
      <formula>J4462&lt;Z4462</formula>
    </cfRule>
  </conditionalFormatting>
  <conditionalFormatting sqref="J4469:J4474">
    <cfRule type="expression" dxfId="4" priority="930">
      <formula>J4469&lt;Z4469</formula>
    </cfRule>
  </conditionalFormatting>
  <conditionalFormatting sqref="J4478:J4525">
    <cfRule type="expression" dxfId="4" priority="898">
      <formula>J4478&lt;Z4478</formula>
    </cfRule>
  </conditionalFormatting>
  <conditionalFormatting sqref="J4527:J4532">
    <cfRule type="expression" dxfId="4" priority="884">
      <formula>J4527&lt;Z4527</formula>
    </cfRule>
  </conditionalFormatting>
  <conditionalFormatting sqref="J4534:J4539">
    <cfRule type="expression" dxfId="4" priority="871">
      <formula>J4534&lt;Z4534</formula>
    </cfRule>
  </conditionalFormatting>
  <conditionalFormatting sqref="J4543:J4590">
    <cfRule type="expression" dxfId="4" priority="839">
      <formula>J4543&lt;Z4543</formula>
    </cfRule>
  </conditionalFormatting>
  <conditionalFormatting sqref="J4592:J4597">
    <cfRule type="expression" dxfId="4" priority="825">
      <formula>J4592&lt;Z4592</formula>
    </cfRule>
  </conditionalFormatting>
  <conditionalFormatting sqref="J4599:J4604">
    <cfRule type="expression" dxfId="4" priority="812">
      <formula>J4599&lt;Z4599</formula>
    </cfRule>
  </conditionalFormatting>
  <conditionalFormatting sqref="J4608:J4655">
    <cfRule type="expression" dxfId="4" priority="780">
      <formula>J4608&lt;Z4608</formula>
    </cfRule>
  </conditionalFormatting>
  <conditionalFormatting sqref="J4657:J4662">
    <cfRule type="expression" dxfId="4" priority="766">
      <formula>J4657&lt;Z4657</formula>
    </cfRule>
  </conditionalFormatting>
  <conditionalFormatting sqref="J4664:J4669">
    <cfRule type="expression" dxfId="4" priority="753">
      <formula>J4664&lt;Z4664</formula>
    </cfRule>
  </conditionalFormatting>
  <conditionalFormatting sqref="J4673:J4720">
    <cfRule type="expression" dxfId="4" priority="721">
      <formula>J4673&lt;Z4673</formula>
    </cfRule>
  </conditionalFormatting>
  <conditionalFormatting sqref="J4722:J4727">
    <cfRule type="expression" dxfId="4" priority="707">
      <formula>J4722&lt;Z4722</formula>
    </cfRule>
  </conditionalFormatting>
  <conditionalFormatting sqref="J4729:J4734">
    <cfRule type="expression" dxfId="4" priority="694">
      <formula>J4729&lt;Z4729</formula>
    </cfRule>
  </conditionalFormatting>
  <conditionalFormatting sqref="J4738:J4785">
    <cfRule type="expression" dxfId="4" priority="662">
      <formula>J4738&lt;Z4738</formula>
    </cfRule>
  </conditionalFormatting>
  <conditionalFormatting sqref="J4787:J4792">
    <cfRule type="expression" dxfId="4" priority="648">
      <formula>J4787&lt;Z4787</formula>
    </cfRule>
  </conditionalFormatting>
  <conditionalFormatting sqref="J4794:J4799">
    <cfRule type="expression" dxfId="4" priority="635">
      <formula>J4794&lt;Z4794</formula>
    </cfRule>
  </conditionalFormatting>
  <conditionalFormatting sqref="J4803:J4850">
    <cfRule type="expression" dxfId="4" priority="603">
      <formula>J4803&lt;Z4803</formula>
    </cfRule>
  </conditionalFormatting>
  <conditionalFormatting sqref="J4852:J4857">
    <cfRule type="expression" dxfId="4" priority="589">
      <formula>J4852&lt;Z4852</formula>
    </cfRule>
  </conditionalFormatting>
  <conditionalFormatting sqref="J4859:J4864">
    <cfRule type="expression" dxfId="4" priority="576">
      <formula>J4859&lt;Z4859</formula>
    </cfRule>
  </conditionalFormatting>
  <conditionalFormatting sqref="J4868:J4915">
    <cfRule type="expression" dxfId="4" priority="544">
      <formula>J4868&lt;Z4868</formula>
    </cfRule>
  </conditionalFormatting>
  <conditionalFormatting sqref="J4917:J4922">
    <cfRule type="expression" dxfId="4" priority="530">
      <formula>J4917&lt;Z4917</formula>
    </cfRule>
  </conditionalFormatting>
  <conditionalFormatting sqref="J4924:J4929">
    <cfRule type="expression" dxfId="4" priority="517">
      <formula>J4924&lt;Z4924</formula>
    </cfRule>
  </conditionalFormatting>
  <conditionalFormatting sqref="J4933:J4980">
    <cfRule type="expression" dxfId="4" priority="485">
      <formula>J4933&lt;Z4933</formula>
    </cfRule>
  </conditionalFormatting>
  <conditionalFormatting sqref="J4982:J4987">
    <cfRule type="expression" dxfId="4" priority="471">
      <formula>J4982&lt;Z4982</formula>
    </cfRule>
  </conditionalFormatting>
  <conditionalFormatting sqref="J4989:J4994">
    <cfRule type="expression" dxfId="4" priority="458">
      <formula>J4989&lt;Z4989</formula>
    </cfRule>
  </conditionalFormatting>
  <conditionalFormatting sqref="J4998:J5045">
    <cfRule type="expression" dxfId="4" priority="426">
      <formula>J4998&lt;Z4998</formula>
    </cfRule>
  </conditionalFormatting>
  <conditionalFormatting sqref="J5047:J5052">
    <cfRule type="expression" dxfId="4" priority="412">
      <formula>J5047&lt;Z5047</formula>
    </cfRule>
  </conditionalFormatting>
  <conditionalFormatting sqref="J5054:J5059">
    <cfRule type="expression" dxfId="4" priority="399">
      <formula>J5054&lt;Z5054</formula>
    </cfRule>
  </conditionalFormatting>
  <conditionalFormatting sqref="J5063:J5110">
    <cfRule type="expression" dxfId="4" priority="367">
      <formula>J5063&lt;Z5063</formula>
    </cfRule>
  </conditionalFormatting>
  <conditionalFormatting sqref="J5112:J5117">
    <cfRule type="expression" dxfId="4" priority="353">
      <formula>J5112&lt;Z5112</formula>
    </cfRule>
  </conditionalFormatting>
  <conditionalFormatting sqref="J5119:J5124">
    <cfRule type="expression" dxfId="4" priority="340">
      <formula>J5119&lt;Z5119</formula>
    </cfRule>
  </conditionalFormatting>
  <conditionalFormatting sqref="K3:K51">
    <cfRule type="expression" dxfId="4" priority="4592">
      <formula>K3&lt;AA3</formula>
    </cfRule>
  </conditionalFormatting>
  <conditionalFormatting sqref="K54:K102">
    <cfRule type="expression" dxfId="4" priority="4570">
      <formula>K54&lt;AA54</formula>
    </cfRule>
  </conditionalFormatting>
  <conditionalFormatting sqref="K105:K153">
    <cfRule type="expression" dxfId="4" priority="4636">
      <formula>K105&lt;AA105</formula>
    </cfRule>
  </conditionalFormatting>
  <conditionalFormatting sqref="K156:K204">
    <cfRule type="expression" dxfId="4" priority="4614">
      <formula>K156&lt;AA156</formula>
    </cfRule>
  </conditionalFormatting>
  <conditionalFormatting sqref="K207:K255">
    <cfRule type="expression" dxfId="4" priority="4548">
      <formula>K207&lt;AA207</formula>
    </cfRule>
  </conditionalFormatting>
  <conditionalFormatting sqref="K258:K306">
    <cfRule type="expression" dxfId="4" priority="4526">
      <formula>K258&lt;AA258</formula>
    </cfRule>
  </conditionalFormatting>
  <conditionalFormatting sqref="K309:K357">
    <cfRule type="expression" dxfId="4" priority="4504">
      <formula>K309&lt;AA309</formula>
    </cfRule>
  </conditionalFormatting>
  <conditionalFormatting sqref="K360:K408">
    <cfRule type="expression" dxfId="4" priority="4482">
      <formula>K360&lt;AA360</formula>
    </cfRule>
  </conditionalFormatting>
  <conditionalFormatting sqref="K411:K459">
    <cfRule type="expression" dxfId="4" priority="4460">
      <formula>K411&lt;AA411</formula>
    </cfRule>
  </conditionalFormatting>
  <conditionalFormatting sqref="K462:K510">
    <cfRule type="expression" dxfId="4" priority="4438">
      <formula>K462&lt;AA462</formula>
    </cfRule>
  </conditionalFormatting>
  <conditionalFormatting sqref="K513:K561">
    <cfRule type="expression" dxfId="4" priority="4416">
      <formula>K513&lt;AA513</formula>
    </cfRule>
  </conditionalFormatting>
  <conditionalFormatting sqref="K562:K568">
    <cfRule type="expression" dxfId="4" priority="4394">
      <formula>K562&lt;AA562</formula>
    </cfRule>
  </conditionalFormatting>
  <conditionalFormatting sqref="K569:K575">
    <cfRule type="expression" dxfId="4" priority="4380">
      <formula>K569&lt;AA569</formula>
    </cfRule>
  </conditionalFormatting>
  <conditionalFormatting sqref="K578:K626">
    <cfRule type="expression" dxfId="4" priority="4366">
      <formula>K578&lt;AA578</formula>
    </cfRule>
  </conditionalFormatting>
  <conditionalFormatting sqref="K627:K633">
    <cfRule type="expression" dxfId="4" priority="4344">
      <formula>K627&lt;AA627</formula>
    </cfRule>
  </conditionalFormatting>
  <conditionalFormatting sqref="K634:K640">
    <cfRule type="expression" dxfId="4" priority="4330">
      <formula>K634&lt;AA634</formula>
    </cfRule>
  </conditionalFormatting>
  <conditionalFormatting sqref="K643:K691">
    <cfRule type="expression" dxfId="4" priority="4316">
      <formula>K643&lt;AA643</formula>
    </cfRule>
  </conditionalFormatting>
  <conditionalFormatting sqref="K692:K698">
    <cfRule type="expression" dxfId="4" priority="4294">
      <formula>K692&lt;AA692</formula>
    </cfRule>
  </conditionalFormatting>
  <conditionalFormatting sqref="K699:K705">
    <cfRule type="expression" dxfId="4" priority="4280">
      <formula>K699&lt;AA699</formula>
    </cfRule>
  </conditionalFormatting>
  <conditionalFormatting sqref="K708:K756">
    <cfRule type="expression" dxfId="4" priority="4266">
      <formula>K708&lt;AA708</formula>
    </cfRule>
  </conditionalFormatting>
  <conditionalFormatting sqref="K757:K763">
    <cfRule type="expression" dxfId="4" priority="4244">
      <formula>K757&lt;AA757</formula>
    </cfRule>
  </conditionalFormatting>
  <conditionalFormatting sqref="K764:K770">
    <cfRule type="expression" dxfId="4" priority="4230">
      <formula>K764&lt;AA764</formula>
    </cfRule>
  </conditionalFormatting>
  <conditionalFormatting sqref="K773:K821">
    <cfRule type="expression" dxfId="4" priority="4216">
      <formula>K773&lt;AA773</formula>
    </cfRule>
  </conditionalFormatting>
  <conditionalFormatting sqref="K822:K828">
    <cfRule type="expression" dxfId="4" priority="4202">
      <formula>K822&lt;AA822</formula>
    </cfRule>
  </conditionalFormatting>
  <conditionalFormatting sqref="K829:K835">
    <cfRule type="expression" dxfId="4" priority="4189">
      <formula>K829&lt;AA829</formula>
    </cfRule>
  </conditionalFormatting>
  <conditionalFormatting sqref="K838:K886">
    <cfRule type="expression" dxfId="4" priority="4159">
      <formula>K838&lt;AA838</formula>
    </cfRule>
  </conditionalFormatting>
  <conditionalFormatting sqref="K887:K893">
    <cfRule type="expression" dxfId="4" priority="4145">
      <formula>K887&lt;AA887</formula>
    </cfRule>
  </conditionalFormatting>
  <conditionalFormatting sqref="K894:K900">
    <cfRule type="expression" dxfId="4" priority="4132">
      <formula>K894&lt;AA894</formula>
    </cfRule>
  </conditionalFormatting>
  <conditionalFormatting sqref="K903:K951">
    <cfRule type="expression" dxfId="4" priority="4102">
      <formula>K903&lt;AA903</formula>
    </cfRule>
  </conditionalFormatting>
  <conditionalFormatting sqref="K952:K958">
    <cfRule type="expression" dxfId="4" priority="4088">
      <formula>K952&lt;AA952</formula>
    </cfRule>
  </conditionalFormatting>
  <conditionalFormatting sqref="K959:K965">
    <cfRule type="expression" dxfId="4" priority="4075">
      <formula>K959&lt;AA959</formula>
    </cfRule>
  </conditionalFormatting>
  <conditionalFormatting sqref="K968:K1016">
    <cfRule type="expression" dxfId="4" priority="4045">
      <formula>K968&lt;AA968</formula>
    </cfRule>
  </conditionalFormatting>
  <conditionalFormatting sqref="K1017:K1023">
    <cfRule type="expression" dxfId="4" priority="4031">
      <formula>K1017&lt;AA1017</formula>
    </cfRule>
  </conditionalFormatting>
  <conditionalFormatting sqref="K1024:K1030">
    <cfRule type="expression" dxfId="4" priority="4018">
      <formula>K1024&lt;AA1024</formula>
    </cfRule>
  </conditionalFormatting>
  <conditionalFormatting sqref="K1033:K1081">
    <cfRule type="expression" dxfId="4" priority="3988">
      <formula>K1033&lt;AA1033</formula>
    </cfRule>
  </conditionalFormatting>
  <conditionalFormatting sqref="K1082:K1088">
    <cfRule type="expression" dxfId="4" priority="3974">
      <formula>K1082&lt;AA1082</formula>
    </cfRule>
  </conditionalFormatting>
  <conditionalFormatting sqref="K1089:K1095">
    <cfRule type="expression" dxfId="4" priority="3961">
      <formula>K1089&lt;AA1089</formula>
    </cfRule>
  </conditionalFormatting>
  <conditionalFormatting sqref="K1098:K1146">
    <cfRule type="expression" dxfId="4" priority="3931">
      <formula>K1098&lt;AA1098</formula>
    </cfRule>
  </conditionalFormatting>
  <conditionalFormatting sqref="K1147:K1153">
    <cfRule type="expression" dxfId="4" priority="3917">
      <formula>K1147&lt;AA1147</formula>
    </cfRule>
  </conditionalFormatting>
  <conditionalFormatting sqref="K1154:K1160">
    <cfRule type="expression" dxfId="4" priority="3904">
      <formula>K1154&lt;AA1154</formula>
    </cfRule>
  </conditionalFormatting>
  <conditionalFormatting sqref="K1163:K1211">
    <cfRule type="expression" dxfId="4" priority="3874">
      <formula>K1163&lt;AA1163</formula>
    </cfRule>
  </conditionalFormatting>
  <conditionalFormatting sqref="K1212:K1218">
    <cfRule type="expression" dxfId="4" priority="3860">
      <formula>K1212&lt;AA1212</formula>
    </cfRule>
  </conditionalFormatting>
  <conditionalFormatting sqref="K1219:K1225">
    <cfRule type="expression" dxfId="4" priority="3847">
      <formula>K1219&lt;AA1219</formula>
    </cfRule>
  </conditionalFormatting>
  <conditionalFormatting sqref="K1228:K1276">
    <cfRule type="expression" dxfId="4" priority="3817">
      <formula>K1228&lt;AA1228</formula>
    </cfRule>
  </conditionalFormatting>
  <conditionalFormatting sqref="K1277:K1283">
    <cfRule type="expression" dxfId="4" priority="3803">
      <formula>K1277&lt;AA1277</formula>
    </cfRule>
  </conditionalFormatting>
  <conditionalFormatting sqref="K1284:K1290">
    <cfRule type="expression" dxfId="4" priority="3790">
      <formula>K1284&lt;AA1284</formula>
    </cfRule>
  </conditionalFormatting>
  <conditionalFormatting sqref="K1293:K1341">
    <cfRule type="expression" dxfId="4" priority="3760">
      <formula>K1293&lt;AA1293</formula>
    </cfRule>
  </conditionalFormatting>
  <conditionalFormatting sqref="K1342:K1348">
    <cfRule type="expression" dxfId="4" priority="3746">
      <formula>K1342&lt;AA1342</formula>
    </cfRule>
  </conditionalFormatting>
  <conditionalFormatting sqref="K1349:K1355">
    <cfRule type="expression" dxfId="4" priority="3733">
      <formula>K1349&lt;AA1349</formula>
    </cfRule>
  </conditionalFormatting>
  <conditionalFormatting sqref="K1358:K1406">
    <cfRule type="expression" dxfId="4" priority="3703">
      <formula>K1358&lt;AA1358</formula>
    </cfRule>
  </conditionalFormatting>
  <conditionalFormatting sqref="K1407:K1413">
    <cfRule type="expression" dxfId="4" priority="3689">
      <formula>K1407&lt;AA1407</formula>
    </cfRule>
  </conditionalFormatting>
  <conditionalFormatting sqref="K1414:K1420">
    <cfRule type="expression" dxfId="4" priority="3676">
      <formula>K1414&lt;AA1414</formula>
    </cfRule>
  </conditionalFormatting>
  <conditionalFormatting sqref="K1423:K1471">
    <cfRule type="expression" dxfId="4" priority="3646">
      <formula>K1423&lt;AA1423</formula>
    </cfRule>
  </conditionalFormatting>
  <conditionalFormatting sqref="K1472:K1478">
    <cfRule type="expression" dxfId="4" priority="3632">
      <formula>K1472&lt;AA1472</formula>
    </cfRule>
  </conditionalFormatting>
  <conditionalFormatting sqref="K1479:K1485">
    <cfRule type="expression" dxfId="4" priority="3619">
      <formula>K1479&lt;AA1479</formula>
    </cfRule>
  </conditionalFormatting>
  <conditionalFormatting sqref="K1488:K1536">
    <cfRule type="expression" dxfId="4" priority="3589">
      <formula>K1488&lt;AA1488</formula>
    </cfRule>
  </conditionalFormatting>
  <conditionalFormatting sqref="K1537:K1543">
    <cfRule type="expression" dxfId="4" priority="3575">
      <formula>K1537&lt;AA1537</formula>
    </cfRule>
  </conditionalFormatting>
  <conditionalFormatting sqref="K1544:K1550">
    <cfRule type="expression" dxfId="4" priority="3562">
      <formula>K1544&lt;AA1544</formula>
    </cfRule>
  </conditionalFormatting>
  <conditionalFormatting sqref="K1553:K1601">
    <cfRule type="expression" dxfId="4" priority="3532">
      <formula>K1553&lt;AA1553</formula>
    </cfRule>
  </conditionalFormatting>
  <conditionalFormatting sqref="K1602:K1608">
    <cfRule type="expression" dxfId="4" priority="3518">
      <formula>K1602&lt;AA1602</formula>
    </cfRule>
  </conditionalFormatting>
  <conditionalFormatting sqref="K1609:K1615">
    <cfRule type="expression" dxfId="4" priority="3505">
      <formula>K1609&lt;AA1609</formula>
    </cfRule>
  </conditionalFormatting>
  <conditionalFormatting sqref="K1618:K1666">
    <cfRule type="expression" dxfId="4" priority="3475">
      <formula>K1618&lt;AA1618</formula>
    </cfRule>
  </conditionalFormatting>
  <conditionalFormatting sqref="K1667:K1673">
    <cfRule type="expression" dxfId="4" priority="3461">
      <formula>K1667&lt;AA1667</formula>
    </cfRule>
  </conditionalFormatting>
  <conditionalFormatting sqref="K1674:K1680">
    <cfRule type="expression" dxfId="4" priority="3448">
      <formula>K1674&lt;AA1674</formula>
    </cfRule>
  </conditionalFormatting>
  <conditionalFormatting sqref="K1683:K1731">
    <cfRule type="expression" dxfId="4" priority="3418">
      <formula>K1683&lt;AA1683</formula>
    </cfRule>
  </conditionalFormatting>
  <conditionalFormatting sqref="K1732:K1738">
    <cfRule type="expression" dxfId="4" priority="3404">
      <formula>K1732&lt;AA1732</formula>
    </cfRule>
  </conditionalFormatting>
  <conditionalFormatting sqref="K1739:K1745">
    <cfRule type="expression" dxfId="4" priority="3391">
      <formula>K1739&lt;AA1739</formula>
    </cfRule>
  </conditionalFormatting>
  <conditionalFormatting sqref="K1748:K1796">
    <cfRule type="expression" dxfId="4" priority="3361">
      <formula>K1748&lt;AA1748</formula>
    </cfRule>
  </conditionalFormatting>
  <conditionalFormatting sqref="K1797:K1803">
    <cfRule type="expression" dxfId="4" priority="3347">
      <formula>K1797&lt;AA1797</formula>
    </cfRule>
  </conditionalFormatting>
  <conditionalFormatting sqref="K1804:K1810">
    <cfRule type="expression" dxfId="4" priority="3334">
      <formula>K1804&lt;AA1804</formula>
    </cfRule>
  </conditionalFormatting>
  <conditionalFormatting sqref="K1813:K1861">
    <cfRule type="expression" dxfId="4" priority="3304">
      <formula>K1813&lt;AA1813</formula>
    </cfRule>
  </conditionalFormatting>
  <conditionalFormatting sqref="K1862:K1868">
    <cfRule type="expression" dxfId="4" priority="3290">
      <formula>K1862&lt;AA1862</formula>
    </cfRule>
  </conditionalFormatting>
  <conditionalFormatting sqref="K1869:K1875">
    <cfRule type="expression" dxfId="4" priority="3277">
      <formula>K1869&lt;AA1869</formula>
    </cfRule>
  </conditionalFormatting>
  <conditionalFormatting sqref="K1878:K1926">
    <cfRule type="expression" dxfId="4" priority="3247">
      <formula>K1878&lt;AA1878</formula>
    </cfRule>
  </conditionalFormatting>
  <conditionalFormatting sqref="K1927:K1933">
    <cfRule type="expression" dxfId="4" priority="3233">
      <formula>K1927&lt;AA1927</formula>
    </cfRule>
  </conditionalFormatting>
  <conditionalFormatting sqref="K1934:K1940">
    <cfRule type="expression" dxfId="4" priority="3220">
      <formula>K1934&lt;AA1934</formula>
    </cfRule>
  </conditionalFormatting>
  <conditionalFormatting sqref="K2008:K2056">
    <cfRule type="expression" dxfId="4" priority="3129">
      <formula>K2008&lt;AA2008</formula>
    </cfRule>
  </conditionalFormatting>
  <conditionalFormatting sqref="K2057:K2063">
    <cfRule type="expression" dxfId="4" priority="3115">
      <formula>K2057&lt;AA2057</formula>
    </cfRule>
  </conditionalFormatting>
  <conditionalFormatting sqref="K2064:K2070">
    <cfRule type="expression" dxfId="4" priority="3102">
      <formula>K2064&lt;AA2064</formula>
    </cfRule>
  </conditionalFormatting>
  <conditionalFormatting sqref="K2073:K2121">
    <cfRule type="expression" dxfId="4" priority="3072">
      <formula>K2073&lt;AA2073</formula>
    </cfRule>
  </conditionalFormatting>
  <conditionalFormatting sqref="K2122:K2128">
    <cfRule type="expression" dxfId="4" priority="3058">
      <formula>K2122&lt;AA2122</formula>
    </cfRule>
  </conditionalFormatting>
  <conditionalFormatting sqref="K2129:K2135">
    <cfRule type="expression" dxfId="4" priority="3045">
      <formula>K2129&lt;AA2129</formula>
    </cfRule>
  </conditionalFormatting>
  <conditionalFormatting sqref="K2138:K2186">
    <cfRule type="expression" dxfId="4" priority="3015">
      <formula>K2138&lt;AA2138</formula>
    </cfRule>
  </conditionalFormatting>
  <conditionalFormatting sqref="K2187:K2193">
    <cfRule type="expression" dxfId="4" priority="3001">
      <formula>K2187&lt;AA2187</formula>
    </cfRule>
  </conditionalFormatting>
  <conditionalFormatting sqref="K2194:K2200">
    <cfRule type="expression" dxfId="4" priority="2988">
      <formula>K2194&lt;AA2194</formula>
    </cfRule>
  </conditionalFormatting>
  <conditionalFormatting sqref="K2203:K2251">
    <cfRule type="expression" dxfId="4" priority="2958">
      <formula>K2203&lt;AA2203</formula>
    </cfRule>
  </conditionalFormatting>
  <conditionalFormatting sqref="K2252:K2258">
    <cfRule type="expression" dxfId="4" priority="2944">
      <formula>K2252&lt;AA2252</formula>
    </cfRule>
  </conditionalFormatting>
  <conditionalFormatting sqref="K2259:K2265">
    <cfRule type="expression" dxfId="4" priority="2931">
      <formula>K2259&lt;AA2259</formula>
    </cfRule>
  </conditionalFormatting>
  <conditionalFormatting sqref="K2268:K2316">
    <cfRule type="expression" dxfId="4" priority="2901">
      <formula>K2268&lt;AA2268</formula>
    </cfRule>
  </conditionalFormatting>
  <conditionalFormatting sqref="K2317:K2323">
    <cfRule type="expression" dxfId="4" priority="2887">
      <formula>K2317&lt;AA2317</formula>
    </cfRule>
  </conditionalFormatting>
  <conditionalFormatting sqref="K2324:K2330">
    <cfRule type="expression" dxfId="4" priority="2874">
      <formula>K2324&lt;AA2324</formula>
    </cfRule>
  </conditionalFormatting>
  <conditionalFormatting sqref="K2333:K2380">
    <cfRule type="expression" dxfId="4" priority="2844">
      <formula>K2333&lt;AA2333</formula>
    </cfRule>
  </conditionalFormatting>
  <conditionalFormatting sqref="K2382:K2387">
    <cfRule type="expression" dxfId="4" priority="2830">
      <formula>K2382&lt;AA2382</formula>
    </cfRule>
  </conditionalFormatting>
  <conditionalFormatting sqref="K2389:K2394">
    <cfRule type="expression" dxfId="4" priority="2817">
      <formula>K2389&lt;AA2389</formula>
    </cfRule>
  </conditionalFormatting>
  <conditionalFormatting sqref="K2398:K2445">
    <cfRule type="expression" dxfId="4" priority="2785">
      <formula>K2398&lt;AA2398</formula>
    </cfRule>
  </conditionalFormatting>
  <conditionalFormatting sqref="K2447:K2452">
    <cfRule type="expression" dxfId="4" priority="2771">
      <formula>K2447&lt;AA2447</formula>
    </cfRule>
  </conditionalFormatting>
  <conditionalFormatting sqref="K2454:K2459">
    <cfRule type="expression" dxfId="4" priority="2758">
      <formula>K2454&lt;AA2454</formula>
    </cfRule>
  </conditionalFormatting>
  <conditionalFormatting sqref="K2463:K2510">
    <cfRule type="expression" dxfId="4" priority="2726">
      <formula>K2463&lt;AA2463</formula>
    </cfRule>
  </conditionalFormatting>
  <conditionalFormatting sqref="K2512:K2517">
    <cfRule type="expression" dxfId="4" priority="2712">
      <formula>K2512&lt;AA2512</formula>
    </cfRule>
  </conditionalFormatting>
  <conditionalFormatting sqref="K2519:K2524">
    <cfRule type="expression" dxfId="4" priority="2699">
      <formula>K2519&lt;AA2519</formula>
    </cfRule>
  </conditionalFormatting>
  <conditionalFormatting sqref="K2528:K2575">
    <cfRule type="expression" dxfId="4" priority="2667">
      <formula>K2528&lt;AA2528</formula>
    </cfRule>
  </conditionalFormatting>
  <conditionalFormatting sqref="K2577:K2582">
    <cfRule type="expression" dxfId="4" priority="2653">
      <formula>K2577&lt;AA2577</formula>
    </cfRule>
  </conditionalFormatting>
  <conditionalFormatting sqref="K2584:K2589">
    <cfRule type="expression" dxfId="4" priority="2640">
      <formula>K2584&lt;AA2584</formula>
    </cfRule>
  </conditionalFormatting>
  <conditionalFormatting sqref="K2593:K2640">
    <cfRule type="expression" dxfId="4" priority="2608">
      <formula>K2593&lt;AA2593</formula>
    </cfRule>
  </conditionalFormatting>
  <conditionalFormatting sqref="K2642:K2647">
    <cfRule type="expression" dxfId="4" priority="2594">
      <formula>K2642&lt;AA2642</formula>
    </cfRule>
  </conditionalFormatting>
  <conditionalFormatting sqref="K2649:K2654">
    <cfRule type="expression" dxfId="4" priority="2581">
      <formula>K2649&lt;AA2649</formula>
    </cfRule>
  </conditionalFormatting>
  <conditionalFormatting sqref="K2658:K2705">
    <cfRule type="expression" dxfId="4" priority="2549">
      <formula>K2658&lt;AA2658</formula>
    </cfRule>
  </conditionalFormatting>
  <conditionalFormatting sqref="K2707:K2712">
    <cfRule type="expression" dxfId="4" priority="2535">
      <formula>K2707&lt;AA2707</formula>
    </cfRule>
  </conditionalFormatting>
  <conditionalFormatting sqref="K2714:K2719">
    <cfRule type="expression" dxfId="4" priority="2522">
      <formula>K2714&lt;AA2714</formula>
    </cfRule>
  </conditionalFormatting>
  <conditionalFormatting sqref="K2723:K2770">
    <cfRule type="expression" dxfId="4" priority="2490">
      <formula>K2723&lt;AA2723</formula>
    </cfRule>
  </conditionalFormatting>
  <conditionalFormatting sqref="K2772:K2777">
    <cfRule type="expression" dxfId="4" priority="2476">
      <formula>K2772&lt;AA2772</formula>
    </cfRule>
  </conditionalFormatting>
  <conditionalFormatting sqref="K2779:K2784">
    <cfRule type="expression" dxfId="4" priority="2463">
      <formula>K2779&lt;AA2779</formula>
    </cfRule>
  </conditionalFormatting>
  <conditionalFormatting sqref="K2788:K2835">
    <cfRule type="expression" dxfId="4" priority="2431">
      <formula>K2788&lt;AA2788</formula>
    </cfRule>
  </conditionalFormatting>
  <conditionalFormatting sqref="K2837:K2842">
    <cfRule type="expression" dxfId="4" priority="2417">
      <formula>K2837&lt;AA2837</formula>
    </cfRule>
  </conditionalFormatting>
  <conditionalFormatting sqref="K2844:K2849">
    <cfRule type="expression" dxfId="4" priority="2404">
      <formula>K2844&lt;AA2844</formula>
    </cfRule>
  </conditionalFormatting>
  <conditionalFormatting sqref="K2853:K2900">
    <cfRule type="expression" dxfId="4" priority="2372">
      <formula>K2853&lt;AA2853</formula>
    </cfRule>
  </conditionalFormatting>
  <conditionalFormatting sqref="K2902:K2907">
    <cfRule type="expression" dxfId="4" priority="2358">
      <formula>K2902&lt;AA2902</formula>
    </cfRule>
  </conditionalFormatting>
  <conditionalFormatting sqref="K2909:K2914">
    <cfRule type="expression" dxfId="4" priority="2345">
      <formula>K2909&lt;AA2909</formula>
    </cfRule>
  </conditionalFormatting>
  <conditionalFormatting sqref="K2918:K2965">
    <cfRule type="expression" dxfId="4" priority="2313">
      <formula>K2918&lt;AA2918</formula>
    </cfRule>
  </conditionalFormatting>
  <conditionalFormatting sqref="K2967:K2972">
    <cfRule type="expression" dxfId="4" priority="2299">
      <formula>K2967&lt;AA2967</formula>
    </cfRule>
  </conditionalFormatting>
  <conditionalFormatting sqref="K2974:K2979">
    <cfRule type="expression" dxfId="4" priority="2286">
      <formula>K2974&lt;AA2974</formula>
    </cfRule>
  </conditionalFormatting>
  <conditionalFormatting sqref="K2983:K3030">
    <cfRule type="expression" dxfId="4" priority="2254">
      <formula>K2983&lt;AA2983</formula>
    </cfRule>
  </conditionalFormatting>
  <conditionalFormatting sqref="K3032:K3037">
    <cfRule type="expression" dxfId="4" priority="2240">
      <formula>K3032&lt;AA3032</formula>
    </cfRule>
  </conditionalFormatting>
  <conditionalFormatting sqref="K3039:K3044">
    <cfRule type="expression" dxfId="4" priority="2227">
      <formula>K3039&lt;AA3039</formula>
    </cfRule>
  </conditionalFormatting>
  <conditionalFormatting sqref="K3048:K3095">
    <cfRule type="expression" dxfId="4" priority="2195">
      <formula>K3048&lt;AA3048</formula>
    </cfRule>
  </conditionalFormatting>
  <conditionalFormatting sqref="K3097:K3102">
    <cfRule type="expression" dxfId="4" priority="2181">
      <formula>K3097&lt;AA3097</formula>
    </cfRule>
  </conditionalFormatting>
  <conditionalFormatting sqref="K3104:K3109">
    <cfRule type="expression" dxfId="4" priority="2168">
      <formula>K3104&lt;AA3104</formula>
    </cfRule>
  </conditionalFormatting>
  <conditionalFormatting sqref="K3113:K3160">
    <cfRule type="expression" dxfId="4" priority="2136">
      <formula>K3113&lt;AA3113</formula>
    </cfRule>
  </conditionalFormatting>
  <conditionalFormatting sqref="K3162:K3167">
    <cfRule type="expression" dxfId="4" priority="2122">
      <formula>K3162&lt;AA3162</formula>
    </cfRule>
  </conditionalFormatting>
  <conditionalFormatting sqref="K3169:K3174">
    <cfRule type="expression" dxfId="4" priority="2109">
      <formula>K3169&lt;AA3169</formula>
    </cfRule>
  </conditionalFormatting>
  <conditionalFormatting sqref="K3178:K3225">
    <cfRule type="expression" dxfId="4" priority="2077">
      <formula>K3178&lt;AA3178</formula>
    </cfRule>
  </conditionalFormatting>
  <conditionalFormatting sqref="K3227:K3232">
    <cfRule type="expression" dxfId="4" priority="2063">
      <formula>K3227&lt;AA3227</formula>
    </cfRule>
  </conditionalFormatting>
  <conditionalFormatting sqref="K3234:K3239">
    <cfRule type="expression" dxfId="4" priority="2050">
      <formula>K3234&lt;AA3234</formula>
    </cfRule>
  </conditionalFormatting>
  <conditionalFormatting sqref="K3243:K3290">
    <cfRule type="expression" dxfId="4" priority="2018">
      <formula>K3243&lt;AA3243</formula>
    </cfRule>
  </conditionalFormatting>
  <conditionalFormatting sqref="K3292:K3297">
    <cfRule type="expression" dxfId="4" priority="2004">
      <formula>K3292&lt;AA3292</formula>
    </cfRule>
  </conditionalFormatting>
  <conditionalFormatting sqref="K3299:K3304">
    <cfRule type="expression" dxfId="4" priority="1991">
      <formula>K3299&lt;AA3299</formula>
    </cfRule>
  </conditionalFormatting>
  <conditionalFormatting sqref="K3308:K3355">
    <cfRule type="expression" dxfId="4" priority="1959">
      <formula>K3308&lt;AA3308</formula>
    </cfRule>
  </conditionalFormatting>
  <conditionalFormatting sqref="K3357:K3362">
    <cfRule type="expression" dxfId="4" priority="1945">
      <formula>K3357&lt;AA3357</formula>
    </cfRule>
  </conditionalFormatting>
  <conditionalFormatting sqref="K3364:K3369">
    <cfRule type="expression" dxfId="4" priority="1932">
      <formula>K3364&lt;AA3364</formula>
    </cfRule>
  </conditionalFormatting>
  <conditionalFormatting sqref="K3373:K3420">
    <cfRule type="expression" dxfId="4" priority="1900">
      <formula>K3373&lt;AA3373</formula>
    </cfRule>
  </conditionalFormatting>
  <conditionalFormatting sqref="K3422:K3427">
    <cfRule type="expression" dxfId="4" priority="1886">
      <formula>K3422&lt;AA3422</formula>
    </cfRule>
  </conditionalFormatting>
  <conditionalFormatting sqref="K3429:K3434">
    <cfRule type="expression" dxfId="4" priority="1873">
      <formula>K3429&lt;AA3429</formula>
    </cfRule>
  </conditionalFormatting>
  <conditionalFormatting sqref="K3438:K3485">
    <cfRule type="expression" dxfId="4" priority="1841">
      <formula>K3438&lt;AA3438</formula>
    </cfRule>
  </conditionalFormatting>
  <conditionalFormatting sqref="K3487:K3492">
    <cfRule type="expression" dxfId="4" priority="1827">
      <formula>K3487&lt;AA3487</formula>
    </cfRule>
  </conditionalFormatting>
  <conditionalFormatting sqref="K3494:K3499">
    <cfRule type="expression" dxfId="4" priority="1814">
      <formula>K3494&lt;AA3494</formula>
    </cfRule>
  </conditionalFormatting>
  <conditionalFormatting sqref="K3503:K3550">
    <cfRule type="expression" dxfId="4" priority="1782">
      <formula>K3503&lt;AA3503</formula>
    </cfRule>
  </conditionalFormatting>
  <conditionalFormatting sqref="K3552:K3557">
    <cfRule type="expression" dxfId="4" priority="1768">
      <formula>K3552&lt;AA3552</formula>
    </cfRule>
  </conditionalFormatting>
  <conditionalFormatting sqref="K3559:K3564">
    <cfRule type="expression" dxfId="4" priority="1755">
      <formula>K3559&lt;AA3559</formula>
    </cfRule>
  </conditionalFormatting>
  <conditionalFormatting sqref="K3568:K3615">
    <cfRule type="expression" dxfId="4" priority="1723">
      <formula>K3568&lt;AA3568</formula>
    </cfRule>
  </conditionalFormatting>
  <conditionalFormatting sqref="K3617:K3622">
    <cfRule type="expression" dxfId="4" priority="1709">
      <formula>K3617&lt;AA3617</formula>
    </cfRule>
  </conditionalFormatting>
  <conditionalFormatting sqref="K3624:K3629">
    <cfRule type="expression" dxfId="4" priority="1696">
      <formula>K3624&lt;AA3624</formula>
    </cfRule>
  </conditionalFormatting>
  <conditionalFormatting sqref="K3633:K3680">
    <cfRule type="expression" dxfId="4" priority="1664">
      <formula>K3633&lt;AA3633</formula>
    </cfRule>
  </conditionalFormatting>
  <conditionalFormatting sqref="K3682:K3687">
    <cfRule type="expression" dxfId="4" priority="1650">
      <formula>K3682&lt;AA3682</formula>
    </cfRule>
  </conditionalFormatting>
  <conditionalFormatting sqref="K3689:K3694">
    <cfRule type="expression" dxfId="4" priority="1637">
      <formula>K3689&lt;AA3689</formula>
    </cfRule>
  </conditionalFormatting>
  <conditionalFormatting sqref="K3698:K3745">
    <cfRule type="expression" dxfId="4" priority="1605">
      <formula>K3698&lt;AA3698</formula>
    </cfRule>
  </conditionalFormatting>
  <conditionalFormatting sqref="K3747:K3752">
    <cfRule type="expression" dxfId="4" priority="1591">
      <formula>K3747&lt;AA3747</formula>
    </cfRule>
  </conditionalFormatting>
  <conditionalFormatting sqref="K3754:K3759">
    <cfRule type="expression" dxfId="4" priority="1578">
      <formula>K3754&lt;AA3754</formula>
    </cfRule>
  </conditionalFormatting>
  <conditionalFormatting sqref="K3763:K3810">
    <cfRule type="expression" dxfId="4" priority="1546">
      <formula>K3763&lt;AA3763</formula>
    </cfRule>
  </conditionalFormatting>
  <conditionalFormatting sqref="K3812:K3817">
    <cfRule type="expression" dxfId="4" priority="1532">
      <formula>K3812&lt;AA3812</formula>
    </cfRule>
  </conditionalFormatting>
  <conditionalFormatting sqref="K3819:K3824">
    <cfRule type="expression" dxfId="4" priority="1519">
      <formula>K3819&lt;AA3819</formula>
    </cfRule>
  </conditionalFormatting>
  <conditionalFormatting sqref="K3828:K3875">
    <cfRule type="expression" dxfId="4" priority="1487">
      <formula>K3828&lt;AA3828</formula>
    </cfRule>
  </conditionalFormatting>
  <conditionalFormatting sqref="K3877:K3882">
    <cfRule type="expression" dxfId="4" priority="1473">
      <formula>K3877&lt;AA3877</formula>
    </cfRule>
  </conditionalFormatting>
  <conditionalFormatting sqref="K3884:K3889">
    <cfRule type="expression" dxfId="4" priority="1460">
      <formula>K3884&lt;AA3884</formula>
    </cfRule>
  </conditionalFormatting>
  <conditionalFormatting sqref="K3893:K3940">
    <cfRule type="expression" dxfId="4" priority="1428">
      <formula>K3893&lt;AA3893</formula>
    </cfRule>
  </conditionalFormatting>
  <conditionalFormatting sqref="K3942:K3947">
    <cfRule type="expression" dxfId="4" priority="1414">
      <formula>K3942&lt;AA3942</formula>
    </cfRule>
  </conditionalFormatting>
  <conditionalFormatting sqref="K3949:K3954">
    <cfRule type="expression" dxfId="4" priority="1401">
      <formula>K3949&lt;AA3949</formula>
    </cfRule>
  </conditionalFormatting>
  <conditionalFormatting sqref="K3958:K4005">
    <cfRule type="expression" dxfId="4" priority="1369">
      <formula>K3958&lt;AA3958</formula>
    </cfRule>
  </conditionalFormatting>
  <conditionalFormatting sqref="K4007:K4012">
    <cfRule type="expression" dxfId="4" priority="1355">
      <formula>K4007&lt;AA4007</formula>
    </cfRule>
  </conditionalFormatting>
  <conditionalFormatting sqref="K4014:K4019">
    <cfRule type="expression" dxfId="4" priority="1342">
      <formula>K4014&lt;AA4014</formula>
    </cfRule>
  </conditionalFormatting>
  <conditionalFormatting sqref="K4023:K4070">
    <cfRule type="expression" dxfId="4" priority="1310">
      <formula>K4023&lt;AA4023</formula>
    </cfRule>
  </conditionalFormatting>
  <conditionalFormatting sqref="K4072:K4077">
    <cfRule type="expression" dxfId="4" priority="1296">
      <formula>K4072&lt;AA4072</formula>
    </cfRule>
  </conditionalFormatting>
  <conditionalFormatting sqref="K4079:K4084">
    <cfRule type="expression" dxfId="4" priority="1283">
      <formula>K4079&lt;AA4079</formula>
    </cfRule>
  </conditionalFormatting>
  <conditionalFormatting sqref="K4088:K4135">
    <cfRule type="expression" dxfId="4" priority="1251">
      <formula>K4088&lt;AA4088</formula>
    </cfRule>
  </conditionalFormatting>
  <conditionalFormatting sqref="K4137:K4142">
    <cfRule type="expression" dxfId="4" priority="1237">
      <formula>K4137&lt;AA4137</formula>
    </cfRule>
  </conditionalFormatting>
  <conditionalFormatting sqref="K4144:K4149">
    <cfRule type="expression" dxfId="4" priority="1224">
      <formula>K4144&lt;AA4144</formula>
    </cfRule>
  </conditionalFormatting>
  <conditionalFormatting sqref="K4153:K4200">
    <cfRule type="expression" dxfId="4" priority="1192">
      <formula>K4153&lt;AA4153</formula>
    </cfRule>
  </conditionalFormatting>
  <conditionalFormatting sqref="K4202:K4207">
    <cfRule type="expression" dxfId="4" priority="1178">
      <formula>K4202&lt;AA4202</formula>
    </cfRule>
  </conditionalFormatting>
  <conditionalFormatting sqref="K4209:K4214">
    <cfRule type="expression" dxfId="4" priority="1165">
      <formula>K4209&lt;AA4209</formula>
    </cfRule>
  </conditionalFormatting>
  <conditionalFormatting sqref="K4218:K4265">
    <cfRule type="expression" dxfId="4" priority="1133">
      <formula>K4218&lt;AA4218</formula>
    </cfRule>
  </conditionalFormatting>
  <conditionalFormatting sqref="K4267:K4272">
    <cfRule type="expression" dxfId="4" priority="1119">
      <formula>K4267&lt;AA4267</formula>
    </cfRule>
  </conditionalFormatting>
  <conditionalFormatting sqref="K4274:K4279">
    <cfRule type="expression" dxfId="4" priority="1106">
      <formula>K4274&lt;AA4274</formula>
    </cfRule>
  </conditionalFormatting>
  <conditionalFormatting sqref="K4283:K4330">
    <cfRule type="expression" dxfId="4" priority="1074">
      <formula>K4283&lt;AA4283</formula>
    </cfRule>
  </conditionalFormatting>
  <conditionalFormatting sqref="K4332:K4337">
    <cfRule type="expression" dxfId="4" priority="1060">
      <formula>K4332&lt;AA4332</formula>
    </cfRule>
  </conditionalFormatting>
  <conditionalFormatting sqref="K4339:K4344">
    <cfRule type="expression" dxfId="4" priority="1047">
      <formula>K4339&lt;AA4339</formula>
    </cfRule>
  </conditionalFormatting>
  <conditionalFormatting sqref="K4348:K4395">
    <cfRule type="expression" dxfId="4" priority="1015">
      <formula>K4348&lt;AA4348</formula>
    </cfRule>
  </conditionalFormatting>
  <conditionalFormatting sqref="K4397:K4402">
    <cfRule type="expression" dxfId="4" priority="1001">
      <formula>K4397&lt;AA4397</formula>
    </cfRule>
  </conditionalFormatting>
  <conditionalFormatting sqref="K4404:K4409">
    <cfRule type="expression" dxfId="4" priority="988">
      <formula>K4404&lt;AA4404</formula>
    </cfRule>
  </conditionalFormatting>
  <conditionalFormatting sqref="K4413:K4460">
    <cfRule type="expression" dxfId="4" priority="956">
      <formula>K4413&lt;AA4413</formula>
    </cfRule>
  </conditionalFormatting>
  <conditionalFormatting sqref="K4462:K4467">
    <cfRule type="expression" dxfId="4" priority="942">
      <formula>K4462&lt;AA4462</formula>
    </cfRule>
  </conditionalFormatting>
  <conditionalFormatting sqref="K4469:K4474">
    <cfRule type="expression" dxfId="4" priority="929">
      <formula>K4469&lt;AA4469</formula>
    </cfRule>
  </conditionalFormatting>
  <conditionalFormatting sqref="K4478:K4525">
    <cfRule type="expression" dxfId="4" priority="897">
      <formula>K4478&lt;AA4478</formula>
    </cfRule>
  </conditionalFormatting>
  <conditionalFormatting sqref="K4527:K4532">
    <cfRule type="expression" dxfId="4" priority="883">
      <formula>K4527&lt;AA4527</formula>
    </cfRule>
  </conditionalFormatting>
  <conditionalFormatting sqref="K4534:K4539">
    <cfRule type="expression" dxfId="4" priority="870">
      <formula>K4534&lt;AA4534</formula>
    </cfRule>
  </conditionalFormatting>
  <conditionalFormatting sqref="K4543:K4590">
    <cfRule type="expression" dxfId="4" priority="838">
      <formula>K4543&lt;AA4543</formula>
    </cfRule>
  </conditionalFormatting>
  <conditionalFormatting sqref="K4592:K4597">
    <cfRule type="expression" dxfId="4" priority="824">
      <formula>K4592&lt;AA4592</formula>
    </cfRule>
  </conditionalFormatting>
  <conditionalFormatting sqref="K4599:K4604">
    <cfRule type="expression" dxfId="4" priority="811">
      <formula>K4599&lt;AA4599</formula>
    </cfRule>
  </conditionalFormatting>
  <conditionalFormatting sqref="K4608:K4655">
    <cfRule type="expression" dxfId="4" priority="779">
      <formula>K4608&lt;AA4608</formula>
    </cfRule>
  </conditionalFormatting>
  <conditionalFormatting sqref="K4657:K4662">
    <cfRule type="expression" dxfId="4" priority="765">
      <formula>K4657&lt;AA4657</formula>
    </cfRule>
  </conditionalFormatting>
  <conditionalFormatting sqref="K4664:K4669">
    <cfRule type="expression" dxfId="4" priority="752">
      <formula>K4664&lt;AA4664</formula>
    </cfRule>
  </conditionalFormatting>
  <conditionalFormatting sqref="K4673:K4720">
    <cfRule type="expression" dxfId="4" priority="720">
      <formula>K4673&lt;AA4673</formula>
    </cfRule>
  </conditionalFormatting>
  <conditionalFormatting sqref="K4722:K4727">
    <cfRule type="expression" dxfId="4" priority="706">
      <formula>K4722&lt;AA4722</formula>
    </cfRule>
  </conditionalFormatting>
  <conditionalFormatting sqref="K4729:K4734">
    <cfRule type="expression" dxfId="4" priority="693">
      <formula>K4729&lt;AA4729</formula>
    </cfRule>
  </conditionalFormatting>
  <conditionalFormatting sqref="K4738:K4785">
    <cfRule type="expression" dxfId="4" priority="661">
      <formula>K4738&lt;AA4738</formula>
    </cfRule>
  </conditionalFormatting>
  <conditionalFormatting sqref="K4787:K4792">
    <cfRule type="expression" dxfId="4" priority="647">
      <formula>K4787&lt;AA4787</formula>
    </cfRule>
  </conditionalFormatting>
  <conditionalFormatting sqref="K4794:K4799">
    <cfRule type="expression" dxfId="4" priority="634">
      <formula>K4794&lt;AA4794</formula>
    </cfRule>
  </conditionalFormatting>
  <conditionalFormatting sqref="K4803:K4850">
    <cfRule type="expression" dxfId="4" priority="602">
      <formula>K4803&lt;AA4803</formula>
    </cfRule>
  </conditionalFormatting>
  <conditionalFormatting sqref="K4852:K4857">
    <cfRule type="expression" dxfId="4" priority="588">
      <formula>K4852&lt;AA4852</formula>
    </cfRule>
  </conditionalFormatting>
  <conditionalFormatting sqref="K4859:K4864">
    <cfRule type="expression" dxfId="4" priority="575">
      <formula>K4859&lt;AA4859</formula>
    </cfRule>
  </conditionalFormatting>
  <conditionalFormatting sqref="K4868:K4915">
    <cfRule type="expression" dxfId="4" priority="543">
      <formula>K4868&lt;AA4868</formula>
    </cfRule>
  </conditionalFormatting>
  <conditionalFormatting sqref="K4917:K4922">
    <cfRule type="expression" dxfId="4" priority="529">
      <formula>K4917&lt;AA4917</formula>
    </cfRule>
  </conditionalFormatting>
  <conditionalFormatting sqref="K4924:K4929">
    <cfRule type="expression" dxfId="4" priority="516">
      <formula>K4924&lt;AA4924</formula>
    </cfRule>
  </conditionalFormatting>
  <conditionalFormatting sqref="K4933:K4980">
    <cfRule type="expression" dxfId="4" priority="484">
      <formula>K4933&lt;AA4933</formula>
    </cfRule>
  </conditionalFormatting>
  <conditionalFormatting sqref="K4982:K4987">
    <cfRule type="expression" dxfId="4" priority="470">
      <formula>K4982&lt;AA4982</formula>
    </cfRule>
  </conditionalFormatting>
  <conditionalFormatting sqref="K4989:K4994">
    <cfRule type="expression" dxfId="4" priority="457">
      <formula>K4989&lt;AA4989</formula>
    </cfRule>
  </conditionalFormatting>
  <conditionalFormatting sqref="K4998:K5045">
    <cfRule type="expression" dxfId="4" priority="425">
      <formula>K4998&lt;AA4998</formula>
    </cfRule>
  </conditionalFormatting>
  <conditionalFormatting sqref="K5047:K5052">
    <cfRule type="expression" dxfId="4" priority="411">
      <formula>K5047&lt;AA5047</formula>
    </cfRule>
  </conditionalFormatting>
  <conditionalFormatting sqref="K5054:K5059">
    <cfRule type="expression" dxfId="4" priority="398">
      <formula>K5054&lt;AA5054</formula>
    </cfRule>
  </conditionalFormatting>
  <conditionalFormatting sqref="K5063:K5110">
    <cfRule type="expression" dxfId="4" priority="366">
      <formula>K5063&lt;AA5063</formula>
    </cfRule>
  </conditionalFormatting>
  <conditionalFormatting sqref="K5112:K5117">
    <cfRule type="expression" dxfId="4" priority="352">
      <formula>K5112&lt;AA5112</formula>
    </cfRule>
  </conditionalFormatting>
  <conditionalFormatting sqref="K5119:K5124">
    <cfRule type="expression" dxfId="4" priority="339">
      <formula>K5119&lt;AA5119</formula>
    </cfRule>
  </conditionalFormatting>
  <conditionalFormatting sqref="L3:L51">
    <cfRule type="expression" dxfId="4" priority="4591">
      <formula>L3&lt;AB3</formula>
    </cfRule>
  </conditionalFormatting>
  <conditionalFormatting sqref="L54:L102">
    <cfRule type="expression" dxfId="4" priority="4569">
      <formula>L54&lt;AB54</formula>
    </cfRule>
  </conditionalFormatting>
  <conditionalFormatting sqref="L105:L153">
    <cfRule type="expression" dxfId="4" priority="4635">
      <formula>L105&lt;AB105</formula>
    </cfRule>
  </conditionalFormatting>
  <conditionalFormatting sqref="L156:L204">
    <cfRule type="expression" dxfId="4" priority="4613">
      <formula>L156&lt;AB156</formula>
    </cfRule>
  </conditionalFormatting>
  <conditionalFormatting sqref="L207:L255">
    <cfRule type="expression" dxfId="4" priority="4547">
      <formula>L207&lt;AB207</formula>
    </cfRule>
  </conditionalFormatting>
  <conditionalFormatting sqref="L258:L306">
    <cfRule type="expression" dxfId="4" priority="4525">
      <formula>L258&lt;AB258</formula>
    </cfRule>
  </conditionalFormatting>
  <conditionalFormatting sqref="L309:L357">
    <cfRule type="expression" dxfId="4" priority="4503">
      <formula>L309&lt;AB309</formula>
    </cfRule>
  </conditionalFormatting>
  <conditionalFormatting sqref="L360:L408">
    <cfRule type="expression" dxfId="4" priority="4481">
      <formula>L360&lt;AB360</formula>
    </cfRule>
  </conditionalFormatting>
  <conditionalFormatting sqref="L411:L459">
    <cfRule type="expression" dxfId="4" priority="4459">
      <formula>L411&lt;AB411</formula>
    </cfRule>
  </conditionalFormatting>
  <conditionalFormatting sqref="L462:L510">
    <cfRule type="expression" dxfId="4" priority="4437">
      <formula>L462&lt;AB462</formula>
    </cfRule>
  </conditionalFormatting>
  <conditionalFormatting sqref="L513:L561">
    <cfRule type="expression" dxfId="4" priority="4415">
      <formula>L513&lt;AB513</formula>
    </cfRule>
  </conditionalFormatting>
  <conditionalFormatting sqref="L562:L568">
    <cfRule type="expression" dxfId="4" priority="4393">
      <formula>L562&lt;AB562</formula>
    </cfRule>
  </conditionalFormatting>
  <conditionalFormatting sqref="L569:L575">
    <cfRule type="expression" dxfId="4" priority="4379">
      <formula>L569&lt;AB569</formula>
    </cfRule>
  </conditionalFormatting>
  <conditionalFormatting sqref="L578:L626">
    <cfRule type="expression" dxfId="4" priority="4365">
      <formula>L578&lt;AB578</formula>
    </cfRule>
  </conditionalFormatting>
  <conditionalFormatting sqref="L627:L633">
    <cfRule type="expression" dxfId="4" priority="4343">
      <formula>L627&lt;AB627</formula>
    </cfRule>
  </conditionalFormatting>
  <conditionalFormatting sqref="L634:L640">
    <cfRule type="expression" dxfId="4" priority="4329">
      <formula>L634&lt;AB634</formula>
    </cfRule>
  </conditionalFormatting>
  <conditionalFormatting sqref="L643:L691">
    <cfRule type="expression" dxfId="4" priority="4315">
      <formula>L643&lt;AB643</formula>
    </cfRule>
  </conditionalFormatting>
  <conditionalFormatting sqref="L692:L698">
    <cfRule type="expression" dxfId="4" priority="4293">
      <formula>L692&lt;AB692</formula>
    </cfRule>
  </conditionalFormatting>
  <conditionalFormatting sqref="L699:L705">
    <cfRule type="expression" dxfId="4" priority="4279">
      <formula>L699&lt;AB699</formula>
    </cfRule>
  </conditionalFormatting>
  <conditionalFormatting sqref="L708:L756">
    <cfRule type="expression" dxfId="4" priority="4265">
      <formula>L708&lt;AB708</formula>
    </cfRule>
  </conditionalFormatting>
  <conditionalFormatting sqref="L757:L763">
    <cfRule type="expression" dxfId="4" priority="4243">
      <formula>L757&lt;AB757</formula>
    </cfRule>
  </conditionalFormatting>
  <conditionalFormatting sqref="L764:L770">
    <cfRule type="expression" dxfId="4" priority="4229">
      <formula>L764&lt;AB764</formula>
    </cfRule>
  </conditionalFormatting>
  <conditionalFormatting sqref="L773:L821">
    <cfRule type="expression" dxfId="4" priority="4215">
      <formula>L773&lt;AB773</formula>
    </cfRule>
  </conditionalFormatting>
  <conditionalFormatting sqref="L822:L828">
    <cfRule type="expression" dxfId="4" priority="4201">
      <formula>L822&lt;AB822</formula>
    </cfRule>
  </conditionalFormatting>
  <conditionalFormatting sqref="L829:L835">
    <cfRule type="expression" dxfId="4" priority="4188">
      <formula>L829&lt;AB829</formula>
    </cfRule>
  </conditionalFormatting>
  <conditionalFormatting sqref="L838:L886">
    <cfRule type="expression" dxfId="4" priority="4158">
      <formula>L838&lt;AB838</formula>
    </cfRule>
  </conditionalFormatting>
  <conditionalFormatting sqref="L887:L893">
    <cfRule type="expression" dxfId="4" priority="4144">
      <formula>L887&lt;AB887</formula>
    </cfRule>
  </conditionalFormatting>
  <conditionalFormatting sqref="L894:L900">
    <cfRule type="expression" dxfId="4" priority="4131">
      <formula>L894&lt;AB894</formula>
    </cfRule>
  </conditionalFormatting>
  <conditionalFormatting sqref="L903:L951">
    <cfRule type="expression" dxfId="4" priority="4101">
      <formula>L903&lt;AB903</formula>
    </cfRule>
  </conditionalFormatting>
  <conditionalFormatting sqref="L952:L958">
    <cfRule type="expression" dxfId="4" priority="4087">
      <formula>L952&lt;AB952</formula>
    </cfRule>
  </conditionalFormatting>
  <conditionalFormatting sqref="L959:L965">
    <cfRule type="expression" dxfId="4" priority="4074">
      <formula>L959&lt;AB959</formula>
    </cfRule>
  </conditionalFormatting>
  <conditionalFormatting sqref="L968:L1016">
    <cfRule type="expression" dxfId="4" priority="4044">
      <formula>L968&lt;AB968</formula>
    </cfRule>
  </conditionalFormatting>
  <conditionalFormatting sqref="L1017:L1023">
    <cfRule type="expression" dxfId="4" priority="4030">
      <formula>L1017&lt;AB1017</formula>
    </cfRule>
  </conditionalFormatting>
  <conditionalFormatting sqref="L1024:L1030">
    <cfRule type="expression" dxfId="4" priority="4017">
      <formula>L1024&lt;AB1024</formula>
    </cfRule>
  </conditionalFormatting>
  <conditionalFormatting sqref="L1033:L1081">
    <cfRule type="expression" dxfId="4" priority="3987">
      <formula>L1033&lt;AB1033</formula>
    </cfRule>
  </conditionalFormatting>
  <conditionalFormatting sqref="L1082:L1088">
    <cfRule type="expression" dxfId="4" priority="3973">
      <formula>L1082&lt;AB1082</formula>
    </cfRule>
  </conditionalFormatting>
  <conditionalFormatting sqref="L1089:L1095">
    <cfRule type="expression" dxfId="4" priority="3960">
      <formula>L1089&lt;AB1089</formula>
    </cfRule>
  </conditionalFormatting>
  <conditionalFormatting sqref="L1098:L1146">
    <cfRule type="expression" dxfId="4" priority="3930">
      <formula>L1098&lt;AB1098</formula>
    </cfRule>
  </conditionalFormatting>
  <conditionalFormatting sqref="L1147:L1153">
    <cfRule type="expression" dxfId="4" priority="3916">
      <formula>L1147&lt;AB1147</formula>
    </cfRule>
  </conditionalFormatting>
  <conditionalFormatting sqref="L1154:L1160">
    <cfRule type="expression" dxfId="4" priority="3903">
      <formula>L1154&lt;AB1154</formula>
    </cfRule>
  </conditionalFormatting>
  <conditionalFormatting sqref="L1163:L1211">
    <cfRule type="expression" dxfId="4" priority="3873">
      <formula>L1163&lt;AB1163</formula>
    </cfRule>
  </conditionalFormatting>
  <conditionalFormatting sqref="L1212:L1218">
    <cfRule type="expression" dxfId="4" priority="3859">
      <formula>L1212&lt;AB1212</formula>
    </cfRule>
  </conditionalFormatting>
  <conditionalFormatting sqref="L1219:L1225">
    <cfRule type="expression" dxfId="4" priority="3846">
      <formula>L1219&lt;AB1219</formula>
    </cfRule>
  </conditionalFormatting>
  <conditionalFormatting sqref="L1228:L1276">
    <cfRule type="expression" dxfId="4" priority="3816">
      <formula>L1228&lt;AB1228</formula>
    </cfRule>
  </conditionalFormatting>
  <conditionalFormatting sqref="L1277:L1283">
    <cfRule type="expression" dxfId="4" priority="3802">
      <formula>L1277&lt;AB1277</formula>
    </cfRule>
  </conditionalFormatting>
  <conditionalFormatting sqref="L1284:L1290">
    <cfRule type="expression" dxfId="4" priority="3789">
      <formula>L1284&lt;AB1284</formula>
    </cfRule>
  </conditionalFormatting>
  <conditionalFormatting sqref="L1293:L1341">
    <cfRule type="expression" dxfId="4" priority="3759">
      <formula>L1293&lt;AB1293</formula>
    </cfRule>
  </conditionalFormatting>
  <conditionalFormatting sqref="L1342:L1348">
    <cfRule type="expression" dxfId="4" priority="3745">
      <formula>L1342&lt;AB1342</formula>
    </cfRule>
  </conditionalFormatting>
  <conditionalFormatting sqref="L1349:L1355">
    <cfRule type="expression" dxfId="4" priority="3732">
      <formula>L1349&lt;AB1349</formula>
    </cfRule>
  </conditionalFormatting>
  <conditionalFormatting sqref="L1358:L1406">
    <cfRule type="expression" dxfId="4" priority="3702">
      <formula>L1358&lt;AB1358</formula>
    </cfRule>
  </conditionalFormatting>
  <conditionalFormatting sqref="L1407:L1413">
    <cfRule type="expression" dxfId="4" priority="3688">
      <formula>L1407&lt;AB1407</formula>
    </cfRule>
  </conditionalFormatting>
  <conditionalFormatting sqref="L1414:L1420">
    <cfRule type="expression" dxfId="4" priority="3675">
      <formula>L1414&lt;AB1414</formula>
    </cfRule>
  </conditionalFormatting>
  <conditionalFormatting sqref="L1423:L1471">
    <cfRule type="expression" dxfId="4" priority="3645">
      <formula>L1423&lt;AB1423</formula>
    </cfRule>
  </conditionalFormatting>
  <conditionalFormatting sqref="L1472:L1478">
    <cfRule type="expression" dxfId="4" priority="3631">
      <formula>L1472&lt;AB1472</formula>
    </cfRule>
  </conditionalFormatting>
  <conditionalFormatting sqref="L1479:L1485">
    <cfRule type="expression" dxfId="4" priority="3618">
      <formula>L1479&lt;AB1479</formula>
    </cfRule>
  </conditionalFormatting>
  <conditionalFormatting sqref="L1488:L1536">
    <cfRule type="expression" dxfId="4" priority="3588">
      <formula>L1488&lt;AB1488</formula>
    </cfRule>
  </conditionalFormatting>
  <conditionalFormatting sqref="L1537:L1543">
    <cfRule type="expression" dxfId="4" priority="3574">
      <formula>L1537&lt;AB1537</formula>
    </cfRule>
  </conditionalFormatting>
  <conditionalFormatting sqref="L1544:L1550">
    <cfRule type="expression" dxfId="4" priority="3561">
      <formula>L1544&lt;AB1544</formula>
    </cfRule>
  </conditionalFormatting>
  <conditionalFormatting sqref="L1553:L1601">
    <cfRule type="expression" dxfId="4" priority="3531">
      <formula>L1553&lt;AB1553</formula>
    </cfRule>
  </conditionalFormatting>
  <conditionalFormatting sqref="L1602:L1608">
    <cfRule type="expression" dxfId="4" priority="3517">
      <formula>L1602&lt;AB1602</formula>
    </cfRule>
  </conditionalFormatting>
  <conditionalFormatting sqref="L1609:L1615">
    <cfRule type="expression" dxfId="4" priority="3504">
      <formula>L1609&lt;AB1609</formula>
    </cfRule>
  </conditionalFormatting>
  <conditionalFormatting sqref="L1618:L1666">
    <cfRule type="expression" dxfId="4" priority="3474">
      <formula>L1618&lt;AB1618</formula>
    </cfRule>
  </conditionalFormatting>
  <conditionalFormatting sqref="L1667:L1673">
    <cfRule type="expression" dxfId="4" priority="3460">
      <formula>L1667&lt;AB1667</formula>
    </cfRule>
  </conditionalFormatting>
  <conditionalFormatting sqref="L1674:L1680">
    <cfRule type="expression" dxfId="4" priority="3447">
      <formula>L1674&lt;AB1674</formula>
    </cfRule>
  </conditionalFormatting>
  <conditionalFormatting sqref="L1683:L1731">
    <cfRule type="expression" dxfId="4" priority="3417">
      <formula>L1683&lt;AB1683</formula>
    </cfRule>
  </conditionalFormatting>
  <conditionalFormatting sqref="L1732:L1738">
    <cfRule type="expression" dxfId="4" priority="3403">
      <formula>L1732&lt;AB1732</formula>
    </cfRule>
  </conditionalFormatting>
  <conditionalFormatting sqref="L1739:L1745">
    <cfRule type="expression" dxfId="4" priority="3390">
      <formula>L1739&lt;AB1739</formula>
    </cfRule>
  </conditionalFormatting>
  <conditionalFormatting sqref="L1748:L1796">
    <cfRule type="expression" dxfId="4" priority="3360">
      <formula>L1748&lt;AB1748</formula>
    </cfRule>
  </conditionalFormatting>
  <conditionalFormatting sqref="L1797:L1803">
    <cfRule type="expression" dxfId="4" priority="3346">
      <formula>L1797&lt;AB1797</formula>
    </cfRule>
  </conditionalFormatting>
  <conditionalFormatting sqref="L1804:L1810">
    <cfRule type="expression" dxfId="4" priority="3333">
      <formula>L1804&lt;AB1804</formula>
    </cfRule>
  </conditionalFormatting>
  <conditionalFormatting sqref="L1813:L1861">
    <cfRule type="expression" dxfId="4" priority="3303">
      <formula>L1813&lt;AB1813</formula>
    </cfRule>
  </conditionalFormatting>
  <conditionalFormatting sqref="L1862:L1868">
    <cfRule type="expression" dxfId="4" priority="3289">
      <formula>L1862&lt;AB1862</formula>
    </cfRule>
  </conditionalFormatting>
  <conditionalFormatting sqref="L1869:L1875">
    <cfRule type="expression" dxfId="4" priority="3276">
      <formula>L1869&lt;AB1869</formula>
    </cfRule>
  </conditionalFormatting>
  <conditionalFormatting sqref="L1878:L1926">
    <cfRule type="expression" dxfId="4" priority="3246">
      <formula>L1878&lt;AB1878</formula>
    </cfRule>
  </conditionalFormatting>
  <conditionalFormatting sqref="L1927:L1933">
    <cfRule type="expression" dxfId="4" priority="3232">
      <formula>L1927&lt;AB1927</formula>
    </cfRule>
  </conditionalFormatting>
  <conditionalFormatting sqref="L1934:L1940">
    <cfRule type="expression" dxfId="4" priority="3219">
      <formula>L1934&lt;AB1934</formula>
    </cfRule>
  </conditionalFormatting>
  <conditionalFormatting sqref="L2008:L2056">
    <cfRule type="expression" dxfId="4" priority="3128">
      <formula>L2008&lt;AB2008</formula>
    </cfRule>
  </conditionalFormatting>
  <conditionalFormatting sqref="L2057:L2063">
    <cfRule type="expression" dxfId="4" priority="3114">
      <formula>L2057&lt;AB2057</formula>
    </cfRule>
  </conditionalFormatting>
  <conditionalFormatting sqref="L2064:L2070">
    <cfRule type="expression" dxfId="4" priority="3101">
      <formula>L2064&lt;AB2064</formula>
    </cfRule>
  </conditionalFormatting>
  <conditionalFormatting sqref="L2073:L2121">
    <cfRule type="expression" dxfId="4" priority="3071">
      <formula>L2073&lt;AB2073</formula>
    </cfRule>
  </conditionalFormatting>
  <conditionalFormatting sqref="L2122:L2128">
    <cfRule type="expression" dxfId="4" priority="3057">
      <formula>L2122&lt;AB2122</formula>
    </cfRule>
  </conditionalFormatting>
  <conditionalFormatting sqref="L2129:L2135">
    <cfRule type="expression" dxfId="4" priority="3044">
      <formula>L2129&lt;AB2129</formula>
    </cfRule>
  </conditionalFormatting>
  <conditionalFormatting sqref="L2138:L2186">
    <cfRule type="expression" dxfId="4" priority="3014">
      <formula>L2138&lt;AB2138</formula>
    </cfRule>
  </conditionalFormatting>
  <conditionalFormatting sqref="L2187:L2193">
    <cfRule type="expression" dxfId="4" priority="3000">
      <formula>L2187&lt;AB2187</formula>
    </cfRule>
  </conditionalFormatting>
  <conditionalFormatting sqref="L2194:L2200">
    <cfRule type="expression" dxfId="4" priority="2987">
      <formula>L2194&lt;AB2194</formula>
    </cfRule>
  </conditionalFormatting>
  <conditionalFormatting sqref="L2203:L2251">
    <cfRule type="expression" dxfId="4" priority="2957">
      <formula>L2203&lt;AB2203</formula>
    </cfRule>
  </conditionalFormatting>
  <conditionalFormatting sqref="L2252:L2258">
    <cfRule type="expression" dxfId="4" priority="2943">
      <formula>L2252&lt;AB2252</formula>
    </cfRule>
  </conditionalFormatting>
  <conditionalFormatting sqref="L2259:L2265">
    <cfRule type="expression" dxfId="4" priority="2930">
      <formula>L2259&lt;AB2259</formula>
    </cfRule>
  </conditionalFormatting>
  <conditionalFormatting sqref="L2268:L2316">
    <cfRule type="expression" dxfId="4" priority="2900">
      <formula>L2268&lt;AB2268</formula>
    </cfRule>
  </conditionalFormatting>
  <conditionalFormatting sqref="L2317:L2323">
    <cfRule type="expression" dxfId="4" priority="2886">
      <formula>L2317&lt;AB2317</formula>
    </cfRule>
  </conditionalFormatting>
  <conditionalFormatting sqref="L2324:L2330">
    <cfRule type="expression" dxfId="4" priority="2873">
      <formula>L2324&lt;AB2324</formula>
    </cfRule>
  </conditionalFormatting>
  <conditionalFormatting sqref="L2333:L2380">
    <cfRule type="expression" dxfId="4" priority="2843">
      <formula>L2333&lt;AB2333</formula>
    </cfRule>
  </conditionalFormatting>
  <conditionalFormatting sqref="L2382:L2387">
    <cfRule type="expression" dxfId="4" priority="2829">
      <formula>L2382&lt;AB2382</formula>
    </cfRule>
  </conditionalFormatting>
  <conditionalFormatting sqref="L2389:L2394">
    <cfRule type="expression" dxfId="4" priority="2816">
      <formula>L2389&lt;AB2389</formula>
    </cfRule>
  </conditionalFormatting>
  <conditionalFormatting sqref="L2398:L2445">
    <cfRule type="expression" dxfId="4" priority="2784">
      <formula>L2398&lt;AB2398</formula>
    </cfRule>
  </conditionalFormatting>
  <conditionalFormatting sqref="L2447:L2452">
    <cfRule type="expression" dxfId="4" priority="2770">
      <formula>L2447&lt;AB2447</formula>
    </cfRule>
  </conditionalFormatting>
  <conditionalFormatting sqref="L2454:L2459">
    <cfRule type="expression" dxfId="4" priority="2757">
      <formula>L2454&lt;AB2454</formula>
    </cfRule>
  </conditionalFormatting>
  <conditionalFormatting sqref="L2463:L2510">
    <cfRule type="expression" dxfId="4" priority="2725">
      <formula>L2463&lt;AB2463</formula>
    </cfRule>
  </conditionalFormatting>
  <conditionalFormatting sqref="L2512:L2517">
    <cfRule type="expression" dxfId="4" priority="2711">
      <formula>L2512&lt;AB2512</formula>
    </cfRule>
  </conditionalFormatting>
  <conditionalFormatting sqref="L2519:L2524">
    <cfRule type="expression" dxfId="4" priority="2698">
      <formula>L2519&lt;AB2519</formula>
    </cfRule>
  </conditionalFormatting>
  <conditionalFormatting sqref="L2528:L2575">
    <cfRule type="expression" dxfId="4" priority="2666">
      <formula>L2528&lt;AB2528</formula>
    </cfRule>
  </conditionalFormatting>
  <conditionalFormatting sqref="L2577:L2582">
    <cfRule type="expression" dxfId="4" priority="2652">
      <formula>L2577&lt;AB2577</formula>
    </cfRule>
  </conditionalFormatting>
  <conditionalFormatting sqref="L2584:L2589">
    <cfRule type="expression" dxfId="4" priority="2639">
      <formula>L2584&lt;AB2584</formula>
    </cfRule>
  </conditionalFormatting>
  <conditionalFormatting sqref="L2593:L2640">
    <cfRule type="expression" dxfId="4" priority="2607">
      <formula>L2593&lt;AB2593</formula>
    </cfRule>
  </conditionalFormatting>
  <conditionalFormatting sqref="L2642:L2647">
    <cfRule type="expression" dxfId="4" priority="2593">
      <formula>L2642&lt;AB2642</formula>
    </cfRule>
  </conditionalFormatting>
  <conditionalFormatting sqref="L2649:L2654">
    <cfRule type="expression" dxfId="4" priority="2580">
      <formula>L2649&lt;AB2649</formula>
    </cfRule>
  </conditionalFormatting>
  <conditionalFormatting sqref="L2658:L2705">
    <cfRule type="expression" dxfId="4" priority="2548">
      <formula>L2658&lt;AB2658</formula>
    </cfRule>
  </conditionalFormatting>
  <conditionalFormatting sqref="L2707:L2712">
    <cfRule type="expression" dxfId="4" priority="2534">
      <formula>L2707&lt;AB2707</formula>
    </cfRule>
  </conditionalFormatting>
  <conditionalFormatting sqref="L2714:L2719">
    <cfRule type="expression" dxfId="4" priority="2521">
      <formula>L2714&lt;AB2714</formula>
    </cfRule>
  </conditionalFormatting>
  <conditionalFormatting sqref="L2723:L2770">
    <cfRule type="expression" dxfId="4" priority="2489">
      <formula>L2723&lt;AB2723</formula>
    </cfRule>
  </conditionalFormatting>
  <conditionalFormatting sqref="L2772:L2777">
    <cfRule type="expression" dxfId="4" priority="2475">
      <formula>L2772&lt;AB2772</formula>
    </cfRule>
  </conditionalFormatting>
  <conditionalFormatting sqref="L2779:L2784">
    <cfRule type="expression" dxfId="4" priority="2462">
      <formula>L2779&lt;AB2779</formula>
    </cfRule>
  </conditionalFormatting>
  <conditionalFormatting sqref="L2788:L2835">
    <cfRule type="expression" dxfId="4" priority="2430">
      <formula>L2788&lt;AB2788</formula>
    </cfRule>
  </conditionalFormatting>
  <conditionalFormatting sqref="L2837:L2842">
    <cfRule type="expression" dxfId="4" priority="2416">
      <formula>L2837&lt;AB2837</formula>
    </cfRule>
  </conditionalFormatting>
  <conditionalFormatting sqref="L2844:L2849">
    <cfRule type="expression" dxfId="4" priority="2403">
      <formula>L2844&lt;AB2844</formula>
    </cfRule>
  </conditionalFormatting>
  <conditionalFormatting sqref="L2853:L2900">
    <cfRule type="expression" dxfId="4" priority="2371">
      <formula>L2853&lt;AB2853</formula>
    </cfRule>
  </conditionalFormatting>
  <conditionalFormatting sqref="L2902:L2907">
    <cfRule type="expression" dxfId="4" priority="2357">
      <formula>L2902&lt;AB2902</formula>
    </cfRule>
  </conditionalFormatting>
  <conditionalFormatting sqref="L2909:L2914">
    <cfRule type="expression" dxfId="4" priority="2344">
      <formula>L2909&lt;AB2909</formula>
    </cfRule>
  </conditionalFormatting>
  <conditionalFormatting sqref="L2918:L2965">
    <cfRule type="expression" dxfId="4" priority="2312">
      <formula>L2918&lt;AB2918</formula>
    </cfRule>
  </conditionalFormatting>
  <conditionalFormatting sqref="L2967:L2972">
    <cfRule type="expression" dxfId="4" priority="2298">
      <formula>L2967&lt;AB2967</formula>
    </cfRule>
  </conditionalFormatting>
  <conditionalFormatting sqref="L2974:L2979">
    <cfRule type="expression" dxfId="4" priority="2285">
      <formula>L2974&lt;AB2974</formula>
    </cfRule>
  </conditionalFormatting>
  <conditionalFormatting sqref="L2983:L3030">
    <cfRule type="expression" dxfId="4" priority="2253">
      <formula>L2983&lt;AB2983</formula>
    </cfRule>
  </conditionalFormatting>
  <conditionalFormatting sqref="L3032:L3037">
    <cfRule type="expression" dxfId="4" priority="2239">
      <formula>L3032&lt;AB3032</formula>
    </cfRule>
  </conditionalFormatting>
  <conditionalFormatting sqref="L3039:L3044">
    <cfRule type="expression" dxfId="4" priority="2226">
      <formula>L3039&lt;AB3039</formula>
    </cfRule>
  </conditionalFormatting>
  <conditionalFormatting sqref="L3048:L3095">
    <cfRule type="expression" dxfId="4" priority="2194">
      <formula>L3048&lt;AB3048</formula>
    </cfRule>
  </conditionalFormatting>
  <conditionalFormatting sqref="L3097:L3102">
    <cfRule type="expression" dxfId="4" priority="2180">
      <formula>L3097&lt;AB3097</formula>
    </cfRule>
  </conditionalFormatting>
  <conditionalFormatting sqref="L3104:L3109">
    <cfRule type="expression" dxfId="4" priority="2167">
      <formula>L3104&lt;AB3104</formula>
    </cfRule>
  </conditionalFormatting>
  <conditionalFormatting sqref="L3113:L3160">
    <cfRule type="expression" dxfId="4" priority="2135">
      <formula>L3113&lt;AB3113</formula>
    </cfRule>
  </conditionalFormatting>
  <conditionalFormatting sqref="L3162:L3167">
    <cfRule type="expression" dxfId="4" priority="2121">
      <formula>L3162&lt;AB3162</formula>
    </cfRule>
  </conditionalFormatting>
  <conditionalFormatting sqref="L3169:L3174">
    <cfRule type="expression" dxfId="4" priority="2108">
      <formula>L3169&lt;AB3169</formula>
    </cfRule>
  </conditionalFormatting>
  <conditionalFormatting sqref="L3178:L3225">
    <cfRule type="expression" dxfId="4" priority="2076">
      <formula>L3178&lt;AB3178</formula>
    </cfRule>
  </conditionalFormatting>
  <conditionalFormatting sqref="L3227:L3232">
    <cfRule type="expression" dxfId="4" priority="2062">
      <formula>L3227&lt;AB3227</formula>
    </cfRule>
  </conditionalFormatting>
  <conditionalFormatting sqref="L3234:L3239">
    <cfRule type="expression" dxfId="4" priority="2049">
      <formula>L3234&lt;AB3234</formula>
    </cfRule>
  </conditionalFormatting>
  <conditionalFormatting sqref="L3243:L3290">
    <cfRule type="expression" dxfId="4" priority="2017">
      <formula>L3243&lt;AB3243</formula>
    </cfRule>
  </conditionalFormatting>
  <conditionalFormatting sqref="L3292:L3297">
    <cfRule type="expression" dxfId="4" priority="2003">
      <formula>L3292&lt;AB3292</formula>
    </cfRule>
  </conditionalFormatting>
  <conditionalFormatting sqref="L3299:L3304">
    <cfRule type="expression" dxfId="4" priority="1990">
      <formula>L3299&lt;AB3299</formula>
    </cfRule>
  </conditionalFormatting>
  <conditionalFormatting sqref="L3308:L3355">
    <cfRule type="expression" dxfId="4" priority="1958">
      <formula>L3308&lt;AB3308</formula>
    </cfRule>
  </conditionalFormatting>
  <conditionalFormatting sqref="L3357:L3362">
    <cfRule type="expression" dxfId="4" priority="1944">
      <formula>L3357&lt;AB3357</formula>
    </cfRule>
  </conditionalFormatting>
  <conditionalFormatting sqref="L3364:L3369">
    <cfRule type="expression" dxfId="4" priority="1931">
      <formula>L3364&lt;AB3364</formula>
    </cfRule>
  </conditionalFormatting>
  <conditionalFormatting sqref="L3373:L3420">
    <cfRule type="expression" dxfId="4" priority="1899">
      <formula>L3373&lt;AB3373</formula>
    </cfRule>
  </conditionalFormatting>
  <conditionalFormatting sqref="L3422:L3427">
    <cfRule type="expression" dxfId="4" priority="1885">
      <formula>L3422&lt;AB3422</formula>
    </cfRule>
  </conditionalFormatting>
  <conditionalFormatting sqref="L3429:L3434">
    <cfRule type="expression" dxfId="4" priority="1872">
      <formula>L3429&lt;AB3429</formula>
    </cfRule>
  </conditionalFormatting>
  <conditionalFormatting sqref="L3438:L3485">
    <cfRule type="expression" dxfId="4" priority="1840">
      <formula>L3438&lt;AB3438</formula>
    </cfRule>
  </conditionalFormatting>
  <conditionalFormatting sqref="L3487:L3492">
    <cfRule type="expression" dxfId="4" priority="1826">
      <formula>L3487&lt;AB3487</formula>
    </cfRule>
  </conditionalFormatting>
  <conditionalFormatting sqref="L3494:L3499">
    <cfRule type="expression" dxfId="4" priority="1813">
      <formula>L3494&lt;AB3494</formula>
    </cfRule>
  </conditionalFormatting>
  <conditionalFormatting sqref="L3503:L3550">
    <cfRule type="expression" dxfId="4" priority="1781">
      <formula>L3503&lt;AB3503</formula>
    </cfRule>
  </conditionalFormatting>
  <conditionalFormatting sqref="L3552:L3557">
    <cfRule type="expression" dxfId="4" priority="1767">
      <formula>L3552&lt;AB3552</formula>
    </cfRule>
  </conditionalFormatting>
  <conditionalFormatting sqref="L3559:L3564">
    <cfRule type="expression" dxfId="4" priority="1754">
      <formula>L3559&lt;AB3559</formula>
    </cfRule>
  </conditionalFormatting>
  <conditionalFormatting sqref="L3568:L3615">
    <cfRule type="expression" dxfId="4" priority="1722">
      <formula>L3568&lt;AB3568</formula>
    </cfRule>
  </conditionalFormatting>
  <conditionalFormatting sqref="L3617:L3622">
    <cfRule type="expression" dxfId="4" priority="1708">
      <formula>L3617&lt;AB3617</formula>
    </cfRule>
  </conditionalFormatting>
  <conditionalFormatting sqref="L3624:L3629">
    <cfRule type="expression" dxfId="4" priority="1695">
      <formula>L3624&lt;AB3624</formula>
    </cfRule>
  </conditionalFormatting>
  <conditionalFormatting sqref="L3633:L3680">
    <cfRule type="expression" dxfId="4" priority="1663">
      <formula>L3633&lt;AB3633</formula>
    </cfRule>
  </conditionalFormatting>
  <conditionalFormatting sqref="L3682:L3687">
    <cfRule type="expression" dxfId="4" priority="1649">
      <formula>L3682&lt;AB3682</formula>
    </cfRule>
  </conditionalFormatting>
  <conditionalFormatting sqref="L3689:L3694">
    <cfRule type="expression" dxfId="4" priority="1636">
      <formula>L3689&lt;AB3689</formula>
    </cfRule>
  </conditionalFormatting>
  <conditionalFormatting sqref="L3698:L3745">
    <cfRule type="expression" dxfId="4" priority="1604">
      <formula>L3698&lt;AB3698</formula>
    </cfRule>
  </conditionalFormatting>
  <conditionalFormatting sqref="L3747:L3752">
    <cfRule type="expression" dxfId="4" priority="1590">
      <formula>L3747&lt;AB3747</formula>
    </cfRule>
  </conditionalFormatting>
  <conditionalFormatting sqref="L3754:L3759">
    <cfRule type="expression" dxfId="4" priority="1577">
      <formula>L3754&lt;AB3754</formula>
    </cfRule>
  </conditionalFormatting>
  <conditionalFormatting sqref="L3763:L3810">
    <cfRule type="expression" dxfId="4" priority="1545">
      <formula>L3763&lt;AB3763</formula>
    </cfRule>
  </conditionalFormatting>
  <conditionalFormatting sqref="L3812:L3817">
    <cfRule type="expression" dxfId="4" priority="1531">
      <formula>L3812&lt;AB3812</formula>
    </cfRule>
  </conditionalFormatting>
  <conditionalFormatting sqref="L3819:L3824">
    <cfRule type="expression" dxfId="4" priority="1518">
      <formula>L3819&lt;AB3819</formula>
    </cfRule>
  </conditionalFormatting>
  <conditionalFormatting sqref="L3828:L3875">
    <cfRule type="expression" dxfId="4" priority="1486">
      <formula>L3828&lt;AB3828</formula>
    </cfRule>
  </conditionalFormatting>
  <conditionalFormatting sqref="L3877:L3882">
    <cfRule type="expression" dxfId="4" priority="1472">
      <formula>L3877&lt;AB3877</formula>
    </cfRule>
  </conditionalFormatting>
  <conditionalFormatting sqref="L3884:L3889">
    <cfRule type="expression" dxfId="4" priority="1459">
      <formula>L3884&lt;AB3884</formula>
    </cfRule>
  </conditionalFormatting>
  <conditionalFormatting sqref="L3893:L3940">
    <cfRule type="expression" dxfId="4" priority="1427">
      <formula>L3893&lt;AB3893</formula>
    </cfRule>
  </conditionalFormatting>
  <conditionalFormatting sqref="L3942:L3947">
    <cfRule type="expression" dxfId="4" priority="1413">
      <formula>L3942&lt;AB3942</formula>
    </cfRule>
  </conditionalFormatting>
  <conditionalFormatting sqref="L3949:L3954">
    <cfRule type="expression" dxfId="4" priority="1400">
      <formula>L3949&lt;AB3949</formula>
    </cfRule>
  </conditionalFormatting>
  <conditionalFormatting sqref="L3958:L4005">
    <cfRule type="expression" dxfId="4" priority="1368">
      <formula>L3958&lt;AB3958</formula>
    </cfRule>
  </conditionalFormatting>
  <conditionalFormatting sqref="L4007:L4012">
    <cfRule type="expression" dxfId="4" priority="1354">
      <formula>L4007&lt;AB4007</formula>
    </cfRule>
  </conditionalFormatting>
  <conditionalFormatting sqref="L4014:L4019">
    <cfRule type="expression" dxfId="4" priority="1341">
      <formula>L4014&lt;AB4014</formula>
    </cfRule>
  </conditionalFormatting>
  <conditionalFormatting sqref="L4023:L4070">
    <cfRule type="expression" dxfId="4" priority="1309">
      <formula>L4023&lt;AB4023</formula>
    </cfRule>
  </conditionalFormatting>
  <conditionalFormatting sqref="L4072:L4077">
    <cfRule type="expression" dxfId="4" priority="1295">
      <formula>L4072&lt;AB4072</formula>
    </cfRule>
  </conditionalFormatting>
  <conditionalFormatting sqref="L4079:L4084">
    <cfRule type="expression" dxfId="4" priority="1282">
      <formula>L4079&lt;AB4079</formula>
    </cfRule>
  </conditionalFormatting>
  <conditionalFormatting sqref="L4088:L4135">
    <cfRule type="expression" dxfId="4" priority="1250">
      <formula>L4088&lt;AB4088</formula>
    </cfRule>
  </conditionalFormatting>
  <conditionalFormatting sqref="L4137:L4142">
    <cfRule type="expression" dxfId="4" priority="1236">
      <formula>L4137&lt;AB4137</formula>
    </cfRule>
  </conditionalFormatting>
  <conditionalFormatting sqref="L4144:L4149">
    <cfRule type="expression" dxfId="4" priority="1223">
      <formula>L4144&lt;AB4144</formula>
    </cfRule>
  </conditionalFormatting>
  <conditionalFormatting sqref="L4153:L4200">
    <cfRule type="expression" dxfId="4" priority="1191">
      <formula>L4153&lt;AB4153</formula>
    </cfRule>
  </conditionalFormatting>
  <conditionalFormatting sqref="L4202:L4207">
    <cfRule type="expression" dxfId="4" priority="1177">
      <formula>L4202&lt;AB4202</formula>
    </cfRule>
  </conditionalFormatting>
  <conditionalFormatting sqref="L4209:L4214">
    <cfRule type="expression" dxfId="4" priority="1164">
      <formula>L4209&lt;AB4209</formula>
    </cfRule>
  </conditionalFormatting>
  <conditionalFormatting sqref="L4218:L4265">
    <cfRule type="expression" dxfId="4" priority="1132">
      <formula>L4218&lt;AB4218</formula>
    </cfRule>
  </conditionalFormatting>
  <conditionalFormatting sqref="L4267:L4272">
    <cfRule type="expression" dxfId="4" priority="1118">
      <formula>L4267&lt;AB4267</formula>
    </cfRule>
  </conditionalFormatting>
  <conditionalFormatting sqref="L4274:L4279">
    <cfRule type="expression" dxfId="4" priority="1105">
      <formula>L4274&lt;AB4274</formula>
    </cfRule>
  </conditionalFormatting>
  <conditionalFormatting sqref="L4283:L4330">
    <cfRule type="expression" dxfId="4" priority="1073">
      <formula>L4283&lt;AB4283</formula>
    </cfRule>
  </conditionalFormatting>
  <conditionalFormatting sqref="L4332:L4337">
    <cfRule type="expression" dxfId="4" priority="1059">
      <formula>L4332&lt;AB4332</formula>
    </cfRule>
  </conditionalFormatting>
  <conditionalFormatting sqref="L4339:L4344">
    <cfRule type="expression" dxfId="4" priority="1046">
      <formula>L4339&lt;AB4339</formula>
    </cfRule>
  </conditionalFormatting>
  <conditionalFormatting sqref="L4348:L4395">
    <cfRule type="expression" dxfId="4" priority="1014">
      <formula>L4348&lt;AB4348</formula>
    </cfRule>
  </conditionalFormatting>
  <conditionalFormatting sqref="L4397:L4402">
    <cfRule type="expression" dxfId="4" priority="1000">
      <formula>L4397&lt;AB4397</formula>
    </cfRule>
  </conditionalFormatting>
  <conditionalFormatting sqref="L4404:L4409">
    <cfRule type="expression" dxfId="4" priority="987">
      <formula>L4404&lt;AB4404</formula>
    </cfRule>
  </conditionalFormatting>
  <conditionalFormatting sqref="L4413:L4460">
    <cfRule type="expression" dxfId="4" priority="955">
      <formula>L4413&lt;AB4413</formula>
    </cfRule>
  </conditionalFormatting>
  <conditionalFormatting sqref="L4462:L4467">
    <cfRule type="expression" dxfId="4" priority="941">
      <formula>L4462&lt;AB4462</formula>
    </cfRule>
  </conditionalFormatting>
  <conditionalFormatting sqref="L4469:L4474">
    <cfRule type="expression" dxfId="4" priority="928">
      <formula>L4469&lt;AB4469</formula>
    </cfRule>
  </conditionalFormatting>
  <conditionalFormatting sqref="L4478:L4525">
    <cfRule type="expression" dxfId="4" priority="896">
      <formula>L4478&lt;AB4478</formula>
    </cfRule>
  </conditionalFormatting>
  <conditionalFormatting sqref="L4527:L4532">
    <cfRule type="expression" dxfId="4" priority="882">
      <formula>L4527&lt;AB4527</formula>
    </cfRule>
  </conditionalFormatting>
  <conditionalFormatting sqref="L4534:L4539">
    <cfRule type="expression" dxfId="4" priority="869">
      <formula>L4534&lt;AB4534</formula>
    </cfRule>
  </conditionalFormatting>
  <conditionalFormatting sqref="L4543:L4590">
    <cfRule type="expression" dxfId="4" priority="837">
      <formula>L4543&lt;AB4543</formula>
    </cfRule>
  </conditionalFormatting>
  <conditionalFormatting sqref="L4592:L4597">
    <cfRule type="expression" dxfId="4" priority="823">
      <formula>L4592&lt;AB4592</formula>
    </cfRule>
  </conditionalFormatting>
  <conditionalFormatting sqref="L4599:L4604">
    <cfRule type="expression" dxfId="4" priority="810">
      <formula>L4599&lt;AB4599</formula>
    </cfRule>
  </conditionalFormatting>
  <conditionalFormatting sqref="L4608:L4655">
    <cfRule type="expression" dxfId="4" priority="778">
      <formula>L4608&lt;AB4608</formula>
    </cfRule>
  </conditionalFormatting>
  <conditionalFormatting sqref="L4657:L4662">
    <cfRule type="expression" dxfId="4" priority="764">
      <formula>L4657&lt;AB4657</formula>
    </cfRule>
  </conditionalFormatting>
  <conditionalFormatting sqref="L4664:L4669">
    <cfRule type="expression" dxfId="4" priority="751">
      <formula>L4664&lt;AB4664</formula>
    </cfRule>
  </conditionalFormatting>
  <conditionalFormatting sqref="L4673:L4720">
    <cfRule type="expression" dxfId="4" priority="719">
      <formula>L4673&lt;AB4673</formula>
    </cfRule>
  </conditionalFormatting>
  <conditionalFormatting sqref="L4722:L4727">
    <cfRule type="expression" dxfId="4" priority="705">
      <formula>L4722&lt;AB4722</formula>
    </cfRule>
  </conditionalFormatting>
  <conditionalFormatting sqref="L4729:L4734">
    <cfRule type="expression" dxfId="4" priority="692">
      <formula>L4729&lt;AB4729</formula>
    </cfRule>
  </conditionalFormatting>
  <conditionalFormatting sqref="L4738:L4785">
    <cfRule type="expression" dxfId="4" priority="660">
      <formula>L4738&lt;AB4738</formula>
    </cfRule>
  </conditionalFormatting>
  <conditionalFormatting sqref="L4787:L4792">
    <cfRule type="expression" dxfId="4" priority="646">
      <formula>L4787&lt;AB4787</formula>
    </cfRule>
  </conditionalFormatting>
  <conditionalFormatting sqref="L4794:L4799">
    <cfRule type="expression" dxfId="4" priority="633">
      <formula>L4794&lt;AB4794</formula>
    </cfRule>
  </conditionalFormatting>
  <conditionalFormatting sqref="L4803:L4850">
    <cfRule type="expression" dxfId="4" priority="601">
      <formula>L4803&lt;AB4803</formula>
    </cfRule>
  </conditionalFormatting>
  <conditionalFormatting sqref="L4852:L4857">
    <cfRule type="expression" dxfId="4" priority="587">
      <formula>L4852&lt;AB4852</formula>
    </cfRule>
  </conditionalFormatting>
  <conditionalFormatting sqref="L4859:L4864">
    <cfRule type="expression" dxfId="4" priority="574">
      <formula>L4859&lt;AB4859</formula>
    </cfRule>
  </conditionalFormatting>
  <conditionalFormatting sqref="L4868:L4915">
    <cfRule type="expression" dxfId="4" priority="542">
      <formula>L4868&lt;AB4868</formula>
    </cfRule>
  </conditionalFormatting>
  <conditionalFormatting sqref="L4917:L4922">
    <cfRule type="expression" dxfId="4" priority="528">
      <formula>L4917&lt;AB4917</formula>
    </cfRule>
  </conditionalFormatting>
  <conditionalFormatting sqref="L4924:L4929">
    <cfRule type="expression" dxfId="4" priority="515">
      <formula>L4924&lt;AB4924</formula>
    </cfRule>
  </conditionalFormatting>
  <conditionalFormatting sqref="L4933:L4980">
    <cfRule type="expression" dxfId="4" priority="483">
      <formula>L4933&lt;AB4933</formula>
    </cfRule>
  </conditionalFormatting>
  <conditionalFormatting sqref="L4982:L4987">
    <cfRule type="expression" dxfId="4" priority="469">
      <formula>L4982&lt;AB4982</formula>
    </cfRule>
  </conditionalFormatting>
  <conditionalFormatting sqref="L4989:L4994">
    <cfRule type="expression" dxfId="4" priority="456">
      <formula>L4989&lt;AB4989</formula>
    </cfRule>
  </conditionalFormatting>
  <conditionalFormatting sqref="L4998:L5045">
    <cfRule type="expression" dxfId="4" priority="424">
      <formula>L4998&lt;AB4998</formula>
    </cfRule>
  </conditionalFormatting>
  <conditionalFormatting sqref="L5047:L5052">
    <cfRule type="expression" dxfId="4" priority="410">
      <formula>L5047&lt;AB5047</formula>
    </cfRule>
  </conditionalFormatting>
  <conditionalFormatting sqref="L5054:L5059">
    <cfRule type="expression" dxfId="4" priority="397">
      <formula>L5054&lt;AB5054</formula>
    </cfRule>
  </conditionalFormatting>
  <conditionalFormatting sqref="L5063:L5110">
    <cfRule type="expression" dxfId="4" priority="365">
      <formula>L5063&lt;AB5063</formula>
    </cfRule>
  </conditionalFormatting>
  <conditionalFormatting sqref="L5112:L5117">
    <cfRule type="expression" dxfId="4" priority="351">
      <formula>L5112&lt;AB5112</formula>
    </cfRule>
  </conditionalFormatting>
  <conditionalFormatting sqref="L5119:L5124">
    <cfRule type="expression" dxfId="4" priority="338">
      <formula>L5119&lt;AB5119</formula>
    </cfRule>
  </conditionalFormatting>
  <conditionalFormatting sqref="M3:M51">
    <cfRule type="expression" dxfId="4" priority="4590">
      <formula>M3&lt;AC3</formula>
    </cfRule>
  </conditionalFormatting>
  <conditionalFormatting sqref="M54:M102">
    <cfRule type="expression" dxfId="4" priority="4568">
      <formula>M54&lt;AC54</formula>
    </cfRule>
  </conditionalFormatting>
  <conditionalFormatting sqref="M105:M153">
    <cfRule type="expression" dxfId="4" priority="4634">
      <formula>M105&lt;AC105</formula>
    </cfRule>
  </conditionalFormatting>
  <conditionalFormatting sqref="M156:M204">
    <cfRule type="expression" dxfId="4" priority="4612">
      <formula>M156&lt;AC156</formula>
    </cfRule>
  </conditionalFormatting>
  <conditionalFormatting sqref="M207:M255">
    <cfRule type="expression" dxfId="4" priority="4546">
      <formula>M207&lt;AC207</formula>
    </cfRule>
  </conditionalFormatting>
  <conditionalFormatting sqref="M258:M306">
    <cfRule type="expression" dxfId="4" priority="4524">
      <formula>M258&lt;AC258</formula>
    </cfRule>
  </conditionalFormatting>
  <conditionalFormatting sqref="M309:M357">
    <cfRule type="expression" dxfId="4" priority="4502">
      <formula>M309&lt;AC309</formula>
    </cfRule>
  </conditionalFormatting>
  <conditionalFormatting sqref="M360:M408">
    <cfRule type="expression" dxfId="4" priority="4480">
      <formula>M360&lt;AC360</formula>
    </cfRule>
  </conditionalFormatting>
  <conditionalFormatting sqref="M411:M459">
    <cfRule type="expression" dxfId="4" priority="4458">
      <formula>M411&lt;AC411</formula>
    </cfRule>
  </conditionalFormatting>
  <conditionalFormatting sqref="M462:M510">
    <cfRule type="expression" dxfId="4" priority="4436">
      <formula>M462&lt;AC462</formula>
    </cfRule>
  </conditionalFormatting>
  <conditionalFormatting sqref="M513:M561">
    <cfRule type="expression" dxfId="4" priority="4414">
      <formula>M513&lt;AC513</formula>
    </cfRule>
  </conditionalFormatting>
  <conditionalFormatting sqref="M562:M568">
    <cfRule type="expression" dxfId="4" priority="4392">
      <formula>M562&lt;AC562</formula>
    </cfRule>
  </conditionalFormatting>
  <conditionalFormatting sqref="M569:M575">
    <cfRule type="expression" dxfId="4" priority="4378">
      <formula>M569&lt;AC569</formula>
    </cfRule>
  </conditionalFormatting>
  <conditionalFormatting sqref="M578:M626">
    <cfRule type="expression" dxfId="4" priority="4364">
      <formula>M578&lt;AC578</formula>
    </cfRule>
  </conditionalFormatting>
  <conditionalFormatting sqref="M627:M633">
    <cfRule type="expression" dxfId="4" priority="4342">
      <formula>M627&lt;AC627</formula>
    </cfRule>
  </conditionalFormatting>
  <conditionalFormatting sqref="M634:M640">
    <cfRule type="expression" dxfId="4" priority="4328">
      <formula>M634&lt;AC634</formula>
    </cfRule>
  </conditionalFormatting>
  <conditionalFormatting sqref="M643:M691">
    <cfRule type="expression" dxfId="4" priority="4314">
      <formula>M643&lt;AC643</formula>
    </cfRule>
  </conditionalFormatting>
  <conditionalFormatting sqref="M692:M698">
    <cfRule type="expression" dxfId="4" priority="4292">
      <formula>M692&lt;AC692</formula>
    </cfRule>
  </conditionalFormatting>
  <conditionalFormatting sqref="M699:M705">
    <cfRule type="expression" dxfId="4" priority="4278">
      <formula>M699&lt;AC699</formula>
    </cfRule>
  </conditionalFormatting>
  <conditionalFormatting sqref="M708:M756">
    <cfRule type="expression" dxfId="4" priority="4264">
      <formula>M708&lt;AC708</formula>
    </cfRule>
  </conditionalFormatting>
  <conditionalFormatting sqref="M757:M763">
    <cfRule type="expression" dxfId="4" priority="4242">
      <formula>M757&lt;AC757</formula>
    </cfRule>
  </conditionalFormatting>
  <conditionalFormatting sqref="M764:M770">
    <cfRule type="expression" dxfId="4" priority="4228">
      <formula>M764&lt;AC764</formula>
    </cfRule>
  </conditionalFormatting>
  <conditionalFormatting sqref="M773:M821">
    <cfRule type="expression" dxfId="4" priority="4214">
      <formula>M773&lt;AC773</formula>
    </cfRule>
  </conditionalFormatting>
  <conditionalFormatting sqref="M822:M828">
    <cfRule type="expression" dxfId="4" priority="4200">
      <formula>M822&lt;AC822</formula>
    </cfRule>
  </conditionalFormatting>
  <conditionalFormatting sqref="M829:M835">
    <cfRule type="expression" dxfId="4" priority="4187">
      <formula>M829&lt;AC829</formula>
    </cfRule>
  </conditionalFormatting>
  <conditionalFormatting sqref="M838:M886">
    <cfRule type="expression" dxfId="4" priority="4157">
      <formula>M838&lt;AC838</formula>
    </cfRule>
  </conditionalFormatting>
  <conditionalFormatting sqref="M887:M893">
    <cfRule type="expression" dxfId="4" priority="4143">
      <formula>M887&lt;AC887</formula>
    </cfRule>
  </conditionalFormatting>
  <conditionalFormatting sqref="M894:M900">
    <cfRule type="expression" dxfId="4" priority="4130">
      <formula>M894&lt;AC894</formula>
    </cfRule>
  </conditionalFormatting>
  <conditionalFormatting sqref="M903:M951">
    <cfRule type="expression" dxfId="4" priority="4100">
      <formula>M903&lt;AC903</formula>
    </cfRule>
  </conditionalFormatting>
  <conditionalFormatting sqref="M952:M958">
    <cfRule type="expression" dxfId="4" priority="4086">
      <formula>M952&lt;AC952</formula>
    </cfRule>
  </conditionalFormatting>
  <conditionalFormatting sqref="M959:M965">
    <cfRule type="expression" dxfId="4" priority="4073">
      <formula>M959&lt;AC959</formula>
    </cfRule>
  </conditionalFormatting>
  <conditionalFormatting sqref="M968:M1016">
    <cfRule type="expression" dxfId="4" priority="4043">
      <formula>M968&lt;AC968</formula>
    </cfRule>
  </conditionalFormatting>
  <conditionalFormatting sqref="M1017:M1023">
    <cfRule type="expression" dxfId="4" priority="4029">
      <formula>M1017&lt;AC1017</formula>
    </cfRule>
  </conditionalFormatting>
  <conditionalFormatting sqref="M1024:M1030">
    <cfRule type="expression" dxfId="4" priority="4016">
      <formula>M1024&lt;AC1024</formula>
    </cfRule>
  </conditionalFormatting>
  <conditionalFormatting sqref="M1033:M1081">
    <cfRule type="expression" dxfId="4" priority="3986">
      <formula>M1033&lt;AC1033</formula>
    </cfRule>
  </conditionalFormatting>
  <conditionalFormatting sqref="M1082:M1088">
    <cfRule type="expression" dxfId="4" priority="3972">
      <formula>M1082&lt;AC1082</formula>
    </cfRule>
  </conditionalFormatting>
  <conditionalFormatting sqref="M1089:M1095">
    <cfRule type="expression" dxfId="4" priority="3959">
      <formula>M1089&lt;AC1089</formula>
    </cfRule>
  </conditionalFormatting>
  <conditionalFormatting sqref="M1098:M1146">
    <cfRule type="expression" dxfId="4" priority="3929">
      <formula>M1098&lt;AC1098</formula>
    </cfRule>
  </conditionalFormatting>
  <conditionalFormatting sqref="M1147:M1153">
    <cfRule type="expression" dxfId="4" priority="3915">
      <formula>M1147&lt;AC1147</formula>
    </cfRule>
  </conditionalFormatting>
  <conditionalFormatting sqref="M1154:M1160">
    <cfRule type="expression" dxfId="4" priority="3902">
      <formula>M1154&lt;AC1154</formula>
    </cfRule>
  </conditionalFormatting>
  <conditionalFormatting sqref="M1163:M1211">
    <cfRule type="expression" dxfId="4" priority="3872">
      <formula>M1163&lt;AC1163</formula>
    </cfRule>
  </conditionalFormatting>
  <conditionalFormatting sqref="M1212:M1218">
    <cfRule type="expression" dxfId="4" priority="3858">
      <formula>M1212&lt;AC1212</formula>
    </cfRule>
  </conditionalFormatting>
  <conditionalFormatting sqref="M1219:M1225">
    <cfRule type="expression" dxfId="4" priority="3845">
      <formula>M1219&lt;AC1219</formula>
    </cfRule>
  </conditionalFormatting>
  <conditionalFormatting sqref="M1228:M1276">
    <cfRule type="expression" dxfId="4" priority="3815">
      <formula>M1228&lt;AC1228</formula>
    </cfRule>
  </conditionalFormatting>
  <conditionalFormatting sqref="M1277:M1283">
    <cfRule type="expression" dxfId="4" priority="3801">
      <formula>M1277&lt;AC1277</formula>
    </cfRule>
  </conditionalFormatting>
  <conditionalFormatting sqref="M1284:M1290">
    <cfRule type="expression" dxfId="4" priority="3788">
      <formula>M1284&lt;AC1284</formula>
    </cfRule>
  </conditionalFormatting>
  <conditionalFormatting sqref="M1293:M1341">
    <cfRule type="expression" dxfId="4" priority="3758">
      <formula>M1293&lt;AC1293</formula>
    </cfRule>
  </conditionalFormatting>
  <conditionalFormatting sqref="M1342:M1348">
    <cfRule type="expression" dxfId="4" priority="3744">
      <formula>M1342&lt;AC1342</formula>
    </cfRule>
  </conditionalFormatting>
  <conditionalFormatting sqref="M1349:M1355">
    <cfRule type="expression" dxfId="4" priority="3731">
      <formula>M1349&lt;AC1349</formula>
    </cfRule>
  </conditionalFormatting>
  <conditionalFormatting sqref="M1358:M1406">
    <cfRule type="expression" dxfId="4" priority="3701">
      <formula>M1358&lt;AC1358</formula>
    </cfRule>
  </conditionalFormatting>
  <conditionalFormatting sqref="M1407:M1413">
    <cfRule type="expression" dxfId="4" priority="3687">
      <formula>M1407&lt;AC1407</formula>
    </cfRule>
  </conditionalFormatting>
  <conditionalFormatting sqref="M1414:M1420">
    <cfRule type="expression" dxfId="4" priority="3674">
      <formula>M1414&lt;AC1414</formula>
    </cfRule>
  </conditionalFormatting>
  <conditionalFormatting sqref="M1423:M1471">
    <cfRule type="expression" dxfId="4" priority="3644">
      <formula>M1423&lt;AC1423</formula>
    </cfRule>
  </conditionalFormatting>
  <conditionalFormatting sqref="M1472:M1478">
    <cfRule type="expression" dxfId="4" priority="3630">
      <formula>M1472&lt;AC1472</formula>
    </cfRule>
  </conditionalFormatting>
  <conditionalFormatting sqref="M1479:M1485">
    <cfRule type="expression" dxfId="4" priority="3617">
      <formula>M1479&lt;AC1479</formula>
    </cfRule>
  </conditionalFormatting>
  <conditionalFormatting sqref="M1488:M1536">
    <cfRule type="expression" dxfId="4" priority="3587">
      <formula>M1488&lt;AC1488</formula>
    </cfRule>
  </conditionalFormatting>
  <conditionalFormatting sqref="M1537:M1543">
    <cfRule type="expression" dxfId="4" priority="3573">
      <formula>M1537&lt;AC1537</formula>
    </cfRule>
  </conditionalFormatting>
  <conditionalFormatting sqref="M1544:M1550">
    <cfRule type="expression" dxfId="4" priority="3560">
      <formula>M1544&lt;AC1544</formula>
    </cfRule>
  </conditionalFormatting>
  <conditionalFormatting sqref="M1553:M1601">
    <cfRule type="expression" dxfId="4" priority="3530">
      <formula>M1553&lt;AC1553</formula>
    </cfRule>
  </conditionalFormatting>
  <conditionalFormatting sqref="M1602:M1608">
    <cfRule type="expression" dxfId="4" priority="3516">
      <formula>M1602&lt;AC1602</formula>
    </cfRule>
  </conditionalFormatting>
  <conditionalFormatting sqref="M1609:M1615">
    <cfRule type="expression" dxfId="4" priority="3503">
      <formula>M1609&lt;AC1609</formula>
    </cfRule>
  </conditionalFormatting>
  <conditionalFormatting sqref="M1618:M1666">
    <cfRule type="expression" dxfId="4" priority="3473">
      <formula>M1618&lt;AC1618</formula>
    </cfRule>
  </conditionalFormatting>
  <conditionalFormatting sqref="M1667:M1673">
    <cfRule type="expression" dxfId="4" priority="3459">
      <formula>M1667&lt;AC1667</formula>
    </cfRule>
  </conditionalFormatting>
  <conditionalFormatting sqref="M1674:M1680">
    <cfRule type="expression" dxfId="4" priority="3446">
      <formula>M1674&lt;AC1674</formula>
    </cfRule>
  </conditionalFormatting>
  <conditionalFormatting sqref="M1683:M1731">
    <cfRule type="expression" dxfId="4" priority="3416">
      <formula>M1683&lt;AC1683</formula>
    </cfRule>
  </conditionalFormatting>
  <conditionalFormatting sqref="M1732:M1738">
    <cfRule type="expression" dxfId="4" priority="3402">
      <formula>M1732&lt;AC1732</formula>
    </cfRule>
  </conditionalFormatting>
  <conditionalFormatting sqref="M1739:M1745">
    <cfRule type="expression" dxfId="4" priority="3389">
      <formula>M1739&lt;AC1739</formula>
    </cfRule>
  </conditionalFormatting>
  <conditionalFormatting sqref="M1748:M1796">
    <cfRule type="expression" dxfId="4" priority="3359">
      <formula>M1748&lt;AC1748</formula>
    </cfRule>
  </conditionalFormatting>
  <conditionalFormatting sqref="M1797:M1803">
    <cfRule type="expression" dxfId="4" priority="3345">
      <formula>M1797&lt;AC1797</formula>
    </cfRule>
  </conditionalFormatting>
  <conditionalFormatting sqref="M1804:M1810">
    <cfRule type="expression" dxfId="4" priority="3332">
      <formula>M1804&lt;AC1804</formula>
    </cfRule>
  </conditionalFormatting>
  <conditionalFormatting sqref="M1813:M1861">
    <cfRule type="expression" dxfId="4" priority="3302">
      <formula>M1813&lt;AC1813</formula>
    </cfRule>
  </conditionalFormatting>
  <conditionalFormatting sqref="M1862:M1868">
    <cfRule type="expression" dxfId="4" priority="3288">
      <formula>M1862&lt;AC1862</formula>
    </cfRule>
  </conditionalFormatting>
  <conditionalFormatting sqref="M1869:M1875">
    <cfRule type="expression" dxfId="4" priority="3275">
      <formula>M1869&lt;AC1869</formula>
    </cfRule>
  </conditionalFormatting>
  <conditionalFormatting sqref="M1878:M1926">
    <cfRule type="expression" dxfId="4" priority="3245">
      <formula>M1878&lt;AC1878</formula>
    </cfRule>
  </conditionalFormatting>
  <conditionalFormatting sqref="M1927:M1933">
    <cfRule type="expression" dxfId="4" priority="3231">
      <formula>M1927&lt;AC1927</formula>
    </cfRule>
  </conditionalFormatting>
  <conditionalFormatting sqref="M1934:M1940">
    <cfRule type="expression" dxfId="4" priority="3218">
      <formula>M1934&lt;AC1934</formula>
    </cfRule>
  </conditionalFormatting>
  <conditionalFormatting sqref="M2008:M2056">
    <cfRule type="expression" dxfId="4" priority="3127">
      <formula>M2008&lt;AC2008</formula>
    </cfRule>
  </conditionalFormatting>
  <conditionalFormatting sqref="M2057:M2063">
    <cfRule type="expression" dxfId="4" priority="3113">
      <formula>M2057&lt;AC2057</formula>
    </cfRule>
  </conditionalFormatting>
  <conditionalFormatting sqref="M2064:M2070">
    <cfRule type="expression" dxfId="4" priority="3100">
      <formula>M2064&lt;AC2064</formula>
    </cfRule>
  </conditionalFormatting>
  <conditionalFormatting sqref="M2073:M2121">
    <cfRule type="expression" dxfId="4" priority="3070">
      <formula>M2073&lt;AC2073</formula>
    </cfRule>
  </conditionalFormatting>
  <conditionalFormatting sqref="M2122:M2128">
    <cfRule type="expression" dxfId="4" priority="3056">
      <formula>M2122&lt;AC2122</formula>
    </cfRule>
  </conditionalFormatting>
  <conditionalFormatting sqref="M2129:M2135">
    <cfRule type="expression" dxfId="4" priority="3043">
      <formula>M2129&lt;AC2129</formula>
    </cfRule>
  </conditionalFormatting>
  <conditionalFormatting sqref="M2138:M2186">
    <cfRule type="expression" dxfId="4" priority="3013">
      <formula>M2138&lt;AC2138</formula>
    </cfRule>
  </conditionalFormatting>
  <conditionalFormatting sqref="M2187:M2193">
    <cfRule type="expression" dxfId="4" priority="2999">
      <formula>M2187&lt;AC2187</formula>
    </cfRule>
  </conditionalFormatting>
  <conditionalFormatting sqref="M2194:M2200">
    <cfRule type="expression" dxfId="4" priority="2986">
      <formula>M2194&lt;AC2194</formula>
    </cfRule>
  </conditionalFormatting>
  <conditionalFormatting sqref="M2203:M2251">
    <cfRule type="expression" dxfId="4" priority="2956">
      <formula>M2203&lt;AC2203</formula>
    </cfRule>
  </conditionalFormatting>
  <conditionalFormatting sqref="M2252:M2258">
    <cfRule type="expression" dxfId="4" priority="2942">
      <formula>M2252&lt;AC2252</formula>
    </cfRule>
  </conditionalFormatting>
  <conditionalFormatting sqref="M2259:M2265">
    <cfRule type="expression" dxfId="4" priority="2929">
      <formula>M2259&lt;AC2259</formula>
    </cfRule>
  </conditionalFormatting>
  <conditionalFormatting sqref="M2268:M2316">
    <cfRule type="expression" dxfId="4" priority="2899">
      <formula>M2268&lt;AC2268</formula>
    </cfRule>
  </conditionalFormatting>
  <conditionalFormatting sqref="M2317:M2323">
    <cfRule type="expression" dxfId="4" priority="2885">
      <formula>M2317&lt;AC2317</formula>
    </cfRule>
  </conditionalFormatting>
  <conditionalFormatting sqref="M2324:M2330">
    <cfRule type="expression" dxfId="4" priority="2872">
      <formula>M2324&lt;AC2324</formula>
    </cfRule>
  </conditionalFormatting>
  <conditionalFormatting sqref="M2333:M2380">
    <cfRule type="expression" dxfId="4" priority="2842">
      <formula>M2333&lt;AC2333</formula>
    </cfRule>
  </conditionalFormatting>
  <conditionalFormatting sqref="M2382:M2387">
    <cfRule type="expression" dxfId="4" priority="2828">
      <formula>M2382&lt;AC2382</formula>
    </cfRule>
  </conditionalFormatting>
  <conditionalFormatting sqref="M2389:M2394">
    <cfRule type="expression" dxfId="4" priority="2815">
      <formula>M2389&lt;AC2389</formula>
    </cfRule>
  </conditionalFormatting>
  <conditionalFormatting sqref="M2398:M2445">
    <cfRule type="expression" dxfId="4" priority="2783">
      <formula>M2398&lt;AC2398</formula>
    </cfRule>
  </conditionalFormatting>
  <conditionalFormatting sqref="M2447:M2452">
    <cfRule type="expression" dxfId="4" priority="2769">
      <formula>M2447&lt;AC2447</formula>
    </cfRule>
  </conditionalFormatting>
  <conditionalFormatting sqref="M2454:M2459">
    <cfRule type="expression" dxfId="4" priority="2756">
      <formula>M2454&lt;AC2454</formula>
    </cfRule>
  </conditionalFormatting>
  <conditionalFormatting sqref="M2463:M2510">
    <cfRule type="expression" dxfId="4" priority="2724">
      <formula>M2463&lt;AC2463</formula>
    </cfRule>
  </conditionalFormatting>
  <conditionalFormatting sqref="M2512:M2517">
    <cfRule type="expression" dxfId="4" priority="2710">
      <formula>M2512&lt;AC2512</formula>
    </cfRule>
  </conditionalFormatting>
  <conditionalFormatting sqref="M2519:M2524">
    <cfRule type="expression" dxfId="4" priority="2697">
      <formula>M2519&lt;AC2519</formula>
    </cfRule>
  </conditionalFormatting>
  <conditionalFormatting sqref="M2528:M2575">
    <cfRule type="expression" dxfId="4" priority="2665">
      <formula>M2528&lt;AC2528</formula>
    </cfRule>
  </conditionalFormatting>
  <conditionalFormatting sqref="M2577:M2582">
    <cfRule type="expression" dxfId="4" priority="2651">
      <formula>M2577&lt;AC2577</formula>
    </cfRule>
  </conditionalFormatting>
  <conditionalFormatting sqref="M2584:M2589">
    <cfRule type="expression" dxfId="4" priority="2638">
      <formula>M2584&lt;AC2584</formula>
    </cfRule>
  </conditionalFormatting>
  <conditionalFormatting sqref="M2593:M2640">
    <cfRule type="expression" dxfId="4" priority="2606">
      <formula>M2593&lt;AC2593</formula>
    </cfRule>
  </conditionalFormatting>
  <conditionalFormatting sqref="M2642:M2647">
    <cfRule type="expression" dxfId="4" priority="2592">
      <formula>M2642&lt;AC2642</formula>
    </cfRule>
  </conditionalFormatting>
  <conditionalFormatting sqref="M2649:M2654">
    <cfRule type="expression" dxfId="4" priority="2579">
      <formula>M2649&lt;AC2649</formula>
    </cfRule>
  </conditionalFormatting>
  <conditionalFormatting sqref="M2658:M2705">
    <cfRule type="expression" dxfId="4" priority="2547">
      <formula>M2658&lt;AC2658</formula>
    </cfRule>
  </conditionalFormatting>
  <conditionalFormatting sqref="M2707:M2712">
    <cfRule type="expression" dxfId="4" priority="2533">
      <formula>M2707&lt;AC2707</formula>
    </cfRule>
  </conditionalFormatting>
  <conditionalFormatting sqref="M2714:M2719">
    <cfRule type="expression" dxfId="4" priority="2520">
      <formula>M2714&lt;AC2714</formula>
    </cfRule>
  </conditionalFormatting>
  <conditionalFormatting sqref="M2723:M2770">
    <cfRule type="expression" dxfId="4" priority="2488">
      <formula>M2723&lt;AC2723</formula>
    </cfRule>
  </conditionalFormatting>
  <conditionalFormatting sqref="M2772:M2777">
    <cfRule type="expression" dxfId="4" priority="2474">
      <formula>M2772&lt;AC2772</formula>
    </cfRule>
  </conditionalFormatting>
  <conditionalFormatting sqref="M2779:M2784">
    <cfRule type="expression" dxfId="4" priority="2461">
      <formula>M2779&lt;AC2779</formula>
    </cfRule>
  </conditionalFormatting>
  <conditionalFormatting sqref="M2788:M2835">
    <cfRule type="expression" dxfId="4" priority="2429">
      <formula>M2788&lt;AC2788</formula>
    </cfRule>
  </conditionalFormatting>
  <conditionalFormatting sqref="M2837:M2842">
    <cfRule type="expression" dxfId="4" priority="2415">
      <formula>M2837&lt;AC2837</formula>
    </cfRule>
  </conditionalFormatting>
  <conditionalFormatting sqref="M2844:M2849">
    <cfRule type="expression" dxfId="4" priority="2402">
      <formula>M2844&lt;AC2844</formula>
    </cfRule>
  </conditionalFormatting>
  <conditionalFormatting sqref="M2853:M2900">
    <cfRule type="expression" dxfId="4" priority="2370">
      <formula>M2853&lt;AC2853</formula>
    </cfRule>
  </conditionalFormatting>
  <conditionalFormatting sqref="M2902:M2907">
    <cfRule type="expression" dxfId="4" priority="2356">
      <formula>M2902&lt;AC2902</formula>
    </cfRule>
  </conditionalFormatting>
  <conditionalFormatting sqref="M2909:M2914">
    <cfRule type="expression" dxfId="4" priority="2343">
      <formula>M2909&lt;AC2909</formula>
    </cfRule>
  </conditionalFormatting>
  <conditionalFormatting sqref="M2918:M2965">
    <cfRule type="expression" dxfId="4" priority="2311">
      <formula>M2918&lt;AC2918</formula>
    </cfRule>
  </conditionalFormatting>
  <conditionalFormatting sqref="M2967:M2972">
    <cfRule type="expression" dxfId="4" priority="2297">
      <formula>M2967&lt;AC2967</formula>
    </cfRule>
  </conditionalFormatting>
  <conditionalFormatting sqref="M2974:M2979">
    <cfRule type="expression" dxfId="4" priority="2284">
      <formula>M2974&lt;AC2974</formula>
    </cfRule>
  </conditionalFormatting>
  <conditionalFormatting sqref="M2983:M3030">
    <cfRule type="expression" dxfId="4" priority="2252">
      <formula>M2983&lt;AC2983</formula>
    </cfRule>
  </conditionalFormatting>
  <conditionalFormatting sqref="M3032:M3037">
    <cfRule type="expression" dxfId="4" priority="2238">
      <formula>M3032&lt;AC3032</formula>
    </cfRule>
  </conditionalFormatting>
  <conditionalFormatting sqref="M3039:M3044">
    <cfRule type="expression" dxfId="4" priority="2225">
      <formula>M3039&lt;AC3039</formula>
    </cfRule>
  </conditionalFormatting>
  <conditionalFormatting sqref="M3048:M3095">
    <cfRule type="expression" dxfId="4" priority="2193">
      <formula>M3048&lt;AC3048</formula>
    </cfRule>
  </conditionalFormatting>
  <conditionalFormatting sqref="M3097:M3102">
    <cfRule type="expression" dxfId="4" priority="2179">
      <formula>M3097&lt;AC3097</formula>
    </cfRule>
  </conditionalFormatting>
  <conditionalFormatting sqref="M3104:M3109">
    <cfRule type="expression" dxfId="4" priority="2166">
      <formula>M3104&lt;AC3104</formula>
    </cfRule>
  </conditionalFormatting>
  <conditionalFormatting sqref="M3113:M3160">
    <cfRule type="expression" dxfId="4" priority="2134">
      <formula>M3113&lt;AC3113</formula>
    </cfRule>
  </conditionalFormatting>
  <conditionalFormatting sqref="M3162:M3167">
    <cfRule type="expression" dxfId="4" priority="2120">
      <formula>M3162&lt;AC3162</formula>
    </cfRule>
  </conditionalFormatting>
  <conditionalFormatting sqref="M3169:M3174">
    <cfRule type="expression" dxfId="4" priority="2107">
      <formula>M3169&lt;AC3169</formula>
    </cfRule>
  </conditionalFormatting>
  <conditionalFormatting sqref="M3178:M3225">
    <cfRule type="expression" dxfId="4" priority="2075">
      <formula>M3178&lt;AC3178</formula>
    </cfRule>
  </conditionalFormatting>
  <conditionalFormatting sqref="M3227:M3232">
    <cfRule type="expression" dxfId="4" priority="2061">
      <formula>M3227&lt;AC3227</formula>
    </cfRule>
  </conditionalFormatting>
  <conditionalFormatting sqref="M3234:M3239">
    <cfRule type="expression" dxfId="4" priority="2048">
      <formula>M3234&lt;AC3234</formula>
    </cfRule>
  </conditionalFormatting>
  <conditionalFormatting sqref="M3243:M3290">
    <cfRule type="expression" dxfId="4" priority="2016">
      <formula>M3243&lt;AC3243</formula>
    </cfRule>
  </conditionalFormatting>
  <conditionalFormatting sqref="M3292:M3297">
    <cfRule type="expression" dxfId="4" priority="2002">
      <formula>M3292&lt;AC3292</formula>
    </cfRule>
  </conditionalFormatting>
  <conditionalFormatting sqref="M3299:M3304">
    <cfRule type="expression" dxfId="4" priority="1989">
      <formula>M3299&lt;AC3299</formula>
    </cfRule>
  </conditionalFormatting>
  <conditionalFormatting sqref="M3308:M3355">
    <cfRule type="expression" dxfId="4" priority="1957">
      <formula>M3308&lt;AC3308</formula>
    </cfRule>
  </conditionalFormatting>
  <conditionalFormatting sqref="M3357:M3362">
    <cfRule type="expression" dxfId="4" priority="1943">
      <formula>M3357&lt;AC3357</formula>
    </cfRule>
  </conditionalFormatting>
  <conditionalFormatting sqref="M3364:M3369">
    <cfRule type="expression" dxfId="4" priority="1930">
      <formula>M3364&lt;AC3364</formula>
    </cfRule>
  </conditionalFormatting>
  <conditionalFormatting sqref="M3373:M3420">
    <cfRule type="expression" dxfId="4" priority="1898">
      <formula>M3373&lt;AC3373</formula>
    </cfRule>
  </conditionalFormatting>
  <conditionalFormatting sqref="M3422:M3427">
    <cfRule type="expression" dxfId="4" priority="1884">
      <formula>M3422&lt;AC3422</formula>
    </cfRule>
  </conditionalFormatting>
  <conditionalFormatting sqref="M3429:M3434">
    <cfRule type="expression" dxfId="4" priority="1871">
      <formula>M3429&lt;AC3429</formula>
    </cfRule>
  </conditionalFormatting>
  <conditionalFormatting sqref="M3438:M3485">
    <cfRule type="expression" dxfId="4" priority="1839">
      <formula>M3438&lt;AC3438</formula>
    </cfRule>
  </conditionalFormatting>
  <conditionalFormatting sqref="M3487:M3492">
    <cfRule type="expression" dxfId="4" priority="1825">
      <formula>M3487&lt;AC3487</formula>
    </cfRule>
  </conditionalFormatting>
  <conditionalFormatting sqref="M3494:M3499">
    <cfRule type="expression" dxfId="4" priority="1812">
      <formula>M3494&lt;AC3494</formula>
    </cfRule>
  </conditionalFormatting>
  <conditionalFormatting sqref="M3503:M3550">
    <cfRule type="expression" dxfId="4" priority="1780">
      <formula>M3503&lt;AC3503</formula>
    </cfRule>
  </conditionalFormatting>
  <conditionalFormatting sqref="M3552:M3557">
    <cfRule type="expression" dxfId="4" priority="1766">
      <formula>M3552&lt;AC3552</formula>
    </cfRule>
  </conditionalFormatting>
  <conditionalFormatting sqref="M3559:M3564">
    <cfRule type="expression" dxfId="4" priority="1753">
      <formula>M3559&lt;AC3559</formula>
    </cfRule>
  </conditionalFormatting>
  <conditionalFormatting sqref="M3568:M3615">
    <cfRule type="expression" dxfId="4" priority="1721">
      <formula>M3568&lt;AC3568</formula>
    </cfRule>
  </conditionalFormatting>
  <conditionalFormatting sqref="M3617:M3622">
    <cfRule type="expression" dxfId="4" priority="1707">
      <formula>M3617&lt;AC3617</formula>
    </cfRule>
  </conditionalFormatting>
  <conditionalFormatting sqref="M3624:M3629">
    <cfRule type="expression" dxfId="4" priority="1694">
      <formula>M3624&lt;AC3624</formula>
    </cfRule>
  </conditionalFormatting>
  <conditionalFormatting sqref="M3633:M3680">
    <cfRule type="expression" dxfId="4" priority="1662">
      <formula>M3633&lt;AC3633</formula>
    </cfRule>
  </conditionalFormatting>
  <conditionalFormatting sqref="M3682:M3687">
    <cfRule type="expression" dxfId="4" priority="1648">
      <formula>M3682&lt;AC3682</formula>
    </cfRule>
  </conditionalFormatting>
  <conditionalFormatting sqref="M3689:M3694">
    <cfRule type="expression" dxfId="4" priority="1635">
      <formula>M3689&lt;AC3689</formula>
    </cfRule>
  </conditionalFormatting>
  <conditionalFormatting sqref="M3698:M3745">
    <cfRule type="expression" dxfId="4" priority="1603">
      <formula>M3698&lt;AC3698</formula>
    </cfRule>
  </conditionalFormatting>
  <conditionalFormatting sqref="M3747:M3752">
    <cfRule type="expression" dxfId="4" priority="1589">
      <formula>M3747&lt;AC3747</formula>
    </cfRule>
  </conditionalFormatting>
  <conditionalFormatting sqref="M3754:M3759">
    <cfRule type="expression" dxfId="4" priority="1576">
      <formula>M3754&lt;AC3754</formula>
    </cfRule>
  </conditionalFormatting>
  <conditionalFormatting sqref="M3763:M3810">
    <cfRule type="expression" dxfId="4" priority="1544">
      <formula>M3763&lt;AC3763</formula>
    </cfRule>
  </conditionalFormatting>
  <conditionalFormatting sqref="M3812:M3817">
    <cfRule type="expression" dxfId="4" priority="1530">
      <formula>M3812&lt;AC3812</formula>
    </cfRule>
  </conditionalFormatting>
  <conditionalFormatting sqref="M3819:M3824">
    <cfRule type="expression" dxfId="4" priority="1517">
      <formula>M3819&lt;AC3819</formula>
    </cfRule>
  </conditionalFormatting>
  <conditionalFormatting sqref="M3828:M3875">
    <cfRule type="expression" dxfId="4" priority="1485">
      <formula>M3828&lt;AC3828</formula>
    </cfRule>
  </conditionalFormatting>
  <conditionalFormatting sqref="M3877:M3882">
    <cfRule type="expression" dxfId="4" priority="1471">
      <formula>M3877&lt;AC3877</formula>
    </cfRule>
  </conditionalFormatting>
  <conditionalFormatting sqref="M3884:M3889">
    <cfRule type="expression" dxfId="4" priority="1458">
      <formula>M3884&lt;AC3884</formula>
    </cfRule>
  </conditionalFormatting>
  <conditionalFormatting sqref="M3893:M3940">
    <cfRule type="expression" dxfId="4" priority="1426">
      <formula>M3893&lt;AC3893</formula>
    </cfRule>
  </conditionalFormatting>
  <conditionalFormatting sqref="M3942:M3947">
    <cfRule type="expression" dxfId="4" priority="1412">
      <formula>M3942&lt;AC3942</formula>
    </cfRule>
  </conditionalFormatting>
  <conditionalFormatting sqref="M3949:M3954">
    <cfRule type="expression" dxfId="4" priority="1399">
      <formula>M3949&lt;AC3949</formula>
    </cfRule>
  </conditionalFormatting>
  <conditionalFormatting sqref="M3958:M4005">
    <cfRule type="expression" dxfId="4" priority="1367">
      <formula>M3958&lt;AC3958</formula>
    </cfRule>
  </conditionalFormatting>
  <conditionalFormatting sqref="M4007:M4012">
    <cfRule type="expression" dxfId="4" priority="1353">
      <formula>M4007&lt;AC4007</formula>
    </cfRule>
  </conditionalFormatting>
  <conditionalFormatting sqref="M4014:M4019">
    <cfRule type="expression" dxfId="4" priority="1340">
      <formula>M4014&lt;AC4014</formula>
    </cfRule>
  </conditionalFormatting>
  <conditionalFormatting sqref="M4023:M4070">
    <cfRule type="expression" dxfId="4" priority="1308">
      <formula>M4023&lt;AC4023</formula>
    </cfRule>
  </conditionalFormatting>
  <conditionalFormatting sqref="M4072:M4077">
    <cfRule type="expression" dxfId="4" priority="1294">
      <formula>M4072&lt;AC4072</formula>
    </cfRule>
  </conditionalFormatting>
  <conditionalFormatting sqref="M4079:M4084">
    <cfRule type="expression" dxfId="4" priority="1281">
      <formula>M4079&lt;AC4079</formula>
    </cfRule>
  </conditionalFormatting>
  <conditionalFormatting sqref="M4088:M4135">
    <cfRule type="expression" dxfId="4" priority="1249">
      <formula>M4088&lt;AC4088</formula>
    </cfRule>
  </conditionalFormatting>
  <conditionalFormatting sqref="M4137:M4142">
    <cfRule type="expression" dxfId="4" priority="1235">
      <formula>M4137&lt;AC4137</formula>
    </cfRule>
  </conditionalFormatting>
  <conditionalFormatting sqref="M4144:M4149">
    <cfRule type="expression" dxfId="4" priority="1222">
      <formula>M4144&lt;AC4144</formula>
    </cfRule>
  </conditionalFormatting>
  <conditionalFormatting sqref="M4153:M4200">
    <cfRule type="expression" dxfId="4" priority="1190">
      <formula>M4153&lt;AC4153</formula>
    </cfRule>
  </conditionalFormatting>
  <conditionalFormatting sqref="M4202:M4207">
    <cfRule type="expression" dxfId="4" priority="1176">
      <formula>M4202&lt;AC4202</formula>
    </cfRule>
  </conditionalFormatting>
  <conditionalFormatting sqref="M4209:M4214">
    <cfRule type="expression" dxfId="4" priority="1163">
      <formula>M4209&lt;AC4209</formula>
    </cfRule>
  </conditionalFormatting>
  <conditionalFormatting sqref="M4218:M4265">
    <cfRule type="expression" dxfId="4" priority="1131">
      <formula>M4218&lt;AC4218</formula>
    </cfRule>
  </conditionalFormatting>
  <conditionalFormatting sqref="M4267:M4272">
    <cfRule type="expression" dxfId="4" priority="1117">
      <formula>M4267&lt;AC4267</formula>
    </cfRule>
  </conditionalFormatting>
  <conditionalFormatting sqref="M4274:M4279">
    <cfRule type="expression" dxfId="4" priority="1104">
      <formula>M4274&lt;AC4274</formula>
    </cfRule>
  </conditionalFormatting>
  <conditionalFormatting sqref="M4283:M4330">
    <cfRule type="expression" dxfId="4" priority="1072">
      <formula>M4283&lt;AC4283</formula>
    </cfRule>
  </conditionalFormatting>
  <conditionalFormatting sqref="M4332:M4337">
    <cfRule type="expression" dxfId="4" priority="1058">
      <formula>M4332&lt;AC4332</formula>
    </cfRule>
  </conditionalFormatting>
  <conditionalFormatting sqref="M4339:M4344">
    <cfRule type="expression" dxfId="4" priority="1045">
      <formula>M4339&lt;AC4339</formula>
    </cfRule>
  </conditionalFormatting>
  <conditionalFormatting sqref="M4348:M4395">
    <cfRule type="expression" dxfId="4" priority="1013">
      <formula>M4348&lt;AC4348</formula>
    </cfRule>
  </conditionalFormatting>
  <conditionalFormatting sqref="M4397:M4402">
    <cfRule type="expression" dxfId="4" priority="999">
      <formula>M4397&lt;AC4397</formula>
    </cfRule>
  </conditionalFormatting>
  <conditionalFormatting sqref="M4404:M4409">
    <cfRule type="expression" dxfId="4" priority="986">
      <formula>M4404&lt;AC4404</formula>
    </cfRule>
  </conditionalFormatting>
  <conditionalFormatting sqref="M4413:M4460">
    <cfRule type="expression" dxfId="4" priority="954">
      <formula>M4413&lt;AC4413</formula>
    </cfRule>
  </conditionalFormatting>
  <conditionalFormatting sqref="M4462:M4467">
    <cfRule type="expression" dxfId="4" priority="940">
      <formula>M4462&lt;AC4462</formula>
    </cfRule>
  </conditionalFormatting>
  <conditionalFormatting sqref="M4469:M4474">
    <cfRule type="expression" dxfId="4" priority="927">
      <formula>M4469&lt;AC4469</formula>
    </cfRule>
  </conditionalFormatting>
  <conditionalFormatting sqref="M4478:M4525">
    <cfRule type="expression" dxfId="4" priority="895">
      <formula>M4478&lt;AC4478</formula>
    </cfRule>
  </conditionalFormatting>
  <conditionalFormatting sqref="M4527:M4532">
    <cfRule type="expression" dxfId="4" priority="881">
      <formula>M4527&lt;AC4527</formula>
    </cfRule>
  </conditionalFormatting>
  <conditionalFormatting sqref="M4534:M4539">
    <cfRule type="expression" dxfId="4" priority="868">
      <formula>M4534&lt;AC4534</formula>
    </cfRule>
  </conditionalFormatting>
  <conditionalFormatting sqref="M4543:M4590">
    <cfRule type="expression" dxfId="4" priority="836">
      <formula>M4543&lt;AC4543</formula>
    </cfRule>
  </conditionalFormatting>
  <conditionalFormatting sqref="M4592:M4597">
    <cfRule type="expression" dxfId="4" priority="822">
      <formula>M4592&lt;AC4592</formula>
    </cfRule>
  </conditionalFormatting>
  <conditionalFormatting sqref="M4599:M4604">
    <cfRule type="expression" dxfId="4" priority="809">
      <formula>M4599&lt;AC4599</formula>
    </cfRule>
  </conditionalFormatting>
  <conditionalFormatting sqref="M4608:M4655">
    <cfRule type="expression" dxfId="4" priority="777">
      <formula>M4608&lt;AC4608</formula>
    </cfRule>
  </conditionalFormatting>
  <conditionalFormatting sqref="M4657:M4662">
    <cfRule type="expression" dxfId="4" priority="763">
      <formula>M4657&lt;AC4657</formula>
    </cfRule>
  </conditionalFormatting>
  <conditionalFormatting sqref="M4664:M4669">
    <cfRule type="expression" dxfId="4" priority="750">
      <formula>M4664&lt;AC4664</formula>
    </cfRule>
  </conditionalFormatting>
  <conditionalFormatting sqref="M4673:M4720">
    <cfRule type="expression" dxfId="4" priority="718">
      <formula>M4673&lt;AC4673</formula>
    </cfRule>
  </conditionalFormatting>
  <conditionalFormatting sqref="M4722:M4727">
    <cfRule type="expression" dxfId="4" priority="704">
      <formula>M4722&lt;AC4722</formula>
    </cfRule>
  </conditionalFormatting>
  <conditionalFormatting sqref="M4729:M4734">
    <cfRule type="expression" dxfId="4" priority="691">
      <formula>M4729&lt;AC4729</formula>
    </cfRule>
  </conditionalFormatting>
  <conditionalFormatting sqref="M4738:M4785">
    <cfRule type="expression" dxfId="4" priority="659">
      <formula>M4738&lt;AC4738</formula>
    </cfRule>
  </conditionalFormatting>
  <conditionalFormatting sqref="M4787:M4792">
    <cfRule type="expression" dxfId="4" priority="645">
      <formula>M4787&lt;AC4787</formula>
    </cfRule>
  </conditionalFormatting>
  <conditionalFormatting sqref="M4794:M4799">
    <cfRule type="expression" dxfId="4" priority="632">
      <formula>M4794&lt;AC4794</formula>
    </cfRule>
  </conditionalFormatting>
  <conditionalFormatting sqref="M4803:M4850">
    <cfRule type="expression" dxfId="4" priority="600">
      <formula>M4803&lt;AC4803</formula>
    </cfRule>
  </conditionalFormatting>
  <conditionalFormatting sqref="M4852:M4857">
    <cfRule type="expression" dxfId="4" priority="586">
      <formula>M4852&lt;AC4852</formula>
    </cfRule>
  </conditionalFormatting>
  <conditionalFormatting sqref="M4859:M4864">
    <cfRule type="expression" dxfId="4" priority="573">
      <formula>M4859&lt;AC4859</formula>
    </cfRule>
  </conditionalFormatting>
  <conditionalFormatting sqref="M4868:M4915">
    <cfRule type="expression" dxfId="4" priority="541">
      <formula>M4868&lt;AC4868</formula>
    </cfRule>
  </conditionalFormatting>
  <conditionalFormatting sqref="M4917:M4922">
    <cfRule type="expression" dxfId="4" priority="527">
      <formula>M4917&lt;AC4917</formula>
    </cfRule>
  </conditionalFormatting>
  <conditionalFormatting sqref="M4924:M4929">
    <cfRule type="expression" dxfId="4" priority="514">
      <formula>M4924&lt;AC4924</formula>
    </cfRule>
  </conditionalFormatting>
  <conditionalFormatting sqref="M4933:M4980">
    <cfRule type="expression" dxfId="4" priority="482">
      <formula>M4933&lt;AC4933</formula>
    </cfRule>
  </conditionalFormatting>
  <conditionalFormatting sqref="M4982:M4987">
    <cfRule type="expression" dxfId="4" priority="468">
      <formula>M4982&lt;AC4982</formula>
    </cfRule>
  </conditionalFormatting>
  <conditionalFormatting sqref="M4989:M4994">
    <cfRule type="expression" dxfId="4" priority="455">
      <formula>M4989&lt;AC4989</formula>
    </cfRule>
  </conditionalFormatting>
  <conditionalFormatting sqref="M4998:M5045">
    <cfRule type="expression" dxfId="4" priority="423">
      <formula>M4998&lt;AC4998</formula>
    </cfRule>
  </conditionalFormatting>
  <conditionalFormatting sqref="M5047:M5052">
    <cfRule type="expression" dxfId="4" priority="409">
      <formula>M5047&lt;AC5047</formula>
    </cfRule>
  </conditionalFormatting>
  <conditionalFormatting sqref="M5054:M5059">
    <cfRule type="expression" dxfId="4" priority="396">
      <formula>M5054&lt;AC5054</formula>
    </cfRule>
  </conditionalFormatting>
  <conditionalFormatting sqref="M5063:M5110">
    <cfRule type="expression" dxfId="4" priority="364">
      <formula>M5063&lt;AC5063</formula>
    </cfRule>
  </conditionalFormatting>
  <conditionalFormatting sqref="M5112:M5117">
    <cfRule type="expression" dxfId="4" priority="350">
      <formula>M5112&lt;AC5112</formula>
    </cfRule>
  </conditionalFormatting>
  <conditionalFormatting sqref="M5119:M5124">
    <cfRule type="expression" dxfId="4" priority="337">
      <formula>M5119&lt;AC5119</formula>
    </cfRule>
  </conditionalFormatting>
  <conditionalFormatting sqref="N3:N51">
    <cfRule type="expression" dxfId="4" priority="4589">
      <formula>N3&lt;AD3</formula>
    </cfRule>
  </conditionalFormatting>
  <conditionalFormatting sqref="N54:N102">
    <cfRule type="expression" dxfId="4" priority="4567">
      <formula>N54&lt;AD54</formula>
    </cfRule>
  </conditionalFormatting>
  <conditionalFormatting sqref="N105:N153">
    <cfRule type="expression" dxfId="4" priority="4633">
      <formula>N105&lt;AD105</formula>
    </cfRule>
  </conditionalFormatting>
  <conditionalFormatting sqref="N156:N204">
    <cfRule type="expression" dxfId="4" priority="4611">
      <formula>N156&lt;AD156</formula>
    </cfRule>
  </conditionalFormatting>
  <conditionalFormatting sqref="N207:N255">
    <cfRule type="expression" dxfId="4" priority="4545">
      <formula>N207&lt;AD207</formula>
    </cfRule>
  </conditionalFormatting>
  <conditionalFormatting sqref="N258:N306">
    <cfRule type="expression" dxfId="4" priority="4523">
      <formula>N258&lt;AD258</formula>
    </cfRule>
  </conditionalFormatting>
  <conditionalFormatting sqref="N309:N357">
    <cfRule type="expression" dxfId="4" priority="4501">
      <formula>N309&lt;AD309</formula>
    </cfRule>
  </conditionalFormatting>
  <conditionalFormatting sqref="N360:N408">
    <cfRule type="expression" dxfId="4" priority="4479">
      <formula>N360&lt;AD360</formula>
    </cfRule>
  </conditionalFormatting>
  <conditionalFormatting sqref="N411:N459">
    <cfRule type="expression" dxfId="4" priority="4457">
      <formula>N411&lt;AD411</formula>
    </cfRule>
  </conditionalFormatting>
  <conditionalFormatting sqref="N513:N561">
    <cfRule type="expression" dxfId="4" priority="4413">
      <formula>N513&lt;AD513</formula>
    </cfRule>
  </conditionalFormatting>
  <conditionalFormatting sqref="N562:N568">
    <cfRule type="expression" dxfId="4" priority="4391">
      <formula>N562&lt;AD562</formula>
    </cfRule>
  </conditionalFormatting>
  <conditionalFormatting sqref="N569:N575">
    <cfRule type="expression" dxfId="4" priority="4377">
      <formula>N569&lt;AD569</formula>
    </cfRule>
  </conditionalFormatting>
  <conditionalFormatting sqref="N578:N626">
    <cfRule type="expression" dxfId="4" priority="4363">
      <formula>N578&lt;AD578</formula>
    </cfRule>
  </conditionalFormatting>
  <conditionalFormatting sqref="N627:N633">
    <cfRule type="expression" dxfId="4" priority="4341">
      <formula>N627&lt;AD627</formula>
    </cfRule>
  </conditionalFormatting>
  <conditionalFormatting sqref="N634:N640">
    <cfRule type="expression" dxfId="4" priority="4327">
      <formula>N634&lt;AD634</formula>
    </cfRule>
  </conditionalFormatting>
  <conditionalFormatting sqref="N643:N691">
    <cfRule type="expression" dxfId="4" priority="4313">
      <formula>N643&lt;AD643</formula>
    </cfRule>
  </conditionalFormatting>
  <conditionalFormatting sqref="N692:N698">
    <cfRule type="expression" dxfId="4" priority="4291">
      <formula>N692&lt;AD692</formula>
    </cfRule>
  </conditionalFormatting>
  <conditionalFormatting sqref="N699:N705">
    <cfRule type="expression" dxfId="4" priority="4277">
      <formula>N699&lt;AD699</formula>
    </cfRule>
  </conditionalFormatting>
  <conditionalFormatting sqref="N708:N756">
    <cfRule type="expression" dxfId="4" priority="4263">
      <formula>N708&lt;AD708</formula>
    </cfRule>
  </conditionalFormatting>
  <conditionalFormatting sqref="N757:N763">
    <cfRule type="expression" dxfId="4" priority="4241">
      <formula>N757&lt;AD757</formula>
    </cfRule>
  </conditionalFormatting>
  <conditionalFormatting sqref="N764:N770">
    <cfRule type="expression" dxfId="4" priority="4227">
      <formula>N764&lt;AD764</formula>
    </cfRule>
  </conditionalFormatting>
  <conditionalFormatting sqref="N773:N821">
    <cfRule type="expression" dxfId="4" priority="4213">
      <formula>N773&lt;AD773</formula>
    </cfRule>
  </conditionalFormatting>
  <conditionalFormatting sqref="N822:N828">
    <cfRule type="expression" dxfId="4" priority="4199">
      <formula>N822&lt;AD822</formula>
    </cfRule>
  </conditionalFormatting>
  <conditionalFormatting sqref="N829:N835">
    <cfRule type="expression" dxfId="4" priority="4186">
      <formula>N829&lt;AD829</formula>
    </cfRule>
  </conditionalFormatting>
  <conditionalFormatting sqref="N838:N886">
    <cfRule type="expression" dxfId="4" priority="4156">
      <formula>N838&lt;AD838</formula>
    </cfRule>
  </conditionalFormatting>
  <conditionalFormatting sqref="N887:N893">
    <cfRule type="expression" dxfId="4" priority="4142">
      <formula>N887&lt;AD887</formula>
    </cfRule>
  </conditionalFormatting>
  <conditionalFormatting sqref="N894:N900">
    <cfRule type="expression" dxfId="4" priority="4129">
      <formula>N894&lt;AD894</formula>
    </cfRule>
  </conditionalFormatting>
  <conditionalFormatting sqref="N903:N951">
    <cfRule type="expression" dxfId="4" priority="4099">
      <formula>N903&lt;AD903</formula>
    </cfRule>
  </conditionalFormatting>
  <conditionalFormatting sqref="N952:N958">
    <cfRule type="expression" dxfId="4" priority="4085">
      <formula>N952&lt;AD952</formula>
    </cfRule>
  </conditionalFormatting>
  <conditionalFormatting sqref="N959:N965">
    <cfRule type="expression" dxfId="4" priority="4072">
      <formula>N959&lt;AD959</formula>
    </cfRule>
  </conditionalFormatting>
  <conditionalFormatting sqref="N968:N1016">
    <cfRule type="expression" dxfId="4" priority="4042">
      <formula>N968&lt;AD968</formula>
    </cfRule>
  </conditionalFormatting>
  <conditionalFormatting sqref="N1017:N1023">
    <cfRule type="expression" dxfId="4" priority="4028">
      <formula>N1017&lt;AD1017</formula>
    </cfRule>
  </conditionalFormatting>
  <conditionalFormatting sqref="N1024:N1030">
    <cfRule type="expression" dxfId="4" priority="4015">
      <formula>N1024&lt;AD1024</formula>
    </cfRule>
  </conditionalFormatting>
  <conditionalFormatting sqref="N1033:N1081">
    <cfRule type="expression" dxfId="4" priority="3985">
      <formula>N1033&lt;AD1033</formula>
    </cfRule>
  </conditionalFormatting>
  <conditionalFormatting sqref="N1082:N1088">
    <cfRule type="expression" dxfId="4" priority="3971">
      <formula>N1082&lt;AD1082</formula>
    </cfRule>
  </conditionalFormatting>
  <conditionalFormatting sqref="N1089:N1095">
    <cfRule type="expression" dxfId="4" priority="3958">
      <formula>N1089&lt;AD1089</formula>
    </cfRule>
  </conditionalFormatting>
  <conditionalFormatting sqref="N1098:N1146">
    <cfRule type="expression" dxfId="4" priority="3928">
      <formula>N1098&lt;AD1098</formula>
    </cfRule>
  </conditionalFormatting>
  <conditionalFormatting sqref="N1147:N1153">
    <cfRule type="expression" dxfId="4" priority="3914">
      <formula>N1147&lt;AD1147</formula>
    </cfRule>
  </conditionalFormatting>
  <conditionalFormatting sqref="N1154:N1160">
    <cfRule type="expression" dxfId="4" priority="3901">
      <formula>N1154&lt;AD1154</formula>
    </cfRule>
  </conditionalFormatting>
  <conditionalFormatting sqref="N1163:N1211">
    <cfRule type="expression" dxfId="4" priority="3871">
      <formula>N1163&lt;AD1163</formula>
    </cfRule>
  </conditionalFormatting>
  <conditionalFormatting sqref="N1212:N1218">
    <cfRule type="expression" dxfId="4" priority="3857">
      <formula>N1212&lt;AD1212</formula>
    </cfRule>
  </conditionalFormatting>
  <conditionalFormatting sqref="N1219:N1225">
    <cfRule type="expression" dxfId="4" priority="3844">
      <formula>N1219&lt;AD1219</formula>
    </cfRule>
  </conditionalFormatting>
  <conditionalFormatting sqref="N1228:N1276">
    <cfRule type="expression" dxfId="4" priority="3814">
      <formula>N1228&lt;AD1228</formula>
    </cfRule>
  </conditionalFormatting>
  <conditionalFormatting sqref="N1277:N1283">
    <cfRule type="expression" dxfId="4" priority="3800">
      <formula>N1277&lt;AD1277</formula>
    </cfRule>
  </conditionalFormatting>
  <conditionalFormatting sqref="N1284:N1290">
    <cfRule type="expression" dxfId="4" priority="3787">
      <formula>N1284&lt;AD1284</formula>
    </cfRule>
  </conditionalFormatting>
  <conditionalFormatting sqref="N1293:N1341">
    <cfRule type="expression" dxfId="4" priority="3757">
      <formula>N1293&lt;AD1293</formula>
    </cfRule>
  </conditionalFormatting>
  <conditionalFormatting sqref="N1342:N1348">
    <cfRule type="expression" dxfId="4" priority="3743">
      <formula>N1342&lt;AD1342</formula>
    </cfRule>
  </conditionalFormatting>
  <conditionalFormatting sqref="N1349:N1355">
    <cfRule type="expression" dxfId="4" priority="3730">
      <formula>N1349&lt;AD1349</formula>
    </cfRule>
  </conditionalFormatting>
  <conditionalFormatting sqref="N1358:N1406">
    <cfRule type="expression" dxfId="4" priority="3700">
      <formula>N1358&lt;AD1358</formula>
    </cfRule>
  </conditionalFormatting>
  <conditionalFormatting sqref="N1407:N1413">
    <cfRule type="expression" dxfId="4" priority="3686">
      <formula>N1407&lt;AD1407</formula>
    </cfRule>
  </conditionalFormatting>
  <conditionalFormatting sqref="N1414:N1420">
    <cfRule type="expression" dxfId="4" priority="3673">
      <formula>N1414&lt;AD1414</formula>
    </cfRule>
  </conditionalFormatting>
  <conditionalFormatting sqref="N1423:N1471">
    <cfRule type="expression" dxfId="4" priority="3643">
      <formula>N1423&lt;AD1423</formula>
    </cfRule>
  </conditionalFormatting>
  <conditionalFormatting sqref="N1472:N1478">
    <cfRule type="expression" dxfId="4" priority="3629">
      <formula>N1472&lt;AD1472</formula>
    </cfRule>
  </conditionalFormatting>
  <conditionalFormatting sqref="N1479:N1485">
    <cfRule type="expression" dxfId="4" priority="3616">
      <formula>N1479&lt;AD1479</formula>
    </cfRule>
  </conditionalFormatting>
  <conditionalFormatting sqref="N1488:N1536">
    <cfRule type="expression" dxfId="4" priority="3586">
      <formula>N1488&lt;AD1488</formula>
    </cfRule>
  </conditionalFormatting>
  <conditionalFormatting sqref="N1537:N1543">
    <cfRule type="expression" dxfId="4" priority="3572">
      <formula>N1537&lt;AD1537</formula>
    </cfRule>
  </conditionalFormatting>
  <conditionalFormatting sqref="N1544:N1550">
    <cfRule type="expression" dxfId="4" priority="3559">
      <formula>N1544&lt;AD1544</formula>
    </cfRule>
  </conditionalFormatting>
  <conditionalFormatting sqref="N1553:N1601">
    <cfRule type="expression" dxfId="4" priority="3529">
      <formula>N1553&lt;AD1553</formula>
    </cfRule>
  </conditionalFormatting>
  <conditionalFormatting sqref="N1602:N1608">
    <cfRule type="expression" dxfId="4" priority="3515">
      <formula>N1602&lt;AD1602</formula>
    </cfRule>
  </conditionalFormatting>
  <conditionalFormatting sqref="N1609:N1615">
    <cfRule type="expression" dxfId="4" priority="3502">
      <formula>N1609&lt;AD1609</formula>
    </cfRule>
  </conditionalFormatting>
  <conditionalFormatting sqref="N1618:N1666">
    <cfRule type="expression" dxfId="4" priority="3472">
      <formula>N1618&lt;AD1618</formula>
    </cfRule>
  </conditionalFormatting>
  <conditionalFormatting sqref="N1667:N1673">
    <cfRule type="expression" dxfId="4" priority="3458">
      <formula>N1667&lt;AD1667</formula>
    </cfRule>
  </conditionalFormatting>
  <conditionalFormatting sqref="N1674:N1680">
    <cfRule type="expression" dxfId="4" priority="3445">
      <formula>N1674&lt;AD1674</formula>
    </cfRule>
  </conditionalFormatting>
  <conditionalFormatting sqref="N1683:N1731">
    <cfRule type="expression" dxfId="4" priority="3415">
      <formula>N1683&lt;AD1683</formula>
    </cfRule>
  </conditionalFormatting>
  <conditionalFormatting sqref="N1732:N1738">
    <cfRule type="expression" dxfId="4" priority="3401">
      <formula>N1732&lt;AD1732</formula>
    </cfRule>
  </conditionalFormatting>
  <conditionalFormatting sqref="N1739:N1745">
    <cfRule type="expression" dxfId="4" priority="3388">
      <formula>N1739&lt;AD1739</formula>
    </cfRule>
  </conditionalFormatting>
  <conditionalFormatting sqref="N1748:N1796">
    <cfRule type="expression" dxfId="4" priority="3358">
      <formula>N1748&lt;AD1748</formula>
    </cfRule>
  </conditionalFormatting>
  <conditionalFormatting sqref="N1797:N1803">
    <cfRule type="expression" dxfId="4" priority="3344">
      <formula>N1797&lt;AD1797</formula>
    </cfRule>
  </conditionalFormatting>
  <conditionalFormatting sqref="N1804:N1810">
    <cfRule type="expression" dxfId="4" priority="3331">
      <formula>N1804&lt;AD1804</formula>
    </cfRule>
  </conditionalFormatting>
  <conditionalFormatting sqref="N1813:N1861">
    <cfRule type="expression" dxfId="4" priority="3301">
      <formula>N1813&lt;AD1813</formula>
    </cfRule>
  </conditionalFormatting>
  <conditionalFormatting sqref="N1862:N1868">
    <cfRule type="expression" dxfId="4" priority="3287">
      <formula>N1862&lt;AD1862</formula>
    </cfRule>
  </conditionalFormatting>
  <conditionalFormatting sqref="N1869:N1875">
    <cfRule type="expression" dxfId="4" priority="3274">
      <formula>N1869&lt;AD1869</formula>
    </cfRule>
  </conditionalFormatting>
  <conditionalFormatting sqref="N1878:N1926">
    <cfRule type="expression" dxfId="4" priority="3244">
      <formula>N1878&lt;AD1878</formula>
    </cfRule>
  </conditionalFormatting>
  <conditionalFormatting sqref="N1927:N1933">
    <cfRule type="expression" dxfId="4" priority="3230">
      <formula>N1927&lt;AD1927</formula>
    </cfRule>
  </conditionalFormatting>
  <conditionalFormatting sqref="N1934:N1940">
    <cfRule type="expression" dxfId="4" priority="3217">
      <formula>N1934&lt;AD1934</formula>
    </cfRule>
  </conditionalFormatting>
  <conditionalFormatting sqref="N2008:N2056">
    <cfRule type="expression" dxfId="4" priority="3126">
      <formula>N2008&lt;AD2008</formula>
    </cfRule>
  </conditionalFormatting>
  <conditionalFormatting sqref="N2057:N2063">
    <cfRule type="expression" dxfId="4" priority="3112">
      <formula>N2057&lt;AD2057</formula>
    </cfRule>
  </conditionalFormatting>
  <conditionalFormatting sqref="N2064:N2070">
    <cfRule type="expression" dxfId="4" priority="3099">
      <formula>N2064&lt;AD2064</formula>
    </cfRule>
  </conditionalFormatting>
  <conditionalFormatting sqref="N2073:N2121">
    <cfRule type="expression" dxfId="4" priority="3069">
      <formula>N2073&lt;AD2073</formula>
    </cfRule>
  </conditionalFormatting>
  <conditionalFormatting sqref="N2122:N2128">
    <cfRule type="expression" dxfId="4" priority="3055">
      <formula>N2122&lt;AD2122</formula>
    </cfRule>
  </conditionalFormatting>
  <conditionalFormatting sqref="N2129:N2135">
    <cfRule type="expression" dxfId="4" priority="3042">
      <formula>N2129&lt;AD2129</formula>
    </cfRule>
  </conditionalFormatting>
  <conditionalFormatting sqref="N2138:N2186">
    <cfRule type="expression" dxfId="4" priority="3012">
      <formula>N2138&lt;AD2138</formula>
    </cfRule>
  </conditionalFormatting>
  <conditionalFormatting sqref="N2187:N2193">
    <cfRule type="expression" dxfId="4" priority="2998">
      <formula>N2187&lt;AD2187</formula>
    </cfRule>
  </conditionalFormatting>
  <conditionalFormatting sqref="N2194:N2200">
    <cfRule type="expression" dxfId="4" priority="2985">
      <formula>N2194&lt;AD2194</formula>
    </cfRule>
  </conditionalFormatting>
  <conditionalFormatting sqref="N2203:N2251">
    <cfRule type="expression" dxfId="4" priority="2955">
      <formula>N2203&lt;AD2203</formula>
    </cfRule>
  </conditionalFormatting>
  <conditionalFormatting sqref="N2252:N2258">
    <cfRule type="expression" dxfId="4" priority="2941">
      <formula>N2252&lt;AD2252</formula>
    </cfRule>
  </conditionalFormatting>
  <conditionalFormatting sqref="N2259:N2265">
    <cfRule type="expression" dxfId="4" priority="2928">
      <formula>N2259&lt;AD2259</formula>
    </cfRule>
  </conditionalFormatting>
  <conditionalFormatting sqref="N2268:N2316">
    <cfRule type="expression" dxfId="4" priority="2898">
      <formula>N2268&lt;AD2268</formula>
    </cfRule>
  </conditionalFormatting>
  <conditionalFormatting sqref="N2317:N2323">
    <cfRule type="expression" dxfId="4" priority="2884">
      <formula>N2317&lt;AD2317</formula>
    </cfRule>
  </conditionalFormatting>
  <conditionalFormatting sqref="N2324:N2330">
    <cfRule type="expression" dxfId="4" priority="2871">
      <formula>N2324&lt;AD2324</formula>
    </cfRule>
  </conditionalFormatting>
  <conditionalFormatting sqref="N2333:N2380">
    <cfRule type="expression" dxfId="4" priority="2841">
      <formula>N2333&lt;AD2333</formula>
    </cfRule>
  </conditionalFormatting>
  <conditionalFormatting sqref="N2382:N2387">
    <cfRule type="expression" dxfId="4" priority="2827">
      <formula>N2382&lt;AD2382</formula>
    </cfRule>
  </conditionalFormatting>
  <conditionalFormatting sqref="N2389:N2394">
    <cfRule type="expression" dxfId="4" priority="2814">
      <formula>N2389&lt;AD2389</formula>
    </cfRule>
  </conditionalFormatting>
  <conditionalFormatting sqref="N2398:N2445">
    <cfRule type="expression" dxfId="4" priority="2782">
      <formula>N2398&lt;AD2398</formula>
    </cfRule>
  </conditionalFormatting>
  <conditionalFormatting sqref="N2447:N2452">
    <cfRule type="expression" dxfId="4" priority="2768">
      <formula>N2447&lt;AD2447</formula>
    </cfRule>
  </conditionalFormatting>
  <conditionalFormatting sqref="N2454:N2459">
    <cfRule type="expression" dxfId="4" priority="2755">
      <formula>N2454&lt;AD2454</formula>
    </cfRule>
  </conditionalFormatting>
  <conditionalFormatting sqref="N2463:N2510">
    <cfRule type="expression" dxfId="4" priority="2723">
      <formula>N2463&lt;AD2463</formula>
    </cfRule>
  </conditionalFormatting>
  <conditionalFormatting sqref="N2512:N2517">
    <cfRule type="expression" dxfId="4" priority="2709">
      <formula>N2512&lt;AD2512</formula>
    </cfRule>
  </conditionalFormatting>
  <conditionalFormatting sqref="N2519:N2524">
    <cfRule type="expression" dxfId="4" priority="2696">
      <formula>N2519&lt;AD2519</formula>
    </cfRule>
  </conditionalFormatting>
  <conditionalFormatting sqref="N2528:N2575">
    <cfRule type="expression" dxfId="4" priority="2664">
      <formula>N2528&lt;AD2528</formula>
    </cfRule>
  </conditionalFormatting>
  <conditionalFormatting sqref="N2577:N2582">
    <cfRule type="expression" dxfId="4" priority="2650">
      <formula>N2577&lt;AD2577</formula>
    </cfRule>
  </conditionalFormatting>
  <conditionalFormatting sqref="N2584:N2589">
    <cfRule type="expression" dxfId="4" priority="2637">
      <formula>N2584&lt;AD2584</formula>
    </cfRule>
  </conditionalFormatting>
  <conditionalFormatting sqref="N2593:N2640">
    <cfRule type="expression" dxfId="4" priority="2605">
      <formula>N2593&lt;AD2593</formula>
    </cfRule>
  </conditionalFormatting>
  <conditionalFormatting sqref="N2642:N2647">
    <cfRule type="expression" dxfId="4" priority="2591">
      <formula>N2642&lt;AD2642</formula>
    </cfRule>
  </conditionalFormatting>
  <conditionalFormatting sqref="N2649:N2654">
    <cfRule type="expression" dxfId="4" priority="2578">
      <formula>N2649&lt;AD2649</formula>
    </cfRule>
  </conditionalFormatting>
  <conditionalFormatting sqref="N2658:N2705">
    <cfRule type="expression" dxfId="4" priority="2546">
      <formula>N2658&lt;AD2658</formula>
    </cfRule>
  </conditionalFormatting>
  <conditionalFormatting sqref="N2707:N2712">
    <cfRule type="expression" dxfId="4" priority="2532">
      <formula>N2707&lt;AD2707</formula>
    </cfRule>
  </conditionalFormatting>
  <conditionalFormatting sqref="N2714:N2719">
    <cfRule type="expression" dxfId="4" priority="2519">
      <formula>N2714&lt;AD2714</formula>
    </cfRule>
  </conditionalFormatting>
  <conditionalFormatting sqref="N2723:N2770">
    <cfRule type="expression" dxfId="4" priority="2487">
      <formula>N2723&lt;AD2723</formula>
    </cfRule>
  </conditionalFormatting>
  <conditionalFormatting sqref="N2772:N2777">
    <cfRule type="expression" dxfId="4" priority="2473">
      <formula>N2772&lt;AD2772</formula>
    </cfRule>
  </conditionalFormatting>
  <conditionalFormatting sqref="N2779:N2784">
    <cfRule type="expression" dxfId="4" priority="2460">
      <formula>N2779&lt;AD2779</formula>
    </cfRule>
  </conditionalFormatting>
  <conditionalFormatting sqref="N2788:N2835">
    <cfRule type="expression" dxfId="4" priority="2428">
      <formula>N2788&lt;AD2788</formula>
    </cfRule>
  </conditionalFormatting>
  <conditionalFormatting sqref="N2837:N2842">
    <cfRule type="expression" dxfId="4" priority="2414">
      <formula>N2837&lt;AD2837</formula>
    </cfRule>
  </conditionalFormatting>
  <conditionalFormatting sqref="N2844:N2849">
    <cfRule type="expression" dxfId="4" priority="2401">
      <formula>N2844&lt;AD2844</formula>
    </cfRule>
  </conditionalFormatting>
  <conditionalFormatting sqref="N2853:N2900">
    <cfRule type="expression" dxfId="4" priority="2369">
      <formula>N2853&lt;AD2853</formula>
    </cfRule>
  </conditionalFormatting>
  <conditionalFormatting sqref="N2902:N2907">
    <cfRule type="expression" dxfId="4" priority="2355">
      <formula>N2902&lt;AD2902</formula>
    </cfRule>
  </conditionalFormatting>
  <conditionalFormatting sqref="N2909:N2914">
    <cfRule type="expression" dxfId="4" priority="2342">
      <formula>N2909&lt;AD2909</formula>
    </cfRule>
  </conditionalFormatting>
  <conditionalFormatting sqref="N2918:N2965">
    <cfRule type="expression" dxfId="4" priority="2310">
      <formula>N2918&lt;AD2918</formula>
    </cfRule>
  </conditionalFormatting>
  <conditionalFormatting sqref="N2967:N2972">
    <cfRule type="expression" dxfId="4" priority="2296">
      <formula>N2967&lt;AD2967</formula>
    </cfRule>
  </conditionalFormatting>
  <conditionalFormatting sqref="N2974:N2979">
    <cfRule type="expression" dxfId="4" priority="2283">
      <formula>N2974&lt;AD2974</formula>
    </cfRule>
  </conditionalFormatting>
  <conditionalFormatting sqref="N2983:N3030">
    <cfRule type="expression" dxfId="4" priority="2251">
      <formula>N2983&lt;AD2983</formula>
    </cfRule>
  </conditionalFormatting>
  <conditionalFormatting sqref="N3032:N3037">
    <cfRule type="expression" dxfId="4" priority="2237">
      <formula>N3032&lt;AD3032</formula>
    </cfRule>
  </conditionalFormatting>
  <conditionalFormatting sqref="N3039:N3044">
    <cfRule type="expression" dxfId="4" priority="2224">
      <formula>N3039&lt;AD3039</formula>
    </cfRule>
  </conditionalFormatting>
  <conditionalFormatting sqref="N3048:N3095">
    <cfRule type="expression" dxfId="4" priority="2192">
      <formula>N3048&lt;AD3048</formula>
    </cfRule>
  </conditionalFormatting>
  <conditionalFormatting sqref="N3097:N3102">
    <cfRule type="expression" dxfId="4" priority="2178">
      <formula>N3097&lt;AD3097</formula>
    </cfRule>
  </conditionalFormatting>
  <conditionalFormatting sqref="N3104:N3109">
    <cfRule type="expression" dxfId="4" priority="2165">
      <formula>N3104&lt;AD3104</formula>
    </cfRule>
  </conditionalFormatting>
  <conditionalFormatting sqref="N3113:N3160">
    <cfRule type="expression" dxfId="4" priority="2133">
      <formula>N3113&lt;AD3113</formula>
    </cfRule>
  </conditionalFormatting>
  <conditionalFormatting sqref="N3162:N3167">
    <cfRule type="expression" dxfId="4" priority="2119">
      <formula>N3162&lt;AD3162</formula>
    </cfRule>
  </conditionalFormatting>
  <conditionalFormatting sqref="N3169:N3174">
    <cfRule type="expression" dxfId="4" priority="2106">
      <formula>N3169&lt;AD3169</formula>
    </cfRule>
  </conditionalFormatting>
  <conditionalFormatting sqref="N3178:N3225">
    <cfRule type="expression" dxfId="4" priority="2074">
      <formula>N3178&lt;AD3178</formula>
    </cfRule>
  </conditionalFormatting>
  <conditionalFormatting sqref="N3227:N3232">
    <cfRule type="expression" dxfId="4" priority="2060">
      <formula>N3227&lt;AD3227</formula>
    </cfRule>
  </conditionalFormatting>
  <conditionalFormatting sqref="N3234:N3239">
    <cfRule type="expression" dxfId="4" priority="2047">
      <formula>N3234&lt;AD3234</formula>
    </cfRule>
  </conditionalFormatting>
  <conditionalFormatting sqref="N3243:N3290">
    <cfRule type="expression" dxfId="4" priority="2015">
      <formula>N3243&lt;AD3243</formula>
    </cfRule>
  </conditionalFormatting>
  <conditionalFormatting sqref="N3292:N3297">
    <cfRule type="expression" dxfId="4" priority="2001">
      <formula>N3292&lt;AD3292</formula>
    </cfRule>
  </conditionalFormatting>
  <conditionalFormatting sqref="N3299:N3304">
    <cfRule type="expression" dxfId="4" priority="1988">
      <formula>N3299&lt;AD3299</formula>
    </cfRule>
  </conditionalFormatting>
  <conditionalFormatting sqref="N3308:N3355">
    <cfRule type="expression" dxfId="4" priority="1956">
      <formula>N3308&lt;AD3308</formula>
    </cfRule>
  </conditionalFormatting>
  <conditionalFormatting sqref="N3357:N3362">
    <cfRule type="expression" dxfId="4" priority="1942">
      <formula>N3357&lt;AD3357</formula>
    </cfRule>
  </conditionalFormatting>
  <conditionalFormatting sqref="N3364:N3369">
    <cfRule type="expression" dxfId="4" priority="1929">
      <formula>N3364&lt;AD3364</formula>
    </cfRule>
  </conditionalFormatting>
  <conditionalFormatting sqref="N3373:N3420">
    <cfRule type="expression" dxfId="4" priority="1897">
      <formula>N3373&lt;AD3373</formula>
    </cfRule>
  </conditionalFormatting>
  <conditionalFormatting sqref="N3422:N3427">
    <cfRule type="expression" dxfId="4" priority="1883">
      <formula>N3422&lt;AD3422</formula>
    </cfRule>
  </conditionalFormatting>
  <conditionalFormatting sqref="N3429:N3434">
    <cfRule type="expression" dxfId="4" priority="1870">
      <formula>N3429&lt;AD3429</formula>
    </cfRule>
  </conditionalFormatting>
  <conditionalFormatting sqref="N3438:N3485">
    <cfRule type="expression" dxfId="4" priority="1838">
      <formula>N3438&lt;AD3438</formula>
    </cfRule>
  </conditionalFormatting>
  <conditionalFormatting sqref="N3487:N3492">
    <cfRule type="expression" dxfId="4" priority="1824">
      <formula>N3487&lt;AD3487</formula>
    </cfRule>
  </conditionalFormatting>
  <conditionalFormatting sqref="N3494:N3499">
    <cfRule type="expression" dxfId="4" priority="1811">
      <formula>N3494&lt;AD3494</formula>
    </cfRule>
  </conditionalFormatting>
  <conditionalFormatting sqref="N3503:N3550">
    <cfRule type="expression" dxfId="4" priority="1779">
      <formula>N3503&lt;AD3503</formula>
    </cfRule>
  </conditionalFormatting>
  <conditionalFormatting sqref="N3552:N3557">
    <cfRule type="expression" dxfId="4" priority="1765">
      <formula>N3552&lt;AD3552</formula>
    </cfRule>
  </conditionalFormatting>
  <conditionalFormatting sqref="N3559:N3564">
    <cfRule type="expression" dxfId="4" priority="1752">
      <formula>N3559&lt;AD3559</formula>
    </cfRule>
  </conditionalFormatting>
  <conditionalFormatting sqref="N3568:N3615">
    <cfRule type="expression" dxfId="4" priority="1720">
      <formula>N3568&lt;AD3568</formula>
    </cfRule>
  </conditionalFormatting>
  <conditionalFormatting sqref="N3617:N3622">
    <cfRule type="expression" dxfId="4" priority="1706">
      <formula>N3617&lt;AD3617</formula>
    </cfRule>
  </conditionalFormatting>
  <conditionalFormatting sqref="N3624:N3629">
    <cfRule type="expression" dxfId="4" priority="1693">
      <formula>N3624&lt;AD3624</formula>
    </cfRule>
  </conditionalFormatting>
  <conditionalFormatting sqref="N3633:N3680">
    <cfRule type="expression" dxfId="4" priority="1661">
      <formula>N3633&lt;AD3633</formula>
    </cfRule>
  </conditionalFormatting>
  <conditionalFormatting sqref="N3682:N3687">
    <cfRule type="expression" dxfId="4" priority="1647">
      <formula>N3682&lt;AD3682</formula>
    </cfRule>
  </conditionalFormatting>
  <conditionalFormatting sqref="N3689:N3694">
    <cfRule type="expression" dxfId="4" priority="1634">
      <formula>N3689&lt;AD3689</formula>
    </cfRule>
  </conditionalFormatting>
  <conditionalFormatting sqref="N3698:N3745">
    <cfRule type="expression" dxfId="4" priority="1602">
      <formula>N3698&lt;AD3698</formula>
    </cfRule>
  </conditionalFormatting>
  <conditionalFormatting sqref="N3747:N3752">
    <cfRule type="expression" dxfId="4" priority="1588">
      <formula>N3747&lt;AD3747</formula>
    </cfRule>
  </conditionalFormatting>
  <conditionalFormatting sqref="N3754:N3759">
    <cfRule type="expression" dxfId="4" priority="1575">
      <formula>N3754&lt;AD3754</formula>
    </cfRule>
  </conditionalFormatting>
  <conditionalFormatting sqref="N3763:N3810">
    <cfRule type="expression" dxfId="4" priority="1543">
      <formula>N3763&lt;AD3763</formula>
    </cfRule>
  </conditionalFormatting>
  <conditionalFormatting sqref="N3812:N3817">
    <cfRule type="expression" dxfId="4" priority="1529">
      <formula>N3812&lt;AD3812</formula>
    </cfRule>
  </conditionalFormatting>
  <conditionalFormatting sqref="N3819:N3824">
    <cfRule type="expression" dxfId="4" priority="1516">
      <formula>N3819&lt;AD3819</formula>
    </cfRule>
  </conditionalFormatting>
  <conditionalFormatting sqref="N3828:N3875">
    <cfRule type="expression" dxfId="4" priority="1484">
      <formula>N3828&lt;AD3828</formula>
    </cfRule>
  </conditionalFormatting>
  <conditionalFormatting sqref="N3877:N3882">
    <cfRule type="expression" dxfId="4" priority="1470">
      <formula>N3877&lt;AD3877</formula>
    </cfRule>
  </conditionalFormatting>
  <conditionalFormatting sqref="N3884:N3889">
    <cfRule type="expression" dxfId="4" priority="1457">
      <formula>N3884&lt;AD3884</formula>
    </cfRule>
  </conditionalFormatting>
  <conditionalFormatting sqref="N3893:N3940">
    <cfRule type="expression" dxfId="4" priority="1425">
      <formula>N3893&lt;AD3893</formula>
    </cfRule>
  </conditionalFormatting>
  <conditionalFormatting sqref="N3942:N3947">
    <cfRule type="expression" dxfId="4" priority="1411">
      <formula>N3942&lt;AD3942</formula>
    </cfRule>
  </conditionalFormatting>
  <conditionalFormatting sqref="N3949:N3954">
    <cfRule type="expression" dxfId="4" priority="1398">
      <formula>N3949&lt;AD3949</formula>
    </cfRule>
  </conditionalFormatting>
  <conditionalFormatting sqref="N3958:N4005">
    <cfRule type="expression" dxfId="4" priority="1366">
      <formula>N3958&lt;AD3958</formula>
    </cfRule>
  </conditionalFormatting>
  <conditionalFormatting sqref="N4007:N4012">
    <cfRule type="expression" dxfId="4" priority="1352">
      <formula>N4007&lt;AD4007</formula>
    </cfRule>
  </conditionalFormatting>
  <conditionalFormatting sqref="N4014:N4019">
    <cfRule type="expression" dxfId="4" priority="1339">
      <formula>N4014&lt;AD4014</formula>
    </cfRule>
  </conditionalFormatting>
  <conditionalFormatting sqref="N4023:N4070">
    <cfRule type="expression" dxfId="4" priority="1307">
      <formula>N4023&lt;AD4023</formula>
    </cfRule>
  </conditionalFormatting>
  <conditionalFormatting sqref="N4072:N4077">
    <cfRule type="expression" dxfId="4" priority="1293">
      <formula>N4072&lt;AD4072</formula>
    </cfRule>
  </conditionalFormatting>
  <conditionalFormatting sqref="N4079:N4084">
    <cfRule type="expression" dxfId="4" priority="1280">
      <formula>N4079&lt;AD4079</formula>
    </cfRule>
  </conditionalFormatting>
  <conditionalFormatting sqref="N4088:N4135">
    <cfRule type="expression" dxfId="4" priority="1248">
      <formula>N4088&lt;AD4088</formula>
    </cfRule>
  </conditionalFormatting>
  <conditionalFormatting sqref="N4137:N4142">
    <cfRule type="expression" dxfId="4" priority="1234">
      <formula>N4137&lt;AD4137</formula>
    </cfRule>
  </conditionalFormatting>
  <conditionalFormatting sqref="N4144:N4149">
    <cfRule type="expression" dxfId="4" priority="1221">
      <formula>N4144&lt;AD4144</formula>
    </cfRule>
  </conditionalFormatting>
  <conditionalFormatting sqref="N4153:N4200">
    <cfRule type="expression" dxfId="4" priority="1189">
      <formula>N4153&lt;AD4153</formula>
    </cfRule>
  </conditionalFormatting>
  <conditionalFormatting sqref="N4202:N4207">
    <cfRule type="expression" dxfId="4" priority="1175">
      <formula>N4202&lt;AD4202</formula>
    </cfRule>
  </conditionalFormatting>
  <conditionalFormatting sqref="N4209:N4214">
    <cfRule type="expression" dxfId="4" priority="1162">
      <formula>N4209&lt;AD4209</formula>
    </cfRule>
  </conditionalFormatting>
  <conditionalFormatting sqref="N4218:N4265">
    <cfRule type="expression" dxfId="4" priority="1130">
      <formula>N4218&lt;AD4218</formula>
    </cfRule>
  </conditionalFormatting>
  <conditionalFormatting sqref="N4267:N4272">
    <cfRule type="expression" dxfId="4" priority="1116">
      <formula>N4267&lt;AD4267</formula>
    </cfRule>
  </conditionalFormatting>
  <conditionalFormatting sqref="N4274:N4279">
    <cfRule type="expression" dxfId="4" priority="1103">
      <formula>N4274&lt;AD4274</formula>
    </cfRule>
  </conditionalFormatting>
  <conditionalFormatting sqref="N4283:N4330">
    <cfRule type="expression" dxfId="4" priority="1071">
      <formula>N4283&lt;AD4283</formula>
    </cfRule>
  </conditionalFormatting>
  <conditionalFormatting sqref="N4332:N4337">
    <cfRule type="expression" dxfId="4" priority="1057">
      <formula>N4332&lt;AD4332</formula>
    </cfRule>
  </conditionalFormatting>
  <conditionalFormatting sqref="N4339:N4344">
    <cfRule type="expression" dxfId="4" priority="1044">
      <formula>N4339&lt;AD4339</formula>
    </cfRule>
  </conditionalFormatting>
  <conditionalFormatting sqref="N4348:N4395">
    <cfRule type="expression" dxfId="4" priority="1012">
      <formula>N4348&lt;AD4348</formula>
    </cfRule>
  </conditionalFormatting>
  <conditionalFormatting sqref="N4397:N4402">
    <cfRule type="expression" dxfId="4" priority="998">
      <formula>N4397&lt;AD4397</formula>
    </cfRule>
  </conditionalFormatting>
  <conditionalFormatting sqref="N4404:N4409">
    <cfRule type="expression" dxfId="4" priority="985">
      <formula>N4404&lt;AD4404</formula>
    </cfRule>
  </conditionalFormatting>
  <conditionalFormatting sqref="N4413:N4460">
    <cfRule type="expression" dxfId="4" priority="953">
      <formula>N4413&lt;AD4413</formula>
    </cfRule>
  </conditionalFormatting>
  <conditionalFormatting sqref="N4462:N4467">
    <cfRule type="expression" dxfId="4" priority="939">
      <formula>N4462&lt;AD4462</formula>
    </cfRule>
  </conditionalFormatting>
  <conditionalFormatting sqref="N4469:N4474">
    <cfRule type="expression" dxfId="4" priority="926">
      <formula>N4469&lt;AD4469</formula>
    </cfRule>
  </conditionalFormatting>
  <conditionalFormatting sqref="N4478:N4525">
    <cfRule type="expression" dxfId="4" priority="894">
      <formula>N4478&lt;AD4478</formula>
    </cfRule>
  </conditionalFormatting>
  <conditionalFormatting sqref="N4527:N4532">
    <cfRule type="expression" dxfId="4" priority="880">
      <formula>N4527&lt;AD4527</formula>
    </cfRule>
  </conditionalFormatting>
  <conditionalFormatting sqref="N4534:N4539">
    <cfRule type="expression" dxfId="4" priority="867">
      <formula>N4534&lt;AD4534</formula>
    </cfRule>
  </conditionalFormatting>
  <conditionalFormatting sqref="N4543:N4590">
    <cfRule type="expression" dxfId="4" priority="835">
      <formula>N4543&lt;AD4543</formula>
    </cfRule>
  </conditionalFormatting>
  <conditionalFormatting sqref="N4592:N4597">
    <cfRule type="expression" dxfId="4" priority="821">
      <formula>N4592&lt;AD4592</formula>
    </cfRule>
  </conditionalFormatting>
  <conditionalFormatting sqref="N4599:N4604">
    <cfRule type="expression" dxfId="4" priority="808">
      <formula>N4599&lt;AD4599</formula>
    </cfRule>
  </conditionalFormatting>
  <conditionalFormatting sqref="N4608:N4655">
    <cfRule type="expression" dxfId="4" priority="776">
      <formula>N4608&lt;AD4608</formula>
    </cfRule>
  </conditionalFormatting>
  <conditionalFormatting sqref="N4657:N4662">
    <cfRule type="expression" dxfId="4" priority="762">
      <formula>N4657&lt;AD4657</formula>
    </cfRule>
  </conditionalFormatting>
  <conditionalFormatting sqref="N4664:N4669">
    <cfRule type="expression" dxfId="4" priority="749">
      <formula>N4664&lt;AD4664</formula>
    </cfRule>
  </conditionalFormatting>
  <conditionalFormatting sqref="N4673:N4720">
    <cfRule type="expression" dxfId="4" priority="717">
      <formula>N4673&lt;AD4673</formula>
    </cfRule>
  </conditionalFormatting>
  <conditionalFormatting sqref="N4722:N4727">
    <cfRule type="expression" dxfId="4" priority="703">
      <formula>N4722&lt;AD4722</formula>
    </cfRule>
  </conditionalFormatting>
  <conditionalFormatting sqref="N4729:N4734">
    <cfRule type="expression" dxfId="4" priority="690">
      <formula>N4729&lt;AD4729</formula>
    </cfRule>
  </conditionalFormatting>
  <conditionalFormatting sqref="N4738:N4785">
    <cfRule type="expression" dxfId="4" priority="658">
      <formula>N4738&lt;AD4738</formula>
    </cfRule>
  </conditionalFormatting>
  <conditionalFormatting sqref="N4787:N4792">
    <cfRule type="expression" dxfId="4" priority="644">
      <formula>N4787&lt;AD4787</formula>
    </cfRule>
  </conditionalFormatting>
  <conditionalFormatting sqref="N4794:N4799">
    <cfRule type="expression" dxfId="4" priority="631">
      <formula>N4794&lt;AD4794</formula>
    </cfRule>
  </conditionalFormatting>
  <conditionalFormatting sqref="N4803:N4850">
    <cfRule type="expression" dxfId="4" priority="599">
      <formula>N4803&lt;AD4803</formula>
    </cfRule>
  </conditionalFormatting>
  <conditionalFormatting sqref="N4852:N4857">
    <cfRule type="expression" dxfId="4" priority="585">
      <formula>N4852&lt;AD4852</formula>
    </cfRule>
  </conditionalFormatting>
  <conditionalFormatting sqref="N4859:N4864">
    <cfRule type="expression" dxfId="4" priority="572">
      <formula>N4859&lt;AD4859</formula>
    </cfRule>
  </conditionalFormatting>
  <conditionalFormatting sqref="N4868:N4915">
    <cfRule type="expression" dxfId="4" priority="540">
      <formula>N4868&lt;AD4868</formula>
    </cfRule>
  </conditionalFormatting>
  <conditionalFormatting sqref="N4917:N4922">
    <cfRule type="expression" dxfId="4" priority="526">
      <formula>N4917&lt;AD4917</formula>
    </cfRule>
  </conditionalFormatting>
  <conditionalFormatting sqref="N4924:N4929">
    <cfRule type="expression" dxfId="4" priority="513">
      <formula>N4924&lt;AD4924</formula>
    </cfRule>
  </conditionalFormatting>
  <conditionalFormatting sqref="N4933:N4980">
    <cfRule type="expression" dxfId="4" priority="481">
      <formula>N4933&lt;AD4933</formula>
    </cfRule>
  </conditionalFormatting>
  <conditionalFormatting sqref="N4982:N4987">
    <cfRule type="expression" dxfId="4" priority="467">
      <formula>N4982&lt;AD4982</formula>
    </cfRule>
  </conditionalFormatting>
  <conditionalFormatting sqref="N4989:N4994">
    <cfRule type="expression" dxfId="4" priority="454">
      <formula>N4989&lt;AD4989</formula>
    </cfRule>
  </conditionalFormatting>
  <conditionalFormatting sqref="N4998:N5045">
    <cfRule type="expression" dxfId="4" priority="422">
      <formula>N4998&lt;AD4998</formula>
    </cfRule>
  </conditionalFormatting>
  <conditionalFormatting sqref="N5047:N5052">
    <cfRule type="expression" dxfId="4" priority="408">
      <formula>N5047&lt;AD5047</formula>
    </cfRule>
  </conditionalFormatting>
  <conditionalFormatting sqref="N5054:N5059">
    <cfRule type="expression" dxfId="4" priority="395">
      <formula>N5054&lt;AD5054</formula>
    </cfRule>
  </conditionalFormatting>
  <conditionalFormatting sqref="N5063:N5110">
    <cfRule type="expression" dxfId="4" priority="363">
      <formula>N5063&lt;AD5063</formula>
    </cfRule>
  </conditionalFormatting>
  <conditionalFormatting sqref="N5112:N5117">
    <cfRule type="expression" dxfId="4" priority="349">
      <formula>N5112&lt;AD5112</formula>
    </cfRule>
  </conditionalFormatting>
  <conditionalFormatting sqref="N5119:N5124">
    <cfRule type="expression" dxfId="4" priority="336">
      <formula>N5119&lt;AD5119</formula>
    </cfRule>
  </conditionalFormatting>
  <conditionalFormatting sqref="O3:O51">
    <cfRule type="expression" dxfId="4" priority="4588">
      <formula>O3&lt;AE3</formula>
    </cfRule>
  </conditionalFormatting>
  <conditionalFormatting sqref="O54:O102">
    <cfRule type="expression" dxfId="4" priority="4566">
      <formula>O54&lt;AE54</formula>
    </cfRule>
  </conditionalFormatting>
  <conditionalFormatting sqref="O105:O153">
    <cfRule type="expression" dxfId="4" priority="4632">
      <formula>O105&lt;AE105</formula>
    </cfRule>
  </conditionalFormatting>
  <conditionalFormatting sqref="O156:O204">
    <cfRule type="expression" dxfId="4" priority="4610">
      <formula>O156&lt;AE156</formula>
    </cfRule>
  </conditionalFormatting>
  <conditionalFormatting sqref="O207:O255">
    <cfRule type="expression" dxfId="4" priority="4544">
      <formula>O207&lt;AE207</formula>
    </cfRule>
  </conditionalFormatting>
  <conditionalFormatting sqref="O258:O306">
    <cfRule type="expression" dxfId="4" priority="4522">
      <formula>O258&lt;AE258</formula>
    </cfRule>
  </conditionalFormatting>
  <conditionalFormatting sqref="O309:O357">
    <cfRule type="expression" dxfId="4" priority="4500">
      <formula>O309&lt;AE309</formula>
    </cfRule>
  </conditionalFormatting>
  <conditionalFormatting sqref="O360:O408">
    <cfRule type="expression" dxfId="4" priority="4478">
      <formula>O360&lt;AE360</formula>
    </cfRule>
  </conditionalFormatting>
  <conditionalFormatting sqref="O411:O459">
    <cfRule type="expression" dxfId="4" priority="4456">
      <formula>O411&lt;AE411</formula>
    </cfRule>
  </conditionalFormatting>
  <conditionalFormatting sqref="O513:O561">
    <cfRule type="expression" dxfId="4" priority="4412">
      <formula>O513&lt;AE513</formula>
    </cfRule>
  </conditionalFormatting>
  <conditionalFormatting sqref="O562:O568">
    <cfRule type="expression" dxfId="4" priority="4390">
      <formula>O562&lt;AE562</formula>
    </cfRule>
  </conditionalFormatting>
  <conditionalFormatting sqref="O569:O575">
    <cfRule type="expression" dxfId="4" priority="4376">
      <formula>O569&lt;AE569</formula>
    </cfRule>
  </conditionalFormatting>
  <conditionalFormatting sqref="O578:O626">
    <cfRule type="expression" dxfId="4" priority="4362">
      <formula>O578&lt;AE578</formula>
    </cfRule>
  </conditionalFormatting>
  <conditionalFormatting sqref="O627:O633">
    <cfRule type="expression" dxfId="4" priority="4340">
      <formula>O627&lt;AE627</formula>
    </cfRule>
  </conditionalFormatting>
  <conditionalFormatting sqref="O634:O640">
    <cfRule type="expression" dxfId="4" priority="4326">
      <formula>O634&lt;AE634</formula>
    </cfRule>
  </conditionalFormatting>
  <conditionalFormatting sqref="O643:O691">
    <cfRule type="expression" dxfId="4" priority="4312">
      <formula>O643&lt;AE643</formula>
    </cfRule>
  </conditionalFormatting>
  <conditionalFormatting sqref="O692:O698">
    <cfRule type="expression" dxfId="4" priority="4290">
      <formula>O692&lt;AE692</formula>
    </cfRule>
  </conditionalFormatting>
  <conditionalFormatting sqref="O699:O705">
    <cfRule type="expression" dxfId="4" priority="4276">
      <formula>O699&lt;AE699</formula>
    </cfRule>
  </conditionalFormatting>
  <conditionalFormatting sqref="O708:O756">
    <cfRule type="expression" dxfId="4" priority="4262">
      <formula>O708&lt;AE708</formula>
    </cfRule>
  </conditionalFormatting>
  <conditionalFormatting sqref="O757:O763">
    <cfRule type="expression" dxfId="4" priority="4240">
      <formula>O757&lt;AE757</formula>
    </cfRule>
  </conditionalFormatting>
  <conditionalFormatting sqref="O764:O770">
    <cfRule type="expression" dxfId="4" priority="4226">
      <formula>O764&lt;AE764</formula>
    </cfRule>
  </conditionalFormatting>
  <conditionalFormatting sqref="O773:O821">
    <cfRule type="expression" dxfId="4" priority="4212">
      <formula>O773&lt;AE773</formula>
    </cfRule>
  </conditionalFormatting>
  <conditionalFormatting sqref="O822:O828">
    <cfRule type="expression" dxfId="4" priority="4198">
      <formula>O822&lt;AE822</formula>
    </cfRule>
  </conditionalFormatting>
  <conditionalFormatting sqref="O829:O835">
    <cfRule type="expression" dxfId="4" priority="4185">
      <formula>O829&lt;AE829</formula>
    </cfRule>
  </conditionalFormatting>
  <conditionalFormatting sqref="O838:O886">
    <cfRule type="expression" dxfId="4" priority="4155">
      <formula>O838&lt;AE838</formula>
    </cfRule>
  </conditionalFormatting>
  <conditionalFormatting sqref="O887:O893">
    <cfRule type="expression" dxfId="4" priority="4141">
      <formula>O887&lt;AE887</formula>
    </cfRule>
  </conditionalFormatting>
  <conditionalFormatting sqref="O894:O900">
    <cfRule type="expression" dxfId="4" priority="4128">
      <formula>O894&lt;AE894</formula>
    </cfRule>
  </conditionalFormatting>
  <conditionalFormatting sqref="O903:O951">
    <cfRule type="expression" dxfId="4" priority="4098">
      <formula>O903&lt;AE903</formula>
    </cfRule>
  </conditionalFormatting>
  <conditionalFormatting sqref="O952:O958">
    <cfRule type="expression" dxfId="4" priority="4084">
      <formula>O952&lt;AE952</formula>
    </cfRule>
  </conditionalFormatting>
  <conditionalFormatting sqref="O959:O965">
    <cfRule type="expression" dxfId="4" priority="4071">
      <formula>O959&lt;AE959</formula>
    </cfRule>
  </conditionalFormatting>
  <conditionalFormatting sqref="O968:O1016">
    <cfRule type="expression" dxfId="4" priority="4041">
      <formula>O968&lt;AE968</formula>
    </cfRule>
  </conditionalFormatting>
  <conditionalFormatting sqref="O1017:O1023">
    <cfRule type="expression" dxfId="4" priority="4027">
      <formula>O1017&lt;AE1017</formula>
    </cfRule>
  </conditionalFormatting>
  <conditionalFormatting sqref="O1024:O1030">
    <cfRule type="expression" dxfId="4" priority="4014">
      <formula>O1024&lt;AE1024</formula>
    </cfRule>
  </conditionalFormatting>
  <conditionalFormatting sqref="O1033:O1081">
    <cfRule type="expression" dxfId="4" priority="3984">
      <formula>O1033&lt;AE1033</formula>
    </cfRule>
  </conditionalFormatting>
  <conditionalFormatting sqref="O1082:O1088">
    <cfRule type="expression" dxfId="4" priority="3970">
      <formula>O1082&lt;AE1082</formula>
    </cfRule>
  </conditionalFormatting>
  <conditionalFormatting sqref="O1089:O1095">
    <cfRule type="expression" dxfId="4" priority="3957">
      <formula>O1089&lt;AE1089</formula>
    </cfRule>
  </conditionalFormatting>
  <conditionalFormatting sqref="O1098:O1146">
    <cfRule type="expression" dxfId="4" priority="3927">
      <formula>O1098&lt;AE1098</formula>
    </cfRule>
  </conditionalFormatting>
  <conditionalFormatting sqref="O1147:O1153">
    <cfRule type="expression" dxfId="4" priority="3913">
      <formula>O1147&lt;AE1147</formula>
    </cfRule>
  </conditionalFormatting>
  <conditionalFormatting sqref="O1154:O1160">
    <cfRule type="expression" dxfId="4" priority="3900">
      <formula>O1154&lt;AE1154</formula>
    </cfRule>
  </conditionalFormatting>
  <conditionalFormatting sqref="O1163:O1211">
    <cfRule type="expression" dxfId="4" priority="3870">
      <formula>O1163&lt;AE1163</formula>
    </cfRule>
  </conditionalFormatting>
  <conditionalFormatting sqref="O1212:O1218">
    <cfRule type="expression" dxfId="4" priority="3856">
      <formula>O1212&lt;AE1212</formula>
    </cfRule>
  </conditionalFormatting>
  <conditionalFormatting sqref="O1219:O1225">
    <cfRule type="expression" dxfId="4" priority="3843">
      <formula>O1219&lt;AE1219</formula>
    </cfRule>
  </conditionalFormatting>
  <conditionalFormatting sqref="O1228:O1276">
    <cfRule type="expression" dxfId="4" priority="3813">
      <formula>O1228&lt;AE1228</formula>
    </cfRule>
  </conditionalFormatting>
  <conditionalFormatting sqref="O1277:O1283">
    <cfRule type="expression" dxfId="4" priority="3799">
      <formula>O1277&lt;AE1277</formula>
    </cfRule>
  </conditionalFormatting>
  <conditionalFormatting sqref="O1284:O1290">
    <cfRule type="expression" dxfId="4" priority="3786">
      <formula>O1284&lt;AE1284</formula>
    </cfRule>
  </conditionalFormatting>
  <conditionalFormatting sqref="O1293:O1341">
    <cfRule type="expression" dxfId="4" priority="3756">
      <formula>O1293&lt;AE1293</formula>
    </cfRule>
  </conditionalFormatting>
  <conditionalFormatting sqref="O1342:O1348">
    <cfRule type="expression" dxfId="4" priority="3742">
      <formula>O1342&lt;AE1342</formula>
    </cfRule>
  </conditionalFormatting>
  <conditionalFormatting sqref="O1349:O1355">
    <cfRule type="expression" dxfId="4" priority="3729">
      <formula>O1349&lt;AE1349</formula>
    </cfRule>
  </conditionalFormatting>
  <conditionalFormatting sqref="O1358:O1406">
    <cfRule type="expression" dxfId="4" priority="3699">
      <formula>O1358&lt;AE1358</formula>
    </cfRule>
  </conditionalFormatting>
  <conditionalFormatting sqref="O1407:O1413">
    <cfRule type="expression" dxfId="4" priority="3685">
      <formula>O1407&lt;AE1407</formula>
    </cfRule>
  </conditionalFormatting>
  <conditionalFormatting sqref="O1414:O1420">
    <cfRule type="expression" dxfId="4" priority="3672">
      <formula>O1414&lt;AE1414</formula>
    </cfRule>
  </conditionalFormatting>
  <conditionalFormatting sqref="O1423:O1471">
    <cfRule type="expression" dxfId="4" priority="3642">
      <formula>O1423&lt;AE1423</formula>
    </cfRule>
  </conditionalFormatting>
  <conditionalFormatting sqref="O1472:O1478">
    <cfRule type="expression" dxfId="4" priority="3628">
      <formula>O1472&lt;AE1472</formula>
    </cfRule>
  </conditionalFormatting>
  <conditionalFormatting sqref="O1479:O1485">
    <cfRule type="expression" dxfId="4" priority="3615">
      <formula>O1479&lt;AE1479</formula>
    </cfRule>
  </conditionalFormatting>
  <conditionalFormatting sqref="O1488:O1536">
    <cfRule type="expression" dxfId="4" priority="3585">
      <formula>O1488&lt;AE1488</formula>
    </cfRule>
  </conditionalFormatting>
  <conditionalFormatting sqref="O1537:O1543">
    <cfRule type="expression" dxfId="4" priority="3571">
      <formula>O1537&lt;AE1537</formula>
    </cfRule>
  </conditionalFormatting>
  <conditionalFormatting sqref="O1544:O1550">
    <cfRule type="expression" dxfId="4" priority="3558">
      <formula>O1544&lt;AE1544</formula>
    </cfRule>
  </conditionalFormatting>
  <conditionalFormatting sqref="O1553:O1601">
    <cfRule type="expression" dxfId="4" priority="3528">
      <formula>O1553&lt;AE1553</formula>
    </cfRule>
  </conditionalFormatting>
  <conditionalFormatting sqref="O1602:O1608">
    <cfRule type="expression" dxfId="4" priority="3514">
      <formula>O1602&lt;AE1602</formula>
    </cfRule>
  </conditionalFormatting>
  <conditionalFormatting sqref="O1609:O1615">
    <cfRule type="expression" dxfId="4" priority="3501">
      <formula>O1609&lt;AE1609</formula>
    </cfRule>
  </conditionalFormatting>
  <conditionalFormatting sqref="O1618:O1666">
    <cfRule type="expression" dxfId="4" priority="3471">
      <formula>O1618&lt;AE1618</formula>
    </cfRule>
  </conditionalFormatting>
  <conditionalFormatting sqref="O1667:O1673">
    <cfRule type="expression" dxfId="4" priority="3457">
      <formula>O1667&lt;AE1667</formula>
    </cfRule>
  </conditionalFormatting>
  <conditionalFormatting sqref="O1674:O1680">
    <cfRule type="expression" dxfId="4" priority="3444">
      <formula>O1674&lt;AE1674</formula>
    </cfRule>
  </conditionalFormatting>
  <conditionalFormatting sqref="O1683:O1731">
    <cfRule type="expression" dxfId="4" priority="3414">
      <formula>O1683&lt;AE1683</formula>
    </cfRule>
  </conditionalFormatting>
  <conditionalFormatting sqref="O1732:O1738">
    <cfRule type="expression" dxfId="4" priority="3400">
      <formula>O1732&lt;AE1732</formula>
    </cfRule>
  </conditionalFormatting>
  <conditionalFormatting sqref="O1739:O1745">
    <cfRule type="expression" dxfId="4" priority="3387">
      <formula>O1739&lt;AE1739</formula>
    </cfRule>
  </conditionalFormatting>
  <conditionalFormatting sqref="O1748:O1796">
    <cfRule type="expression" dxfId="4" priority="3357">
      <formula>O1748&lt;AE1748</formula>
    </cfRule>
  </conditionalFormatting>
  <conditionalFormatting sqref="O1797:O1803">
    <cfRule type="expression" dxfId="4" priority="3343">
      <formula>O1797&lt;AE1797</formula>
    </cfRule>
  </conditionalFormatting>
  <conditionalFormatting sqref="O1804:O1810">
    <cfRule type="expression" dxfId="4" priority="3330">
      <formula>O1804&lt;AE1804</formula>
    </cfRule>
  </conditionalFormatting>
  <conditionalFormatting sqref="O1813:O1861">
    <cfRule type="expression" dxfId="4" priority="3300">
      <formula>O1813&lt;AE1813</formula>
    </cfRule>
  </conditionalFormatting>
  <conditionalFormatting sqref="O1862:O1868">
    <cfRule type="expression" dxfId="4" priority="3286">
      <formula>O1862&lt;AE1862</formula>
    </cfRule>
  </conditionalFormatting>
  <conditionalFormatting sqref="O1869:O1875">
    <cfRule type="expression" dxfId="4" priority="3273">
      <formula>O1869&lt;AE1869</formula>
    </cfRule>
  </conditionalFormatting>
  <conditionalFormatting sqref="O1878:O1926">
    <cfRule type="expression" dxfId="4" priority="3243">
      <formula>O1878&lt;AE1878</formula>
    </cfRule>
  </conditionalFormatting>
  <conditionalFormatting sqref="O1927:O1933">
    <cfRule type="expression" dxfId="4" priority="3229">
      <formula>O1927&lt;AE1927</formula>
    </cfRule>
  </conditionalFormatting>
  <conditionalFormatting sqref="O1934:O1940">
    <cfRule type="expression" dxfId="4" priority="3216">
      <formula>O1934&lt;AE1934</formula>
    </cfRule>
  </conditionalFormatting>
  <conditionalFormatting sqref="O2008:O2056">
    <cfRule type="expression" dxfId="4" priority="3125">
      <formula>O2008&lt;AE2008</formula>
    </cfRule>
  </conditionalFormatting>
  <conditionalFormatting sqref="O2057:O2063">
    <cfRule type="expression" dxfId="4" priority="3111">
      <formula>O2057&lt;AE2057</formula>
    </cfRule>
  </conditionalFormatting>
  <conditionalFormatting sqref="O2064:O2070">
    <cfRule type="expression" dxfId="4" priority="3098">
      <formula>O2064&lt;AE2064</formula>
    </cfRule>
  </conditionalFormatting>
  <conditionalFormatting sqref="O2073:O2121">
    <cfRule type="expression" dxfId="4" priority="3068">
      <formula>O2073&lt;AE2073</formula>
    </cfRule>
  </conditionalFormatting>
  <conditionalFormatting sqref="O2122:O2128">
    <cfRule type="expression" dxfId="4" priority="3054">
      <formula>O2122&lt;AE2122</formula>
    </cfRule>
  </conditionalFormatting>
  <conditionalFormatting sqref="O2129:O2135">
    <cfRule type="expression" dxfId="4" priority="3041">
      <formula>O2129&lt;AE2129</formula>
    </cfRule>
  </conditionalFormatting>
  <conditionalFormatting sqref="O2138:O2186">
    <cfRule type="expression" dxfId="4" priority="3011">
      <formula>O2138&lt;AE2138</formula>
    </cfRule>
  </conditionalFormatting>
  <conditionalFormatting sqref="O2187:O2193">
    <cfRule type="expression" dxfId="4" priority="2997">
      <formula>O2187&lt;AE2187</formula>
    </cfRule>
  </conditionalFormatting>
  <conditionalFormatting sqref="O2194:O2200">
    <cfRule type="expression" dxfId="4" priority="2984">
      <formula>O2194&lt;AE2194</formula>
    </cfRule>
  </conditionalFormatting>
  <conditionalFormatting sqref="O2203:O2251">
    <cfRule type="expression" dxfId="4" priority="2954">
      <formula>O2203&lt;AE2203</formula>
    </cfRule>
  </conditionalFormatting>
  <conditionalFormatting sqref="O2252:O2258">
    <cfRule type="expression" dxfId="4" priority="2940">
      <formula>O2252&lt;AE2252</formula>
    </cfRule>
  </conditionalFormatting>
  <conditionalFormatting sqref="O2259:O2265">
    <cfRule type="expression" dxfId="4" priority="2927">
      <formula>O2259&lt;AE2259</formula>
    </cfRule>
  </conditionalFormatting>
  <conditionalFormatting sqref="O2268:O2316">
    <cfRule type="expression" dxfId="4" priority="2897">
      <formula>O2268&lt;AE2268</formula>
    </cfRule>
  </conditionalFormatting>
  <conditionalFormatting sqref="O2317:O2323">
    <cfRule type="expression" dxfId="4" priority="2883">
      <formula>O2317&lt;AE2317</formula>
    </cfRule>
  </conditionalFormatting>
  <conditionalFormatting sqref="O2324:O2330">
    <cfRule type="expression" dxfId="4" priority="2870">
      <formula>O2324&lt;AE2324</formula>
    </cfRule>
  </conditionalFormatting>
  <conditionalFormatting sqref="O2333:O2380">
    <cfRule type="expression" dxfId="4" priority="2840">
      <formula>O2333&lt;AE2333</formula>
    </cfRule>
  </conditionalFormatting>
  <conditionalFormatting sqref="O2382:O2387">
    <cfRule type="expression" dxfId="4" priority="2826">
      <formula>O2382&lt;AE2382</formula>
    </cfRule>
  </conditionalFormatting>
  <conditionalFormatting sqref="O2389:O2394">
    <cfRule type="expression" dxfId="4" priority="2813">
      <formula>O2389&lt;AE2389</formula>
    </cfRule>
  </conditionalFormatting>
  <conditionalFormatting sqref="O2398:O2445">
    <cfRule type="expression" dxfId="4" priority="2781">
      <formula>O2398&lt;AE2398</formula>
    </cfRule>
  </conditionalFormatting>
  <conditionalFormatting sqref="O2447:O2452">
    <cfRule type="expression" dxfId="4" priority="2767">
      <formula>O2447&lt;AE2447</formula>
    </cfRule>
  </conditionalFormatting>
  <conditionalFormatting sqref="O2454:O2459">
    <cfRule type="expression" dxfId="4" priority="2754">
      <formula>O2454&lt;AE2454</formula>
    </cfRule>
  </conditionalFormatting>
  <conditionalFormatting sqref="O2463:O2510">
    <cfRule type="expression" dxfId="4" priority="2722">
      <formula>O2463&lt;AE2463</formula>
    </cfRule>
  </conditionalFormatting>
  <conditionalFormatting sqref="O2512:O2517">
    <cfRule type="expression" dxfId="4" priority="2708">
      <formula>O2512&lt;AE2512</formula>
    </cfRule>
  </conditionalFormatting>
  <conditionalFormatting sqref="O2519:O2524">
    <cfRule type="expression" dxfId="4" priority="2695">
      <formula>O2519&lt;AE2519</formula>
    </cfRule>
  </conditionalFormatting>
  <conditionalFormatting sqref="O2528:O2575">
    <cfRule type="expression" dxfId="4" priority="2663">
      <formula>O2528&lt;AE2528</formula>
    </cfRule>
  </conditionalFormatting>
  <conditionalFormatting sqref="O2577:O2582">
    <cfRule type="expression" dxfId="4" priority="2649">
      <formula>O2577&lt;AE2577</formula>
    </cfRule>
  </conditionalFormatting>
  <conditionalFormatting sqref="O2584:O2589">
    <cfRule type="expression" dxfId="4" priority="2636">
      <formula>O2584&lt;AE2584</formula>
    </cfRule>
  </conditionalFormatting>
  <conditionalFormatting sqref="O2593:O2640">
    <cfRule type="expression" dxfId="4" priority="2604">
      <formula>O2593&lt;AE2593</formula>
    </cfRule>
  </conditionalFormatting>
  <conditionalFormatting sqref="O2642:O2647">
    <cfRule type="expression" dxfId="4" priority="2590">
      <formula>O2642&lt;AE2642</formula>
    </cfRule>
  </conditionalFormatting>
  <conditionalFormatting sqref="O2649:O2654">
    <cfRule type="expression" dxfId="4" priority="2577">
      <formula>O2649&lt;AE2649</formula>
    </cfRule>
  </conditionalFormatting>
  <conditionalFormatting sqref="O2658:O2705">
    <cfRule type="expression" dxfId="4" priority="2545">
      <formula>O2658&lt;AE2658</formula>
    </cfRule>
  </conditionalFormatting>
  <conditionalFormatting sqref="O2707:O2712">
    <cfRule type="expression" dxfId="4" priority="2531">
      <formula>O2707&lt;AE2707</formula>
    </cfRule>
  </conditionalFormatting>
  <conditionalFormatting sqref="O2714:O2719">
    <cfRule type="expression" dxfId="4" priority="2518">
      <formula>O2714&lt;AE2714</formula>
    </cfRule>
  </conditionalFormatting>
  <conditionalFormatting sqref="O2723:O2770">
    <cfRule type="expression" dxfId="4" priority="2486">
      <formula>O2723&lt;AE2723</formula>
    </cfRule>
  </conditionalFormatting>
  <conditionalFormatting sqref="O2772:O2777">
    <cfRule type="expression" dxfId="4" priority="2472">
      <formula>O2772&lt;AE2772</formula>
    </cfRule>
  </conditionalFormatting>
  <conditionalFormatting sqref="O2779:O2784">
    <cfRule type="expression" dxfId="4" priority="2459">
      <formula>O2779&lt;AE2779</formula>
    </cfRule>
  </conditionalFormatting>
  <conditionalFormatting sqref="O2788:O2835">
    <cfRule type="expression" dxfId="4" priority="2427">
      <formula>O2788&lt;AE2788</formula>
    </cfRule>
  </conditionalFormatting>
  <conditionalFormatting sqref="O2837:O2842">
    <cfRule type="expression" dxfId="4" priority="2413">
      <formula>O2837&lt;AE2837</formula>
    </cfRule>
  </conditionalFormatting>
  <conditionalFormatting sqref="O2844:O2849">
    <cfRule type="expression" dxfId="4" priority="2400">
      <formula>O2844&lt;AE2844</formula>
    </cfRule>
  </conditionalFormatting>
  <conditionalFormatting sqref="O2853:O2900">
    <cfRule type="expression" dxfId="4" priority="2368">
      <formula>O2853&lt;AE2853</formula>
    </cfRule>
  </conditionalFormatting>
  <conditionalFormatting sqref="O2902:O2907">
    <cfRule type="expression" dxfId="4" priority="2354">
      <formula>O2902&lt;AE2902</formula>
    </cfRule>
  </conditionalFormatting>
  <conditionalFormatting sqref="O2909:O2914">
    <cfRule type="expression" dxfId="4" priority="2341">
      <formula>O2909&lt;AE2909</formula>
    </cfRule>
  </conditionalFormatting>
  <conditionalFormatting sqref="O2918:O2965">
    <cfRule type="expression" dxfId="4" priority="2309">
      <formula>O2918&lt;AE2918</formula>
    </cfRule>
  </conditionalFormatting>
  <conditionalFormatting sqref="O2967:O2972">
    <cfRule type="expression" dxfId="4" priority="2295">
      <formula>O2967&lt;AE2967</formula>
    </cfRule>
  </conditionalFormatting>
  <conditionalFormatting sqref="O2974:O2979">
    <cfRule type="expression" dxfId="4" priority="2282">
      <formula>O2974&lt;AE2974</formula>
    </cfRule>
  </conditionalFormatting>
  <conditionalFormatting sqref="O2983:O3030">
    <cfRule type="expression" dxfId="4" priority="2250">
      <formula>O2983&lt;AE2983</formula>
    </cfRule>
  </conditionalFormatting>
  <conditionalFormatting sqref="O3032:O3037">
    <cfRule type="expression" dxfId="4" priority="2236">
      <formula>O3032&lt;AE3032</formula>
    </cfRule>
  </conditionalFormatting>
  <conditionalFormatting sqref="O3039:O3044">
    <cfRule type="expression" dxfId="4" priority="2223">
      <formula>O3039&lt;AE3039</formula>
    </cfRule>
  </conditionalFormatting>
  <conditionalFormatting sqref="O3048:O3095">
    <cfRule type="expression" dxfId="4" priority="2191">
      <formula>O3048&lt;AE3048</formula>
    </cfRule>
  </conditionalFormatting>
  <conditionalFormatting sqref="O3097:O3102">
    <cfRule type="expression" dxfId="4" priority="2177">
      <formula>O3097&lt;AE3097</formula>
    </cfRule>
  </conditionalFormatting>
  <conditionalFormatting sqref="O3104:O3109">
    <cfRule type="expression" dxfId="4" priority="2164">
      <formula>O3104&lt;AE3104</formula>
    </cfRule>
  </conditionalFormatting>
  <conditionalFormatting sqref="O3113:O3160">
    <cfRule type="expression" dxfId="4" priority="2132">
      <formula>O3113&lt;AE3113</formula>
    </cfRule>
  </conditionalFormatting>
  <conditionalFormatting sqref="O3162:O3167">
    <cfRule type="expression" dxfId="4" priority="2118">
      <formula>O3162&lt;AE3162</formula>
    </cfRule>
  </conditionalFormatting>
  <conditionalFormatting sqref="O3169:O3174">
    <cfRule type="expression" dxfId="4" priority="2105">
      <formula>O3169&lt;AE3169</formula>
    </cfRule>
  </conditionalFormatting>
  <conditionalFormatting sqref="O3178:O3225">
    <cfRule type="expression" dxfId="4" priority="2073">
      <formula>O3178&lt;AE3178</formula>
    </cfRule>
  </conditionalFormatting>
  <conditionalFormatting sqref="O3227:O3232">
    <cfRule type="expression" dxfId="4" priority="2059">
      <formula>O3227&lt;AE3227</formula>
    </cfRule>
  </conditionalFormatting>
  <conditionalFormatting sqref="O3234:O3239">
    <cfRule type="expression" dxfId="4" priority="2046">
      <formula>O3234&lt;AE3234</formula>
    </cfRule>
  </conditionalFormatting>
  <conditionalFormatting sqref="O3243:O3290">
    <cfRule type="expression" dxfId="4" priority="2014">
      <formula>O3243&lt;AE3243</formula>
    </cfRule>
  </conditionalFormatting>
  <conditionalFormatting sqref="O3292:O3297">
    <cfRule type="expression" dxfId="4" priority="2000">
      <formula>O3292&lt;AE3292</formula>
    </cfRule>
  </conditionalFormatting>
  <conditionalFormatting sqref="O3299:O3304">
    <cfRule type="expression" dxfId="4" priority="1987">
      <formula>O3299&lt;AE3299</formula>
    </cfRule>
  </conditionalFormatting>
  <conditionalFormatting sqref="O3308:O3355">
    <cfRule type="expression" dxfId="4" priority="1955">
      <formula>O3308&lt;AE3308</formula>
    </cfRule>
  </conditionalFormatting>
  <conditionalFormatting sqref="O3357:O3362">
    <cfRule type="expression" dxfId="4" priority="1941">
      <formula>O3357&lt;AE3357</formula>
    </cfRule>
  </conditionalFormatting>
  <conditionalFormatting sqref="O3364:O3369">
    <cfRule type="expression" dxfId="4" priority="1928">
      <formula>O3364&lt;AE3364</formula>
    </cfRule>
  </conditionalFormatting>
  <conditionalFormatting sqref="O3373:O3420">
    <cfRule type="expression" dxfId="4" priority="1896">
      <formula>O3373&lt;AE3373</formula>
    </cfRule>
  </conditionalFormatting>
  <conditionalFormatting sqref="O3422:O3427">
    <cfRule type="expression" dxfId="4" priority="1882">
      <formula>O3422&lt;AE3422</formula>
    </cfRule>
  </conditionalFormatting>
  <conditionalFormatting sqref="O3429:O3434">
    <cfRule type="expression" dxfId="4" priority="1869">
      <formula>O3429&lt;AE3429</formula>
    </cfRule>
  </conditionalFormatting>
  <conditionalFormatting sqref="O3438:O3485">
    <cfRule type="expression" dxfId="4" priority="1837">
      <formula>O3438&lt;AE3438</formula>
    </cfRule>
  </conditionalFormatting>
  <conditionalFormatting sqref="O3487:O3492">
    <cfRule type="expression" dxfId="4" priority="1823">
      <formula>O3487&lt;AE3487</formula>
    </cfRule>
  </conditionalFormatting>
  <conditionalFormatting sqref="O3494:O3499">
    <cfRule type="expression" dxfId="4" priority="1810">
      <formula>O3494&lt;AE3494</formula>
    </cfRule>
  </conditionalFormatting>
  <conditionalFormatting sqref="O3503:O3550">
    <cfRule type="expression" dxfId="4" priority="1778">
      <formula>O3503&lt;AE3503</formula>
    </cfRule>
  </conditionalFormatting>
  <conditionalFormatting sqref="O3552:O3557">
    <cfRule type="expression" dxfId="4" priority="1764">
      <formula>O3552&lt;AE3552</formula>
    </cfRule>
  </conditionalFormatting>
  <conditionalFormatting sqref="O3559:O3564">
    <cfRule type="expression" dxfId="4" priority="1751">
      <formula>O3559&lt;AE3559</formula>
    </cfRule>
  </conditionalFormatting>
  <conditionalFormatting sqref="O3568:O3615">
    <cfRule type="expression" dxfId="4" priority="1719">
      <formula>O3568&lt;AE3568</formula>
    </cfRule>
  </conditionalFormatting>
  <conditionalFormatting sqref="O3617:O3622">
    <cfRule type="expression" dxfId="4" priority="1705">
      <formula>O3617&lt;AE3617</formula>
    </cfRule>
  </conditionalFormatting>
  <conditionalFormatting sqref="O3624:O3629">
    <cfRule type="expression" dxfId="4" priority="1692">
      <formula>O3624&lt;AE3624</formula>
    </cfRule>
  </conditionalFormatting>
  <conditionalFormatting sqref="O3633:O3680">
    <cfRule type="expression" dxfId="4" priority="1660">
      <formula>O3633&lt;AE3633</formula>
    </cfRule>
  </conditionalFormatting>
  <conditionalFormatting sqref="O3682:O3687">
    <cfRule type="expression" dxfId="4" priority="1646">
      <formula>O3682&lt;AE3682</formula>
    </cfRule>
  </conditionalFormatting>
  <conditionalFormatting sqref="O3689:O3694">
    <cfRule type="expression" dxfId="4" priority="1633">
      <formula>O3689&lt;AE3689</formula>
    </cfRule>
  </conditionalFormatting>
  <conditionalFormatting sqref="O3698:O3745">
    <cfRule type="expression" dxfId="4" priority="1601">
      <formula>O3698&lt;AE3698</formula>
    </cfRule>
  </conditionalFormatting>
  <conditionalFormatting sqref="O3747:O3752">
    <cfRule type="expression" dxfId="4" priority="1587">
      <formula>O3747&lt;AE3747</formula>
    </cfRule>
  </conditionalFormatting>
  <conditionalFormatting sqref="O3754:O3759">
    <cfRule type="expression" dxfId="4" priority="1574">
      <formula>O3754&lt;AE3754</formula>
    </cfRule>
  </conditionalFormatting>
  <conditionalFormatting sqref="O3763:O3810">
    <cfRule type="expression" dxfId="4" priority="1542">
      <formula>O3763&lt;AE3763</formula>
    </cfRule>
  </conditionalFormatting>
  <conditionalFormatting sqref="O3812:O3817">
    <cfRule type="expression" dxfId="4" priority="1528">
      <formula>O3812&lt;AE3812</formula>
    </cfRule>
  </conditionalFormatting>
  <conditionalFormatting sqref="O3819:O3824">
    <cfRule type="expression" dxfId="4" priority="1515">
      <formula>O3819&lt;AE3819</formula>
    </cfRule>
  </conditionalFormatting>
  <conditionalFormatting sqref="O3828:O3875">
    <cfRule type="expression" dxfId="4" priority="1483">
      <formula>O3828&lt;AE3828</formula>
    </cfRule>
  </conditionalFormatting>
  <conditionalFormatting sqref="O3877:O3882">
    <cfRule type="expression" dxfId="4" priority="1469">
      <formula>O3877&lt;AE3877</formula>
    </cfRule>
  </conditionalFormatting>
  <conditionalFormatting sqref="O3884:O3889">
    <cfRule type="expression" dxfId="4" priority="1456">
      <formula>O3884&lt;AE3884</formula>
    </cfRule>
  </conditionalFormatting>
  <conditionalFormatting sqref="O3893:O3940">
    <cfRule type="expression" dxfId="4" priority="1424">
      <formula>O3893&lt;AE3893</formula>
    </cfRule>
  </conditionalFormatting>
  <conditionalFormatting sqref="O3942:O3947">
    <cfRule type="expression" dxfId="4" priority="1410">
      <formula>O3942&lt;AE3942</formula>
    </cfRule>
  </conditionalFormatting>
  <conditionalFormatting sqref="O3949:O3954">
    <cfRule type="expression" dxfId="4" priority="1397">
      <formula>O3949&lt;AE3949</formula>
    </cfRule>
  </conditionalFormatting>
  <conditionalFormatting sqref="O3958:O4005">
    <cfRule type="expression" dxfId="4" priority="1365">
      <formula>O3958&lt;AE3958</formula>
    </cfRule>
  </conditionalFormatting>
  <conditionalFormatting sqref="O4007:O4012">
    <cfRule type="expression" dxfId="4" priority="1351">
      <formula>O4007&lt;AE4007</formula>
    </cfRule>
  </conditionalFormatting>
  <conditionalFormatting sqref="O4014:O4019">
    <cfRule type="expression" dxfId="4" priority="1338">
      <formula>O4014&lt;AE4014</formula>
    </cfRule>
  </conditionalFormatting>
  <conditionalFormatting sqref="O4023:O4070">
    <cfRule type="expression" dxfId="4" priority="1306">
      <formula>O4023&lt;AE4023</formula>
    </cfRule>
  </conditionalFormatting>
  <conditionalFormatting sqref="O4072:O4077">
    <cfRule type="expression" dxfId="4" priority="1292">
      <formula>O4072&lt;AE4072</formula>
    </cfRule>
  </conditionalFormatting>
  <conditionalFormatting sqref="O4079:O4084">
    <cfRule type="expression" dxfId="4" priority="1279">
      <formula>O4079&lt;AE4079</formula>
    </cfRule>
  </conditionalFormatting>
  <conditionalFormatting sqref="O4088:O4135">
    <cfRule type="expression" dxfId="4" priority="1247">
      <formula>O4088&lt;AE4088</formula>
    </cfRule>
  </conditionalFormatting>
  <conditionalFormatting sqref="O4137:O4142">
    <cfRule type="expression" dxfId="4" priority="1233">
      <formula>O4137&lt;AE4137</formula>
    </cfRule>
  </conditionalFormatting>
  <conditionalFormatting sqref="O4144:O4149">
    <cfRule type="expression" dxfId="4" priority="1220">
      <formula>O4144&lt;AE4144</formula>
    </cfRule>
  </conditionalFormatting>
  <conditionalFormatting sqref="O4153:O4200">
    <cfRule type="expression" dxfId="4" priority="1188">
      <formula>O4153&lt;AE4153</formula>
    </cfRule>
  </conditionalFormatting>
  <conditionalFormatting sqref="O4202:O4207">
    <cfRule type="expression" dxfId="4" priority="1174">
      <formula>O4202&lt;AE4202</formula>
    </cfRule>
  </conditionalFormatting>
  <conditionalFormatting sqref="O4209:O4214">
    <cfRule type="expression" dxfId="4" priority="1161">
      <formula>O4209&lt;AE4209</formula>
    </cfRule>
  </conditionalFormatting>
  <conditionalFormatting sqref="O4218:O4265">
    <cfRule type="expression" dxfId="4" priority="1129">
      <formula>O4218&lt;AE4218</formula>
    </cfRule>
  </conditionalFormatting>
  <conditionalFormatting sqref="O4267:O4272">
    <cfRule type="expression" dxfId="4" priority="1115">
      <formula>O4267&lt;AE4267</formula>
    </cfRule>
  </conditionalFormatting>
  <conditionalFormatting sqref="O4274:O4279">
    <cfRule type="expression" dxfId="4" priority="1102">
      <formula>O4274&lt;AE4274</formula>
    </cfRule>
  </conditionalFormatting>
  <conditionalFormatting sqref="O4283:O4330">
    <cfRule type="expression" dxfId="4" priority="1070">
      <formula>O4283&lt;AE4283</formula>
    </cfRule>
  </conditionalFormatting>
  <conditionalFormatting sqref="O4332:O4337">
    <cfRule type="expression" dxfId="4" priority="1056">
      <formula>O4332&lt;AE4332</formula>
    </cfRule>
  </conditionalFormatting>
  <conditionalFormatting sqref="O4339:O4344">
    <cfRule type="expression" dxfId="4" priority="1043">
      <formula>O4339&lt;AE4339</formula>
    </cfRule>
  </conditionalFormatting>
  <conditionalFormatting sqref="O4348:O4395">
    <cfRule type="expression" dxfId="4" priority="1011">
      <formula>O4348&lt;AE4348</formula>
    </cfRule>
  </conditionalFormatting>
  <conditionalFormatting sqref="O4397:O4402">
    <cfRule type="expression" dxfId="4" priority="997">
      <formula>O4397&lt;AE4397</formula>
    </cfRule>
  </conditionalFormatting>
  <conditionalFormatting sqref="O4404:O4409">
    <cfRule type="expression" dxfId="4" priority="984">
      <formula>O4404&lt;AE4404</formula>
    </cfRule>
  </conditionalFormatting>
  <conditionalFormatting sqref="O4413:O4460">
    <cfRule type="expression" dxfId="4" priority="952">
      <formula>O4413&lt;AE4413</formula>
    </cfRule>
  </conditionalFormatting>
  <conditionalFormatting sqref="O4462:O4467">
    <cfRule type="expression" dxfId="4" priority="938">
      <formula>O4462&lt;AE4462</formula>
    </cfRule>
  </conditionalFormatting>
  <conditionalFormatting sqref="O4469:O4474">
    <cfRule type="expression" dxfId="4" priority="925">
      <formula>O4469&lt;AE4469</formula>
    </cfRule>
  </conditionalFormatting>
  <conditionalFormatting sqref="O4478:O4525">
    <cfRule type="expression" dxfId="4" priority="893">
      <formula>O4478&lt;AE4478</formula>
    </cfRule>
  </conditionalFormatting>
  <conditionalFormatting sqref="O4527:O4532">
    <cfRule type="expression" dxfId="4" priority="879">
      <formula>O4527&lt;AE4527</formula>
    </cfRule>
  </conditionalFormatting>
  <conditionalFormatting sqref="O4534:O4539">
    <cfRule type="expression" dxfId="4" priority="866">
      <formula>O4534&lt;AE4534</formula>
    </cfRule>
  </conditionalFormatting>
  <conditionalFormatting sqref="O4543:O4590">
    <cfRule type="expression" dxfId="4" priority="834">
      <formula>O4543&lt;AE4543</formula>
    </cfRule>
  </conditionalFormatting>
  <conditionalFormatting sqref="O4592:O4597">
    <cfRule type="expression" dxfId="4" priority="820">
      <formula>O4592&lt;AE4592</formula>
    </cfRule>
  </conditionalFormatting>
  <conditionalFormatting sqref="O4599:O4604">
    <cfRule type="expression" dxfId="4" priority="807">
      <formula>O4599&lt;AE4599</formula>
    </cfRule>
  </conditionalFormatting>
  <conditionalFormatting sqref="O4608:O4655">
    <cfRule type="expression" dxfId="4" priority="775">
      <formula>O4608&lt;AE4608</formula>
    </cfRule>
  </conditionalFormatting>
  <conditionalFormatting sqref="O4657:O4662">
    <cfRule type="expression" dxfId="4" priority="761">
      <formula>O4657&lt;AE4657</formula>
    </cfRule>
  </conditionalFormatting>
  <conditionalFormatting sqref="O4664:O4669">
    <cfRule type="expression" dxfId="4" priority="748">
      <formula>O4664&lt;AE4664</formula>
    </cfRule>
  </conditionalFormatting>
  <conditionalFormatting sqref="O4673:O4720">
    <cfRule type="expression" dxfId="4" priority="716">
      <formula>O4673&lt;AE4673</formula>
    </cfRule>
  </conditionalFormatting>
  <conditionalFormatting sqref="O4722:O4727">
    <cfRule type="expression" dxfId="4" priority="702">
      <formula>O4722&lt;AE4722</formula>
    </cfRule>
  </conditionalFormatting>
  <conditionalFormatting sqref="O4729:O4734">
    <cfRule type="expression" dxfId="4" priority="689">
      <formula>O4729&lt;AE4729</formula>
    </cfRule>
  </conditionalFormatting>
  <conditionalFormatting sqref="O4738:O4785">
    <cfRule type="expression" dxfId="4" priority="657">
      <formula>O4738&lt;AE4738</formula>
    </cfRule>
  </conditionalFormatting>
  <conditionalFormatting sqref="O4787:O4792">
    <cfRule type="expression" dxfId="4" priority="643">
      <formula>O4787&lt;AE4787</formula>
    </cfRule>
  </conditionalFormatting>
  <conditionalFormatting sqref="O4794:O4799">
    <cfRule type="expression" dxfId="4" priority="630">
      <formula>O4794&lt;AE4794</formula>
    </cfRule>
  </conditionalFormatting>
  <conditionalFormatting sqref="O4803:O4850">
    <cfRule type="expression" dxfId="4" priority="598">
      <formula>O4803&lt;AE4803</formula>
    </cfRule>
  </conditionalFormatting>
  <conditionalFormatting sqref="O4852:O4857">
    <cfRule type="expression" dxfId="4" priority="584">
      <formula>O4852&lt;AE4852</formula>
    </cfRule>
  </conditionalFormatting>
  <conditionalFormatting sqref="O4859:O4864">
    <cfRule type="expression" dxfId="4" priority="571">
      <formula>O4859&lt;AE4859</formula>
    </cfRule>
  </conditionalFormatting>
  <conditionalFormatting sqref="O4868:O4915">
    <cfRule type="expression" dxfId="4" priority="539">
      <formula>O4868&lt;AE4868</formula>
    </cfRule>
  </conditionalFormatting>
  <conditionalFormatting sqref="O4917:O4922">
    <cfRule type="expression" dxfId="4" priority="525">
      <formula>O4917&lt;AE4917</formula>
    </cfRule>
  </conditionalFormatting>
  <conditionalFormatting sqref="O4924:O4929">
    <cfRule type="expression" dxfId="4" priority="512">
      <formula>O4924&lt;AE4924</formula>
    </cfRule>
  </conditionalFormatting>
  <conditionalFormatting sqref="O4933:O4980">
    <cfRule type="expression" dxfId="4" priority="480">
      <formula>O4933&lt;AE4933</formula>
    </cfRule>
  </conditionalFormatting>
  <conditionalFormatting sqref="O4982:O4987">
    <cfRule type="expression" dxfId="4" priority="466">
      <formula>O4982&lt;AE4982</formula>
    </cfRule>
  </conditionalFormatting>
  <conditionalFormatting sqref="O4989:O4994">
    <cfRule type="expression" dxfId="4" priority="453">
      <formula>O4989&lt;AE4989</formula>
    </cfRule>
  </conditionalFormatting>
  <conditionalFormatting sqref="O4998:O5045">
    <cfRule type="expression" dxfId="4" priority="421">
      <formula>O4998&lt;AE4998</formula>
    </cfRule>
  </conditionalFormatting>
  <conditionalFormatting sqref="O5047:O5052">
    <cfRule type="expression" dxfId="4" priority="407">
      <formula>O5047&lt;AE5047</formula>
    </cfRule>
  </conditionalFormatting>
  <conditionalFormatting sqref="O5054:O5059">
    <cfRule type="expression" dxfId="4" priority="394">
      <formula>O5054&lt;AE5054</formula>
    </cfRule>
  </conditionalFormatting>
  <conditionalFormatting sqref="O5063:O5110">
    <cfRule type="expression" dxfId="4" priority="362">
      <formula>O5063&lt;AE5063</formula>
    </cfRule>
  </conditionalFormatting>
  <conditionalFormatting sqref="O5112:O5117">
    <cfRule type="expression" dxfId="4" priority="348">
      <formula>O5112&lt;AE5112</formula>
    </cfRule>
  </conditionalFormatting>
  <conditionalFormatting sqref="O5119:O5124">
    <cfRule type="expression" dxfId="4" priority="335">
      <formula>O5119&lt;AE5119</formula>
    </cfRule>
  </conditionalFormatting>
  <conditionalFormatting sqref="D3:O9 C10:O15 D16:O16 C17:O22 D23:O23 C24:O29 D30:O30 C31:O36 D37:O37 C38:O43 D44:O44 C45:O50 D51:O51">
    <cfRule type="expression" dxfId="4" priority="4587">
      <formula>C3&lt;S3</formula>
    </cfRule>
  </conditionalFormatting>
  <conditionalFormatting sqref="D54:O60 C61:O66 D67:O67 C68:O73 D74:O74 C75:O80 D81:O81 C82:O87 D88:O88 C89:O94 D95:O95 C96:O101 D102:O102">
    <cfRule type="expression" dxfId="4" priority="4565">
      <formula>C54&lt;S54</formula>
    </cfRule>
  </conditionalFormatting>
  <conditionalFormatting sqref="D105:O111 C112:O117 D118:O118 C119:O124 D125:O125 C126:O131 D132:O132 C133:O138 D139:O139 C140:O145 D146:O146 C147:O152 D153:O153">
    <cfRule type="expression" dxfId="4" priority="4631">
      <formula>C105&lt;S105</formula>
    </cfRule>
  </conditionalFormatting>
  <conditionalFormatting sqref="D156:O162 C163:O168 D169:O169 C170:O175 D176:O176 C177:O182 D183:O183 C184:O189 D190:O190 C191:O196 D197:O197 C198:O203 D204:O204">
    <cfRule type="expression" dxfId="4" priority="4609">
      <formula>C156&lt;S156</formula>
    </cfRule>
  </conditionalFormatting>
  <conditionalFormatting sqref="D207:O213 C214:O219 D220:O220 C221:O226 D227:O227 C228:O233 D234:O234 C235:O240 D241:O241 C242:O247 D248:O248 C249:O254 D255:O255">
    <cfRule type="expression" dxfId="4" priority="4543">
      <formula>C207&lt;S207</formula>
    </cfRule>
  </conditionalFormatting>
  <conditionalFormatting sqref="D258:O264 C265:O270 D271:O271 C272:O277 D278:O278 C279:O284 D285:O285 C286:O291 D292:O292 C293:O298 D299:O299 C300:O305 D306:O306">
    <cfRule type="expression" dxfId="4" priority="4521">
      <formula>C258&lt;S258</formula>
    </cfRule>
  </conditionalFormatting>
  <conditionalFormatting sqref="D309:O315 C316:O321 D322:O322 C323:O328 D329:O329 C330:O335 D336:O336 C337:O342 D343:O343 C344:O349 D350:O350 C351:O356 D357:O357">
    <cfRule type="expression" dxfId="4" priority="4499">
      <formula>C309&lt;S309</formula>
    </cfRule>
  </conditionalFormatting>
  <conditionalFormatting sqref="D360:O366 C367:O372 D373:O373 C374:O379 D380:O380 C381:O386 D387:O387 C388:O393 D394:O394 C395:O400 D401:O401 C402:O407 D408:O408">
    <cfRule type="expression" dxfId="4" priority="4477">
      <formula>C360&lt;S360</formula>
    </cfRule>
  </conditionalFormatting>
  <conditionalFormatting sqref="D411:O417 C418:O423 D424:O424 C425:O430 D431:O431 C432:O437 D438:O438 C439:O444 D445:O445 C446:O451 D452:O452 C453:O458 D459:O459">
    <cfRule type="expression" dxfId="4" priority="4455">
      <formula>C411&lt;S411</formula>
    </cfRule>
  </conditionalFormatting>
  <conditionalFormatting sqref="D462:O468 C469:O474 D475:O475 C476:O481 D482:O482 C483:O488 D489:O489 C490:O495 D496:O496 C497:O502 D503:O503 C504:O509 D510:O510">
    <cfRule type="expression" dxfId="4" priority="4433">
      <formula>C462&lt;S462</formula>
    </cfRule>
  </conditionalFormatting>
  <conditionalFormatting sqref="N462:N510 O497">
    <cfRule type="expression" dxfId="4" priority="4435">
      <formula>N462&lt;AD462</formula>
    </cfRule>
  </conditionalFormatting>
  <conditionalFormatting sqref="O462:O496 O498:O510">
    <cfRule type="expression" dxfId="4" priority="4434">
      <formula>O462&lt;AE462</formula>
    </cfRule>
  </conditionalFormatting>
  <conditionalFormatting sqref="D513:O519 C520:O525 D526:O526 C527:O532 D533:O533 C534:O539 D540:O540 C541:O546 D547:O547 C548:O553 D554:O554 C555:O560 D561:O561">
    <cfRule type="expression" dxfId="4" priority="4411">
      <formula>C513&lt;S513</formula>
    </cfRule>
  </conditionalFormatting>
  <conditionalFormatting sqref="C562:O567 D568:O568">
    <cfRule type="expression" dxfId="4" priority="4389">
      <formula>C562&lt;S562</formula>
    </cfRule>
  </conditionalFormatting>
  <conditionalFormatting sqref="C569:O574 D575:O575">
    <cfRule type="expression" dxfId="4" priority="4375">
      <formula>C569&lt;S569</formula>
    </cfRule>
  </conditionalFormatting>
  <conditionalFormatting sqref="D578:O584 C585:O590 D591:O591 C592:O597 D598:O598 C599:O604 D605:O605 C606:O611 D612:O612 C613:O618 D619:O619 C620:O625 D626:O626">
    <cfRule type="expression" dxfId="4" priority="4361">
      <formula>C578&lt;S578</formula>
    </cfRule>
  </conditionalFormatting>
  <conditionalFormatting sqref="C627:O632 D633:O633">
    <cfRule type="expression" dxfId="4" priority="4339">
      <formula>C627&lt;S627</formula>
    </cfRule>
  </conditionalFormatting>
  <conditionalFormatting sqref="C634:O639 D640:O640">
    <cfRule type="expression" dxfId="4" priority="4325">
      <formula>C634&lt;S634</formula>
    </cfRule>
  </conditionalFormatting>
  <conditionalFormatting sqref="D643:O649 C650:O655 D656:O656 C657:O662 D663:O663 C664:O669 D670:O670 C671:O676 D677:O677 C678:O683 D684:O684 C685:O690 D691:O691">
    <cfRule type="expression" dxfId="4" priority="4311">
      <formula>C643&lt;S643</formula>
    </cfRule>
  </conditionalFormatting>
  <conditionalFormatting sqref="C692:O697 D698:O698">
    <cfRule type="expression" dxfId="4" priority="4289">
      <formula>C692&lt;S692</formula>
    </cfRule>
  </conditionalFormatting>
  <conditionalFormatting sqref="C699:O704 D705:O705">
    <cfRule type="expression" dxfId="4" priority="4275">
      <formula>C699&lt;S699</formula>
    </cfRule>
  </conditionalFormatting>
  <conditionalFormatting sqref="D708:O714 C715:O720 D721:O721 C722:O727 D728:O728 C729:O734 D735:O735 C736:O741 D742:O742 C743:O748 D749:O749 C750:O755 D756:O756">
    <cfRule type="expression" dxfId="4" priority="4261">
      <formula>C708&lt;S708</formula>
    </cfRule>
  </conditionalFormatting>
  <conditionalFormatting sqref="C757:O762 D763:O763">
    <cfRule type="expression" dxfId="4" priority="4239">
      <formula>C757&lt;S757</formula>
    </cfRule>
  </conditionalFormatting>
  <conditionalFormatting sqref="C764:O769 D770:O770">
    <cfRule type="expression" dxfId="4" priority="4225">
      <formula>C764&lt;S764</formula>
    </cfRule>
  </conditionalFormatting>
  <conditionalFormatting sqref="D773:O821">
    <cfRule type="expression" dxfId="4" priority="4211">
      <formula>D773&lt;T773</formula>
    </cfRule>
  </conditionalFormatting>
  <conditionalFormatting sqref="D822:O828">
    <cfRule type="expression" dxfId="4" priority="4197">
      <formula>D822&lt;T822</formula>
    </cfRule>
  </conditionalFormatting>
  <conditionalFormatting sqref="C829:O834 D835:O835">
    <cfRule type="expression" dxfId="4" priority="4184">
      <formula>C829&lt;S829</formula>
    </cfRule>
  </conditionalFormatting>
  <conditionalFormatting sqref="D838:O886">
    <cfRule type="expression" dxfId="4" priority="4154">
      <formula>D838&lt;T838</formula>
    </cfRule>
  </conditionalFormatting>
  <conditionalFormatting sqref="D887:O893">
    <cfRule type="expression" dxfId="4" priority="4140">
      <formula>D887&lt;T887</formula>
    </cfRule>
  </conditionalFormatting>
  <conditionalFormatting sqref="C894:O899 D900:O900">
    <cfRule type="expression" dxfId="4" priority="4127">
      <formula>C894&lt;S894</formula>
    </cfRule>
  </conditionalFormatting>
  <conditionalFormatting sqref="D903:O951">
    <cfRule type="expression" dxfId="4" priority="4097">
      <formula>D903&lt;T903</formula>
    </cfRule>
  </conditionalFormatting>
  <conditionalFormatting sqref="D952:O958">
    <cfRule type="expression" dxfId="4" priority="4083">
      <formula>D952&lt;T952</formula>
    </cfRule>
  </conditionalFormatting>
  <conditionalFormatting sqref="C959:O964 D965:O965">
    <cfRule type="expression" dxfId="4" priority="4070">
      <formula>C959&lt;S959</formula>
    </cfRule>
  </conditionalFormatting>
  <conditionalFormatting sqref="D968:O1016">
    <cfRule type="expression" dxfId="4" priority="4040">
      <formula>D968&lt;T968</formula>
    </cfRule>
  </conditionalFormatting>
  <conditionalFormatting sqref="D1017:O1023">
    <cfRule type="expression" dxfId="4" priority="4026">
      <formula>D1017&lt;T1017</formula>
    </cfRule>
  </conditionalFormatting>
  <conditionalFormatting sqref="C1024:O1029 D1030:O1030">
    <cfRule type="expression" dxfId="4" priority="4013">
      <formula>C1024&lt;S1024</formula>
    </cfRule>
  </conditionalFormatting>
  <conditionalFormatting sqref="D1033:O1081">
    <cfRule type="expression" dxfId="4" priority="3983">
      <formula>D1033&lt;T1033</formula>
    </cfRule>
  </conditionalFormatting>
  <conditionalFormatting sqref="D1082:O1088">
    <cfRule type="expression" dxfId="4" priority="3969">
      <formula>D1082&lt;T1082</formula>
    </cfRule>
  </conditionalFormatting>
  <conditionalFormatting sqref="C1089:O1094 D1095:O1095">
    <cfRule type="expression" dxfId="4" priority="3956">
      <formula>C1089&lt;S1089</formula>
    </cfRule>
  </conditionalFormatting>
  <conditionalFormatting sqref="D1098:O1146">
    <cfRule type="expression" dxfId="4" priority="3926">
      <formula>D1098&lt;T1098</formula>
    </cfRule>
  </conditionalFormatting>
  <conditionalFormatting sqref="D1147:O1153">
    <cfRule type="expression" dxfId="4" priority="3912">
      <formula>D1147&lt;T1147</formula>
    </cfRule>
  </conditionalFormatting>
  <conditionalFormatting sqref="C1154:O1159 D1160:O1160">
    <cfRule type="expression" dxfId="4" priority="3899">
      <formula>C1154&lt;S1154</formula>
    </cfRule>
  </conditionalFormatting>
  <conditionalFormatting sqref="D1163:O1211">
    <cfRule type="expression" dxfId="4" priority="3869">
      <formula>D1163&lt;T1163</formula>
    </cfRule>
  </conditionalFormatting>
  <conditionalFormatting sqref="D1212:O1218">
    <cfRule type="expression" dxfId="4" priority="3855">
      <formula>D1212&lt;T1212</formula>
    </cfRule>
  </conditionalFormatting>
  <conditionalFormatting sqref="C1219:O1224 D1225:O1225">
    <cfRule type="expression" dxfId="4" priority="3842">
      <formula>C1219&lt;S1219</formula>
    </cfRule>
  </conditionalFormatting>
  <conditionalFormatting sqref="D1228:O1276">
    <cfRule type="expression" dxfId="4" priority="3812">
      <formula>D1228&lt;T1228</formula>
    </cfRule>
  </conditionalFormatting>
  <conditionalFormatting sqref="D1277:O1283">
    <cfRule type="expression" dxfId="4" priority="3798">
      <formula>D1277&lt;T1277</formula>
    </cfRule>
  </conditionalFormatting>
  <conditionalFormatting sqref="C1284:O1289 D1290:O1290">
    <cfRule type="expression" dxfId="4" priority="3785">
      <formula>C1284&lt;S1284</formula>
    </cfRule>
  </conditionalFormatting>
  <conditionalFormatting sqref="D1293:O1341">
    <cfRule type="expression" dxfId="4" priority="3755">
      <formula>D1293&lt;T1293</formula>
    </cfRule>
  </conditionalFormatting>
  <conditionalFormatting sqref="D1342:O1348">
    <cfRule type="expression" dxfId="4" priority="3741">
      <formula>D1342&lt;T1342</formula>
    </cfRule>
  </conditionalFormatting>
  <conditionalFormatting sqref="C1349:O1354 D1355:O1355">
    <cfRule type="expression" dxfId="4" priority="3728">
      <formula>C1349&lt;S1349</formula>
    </cfRule>
  </conditionalFormatting>
  <conditionalFormatting sqref="D1358:O1406">
    <cfRule type="expression" dxfId="4" priority="3698">
      <formula>D1358&lt;T1358</formula>
    </cfRule>
  </conditionalFormatting>
  <conditionalFormatting sqref="D1407:O1413">
    <cfRule type="expression" dxfId="4" priority="3684">
      <formula>D1407&lt;T1407</formula>
    </cfRule>
  </conditionalFormatting>
  <conditionalFormatting sqref="C1414:O1419 D1420:O1420">
    <cfRule type="expression" dxfId="4" priority="3671">
      <formula>C1414&lt;S1414</formula>
    </cfRule>
  </conditionalFormatting>
  <conditionalFormatting sqref="D1423:O1471">
    <cfRule type="expression" dxfId="4" priority="3641">
      <formula>D1423&lt;T1423</formula>
    </cfRule>
  </conditionalFormatting>
  <conditionalFormatting sqref="D1472:O1478">
    <cfRule type="expression" dxfId="4" priority="3627">
      <formula>D1472&lt;T1472</formula>
    </cfRule>
  </conditionalFormatting>
  <conditionalFormatting sqref="C1479:O1484 D1485:O1485">
    <cfRule type="expression" dxfId="4" priority="3614">
      <formula>C1479&lt;S1479</formula>
    </cfRule>
  </conditionalFormatting>
  <conditionalFormatting sqref="D1488:O1536">
    <cfRule type="expression" dxfId="4" priority="3584">
      <formula>D1488&lt;T1488</formula>
    </cfRule>
  </conditionalFormatting>
  <conditionalFormatting sqref="D1537:O1543">
    <cfRule type="expression" dxfId="4" priority="3570">
      <formula>D1537&lt;T1537</formula>
    </cfRule>
  </conditionalFormatting>
  <conditionalFormatting sqref="C1544:O1549 D1550:O1550">
    <cfRule type="expression" dxfId="4" priority="3557">
      <formula>C1544&lt;S1544</formula>
    </cfRule>
  </conditionalFormatting>
  <conditionalFormatting sqref="D1553:O1601">
    <cfRule type="expression" dxfId="4" priority="3527">
      <formula>D1553&lt;T1553</formula>
    </cfRule>
  </conditionalFormatting>
  <conditionalFormatting sqref="D1602:O1608">
    <cfRule type="expression" dxfId="4" priority="3513">
      <formula>D1602&lt;T1602</formula>
    </cfRule>
  </conditionalFormatting>
  <conditionalFormatting sqref="C1609:O1614 D1615:O1615">
    <cfRule type="expression" dxfId="4" priority="3500">
      <formula>C1609&lt;S1609</formula>
    </cfRule>
  </conditionalFormatting>
  <conditionalFormatting sqref="D1618:O1666">
    <cfRule type="expression" dxfId="4" priority="3470">
      <formula>D1618&lt;T1618</formula>
    </cfRule>
  </conditionalFormatting>
  <conditionalFormatting sqref="D1667:O1673">
    <cfRule type="expression" dxfId="4" priority="3456">
      <formula>D1667&lt;T1667</formula>
    </cfRule>
  </conditionalFormatting>
  <conditionalFormatting sqref="C1674:O1679 D1680:O1680">
    <cfRule type="expression" dxfId="4" priority="3443">
      <formula>C1674&lt;S1674</formula>
    </cfRule>
  </conditionalFormatting>
  <conditionalFormatting sqref="D1683:O1731">
    <cfRule type="expression" dxfId="4" priority="3413">
      <formula>D1683&lt;T1683</formula>
    </cfRule>
  </conditionalFormatting>
  <conditionalFormatting sqref="D1732:O1738">
    <cfRule type="expression" dxfId="4" priority="3399">
      <formula>D1732&lt;T1732</formula>
    </cfRule>
  </conditionalFormatting>
  <conditionalFormatting sqref="C1739:O1744 D1745:O1745">
    <cfRule type="expression" dxfId="4" priority="3386">
      <formula>C1739&lt;S1739</formula>
    </cfRule>
  </conditionalFormatting>
  <conditionalFormatting sqref="D1748:O1796">
    <cfRule type="expression" dxfId="4" priority="3356">
      <formula>D1748&lt;T1748</formula>
    </cfRule>
  </conditionalFormatting>
  <conditionalFormatting sqref="D1797:O1803">
    <cfRule type="expression" dxfId="4" priority="3342">
      <formula>D1797&lt;T1797</formula>
    </cfRule>
  </conditionalFormatting>
  <conditionalFormatting sqref="C1804:O1809 D1810:O1810">
    <cfRule type="expression" dxfId="4" priority="3329">
      <formula>C1804&lt;S1804</formula>
    </cfRule>
  </conditionalFormatting>
  <conditionalFormatting sqref="D1813:O1861">
    <cfRule type="expression" dxfId="4" priority="3299">
      <formula>D1813&lt;T1813</formula>
    </cfRule>
  </conditionalFormatting>
  <conditionalFormatting sqref="D1862:O1868">
    <cfRule type="expression" dxfId="4" priority="3285">
      <formula>D1862&lt;T1862</formula>
    </cfRule>
  </conditionalFormatting>
  <conditionalFormatting sqref="C1869:O1874 D1875:O1875">
    <cfRule type="expression" dxfId="4" priority="3272">
      <formula>C1869&lt;S1869</formula>
    </cfRule>
  </conditionalFormatting>
  <conditionalFormatting sqref="D1878:O1926">
    <cfRule type="expression" dxfId="4" priority="3242">
      <formula>D1878&lt;T1878</formula>
    </cfRule>
  </conditionalFormatting>
  <conditionalFormatting sqref="D1927:O1933">
    <cfRule type="expression" dxfId="4" priority="3228">
      <formula>D1927&lt;T1927</formula>
    </cfRule>
  </conditionalFormatting>
  <conditionalFormatting sqref="C1934:O1939 D1940:O1940">
    <cfRule type="expression" dxfId="4" priority="3215">
      <formula>C1934&lt;S1934</formula>
    </cfRule>
  </conditionalFormatting>
  <conditionalFormatting sqref="D1943:O2005">
    <cfRule type="expression" dxfId="4" priority="3140">
      <formula>D1943&lt;T1943</formula>
    </cfRule>
  </conditionalFormatting>
  <conditionalFormatting sqref="C1999:O2005">
    <cfRule type="expression" dxfId="4" priority="3139">
      <formula>C1999&lt;S1999</formula>
    </cfRule>
  </conditionalFormatting>
  <conditionalFormatting sqref="D2008:O2056">
    <cfRule type="expression" dxfId="4" priority="3124">
      <formula>D2008&lt;T2008</formula>
    </cfRule>
  </conditionalFormatting>
  <conditionalFormatting sqref="D2057:O2063">
    <cfRule type="expression" dxfId="4" priority="3110">
      <formula>D2057&lt;T2057</formula>
    </cfRule>
  </conditionalFormatting>
  <conditionalFormatting sqref="C2064:O2069 D2070:O2070">
    <cfRule type="expression" dxfId="4" priority="3097">
      <formula>C2064&lt;S2064</formula>
    </cfRule>
  </conditionalFormatting>
  <conditionalFormatting sqref="D2073:O2121">
    <cfRule type="expression" dxfId="4" priority="3067">
      <formula>D2073&lt;T2073</formula>
    </cfRule>
  </conditionalFormatting>
  <conditionalFormatting sqref="D2122:O2128">
    <cfRule type="expression" dxfId="4" priority="3053">
      <formula>D2122&lt;T2122</formula>
    </cfRule>
  </conditionalFormatting>
  <conditionalFormatting sqref="C2129:O2134 D2135:O2135">
    <cfRule type="expression" dxfId="4" priority="3040">
      <formula>C2129&lt;S2129</formula>
    </cfRule>
  </conditionalFormatting>
  <conditionalFormatting sqref="D2138:O2186">
    <cfRule type="expression" dxfId="4" priority="3010">
      <formula>D2138&lt;T2138</formula>
    </cfRule>
  </conditionalFormatting>
  <conditionalFormatting sqref="D2187:O2193">
    <cfRule type="expression" dxfId="4" priority="2996">
      <formula>D2187&lt;T2187</formula>
    </cfRule>
  </conditionalFormatting>
  <conditionalFormatting sqref="C2194:O2199 D2200:O2200">
    <cfRule type="expression" dxfId="4" priority="2983">
      <formula>C2194&lt;S2194</formula>
    </cfRule>
  </conditionalFormatting>
  <conditionalFormatting sqref="D2203:O2251">
    <cfRule type="expression" dxfId="4" priority="2953">
      <formula>D2203&lt;T2203</formula>
    </cfRule>
  </conditionalFormatting>
  <conditionalFormatting sqref="D2252:O2258">
    <cfRule type="expression" dxfId="4" priority="2939">
      <formula>D2252&lt;T2252</formula>
    </cfRule>
  </conditionalFormatting>
  <conditionalFormatting sqref="C2259:O2264 D2265:O2265">
    <cfRule type="expression" dxfId="4" priority="2926">
      <formula>C2259&lt;S2259</formula>
    </cfRule>
  </conditionalFormatting>
  <conditionalFormatting sqref="D2268:O2316">
    <cfRule type="expression" dxfId="4" priority="2896">
      <formula>D2268&lt;T2268</formula>
    </cfRule>
  </conditionalFormatting>
  <conditionalFormatting sqref="D2317:O2323">
    <cfRule type="expression" dxfId="4" priority="2882">
      <formula>D2317&lt;T2317</formula>
    </cfRule>
  </conditionalFormatting>
  <conditionalFormatting sqref="C2324:O2329 D2330:O2330">
    <cfRule type="expression" dxfId="4" priority="2869">
      <formula>C2324&lt;S2324</formula>
    </cfRule>
  </conditionalFormatting>
  <conditionalFormatting sqref="D2333:O2380">
    <cfRule type="expression" dxfId="4" priority="2839">
      <formula>D2333&lt;T2333</formula>
    </cfRule>
  </conditionalFormatting>
  <conditionalFormatting sqref="C2382:C2385 C2387">
    <cfRule type="expression" dxfId="4" priority="2810">
      <formula>C2382&lt;S2382</formula>
    </cfRule>
  </conditionalFormatting>
  <conditionalFormatting sqref="D2382:O2387">
    <cfRule type="expression" dxfId="4" priority="2825">
      <formula>D2382&lt;T2382</formula>
    </cfRule>
  </conditionalFormatting>
  <conditionalFormatting sqref="C2389:O2394">
    <cfRule type="expression" dxfId="4" priority="2812">
      <formula>C2389&lt;S2389</formula>
    </cfRule>
  </conditionalFormatting>
  <conditionalFormatting sqref="D2398:O2445">
    <cfRule type="expression" dxfId="4" priority="2780">
      <formula>D2398&lt;T2398</formula>
    </cfRule>
  </conditionalFormatting>
  <conditionalFormatting sqref="C2447:C2450 C2452">
    <cfRule type="expression" dxfId="4" priority="2751">
      <formula>C2447&lt;S2447</formula>
    </cfRule>
  </conditionalFormatting>
  <conditionalFormatting sqref="D2447:O2452">
    <cfRule type="expression" dxfId="4" priority="2766">
      <formula>D2447&lt;T2447</formula>
    </cfRule>
  </conditionalFormatting>
  <conditionalFormatting sqref="C2454:O2459">
    <cfRule type="expression" dxfId="4" priority="2753">
      <formula>C2454&lt;S2454</formula>
    </cfRule>
  </conditionalFormatting>
  <conditionalFormatting sqref="D2463:O2510">
    <cfRule type="expression" dxfId="4" priority="2721">
      <formula>D2463&lt;T2463</formula>
    </cfRule>
  </conditionalFormatting>
  <conditionalFormatting sqref="C2512:C2515 C2517">
    <cfRule type="expression" dxfId="4" priority="2692">
      <formula>C2512&lt;S2512</formula>
    </cfRule>
  </conditionalFormatting>
  <conditionalFormatting sqref="D2512:O2517">
    <cfRule type="expression" dxfId="4" priority="2707">
      <formula>D2512&lt;T2512</formula>
    </cfRule>
  </conditionalFormatting>
  <conditionalFormatting sqref="C2519:O2524">
    <cfRule type="expression" dxfId="4" priority="2694">
      <formula>C2519&lt;S2519</formula>
    </cfRule>
  </conditionalFormatting>
  <conditionalFormatting sqref="D2528:O2575">
    <cfRule type="expression" dxfId="4" priority="2662">
      <formula>D2528&lt;T2528</formula>
    </cfRule>
  </conditionalFormatting>
  <conditionalFormatting sqref="C2577:C2580 C2582">
    <cfRule type="expression" dxfId="4" priority="2633">
      <formula>C2577&lt;S2577</formula>
    </cfRule>
  </conditionalFormatting>
  <conditionalFormatting sqref="D2577:O2582">
    <cfRule type="expression" dxfId="4" priority="2648">
      <formula>D2577&lt;T2577</formula>
    </cfRule>
  </conditionalFormatting>
  <conditionalFormatting sqref="C2584:O2589">
    <cfRule type="expression" dxfId="4" priority="2635">
      <formula>C2584&lt;S2584</formula>
    </cfRule>
  </conditionalFormatting>
  <conditionalFormatting sqref="D2593:O2640">
    <cfRule type="expression" dxfId="4" priority="2603">
      <formula>D2593&lt;T2593</formula>
    </cfRule>
  </conditionalFormatting>
  <conditionalFormatting sqref="C2642:C2645 C2647">
    <cfRule type="expression" dxfId="4" priority="2574">
      <formula>C2642&lt;S2642</formula>
    </cfRule>
  </conditionalFormatting>
  <conditionalFormatting sqref="D2642:O2647">
    <cfRule type="expression" dxfId="4" priority="2589">
      <formula>D2642&lt;T2642</formula>
    </cfRule>
  </conditionalFormatting>
  <conditionalFormatting sqref="C2649:O2654">
    <cfRule type="expression" dxfId="4" priority="2576">
      <formula>C2649&lt;S2649</formula>
    </cfRule>
  </conditionalFormatting>
  <conditionalFormatting sqref="D2658:O2705">
    <cfRule type="expression" dxfId="4" priority="2544">
      <formula>D2658&lt;T2658</formula>
    </cfRule>
  </conditionalFormatting>
  <conditionalFormatting sqref="C2707:C2710 C2712">
    <cfRule type="expression" dxfId="4" priority="2515">
      <formula>C2707&lt;S2707</formula>
    </cfRule>
  </conditionalFormatting>
  <conditionalFormatting sqref="D2707:O2712">
    <cfRule type="expression" dxfId="4" priority="2530">
      <formula>D2707&lt;T2707</formula>
    </cfRule>
  </conditionalFormatting>
  <conditionalFormatting sqref="C2714:O2719">
    <cfRule type="expression" dxfId="4" priority="2517">
      <formula>C2714&lt;S2714</formula>
    </cfRule>
  </conditionalFormatting>
  <conditionalFormatting sqref="D2723:O2770">
    <cfRule type="expression" dxfId="4" priority="2485">
      <formula>D2723&lt;T2723</formula>
    </cfRule>
  </conditionalFormatting>
  <conditionalFormatting sqref="C2772:C2775 C2777">
    <cfRule type="expression" dxfId="4" priority="2456">
      <formula>C2772&lt;S2772</formula>
    </cfRule>
  </conditionalFormatting>
  <conditionalFormatting sqref="D2772:O2777">
    <cfRule type="expression" dxfId="4" priority="2471">
      <formula>D2772&lt;T2772</formula>
    </cfRule>
  </conditionalFormatting>
  <conditionalFormatting sqref="C2779:O2784">
    <cfRule type="expression" dxfId="4" priority="2458">
      <formula>C2779&lt;S2779</formula>
    </cfRule>
  </conditionalFormatting>
  <conditionalFormatting sqref="D2788:O2835">
    <cfRule type="expression" dxfId="4" priority="2426">
      <formula>D2788&lt;T2788</formula>
    </cfRule>
  </conditionalFormatting>
  <conditionalFormatting sqref="C2837:C2840 C2842">
    <cfRule type="expression" dxfId="4" priority="2397">
      <formula>C2837&lt;S2837</formula>
    </cfRule>
  </conditionalFormatting>
  <conditionalFormatting sqref="D2837:O2842">
    <cfRule type="expression" dxfId="4" priority="2412">
      <formula>D2837&lt;T2837</formula>
    </cfRule>
  </conditionalFormatting>
  <conditionalFormatting sqref="C2844:O2849">
    <cfRule type="expression" dxfId="4" priority="2399">
      <formula>C2844&lt;S2844</formula>
    </cfRule>
  </conditionalFormatting>
  <conditionalFormatting sqref="D2853:O2900">
    <cfRule type="expression" dxfId="4" priority="2367">
      <formula>D2853&lt;T2853</formula>
    </cfRule>
  </conditionalFormatting>
  <conditionalFormatting sqref="C2902:C2905 C2907">
    <cfRule type="expression" dxfId="4" priority="2338">
      <formula>C2902&lt;S2902</formula>
    </cfRule>
  </conditionalFormatting>
  <conditionalFormatting sqref="D2902:O2907">
    <cfRule type="expression" dxfId="4" priority="2353">
      <formula>D2902&lt;T2902</formula>
    </cfRule>
  </conditionalFormatting>
  <conditionalFormatting sqref="C2909:O2914">
    <cfRule type="expression" dxfId="4" priority="2340">
      <formula>C2909&lt;S2909</formula>
    </cfRule>
  </conditionalFormatting>
  <conditionalFormatting sqref="D2918:O2965">
    <cfRule type="expression" dxfId="4" priority="2308">
      <formula>D2918&lt;T2918</formula>
    </cfRule>
  </conditionalFormatting>
  <conditionalFormatting sqref="C2967:C2970 C2972">
    <cfRule type="expression" dxfId="4" priority="2279">
      <formula>C2967&lt;S2967</formula>
    </cfRule>
  </conditionalFormatting>
  <conditionalFormatting sqref="D2967:O2972">
    <cfRule type="expression" dxfId="4" priority="2294">
      <formula>D2967&lt;T2967</formula>
    </cfRule>
  </conditionalFormatting>
  <conditionalFormatting sqref="C2974:O2979">
    <cfRule type="expression" dxfId="4" priority="2281">
      <formula>C2974&lt;S2974</formula>
    </cfRule>
  </conditionalFormatting>
  <conditionalFormatting sqref="D2983:O3030">
    <cfRule type="expression" dxfId="4" priority="2249">
      <formula>D2983&lt;T2983</formula>
    </cfRule>
  </conditionalFormatting>
  <conditionalFormatting sqref="C3032:C3035 C3037">
    <cfRule type="expression" dxfId="4" priority="2220">
      <formula>C3032&lt;S3032</formula>
    </cfRule>
  </conditionalFormatting>
  <conditionalFormatting sqref="D3032:O3037">
    <cfRule type="expression" dxfId="4" priority="2235">
      <formula>D3032&lt;T3032</formula>
    </cfRule>
  </conditionalFormatting>
  <conditionalFormatting sqref="C3039:O3044">
    <cfRule type="expression" dxfId="4" priority="2222">
      <formula>C3039&lt;S3039</formula>
    </cfRule>
  </conditionalFormatting>
  <conditionalFormatting sqref="D3048:O3095">
    <cfRule type="expression" dxfId="4" priority="2190">
      <formula>D3048&lt;T3048</formula>
    </cfRule>
  </conditionalFormatting>
  <conditionalFormatting sqref="C3097:C3100 C3102">
    <cfRule type="expression" dxfId="4" priority="2161">
      <formula>C3097&lt;S3097</formula>
    </cfRule>
  </conditionalFormatting>
  <conditionalFormatting sqref="D3097:O3102">
    <cfRule type="expression" dxfId="4" priority="2176">
      <formula>D3097&lt;T3097</formula>
    </cfRule>
  </conditionalFormatting>
  <conditionalFormatting sqref="C3104:O3109">
    <cfRule type="expression" dxfId="4" priority="2163">
      <formula>C3104&lt;S3104</formula>
    </cfRule>
  </conditionalFormatting>
  <conditionalFormatting sqref="D3113:O3160">
    <cfRule type="expression" dxfId="4" priority="2131">
      <formula>D3113&lt;T3113</formula>
    </cfRule>
  </conditionalFormatting>
  <conditionalFormatting sqref="C3162:C3165 C3167">
    <cfRule type="expression" dxfId="4" priority="2102">
      <formula>C3162&lt;S3162</formula>
    </cfRule>
  </conditionalFormatting>
  <conditionalFormatting sqref="D3162:O3167">
    <cfRule type="expression" dxfId="4" priority="2117">
      <formula>D3162&lt;T3162</formula>
    </cfRule>
  </conditionalFormatting>
  <conditionalFormatting sqref="C3169:O3174">
    <cfRule type="expression" dxfId="4" priority="2104">
      <formula>C3169&lt;S3169</formula>
    </cfRule>
  </conditionalFormatting>
  <conditionalFormatting sqref="D3178:O3225">
    <cfRule type="expression" dxfId="4" priority="2072">
      <formula>D3178&lt;T3178</formula>
    </cfRule>
  </conditionalFormatting>
  <conditionalFormatting sqref="C3227:C3230 C3232">
    <cfRule type="expression" dxfId="4" priority="2043">
      <formula>C3227&lt;S3227</formula>
    </cfRule>
  </conditionalFormatting>
  <conditionalFormatting sqref="D3227:O3232">
    <cfRule type="expression" dxfId="4" priority="2058">
      <formula>D3227&lt;T3227</formula>
    </cfRule>
  </conditionalFormatting>
  <conditionalFormatting sqref="C3234:O3239">
    <cfRule type="expression" dxfId="4" priority="2045">
      <formula>C3234&lt;S3234</formula>
    </cfRule>
  </conditionalFormatting>
  <conditionalFormatting sqref="D3243:O3290">
    <cfRule type="expression" dxfId="4" priority="2013">
      <formula>D3243&lt;T3243</formula>
    </cfRule>
  </conditionalFormatting>
  <conditionalFormatting sqref="C3292:C3295 C3297">
    <cfRule type="expression" dxfId="4" priority="1984">
      <formula>C3292&lt;S3292</formula>
    </cfRule>
  </conditionalFormatting>
  <conditionalFormatting sqref="D3292:O3297">
    <cfRule type="expression" dxfId="4" priority="1999">
      <formula>D3292&lt;T3292</formula>
    </cfRule>
  </conditionalFormatting>
  <conditionalFormatting sqref="C3299:O3304">
    <cfRule type="expression" dxfId="4" priority="1986">
      <formula>C3299&lt;S3299</formula>
    </cfRule>
  </conditionalFormatting>
  <conditionalFormatting sqref="D3308:O3355">
    <cfRule type="expression" dxfId="4" priority="1954">
      <formula>D3308&lt;T3308</formula>
    </cfRule>
  </conditionalFormatting>
  <conditionalFormatting sqref="C3357:C3360 C3362">
    <cfRule type="expression" dxfId="4" priority="1925">
      <formula>C3357&lt;S3357</formula>
    </cfRule>
  </conditionalFormatting>
  <conditionalFormatting sqref="D3357:O3362">
    <cfRule type="expression" dxfId="4" priority="1940">
      <formula>D3357&lt;T3357</formula>
    </cfRule>
  </conditionalFormatting>
  <conditionalFormatting sqref="C3364:O3369">
    <cfRule type="expression" dxfId="4" priority="1927">
      <formula>C3364&lt;S3364</formula>
    </cfRule>
  </conditionalFormatting>
  <conditionalFormatting sqref="D3373:O3420">
    <cfRule type="expression" dxfId="4" priority="1895">
      <formula>D3373&lt;T3373</formula>
    </cfRule>
  </conditionalFormatting>
  <conditionalFormatting sqref="C3422:C3425 C3427">
    <cfRule type="expression" dxfId="4" priority="1866">
      <formula>C3422&lt;S3422</formula>
    </cfRule>
  </conditionalFormatting>
  <conditionalFormatting sqref="D3422:O3427">
    <cfRule type="expression" dxfId="4" priority="1881">
      <formula>D3422&lt;T3422</formula>
    </cfRule>
  </conditionalFormatting>
  <conditionalFormatting sqref="C3429:O3434">
    <cfRule type="expression" dxfId="4" priority="1868">
      <formula>C3429&lt;S3429</formula>
    </cfRule>
  </conditionalFormatting>
  <conditionalFormatting sqref="D3438:O3485">
    <cfRule type="expression" dxfId="4" priority="1836">
      <formula>D3438&lt;T3438</formula>
    </cfRule>
  </conditionalFormatting>
  <conditionalFormatting sqref="C3487:C3490 C3492">
    <cfRule type="expression" dxfId="4" priority="1807">
      <formula>C3487&lt;S3487</formula>
    </cfRule>
  </conditionalFormatting>
  <conditionalFormatting sqref="D3487:O3492">
    <cfRule type="expression" dxfId="4" priority="1822">
      <formula>D3487&lt;T3487</formula>
    </cfRule>
  </conditionalFormatting>
  <conditionalFormatting sqref="C3494:O3499">
    <cfRule type="expression" dxfId="4" priority="1809">
      <formula>C3494&lt;S3494</formula>
    </cfRule>
  </conditionalFormatting>
  <conditionalFormatting sqref="D3503:O3550">
    <cfRule type="expression" dxfId="4" priority="1777">
      <formula>D3503&lt;T3503</formula>
    </cfRule>
  </conditionalFormatting>
  <conditionalFormatting sqref="C3552:C3555 C3557">
    <cfRule type="expression" dxfId="4" priority="1748">
      <formula>C3552&lt;S3552</formula>
    </cfRule>
  </conditionalFormatting>
  <conditionalFormatting sqref="D3552:O3557">
    <cfRule type="expression" dxfId="4" priority="1763">
      <formula>D3552&lt;T3552</formula>
    </cfRule>
  </conditionalFormatting>
  <conditionalFormatting sqref="C3559:O3564">
    <cfRule type="expression" dxfId="4" priority="1750">
      <formula>C3559&lt;S3559</formula>
    </cfRule>
  </conditionalFormatting>
  <conditionalFormatting sqref="D3568:O3615">
    <cfRule type="expression" dxfId="4" priority="1718">
      <formula>D3568&lt;T3568</formula>
    </cfRule>
  </conditionalFormatting>
  <conditionalFormatting sqref="C3617:C3620 C3622">
    <cfRule type="expression" dxfId="4" priority="1689">
      <formula>C3617&lt;S3617</formula>
    </cfRule>
  </conditionalFormatting>
  <conditionalFormatting sqref="D3617:O3622">
    <cfRule type="expression" dxfId="4" priority="1704">
      <formula>D3617&lt;T3617</formula>
    </cfRule>
  </conditionalFormatting>
  <conditionalFormatting sqref="C3624:O3629">
    <cfRule type="expression" dxfId="4" priority="1691">
      <formula>C3624&lt;S3624</formula>
    </cfRule>
  </conditionalFormatting>
  <conditionalFormatting sqref="D3633:O3680">
    <cfRule type="expression" dxfId="4" priority="1659">
      <formula>D3633&lt;T3633</formula>
    </cfRule>
  </conditionalFormatting>
  <conditionalFormatting sqref="C3682:C3685 C3687">
    <cfRule type="expression" dxfId="4" priority="1630">
      <formula>C3682&lt;S3682</formula>
    </cfRule>
  </conditionalFormatting>
  <conditionalFormatting sqref="D3682:O3687">
    <cfRule type="expression" dxfId="4" priority="1645">
      <formula>D3682&lt;T3682</formula>
    </cfRule>
  </conditionalFormatting>
  <conditionalFormatting sqref="C3689:O3694">
    <cfRule type="expression" dxfId="4" priority="1632">
      <formula>C3689&lt;S3689</formula>
    </cfRule>
  </conditionalFormatting>
  <conditionalFormatting sqref="D3698:O3745">
    <cfRule type="expression" dxfId="4" priority="1600">
      <formula>D3698&lt;T3698</formula>
    </cfRule>
  </conditionalFormatting>
  <conditionalFormatting sqref="C3747:C3750 C3752">
    <cfRule type="expression" dxfId="4" priority="1571">
      <formula>C3747&lt;S3747</formula>
    </cfRule>
  </conditionalFormatting>
  <conditionalFormatting sqref="D3747:O3752">
    <cfRule type="expression" dxfId="4" priority="1586">
      <formula>D3747&lt;T3747</formula>
    </cfRule>
  </conditionalFormatting>
  <conditionalFormatting sqref="C3754:O3759">
    <cfRule type="expression" dxfId="4" priority="1573">
      <formula>C3754&lt;S3754</formula>
    </cfRule>
  </conditionalFormatting>
  <conditionalFormatting sqref="D3763:O3810">
    <cfRule type="expression" dxfId="4" priority="1541">
      <formula>D3763&lt;T3763</formula>
    </cfRule>
  </conditionalFormatting>
  <conditionalFormatting sqref="C3812:C3815 C3817">
    <cfRule type="expression" dxfId="4" priority="1512">
      <formula>C3812&lt;S3812</formula>
    </cfRule>
  </conditionalFormatting>
  <conditionalFormatting sqref="D3812:O3817">
    <cfRule type="expression" dxfId="4" priority="1527">
      <formula>D3812&lt;T3812</formula>
    </cfRule>
  </conditionalFormatting>
  <conditionalFormatting sqref="C3819:O3824">
    <cfRule type="expression" dxfId="4" priority="1514">
      <formula>C3819&lt;S3819</formula>
    </cfRule>
  </conditionalFormatting>
  <conditionalFormatting sqref="D3828:O3875">
    <cfRule type="expression" dxfId="4" priority="1482">
      <formula>D3828&lt;T3828</formula>
    </cfRule>
  </conditionalFormatting>
  <conditionalFormatting sqref="C3877:C3880 C3882">
    <cfRule type="expression" dxfId="4" priority="1453">
      <formula>C3877&lt;S3877</formula>
    </cfRule>
  </conditionalFormatting>
  <conditionalFormatting sqref="D3877:O3882">
    <cfRule type="expression" dxfId="4" priority="1468">
      <formula>D3877&lt;T3877</formula>
    </cfRule>
  </conditionalFormatting>
  <conditionalFormatting sqref="C3884:O3889">
    <cfRule type="expression" dxfId="4" priority="1455">
      <formula>C3884&lt;S3884</formula>
    </cfRule>
  </conditionalFormatting>
  <conditionalFormatting sqref="D3893:O3940">
    <cfRule type="expression" dxfId="4" priority="1423">
      <formula>D3893&lt;T3893</formula>
    </cfRule>
  </conditionalFormatting>
  <conditionalFormatting sqref="C3942:C3945 C3947">
    <cfRule type="expression" dxfId="4" priority="1394">
      <formula>C3942&lt;S3942</formula>
    </cfRule>
  </conditionalFormatting>
  <conditionalFormatting sqref="D3942:O3947">
    <cfRule type="expression" dxfId="4" priority="1409">
      <formula>D3942&lt;T3942</formula>
    </cfRule>
  </conditionalFormatting>
  <conditionalFormatting sqref="C3949:O3954">
    <cfRule type="expression" dxfId="4" priority="1396">
      <formula>C3949&lt;S3949</formula>
    </cfRule>
  </conditionalFormatting>
  <conditionalFormatting sqref="D3958:O4005">
    <cfRule type="expression" dxfId="4" priority="1364">
      <formula>D3958&lt;T3958</formula>
    </cfRule>
  </conditionalFormatting>
  <conditionalFormatting sqref="C4007:C4010 C4012">
    <cfRule type="expression" dxfId="4" priority="1335">
      <formula>C4007&lt;S4007</formula>
    </cfRule>
  </conditionalFormatting>
  <conditionalFormatting sqref="D4007:O4012">
    <cfRule type="expression" dxfId="4" priority="1350">
      <formula>D4007&lt;T4007</formula>
    </cfRule>
  </conditionalFormatting>
  <conditionalFormatting sqref="C4014:O4019">
    <cfRule type="expression" dxfId="4" priority="1337">
      <formula>C4014&lt;S4014</formula>
    </cfRule>
  </conditionalFormatting>
  <conditionalFormatting sqref="D4023:O4070">
    <cfRule type="expression" dxfId="4" priority="1305">
      <formula>D4023&lt;T4023</formula>
    </cfRule>
  </conditionalFormatting>
  <conditionalFormatting sqref="C4072:C4075 C4077">
    <cfRule type="expression" dxfId="4" priority="1276">
      <formula>C4072&lt;S4072</formula>
    </cfRule>
  </conditionalFormatting>
  <conditionalFormatting sqref="D4072:O4077">
    <cfRule type="expression" dxfId="4" priority="1291">
      <formula>D4072&lt;T4072</formula>
    </cfRule>
  </conditionalFormatting>
  <conditionalFormatting sqref="C4079:O4084">
    <cfRule type="expression" dxfId="4" priority="1278">
      <formula>C4079&lt;S4079</formula>
    </cfRule>
  </conditionalFormatting>
  <conditionalFormatting sqref="D4088:O4135">
    <cfRule type="expression" dxfId="4" priority="1246">
      <formula>D4088&lt;T4088</formula>
    </cfRule>
  </conditionalFormatting>
  <conditionalFormatting sqref="C4137:C4140 C4142">
    <cfRule type="expression" dxfId="4" priority="1217">
      <formula>C4137&lt;S4137</formula>
    </cfRule>
  </conditionalFormatting>
  <conditionalFormatting sqref="D4137:O4142">
    <cfRule type="expression" dxfId="4" priority="1232">
      <formula>D4137&lt;T4137</formula>
    </cfRule>
  </conditionalFormatting>
  <conditionalFormatting sqref="C4144:O4149">
    <cfRule type="expression" dxfId="4" priority="1219">
      <formula>C4144&lt;S4144</formula>
    </cfRule>
  </conditionalFormatting>
  <conditionalFormatting sqref="D4153:O4200">
    <cfRule type="expression" dxfId="4" priority="1187">
      <formula>D4153&lt;T4153</formula>
    </cfRule>
  </conditionalFormatting>
  <conditionalFormatting sqref="C4202:C4205 C4207">
    <cfRule type="expression" dxfId="4" priority="1158">
      <formula>C4202&lt;S4202</formula>
    </cfRule>
  </conditionalFormatting>
  <conditionalFormatting sqref="D4202:O4207">
    <cfRule type="expression" dxfId="4" priority="1173">
      <formula>D4202&lt;T4202</formula>
    </cfRule>
  </conditionalFormatting>
  <conditionalFormatting sqref="C4209:O4214">
    <cfRule type="expression" dxfId="4" priority="1160">
      <formula>C4209&lt;S4209</formula>
    </cfRule>
  </conditionalFormatting>
  <conditionalFormatting sqref="D4218:O4265">
    <cfRule type="expression" dxfId="4" priority="1128">
      <formula>D4218&lt;T4218</formula>
    </cfRule>
  </conditionalFormatting>
  <conditionalFormatting sqref="C4267:C4270 C4272">
    <cfRule type="expression" dxfId="4" priority="1099">
      <formula>C4267&lt;S4267</formula>
    </cfRule>
  </conditionalFormatting>
  <conditionalFormatting sqref="D4267:O4272">
    <cfRule type="expression" dxfId="4" priority="1114">
      <formula>D4267&lt;T4267</formula>
    </cfRule>
  </conditionalFormatting>
  <conditionalFormatting sqref="C4274:O4279">
    <cfRule type="expression" dxfId="4" priority="1101">
      <formula>C4274&lt;S4274</formula>
    </cfRule>
  </conditionalFormatting>
  <conditionalFormatting sqref="D4283:O4330">
    <cfRule type="expression" dxfId="4" priority="1069">
      <formula>D4283&lt;T4283</formula>
    </cfRule>
  </conditionalFormatting>
  <conditionalFormatting sqref="C4332:C4335 C4337">
    <cfRule type="expression" dxfId="4" priority="1040">
      <formula>C4332&lt;S4332</formula>
    </cfRule>
  </conditionalFormatting>
  <conditionalFormatting sqref="D4332:O4337">
    <cfRule type="expression" dxfId="4" priority="1055">
      <formula>D4332&lt;T4332</formula>
    </cfRule>
  </conditionalFormatting>
  <conditionalFormatting sqref="C4339:O4344">
    <cfRule type="expression" dxfId="4" priority="1042">
      <formula>C4339&lt;S4339</formula>
    </cfRule>
  </conditionalFormatting>
  <conditionalFormatting sqref="D4348:O4395">
    <cfRule type="expression" dxfId="4" priority="1010">
      <formula>D4348&lt;T4348</formula>
    </cfRule>
  </conditionalFormatting>
  <conditionalFormatting sqref="C4397:C4400 C4402">
    <cfRule type="expression" dxfId="4" priority="981">
      <formula>C4397&lt;S4397</formula>
    </cfRule>
  </conditionalFormatting>
  <conditionalFormatting sqref="D4397:O4402">
    <cfRule type="expression" dxfId="4" priority="996">
      <formula>D4397&lt;T4397</formula>
    </cfRule>
  </conditionalFormatting>
  <conditionalFormatting sqref="C4404:O4409">
    <cfRule type="expression" dxfId="4" priority="983">
      <formula>C4404&lt;S4404</formula>
    </cfRule>
  </conditionalFormatting>
  <conditionalFormatting sqref="D4413:O4460">
    <cfRule type="expression" dxfId="4" priority="951">
      <formula>D4413&lt;T4413</formula>
    </cfRule>
  </conditionalFormatting>
  <conditionalFormatting sqref="C4462:C4465 C4467">
    <cfRule type="expression" dxfId="4" priority="922">
      <formula>C4462&lt;S4462</formula>
    </cfRule>
  </conditionalFormatting>
  <conditionalFormatting sqref="D4462:O4467">
    <cfRule type="expression" dxfId="4" priority="937">
      <formula>D4462&lt;T4462</formula>
    </cfRule>
  </conditionalFormatting>
  <conditionalFormatting sqref="C4469:O4474">
    <cfRule type="expression" dxfId="4" priority="924">
      <formula>C4469&lt;S4469</formula>
    </cfRule>
  </conditionalFormatting>
  <conditionalFormatting sqref="D4478:O4525">
    <cfRule type="expression" dxfId="4" priority="892">
      <formula>D4478&lt;T4478</formula>
    </cfRule>
  </conditionalFormatting>
  <conditionalFormatting sqref="C4527:C4530 C4532">
    <cfRule type="expression" dxfId="4" priority="863">
      <formula>C4527&lt;S4527</formula>
    </cfRule>
  </conditionalFormatting>
  <conditionalFormatting sqref="D4527:O4532">
    <cfRule type="expression" dxfId="4" priority="878">
      <formula>D4527&lt;T4527</formula>
    </cfRule>
  </conditionalFormatting>
  <conditionalFormatting sqref="C4534:O4539">
    <cfRule type="expression" dxfId="4" priority="865">
      <formula>C4534&lt;S4534</formula>
    </cfRule>
  </conditionalFormatting>
  <conditionalFormatting sqref="D4543:O4590">
    <cfRule type="expression" dxfId="4" priority="833">
      <formula>D4543&lt;T4543</formula>
    </cfRule>
  </conditionalFormatting>
  <conditionalFormatting sqref="C4592:C4595 C4597">
    <cfRule type="expression" dxfId="4" priority="804">
      <formula>C4592&lt;S4592</formula>
    </cfRule>
  </conditionalFormatting>
  <conditionalFormatting sqref="D4592:O4597">
    <cfRule type="expression" dxfId="4" priority="819">
      <formula>D4592&lt;T4592</formula>
    </cfRule>
  </conditionalFormatting>
  <conditionalFormatting sqref="C4599:O4604">
    <cfRule type="expression" dxfId="4" priority="806">
      <formula>C4599&lt;S4599</formula>
    </cfRule>
  </conditionalFormatting>
  <conditionalFormatting sqref="D4608:O4655">
    <cfRule type="expression" dxfId="4" priority="774">
      <formula>D4608&lt;T4608</formula>
    </cfRule>
  </conditionalFormatting>
  <conditionalFormatting sqref="C4657:C4660 C4662">
    <cfRule type="expression" dxfId="4" priority="745">
      <formula>C4657&lt;S4657</formula>
    </cfRule>
  </conditionalFormatting>
  <conditionalFormatting sqref="D4657:O4662">
    <cfRule type="expression" dxfId="4" priority="760">
      <formula>D4657&lt;T4657</formula>
    </cfRule>
  </conditionalFormatting>
  <conditionalFormatting sqref="C4664:O4669">
    <cfRule type="expression" dxfId="4" priority="747">
      <formula>C4664&lt;S4664</formula>
    </cfRule>
  </conditionalFormatting>
  <conditionalFormatting sqref="D4673:O4720">
    <cfRule type="expression" dxfId="4" priority="715">
      <formula>D4673&lt;T4673</formula>
    </cfRule>
  </conditionalFormatting>
  <conditionalFormatting sqref="C4722:C4725 C4727">
    <cfRule type="expression" dxfId="4" priority="686">
      <formula>C4722&lt;S4722</formula>
    </cfRule>
  </conditionalFormatting>
  <conditionalFormatting sqref="D4722:O4727">
    <cfRule type="expression" dxfId="4" priority="701">
      <formula>D4722&lt;T4722</formula>
    </cfRule>
  </conditionalFormatting>
  <conditionalFormatting sqref="C4729:O4734">
    <cfRule type="expression" dxfId="4" priority="688">
      <formula>C4729&lt;S4729</formula>
    </cfRule>
  </conditionalFormatting>
  <conditionalFormatting sqref="D4738:O4785">
    <cfRule type="expression" dxfId="4" priority="656">
      <formula>D4738&lt;T4738</formula>
    </cfRule>
  </conditionalFormatting>
  <conditionalFormatting sqref="C4787:C4790 C4792">
    <cfRule type="expression" dxfId="4" priority="627">
      <formula>C4787&lt;S4787</formula>
    </cfRule>
  </conditionalFormatting>
  <conditionalFormatting sqref="D4787:O4792">
    <cfRule type="expression" dxfId="4" priority="642">
      <formula>D4787&lt;T4787</formula>
    </cfRule>
  </conditionalFormatting>
  <conditionalFormatting sqref="C4794:O4799">
    <cfRule type="expression" dxfId="4" priority="629">
      <formula>C4794&lt;S4794</formula>
    </cfRule>
  </conditionalFormatting>
  <conditionalFormatting sqref="D4803:O4850">
    <cfRule type="expression" dxfId="4" priority="597">
      <formula>D4803&lt;T4803</formula>
    </cfRule>
  </conditionalFormatting>
  <conditionalFormatting sqref="C4852:C4855 C4857">
    <cfRule type="expression" dxfId="4" priority="568">
      <formula>C4852&lt;S4852</formula>
    </cfRule>
  </conditionalFormatting>
  <conditionalFormatting sqref="D4852:O4857">
    <cfRule type="expression" dxfId="4" priority="583">
      <formula>D4852&lt;T4852</formula>
    </cfRule>
  </conditionalFormatting>
  <conditionalFormatting sqref="C4859:O4864">
    <cfRule type="expression" dxfId="4" priority="570">
      <formula>C4859&lt;S4859</formula>
    </cfRule>
  </conditionalFormatting>
  <conditionalFormatting sqref="D4868:O4915">
    <cfRule type="expression" dxfId="4" priority="538">
      <formula>D4868&lt;T4868</formula>
    </cfRule>
  </conditionalFormatting>
  <conditionalFormatting sqref="C4917:C4920 C4922">
    <cfRule type="expression" dxfId="4" priority="509">
      <formula>C4917&lt;S4917</formula>
    </cfRule>
  </conditionalFormatting>
  <conditionalFormatting sqref="D4917:O4922">
    <cfRule type="expression" dxfId="4" priority="524">
      <formula>D4917&lt;T4917</formula>
    </cfRule>
  </conditionalFormatting>
  <conditionalFormatting sqref="C4924:O4929">
    <cfRule type="expression" dxfId="4" priority="511">
      <formula>C4924&lt;S4924</formula>
    </cfRule>
  </conditionalFormatting>
  <conditionalFormatting sqref="D4933:O4980">
    <cfRule type="expression" dxfId="4" priority="479">
      <formula>D4933&lt;T4933</formula>
    </cfRule>
  </conditionalFormatting>
  <conditionalFormatting sqref="C4982:C4985 C4987">
    <cfRule type="expression" dxfId="4" priority="450">
      <formula>C4982&lt;S4982</formula>
    </cfRule>
  </conditionalFormatting>
  <conditionalFormatting sqref="D4982:O4987">
    <cfRule type="expression" dxfId="4" priority="465">
      <formula>D4982&lt;T4982</formula>
    </cfRule>
  </conditionalFormatting>
  <conditionalFormatting sqref="C4989:O4994">
    <cfRule type="expression" dxfId="4" priority="452">
      <formula>C4989&lt;S4989</formula>
    </cfRule>
  </conditionalFormatting>
  <conditionalFormatting sqref="D4998:O5045">
    <cfRule type="expression" dxfId="4" priority="420">
      <formula>D4998&lt;T4998</formula>
    </cfRule>
  </conditionalFormatting>
  <conditionalFormatting sqref="C5047:C5050 C5052">
    <cfRule type="expression" dxfId="4" priority="391">
      <formula>C5047&lt;S5047</formula>
    </cfRule>
  </conditionalFormatting>
  <conditionalFormatting sqref="D5047:O5052">
    <cfRule type="expression" dxfId="4" priority="406">
      <formula>D5047&lt;T5047</formula>
    </cfRule>
  </conditionalFormatting>
  <conditionalFormatting sqref="C5054:O5059">
    <cfRule type="expression" dxfId="4" priority="393">
      <formula>C5054&lt;S5054</formula>
    </cfRule>
  </conditionalFormatting>
  <conditionalFormatting sqref="D5063:O5110">
    <cfRule type="expression" dxfId="4" priority="361">
      <formula>D5063&lt;T5063</formula>
    </cfRule>
  </conditionalFormatting>
  <conditionalFormatting sqref="C5112:C5115 C5117">
    <cfRule type="expression" dxfId="4" priority="332">
      <formula>C5112&lt;S5112</formula>
    </cfRule>
  </conditionalFormatting>
  <conditionalFormatting sqref="D5112:O5117">
    <cfRule type="expression" dxfId="4" priority="347">
      <formula>D5112&lt;T5112</formula>
    </cfRule>
  </conditionalFormatting>
  <conditionalFormatting sqref="C5119:O5124">
    <cfRule type="expression" dxfId="4" priority="334">
      <formula>C5119&lt;S5119</formula>
    </cfRule>
  </conditionalFormatting>
  <conditionalFormatting sqref="D5128:O5175">
    <cfRule type="expression" dxfId="4" priority="313">
      <formula>D5128&lt;T5128</formula>
    </cfRule>
  </conditionalFormatting>
  <conditionalFormatting sqref="C5176:O5176 C5178:O5190 C5177 F5177:G5177 K5177">
    <cfRule type="expression" dxfId="4" priority="310">
      <formula>C5176&lt;S5176</formula>
    </cfRule>
  </conditionalFormatting>
  <conditionalFormatting sqref="D5184:O5189">
    <cfRule type="expression" dxfId="4" priority="312">
      <formula>D5184&lt;T5184</formula>
    </cfRule>
  </conditionalFormatting>
  <conditionalFormatting sqref="C5242 C5192:C5240 D5193:O5234 C5243:O5248 C5241:O5241">
    <cfRule type="expression" dxfId="4" priority="302">
      <formula>C5192&lt;S5192</formula>
    </cfRule>
  </conditionalFormatting>
  <conditionalFormatting sqref="D5235:O5240">
    <cfRule type="expression" dxfId="4" priority="304">
      <formula>D5235&lt;T5235</formula>
    </cfRule>
  </conditionalFormatting>
  <conditionalFormatting sqref="C5249:O5255">
    <cfRule type="expression" dxfId="4" priority="301">
      <formula>C5249&lt;S5249</formula>
    </cfRule>
  </conditionalFormatting>
  <conditionalFormatting sqref="D5249:O5254">
    <cfRule type="expression" dxfId="4" priority="303">
      <formula>D5249&lt;T5249</formula>
    </cfRule>
  </conditionalFormatting>
  <conditionalFormatting sqref="C5307 C5306:O5306 C5257:C5305 D5258:O5299 C5308:O5313">
    <cfRule type="expression" dxfId="4" priority="297">
      <formula>C5257&lt;S5257</formula>
    </cfRule>
  </conditionalFormatting>
  <conditionalFormatting sqref="D5300:O5305">
    <cfRule type="expression" dxfId="4" priority="299">
      <formula>D5300&lt;T5300</formula>
    </cfRule>
  </conditionalFormatting>
  <conditionalFormatting sqref="C5314:O5320">
    <cfRule type="expression" dxfId="4" priority="296">
      <formula>C5314&lt;S5314</formula>
    </cfRule>
  </conditionalFormatting>
  <conditionalFormatting sqref="D5314:O5319">
    <cfRule type="expression" dxfId="4" priority="298">
      <formula>D5314&lt;T5314</formula>
    </cfRule>
  </conditionalFormatting>
  <conditionalFormatting sqref="C5322:C5370 D5323:O5364 C5371:O5378">
    <cfRule type="expression" dxfId="4" priority="292">
      <formula>C5322&lt;S5322</formula>
    </cfRule>
  </conditionalFormatting>
  <conditionalFormatting sqref="D5365:O5370">
    <cfRule type="expression" dxfId="4" priority="294">
      <formula>D5365&lt;T5365</formula>
    </cfRule>
  </conditionalFormatting>
  <conditionalFormatting sqref="C5379:O5385">
    <cfRule type="expression" dxfId="4" priority="291">
      <formula>C5379&lt;S5379</formula>
    </cfRule>
  </conditionalFormatting>
  <conditionalFormatting sqref="D5379:O5384">
    <cfRule type="expression" dxfId="4" priority="293">
      <formula>D5379&lt;T5379</formula>
    </cfRule>
  </conditionalFormatting>
  <conditionalFormatting sqref="D5388:O5435">
    <cfRule type="expression" dxfId="4" priority="290">
      <formula>D5388&lt;T5388</formula>
    </cfRule>
  </conditionalFormatting>
  <conditionalFormatting sqref="C5436:O5450">
    <cfRule type="expression" dxfId="4" priority="287">
      <formula>C5436&lt;S5436</formula>
    </cfRule>
  </conditionalFormatting>
  <conditionalFormatting sqref="D5444:O5449">
    <cfRule type="expression" dxfId="4" priority="289">
      <formula>D5444&lt;T5444</formula>
    </cfRule>
  </conditionalFormatting>
  <conditionalFormatting sqref="D5453:O5500">
    <cfRule type="expression" dxfId="4" priority="286">
      <formula>D5453&lt;T5453</formula>
    </cfRule>
  </conditionalFormatting>
  <conditionalFormatting sqref="C5501:O5515">
    <cfRule type="expression" dxfId="4" priority="283">
      <formula>C5501&lt;S5501</formula>
    </cfRule>
  </conditionalFormatting>
  <conditionalFormatting sqref="D5509:O5514">
    <cfRule type="expression" dxfId="4" priority="285">
      <formula>D5509&lt;T5509</formula>
    </cfRule>
  </conditionalFormatting>
  <conditionalFormatting sqref="D5518:O5565">
    <cfRule type="expression" dxfId="4" priority="282">
      <formula>D5518&lt;#REF!</formula>
    </cfRule>
  </conditionalFormatting>
  <conditionalFormatting sqref="C5566:O5580">
    <cfRule type="expression" dxfId="4" priority="279">
      <formula>C5566&lt;#REF!</formula>
    </cfRule>
  </conditionalFormatting>
  <conditionalFormatting sqref="D5574:O5579">
    <cfRule type="expression" dxfId="4" priority="281">
      <formula>D5574&lt;#REF!</formula>
    </cfRule>
  </conditionalFormatting>
  <conditionalFormatting sqref="D5583:O5630">
    <cfRule type="expression" dxfId="4" priority="276">
      <formula>D5583&lt;T5583</formula>
    </cfRule>
  </conditionalFormatting>
  <conditionalFormatting sqref="C5631:O5645">
    <cfRule type="expression" dxfId="4" priority="273">
      <formula>C5631&lt;S5631</formula>
    </cfRule>
  </conditionalFormatting>
  <conditionalFormatting sqref="D5639:O5644">
    <cfRule type="expression" dxfId="4" priority="275">
      <formula>D5639&lt;T5639</formula>
    </cfRule>
  </conditionalFormatting>
  <conditionalFormatting sqref="D5648:O5695">
    <cfRule type="expression" dxfId="4" priority="272">
      <formula>D5648&lt;T5648</formula>
    </cfRule>
  </conditionalFormatting>
  <conditionalFormatting sqref="C5696:O5710">
    <cfRule type="expression" dxfId="4" priority="269">
      <formula>C5696&lt;S5696</formula>
    </cfRule>
  </conditionalFormatting>
  <conditionalFormatting sqref="D5704:O5709">
    <cfRule type="expression" dxfId="4" priority="271">
      <formula>D5704&lt;T5704</formula>
    </cfRule>
  </conditionalFormatting>
  <conditionalFormatting sqref="D5713:O5760">
    <cfRule type="expression" dxfId="4" priority="268">
      <formula>D5713&lt;T5713</formula>
    </cfRule>
  </conditionalFormatting>
  <conditionalFormatting sqref="C5761:O5775">
    <cfRule type="expression" dxfId="4" priority="265">
      <formula>C5761&lt;S5761</formula>
    </cfRule>
  </conditionalFormatting>
  <conditionalFormatting sqref="D5769:O5774">
    <cfRule type="expression" dxfId="4" priority="267">
      <formula>D5769&lt;T5769</formula>
    </cfRule>
  </conditionalFormatting>
  <conditionalFormatting sqref="D5778:O5825">
    <cfRule type="expression" dxfId="4" priority="262">
      <formula>D5778&lt;T5778</formula>
    </cfRule>
  </conditionalFormatting>
  <conditionalFormatting sqref="C5826:O5840">
    <cfRule type="expression" dxfId="4" priority="259">
      <formula>C5826&lt;S5826</formula>
    </cfRule>
  </conditionalFormatting>
  <conditionalFormatting sqref="D5834:O5839">
    <cfRule type="expression" dxfId="4" priority="261">
      <formula>D5834&lt;T5834</formula>
    </cfRule>
  </conditionalFormatting>
  <conditionalFormatting sqref="D5843:O5890">
    <cfRule type="expression" dxfId="4" priority="256">
      <formula>D5843&lt;T5843</formula>
    </cfRule>
  </conditionalFormatting>
  <conditionalFormatting sqref="C5891:O5905">
    <cfRule type="expression" dxfId="4" priority="253">
      <formula>C5891&lt;S5891</formula>
    </cfRule>
  </conditionalFormatting>
  <conditionalFormatting sqref="D5899:O5904">
    <cfRule type="expression" dxfId="4" priority="255">
      <formula>D5899&lt;T5899</formula>
    </cfRule>
  </conditionalFormatting>
  <conditionalFormatting sqref="D5908:O5949 D5951:O5955 M5950:O5950">
    <cfRule type="expression" dxfId="4" priority="252">
      <formula>D5908&lt;T5908</formula>
    </cfRule>
  </conditionalFormatting>
  <conditionalFormatting sqref="C5956:O5970">
    <cfRule type="expression" dxfId="4" priority="249">
      <formula>C5956&lt;S5956</formula>
    </cfRule>
  </conditionalFormatting>
  <conditionalFormatting sqref="D5964:O5969">
    <cfRule type="expression" dxfId="4" priority="251">
      <formula>D5964&lt;T5964</formula>
    </cfRule>
  </conditionalFormatting>
  <conditionalFormatting sqref="D5973:O6020">
    <cfRule type="expression" dxfId="4" priority="245">
      <formula>D5973&lt;T5973</formula>
    </cfRule>
  </conditionalFormatting>
  <conditionalFormatting sqref="C6021:O6035">
    <cfRule type="expression" dxfId="4" priority="242">
      <formula>C6021&lt;S6021</formula>
    </cfRule>
  </conditionalFormatting>
  <conditionalFormatting sqref="D6029:O6034">
    <cfRule type="expression" dxfId="4" priority="244">
      <formula>D6029&lt;T6029</formula>
    </cfRule>
  </conditionalFormatting>
  <conditionalFormatting sqref="D6038:O6079 D6081:O6085 M6080:O6080">
    <cfRule type="expression" dxfId="4" priority="241">
      <formula>D6038&lt;T6038</formula>
    </cfRule>
  </conditionalFormatting>
  <conditionalFormatting sqref="C6086:O6100">
    <cfRule type="expression" dxfId="4" priority="238">
      <formula>C6086&lt;S6086</formula>
    </cfRule>
  </conditionalFormatting>
  <conditionalFormatting sqref="D6094:O6099">
    <cfRule type="expression" dxfId="4" priority="240">
      <formula>D6094&lt;T6094</formula>
    </cfRule>
  </conditionalFormatting>
  <conditionalFormatting sqref="D6103:O6144 D6146:O6150 M6145:O6145">
    <cfRule type="expression" dxfId="4" priority="234">
      <formula>D6103&lt;T6103</formula>
    </cfRule>
  </conditionalFormatting>
  <conditionalFormatting sqref="C6151:O6165">
    <cfRule type="expression" dxfId="4" priority="231">
      <formula>C6151&lt;S6151</formula>
    </cfRule>
  </conditionalFormatting>
  <conditionalFormatting sqref="D6159:O6164">
    <cfRule type="expression" dxfId="4" priority="233">
      <formula>D6159&lt;T6159</formula>
    </cfRule>
  </conditionalFormatting>
  <conditionalFormatting sqref="D6168:O6209 D6211:O6215 M6210:O6210">
    <cfRule type="expression" dxfId="4" priority="227">
      <formula>D6168&lt;T6168</formula>
    </cfRule>
  </conditionalFormatting>
  <conditionalFormatting sqref="C6216:O6230">
    <cfRule type="expression" dxfId="4" priority="224">
      <formula>C6216&lt;S6216</formula>
    </cfRule>
  </conditionalFormatting>
  <conditionalFormatting sqref="D6224:O6229">
    <cfRule type="expression" dxfId="4" priority="226">
      <formula>D6224&lt;T6224</formula>
    </cfRule>
  </conditionalFormatting>
  <conditionalFormatting sqref="D6233:O6274 D6276:O6280 M6275:O6275">
    <cfRule type="expression" dxfId="4" priority="220">
      <formula>D6233&lt;T6233</formula>
    </cfRule>
  </conditionalFormatting>
  <conditionalFormatting sqref="C6281:O6295">
    <cfRule type="expression" dxfId="4" priority="217">
      <formula>C6281&lt;S6281</formula>
    </cfRule>
  </conditionalFormatting>
  <conditionalFormatting sqref="D6289:O6294">
    <cfRule type="expression" dxfId="4" priority="219">
      <formula>D6289&lt;T6289</formula>
    </cfRule>
  </conditionalFormatting>
  <conditionalFormatting sqref="D6298:O6345">
    <cfRule type="expression" dxfId="4" priority="215">
      <formula>D6298&lt;T6298</formula>
    </cfRule>
  </conditionalFormatting>
  <conditionalFormatting sqref="C6346:O6360">
    <cfRule type="expression" dxfId="4" priority="212">
      <formula>C6346&lt;S6346</formula>
    </cfRule>
  </conditionalFormatting>
  <conditionalFormatting sqref="D6354:O6359">
    <cfRule type="expression" dxfId="4" priority="214">
      <formula>D6354&lt;T6354</formula>
    </cfRule>
  </conditionalFormatting>
  <conditionalFormatting sqref="D6363:O6410">
    <cfRule type="expression" dxfId="4" priority="211">
      <formula>D6363&lt;T6363</formula>
    </cfRule>
  </conditionalFormatting>
  <conditionalFormatting sqref="C6411:O6425">
    <cfRule type="expression" dxfId="4" priority="208">
      <formula>C6411&lt;S6411</formula>
    </cfRule>
  </conditionalFormatting>
  <conditionalFormatting sqref="D6419:O6424">
    <cfRule type="expression" dxfId="4" priority="210">
      <formula>D6419&lt;T6419</formula>
    </cfRule>
  </conditionalFormatting>
  <conditionalFormatting sqref="D6428:O6475">
    <cfRule type="expression" dxfId="4" priority="207">
      <formula>D6428&lt;T6428</formula>
    </cfRule>
  </conditionalFormatting>
  <conditionalFormatting sqref="C6476:O6490">
    <cfRule type="expression" dxfId="4" priority="204">
      <formula>C6476&lt;S6476</formula>
    </cfRule>
  </conditionalFormatting>
  <conditionalFormatting sqref="D6484:O6489">
    <cfRule type="expression" dxfId="4" priority="206">
      <formula>D6484&lt;T6484</formula>
    </cfRule>
  </conditionalFormatting>
  <conditionalFormatting sqref="D6493:O6540">
    <cfRule type="expression" dxfId="4" priority="203">
      <formula>D6493&lt;T6493</formula>
    </cfRule>
  </conditionalFormatting>
  <conditionalFormatting sqref="C6541:O6555">
    <cfRule type="expression" dxfId="4" priority="200">
      <formula>C6541&lt;S6541</formula>
    </cfRule>
  </conditionalFormatting>
  <conditionalFormatting sqref="D6549:O6554">
    <cfRule type="expression" dxfId="4" priority="202">
      <formula>D6549&lt;T6549</formula>
    </cfRule>
  </conditionalFormatting>
  <conditionalFormatting sqref="D6558:O6605">
    <cfRule type="expression" dxfId="4" priority="199">
      <formula>D6558&lt;T6558</formula>
    </cfRule>
  </conditionalFormatting>
  <conditionalFormatting sqref="C6606:O6620">
    <cfRule type="expression" dxfId="4" priority="196">
      <formula>C6606&lt;S6606</formula>
    </cfRule>
  </conditionalFormatting>
  <conditionalFormatting sqref="D6614:O6619">
    <cfRule type="expression" dxfId="4" priority="198">
      <formula>D6614&lt;T6614</formula>
    </cfRule>
  </conditionalFormatting>
  <conditionalFormatting sqref="D6623:O6670">
    <cfRule type="expression" dxfId="4" priority="193">
      <formula>D6623&lt;T6623</formula>
    </cfRule>
  </conditionalFormatting>
  <conditionalFormatting sqref="C6671:O6685">
    <cfRule type="expression" dxfId="4" priority="190">
      <formula>C6671&lt;S6671</formula>
    </cfRule>
  </conditionalFormatting>
  <conditionalFormatting sqref="D6679:O6684">
    <cfRule type="expression" dxfId="4" priority="192">
      <formula>D6679&lt;T6679</formula>
    </cfRule>
  </conditionalFormatting>
  <conditionalFormatting sqref="D6688:O6735">
    <cfRule type="expression" dxfId="4" priority="187">
      <formula>D6688&lt;T6688</formula>
    </cfRule>
  </conditionalFormatting>
  <conditionalFormatting sqref="C6736:O6750">
    <cfRule type="expression" dxfId="4" priority="184">
      <formula>C6736&lt;S6736</formula>
    </cfRule>
  </conditionalFormatting>
  <conditionalFormatting sqref="D6744:O6749">
    <cfRule type="expression" dxfId="4" priority="186">
      <formula>D6744&lt;T6744</formula>
    </cfRule>
  </conditionalFormatting>
  <conditionalFormatting sqref="D6753:O6800">
    <cfRule type="expression" dxfId="4" priority="183">
      <formula>D6753&lt;T6753</formula>
    </cfRule>
  </conditionalFormatting>
  <conditionalFormatting sqref="C6801:O6815">
    <cfRule type="expression" dxfId="4" priority="180">
      <formula>C6801&lt;S6801</formula>
    </cfRule>
  </conditionalFormatting>
  <conditionalFormatting sqref="D6809:O6814">
    <cfRule type="expression" dxfId="4" priority="182">
      <formula>D6809&lt;T6809</formula>
    </cfRule>
  </conditionalFormatting>
  <conditionalFormatting sqref="D6818:O6865">
    <cfRule type="expression" dxfId="4" priority="179">
      <formula>D6818&lt;T6818</formula>
    </cfRule>
  </conditionalFormatting>
  <conditionalFormatting sqref="C6866:O6880">
    <cfRule type="expression" dxfId="4" priority="176">
      <formula>C6866&lt;S6866</formula>
    </cfRule>
  </conditionalFormatting>
  <conditionalFormatting sqref="D6874:O6879">
    <cfRule type="expression" dxfId="4" priority="178">
      <formula>D6874&lt;T6874</formula>
    </cfRule>
  </conditionalFormatting>
  <conditionalFormatting sqref="D6883:O6930">
    <cfRule type="expression" dxfId="4" priority="173">
      <formula>D6883&lt;T6883</formula>
    </cfRule>
  </conditionalFormatting>
  <conditionalFormatting sqref="C6931:O6945">
    <cfRule type="expression" dxfId="4" priority="170">
      <formula>C6931&lt;S6931</formula>
    </cfRule>
  </conditionalFormatting>
  <conditionalFormatting sqref="D6939:O6944">
    <cfRule type="expression" dxfId="4" priority="172">
      <formula>D6939&lt;T6939</formula>
    </cfRule>
  </conditionalFormatting>
  <conditionalFormatting sqref="D6948:O6995">
    <cfRule type="expression" dxfId="4" priority="167">
      <formula>D6948&lt;T6948</formula>
    </cfRule>
  </conditionalFormatting>
  <conditionalFormatting sqref="C6996:O7010">
    <cfRule type="expression" dxfId="4" priority="164">
      <formula>C6996&lt;S6996</formula>
    </cfRule>
  </conditionalFormatting>
  <conditionalFormatting sqref="D7004:O7009">
    <cfRule type="expression" dxfId="4" priority="166">
      <formula>D7004&lt;T7004</formula>
    </cfRule>
  </conditionalFormatting>
  <conditionalFormatting sqref="D7013:O7060">
    <cfRule type="expression" dxfId="4" priority="163">
      <formula>D7013&lt;T7013</formula>
    </cfRule>
  </conditionalFormatting>
  <conditionalFormatting sqref="C7061:O7075">
    <cfRule type="expression" dxfId="4" priority="160">
      <formula>C7061&lt;S7061</formula>
    </cfRule>
  </conditionalFormatting>
  <conditionalFormatting sqref="D7069:O7074">
    <cfRule type="expression" dxfId="4" priority="162">
      <formula>D7069&lt;T7069</formula>
    </cfRule>
  </conditionalFormatting>
  <conditionalFormatting sqref="D7078:O7125">
    <cfRule type="expression" dxfId="4" priority="159">
      <formula>D7078&lt;T7078</formula>
    </cfRule>
  </conditionalFormatting>
  <conditionalFormatting sqref="C7126:O7140">
    <cfRule type="expression" dxfId="4" priority="156">
      <formula>C7126&lt;S7126</formula>
    </cfRule>
  </conditionalFormatting>
  <conditionalFormatting sqref="D7134:O7139">
    <cfRule type="expression" dxfId="4" priority="158">
      <formula>D7134&lt;T7134</formula>
    </cfRule>
  </conditionalFormatting>
  <conditionalFormatting sqref="D7143:O7190">
    <cfRule type="expression" dxfId="4" priority="151">
      <formula>D7143&lt;T7143</formula>
    </cfRule>
  </conditionalFormatting>
  <conditionalFormatting sqref="C7191:O7205">
    <cfRule type="expression" dxfId="4" priority="148">
      <formula>C7191&lt;S7191</formula>
    </cfRule>
  </conditionalFormatting>
  <conditionalFormatting sqref="D7199:O7204">
    <cfRule type="expression" dxfId="4" priority="150">
      <formula>D7199&lt;T7199</formula>
    </cfRule>
  </conditionalFormatting>
  <conditionalFormatting sqref="D7208:O7255">
    <cfRule type="expression" dxfId="4" priority="147">
      <formula>D7208&lt;T7208</formula>
    </cfRule>
  </conditionalFormatting>
  <conditionalFormatting sqref="C7256:O7270">
    <cfRule type="expression" dxfId="4" priority="144">
      <formula>C7256&lt;S7256</formula>
    </cfRule>
  </conditionalFormatting>
  <conditionalFormatting sqref="D7264:O7269">
    <cfRule type="expression" dxfId="4" priority="146">
      <formula>D7264&lt;T7264</formula>
    </cfRule>
  </conditionalFormatting>
  <conditionalFormatting sqref="D7273:O7279">
    <cfRule type="expression" dxfId="4" priority="143">
      <formula>D7273&lt;T7273</formula>
    </cfRule>
  </conditionalFormatting>
  <conditionalFormatting sqref="D7280:O7286">
    <cfRule type="expression" dxfId="4" priority="138">
      <formula>D7280&lt;T7280</formula>
    </cfRule>
  </conditionalFormatting>
  <conditionalFormatting sqref="D7287:O7293">
    <cfRule type="expression" dxfId="4" priority="136">
      <formula>D7287&lt;T7287</formula>
    </cfRule>
  </conditionalFormatting>
  <conditionalFormatting sqref="D7294:O7300">
    <cfRule type="expression" dxfId="4" priority="134">
      <formula>D7294&lt;T7294</formula>
    </cfRule>
  </conditionalFormatting>
  <conditionalFormatting sqref="D7301:O7307">
    <cfRule type="expression" dxfId="4" priority="132">
      <formula>D7301&lt;T7301</formula>
    </cfRule>
  </conditionalFormatting>
  <conditionalFormatting sqref="D7308:O7314">
    <cfRule type="expression" dxfId="4" priority="130">
      <formula>D7308&lt;T7308</formula>
    </cfRule>
  </conditionalFormatting>
  <conditionalFormatting sqref="D7315:O7320">
    <cfRule type="expression" dxfId="4" priority="128">
      <formula>D7315&lt;T7315</formula>
    </cfRule>
  </conditionalFormatting>
  <conditionalFormatting sqref="C7322:O7328">
    <cfRule type="expression" dxfId="4" priority="125">
      <formula>C7322&lt;S7322</formula>
    </cfRule>
  </conditionalFormatting>
  <conditionalFormatting sqref="C7329:O7335">
    <cfRule type="expression" dxfId="4" priority="123">
      <formula>C7329&lt;S7329</formula>
    </cfRule>
  </conditionalFormatting>
  <conditionalFormatting sqref="D7329:O7334">
    <cfRule type="expression" dxfId="4" priority="124">
      <formula>D7329&lt;T7329</formula>
    </cfRule>
  </conditionalFormatting>
  <conditionalFormatting sqref="D7338:O7344">
    <cfRule type="expression" dxfId="4" priority="122">
      <formula>D7338&lt;T7338</formula>
    </cfRule>
  </conditionalFormatting>
  <conditionalFormatting sqref="D7345:O7351">
    <cfRule type="expression" dxfId="4" priority="117">
      <formula>D7345&lt;T7345</formula>
    </cfRule>
  </conditionalFormatting>
  <conditionalFormatting sqref="D7352:O7358">
    <cfRule type="expression" dxfId="4" priority="115">
      <formula>D7352&lt;T7352</formula>
    </cfRule>
  </conditionalFormatting>
  <conditionalFormatting sqref="D7359:O7365">
    <cfRule type="expression" dxfId="4" priority="113">
      <formula>D7359&lt;T7359</formula>
    </cfRule>
  </conditionalFormatting>
  <conditionalFormatting sqref="D7366:O7372">
    <cfRule type="expression" dxfId="4" priority="111">
      <formula>D7366&lt;T7366</formula>
    </cfRule>
  </conditionalFormatting>
  <conditionalFormatting sqref="D7373:O7379">
    <cfRule type="expression" dxfId="4" priority="109">
      <formula>D7373&lt;T7373</formula>
    </cfRule>
  </conditionalFormatting>
  <conditionalFormatting sqref="D7380:O7385">
    <cfRule type="expression" dxfId="4" priority="107">
      <formula>D7380&lt;T7380</formula>
    </cfRule>
  </conditionalFormatting>
  <conditionalFormatting sqref="C7387:O7393">
    <cfRule type="expression" dxfId="4" priority="104">
      <formula>C7387&lt;S7387</formula>
    </cfRule>
  </conditionalFormatting>
  <conditionalFormatting sqref="C7394:O7400">
    <cfRule type="expression" dxfId="4" priority="102">
      <formula>C7394&lt;S7394</formula>
    </cfRule>
  </conditionalFormatting>
  <conditionalFormatting sqref="D7394:O7399">
    <cfRule type="expression" dxfId="4" priority="103">
      <formula>D7394&lt;T7394</formula>
    </cfRule>
  </conditionalFormatting>
  <conditionalFormatting sqref="D7403:O7409">
    <cfRule type="expression" dxfId="4" priority="101">
      <formula>D7403&lt;T7403</formula>
    </cfRule>
  </conditionalFormatting>
  <conditionalFormatting sqref="D7410:O7416">
    <cfRule type="expression" dxfId="4" priority="96">
      <formula>D7410&lt;T7410</formula>
    </cfRule>
  </conditionalFormatting>
  <conditionalFormatting sqref="D7417:O7423">
    <cfRule type="expression" dxfId="4" priority="94">
      <formula>D7417&lt;T7417</formula>
    </cfRule>
  </conditionalFormatting>
  <conditionalFormatting sqref="D7424:O7430">
    <cfRule type="expression" dxfId="4" priority="92">
      <formula>D7424&lt;T7424</formula>
    </cfRule>
  </conditionalFormatting>
  <conditionalFormatting sqref="D7431:O7437">
    <cfRule type="expression" dxfId="4" priority="90">
      <formula>D7431&lt;T7431</formula>
    </cfRule>
  </conditionalFormatting>
  <conditionalFormatting sqref="D7438:O7444">
    <cfRule type="expression" dxfId="4" priority="88">
      <formula>D7438&lt;T7438</formula>
    </cfRule>
  </conditionalFormatting>
  <conditionalFormatting sqref="D7445:O7450">
    <cfRule type="expression" dxfId="4" priority="86">
      <formula>D7445&lt;T7445</formula>
    </cfRule>
  </conditionalFormatting>
  <conditionalFormatting sqref="C7452:O7458">
    <cfRule type="expression" dxfId="4" priority="83">
      <formula>C7452&lt;S7452</formula>
    </cfRule>
  </conditionalFormatting>
  <conditionalFormatting sqref="C7459:O7465">
    <cfRule type="expression" dxfId="4" priority="81">
      <formula>C7459&lt;S7459</formula>
    </cfRule>
  </conditionalFormatting>
  <conditionalFormatting sqref="D7459:O7464">
    <cfRule type="expression" dxfId="4" priority="82">
      <formula>D7459&lt;T7459</formula>
    </cfRule>
  </conditionalFormatting>
  <conditionalFormatting sqref="D7468:O7474">
    <cfRule type="expression" dxfId="4" priority="80">
      <formula>D7468&lt;T7468</formula>
    </cfRule>
  </conditionalFormatting>
  <conditionalFormatting sqref="D7475:O7481">
    <cfRule type="expression" dxfId="4" priority="75">
      <formula>D7475&lt;T7475</formula>
    </cfRule>
  </conditionalFormatting>
  <conditionalFormatting sqref="D7482:O7488">
    <cfRule type="expression" dxfId="4" priority="73">
      <formula>D7482&lt;T7482</formula>
    </cfRule>
  </conditionalFormatting>
  <conditionalFormatting sqref="D7489:O7495">
    <cfRule type="expression" dxfId="4" priority="71">
      <formula>D7489&lt;T7489</formula>
    </cfRule>
  </conditionalFormatting>
  <conditionalFormatting sqref="D7496:O7502">
    <cfRule type="expression" dxfId="4" priority="69">
      <formula>D7496&lt;T7496</formula>
    </cfRule>
  </conditionalFormatting>
  <conditionalFormatting sqref="D7503:O7509">
    <cfRule type="expression" dxfId="4" priority="67">
      <formula>D7503&lt;T7503</formula>
    </cfRule>
  </conditionalFormatting>
  <conditionalFormatting sqref="D7510:O7515">
    <cfRule type="expression" dxfId="4" priority="65">
      <formula>D7510&lt;T7510</formula>
    </cfRule>
  </conditionalFormatting>
  <conditionalFormatting sqref="C7517:O7523">
    <cfRule type="expression" dxfId="4" priority="62">
      <formula>C7517&lt;S7517</formula>
    </cfRule>
  </conditionalFormatting>
  <conditionalFormatting sqref="C7524:O7530">
    <cfRule type="expression" dxfId="4" priority="60">
      <formula>C7524&lt;S7524</formula>
    </cfRule>
  </conditionalFormatting>
  <conditionalFormatting sqref="D7524:O7529">
    <cfRule type="expression" dxfId="4" priority="61">
      <formula>D7524&lt;T7524</formula>
    </cfRule>
  </conditionalFormatting>
  <conditionalFormatting sqref="D7533:O7539">
    <cfRule type="expression" dxfId="4" priority="59">
      <formula>D7533&lt;T7533</formula>
    </cfRule>
  </conditionalFormatting>
  <conditionalFormatting sqref="D7540:O7546">
    <cfRule type="expression" dxfId="4" priority="54">
      <formula>D7540&lt;T7540</formula>
    </cfRule>
  </conditionalFormatting>
  <conditionalFormatting sqref="D7547:O7553">
    <cfRule type="expression" dxfId="4" priority="52">
      <formula>D7547&lt;T7547</formula>
    </cfRule>
  </conditionalFormatting>
  <conditionalFormatting sqref="D7554:O7560">
    <cfRule type="expression" dxfId="4" priority="50">
      <formula>D7554&lt;T7554</formula>
    </cfRule>
  </conditionalFormatting>
  <conditionalFormatting sqref="D7561:O7567">
    <cfRule type="expression" dxfId="4" priority="48">
      <formula>D7561&lt;T7561</formula>
    </cfRule>
  </conditionalFormatting>
  <conditionalFormatting sqref="D7568:O7574">
    <cfRule type="expression" dxfId="4" priority="46">
      <formula>D7568&lt;T7568</formula>
    </cfRule>
  </conditionalFormatting>
  <conditionalFormatting sqref="D7575:O7580">
    <cfRule type="expression" dxfId="4" priority="44">
      <formula>D7575&lt;T7575</formula>
    </cfRule>
  </conditionalFormatting>
  <conditionalFormatting sqref="C7582:O7588">
    <cfRule type="expression" dxfId="4" priority="41">
      <formula>C7582&lt;S7582</formula>
    </cfRule>
  </conditionalFormatting>
  <conditionalFormatting sqref="C7589:O7595">
    <cfRule type="expression" dxfId="4" priority="39">
      <formula>C7589&lt;S7589</formula>
    </cfRule>
  </conditionalFormatting>
  <conditionalFormatting sqref="D7589:O7594">
    <cfRule type="expression" dxfId="4" priority="40">
      <formula>D7589&lt;T7589</formula>
    </cfRule>
  </conditionalFormatting>
  <conditionalFormatting sqref="D7598:O7645">
    <cfRule type="expression" dxfId="4" priority="38">
      <formula>D7598&lt;T7598</formula>
    </cfRule>
  </conditionalFormatting>
  <conditionalFormatting sqref="C7646:O7660">
    <cfRule type="expression" dxfId="4" priority="35">
      <formula>C7646&lt;S7646</formula>
    </cfRule>
  </conditionalFormatting>
  <conditionalFormatting sqref="D7654:O7659">
    <cfRule type="expression" dxfId="4" priority="37">
      <formula>D7654&lt;T7654</formula>
    </cfRule>
  </conditionalFormatting>
  <conditionalFormatting sqref="D7663:O7710">
    <cfRule type="expression" dxfId="4" priority="34">
      <formula>D7663&lt;T7663</formula>
    </cfRule>
  </conditionalFormatting>
  <conditionalFormatting sqref="C7711:O7725">
    <cfRule type="expression" dxfId="4" priority="31">
      <formula>C7711&lt;S7711</formula>
    </cfRule>
  </conditionalFormatting>
  <conditionalFormatting sqref="D7719:O7724">
    <cfRule type="expression" dxfId="4" priority="33">
      <formula>D7719&lt;T7719</formula>
    </cfRule>
  </conditionalFormatting>
  <conditionalFormatting sqref="D7728:O7775">
    <cfRule type="expression" dxfId="4" priority="30">
      <formula>D7728&lt;T7728</formula>
    </cfRule>
  </conditionalFormatting>
  <conditionalFormatting sqref="C7776:O7790">
    <cfRule type="expression" dxfId="4" priority="27">
      <formula>C7776&lt;S7776</formula>
    </cfRule>
  </conditionalFormatting>
  <conditionalFormatting sqref="D7784:O7789">
    <cfRule type="expression" dxfId="4" priority="29">
      <formula>D7784&lt;T7784</formula>
    </cfRule>
  </conditionalFormatting>
  <conditionalFormatting sqref="D7793:O7840">
    <cfRule type="expression" dxfId="4" priority="26">
      <formula>D7793&lt;T7793</formula>
    </cfRule>
  </conditionalFormatting>
  <conditionalFormatting sqref="C7841:O7855">
    <cfRule type="expression" dxfId="4" priority="23">
      <formula>C7841&lt;S7841</formula>
    </cfRule>
  </conditionalFormatting>
  <conditionalFormatting sqref="D7849:O7854">
    <cfRule type="expression" dxfId="4" priority="25">
      <formula>D7849&lt;T7849</formula>
    </cfRule>
  </conditionalFormatting>
  <conditionalFormatting sqref="D7923:O7970">
    <cfRule type="expression" dxfId="4" priority="16">
      <formula>D7923&lt;T7923</formula>
    </cfRule>
  </conditionalFormatting>
  <conditionalFormatting sqref="C7971:O7985">
    <cfRule type="expression" dxfId="4" priority="13">
      <formula>C7971&lt;S7971</formula>
    </cfRule>
  </conditionalFormatting>
  <conditionalFormatting sqref="D7979:O7984">
    <cfRule type="expression" dxfId="4" priority="15">
      <formula>D7979&lt;T7979</formula>
    </cfRule>
  </conditionalFormatting>
  <conditionalFormatting sqref="D7988:O8035">
    <cfRule type="expression" dxfId="4" priority="12">
      <formula>D7988&lt;T7988</formula>
    </cfRule>
  </conditionalFormatting>
  <conditionalFormatting sqref="C8036:O8050">
    <cfRule type="expression" dxfId="4" priority="9">
      <formula>C8036&lt;S8036</formula>
    </cfRule>
  </conditionalFormatting>
  <conditionalFormatting sqref="D8044:O8049">
    <cfRule type="expression" dxfId="4" priority="11">
      <formula>D8044&lt;T8044</formula>
    </cfRule>
  </conditionalFormatting>
  <conditionalFormatting sqref="D8053:O8100">
    <cfRule type="expression" dxfId="4" priority="8">
      <formula>D8053&lt;T8053</formula>
    </cfRule>
  </conditionalFormatting>
  <conditionalFormatting sqref="C8101:O8115">
    <cfRule type="expression" dxfId="4" priority="5">
      <formula>C8101&lt;S8101</formula>
    </cfRule>
  </conditionalFormatting>
  <conditionalFormatting sqref="D8109:O8114">
    <cfRule type="expression" dxfId="4" priority="7">
      <formula>D8109&lt;T8109</formula>
    </cfRule>
  </conditionalFormatting>
  <conditionalFormatting sqref="D8118:O8165">
    <cfRule type="expression" dxfId="4" priority="4">
      <formula>D8118&lt;T8118</formula>
    </cfRule>
  </conditionalFormatting>
  <conditionalFormatting sqref="C8166:O8180">
    <cfRule type="expression" dxfId="4" priority="1">
      <formula>C8166&lt;S8166</formula>
    </cfRule>
  </conditionalFormatting>
  <conditionalFormatting sqref="D8174:O8179">
    <cfRule type="expression" dxfId="4" priority="3">
      <formula>D8174&lt;T8174</formula>
    </cfRule>
  </conditionalFormatting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880"/>
  <sheetViews>
    <sheetView workbookViewId="0">
      <pane ySplit="1" topLeftCell="A2821" activePane="bottomLeft" state="frozen"/>
      <selection/>
      <selection pane="bottomLeft" activeCell="G2886" sqref="G2886"/>
    </sheetView>
  </sheetViews>
  <sheetFormatPr defaultColWidth="9" defaultRowHeight="13.5"/>
  <cols>
    <col min="1" max="1" width="9.425" style="30"/>
    <col min="2" max="2" width="9" style="30"/>
    <col min="3" max="4" width="13.75" style="30"/>
    <col min="5" max="10" width="9" style="30"/>
    <col min="11" max="11" width="10.1416666666667" style="30"/>
    <col min="12" max="15" width="9" style="30"/>
    <col min="16" max="16" width="10.375"/>
    <col min="27" max="27" width="11.625" customWidth="1"/>
  </cols>
  <sheetData>
    <row r="1" s="118" customFormat="1" spans="1:27">
      <c r="A1" s="122" t="s">
        <v>0</v>
      </c>
      <c r="B1" s="122" t="s">
        <v>1</v>
      </c>
      <c r="C1" s="137" t="s">
        <v>4768</v>
      </c>
      <c r="D1" s="137" t="s">
        <v>3</v>
      </c>
      <c r="E1" s="137" t="s">
        <v>4</v>
      </c>
      <c r="F1" s="138" t="s">
        <v>5</v>
      </c>
      <c r="G1" s="137" t="s">
        <v>6</v>
      </c>
      <c r="H1" s="138" t="s">
        <v>7</v>
      </c>
      <c r="I1" s="138" t="s">
        <v>8</v>
      </c>
      <c r="J1" s="138" t="s">
        <v>9</v>
      </c>
      <c r="K1" s="138"/>
      <c r="L1" s="122" t="s">
        <v>4769</v>
      </c>
      <c r="M1" s="137" t="s">
        <v>4</v>
      </c>
      <c r="N1" s="137" t="s">
        <v>6</v>
      </c>
      <c r="O1" s="138" t="s">
        <v>7</v>
      </c>
      <c r="P1" s="97" t="s">
        <v>10</v>
      </c>
      <c r="Q1" s="114"/>
      <c r="R1" s="114"/>
      <c r="S1" s="114"/>
      <c r="T1" s="97" t="s">
        <v>11</v>
      </c>
      <c r="U1" s="114"/>
      <c r="V1" s="114"/>
      <c r="W1" s="114"/>
      <c r="X1" s="97" t="s">
        <v>12</v>
      </c>
      <c r="Y1" s="114"/>
      <c r="Z1" s="114"/>
      <c r="AA1" s="114"/>
    </row>
    <row r="2" spans="1:15">
      <c r="A2" s="200">
        <v>45005</v>
      </c>
      <c r="B2" s="201" t="s">
        <v>17</v>
      </c>
      <c r="C2" s="202">
        <v>136</v>
      </c>
      <c r="D2" s="202"/>
      <c r="E2" s="201">
        <v>30</v>
      </c>
      <c r="F2" s="203">
        <v>0.220588235294118</v>
      </c>
      <c r="G2" s="202">
        <v>3</v>
      </c>
      <c r="H2" s="203">
        <v>0.1</v>
      </c>
      <c r="I2" s="203"/>
      <c r="J2" s="203"/>
      <c r="K2" s="203"/>
      <c r="L2" s="127" t="s">
        <v>4770</v>
      </c>
      <c r="M2" s="139">
        <v>29</v>
      </c>
      <c r="N2" s="139">
        <v>2</v>
      </c>
      <c r="O2" s="140">
        <v>0.0689655172413793</v>
      </c>
    </row>
    <row r="3" spans="1:15">
      <c r="A3" s="200">
        <v>45005</v>
      </c>
      <c r="B3" s="201" t="s">
        <v>19</v>
      </c>
      <c r="C3" s="202">
        <v>1906</v>
      </c>
      <c r="D3" s="202"/>
      <c r="E3" s="201">
        <v>92</v>
      </c>
      <c r="F3" s="203">
        <v>0.0482686253934942</v>
      </c>
      <c r="G3" s="202">
        <v>35</v>
      </c>
      <c r="H3" s="203">
        <v>0.380434782608696</v>
      </c>
      <c r="I3" s="203"/>
      <c r="J3" s="203"/>
      <c r="K3" s="203"/>
      <c r="L3" s="127" t="s">
        <v>4770</v>
      </c>
      <c r="M3" s="139">
        <v>92</v>
      </c>
      <c r="N3" s="139">
        <v>34</v>
      </c>
      <c r="O3" s="140">
        <v>0.369565217391304</v>
      </c>
    </row>
    <row r="4" spans="1:15">
      <c r="A4" s="200">
        <v>45005</v>
      </c>
      <c r="B4" s="201" t="s">
        <v>21</v>
      </c>
      <c r="C4" s="204">
        <v>469</v>
      </c>
      <c r="D4" s="204"/>
      <c r="E4" s="201">
        <v>24</v>
      </c>
      <c r="F4" s="203">
        <v>0.0511727078891258</v>
      </c>
      <c r="G4" s="202">
        <v>12</v>
      </c>
      <c r="H4" s="203">
        <v>0.5</v>
      </c>
      <c r="I4" s="203"/>
      <c r="J4" s="203"/>
      <c r="K4" s="203"/>
      <c r="L4" s="127" t="s">
        <v>4770</v>
      </c>
      <c r="M4" s="139">
        <v>24</v>
      </c>
      <c r="N4" s="139">
        <v>12</v>
      </c>
      <c r="O4" s="140">
        <v>0.5</v>
      </c>
    </row>
    <row r="5" spans="1:15">
      <c r="A5" s="200">
        <v>45005</v>
      </c>
      <c r="B5" s="201" t="s">
        <v>22</v>
      </c>
      <c r="C5" s="204">
        <v>5916</v>
      </c>
      <c r="D5" s="204"/>
      <c r="E5" s="201">
        <v>160</v>
      </c>
      <c r="F5" s="203">
        <v>0.0270453008789723</v>
      </c>
      <c r="G5" s="202">
        <v>62</v>
      </c>
      <c r="H5" s="203">
        <v>0.3875</v>
      </c>
      <c r="I5" s="203"/>
      <c r="J5" s="203"/>
      <c r="K5" s="203"/>
      <c r="L5" s="127" t="s">
        <v>4770</v>
      </c>
      <c r="M5" s="139">
        <v>156</v>
      </c>
      <c r="N5" s="139">
        <v>61</v>
      </c>
      <c r="O5" s="140">
        <v>0.391025641025641</v>
      </c>
    </row>
    <row r="6" spans="1:15">
      <c r="A6" s="200">
        <v>45005</v>
      </c>
      <c r="B6" s="201" t="s">
        <v>23</v>
      </c>
      <c r="C6" s="204">
        <v>4762</v>
      </c>
      <c r="D6" s="204"/>
      <c r="E6" s="201">
        <v>81</v>
      </c>
      <c r="F6" s="203">
        <v>0.0170096598068039</v>
      </c>
      <c r="G6" s="202">
        <v>23</v>
      </c>
      <c r="H6" s="203">
        <v>0.283950617283951</v>
      </c>
      <c r="I6" s="203"/>
      <c r="J6" s="203"/>
      <c r="K6" s="203"/>
      <c r="L6" s="127" t="s">
        <v>4770</v>
      </c>
      <c r="M6" s="139">
        <v>74</v>
      </c>
      <c r="N6" s="139">
        <v>22</v>
      </c>
      <c r="O6" s="140">
        <v>0.297297297297297</v>
      </c>
    </row>
    <row r="7" spans="1:15">
      <c r="A7" s="200">
        <v>45005</v>
      </c>
      <c r="B7" s="201" t="s">
        <v>24</v>
      </c>
      <c r="C7" s="204">
        <v>1707</v>
      </c>
      <c r="D7" s="204"/>
      <c r="E7" s="201">
        <v>26</v>
      </c>
      <c r="F7" s="203">
        <v>0.0152314001171646</v>
      </c>
      <c r="G7" s="202">
        <v>8</v>
      </c>
      <c r="H7" s="203">
        <v>0.307692307692308</v>
      </c>
      <c r="I7" s="203"/>
      <c r="J7" s="203"/>
      <c r="K7" s="203"/>
      <c r="L7" s="127" t="s">
        <v>4770</v>
      </c>
      <c r="M7" s="139">
        <v>26</v>
      </c>
      <c r="N7" s="139">
        <v>8</v>
      </c>
      <c r="O7" s="140">
        <v>0.307692307692308</v>
      </c>
    </row>
    <row r="8" spans="1:15">
      <c r="A8" s="200">
        <v>45005</v>
      </c>
      <c r="B8" s="201" t="s">
        <v>25</v>
      </c>
      <c r="C8" s="204">
        <v>5027</v>
      </c>
      <c r="D8" s="204"/>
      <c r="E8" s="201">
        <v>47</v>
      </c>
      <c r="F8" s="203">
        <v>0.00934951263178834</v>
      </c>
      <c r="G8" s="202">
        <v>16</v>
      </c>
      <c r="H8" s="203">
        <v>0.340425531914894</v>
      </c>
      <c r="I8" s="203"/>
      <c r="J8" s="203"/>
      <c r="K8" s="203"/>
      <c r="L8" s="127" t="s">
        <v>4770</v>
      </c>
      <c r="M8" s="139">
        <v>47</v>
      </c>
      <c r="N8" s="139">
        <v>16</v>
      </c>
      <c r="O8" s="140">
        <v>0.340425531914894</v>
      </c>
    </row>
    <row r="9" spans="1:15">
      <c r="A9" s="200">
        <v>45005</v>
      </c>
      <c r="B9" s="205" t="s">
        <v>4771</v>
      </c>
      <c r="C9" s="206">
        <v>0</v>
      </c>
      <c r="D9" s="206"/>
      <c r="E9" s="207">
        <v>0</v>
      </c>
      <c r="F9" s="203">
        <v>0</v>
      </c>
      <c r="G9" s="208">
        <v>0</v>
      </c>
      <c r="H9" s="203">
        <v>0</v>
      </c>
      <c r="I9" s="203"/>
      <c r="J9" s="203"/>
      <c r="K9" s="203"/>
      <c r="L9" s="127" t="s">
        <v>4770</v>
      </c>
      <c r="M9" s="139">
        <v>0</v>
      </c>
      <c r="N9" s="139">
        <v>0</v>
      </c>
      <c r="O9" s="140">
        <v>0</v>
      </c>
    </row>
    <row r="10" spans="1:15">
      <c r="A10" s="200">
        <v>45005</v>
      </c>
      <c r="B10" s="207" t="s">
        <v>26</v>
      </c>
      <c r="C10" s="206">
        <v>412</v>
      </c>
      <c r="D10" s="206"/>
      <c r="E10" s="207">
        <v>42</v>
      </c>
      <c r="F10" s="203">
        <v>0.101941747572816</v>
      </c>
      <c r="G10" s="208">
        <v>17</v>
      </c>
      <c r="H10" s="203">
        <v>0.404761904761905</v>
      </c>
      <c r="I10" s="203"/>
      <c r="J10" s="203"/>
      <c r="K10" s="203"/>
      <c r="L10" s="127" t="s">
        <v>4770</v>
      </c>
      <c r="M10" s="139">
        <v>42</v>
      </c>
      <c r="N10" s="139">
        <v>17</v>
      </c>
      <c r="O10" s="140">
        <v>0.404761904761905</v>
      </c>
    </row>
    <row r="11" spans="1:15">
      <c r="A11" s="200">
        <v>45005</v>
      </c>
      <c r="B11" s="207" t="s">
        <v>27</v>
      </c>
      <c r="C11" s="206">
        <v>20</v>
      </c>
      <c r="D11" s="206"/>
      <c r="E11" s="207">
        <v>0</v>
      </c>
      <c r="F11" s="203">
        <v>0</v>
      </c>
      <c r="G11" s="208">
        <v>1</v>
      </c>
      <c r="H11" s="203">
        <v>1</v>
      </c>
      <c r="I11" s="203"/>
      <c r="J11" s="203"/>
      <c r="K11" s="203"/>
      <c r="L11" s="127" t="s">
        <v>4770</v>
      </c>
      <c r="M11" s="139">
        <v>0</v>
      </c>
      <c r="N11" s="139">
        <v>1</v>
      </c>
      <c r="O11" s="140">
        <v>0</v>
      </c>
    </row>
    <row r="12" spans="1:15">
      <c r="A12" s="200">
        <v>45005</v>
      </c>
      <c r="B12" s="207" t="s">
        <v>28</v>
      </c>
      <c r="C12" s="206">
        <v>0</v>
      </c>
      <c r="D12" s="206"/>
      <c r="E12" s="207">
        <v>0</v>
      </c>
      <c r="F12" s="203">
        <v>0</v>
      </c>
      <c r="G12" s="208">
        <v>0</v>
      </c>
      <c r="H12" s="203">
        <v>0</v>
      </c>
      <c r="I12" s="203"/>
      <c r="J12" s="203"/>
      <c r="K12" s="203"/>
      <c r="L12" s="127" t="s">
        <v>4770</v>
      </c>
      <c r="M12" s="139">
        <v>0</v>
      </c>
      <c r="N12" s="139">
        <v>0</v>
      </c>
      <c r="O12" s="140">
        <v>0</v>
      </c>
    </row>
    <row r="13" spans="1:15">
      <c r="A13" s="200">
        <v>45005</v>
      </c>
      <c r="B13" s="207" t="s">
        <v>29</v>
      </c>
      <c r="C13" s="206">
        <v>1</v>
      </c>
      <c r="D13" s="206"/>
      <c r="E13" s="207">
        <v>0</v>
      </c>
      <c r="F13" s="203">
        <v>0</v>
      </c>
      <c r="G13" s="208">
        <v>0</v>
      </c>
      <c r="H13" s="203">
        <v>0</v>
      </c>
      <c r="I13" s="203"/>
      <c r="J13" s="203"/>
      <c r="K13" s="203"/>
      <c r="L13" s="127" t="s">
        <v>4770</v>
      </c>
      <c r="M13" s="139">
        <v>0</v>
      </c>
      <c r="N13" s="139">
        <v>0</v>
      </c>
      <c r="O13" s="140">
        <v>0</v>
      </c>
    </row>
    <row r="14" spans="1:15">
      <c r="A14" s="200">
        <v>45005</v>
      </c>
      <c r="B14" s="207" t="s">
        <v>30</v>
      </c>
      <c r="C14" s="206">
        <v>0</v>
      </c>
      <c r="D14" s="206"/>
      <c r="E14" s="207">
        <v>0</v>
      </c>
      <c r="F14" s="203">
        <v>0</v>
      </c>
      <c r="G14" s="208">
        <v>0</v>
      </c>
      <c r="H14" s="203">
        <v>0</v>
      </c>
      <c r="I14" s="203"/>
      <c r="J14" s="203"/>
      <c r="K14" s="203"/>
      <c r="L14" s="127" t="s">
        <v>4770</v>
      </c>
      <c r="M14" s="139">
        <v>0</v>
      </c>
      <c r="N14" s="139">
        <v>0</v>
      </c>
      <c r="O14" s="140">
        <v>0</v>
      </c>
    </row>
    <row r="15" spans="1:15">
      <c r="A15" s="200">
        <v>45005</v>
      </c>
      <c r="B15" s="207" t="s">
        <v>103</v>
      </c>
      <c r="C15" s="206" t="s">
        <v>4772</v>
      </c>
      <c r="D15" s="206"/>
      <c r="E15" s="207">
        <v>0</v>
      </c>
      <c r="F15" s="203" t="s">
        <v>4772</v>
      </c>
      <c r="G15" s="208">
        <v>0</v>
      </c>
      <c r="H15" s="203">
        <v>0</v>
      </c>
      <c r="I15" s="203"/>
      <c r="J15" s="203"/>
      <c r="K15" s="203"/>
      <c r="L15" s="127" t="s">
        <v>4770</v>
      </c>
      <c r="M15" s="139">
        <v>0</v>
      </c>
      <c r="N15" s="139">
        <v>0</v>
      </c>
      <c r="O15" s="140">
        <v>0</v>
      </c>
    </row>
    <row r="16" spans="1:15">
      <c r="A16" s="200">
        <v>45005</v>
      </c>
      <c r="B16" s="209" t="s">
        <v>39</v>
      </c>
      <c r="C16" s="210">
        <v>20356</v>
      </c>
      <c r="D16" s="210"/>
      <c r="E16" s="210">
        <v>502</v>
      </c>
      <c r="F16" s="211">
        <v>0.0246610336018864</v>
      </c>
      <c r="G16" s="210">
        <v>177</v>
      </c>
      <c r="H16" s="211">
        <v>0.352589641434263</v>
      </c>
      <c r="I16" s="211"/>
      <c r="J16" s="211"/>
      <c r="K16" s="211"/>
      <c r="L16" s="136" t="s">
        <v>4770</v>
      </c>
      <c r="M16" s="141">
        <v>490</v>
      </c>
      <c r="N16" s="141">
        <v>173</v>
      </c>
      <c r="O16" s="142">
        <v>0.353061224489796</v>
      </c>
    </row>
    <row r="17" spans="1:15">
      <c r="A17" s="200">
        <v>45006</v>
      </c>
      <c r="B17" s="201" t="s">
        <v>17</v>
      </c>
      <c r="C17" s="202">
        <v>151</v>
      </c>
      <c r="D17" s="202"/>
      <c r="E17" s="201">
        <v>20</v>
      </c>
      <c r="F17" s="203">
        <v>0.132450331125828</v>
      </c>
      <c r="G17" s="202">
        <v>3</v>
      </c>
      <c r="H17" s="203">
        <v>0.15</v>
      </c>
      <c r="I17" s="203"/>
      <c r="J17" s="203"/>
      <c r="K17" s="203"/>
      <c r="L17" s="127" t="s">
        <v>4770</v>
      </c>
      <c r="M17" s="139">
        <v>20</v>
      </c>
      <c r="N17" s="139">
        <v>2</v>
      </c>
      <c r="O17" s="140">
        <v>0.1</v>
      </c>
    </row>
    <row r="18" spans="1:15">
      <c r="A18" s="200">
        <v>45006</v>
      </c>
      <c r="B18" s="201" t="s">
        <v>19</v>
      </c>
      <c r="C18" s="202">
        <v>1851</v>
      </c>
      <c r="D18" s="202"/>
      <c r="E18" s="201">
        <v>81</v>
      </c>
      <c r="F18" s="203">
        <v>0.0437601296596434</v>
      </c>
      <c r="G18" s="202">
        <v>27</v>
      </c>
      <c r="H18" s="203">
        <v>0.333333333333333</v>
      </c>
      <c r="I18" s="203"/>
      <c r="J18" s="203"/>
      <c r="K18" s="203"/>
      <c r="L18" s="127" t="s">
        <v>4770</v>
      </c>
      <c r="M18" s="139">
        <v>81</v>
      </c>
      <c r="N18" s="139">
        <v>27</v>
      </c>
      <c r="O18" s="140">
        <v>0.333333333333333</v>
      </c>
    </row>
    <row r="19" spans="1:15">
      <c r="A19" s="200">
        <v>45006</v>
      </c>
      <c r="B19" s="201" t="s">
        <v>21</v>
      </c>
      <c r="C19" s="204">
        <v>472</v>
      </c>
      <c r="D19" s="204"/>
      <c r="E19" s="201">
        <v>23</v>
      </c>
      <c r="F19" s="203">
        <v>0.048728813559322</v>
      </c>
      <c r="G19" s="202">
        <v>5</v>
      </c>
      <c r="H19" s="203">
        <v>0.217391304347826</v>
      </c>
      <c r="I19" s="203"/>
      <c r="J19" s="203"/>
      <c r="K19" s="203"/>
      <c r="L19" s="127" t="s">
        <v>4770</v>
      </c>
      <c r="M19" s="139">
        <v>23</v>
      </c>
      <c r="N19" s="139">
        <v>5</v>
      </c>
      <c r="O19" s="140">
        <v>0.217391304347826</v>
      </c>
    </row>
    <row r="20" spans="1:15">
      <c r="A20" s="200">
        <v>45006</v>
      </c>
      <c r="B20" s="201" t="s">
        <v>22</v>
      </c>
      <c r="C20" s="204">
        <v>5496</v>
      </c>
      <c r="D20" s="204"/>
      <c r="E20" s="201">
        <v>162</v>
      </c>
      <c r="F20" s="203">
        <v>0.0294759825327511</v>
      </c>
      <c r="G20" s="202">
        <v>53</v>
      </c>
      <c r="H20" s="203">
        <v>0.327160493827161</v>
      </c>
      <c r="I20" s="203"/>
      <c r="J20" s="203"/>
      <c r="K20" s="203"/>
      <c r="L20" s="127" t="s">
        <v>4770</v>
      </c>
      <c r="M20" s="139">
        <v>158</v>
      </c>
      <c r="N20" s="139">
        <v>52</v>
      </c>
      <c r="O20" s="140">
        <v>0.329113924050633</v>
      </c>
    </row>
    <row r="21" spans="1:15">
      <c r="A21" s="200">
        <v>45006</v>
      </c>
      <c r="B21" s="201" t="s">
        <v>23</v>
      </c>
      <c r="C21" s="204">
        <v>4351</v>
      </c>
      <c r="D21" s="204"/>
      <c r="E21" s="201">
        <v>71</v>
      </c>
      <c r="F21" s="203">
        <v>0.016318087795909</v>
      </c>
      <c r="G21" s="202">
        <v>23</v>
      </c>
      <c r="H21" s="203">
        <v>0.323943661971831</v>
      </c>
      <c r="I21" s="203"/>
      <c r="J21" s="203"/>
      <c r="K21" s="203"/>
      <c r="L21" s="127" t="s">
        <v>4770</v>
      </c>
      <c r="M21" s="139">
        <v>64</v>
      </c>
      <c r="N21" s="139">
        <v>23</v>
      </c>
      <c r="O21" s="140">
        <v>0.359375</v>
      </c>
    </row>
    <row r="22" spans="1:15">
      <c r="A22" s="200">
        <v>45006</v>
      </c>
      <c r="B22" s="201" t="s">
        <v>24</v>
      </c>
      <c r="C22" s="204">
        <v>1627</v>
      </c>
      <c r="D22" s="204"/>
      <c r="E22" s="201">
        <v>23</v>
      </c>
      <c r="F22" s="203">
        <v>0.0141364474492932</v>
      </c>
      <c r="G22" s="202">
        <v>4</v>
      </c>
      <c r="H22" s="203">
        <v>0.173913043478261</v>
      </c>
      <c r="I22" s="203"/>
      <c r="J22" s="203"/>
      <c r="K22" s="203"/>
      <c r="L22" s="127" t="s">
        <v>4770</v>
      </c>
      <c r="M22" s="139">
        <v>23</v>
      </c>
      <c r="N22" s="139">
        <v>4</v>
      </c>
      <c r="O22" s="140">
        <v>0.173913043478261</v>
      </c>
    </row>
    <row r="23" spans="1:15">
      <c r="A23" s="200">
        <v>45006</v>
      </c>
      <c r="B23" s="201" t="s">
        <v>25</v>
      </c>
      <c r="C23" s="204">
        <v>4555</v>
      </c>
      <c r="D23" s="204"/>
      <c r="E23" s="201">
        <v>50</v>
      </c>
      <c r="F23" s="203">
        <v>0.0109769484083425</v>
      </c>
      <c r="G23" s="202">
        <v>29</v>
      </c>
      <c r="H23" s="203">
        <v>0.58</v>
      </c>
      <c r="I23" s="203"/>
      <c r="J23" s="203"/>
      <c r="K23" s="203"/>
      <c r="L23" s="127" t="s">
        <v>4770</v>
      </c>
      <c r="M23" s="139">
        <v>49</v>
      </c>
      <c r="N23" s="139">
        <v>29</v>
      </c>
      <c r="O23" s="140">
        <v>0.591836734693878</v>
      </c>
    </row>
    <row r="24" spans="1:15">
      <c r="A24" s="200">
        <v>45006</v>
      </c>
      <c r="B24" s="205" t="s">
        <v>4771</v>
      </c>
      <c r="C24" s="206">
        <v>0</v>
      </c>
      <c r="D24" s="206"/>
      <c r="E24" s="207">
        <v>0</v>
      </c>
      <c r="F24" s="203">
        <v>0</v>
      </c>
      <c r="G24" s="208">
        <v>0</v>
      </c>
      <c r="H24" s="203">
        <v>0</v>
      </c>
      <c r="I24" s="203"/>
      <c r="J24" s="203"/>
      <c r="K24" s="203"/>
      <c r="L24" s="127" t="s">
        <v>4770</v>
      </c>
      <c r="M24" s="139">
        <v>0</v>
      </c>
      <c r="N24" s="139">
        <v>0</v>
      </c>
      <c r="O24" s="140">
        <v>0</v>
      </c>
    </row>
    <row r="25" spans="1:15">
      <c r="A25" s="200">
        <v>45006</v>
      </c>
      <c r="B25" s="207" t="s">
        <v>26</v>
      </c>
      <c r="C25" s="206">
        <v>421</v>
      </c>
      <c r="D25" s="206"/>
      <c r="E25" s="207">
        <v>37</v>
      </c>
      <c r="F25" s="203">
        <v>0.0878859857482185</v>
      </c>
      <c r="G25" s="208">
        <v>16</v>
      </c>
      <c r="H25" s="203">
        <v>0.432432432432432</v>
      </c>
      <c r="I25" s="203"/>
      <c r="J25" s="203"/>
      <c r="K25" s="203"/>
      <c r="L25" s="127" t="s">
        <v>4770</v>
      </c>
      <c r="M25" s="139">
        <v>37</v>
      </c>
      <c r="N25" s="139">
        <v>16</v>
      </c>
      <c r="O25" s="140">
        <v>0.432432432432432</v>
      </c>
    </row>
    <row r="26" spans="1:15">
      <c r="A26" s="200">
        <v>45006</v>
      </c>
      <c r="B26" s="207" t="s">
        <v>27</v>
      </c>
      <c r="C26" s="206">
        <v>36</v>
      </c>
      <c r="D26" s="206"/>
      <c r="E26" s="207">
        <v>1</v>
      </c>
      <c r="F26" s="203">
        <v>0.0277777777777778</v>
      </c>
      <c r="G26" s="208">
        <v>1</v>
      </c>
      <c r="H26" s="203">
        <v>1</v>
      </c>
      <c r="I26" s="203"/>
      <c r="J26" s="203"/>
      <c r="K26" s="203"/>
      <c r="L26" s="127" t="s">
        <v>4770</v>
      </c>
      <c r="M26" s="139">
        <v>1</v>
      </c>
      <c r="N26" s="139">
        <v>1</v>
      </c>
      <c r="O26" s="140">
        <v>1</v>
      </c>
    </row>
    <row r="27" spans="1:15">
      <c r="A27" s="200">
        <v>45006</v>
      </c>
      <c r="B27" s="207" t="s">
        <v>28</v>
      </c>
      <c r="C27" s="206">
        <v>0</v>
      </c>
      <c r="D27" s="206"/>
      <c r="E27" s="207">
        <v>0</v>
      </c>
      <c r="F27" s="203">
        <v>0</v>
      </c>
      <c r="G27" s="208">
        <v>0</v>
      </c>
      <c r="H27" s="203">
        <v>0</v>
      </c>
      <c r="I27" s="203"/>
      <c r="J27" s="203"/>
      <c r="K27" s="203"/>
      <c r="L27" s="127" t="s">
        <v>4770</v>
      </c>
      <c r="M27" s="139">
        <v>0</v>
      </c>
      <c r="N27" s="139">
        <v>0</v>
      </c>
      <c r="O27" s="140">
        <v>0</v>
      </c>
    </row>
    <row r="28" spans="1:15">
      <c r="A28" s="200">
        <v>45006</v>
      </c>
      <c r="B28" s="207" t="s">
        <v>29</v>
      </c>
      <c r="C28" s="206">
        <v>1</v>
      </c>
      <c r="D28" s="206"/>
      <c r="E28" s="207">
        <v>0</v>
      </c>
      <c r="F28" s="203">
        <v>0</v>
      </c>
      <c r="G28" s="208">
        <v>0</v>
      </c>
      <c r="H28" s="203">
        <v>0</v>
      </c>
      <c r="I28" s="203"/>
      <c r="J28" s="203"/>
      <c r="K28" s="203"/>
      <c r="L28" s="127" t="s">
        <v>4770</v>
      </c>
      <c r="M28" s="139">
        <v>0</v>
      </c>
      <c r="N28" s="139">
        <v>0</v>
      </c>
      <c r="O28" s="140">
        <v>0</v>
      </c>
    </row>
    <row r="29" spans="1:15">
      <c r="A29" s="200">
        <v>45006</v>
      </c>
      <c r="B29" s="207" t="s">
        <v>30</v>
      </c>
      <c r="C29" s="206">
        <v>0</v>
      </c>
      <c r="D29" s="206"/>
      <c r="E29" s="207">
        <v>0</v>
      </c>
      <c r="F29" s="203">
        <v>0</v>
      </c>
      <c r="G29" s="208">
        <v>0</v>
      </c>
      <c r="H29" s="203">
        <v>0</v>
      </c>
      <c r="I29" s="203"/>
      <c r="J29" s="203"/>
      <c r="K29" s="203"/>
      <c r="L29" s="127" t="s">
        <v>4770</v>
      </c>
      <c r="M29" s="139">
        <v>0</v>
      </c>
      <c r="N29" s="139">
        <v>0</v>
      </c>
      <c r="O29" s="140">
        <v>0</v>
      </c>
    </row>
    <row r="30" spans="1:15">
      <c r="A30" s="200">
        <v>45006</v>
      </c>
      <c r="B30" s="207" t="s">
        <v>103</v>
      </c>
      <c r="C30" s="206" t="s">
        <v>4772</v>
      </c>
      <c r="D30" s="206"/>
      <c r="E30" s="207">
        <v>0</v>
      </c>
      <c r="F30" s="203" t="s">
        <v>4772</v>
      </c>
      <c r="G30" s="208">
        <v>0</v>
      </c>
      <c r="H30" s="203">
        <v>0</v>
      </c>
      <c r="I30" s="203"/>
      <c r="J30" s="203"/>
      <c r="K30" s="203"/>
      <c r="L30" s="127" t="s">
        <v>4770</v>
      </c>
      <c r="M30" s="139">
        <v>0</v>
      </c>
      <c r="N30" s="139">
        <v>0</v>
      </c>
      <c r="O30" s="140">
        <v>0</v>
      </c>
    </row>
    <row r="31" spans="1:15">
      <c r="A31" s="200">
        <v>45006</v>
      </c>
      <c r="B31" s="209" t="s">
        <v>39</v>
      </c>
      <c r="C31" s="210">
        <v>18961</v>
      </c>
      <c r="D31" s="210"/>
      <c r="E31" s="210">
        <v>468</v>
      </c>
      <c r="F31" s="211">
        <v>0.0246822424977586</v>
      </c>
      <c r="G31" s="210">
        <v>161</v>
      </c>
      <c r="H31" s="211">
        <v>0.344017094017094</v>
      </c>
      <c r="I31" s="211"/>
      <c r="J31" s="211"/>
      <c r="K31" s="211"/>
      <c r="L31" s="136" t="s">
        <v>4770</v>
      </c>
      <c r="M31" s="141">
        <v>456</v>
      </c>
      <c r="N31" s="141">
        <v>159</v>
      </c>
      <c r="O31" s="142">
        <v>0.348684210526316</v>
      </c>
    </row>
    <row r="32" spans="1:15">
      <c r="A32" s="200">
        <v>45007</v>
      </c>
      <c r="B32" s="201" t="s">
        <v>17</v>
      </c>
      <c r="C32" s="202">
        <v>128</v>
      </c>
      <c r="D32" s="202"/>
      <c r="E32" s="201">
        <v>21</v>
      </c>
      <c r="F32" s="203">
        <v>0.1640625</v>
      </c>
      <c r="G32" s="202">
        <v>6</v>
      </c>
      <c r="H32" s="203">
        <v>0.285714285714286</v>
      </c>
      <c r="I32" s="203"/>
      <c r="J32" s="203"/>
      <c r="K32" s="203"/>
      <c r="L32" s="127" t="s">
        <v>4770</v>
      </c>
      <c r="M32" s="139">
        <v>21</v>
      </c>
      <c r="N32" s="139">
        <v>5</v>
      </c>
      <c r="O32" s="140">
        <v>0.238095238095238</v>
      </c>
    </row>
    <row r="33" spans="1:15">
      <c r="A33" s="200">
        <v>45007</v>
      </c>
      <c r="B33" s="201" t="s">
        <v>19</v>
      </c>
      <c r="C33" s="202">
        <v>1586</v>
      </c>
      <c r="D33" s="202"/>
      <c r="E33" s="201">
        <v>65</v>
      </c>
      <c r="F33" s="203">
        <v>0.040983606557377</v>
      </c>
      <c r="G33" s="202">
        <v>19</v>
      </c>
      <c r="H33" s="203">
        <v>0.292307692307692</v>
      </c>
      <c r="I33" s="203"/>
      <c r="J33" s="203"/>
      <c r="K33" s="203"/>
      <c r="L33" s="127" t="s">
        <v>4770</v>
      </c>
      <c r="M33" s="139">
        <v>63</v>
      </c>
      <c r="N33" s="139">
        <v>19</v>
      </c>
      <c r="O33" s="140">
        <v>0.301587301587302</v>
      </c>
    </row>
    <row r="34" spans="1:15">
      <c r="A34" s="200">
        <v>45007</v>
      </c>
      <c r="B34" s="201" t="s">
        <v>21</v>
      </c>
      <c r="C34" s="204">
        <v>496</v>
      </c>
      <c r="D34" s="204"/>
      <c r="E34" s="201">
        <v>31</v>
      </c>
      <c r="F34" s="203">
        <v>0.0625</v>
      </c>
      <c r="G34" s="202">
        <v>13</v>
      </c>
      <c r="H34" s="203">
        <v>0.419354838709677</v>
      </c>
      <c r="I34" s="203"/>
      <c r="J34" s="203"/>
      <c r="K34" s="203"/>
      <c r="L34" s="127" t="s">
        <v>4770</v>
      </c>
      <c r="M34" s="139">
        <v>31</v>
      </c>
      <c r="N34" s="139">
        <v>13</v>
      </c>
      <c r="O34" s="140">
        <v>0.419354838709677</v>
      </c>
    </row>
    <row r="35" spans="1:15">
      <c r="A35" s="200">
        <v>45007</v>
      </c>
      <c r="B35" s="201" t="s">
        <v>22</v>
      </c>
      <c r="C35" s="204">
        <v>5345</v>
      </c>
      <c r="D35" s="204"/>
      <c r="E35" s="201">
        <v>146</v>
      </c>
      <c r="F35" s="203">
        <v>0.0273152478952292</v>
      </c>
      <c r="G35" s="202">
        <v>47</v>
      </c>
      <c r="H35" s="203">
        <v>0.321917808219178</v>
      </c>
      <c r="I35" s="203"/>
      <c r="J35" s="203"/>
      <c r="K35" s="203"/>
      <c r="L35" s="127" t="s">
        <v>4770</v>
      </c>
      <c r="M35" s="139">
        <v>146</v>
      </c>
      <c r="N35" s="139">
        <v>47</v>
      </c>
      <c r="O35" s="140">
        <v>0.321917808219178</v>
      </c>
    </row>
    <row r="36" spans="1:15">
      <c r="A36" s="200">
        <v>45007</v>
      </c>
      <c r="B36" s="201" t="s">
        <v>23</v>
      </c>
      <c r="C36" s="204">
        <v>4262</v>
      </c>
      <c r="D36" s="204"/>
      <c r="E36" s="201">
        <v>59</v>
      </c>
      <c r="F36" s="203">
        <v>0.0138432660722665</v>
      </c>
      <c r="G36" s="202">
        <v>16</v>
      </c>
      <c r="H36" s="203">
        <v>0.271186440677966</v>
      </c>
      <c r="I36" s="203"/>
      <c r="J36" s="203"/>
      <c r="K36" s="203"/>
      <c r="L36" s="127" t="s">
        <v>4770</v>
      </c>
      <c r="M36" s="139">
        <v>50</v>
      </c>
      <c r="N36" s="139">
        <v>16</v>
      </c>
      <c r="O36" s="140">
        <v>0.32</v>
      </c>
    </row>
    <row r="37" spans="1:15">
      <c r="A37" s="200">
        <v>45007</v>
      </c>
      <c r="B37" s="201" t="s">
        <v>24</v>
      </c>
      <c r="C37" s="204">
        <v>1186</v>
      </c>
      <c r="D37" s="204"/>
      <c r="E37" s="201">
        <v>12</v>
      </c>
      <c r="F37" s="203">
        <v>0.0101180438448567</v>
      </c>
      <c r="G37" s="202">
        <v>6</v>
      </c>
      <c r="H37" s="203">
        <v>0.5</v>
      </c>
      <c r="I37" s="203"/>
      <c r="J37" s="203"/>
      <c r="K37" s="203"/>
      <c r="L37" s="127" t="s">
        <v>4770</v>
      </c>
      <c r="M37" s="139">
        <v>11</v>
      </c>
      <c r="N37" s="139">
        <v>5</v>
      </c>
      <c r="O37" s="140">
        <v>0.454545454545455</v>
      </c>
    </row>
    <row r="38" spans="1:15">
      <c r="A38" s="200">
        <v>45007</v>
      </c>
      <c r="B38" s="201" t="s">
        <v>25</v>
      </c>
      <c r="C38" s="204">
        <v>5387</v>
      </c>
      <c r="D38" s="204"/>
      <c r="E38" s="201">
        <v>40</v>
      </c>
      <c r="F38" s="203">
        <v>0.00742528308891777</v>
      </c>
      <c r="G38" s="202">
        <v>17</v>
      </c>
      <c r="H38" s="203">
        <v>0.425</v>
      </c>
      <c r="I38" s="203"/>
      <c r="J38" s="203"/>
      <c r="K38" s="203"/>
      <c r="L38" s="127" t="s">
        <v>4770</v>
      </c>
      <c r="M38" s="139">
        <v>40</v>
      </c>
      <c r="N38" s="139">
        <v>17</v>
      </c>
      <c r="O38" s="140">
        <v>0.425</v>
      </c>
    </row>
    <row r="39" spans="1:15">
      <c r="A39" s="200">
        <v>45007</v>
      </c>
      <c r="B39" s="205" t="s">
        <v>4771</v>
      </c>
      <c r="C39" s="206">
        <v>0</v>
      </c>
      <c r="D39" s="206"/>
      <c r="E39" s="207">
        <v>0</v>
      </c>
      <c r="F39" s="203">
        <v>0</v>
      </c>
      <c r="G39" s="208">
        <v>0</v>
      </c>
      <c r="H39" s="203">
        <v>0</v>
      </c>
      <c r="I39" s="203"/>
      <c r="J39" s="203"/>
      <c r="K39" s="203"/>
      <c r="L39" s="127" t="s">
        <v>4770</v>
      </c>
      <c r="M39" s="139">
        <v>0</v>
      </c>
      <c r="N39" s="139">
        <v>0</v>
      </c>
      <c r="O39" s="140">
        <v>0</v>
      </c>
    </row>
    <row r="40" spans="1:15">
      <c r="A40" s="200">
        <v>45007</v>
      </c>
      <c r="B40" s="207" t="s">
        <v>26</v>
      </c>
      <c r="C40" s="206">
        <v>414</v>
      </c>
      <c r="D40" s="206"/>
      <c r="E40" s="207">
        <v>50</v>
      </c>
      <c r="F40" s="203">
        <v>0.120772946859903</v>
      </c>
      <c r="G40" s="208">
        <v>19</v>
      </c>
      <c r="H40" s="203">
        <v>0.38</v>
      </c>
      <c r="I40" s="203"/>
      <c r="J40" s="203"/>
      <c r="K40" s="203"/>
      <c r="L40" s="127" t="s">
        <v>4770</v>
      </c>
      <c r="M40" s="139">
        <v>50</v>
      </c>
      <c r="N40" s="139">
        <v>19</v>
      </c>
      <c r="O40" s="140">
        <v>0.38</v>
      </c>
    </row>
    <row r="41" spans="1:15">
      <c r="A41" s="200">
        <v>45007</v>
      </c>
      <c r="B41" s="207" t="s">
        <v>27</v>
      </c>
      <c r="C41" s="206">
        <v>25</v>
      </c>
      <c r="D41" s="206"/>
      <c r="E41" s="207">
        <v>0</v>
      </c>
      <c r="F41" s="203">
        <v>0</v>
      </c>
      <c r="G41" s="208">
        <v>0</v>
      </c>
      <c r="H41" s="203">
        <v>0</v>
      </c>
      <c r="I41" s="203"/>
      <c r="J41" s="203"/>
      <c r="K41" s="203"/>
      <c r="L41" s="127" t="s">
        <v>4770</v>
      </c>
      <c r="M41" s="139">
        <v>0</v>
      </c>
      <c r="N41" s="139">
        <v>0</v>
      </c>
      <c r="O41" s="140">
        <v>0</v>
      </c>
    </row>
    <row r="42" spans="1:15">
      <c r="A42" s="200">
        <v>45007</v>
      </c>
      <c r="B42" s="207" t="s">
        <v>28</v>
      </c>
      <c r="C42" s="206">
        <v>0</v>
      </c>
      <c r="D42" s="206"/>
      <c r="E42" s="207">
        <v>0</v>
      </c>
      <c r="F42" s="203">
        <v>0</v>
      </c>
      <c r="G42" s="208">
        <v>0</v>
      </c>
      <c r="H42" s="203">
        <v>0</v>
      </c>
      <c r="I42" s="203"/>
      <c r="J42" s="203"/>
      <c r="K42" s="203"/>
      <c r="L42" s="127" t="s">
        <v>4770</v>
      </c>
      <c r="M42" s="139">
        <v>0</v>
      </c>
      <c r="N42" s="139">
        <v>0</v>
      </c>
      <c r="O42" s="140">
        <v>0</v>
      </c>
    </row>
    <row r="43" spans="1:15">
      <c r="A43" s="200">
        <v>45007</v>
      </c>
      <c r="B43" s="207" t="s">
        <v>29</v>
      </c>
      <c r="C43" s="206">
        <v>1</v>
      </c>
      <c r="D43" s="206"/>
      <c r="E43" s="207">
        <v>0</v>
      </c>
      <c r="F43" s="203">
        <v>0</v>
      </c>
      <c r="G43" s="208">
        <v>0</v>
      </c>
      <c r="H43" s="203">
        <v>0</v>
      </c>
      <c r="I43" s="203"/>
      <c r="J43" s="203"/>
      <c r="K43" s="203"/>
      <c r="L43" s="127" t="s">
        <v>4770</v>
      </c>
      <c r="M43" s="139">
        <v>0</v>
      </c>
      <c r="N43" s="139">
        <v>0</v>
      </c>
      <c r="O43" s="140">
        <v>0</v>
      </c>
    </row>
    <row r="44" spans="1:15">
      <c r="A44" s="200">
        <v>45007</v>
      </c>
      <c r="B44" s="207" t="s">
        <v>30</v>
      </c>
      <c r="C44" s="206">
        <v>0</v>
      </c>
      <c r="D44" s="206"/>
      <c r="E44" s="207">
        <v>0</v>
      </c>
      <c r="F44" s="203">
        <v>0</v>
      </c>
      <c r="G44" s="208">
        <v>0</v>
      </c>
      <c r="H44" s="203">
        <v>0</v>
      </c>
      <c r="I44" s="203"/>
      <c r="J44" s="203"/>
      <c r="K44" s="203"/>
      <c r="L44" s="127" t="s">
        <v>4770</v>
      </c>
      <c r="M44" s="139">
        <v>0</v>
      </c>
      <c r="N44" s="139">
        <v>0</v>
      </c>
      <c r="O44" s="140">
        <v>0</v>
      </c>
    </row>
    <row r="45" spans="1:15">
      <c r="A45" s="200">
        <v>45007</v>
      </c>
      <c r="B45" s="207" t="s">
        <v>103</v>
      </c>
      <c r="C45" s="206" t="s">
        <v>4772</v>
      </c>
      <c r="D45" s="206"/>
      <c r="E45" s="207">
        <v>0</v>
      </c>
      <c r="F45" s="203" t="s">
        <v>4772</v>
      </c>
      <c r="G45" s="208">
        <v>0</v>
      </c>
      <c r="H45" s="203">
        <v>0</v>
      </c>
      <c r="I45" s="203"/>
      <c r="J45" s="203"/>
      <c r="K45" s="203"/>
      <c r="L45" s="127" t="s">
        <v>4770</v>
      </c>
      <c r="M45" s="139">
        <v>0</v>
      </c>
      <c r="N45" s="139">
        <v>0</v>
      </c>
      <c r="O45" s="140">
        <v>0</v>
      </c>
    </row>
    <row r="46" spans="1:15">
      <c r="A46" s="200">
        <v>45007</v>
      </c>
      <c r="B46" s="209" t="s">
        <v>39</v>
      </c>
      <c r="C46" s="210">
        <v>18830</v>
      </c>
      <c r="D46" s="210"/>
      <c r="E46" s="210">
        <v>424</v>
      </c>
      <c r="F46" s="211">
        <v>0.0225172596919809</v>
      </c>
      <c r="G46" s="210">
        <v>143</v>
      </c>
      <c r="H46" s="211">
        <v>0.337264150943396</v>
      </c>
      <c r="I46" s="211"/>
      <c r="J46" s="211"/>
      <c r="K46" s="211"/>
      <c r="L46" s="136" t="s">
        <v>4770</v>
      </c>
      <c r="M46" s="141">
        <v>412</v>
      </c>
      <c r="N46" s="141">
        <v>141</v>
      </c>
      <c r="O46" s="142">
        <v>0.342233009708738</v>
      </c>
    </row>
    <row r="47" spans="1:15">
      <c r="A47" s="200">
        <v>45008</v>
      </c>
      <c r="B47" s="201" t="s">
        <v>17</v>
      </c>
      <c r="C47" s="202">
        <v>163</v>
      </c>
      <c r="D47" s="202"/>
      <c r="E47" s="201">
        <v>30</v>
      </c>
      <c r="F47" s="203">
        <v>0.184049079754601</v>
      </c>
      <c r="G47" s="202">
        <v>3</v>
      </c>
      <c r="H47" s="203">
        <v>0.1</v>
      </c>
      <c r="I47" s="203"/>
      <c r="J47" s="203"/>
      <c r="K47" s="203"/>
      <c r="L47" s="127" t="s">
        <v>4770</v>
      </c>
      <c r="M47" s="139">
        <v>30</v>
      </c>
      <c r="N47" s="139">
        <v>3</v>
      </c>
      <c r="O47" s="140">
        <v>0.1</v>
      </c>
    </row>
    <row r="48" spans="1:15">
      <c r="A48" s="200">
        <v>45008</v>
      </c>
      <c r="B48" s="201" t="s">
        <v>19</v>
      </c>
      <c r="C48" s="202">
        <v>1245</v>
      </c>
      <c r="D48" s="202"/>
      <c r="E48" s="201">
        <v>52</v>
      </c>
      <c r="F48" s="203">
        <v>0.0417670682730924</v>
      </c>
      <c r="G48" s="202">
        <v>24</v>
      </c>
      <c r="H48" s="203">
        <v>0.461538461538462</v>
      </c>
      <c r="I48" s="203"/>
      <c r="J48" s="203"/>
      <c r="K48" s="203"/>
      <c r="L48" s="127" t="s">
        <v>4770</v>
      </c>
      <c r="M48" s="139">
        <v>51</v>
      </c>
      <c r="N48" s="139">
        <v>24</v>
      </c>
      <c r="O48" s="140">
        <v>0.470588235294118</v>
      </c>
    </row>
    <row r="49" spans="1:15">
      <c r="A49" s="200">
        <v>45008</v>
      </c>
      <c r="B49" s="201" t="s">
        <v>21</v>
      </c>
      <c r="C49" s="204">
        <v>505</v>
      </c>
      <c r="D49" s="204"/>
      <c r="E49" s="201">
        <v>31</v>
      </c>
      <c r="F49" s="203">
        <v>0.0613861386138614</v>
      </c>
      <c r="G49" s="202">
        <v>17</v>
      </c>
      <c r="H49" s="203">
        <v>0.548387096774194</v>
      </c>
      <c r="I49" s="203"/>
      <c r="J49" s="203"/>
      <c r="K49" s="203"/>
      <c r="L49" s="127" t="s">
        <v>4770</v>
      </c>
      <c r="M49" s="139">
        <v>31</v>
      </c>
      <c r="N49" s="139">
        <v>17</v>
      </c>
      <c r="O49" s="140">
        <v>0.548387096774194</v>
      </c>
    </row>
    <row r="50" spans="1:15">
      <c r="A50" s="200">
        <v>45008</v>
      </c>
      <c r="B50" s="201" t="s">
        <v>22</v>
      </c>
      <c r="C50" s="204">
        <v>5227</v>
      </c>
      <c r="D50" s="204"/>
      <c r="E50" s="201">
        <v>170</v>
      </c>
      <c r="F50" s="203">
        <v>0.0325234360053568</v>
      </c>
      <c r="G50" s="202">
        <v>55</v>
      </c>
      <c r="H50" s="203">
        <v>0.323529411764706</v>
      </c>
      <c r="I50" s="203"/>
      <c r="J50" s="203"/>
      <c r="K50" s="203"/>
      <c r="L50" s="127" t="s">
        <v>4770</v>
      </c>
      <c r="M50" s="139">
        <v>168</v>
      </c>
      <c r="N50" s="139">
        <v>55</v>
      </c>
      <c r="O50" s="140">
        <v>0.327380952380952</v>
      </c>
    </row>
    <row r="51" spans="1:15">
      <c r="A51" s="200">
        <v>45008</v>
      </c>
      <c r="B51" s="201" t="s">
        <v>23</v>
      </c>
      <c r="C51" s="204">
        <v>4046</v>
      </c>
      <c r="D51" s="204"/>
      <c r="E51" s="201">
        <v>65</v>
      </c>
      <c r="F51" s="203">
        <v>0.0160652496292635</v>
      </c>
      <c r="G51" s="202">
        <v>22</v>
      </c>
      <c r="H51" s="203">
        <v>0.338461538461538</v>
      </c>
      <c r="I51" s="203"/>
      <c r="J51" s="203"/>
      <c r="K51" s="203"/>
      <c r="L51" s="127" t="s">
        <v>4770</v>
      </c>
      <c r="M51" s="139">
        <v>57</v>
      </c>
      <c r="N51" s="139">
        <v>22</v>
      </c>
      <c r="O51" s="140">
        <v>0.385964912280702</v>
      </c>
    </row>
    <row r="52" spans="1:15">
      <c r="A52" s="200">
        <v>45008</v>
      </c>
      <c r="B52" s="201" t="s">
        <v>24</v>
      </c>
      <c r="C52" s="204">
        <v>1069</v>
      </c>
      <c r="D52" s="204"/>
      <c r="E52" s="201">
        <v>18</v>
      </c>
      <c r="F52" s="203">
        <v>0.0168381665107577</v>
      </c>
      <c r="G52" s="202">
        <v>8</v>
      </c>
      <c r="H52" s="203">
        <v>0.444444444444444</v>
      </c>
      <c r="I52" s="203"/>
      <c r="J52" s="203"/>
      <c r="K52" s="203"/>
      <c r="L52" s="127" t="s">
        <v>4770</v>
      </c>
      <c r="M52" s="139">
        <v>18</v>
      </c>
      <c r="N52" s="139">
        <v>8</v>
      </c>
      <c r="O52" s="140">
        <v>0.444444444444444</v>
      </c>
    </row>
    <row r="53" spans="1:15">
      <c r="A53" s="200">
        <v>45008</v>
      </c>
      <c r="B53" s="201" t="s">
        <v>25</v>
      </c>
      <c r="C53" s="204">
        <v>4744</v>
      </c>
      <c r="D53" s="204"/>
      <c r="E53" s="201">
        <v>36</v>
      </c>
      <c r="F53" s="203">
        <v>0.0075885328836425</v>
      </c>
      <c r="G53" s="202">
        <v>17</v>
      </c>
      <c r="H53" s="203">
        <v>0.472222222222222</v>
      </c>
      <c r="I53" s="203"/>
      <c r="J53" s="203"/>
      <c r="K53" s="203"/>
      <c r="L53" s="127" t="s">
        <v>4770</v>
      </c>
      <c r="M53" s="139">
        <v>36</v>
      </c>
      <c r="N53" s="139">
        <v>17</v>
      </c>
      <c r="O53" s="140">
        <v>0.472222222222222</v>
      </c>
    </row>
    <row r="54" spans="1:15">
      <c r="A54" s="200">
        <v>45008</v>
      </c>
      <c r="B54" s="205" t="s">
        <v>4771</v>
      </c>
      <c r="C54" s="206">
        <v>0</v>
      </c>
      <c r="D54" s="206"/>
      <c r="E54" s="207">
        <v>0</v>
      </c>
      <c r="F54" s="203">
        <v>0</v>
      </c>
      <c r="G54" s="208">
        <v>0</v>
      </c>
      <c r="H54" s="203">
        <v>0</v>
      </c>
      <c r="I54" s="203"/>
      <c r="J54" s="203"/>
      <c r="K54" s="203"/>
      <c r="L54" s="127" t="s">
        <v>4770</v>
      </c>
      <c r="M54" s="139">
        <v>0</v>
      </c>
      <c r="N54" s="139">
        <v>0</v>
      </c>
      <c r="O54" s="140">
        <v>0</v>
      </c>
    </row>
    <row r="55" spans="1:15">
      <c r="A55" s="200">
        <v>45008</v>
      </c>
      <c r="B55" s="207" t="s">
        <v>26</v>
      </c>
      <c r="C55" s="206">
        <v>403</v>
      </c>
      <c r="D55" s="206"/>
      <c r="E55" s="207">
        <v>44</v>
      </c>
      <c r="F55" s="203">
        <v>0.109181141439206</v>
      </c>
      <c r="G55" s="208">
        <v>15</v>
      </c>
      <c r="H55" s="203">
        <v>0.340909090909091</v>
      </c>
      <c r="I55" s="203"/>
      <c r="J55" s="203"/>
      <c r="K55" s="203"/>
      <c r="L55" s="127" t="s">
        <v>4770</v>
      </c>
      <c r="M55" s="139">
        <v>44</v>
      </c>
      <c r="N55" s="139">
        <v>15</v>
      </c>
      <c r="O55" s="140">
        <v>0.340909090909091</v>
      </c>
    </row>
    <row r="56" spans="1:15">
      <c r="A56" s="200">
        <v>45008</v>
      </c>
      <c r="B56" s="207" t="s">
        <v>27</v>
      </c>
      <c r="C56" s="206">
        <v>59</v>
      </c>
      <c r="D56" s="206"/>
      <c r="E56" s="207">
        <v>1</v>
      </c>
      <c r="F56" s="203">
        <v>0.0169491525423729</v>
      </c>
      <c r="G56" s="208">
        <v>0</v>
      </c>
      <c r="H56" s="203">
        <v>0</v>
      </c>
      <c r="I56" s="203"/>
      <c r="J56" s="203"/>
      <c r="K56" s="203"/>
      <c r="L56" s="127" t="s">
        <v>4770</v>
      </c>
      <c r="M56" s="139">
        <v>1</v>
      </c>
      <c r="N56" s="139">
        <v>0</v>
      </c>
      <c r="O56" s="140">
        <v>0</v>
      </c>
    </row>
    <row r="57" spans="1:15">
      <c r="A57" s="200">
        <v>45008</v>
      </c>
      <c r="B57" s="207" t="s">
        <v>28</v>
      </c>
      <c r="C57" s="206">
        <v>0</v>
      </c>
      <c r="D57" s="206"/>
      <c r="E57" s="207">
        <v>0</v>
      </c>
      <c r="F57" s="203">
        <v>0</v>
      </c>
      <c r="G57" s="208">
        <v>0</v>
      </c>
      <c r="H57" s="203">
        <v>0</v>
      </c>
      <c r="I57" s="203"/>
      <c r="J57" s="203"/>
      <c r="K57" s="203"/>
      <c r="L57" s="127" t="s">
        <v>4770</v>
      </c>
      <c r="M57" s="139">
        <v>0</v>
      </c>
      <c r="N57" s="139">
        <v>0</v>
      </c>
      <c r="O57" s="140">
        <v>0</v>
      </c>
    </row>
    <row r="58" spans="1:15">
      <c r="A58" s="200">
        <v>45008</v>
      </c>
      <c r="B58" s="207" t="s">
        <v>29</v>
      </c>
      <c r="C58" s="206">
        <v>0</v>
      </c>
      <c r="D58" s="206"/>
      <c r="E58" s="207">
        <v>0</v>
      </c>
      <c r="F58" s="203">
        <v>0</v>
      </c>
      <c r="G58" s="208">
        <v>0</v>
      </c>
      <c r="H58" s="203">
        <v>0</v>
      </c>
      <c r="I58" s="203"/>
      <c r="J58" s="203"/>
      <c r="K58" s="203"/>
      <c r="L58" s="127" t="s">
        <v>4770</v>
      </c>
      <c r="M58" s="139">
        <v>0</v>
      </c>
      <c r="N58" s="139">
        <v>0</v>
      </c>
      <c r="O58" s="140">
        <v>0</v>
      </c>
    </row>
    <row r="59" spans="1:15">
      <c r="A59" s="200">
        <v>45008</v>
      </c>
      <c r="B59" s="207" t="s">
        <v>30</v>
      </c>
      <c r="C59" s="206">
        <v>0</v>
      </c>
      <c r="D59" s="206"/>
      <c r="E59" s="207">
        <v>0</v>
      </c>
      <c r="F59" s="203">
        <v>0</v>
      </c>
      <c r="G59" s="208">
        <v>0</v>
      </c>
      <c r="H59" s="203">
        <v>0</v>
      </c>
      <c r="I59" s="203"/>
      <c r="J59" s="203"/>
      <c r="K59" s="203"/>
      <c r="L59" s="127" t="s">
        <v>4770</v>
      </c>
      <c r="M59" s="139">
        <v>0</v>
      </c>
      <c r="N59" s="139">
        <v>0</v>
      </c>
      <c r="O59" s="140">
        <v>0</v>
      </c>
    </row>
    <row r="60" spans="1:15">
      <c r="A60" s="200">
        <v>45008</v>
      </c>
      <c r="B60" s="207" t="s">
        <v>103</v>
      </c>
      <c r="C60" s="206" t="s">
        <v>4772</v>
      </c>
      <c r="D60" s="206"/>
      <c r="E60" s="207">
        <v>0</v>
      </c>
      <c r="F60" s="203" t="s">
        <v>4772</v>
      </c>
      <c r="G60" s="208">
        <v>0</v>
      </c>
      <c r="H60" s="203">
        <v>0</v>
      </c>
      <c r="I60" s="203"/>
      <c r="J60" s="203"/>
      <c r="K60" s="203"/>
      <c r="L60" s="127" t="s">
        <v>4770</v>
      </c>
      <c r="M60" s="139">
        <v>0</v>
      </c>
      <c r="N60" s="139">
        <v>0</v>
      </c>
      <c r="O60" s="140">
        <v>0</v>
      </c>
    </row>
    <row r="61" spans="1:15">
      <c r="A61" s="200">
        <v>45008</v>
      </c>
      <c r="B61" s="209" t="s">
        <v>39</v>
      </c>
      <c r="C61" s="210">
        <v>17461</v>
      </c>
      <c r="D61" s="210"/>
      <c r="E61" s="210">
        <v>447</v>
      </c>
      <c r="F61" s="211">
        <v>0.0255999083672184</v>
      </c>
      <c r="G61" s="210">
        <v>161</v>
      </c>
      <c r="H61" s="211">
        <v>0.360178970917226</v>
      </c>
      <c r="I61" s="211"/>
      <c r="J61" s="211"/>
      <c r="K61" s="211"/>
      <c r="L61" s="136" t="s">
        <v>4770</v>
      </c>
      <c r="M61" s="141">
        <v>436</v>
      </c>
      <c r="N61" s="141">
        <v>161</v>
      </c>
      <c r="O61" s="142">
        <v>0.369266055045872</v>
      </c>
    </row>
    <row r="62" spans="1:15">
      <c r="A62" s="200">
        <v>45009</v>
      </c>
      <c r="B62" s="201" t="s">
        <v>17</v>
      </c>
      <c r="C62" s="202">
        <v>183</v>
      </c>
      <c r="D62" s="202"/>
      <c r="E62" s="201">
        <v>23</v>
      </c>
      <c r="F62" s="203">
        <v>0.12568306010929</v>
      </c>
      <c r="G62" s="202">
        <v>5</v>
      </c>
      <c r="H62" s="203">
        <v>0.217391304347826</v>
      </c>
      <c r="I62" s="203"/>
      <c r="J62" s="203"/>
      <c r="K62" s="203"/>
      <c r="L62" s="127" t="s">
        <v>4770</v>
      </c>
      <c r="M62" s="139">
        <v>23</v>
      </c>
      <c r="N62" s="139">
        <v>5</v>
      </c>
      <c r="O62" s="140">
        <v>0.217391304347826</v>
      </c>
    </row>
    <row r="63" spans="1:15">
      <c r="A63" s="200">
        <v>45009</v>
      </c>
      <c r="B63" s="201" t="s">
        <v>19</v>
      </c>
      <c r="C63" s="202">
        <v>1491</v>
      </c>
      <c r="D63" s="202"/>
      <c r="E63" s="201">
        <v>59</v>
      </c>
      <c r="F63" s="203">
        <v>0.039570757880617</v>
      </c>
      <c r="G63" s="202">
        <v>23</v>
      </c>
      <c r="H63" s="203">
        <v>0.389830508474576</v>
      </c>
      <c r="I63" s="203"/>
      <c r="J63" s="203"/>
      <c r="K63" s="203"/>
      <c r="L63" s="127" t="s">
        <v>4770</v>
      </c>
      <c r="M63" s="139">
        <v>57</v>
      </c>
      <c r="N63" s="139">
        <v>23</v>
      </c>
      <c r="O63" s="140">
        <v>0.403508771929825</v>
      </c>
    </row>
    <row r="64" spans="1:15">
      <c r="A64" s="200">
        <v>45009</v>
      </c>
      <c r="B64" s="201" t="s">
        <v>21</v>
      </c>
      <c r="C64" s="204">
        <v>696</v>
      </c>
      <c r="D64" s="204"/>
      <c r="E64" s="201">
        <v>41</v>
      </c>
      <c r="F64" s="203">
        <v>0.0589080459770115</v>
      </c>
      <c r="G64" s="202">
        <v>11</v>
      </c>
      <c r="H64" s="203">
        <v>0.268292682926829</v>
      </c>
      <c r="I64" s="203"/>
      <c r="J64" s="203"/>
      <c r="K64" s="203"/>
      <c r="L64" s="127" t="s">
        <v>4770</v>
      </c>
      <c r="M64" s="139">
        <v>41</v>
      </c>
      <c r="N64" s="139">
        <v>11</v>
      </c>
      <c r="O64" s="140">
        <v>0.268292682926829</v>
      </c>
    </row>
    <row r="65" spans="1:15">
      <c r="A65" s="200">
        <v>45009</v>
      </c>
      <c r="B65" s="201" t="s">
        <v>22</v>
      </c>
      <c r="C65" s="204">
        <v>5218</v>
      </c>
      <c r="D65" s="204"/>
      <c r="E65" s="201">
        <v>169</v>
      </c>
      <c r="F65" s="203">
        <v>0.032387888079724</v>
      </c>
      <c r="G65" s="202">
        <v>69</v>
      </c>
      <c r="H65" s="203">
        <v>0.408284023668639</v>
      </c>
      <c r="I65" s="203"/>
      <c r="J65" s="203"/>
      <c r="K65" s="203"/>
      <c r="L65" s="127" t="s">
        <v>4770</v>
      </c>
      <c r="M65" s="139">
        <v>165</v>
      </c>
      <c r="N65" s="139">
        <v>67</v>
      </c>
      <c r="O65" s="140">
        <v>0.406060606060606</v>
      </c>
    </row>
    <row r="66" spans="1:15">
      <c r="A66" s="200">
        <v>45009</v>
      </c>
      <c r="B66" s="201" t="s">
        <v>23</v>
      </c>
      <c r="C66" s="204">
        <v>3739</v>
      </c>
      <c r="D66" s="204"/>
      <c r="E66" s="201">
        <v>56</v>
      </c>
      <c r="F66" s="203">
        <v>0.0149772666488366</v>
      </c>
      <c r="G66" s="202">
        <v>19</v>
      </c>
      <c r="H66" s="203">
        <v>0.339285714285714</v>
      </c>
      <c r="I66" s="203"/>
      <c r="J66" s="203"/>
      <c r="K66" s="203"/>
      <c r="L66" s="127" t="s">
        <v>4770</v>
      </c>
      <c r="M66" s="139">
        <v>50</v>
      </c>
      <c r="N66" s="139">
        <v>19</v>
      </c>
      <c r="O66" s="140">
        <v>0.38</v>
      </c>
    </row>
    <row r="67" spans="1:15">
      <c r="A67" s="200">
        <v>45009</v>
      </c>
      <c r="B67" s="201" t="s">
        <v>24</v>
      </c>
      <c r="C67" s="204">
        <v>937</v>
      </c>
      <c r="D67" s="204"/>
      <c r="E67" s="201">
        <v>18</v>
      </c>
      <c r="F67" s="203">
        <v>0.0192102454642476</v>
      </c>
      <c r="G67" s="202">
        <v>6</v>
      </c>
      <c r="H67" s="203">
        <v>0.333333333333333</v>
      </c>
      <c r="I67" s="203"/>
      <c r="J67" s="203"/>
      <c r="K67" s="203"/>
      <c r="L67" s="127" t="s">
        <v>4770</v>
      </c>
      <c r="M67" s="139">
        <v>18</v>
      </c>
      <c r="N67" s="139">
        <v>6</v>
      </c>
      <c r="O67" s="140">
        <v>0.333333333333333</v>
      </c>
    </row>
    <row r="68" spans="1:15">
      <c r="A68" s="200">
        <v>45009</v>
      </c>
      <c r="B68" s="201" t="s">
        <v>25</v>
      </c>
      <c r="C68" s="204">
        <v>4785</v>
      </c>
      <c r="D68" s="204"/>
      <c r="E68" s="201">
        <v>37</v>
      </c>
      <c r="F68" s="203">
        <v>0.0077324973876698</v>
      </c>
      <c r="G68" s="202">
        <v>20</v>
      </c>
      <c r="H68" s="203">
        <v>0.540540540540541</v>
      </c>
      <c r="I68" s="203"/>
      <c r="J68" s="203"/>
      <c r="K68" s="203"/>
      <c r="L68" s="127" t="s">
        <v>4770</v>
      </c>
      <c r="M68" s="139">
        <v>37</v>
      </c>
      <c r="N68" s="139">
        <v>20</v>
      </c>
      <c r="O68" s="140">
        <v>0.540540540540541</v>
      </c>
    </row>
    <row r="69" spans="1:15">
      <c r="A69" s="200">
        <v>45009</v>
      </c>
      <c r="B69" s="205" t="s">
        <v>4771</v>
      </c>
      <c r="C69" s="206">
        <v>0</v>
      </c>
      <c r="D69" s="206"/>
      <c r="E69" s="207">
        <v>0</v>
      </c>
      <c r="F69" s="203">
        <v>0</v>
      </c>
      <c r="G69" s="208">
        <v>0</v>
      </c>
      <c r="H69" s="203">
        <v>0</v>
      </c>
      <c r="I69" s="203"/>
      <c r="J69" s="203"/>
      <c r="K69" s="203"/>
      <c r="L69" s="127" t="s">
        <v>4770</v>
      </c>
      <c r="M69" s="139">
        <v>0</v>
      </c>
      <c r="N69" s="139">
        <v>0</v>
      </c>
      <c r="O69" s="140">
        <v>0</v>
      </c>
    </row>
    <row r="70" spans="1:15">
      <c r="A70" s="200">
        <v>45009</v>
      </c>
      <c r="B70" s="207" t="s">
        <v>26</v>
      </c>
      <c r="C70" s="206">
        <v>364</v>
      </c>
      <c r="D70" s="206"/>
      <c r="E70" s="207">
        <v>47</v>
      </c>
      <c r="F70" s="203">
        <v>0.129120879120879</v>
      </c>
      <c r="G70" s="208">
        <v>13</v>
      </c>
      <c r="H70" s="203">
        <v>0.276595744680851</v>
      </c>
      <c r="I70" s="203"/>
      <c r="J70" s="203"/>
      <c r="K70" s="203"/>
      <c r="L70" s="127" t="s">
        <v>4770</v>
      </c>
      <c r="M70" s="139">
        <v>47</v>
      </c>
      <c r="N70" s="139">
        <v>13</v>
      </c>
      <c r="O70" s="140">
        <v>0.276595744680851</v>
      </c>
    </row>
    <row r="71" spans="1:15">
      <c r="A71" s="200">
        <v>45009</v>
      </c>
      <c r="B71" s="207" t="s">
        <v>27</v>
      </c>
      <c r="C71" s="206">
        <v>22</v>
      </c>
      <c r="D71" s="206"/>
      <c r="E71" s="207">
        <v>0</v>
      </c>
      <c r="F71" s="203">
        <v>0</v>
      </c>
      <c r="G71" s="208">
        <v>0</v>
      </c>
      <c r="H71" s="203">
        <v>0</v>
      </c>
      <c r="I71" s="203"/>
      <c r="J71" s="203"/>
      <c r="K71" s="203"/>
      <c r="L71" s="127" t="s">
        <v>4770</v>
      </c>
      <c r="M71" s="139">
        <v>0</v>
      </c>
      <c r="N71" s="139">
        <v>0</v>
      </c>
      <c r="O71" s="140">
        <v>0</v>
      </c>
    </row>
    <row r="72" spans="1:15">
      <c r="A72" s="200">
        <v>45009</v>
      </c>
      <c r="B72" s="207" t="s">
        <v>28</v>
      </c>
      <c r="C72" s="206">
        <v>0</v>
      </c>
      <c r="D72" s="206"/>
      <c r="E72" s="207">
        <v>0</v>
      </c>
      <c r="F72" s="203">
        <v>0</v>
      </c>
      <c r="G72" s="208">
        <v>0</v>
      </c>
      <c r="H72" s="203">
        <v>0</v>
      </c>
      <c r="I72" s="203"/>
      <c r="J72" s="203"/>
      <c r="K72" s="203"/>
      <c r="L72" s="127" t="s">
        <v>4770</v>
      </c>
      <c r="M72" s="139">
        <v>0</v>
      </c>
      <c r="N72" s="139">
        <v>0</v>
      </c>
      <c r="O72" s="140">
        <v>0</v>
      </c>
    </row>
    <row r="73" spans="1:15">
      <c r="A73" s="200">
        <v>45009</v>
      </c>
      <c r="B73" s="207" t="s">
        <v>29</v>
      </c>
      <c r="C73" s="206">
        <v>1</v>
      </c>
      <c r="D73" s="206"/>
      <c r="E73" s="207">
        <v>0</v>
      </c>
      <c r="F73" s="203">
        <v>0</v>
      </c>
      <c r="G73" s="208">
        <v>0</v>
      </c>
      <c r="H73" s="203">
        <v>0</v>
      </c>
      <c r="I73" s="203"/>
      <c r="J73" s="203"/>
      <c r="K73" s="203"/>
      <c r="L73" s="127" t="s">
        <v>4770</v>
      </c>
      <c r="M73" s="139">
        <v>0</v>
      </c>
      <c r="N73" s="139">
        <v>0</v>
      </c>
      <c r="O73" s="140">
        <v>0</v>
      </c>
    </row>
    <row r="74" spans="1:15">
      <c r="A74" s="200">
        <v>45009</v>
      </c>
      <c r="B74" s="207" t="s">
        <v>30</v>
      </c>
      <c r="C74" s="206">
        <v>0</v>
      </c>
      <c r="D74" s="206"/>
      <c r="E74" s="207">
        <v>0</v>
      </c>
      <c r="F74" s="203">
        <v>0</v>
      </c>
      <c r="G74" s="208">
        <v>0</v>
      </c>
      <c r="H74" s="203">
        <v>0</v>
      </c>
      <c r="I74" s="203"/>
      <c r="J74" s="203"/>
      <c r="K74" s="203"/>
      <c r="L74" s="127" t="s">
        <v>4770</v>
      </c>
      <c r="M74" s="139">
        <v>0</v>
      </c>
      <c r="N74" s="139">
        <v>0</v>
      </c>
      <c r="O74" s="140">
        <v>0</v>
      </c>
    </row>
    <row r="75" spans="1:15">
      <c r="A75" s="200">
        <v>45009</v>
      </c>
      <c r="B75" s="207" t="s">
        <v>103</v>
      </c>
      <c r="C75" s="206" t="s">
        <v>4772</v>
      </c>
      <c r="D75" s="206"/>
      <c r="E75" s="207">
        <v>0</v>
      </c>
      <c r="F75" s="203" t="s">
        <v>4772</v>
      </c>
      <c r="G75" s="208">
        <v>0</v>
      </c>
      <c r="H75" s="203">
        <v>0</v>
      </c>
      <c r="I75" s="203"/>
      <c r="J75" s="203"/>
      <c r="K75" s="203"/>
      <c r="L75" s="127" t="s">
        <v>4770</v>
      </c>
      <c r="M75" s="139">
        <v>0</v>
      </c>
      <c r="N75" s="139">
        <v>0</v>
      </c>
      <c r="O75" s="140">
        <v>0</v>
      </c>
    </row>
    <row r="76" spans="1:15">
      <c r="A76" s="200">
        <v>45009</v>
      </c>
      <c r="B76" s="209" t="s">
        <v>39</v>
      </c>
      <c r="C76" s="210">
        <v>17436</v>
      </c>
      <c r="D76" s="210"/>
      <c r="E76" s="210">
        <v>450</v>
      </c>
      <c r="F76" s="211">
        <v>0.0258086717136958</v>
      </c>
      <c r="G76" s="210">
        <v>166</v>
      </c>
      <c r="H76" s="211">
        <v>0.368888888888889</v>
      </c>
      <c r="I76" s="211"/>
      <c r="J76" s="211"/>
      <c r="K76" s="211"/>
      <c r="L76" s="136" t="s">
        <v>4770</v>
      </c>
      <c r="M76" s="141">
        <v>438</v>
      </c>
      <c r="N76" s="141">
        <v>164</v>
      </c>
      <c r="O76" s="142">
        <v>0.374429223744292</v>
      </c>
    </row>
    <row r="77" spans="1:15">
      <c r="A77" s="200">
        <v>45010</v>
      </c>
      <c r="B77" s="201" t="s">
        <v>17</v>
      </c>
      <c r="C77" s="202">
        <v>153</v>
      </c>
      <c r="D77" s="202"/>
      <c r="E77" s="201">
        <v>35</v>
      </c>
      <c r="F77" s="203">
        <v>0.228758169934641</v>
      </c>
      <c r="G77" s="202">
        <v>3</v>
      </c>
      <c r="H77" s="203">
        <v>0.0857142857142857</v>
      </c>
      <c r="I77" s="203"/>
      <c r="J77" s="203"/>
      <c r="K77" s="203"/>
      <c r="L77" s="127" t="s">
        <v>4770</v>
      </c>
      <c r="M77" s="139">
        <v>34</v>
      </c>
      <c r="N77" s="139">
        <v>3</v>
      </c>
      <c r="O77" s="140">
        <v>0.0882352941176471</v>
      </c>
    </row>
    <row r="78" spans="1:15">
      <c r="A78" s="200">
        <v>45010</v>
      </c>
      <c r="B78" s="201" t="s">
        <v>19</v>
      </c>
      <c r="C78" s="202">
        <v>1644</v>
      </c>
      <c r="D78" s="202"/>
      <c r="E78" s="201">
        <v>86</v>
      </c>
      <c r="F78" s="203">
        <v>0.0523114355231144</v>
      </c>
      <c r="G78" s="202">
        <v>31</v>
      </c>
      <c r="H78" s="203">
        <v>0.36046511627907</v>
      </c>
      <c r="I78" s="203"/>
      <c r="J78" s="203"/>
      <c r="K78" s="203"/>
      <c r="L78" s="127" t="s">
        <v>4770</v>
      </c>
      <c r="M78" s="139">
        <v>86</v>
      </c>
      <c r="N78" s="139">
        <v>31</v>
      </c>
      <c r="O78" s="140">
        <v>0.36046511627907</v>
      </c>
    </row>
    <row r="79" spans="1:15">
      <c r="A79" s="200">
        <v>45010</v>
      </c>
      <c r="B79" s="201" t="s">
        <v>21</v>
      </c>
      <c r="C79" s="204">
        <v>1027</v>
      </c>
      <c r="D79" s="204"/>
      <c r="E79" s="201">
        <v>44</v>
      </c>
      <c r="F79" s="203">
        <v>0.0428432327166504</v>
      </c>
      <c r="G79" s="202">
        <v>13</v>
      </c>
      <c r="H79" s="203">
        <v>0.295454545454545</v>
      </c>
      <c r="I79" s="203"/>
      <c r="J79" s="203"/>
      <c r="K79" s="203"/>
      <c r="L79" s="127" t="s">
        <v>4770</v>
      </c>
      <c r="M79" s="139">
        <v>44</v>
      </c>
      <c r="N79" s="139">
        <v>13</v>
      </c>
      <c r="O79" s="140">
        <v>0.295454545454545</v>
      </c>
    </row>
    <row r="80" spans="1:15">
      <c r="A80" s="200">
        <v>45010</v>
      </c>
      <c r="B80" s="201" t="s">
        <v>22</v>
      </c>
      <c r="C80" s="204">
        <v>5104</v>
      </c>
      <c r="D80" s="204"/>
      <c r="E80" s="201">
        <v>135</v>
      </c>
      <c r="F80" s="203">
        <v>0.0264498432601881</v>
      </c>
      <c r="G80" s="202">
        <v>53</v>
      </c>
      <c r="H80" s="203">
        <v>0.392592592592593</v>
      </c>
      <c r="I80" s="203"/>
      <c r="J80" s="203"/>
      <c r="K80" s="203"/>
      <c r="L80" s="127" t="s">
        <v>4770</v>
      </c>
      <c r="M80" s="139">
        <v>135</v>
      </c>
      <c r="N80" s="139">
        <v>53</v>
      </c>
      <c r="O80" s="140">
        <v>0.392592592592593</v>
      </c>
    </row>
    <row r="81" spans="1:15">
      <c r="A81" s="200">
        <v>45010</v>
      </c>
      <c r="B81" s="201" t="s">
        <v>23</v>
      </c>
      <c r="C81" s="204">
        <v>3435</v>
      </c>
      <c r="D81" s="204"/>
      <c r="E81" s="201">
        <v>48</v>
      </c>
      <c r="F81" s="203">
        <v>0.0139737991266376</v>
      </c>
      <c r="G81" s="202">
        <v>18</v>
      </c>
      <c r="H81" s="203">
        <v>0.375</v>
      </c>
      <c r="I81" s="203"/>
      <c r="J81" s="203"/>
      <c r="K81" s="203"/>
      <c r="L81" s="127" t="s">
        <v>4770</v>
      </c>
      <c r="M81" s="139">
        <v>42</v>
      </c>
      <c r="N81" s="139">
        <v>18</v>
      </c>
      <c r="O81" s="140">
        <v>0.428571428571429</v>
      </c>
    </row>
    <row r="82" spans="1:15">
      <c r="A82" s="200">
        <v>45010</v>
      </c>
      <c r="B82" s="201" t="s">
        <v>24</v>
      </c>
      <c r="C82" s="204">
        <v>743</v>
      </c>
      <c r="D82" s="204"/>
      <c r="E82" s="201">
        <v>22</v>
      </c>
      <c r="F82" s="203">
        <v>0.0296096904441454</v>
      </c>
      <c r="G82" s="202">
        <v>7</v>
      </c>
      <c r="H82" s="203">
        <v>0.318181818181818</v>
      </c>
      <c r="I82" s="203"/>
      <c r="J82" s="203"/>
      <c r="K82" s="203"/>
      <c r="L82" s="127" t="s">
        <v>4770</v>
      </c>
      <c r="M82" s="139">
        <v>22</v>
      </c>
      <c r="N82" s="139">
        <v>7</v>
      </c>
      <c r="O82" s="140">
        <v>0.318181818181818</v>
      </c>
    </row>
    <row r="83" spans="1:15">
      <c r="A83" s="200">
        <v>45010</v>
      </c>
      <c r="B83" s="201" t="s">
        <v>25</v>
      </c>
      <c r="C83" s="204">
        <v>4097</v>
      </c>
      <c r="D83" s="204"/>
      <c r="E83" s="201">
        <v>50</v>
      </c>
      <c r="F83" s="203">
        <v>0.0122040517451794</v>
      </c>
      <c r="G83" s="202">
        <v>19</v>
      </c>
      <c r="H83" s="203">
        <v>0.38</v>
      </c>
      <c r="I83" s="203"/>
      <c r="J83" s="203"/>
      <c r="K83" s="203"/>
      <c r="L83" s="127" t="s">
        <v>4770</v>
      </c>
      <c r="M83" s="139">
        <v>50</v>
      </c>
      <c r="N83" s="139">
        <v>19</v>
      </c>
      <c r="O83" s="140">
        <v>0.38</v>
      </c>
    </row>
    <row r="84" spans="1:15">
      <c r="A84" s="200">
        <v>45010</v>
      </c>
      <c r="B84" s="205" t="s">
        <v>4771</v>
      </c>
      <c r="C84" s="206">
        <v>0</v>
      </c>
      <c r="D84" s="206"/>
      <c r="E84" s="207">
        <v>0</v>
      </c>
      <c r="F84" s="203">
        <v>0</v>
      </c>
      <c r="G84" s="208">
        <v>0</v>
      </c>
      <c r="H84" s="203">
        <v>0</v>
      </c>
      <c r="I84" s="203"/>
      <c r="J84" s="203"/>
      <c r="K84" s="203"/>
      <c r="L84" s="127" t="s">
        <v>4770</v>
      </c>
      <c r="M84" s="139">
        <v>0</v>
      </c>
      <c r="N84" s="139">
        <v>0</v>
      </c>
      <c r="O84" s="140">
        <v>0</v>
      </c>
    </row>
    <row r="85" spans="1:15">
      <c r="A85" s="200">
        <v>45010</v>
      </c>
      <c r="B85" s="207" t="s">
        <v>26</v>
      </c>
      <c r="C85" s="206">
        <v>374</v>
      </c>
      <c r="D85" s="206"/>
      <c r="E85" s="207">
        <v>47</v>
      </c>
      <c r="F85" s="203">
        <v>0.125668449197861</v>
      </c>
      <c r="G85" s="208">
        <v>13</v>
      </c>
      <c r="H85" s="203">
        <v>0.276595744680851</v>
      </c>
      <c r="I85" s="203"/>
      <c r="J85" s="203"/>
      <c r="K85" s="203"/>
      <c r="L85" s="127" t="s">
        <v>4770</v>
      </c>
      <c r="M85" s="139">
        <v>47</v>
      </c>
      <c r="N85" s="139">
        <v>13</v>
      </c>
      <c r="O85" s="140">
        <v>0.276595744680851</v>
      </c>
    </row>
    <row r="86" spans="1:15">
      <c r="A86" s="200">
        <v>45010</v>
      </c>
      <c r="B86" s="207" t="s">
        <v>27</v>
      </c>
      <c r="C86" s="206">
        <v>30</v>
      </c>
      <c r="D86" s="206"/>
      <c r="E86" s="207">
        <v>0</v>
      </c>
      <c r="F86" s="203">
        <v>0</v>
      </c>
      <c r="G86" s="208">
        <v>0</v>
      </c>
      <c r="H86" s="203">
        <v>0</v>
      </c>
      <c r="I86" s="203"/>
      <c r="J86" s="203"/>
      <c r="K86" s="203"/>
      <c r="L86" s="127" t="s">
        <v>4770</v>
      </c>
      <c r="M86" s="139">
        <v>0</v>
      </c>
      <c r="N86" s="139">
        <v>0</v>
      </c>
      <c r="O86" s="140">
        <v>0</v>
      </c>
    </row>
    <row r="87" spans="1:15">
      <c r="A87" s="200">
        <v>45010</v>
      </c>
      <c r="B87" s="207" t="s">
        <v>28</v>
      </c>
      <c r="C87" s="206">
        <v>0</v>
      </c>
      <c r="D87" s="206"/>
      <c r="E87" s="207">
        <v>0</v>
      </c>
      <c r="F87" s="203">
        <v>0</v>
      </c>
      <c r="G87" s="208">
        <v>0</v>
      </c>
      <c r="H87" s="203">
        <v>0</v>
      </c>
      <c r="I87" s="203"/>
      <c r="J87" s="203"/>
      <c r="K87" s="203"/>
      <c r="L87" s="127" t="s">
        <v>4770</v>
      </c>
      <c r="M87" s="139">
        <v>0</v>
      </c>
      <c r="N87" s="139">
        <v>0</v>
      </c>
      <c r="O87" s="140">
        <v>0</v>
      </c>
    </row>
    <row r="88" spans="1:15">
      <c r="A88" s="200">
        <v>45010</v>
      </c>
      <c r="B88" s="207" t="s">
        <v>29</v>
      </c>
      <c r="C88" s="206">
        <v>0</v>
      </c>
      <c r="D88" s="206"/>
      <c r="E88" s="207">
        <v>1</v>
      </c>
      <c r="F88" s="203">
        <v>1</v>
      </c>
      <c r="G88" s="208">
        <v>0</v>
      </c>
      <c r="H88" s="203">
        <v>0</v>
      </c>
      <c r="I88" s="203"/>
      <c r="J88" s="203"/>
      <c r="K88" s="203"/>
      <c r="L88" s="127" t="s">
        <v>4770</v>
      </c>
      <c r="M88" s="139">
        <v>1</v>
      </c>
      <c r="N88" s="139">
        <v>0</v>
      </c>
      <c r="O88" s="140">
        <v>0</v>
      </c>
    </row>
    <row r="89" spans="1:15">
      <c r="A89" s="200">
        <v>45010</v>
      </c>
      <c r="B89" s="207" t="s">
        <v>30</v>
      </c>
      <c r="C89" s="206">
        <v>0</v>
      </c>
      <c r="D89" s="206"/>
      <c r="E89" s="207">
        <v>0</v>
      </c>
      <c r="F89" s="203">
        <v>0</v>
      </c>
      <c r="G89" s="208">
        <v>0</v>
      </c>
      <c r="H89" s="203">
        <v>0</v>
      </c>
      <c r="I89" s="203"/>
      <c r="J89" s="203"/>
      <c r="K89" s="203"/>
      <c r="L89" s="127" t="s">
        <v>4770</v>
      </c>
      <c r="M89" s="139">
        <v>0</v>
      </c>
      <c r="N89" s="139">
        <v>0</v>
      </c>
      <c r="O89" s="140">
        <v>0</v>
      </c>
    </row>
    <row r="90" spans="1:15">
      <c r="A90" s="200">
        <v>45010</v>
      </c>
      <c r="B90" s="207" t="s">
        <v>103</v>
      </c>
      <c r="C90" s="206" t="s">
        <v>4772</v>
      </c>
      <c r="D90" s="206"/>
      <c r="E90" s="207">
        <v>0</v>
      </c>
      <c r="F90" s="203" t="s">
        <v>4772</v>
      </c>
      <c r="G90" s="208">
        <v>0</v>
      </c>
      <c r="H90" s="203">
        <v>0</v>
      </c>
      <c r="I90" s="203"/>
      <c r="J90" s="203"/>
      <c r="K90" s="203"/>
      <c r="L90" s="127" t="s">
        <v>4770</v>
      </c>
      <c r="M90" s="139">
        <v>0</v>
      </c>
      <c r="N90" s="139">
        <v>0</v>
      </c>
      <c r="O90" s="140">
        <v>0</v>
      </c>
    </row>
    <row r="91" spans="1:15">
      <c r="A91" s="200">
        <v>45010</v>
      </c>
      <c r="B91" s="209" t="s">
        <v>39</v>
      </c>
      <c r="C91" s="210">
        <v>16607</v>
      </c>
      <c r="D91" s="210"/>
      <c r="E91" s="210">
        <v>467</v>
      </c>
      <c r="F91" s="211">
        <v>0.0281206720057807</v>
      </c>
      <c r="G91" s="210">
        <v>157</v>
      </c>
      <c r="H91" s="211">
        <v>0.336188436830835</v>
      </c>
      <c r="I91" s="211"/>
      <c r="J91" s="211"/>
      <c r="K91" s="211"/>
      <c r="L91" s="136" t="s">
        <v>4770</v>
      </c>
      <c r="M91" s="141">
        <v>460</v>
      </c>
      <c r="N91" s="141">
        <v>157</v>
      </c>
      <c r="O91" s="142">
        <v>0.341304347826087</v>
      </c>
    </row>
    <row r="92" spans="1:15">
      <c r="A92" s="200">
        <v>45011</v>
      </c>
      <c r="B92" s="201" t="s">
        <v>17</v>
      </c>
      <c r="C92" s="202">
        <v>176</v>
      </c>
      <c r="D92" s="202"/>
      <c r="E92" s="201">
        <v>27</v>
      </c>
      <c r="F92" s="203">
        <v>0.153409090909091</v>
      </c>
      <c r="G92" s="202">
        <v>4</v>
      </c>
      <c r="H92" s="203">
        <v>0.148148148148148</v>
      </c>
      <c r="I92" s="203"/>
      <c r="J92" s="203"/>
      <c r="K92" s="203"/>
      <c r="L92" s="127" t="s">
        <v>4770</v>
      </c>
      <c r="M92" s="139">
        <v>27</v>
      </c>
      <c r="N92" s="139">
        <v>4</v>
      </c>
      <c r="O92" s="140">
        <v>0.148148148148148</v>
      </c>
    </row>
    <row r="93" spans="1:15">
      <c r="A93" s="200">
        <v>45011</v>
      </c>
      <c r="B93" s="201" t="s">
        <v>19</v>
      </c>
      <c r="C93" s="202">
        <v>1756</v>
      </c>
      <c r="D93" s="202"/>
      <c r="E93" s="201">
        <v>83</v>
      </c>
      <c r="F93" s="203">
        <v>0.0472665148063781</v>
      </c>
      <c r="G93" s="202">
        <v>39</v>
      </c>
      <c r="H93" s="203">
        <v>0.469879518072289</v>
      </c>
      <c r="I93" s="203"/>
      <c r="J93" s="203"/>
      <c r="K93" s="203"/>
      <c r="L93" s="127" t="s">
        <v>4770</v>
      </c>
      <c r="M93" s="139">
        <v>83</v>
      </c>
      <c r="N93" s="139">
        <v>39</v>
      </c>
      <c r="O93" s="140">
        <v>0.469879518072289</v>
      </c>
    </row>
    <row r="94" spans="1:15">
      <c r="A94" s="200">
        <v>45011</v>
      </c>
      <c r="B94" s="201" t="s">
        <v>21</v>
      </c>
      <c r="C94" s="204">
        <v>1092</v>
      </c>
      <c r="D94" s="204"/>
      <c r="E94" s="201">
        <v>32</v>
      </c>
      <c r="F94" s="203">
        <v>0.0293040293040293</v>
      </c>
      <c r="G94" s="202">
        <v>13</v>
      </c>
      <c r="H94" s="203">
        <v>0.40625</v>
      </c>
      <c r="I94" s="203"/>
      <c r="J94" s="203"/>
      <c r="K94" s="203"/>
      <c r="L94" s="127" t="s">
        <v>4770</v>
      </c>
      <c r="M94" s="139">
        <v>32</v>
      </c>
      <c r="N94" s="139">
        <v>13</v>
      </c>
      <c r="O94" s="140">
        <v>0.40625</v>
      </c>
    </row>
    <row r="95" spans="1:15">
      <c r="A95" s="200">
        <v>45011</v>
      </c>
      <c r="B95" s="201" t="s">
        <v>22</v>
      </c>
      <c r="C95" s="204">
        <v>4810</v>
      </c>
      <c r="D95" s="204"/>
      <c r="E95" s="201">
        <v>124</v>
      </c>
      <c r="F95" s="203">
        <v>0.0257796257796258</v>
      </c>
      <c r="G95" s="202">
        <v>35</v>
      </c>
      <c r="H95" s="203">
        <v>0.282258064516129</v>
      </c>
      <c r="I95" s="203"/>
      <c r="J95" s="203"/>
      <c r="K95" s="203"/>
      <c r="L95" s="127" t="s">
        <v>4770</v>
      </c>
      <c r="M95" s="139">
        <v>122</v>
      </c>
      <c r="N95" s="139">
        <v>35</v>
      </c>
      <c r="O95" s="140">
        <v>0.286885245901639</v>
      </c>
    </row>
    <row r="96" spans="1:15">
      <c r="A96" s="200">
        <v>45011</v>
      </c>
      <c r="B96" s="201" t="s">
        <v>23</v>
      </c>
      <c r="C96" s="204">
        <v>3163</v>
      </c>
      <c r="D96" s="204"/>
      <c r="E96" s="201">
        <v>43</v>
      </c>
      <c r="F96" s="203">
        <v>0.0135946885867847</v>
      </c>
      <c r="G96" s="202">
        <v>15</v>
      </c>
      <c r="H96" s="203">
        <v>0.348837209302326</v>
      </c>
      <c r="I96" s="203"/>
      <c r="J96" s="203"/>
      <c r="K96" s="203"/>
      <c r="L96" s="127" t="s">
        <v>4770</v>
      </c>
      <c r="M96" s="139">
        <v>35</v>
      </c>
      <c r="N96" s="139">
        <v>15</v>
      </c>
      <c r="O96" s="140">
        <v>0.428571428571429</v>
      </c>
    </row>
    <row r="97" spans="1:15">
      <c r="A97" s="200">
        <v>45011</v>
      </c>
      <c r="B97" s="201" t="s">
        <v>24</v>
      </c>
      <c r="C97" s="204">
        <v>676</v>
      </c>
      <c r="D97" s="204"/>
      <c r="E97" s="201">
        <v>9</v>
      </c>
      <c r="F97" s="203">
        <v>0.0133136094674556</v>
      </c>
      <c r="G97" s="202">
        <v>3</v>
      </c>
      <c r="H97" s="203">
        <v>0.333333333333333</v>
      </c>
      <c r="I97" s="203"/>
      <c r="J97" s="203"/>
      <c r="K97" s="203"/>
      <c r="L97" s="127" t="s">
        <v>4770</v>
      </c>
      <c r="M97" s="139">
        <v>9</v>
      </c>
      <c r="N97" s="139">
        <v>3</v>
      </c>
      <c r="O97" s="140">
        <v>0.333333333333333</v>
      </c>
    </row>
    <row r="98" spans="1:15">
      <c r="A98" s="200">
        <v>45011</v>
      </c>
      <c r="B98" s="201" t="s">
        <v>25</v>
      </c>
      <c r="C98" s="204">
        <v>5137</v>
      </c>
      <c r="D98" s="204"/>
      <c r="E98" s="201">
        <v>38</v>
      </c>
      <c r="F98" s="203">
        <v>0.00739731360716371</v>
      </c>
      <c r="G98" s="202">
        <v>28</v>
      </c>
      <c r="H98" s="203">
        <v>0.736842105263158</v>
      </c>
      <c r="I98" s="203"/>
      <c r="J98" s="203"/>
      <c r="K98" s="203"/>
      <c r="L98" s="127" t="s">
        <v>4770</v>
      </c>
      <c r="M98" s="139">
        <v>38</v>
      </c>
      <c r="N98" s="139">
        <v>28</v>
      </c>
      <c r="O98" s="140">
        <v>0.736842105263158</v>
      </c>
    </row>
    <row r="99" spans="1:15">
      <c r="A99" s="200">
        <v>45011</v>
      </c>
      <c r="B99" s="205" t="s">
        <v>4771</v>
      </c>
      <c r="C99" s="206">
        <v>0</v>
      </c>
      <c r="D99" s="206"/>
      <c r="E99" s="207">
        <v>0</v>
      </c>
      <c r="F99" s="203">
        <v>0</v>
      </c>
      <c r="G99" s="208">
        <v>0</v>
      </c>
      <c r="H99" s="203">
        <v>0</v>
      </c>
      <c r="I99" s="203"/>
      <c r="J99" s="203"/>
      <c r="K99" s="203"/>
      <c r="L99" s="127" t="s">
        <v>4770</v>
      </c>
      <c r="M99" s="139">
        <v>0</v>
      </c>
      <c r="N99" s="139">
        <v>0</v>
      </c>
      <c r="O99" s="140">
        <v>0</v>
      </c>
    </row>
    <row r="100" spans="1:15">
      <c r="A100" s="200">
        <v>45011</v>
      </c>
      <c r="B100" s="207" t="s">
        <v>26</v>
      </c>
      <c r="C100" s="206">
        <v>339</v>
      </c>
      <c r="D100" s="206"/>
      <c r="E100" s="207">
        <v>51</v>
      </c>
      <c r="F100" s="203">
        <v>0.150442477876106</v>
      </c>
      <c r="G100" s="208">
        <v>16</v>
      </c>
      <c r="H100" s="203">
        <v>0.313725490196078</v>
      </c>
      <c r="I100" s="203"/>
      <c r="J100" s="203"/>
      <c r="K100" s="203"/>
      <c r="L100" s="127" t="s">
        <v>4770</v>
      </c>
      <c r="M100" s="139">
        <v>51</v>
      </c>
      <c r="N100" s="139">
        <v>16</v>
      </c>
      <c r="O100" s="140">
        <v>0.313725490196078</v>
      </c>
    </row>
    <row r="101" spans="1:15">
      <c r="A101" s="200">
        <v>45011</v>
      </c>
      <c r="B101" s="207" t="s">
        <v>27</v>
      </c>
      <c r="C101" s="206">
        <v>29</v>
      </c>
      <c r="D101" s="206"/>
      <c r="E101" s="207">
        <v>1</v>
      </c>
      <c r="F101" s="203">
        <v>0.0344827586206897</v>
      </c>
      <c r="G101" s="208">
        <v>0</v>
      </c>
      <c r="H101" s="203">
        <v>0</v>
      </c>
      <c r="I101" s="203"/>
      <c r="J101" s="203"/>
      <c r="K101" s="203"/>
      <c r="L101" s="127" t="s">
        <v>4770</v>
      </c>
      <c r="M101" s="139">
        <v>1</v>
      </c>
      <c r="N101" s="139">
        <v>0</v>
      </c>
      <c r="O101" s="140">
        <v>0</v>
      </c>
    </row>
    <row r="102" spans="1:15">
      <c r="A102" s="200">
        <v>45011</v>
      </c>
      <c r="B102" s="207" t="s">
        <v>28</v>
      </c>
      <c r="C102" s="206">
        <v>0</v>
      </c>
      <c r="D102" s="206"/>
      <c r="E102" s="207">
        <v>0</v>
      </c>
      <c r="F102" s="203">
        <v>0</v>
      </c>
      <c r="G102" s="208">
        <v>0</v>
      </c>
      <c r="H102" s="203">
        <v>0</v>
      </c>
      <c r="I102" s="203"/>
      <c r="J102" s="203"/>
      <c r="K102" s="203"/>
      <c r="L102" s="127" t="s">
        <v>4770</v>
      </c>
      <c r="M102" s="139">
        <v>0</v>
      </c>
      <c r="N102" s="139">
        <v>0</v>
      </c>
      <c r="O102" s="140">
        <v>0</v>
      </c>
    </row>
    <row r="103" spans="1:15">
      <c r="A103" s="200">
        <v>45011</v>
      </c>
      <c r="B103" s="207" t="s">
        <v>29</v>
      </c>
      <c r="C103" s="206">
        <v>1</v>
      </c>
      <c r="D103" s="206"/>
      <c r="E103" s="207">
        <v>0</v>
      </c>
      <c r="F103" s="203">
        <v>0</v>
      </c>
      <c r="G103" s="208">
        <v>0</v>
      </c>
      <c r="H103" s="203">
        <v>0</v>
      </c>
      <c r="I103" s="203"/>
      <c r="J103" s="203"/>
      <c r="K103" s="203"/>
      <c r="L103" s="127" t="s">
        <v>4770</v>
      </c>
      <c r="M103" s="139">
        <v>0</v>
      </c>
      <c r="N103" s="139">
        <v>0</v>
      </c>
      <c r="O103" s="140">
        <v>0</v>
      </c>
    </row>
    <row r="104" spans="1:15">
      <c r="A104" s="200">
        <v>45011</v>
      </c>
      <c r="B104" s="207" t="s">
        <v>30</v>
      </c>
      <c r="C104" s="206">
        <v>0</v>
      </c>
      <c r="D104" s="206"/>
      <c r="E104" s="207">
        <v>0</v>
      </c>
      <c r="F104" s="203">
        <v>0</v>
      </c>
      <c r="G104" s="208">
        <v>0</v>
      </c>
      <c r="H104" s="203">
        <v>0</v>
      </c>
      <c r="I104" s="203"/>
      <c r="J104" s="203"/>
      <c r="K104" s="203"/>
      <c r="L104" s="127" t="s">
        <v>4770</v>
      </c>
      <c r="M104" s="139">
        <v>0</v>
      </c>
      <c r="N104" s="139">
        <v>0</v>
      </c>
      <c r="O104" s="140">
        <v>0</v>
      </c>
    </row>
    <row r="105" spans="1:15">
      <c r="A105" s="200">
        <v>45011</v>
      </c>
      <c r="B105" s="207" t="s">
        <v>103</v>
      </c>
      <c r="C105" s="206" t="s">
        <v>4772</v>
      </c>
      <c r="D105" s="206"/>
      <c r="E105" s="207">
        <v>0</v>
      </c>
      <c r="F105" s="203" t="s">
        <v>4772</v>
      </c>
      <c r="G105" s="208">
        <v>0</v>
      </c>
      <c r="H105" s="203">
        <v>0</v>
      </c>
      <c r="I105" s="203"/>
      <c r="J105" s="203"/>
      <c r="K105" s="203"/>
      <c r="L105" s="127" t="s">
        <v>4770</v>
      </c>
      <c r="M105" s="139">
        <v>0</v>
      </c>
      <c r="N105" s="139">
        <v>0</v>
      </c>
      <c r="O105" s="140">
        <v>0</v>
      </c>
    </row>
    <row r="106" spans="1:15">
      <c r="A106" s="200">
        <v>45011</v>
      </c>
      <c r="B106" s="209" t="s">
        <v>39</v>
      </c>
      <c r="C106" s="210">
        <v>17179</v>
      </c>
      <c r="D106" s="210"/>
      <c r="E106" s="210">
        <v>408</v>
      </c>
      <c r="F106" s="211">
        <v>0.0237499272367425</v>
      </c>
      <c r="G106" s="210">
        <v>153</v>
      </c>
      <c r="H106" s="211">
        <v>0.375</v>
      </c>
      <c r="I106" s="211"/>
      <c r="J106" s="211"/>
      <c r="K106" s="211"/>
      <c r="L106" s="136" t="s">
        <v>4770</v>
      </c>
      <c r="M106" s="141">
        <v>398</v>
      </c>
      <c r="N106" s="141">
        <v>153</v>
      </c>
      <c r="O106" s="142">
        <v>0.384422110552764</v>
      </c>
    </row>
    <row r="107" spans="1:15">
      <c r="A107" s="200">
        <v>45012</v>
      </c>
      <c r="B107" s="201" t="s">
        <v>17</v>
      </c>
      <c r="C107" s="202">
        <v>178</v>
      </c>
      <c r="D107" s="202"/>
      <c r="E107" s="201">
        <v>25</v>
      </c>
      <c r="F107" s="203">
        <v>0.140449438202247</v>
      </c>
      <c r="G107" s="202">
        <v>4</v>
      </c>
      <c r="H107" s="203">
        <v>0.16</v>
      </c>
      <c r="I107" s="203"/>
      <c r="J107" s="203"/>
      <c r="K107" s="203"/>
      <c r="L107" s="127" t="s">
        <v>4770</v>
      </c>
      <c r="M107" s="139">
        <v>25</v>
      </c>
      <c r="N107" s="139">
        <v>4</v>
      </c>
      <c r="O107" s="140">
        <v>0.16</v>
      </c>
    </row>
    <row r="108" spans="1:15">
      <c r="A108" s="200">
        <v>45012</v>
      </c>
      <c r="B108" s="201" t="s">
        <v>19</v>
      </c>
      <c r="C108" s="202">
        <v>1876</v>
      </c>
      <c r="D108" s="202"/>
      <c r="E108" s="201">
        <v>102</v>
      </c>
      <c r="F108" s="203">
        <v>0.0543710021321962</v>
      </c>
      <c r="G108" s="202">
        <v>40</v>
      </c>
      <c r="H108" s="203">
        <v>0.392156862745098</v>
      </c>
      <c r="I108" s="203"/>
      <c r="J108" s="203"/>
      <c r="K108" s="203"/>
      <c r="L108" s="127" t="s">
        <v>4770</v>
      </c>
      <c r="M108" s="139">
        <v>99</v>
      </c>
      <c r="N108" s="139">
        <v>38</v>
      </c>
      <c r="O108" s="140">
        <v>0.383838383838384</v>
      </c>
    </row>
    <row r="109" spans="1:15">
      <c r="A109" s="200">
        <v>45012</v>
      </c>
      <c r="B109" s="201" t="s">
        <v>21</v>
      </c>
      <c r="C109" s="204">
        <v>1046</v>
      </c>
      <c r="D109" s="204"/>
      <c r="E109" s="201">
        <v>46</v>
      </c>
      <c r="F109" s="203">
        <v>0.0439770554493308</v>
      </c>
      <c r="G109" s="202">
        <v>16</v>
      </c>
      <c r="H109" s="203">
        <v>0.347826086956522</v>
      </c>
      <c r="I109" s="203"/>
      <c r="J109" s="203"/>
      <c r="K109" s="203"/>
      <c r="L109" s="127" t="s">
        <v>4770</v>
      </c>
      <c r="M109" s="139">
        <v>46</v>
      </c>
      <c r="N109" s="139">
        <v>16</v>
      </c>
      <c r="O109" s="140">
        <v>0.347826086956522</v>
      </c>
    </row>
    <row r="110" spans="1:15">
      <c r="A110" s="200">
        <v>45012</v>
      </c>
      <c r="B110" s="201" t="s">
        <v>22</v>
      </c>
      <c r="C110" s="204">
        <v>4680</v>
      </c>
      <c r="D110" s="204"/>
      <c r="E110" s="201">
        <v>112</v>
      </c>
      <c r="F110" s="203">
        <v>0.0239316239316239</v>
      </c>
      <c r="G110" s="202">
        <v>40</v>
      </c>
      <c r="H110" s="203">
        <v>0.357142857142857</v>
      </c>
      <c r="I110" s="203"/>
      <c r="J110" s="203"/>
      <c r="K110" s="203"/>
      <c r="L110" s="127" t="s">
        <v>4770</v>
      </c>
      <c r="M110" s="139">
        <v>111</v>
      </c>
      <c r="N110" s="139">
        <v>40</v>
      </c>
      <c r="O110" s="140">
        <v>0.36036036036036</v>
      </c>
    </row>
    <row r="111" spans="1:15">
      <c r="A111" s="200">
        <v>45012</v>
      </c>
      <c r="B111" s="201" t="s">
        <v>23</v>
      </c>
      <c r="C111" s="204">
        <v>3068</v>
      </c>
      <c r="D111" s="204"/>
      <c r="E111" s="201">
        <v>37</v>
      </c>
      <c r="F111" s="203">
        <v>0.0120599739243807</v>
      </c>
      <c r="G111" s="202">
        <v>9</v>
      </c>
      <c r="H111" s="203">
        <v>0.243243243243243</v>
      </c>
      <c r="I111" s="203"/>
      <c r="J111" s="203"/>
      <c r="K111" s="203"/>
      <c r="L111" s="127" t="s">
        <v>4770</v>
      </c>
      <c r="M111" s="139">
        <v>31</v>
      </c>
      <c r="N111" s="139">
        <v>9</v>
      </c>
      <c r="O111" s="140">
        <v>0.290322580645161</v>
      </c>
    </row>
    <row r="112" spans="1:15">
      <c r="A112" s="200">
        <v>45012</v>
      </c>
      <c r="B112" s="201" t="s">
        <v>24</v>
      </c>
      <c r="C112" s="204">
        <v>597</v>
      </c>
      <c r="D112" s="204"/>
      <c r="E112" s="201">
        <v>15</v>
      </c>
      <c r="F112" s="203">
        <v>0.0251256281407035</v>
      </c>
      <c r="G112" s="202">
        <v>5</v>
      </c>
      <c r="H112" s="203">
        <v>0.333333333333333</v>
      </c>
      <c r="I112" s="203"/>
      <c r="J112" s="203"/>
      <c r="K112" s="203"/>
      <c r="L112" s="127" t="s">
        <v>4770</v>
      </c>
      <c r="M112" s="139">
        <v>15</v>
      </c>
      <c r="N112" s="139">
        <v>5</v>
      </c>
      <c r="O112" s="140">
        <v>0.333333333333333</v>
      </c>
    </row>
    <row r="113" spans="1:15">
      <c r="A113" s="200">
        <v>45012</v>
      </c>
      <c r="B113" s="201" t="s">
        <v>25</v>
      </c>
      <c r="C113" s="204">
        <v>5472</v>
      </c>
      <c r="D113" s="204"/>
      <c r="E113" s="201">
        <v>50</v>
      </c>
      <c r="F113" s="203">
        <v>0.00913742690058479</v>
      </c>
      <c r="G113" s="202">
        <v>18</v>
      </c>
      <c r="H113" s="203">
        <v>0.36</v>
      </c>
      <c r="I113" s="203"/>
      <c r="J113" s="203"/>
      <c r="K113" s="203"/>
      <c r="L113" s="127" t="s">
        <v>4770</v>
      </c>
      <c r="M113" s="139">
        <v>50</v>
      </c>
      <c r="N113" s="139">
        <v>18</v>
      </c>
      <c r="O113" s="140">
        <v>0.36</v>
      </c>
    </row>
    <row r="114" spans="1:15">
      <c r="A114" s="200">
        <v>45012</v>
      </c>
      <c r="B114" s="205" t="s">
        <v>4771</v>
      </c>
      <c r="C114" s="206">
        <v>0</v>
      </c>
      <c r="D114" s="206"/>
      <c r="E114" s="207">
        <v>0</v>
      </c>
      <c r="F114" s="203">
        <v>0</v>
      </c>
      <c r="G114" s="208">
        <v>0</v>
      </c>
      <c r="H114" s="203">
        <v>0</v>
      </c>
      <c r="I114" s="203"/>
      <c r="J114" s="203"/>
      <c r="K114" s="203"/>
      <c r="L114" s="127" t="s">
        <v>4770</v>
      </c>
      <c r="M114" s="139">
        <v>0</v>
      </c>
      <c r="N114" s="139">
        <v>0</v>
      </c>
      <c r="O114" s="140">
        <v>0</v>
      </c>
    </row>
    <row r="115" spans="1:15">
      <c r="A115" s="200">
        <v>45012</v>
      </c>
      <c r="B115" s="207" t="s">
        <v>26</v>
      </c>
      <c r="C115" s="206">
        <v>342</v>
      </c>
      <c r="D115" s="206"/>
      <c r="E115" s="207">
        <v>53</v>
      </c>
      <c r="F115" s="203">
        <v>0.154970760233918</v>
      </c>
      <c r="G115" s="208">
        <v>15</v>
      </c>
      <c r="H115" s="203">
        <v>0.283018867924528</v>
      </c>
      <c r="I115" s="203"/>
      <c r="J115" s="203"/>
      <c r="K115" s="203"/>
      <c r="L115" s="127" t="s">
        <v>4770</v>
      </c>
      <c r="M115" s="139">
        <v>53</v>
      </c>
      <c r="N115" s="139">
        <v>15</v>
      </c>
      <c r="O115" s="140">
        <v>0.283018867924528</v>
      </c>
    </row>
    <row r="116" spans="1:15">
      <c r="A116" s="200">
        <v>45012</v>
      </c>
      <c r="B116" s="207" t="s">
        <v>27</v>
      </c>
      <c r="C116" s="206">
        <v>28</v>
      </c>
      <c r="D116" s="206"/>
      <c r="E116" s="207">
        <v>1</v>
      </c>
      <c r="F116" s="203">
        <v>0.0357142857142857</v>
      </c>
      <c r="G116" s="208">
        <v>0</v>
      </c>
      <c r="H116" s="203">
        <v>0</v>
      </c>
      <c r="I116" s="203"/>
      <c r="J116" s="203"/>
      <c r="K116" s="203"/>
      <c r="L116" s="127" t="s">
        <v>4770</v>
      </c>
      <c r="M116" s="139">
        <v>1</v>
      </c>
      <c r="N116" s="139">
        <v>0</v>
      </c>
      <c r="O116" s="140">
        <v>0</v>
      </c>
    </row>
    <row r="117" spans="1:15">
      <c r="A117" s="200">
        <v>45012</v>
      </c>
      <c r="B117" s="207" t="s">
        <v>28</v>
      </c>
      <c r="C117" s="206">
        <v>0</v>
      </c>
      <c r="D117" s="206"/>
      <c r="E117" s="207">
        <v>0</v>
      </c>
      <c r="F117" s="203">
        <v>0</v>
      </c>
      <c r="G117" s="208">
        <v>0</v>
      </c>
      <c r="H117" s="203">
        <v>0</v>
      </c>
      <c r="I117" s="203"/>
      <c r="J117" s="203"/>
      <c r="K117" s="203"/>
      <c r="L117" s="127" t="s">
        <v>4770</v>
      </c>
      <c r="M117" s="139">
        <v>0</v>
      </c>
      <c r="N117" s="139">
        <v>0</v>
      </c>
      <c r="O117" s="140">
        <v>0</v>
      </c>
    </row>
    <row r="118" spans="1:15">
      <c r="A118" s="200">
        <v>45012</v>
      </c>
      <c r="B118" s="207" t="s">
        <v>29</v>
      </c>
      <c r="C118" s="206">
        <v>0</v>
      </c>
      <c r="D118" s="206"/>
      <c r="E118" s="207">
        <v>0</v>
      </c>
      <c r="F118" s="203">
        <v>0</v>
      </c>
      <c r="G118" s="208">
        <v>0</v>
      </c>
      <c r="H118" s="203">
        <v>0</v>
      </c>
      <c r="I118" s="203"/>
      <c r="J118" s="203"/>
      <c r="K118" s="203"/>
      <c r="L118" s="127" t="s">
        <v>4770</v>
      </c>
      <c r="M118" s="139">
        <v>0</v>
      </c>
      <c r="N118" s="139">
        <v>0</v>
      </c>
      <c r="O118" s="140">
        <v>0</v>
      </c>
    </row>
    <row r="119" spans="1:15">
      <c r="A119" s="200">
        <v>45012</v>
      </c>
      <c r="B119" s="207" t="s">
        <v>30</v>
      </c>
      <c r="C119" s="206">
        <v>0</v>
      </c>
      <c r="D119" s="206"/>
      <c r="E119" s="207">
        <v>0</v>
      </c>
      <c r="F119" s="203">
        <v>0</v>
      </c>
      <c r="G119" s="208">
        <v>0</v>
      </c>
      <c r="H119" s="203">
        <v>0</v>
      </c>
      <c r="I119" s="203"/>
      <c r="J119" s="203"/>
      <c r="K119" s="203"/>
      <c r="L119" s="127" t="s">
        <v>4770</v>
      </c>
      <c r="M119" s="139">
        <v>0</v>
      </c>
      <c r="N119" s="139">
        <v>0</v>
      </c>
      <c r="O119" s="140">
        <v>0</v>
      </c>
    </row>
    <row r="120" spans="1:15">
      <c r="A120" s="200">
        <v>45012</v>
      </c>
      <c r="B120" s="207" t="s">
        <v>103</v>
      </c>
      <c r="C120" s="206" t="s">
        <v>4772</v>
      </c>
      <c r="D120" s="206"/>
      <c r="E120" s="207">
        <v>0</v>
      </c>
      <c r="F120" s="203" t="s">
        <v>4772</v>
      </c>
      <c r="G120" s="208">
        <v>0</v>
      </c>
      <c r="H120" s="203">
        <v>0</v>
      </c>
      <c r="I120" s="203"/>
      <c r="J120" s="203"/>
      <c r="K120" s="203"/>
      <c r="L120" s="127" t="s">
        <v>4770</v>
      </c>
      <c r="M120" s="139">
        <v>0</v>
      </c>
      <c r="N120" s="139">
        <v>0</v>
      </c>
      <c r="O120" s="140">
        <v>0</v>
      </c>
    </row>
    <row r="121" spans="1:15">
      <c r="A121" s="200">
        <v>45012</v>
      </c>
      <c r="B121" s="209" t="s">
        <v>39</v>
      </c>
      <c r="C121" s="210">
        <v>17287</v>
      </c>
      <c r="D121" s="210"/>
      <c r="E121" s="210">
        <v>441</v>
      </c>
      <c r="F121" s="211">
        <v>0.0255104992190664</v>
      </c>
      <c r="G121" s="210">
        <v>147</v>
      </c>
      <c r="H121" s="211">
        <v>0.333333333333333</v>
      </c>
      <c r="I121" s="211"/>
      <c r="J121" s="211"/>
      <c r="K121" s="211"/>
      <c r="L121" s="136" t="s">
        <v>4770</v>
      </c>
      <c r="M121" s="141">
        <v>431</v>
      </c>
      <c r="N121" s="141">
        <v>145</v>
      </c>
      <c r="O121" s="142">
        <v>0.336426914153132</v>
      </c>
    </row>
    <row r="122" spans="1:15">
      <c r="A122" s="200">
        <v>45013</v>
      </c>
      <c r="B122" s="201" t="s">
        <v>17</v>
      </c>
      <c r="C122" s="202">
        <v>111</v>
      </c>
      <c r="D122" s="202"/>
      <c r="E122" s="201">
        <v>30</v>
      </c>
      <c r="F122" s="203">
        <v>0.27027027027027</v>
      </c>
      <c r="G122" s="202">
        <v>4</v>
      </c>
      <c r="H122" s="203">
        <v>0.133333333333333</v>
      </c>
      <c r="I122" s="203"/>
      <c r="J122" s="203"/>
      <c r="K122" s="203"/>
      <c r="L122" s="127" t="s">
        <v>4770</v>
      </c>
      <c r="M122" s="139">
        <v>30</v>
      </c>
      <c r="N122" s="139">
        <v>4</v>
      </c>
      <c r="O122" s="140">
        <v>0.133333333333333</v>
      </c>
    </row>
    <row r="123" spans="1:15">
      <c r="A123" s="200">
        <v>45013</v>
      </c>
      <c r="B123" s="201" t="s">
        <v>19</v>
      </c>
      <c r="C123" s="202">
        <v>1793</v>
      </c>
      <c r="D123" s="202"/>
      <c r="E123" s="201">
        <v>99</v>
      </c>
      <c r="F123" s="203">
        <v>0.0552147239263804</v>
      </c>
      <c r="G123" s="202">
        <v>40</v>
      </c>
      <c r="H123" s="203">
        <v>0.404040404040404</v>
      </c>
      <c r="I123" s="203"/>
      <c r="J123" s="203"/>
      <c r="K123" s="203"/>
      <c r="L123" s="127" t="s">
        <v>4770</v>
      </c>
      <c r="M123" s="139">
        <v>99</v>
      </c>
      <c r="N123" s="139">
        <v>38</v>
      </c>
      <c r="O123" s="140">
        <v>0.383838383838384</v>
      </c>
    </row>
    <row r="124" spans="1:15">
      <c r="A124" s="200">
        <v>45013</v>
      </c>
      <c r="B124" s="201" t="s">
        <v>21</v>
      </c>
      <c r="C124" s="204">
        <v>979</v>
      </c>
      <c r="D124" s="204"/>
      <c r="E124" s="201">
        <v>36</v>
      </c>
      <c r="F124" s="203">
        <v>0.0367722165474974</v>
      </c>
      <c r="G124" s="202">
        <v>14</v>
      </c>
      <c r="H124" s="203">
        <v>0.388888888888889</v>
      </c>
      <c r="I124" s="203"/>
      <c r="J124" s="203"/>
      <c r="K124" s="203"/>
      <c r="L124" s="127" t="s">
        <v>4770</v>
      </c>
      <c r="M124" s="139">
        <v>36</v>
      </c>
      <c r="N124" s="139">
        <v>14</v>
      </c>
      <c r="O124" s="140">
        <v>0.388888888888889</v>
      </c>
    </row>
    <row r="125" spans="1:15">
      <c r="A125" s="200">
        <v>45013</v>
      </c>
      <c r="B125" s="201" t="s">
        <v>22</v>
      </c>
      <c r="C125" s="204">
        <v>4232</v>
      </c>
      <c r="D125" s="204"/>
      <c r="E125" s="201">
        <v>133</v>
      </c>
      <c r="F125" s="203">
        <v>0.0314272211720227</v>
      </c>
      <c r="G125" s="202">
        <v>49</v>
      </c>
      <c r="H125" s="203">
        <v>0.368421052631579</v>
      </c>
      <c r="I125" s="203"/>
      <c r="J125" s="203"/>
      <c r="K125" s="203"/>
      <c r="L125" s="127" t="s">
        <v>4770</v>
      </c>
      <c r="M125" s="139">
        <v>132</v>
      </c>
      <c r="N125" s="139">
        <v>49</v>
      </c>
      <c r="O125" s="140">
        <v>0.371212121212121</v>
      </c>
    </row>
    <row r="126" spans="1:15">
      <c r="A126" s="200">
        <v>45013</v>
      </c>
      <c r="B126" s="201" t="s">
        <v>23</v>
      </c>
      <c r="C126" s="204">
        <v>2941</v>
      </c>
      <c r="D126" s="204"/>
      <c r="E126" s="201">
        <v>49</v>
      </c>
      <c r="F126" s="203">
        <v>0.0166609996599796</v>
      </c>
      <c r="G126" s="202">
        <v>8</v>
      </c>
      <c r="H126" s="203">
        <v>0.163265306122449</v>
      </c>
      <c r="I126" s="203"/>
      <c r="J126" s="203"/>
      <c r="K126" s="203"/>
      <c r="L126" s="127" t="s">
        <v>4770</v>
      </c>
      <c r="M126" s="139">
        <v>43</v>
      </c>
      <c r="N126" s="139">
        <v>8</v>
      </c>
      <c r="O126" s="140">
        <v>0.186046511627907</v>
      </c>
    </row>
    <row r="127" spans="1:15">
      <c r="A127" s="200">
        <v>45013</v>
      </c>
      <c r="B127" s="201" t="s">
        <v>24</v>
      </c>
      <c r="C127" s="204">
        <v>517</v>
      </c>
      <c r="D127" s="204"/>
      <c r="E127" s="201">
        <v>10</v>
      </c>
      <c r="F127" s="203">
        <v>0.0193423597678917</v>
      </c>
      <c r="G127" s="202">
        <v>6</v>
      </c>
      <c r="H127" s="203">
        <v>0.6</v>
      </c>
      <c r="I127" s="203"/>
      <c r="J127" s="203"/>
      <c r="K127" s="203"/>
      <c r="L127" s="127" t="s">
        <v>4770</v>
      </c>
      <c r="M127" s="139">
        <v>10</v>
      </c>
      <c r="N127" s="139">
        <v>6</v>
      </c>
      <c r="O127" s="140">
        <v>0.6</v>
      </c>
    </row>
    <row r="128" spans="1:15">
      <c r="A128" s="200">
        <v>45013</v>
      </c>
      <c r="B128" s="201" t="s">
        <v>25</v>
      </c>
      <c r="C128" s="204">
        <v>6559</v>
      </c>
      <c r="D128" s="204"/>
      <c r="E128" s="201">
        <v>43</v>
      </c>
      <c r="F128" s="203">
        <v>0.00655587742033847</v>
      </c>
      <c r="G128" s="202">
        <v>30</v>
      </c>
      <c r="H128" s="203">
        <v>0.697674418604651</v>
      </c>
      <c r="I128" s="203"/>
      <c r="J128" s="203"/>
      <c r="K128" s="203"/>
      <c r="L128" s="127" t="s">
        <v>4770</v>
      </c>
      <c r="M128" s="139">
        <v>43</v>
      </c>
      <c r="N128" s="139">
        <v>30</v>
      </c>
      <c r="O128" s="140">
        <v>0.697674418604651</v>
      </c>
    </row>
    <row r="129" spans="1:15">
      <c r="A129" s="200">
        <v>45013</v>
      </c>
      <c r="B129" s="205" t="s">
        <v>4771</v>
      </c>
      <c r="C129" s="206">
        <v>0</v>
      </c>
      <c r="D129" s="206"/>
      <c r="E129" s="207">
        <v>0</v>
      </c>
      <c r="F129" s="203">
        <v>0</v>
      </c>
      <c r="G129" s="208">
        <v>0</v>
      </c>
      <c r="H129" s="203">
        <v>0</v>
      </c>
      <c r="I129" s="203"/>
      <c r="J129" s="203"/>
      <c r="K129" s="203"/>
      <c r="L129" s="127" t="s">
        <v>4770</v>
      </c>
      <c r="M129" s="139">
        <v>0</v>
      </c>
      <c r="N129" s="139">
        <v>0</v>
      </c>
      <c r="O129" s="140">
        <v>0</v>
      </c>
    </row>
    <row r="130" spans="1:15">
      <c r="A130" s="200">
        <v>45013</v>
      </c>
      <c r="B130" s="207" t="s">
        <v>26</v>
      </c>
      <c r="C130" s="206">
        <v>399</v>
      </c>
      <c r="D130" s="206"/>
      <c r="E130" s="207">
        <v>61</v>
      </c>
      <c r="F130" s="203">
        <v>0.152882205513784</v>
      </c>
      <c r="G130" s="208">
        <v>24</v>
      </c>
      <c r="H130" s="203">
        <v>0.39344262295082</v>
      </c>
      <c r="I130" s="203"/>
      <c r="J130" s="203"/>
      <c r="K130" s="203"/>
      <c r="L130" s="127" t="s">
        <v>4770</v>
      </c>
      <c r="M130" s="139">
        <v>61</v>
      </c>
      <c r="N130" s="139">
        <v>24</v>
      </c>
      <c r="O130" s="140">
        <v>0.39344262295082</v>
      </c>
    </row>
    <row r="131" spans="1:15">
      <c r="A131" s="200">
        <v>45013</v>
      </c>
      <c r="B131" s="207" t="s">
        <v>27</v>
      </c>
      <c r="C131" s="206">
        <v>28</v>
      </c>
      <c r="D131" s="206"/>
      <c r="E131" s="207">
        <v>0</v>
      </c>
      <c r="F131" s="203">
        <v>0</v>
      </c>
      <c r="G131" s="208">
        <v>0</v>
      </c>
      <c r="H131" s="203">
        <v>0</v>
      </c>
      <c r="I131" s="203"/>
      <c r="J131" s="203"/>
      <c r="K131" s="203"/>
      <c r="L131" s="127" t="s">
        <v>4770</v>
      </c>
      <c r="M131" s="139">
        <v>0</v>
      </c>
      <c r="N131" s="139">
        <v>0</v>
      </c>
      <c r="O131" s="140">
        <v>0</v>
      </c>
    </row>
    <row r="132" spans="1:15">
      <c r="A132" s="200">
        <v>45013</v>
      </c>
      <c r="B132" s="207" t="s">
        <v>28</v>
      </c>
      <c r="C132" s="206">
        <v>0</v>
      </c>
      <c r="D132" s="206"/>
      <c r="E132" s="207">
        <v>0</v>
      </c>
      <c r="F132" s="203">
        <v>0</v>
      </c>
      <c r="G132" s="208">
        <v>0</v>
      </c>
      <c r="H132" s="203">
        <v>0</v>
      </c>
      <c r="I132" s="203"/>
      <c r="J132" s="203"/>
      <c r="K132" s="203"/>
      <c r="L132" s="127" t="s">
        <v>4770</v>
      </c>
      <c r="M132" s="139">
        <v>0</v>
      </c>
      <c r="N132" s="139">
        <v>0</v>
      </c>
      <c r="O132" s="140">
        <v>0</v>
      </c>
    </row>
    <row r="133" spans="1:15">
      <c r="A133" s="200">
        <v>45013</v>
      </c>
      <c r="B133" s="207" t="s">
        <v>29</v>
      </c>
      <c r="C133" s="206">
        <v>1</v>
      </c>
      <c r="D133" s="206"/>
      <c r="E133" s="207">
        <v>0</v>
      </c>
      <c r="F133" s="203">
        <v>0</v>
      </c>
      <c r="G133" s="208">
        <v>0</v>
      </c>
      <c r="H133" s="203">
        <v>0</v>
      </c>
      <c r="I133" s="203"/>
      <c r="J133" s="203"/>
      <c r="K133" s="203"/>
      <c r="L133" s="127" t="s">
        <v>4770</v>
      </c>
      <c r="M133" s="139">
        <v>0</v>
      </c>
      <c r="N133" s="139">
        <v>0</v>
      </c>
      <c r="O133" s="140">
        <v>0</v>
      </c>
    </row>
    <row r="134" spans="1:15">
      <c r="A134" s="200">
        <v>45013</v>
      </c>
      <c r="B134" s="207" t="s">
        <v>30</v>
      </c>
      <c r="C134" s="206">
        <v>0</v>
      </c>
      <c r="D134" s="206"/>
      <c r="E134" s="207">
        <v>0</v>
      </c>
      <c r="F134" s="203">
        <v>0</v>
      </c>
      <c r="G134" s="208">
        <v>0</v>
      </c>
      <c r="H134" s="203">
        <v>0</v>
      </c>
      <c r="I134" s="203"/>
      <c r="J134" s="203"/>
      <c r="K134" s="203"/>
      <c r="L134" s="127" t="s">
        <v>4770</v>
      </c>
      <c r="M134" s="139">
        <v>0</v>
      </c>
      <c r="N134" s="139">
        <v>0</v>
      </c>
      <c r="O134" s="140">
        <v>0</v>
      </c>
    </row>
    <row r="135" spans="1:15">
      <c r="A135" s="200">
        <v>45013</v>
      </c>
      <c r="B135" s="207" t="s">
        <v>103</v>
      </c>
      <c r="C135" s="206" t="s">
        <v>4772</v>
      </c>
      <c r="D135" s="206"/>
      <c r="E135" s="207">
        <v>0</v>
      </c>
      <c r="F135" s="203" t="s">
        <v>4772</v>
      </c>
      <c r="G135" s="208">
        <v>0</v>
      </c>
      <c r="H135" s="203">
        <v>0</v>
      </c>
      <c r="I135" s="203"/>
      <c r="J135" s="203"/>
      <c r="K135" s="203"/>
      <c r="L135" s="127" t="s">
        <v>4770</v>
      </c>
      <c r="M135" s="139">
        <v>0</v>
      </c>
      <c r="N135" s="139">
        <v>0</v>
      </c>
      <c r="O135" s="140">
        <v>0</v>
      </c>
    </row>
    <row r="136" spans="1:15">
      <c r="A136" s="200">
        <v>45013</v>
      </c>
      <c r="B136" s="209" t="s">
        <v>39</v>
      </c>
      <c r="C136" s="210">
        <v>17560</v>
      </c>
      <c r="D136" s="210"/>
      <c r="E136" s="210">
        <v>461</v>
      </c>
      <c r="F136" s="211">
        <v>0.02625284738041</v>
      </c>
      <c r="G136" s="210">
        <v>175</v>
      </c>
      <c r="H136" s="211">
        <v>0.379609544468547</v>
      </c>
      <c r="I136" s="211"/>
      <c r="J136" s="211"/>
      <c r="K136" s="211"/>
      <c r="L136" s="136" t="s">
        <v>4770</v>
      </c>
      <c r="M136" s="141">
        <v>454</v>
      </c>
      <c r="N136" s="141">
        <v>173</v>
      </c>
      <c r="O136" s="142">
        <v>0.381057268722467</v>
      </c>
    </row>
    <row r="137" spans="1:15">
      <c r="A137" s="200">
        <v>45014</v>
      </c>
      <c r="B137" s="201" t="s">
        <v>17</v>
      </c>
      <c r="C137" s="202">
        <v>49</v>
      </c>
      <c r="D137" s="202"/>
      <c r="E137" s="201">
        <v>20</v>
      </c>
      <c r="F137" s="203">
        <v>0.408163265306122</v>
      </c>
      <c r="G137" s="202">
        <v>4</v>
      </c>
      <c r="H137" s="203">
        <v>0.2</v>
      </c>
      <c r="I137" s="203"/>
      <c r="J137" s="203"/>
      <c r="K137" s="203"/>
      <c r="L137" s="127" t="s">
        <v>4770</v>
      </c>
      <c r="M137" s="139">
        <v>20</v>
      </c>
      <c r="N137" s="139">
        <v>3</v>
      </c>
      <c r="O137" s="140">
        <v>0.15</v>
      </c>
    </row>
    <row r="138" spans="1:15">
      <c r="A138" s="200">
        <v>45014</v>
      </c>
      <c r="B138" s="201" t="s">
        <v>19</v>
      </c>
      <c r="C138" s="202">
        <v>1690</v>
      </c>
      <c r="D138" s="202"/>
      <c r="E138" s="201">
        <v>85</v>
      </c>
      <c r="F138" s="203">
        <v>0.0502958579881657</v>
      </c>
      <c r="G138" s="202">
        <v>40</v>
      </c>
      <c r="H138" s="203">
        <v>0.470588235294118</v>
      </c>
      <c r="I138" s="203"/>
      <c r="J138" s="203"/>
      <c r="K138" s="203"/>
      <c r="L138" s="127" t="s">
        <v>4770</v>
      </c>
      <c r="M138" s="139">
        <v>85</v>
      </c>
      <c r="N138" s="139">
        <v>40</v>
      </c>
      <c r="O138" s="140">
        <v>0.470588235294118</v>
      </c>
    </row>
    <row r="139" spans="1:15">
      <c r="A139" s="200">
        <v>45014</v>
      </c>
      <c r="B139" s="201" t="s">
        <v>21</v>
      </c>
      <c r="C139" s="204">
        <v>1018</v>
      </c>
      <c r="D139" s="204"/>
      <c r="E139" s="201">
        <v>27</v>
      </c>
      <c r="F139" s="203">
        <v>0.0265225933202358</v>
      </c>
      <c r="G139" s="202">
        <v>7</v>
      </c>
      <c r="H139" s="203">
        <v>0.259259259259259</v>
      </c>
      <c r="I139" s="203"/>
      <c r="J139" s="203"/>
      <c r="K139" s="203"/>
      <c r="L139" s="127" t="s">
        <v>4770</v>
      </c>
      <c r="M139" s="139">
        <v>26</v>
      </c>
      <c r="N139" s="139">
        <v>7</v>
      </c>
      <c r="O139" s="140">
        <v>0.269230769230769</v>
      </c>
    </row>
    <row r="140" spans="1:15">
      <c r="A140" s="200">
        <v>45014</v>
      </c>
      <c r="B140" s="201" t="s">
        <v>22</v>
      </c>
      <c r="C140" s="204">
        <v>4418</v>
      </c>
      <c r="D140" s="204"/>
      <c r="E140" s="201">
        <v>125</v>
      </c>
      <c r="F140" s="203">
        <v>0.0282933454051607</v>
      </c>
      <c r="G140" s="202">
        <v>38</v>
      </c>
      <c r="H140" s="203">
        <v>0.304</v>
      </c>
      <c r="I140" s="203"/>
      <c r="J140" s="203"/>
      <c r="K140" s="203"/>
      <c r="L140" s="127" t="s">
        <v>4770</v>
      </c>
      <c r="M140" s="139">
        <v>123</v>
      </c>
      <c r="N140" s="139">
        <v>37</v>
      </c>
      <c r="O140" s="140">
        <v>0.300813008130081</v>
      </c>
    </row>
    <row r="141" spans="1:15">
      <c r="A141" s="200">
        <v>45014</v>
      </c>
      <c r="B141" s="201" t="s">
        <v>23</v>
      </c>
      <c r="C141" s="204">
        <v>2885</v>
      </c>
      <c r="D141" s="204"/>
      <c r="E141" s="201">
        <v>40</v>
      </c>
      <c r="F141" s="203">
        <v>0.0138648180242634</v>
      </c>
      <c r="G141" s="202">
        <v>12</v>
      </c>
      <c r="H141" s="203">
        <v>0.3</v>
      </c>
      <c r="I141" s="203"/>
      <c r="J141" s="203"/>
      <c r="K141" s="203"/>
      <c r="L141" s="127" t="s">
        <v>4770</v>
      </c>
      <c r="M141" s="139">
        <v>32</v>
      </c>
      <c r="N141" s="139">
        <v>12</v>
      </c>
      <c r="O141" s="140">
        <v>0.375</v>
      </c>
    </row>
    <row r="142" spans="1:15">
      <c r="A142" s="200">
        <v>45014</v>
      </c>
      <c r="B142" s="201" t="s">
        <v>24</v>
      </c>
      <c r="C142" s="204">
        <v>540</v>
      </c>
      <c r="D142" s="204"/>
      <c r="E142" s="201">
        <v>8</v>
      </c>
      <c r="F142" s="203">
        <v>0.0148148148148148</v>
      </c>
      <c r="G142" s="202">
        <v>4</v>
      </c>
      <c r="H142" s="203">
        <v>0.5</v>
      </c>
      <c r="I142" s="203"/>
      <c r="J142" s="203"/>
      <c r="K142" s="203"/>
      <c r="L142" s="127" t="s">
        <v>4770</v>
      </c>
      <c r="M142" s="139">
        <v>8</v>
      </c>
      <c r="N142" s="139">
        <v>4</v>
      </c>
      <c r="O142" s="140">
        <v>0.5</v>
      </c>
    </row>
    <row r="143" spans="1:15">
      <c r="A143" s="200">
        <v>45014</v>
      </c>
      <c r="B143" s="201" t="s">
        <v>25</v>
      </c>
      <c r="C143" s="204">
        <v>6089</v>
      </c>
      <c r="D143" s="204"/>
      <c r="E143" s="201">
        <v>40</v>
      </c>
      <c r="F143" s="203">
        <v>0.00656922318935786</v>
      </c>
      <c r="G143" s="202">
        <v>27</v>
      </c>
      <c r="H143" s="203">
        <v>0.675</v>
      </c>
      <c r="I143" s="203"/>
      <c r="J143" s="203"/>
      <c r="K143" s="203"/>
      <c r="L143" s="127" t="s">
        <v>4770</v>
      </c>
      <c r="M143" s="139">
        <v>40</v>
      </c>
      <c r="N143" s="139">
        <v>27</v>
      </c>
      <c r="O143" s="140">
        <v>0.675</v>
      </c>
    </row>
    <row r="144" spans="1:15">
      <c r="A144" s="200">
        <v>45014</v>
      </c>
      <c r="B144" s="205" t="s">
        <v>4771</v>
      </c>
      <c r="C144" s="206">
        <v>0</v>
      </c>
      <c r="D144" s="206"/>
      <c r="E144" s="207">
        <v>0</v>
      </c>
      <c r="F144" s="203">
        <v>0</v>
      </c>
      <c r="G144" s="208">
        <v>0</v>
      </c>
      <c r="H144" s="203">
        <v>0</v>
      </c>
      <c r="I144" s="203"/>
      <c r="J144" s="203"/>
      <c r="K144" s="203"/>
      <c r="L144" s="127" t="s">
        <v>4770</v>
      </c>
      <c r="M144" s="139">
        <v>0</v>
      </c>
      <c r="N144" s="139">
        <v>0</v>
      </c>
      <c r="O144" s="140">
        <v>0</v>
      </c>
    </row>
    <row r="145" spans="1:15">
      <c r="A145" s="200">
        <v>45014</v>
      </c>
      <c r="B145" s="207" t="s">
        <v>26</v>
      </c>
      <c r="C145" s="206">
        <v>461</v>
      </c>
      <c r="D145" s="206"/>
      <c r="E145" s="207">
        <v>54</v>
      </c>
      <c r="F145" s="203">
        <v>0.117136659436009</v>
      </c>
      <c r="G145" s="208">
        <v>18</v>
      </c>
      <c r="H145" s="203">
        <v>0.333333333333333</v>
      </c>
      <c r="I145" s="203"/>
      <c r="J145" s="203"/>
      <c r="K145" s="203"/>
      <c r="L145" s="127" t="s">
        <v>4770</v>
      </c>
      <c r="M145" s="139">
        <v>54</v>
      </c>
      <c r="N145" s="139">
        <v>18</v>
      </c>
      <c r="O145" s="140">
        <v>0.333333333333333</v>
      </c>
    </row>
    <row r="146" spans="1:15">
      <c r="A146" s="200">
        <v>45014</v>
      </c>
      <c r="B146" s="207" t="s">
        <v>27</v>
      </c>
      <c r="C146" s="206">
        <v>41</v>
      </c>
      <c r="D146" s="206"/>
      <c r="E146" s="207">
        <v>0</v>
      </c>
      <c r="F146" s="203">
        <v>0</v>
      </c>
      <c r="G146" s="208">
        <v>0</v>
      </c>
      <c r="H146" s="203">
        <v>0</v>
      </c>
      <c r="I146" s="203"/>
      <c r="J146" s="203"/>
      <c r="K146" s="203"/>
      <c r="L146" s="127" t="s">
        <v>4770</v>
      </c>
      <c r="M146" s="139">
        <v>0</v>
      </c>
      <c r="N146" s="139">
        <v>0</v>
      </c>
      <c r="O146" s="140">
        <v>0</v>
      </c>
    </row>
    <row r="147" spans="1:15">
      <c r="A147" s="200">
        <v>45014</v>
      </c>
      <c r="B147" s="207" t="s">
        <v>28</v>
      </c>
      <c r="C147" s="206">
        <v>0</v>
      </c>
      <c r="D147" s="206"/>
      <c r="E147" s="207">
        <v>0</v>
      </c>
      <c r="F147" s="203">
        <v>0</v>
      </c>
      <c r="G147" s="208">
        <v>0</v>
      </c>
      <c r="H147" s="203">
        <v>0</v>
      </c>
      <c r="I147" s="203"/>
      <c r="J147" s="203"/>
      <c r="K147" s="203"/>
      <c r="L147" s="127" t="s">
        <v>4770</v>
      </c>
      <c r="M147" s="139">
        <v>1</v>
      </c>
      <c r="N147" s="139">
        <v>0</v>
      </c>
      <c r="O147" s="140">
        <v>0</v>
      </c>
    </row>
    <row r="148" spans="1:15">
      <c r="A148" s="200">
        <v>45014</v>
      </c>
      <c r="B148" s="207" t="s">
        <v>29</v>
      </c>
      <c r="C148" s="206">
        <v>3</v>
      </c>
      <c r="D148" s="206"/>
      <c r="E148" s="207">
        <v>0</v>
      </c>
      <c r="F148" s="203">
        <v>0</v>
      </c>
      <c r="G148" s="208">
        <v>0</v>
      </c>
      <c r="H148" s="203">
        <v>0</v>
      </c>
      <c r="I148" s="203"/>
      <c r="J148" s="203"/>
      <c r="K148" s="203"/>
      <c r="L148" s="127" t="s">
        <v>4770</v>
      </c>
      <c r="M148" s="139">
        <v>0</v>
      </c>
      <c r="N148" s="139">
        <v>0</v>
      </c>
      <c r="O148" s="140">
        <v>0</v>
      </c>
    </row>
    <row r="149" spans="1:27">
      <c r="A149" s="200">
        <v>45014</v>
      </c>
      <c r="B149" s="207" t="s">
        <v>30</v>
      </c>
      <c r="C149" s="206">
        <v>0</v>
      </c>
      <c r="D149" s="206"/>
      <c r="E149" s="207">
        <v>0</v>
      </c>
      <c r="F149" s="203">
        <v>0</v>
      </c>
      <c r="G149" s="208">
        <v>0</v>
      </c>
      <c r="H149" s="203">
        <v>0</v>
      </c>
      <c r="I149" s="203"/>
      <c r="J149" s="203"/>
      <c r="K149" s="203"/>
      <c r="L149" s="127" t="s">
        <v>4770</v>
      </c>
      <c r="M149" s="139">
        <v>0</v>
      </c>
      <c r="N149" s="139">
        <v>0</v>
      </c>
      <c r="O149" s="140">
        <v>0</v>
      </c>
      <c r="P149" s="97" t="s">
        <v>4768</v>
      </c>
      <c r="Q149" s="114"/>
      <c r="R149" s="114"/>
      <c r="S149" s="114"/>
      <c r="T149" s="97" t="s">
        <v>11</v>
      </c>
      <c r="U149" s="114"/>
      <c r="V149" s="114"/>
      <c r="W149" s="114"/>
      <c r="X149" s="97" t="s">
        <v>12</v>
      </c>
      <c r="Y149" s="114"/>
      <c r="Z149" s="114"/>
      <c r="AA149" s="114"/>
    </row>
    <row r="150" spans="1:27">
      <c r="A150" s="200">
        <v>45014</v>
      </c>
      <c r="B150" s="209" t="s">
        <v>39</v>
      </c>
      <c r="C150" s="210">
        <v>17194</v>
      </c>
      <c r="D150" s="210"/>
      <c r="E150" s="210">
        <v>399</v>
      </c>
      <c r="F150" s="211">
        <v>0.0232057694544609</v>
      </c>
      <c r="G150" s="210">
        <v>150</v>
      </c>
      <c r="H150" s="211">
        <v>0.37593984962406</v>
      </c>
      <c r="I150" s="211"/>
      <c r="J150" s="211"/>
      <c r="K150" s="211"/>
      <c r="L150" s="136" t="s">
        <v>4770</v>
      </c>
      <c r="M150" s="141">
        <v>388</v>
      </c>
      <c r="N150" s="141">
        <v>148</v>
      </c>
      <c r="O150" s="142">
        <v>0.381443298969072</v>
      </c>
      <c r="P150" s="108" t="s">
        <v>13</v>
      </c>
      <c r="Q150" s="108" t="s">
        <v>4773</v>
      </c>
      <c r="R150" s="108" t="s">
        <v>4774</v>
      </c>
      <c r="S150" s="108" t="s">
        <v>4775</v>
      </c>
      <c r="T150" s="108" t="s">
        <v>13</v>
      </c>
      <c r="U150" s="108" t="s">
        <v>4773</v>
      </c>
      <c r="V150" s="108" t="s">
        <v>4774</v>
      </c>
      <c r="W150" s="108" t="s">
        <v>4775</v>
      </c>
      <c r="X150" s="108" t="s">
        <v>13</v>
      </c>
      <c r="Y150" s="108" t="s">
        <v>4773</v>
      </c>
      <c r="Z150" s="108" t="s">
        <v>4774</v>
      </c>
      <c r="AA150" s="108" t="s">
        <v>4775</v>
      </c>
    </row>
    <row r="151" spans="1:27">
      <c r="A151" s="103">
        <v>45015</v>
      </c>
      <c r="B151" s="104" t="s">
        <v>17</v>
      </c>
      <c r="C151" s="107">
        <v>60</v>
      </c>
      <c r="D151" s="107"/>
      <c r="E151" s="104">
        <v>32</v>
      </c>
      <c r="F151" s="106">
        <v>0.533333333333333</v>
      </c>
      <c r="G151" s="107">
        <v>4</v>
      </c>
      <c r="H151" s="106">
        <v>0.125</v>
      </c>
      <c r="I151" s="106"/>
      <c r="J151" s="106"/>
      <c r="K151" s="106"/>
      <c r="L151" s="144" t="s">
        <v>4770</v>
      </c>
      <c r="M151" s="151">
        <v>32</v>
      </c>
      <c r="N151" s="151">
        <v>4</v>
      </c>
      <c r="O151" s="152">
        <v>0.125</v>
      </c>
      <c r="P151" s="108">
        <v>11</v>
      </c>
      <c r="Q151" s="108">
        <v>-52.6666666666667</v>
      </c>
      <c r="R151" s="108">
        <v>-73.4</v>
      </c>
      <c r="S151" s="108">
        <v>-84.7142857142857</v>
      </c>
      <c r="T151" s="108">
        <v>12</v>
      </c>
      <c r="U151" s="108">
        <v>7</v>
      </c>
      <c r="V151" s="108">
        <v>4.6</v>
      </c>
      <c r="W151" s="108">
        <v>4.85714285714286</v>
      </c>
      <c r="X151" s="108">
        <v>0</v>
      </c>
      <c r="Y151" s="108">
        <v>0</v>
      </c>
      <c r="Z151" s="108">
        <v>0.2</v>
      </c>
      <c r="AA151" s="115">
        <v>0.142857142857143</v>
      </c>
    </row>
    <row r="152" spans="1:27">
      <c r="A152" s="103">
        <v>45015</v>
      </c>
      <c r="B152" s="104" t="s">
        <v>19</v>
      </c>
      <c r="C152" s="107">
        <v>1748</v>
      </c>
      <c r="D152" s="107"/>
      <c r="E152" s="104">
        <v>77</v>
      </c>
      <c r="F152" s="106">
        <v>0.0440503432494279</v>
      </c>
      <c r="G152" s="107">
        <v>31</v>
      </c>
      <c r="H152" s="106">
        <v>0.402597402597403</v>
      </c>
      <c r="I152" s="106"/>
      <c r="J152" s="106"/>
      <c r="K152" s="106"/>
      <c r="L152" s="144" t="s">
        <v>4770</v>
      </c>
      <c r="M152" s="151">
        <v>77</v>
      </c>
      <c r="N152" s="151">
        <v>31</v>
      </c>
      <c r="O152" s="152">
        <v>0.402597402597403</v>
      </c>
      <c r="P152" s="108">
        <v>58</v>
      </c>
      <c r="Q152" s="108">
        <v>-38.3333333333333</v>
      </c>
      <c r="R152" s="108">
        <v>-3.79999999999995</v>
      </c>
      <c r="S152" s="108">
        <v>105.857142857143</v>
      </c>
      <c r="T152" s="108">
        <v>-8</v>
      </c>
      <c r="U152" s="108">
        <v>-18.3333333333333</v>
      </c>
      <c r="V152" s="108">
        <v>-14</v>
      </c>
      <c r="W152" s="108">
        <v>-3.85714285714286</v>
      </c>
      <c r="X152" s="108">
        <v>-9</v>
      </c>
      <c r="Y152" s="108">
        <v>-9</v>
      </c>
      <c r="Z152" s="108">
        <v>-7</v>
      </c>
      <c r="AA152" s="108">
        <v>-2.85714285714285</v>
      </c>
    </row>
    <row r="153" spans="1:27">
      <c r="A153" s="103">
        <v>45015</v>
      </c>
      <c r="B153" s="104" t="s">
        <v>21</v>
      </c>
      <c r="C153" s="145">
        <v>1138</v>
      </c>
      <c r="D153" s="145"/>
      <c r="E153" s="104">
        <v>22</v>
      </c>
      <c r="F153" s="106">
        <v>0.0193321616871705</v>
      </c>
      <c r="G153" s="107">
        <v>5</v>
      </c>
      <c r="H153" s="106">
        <v>0.227272727272727</v>
      </c>
      <c r="I153" s="106"/>
      <c r="J153" s="106"/>
      <c r="K153" s="106"/>
      <c r="L153" s="144" t="s">
        <v>4770</v>
      </c>
      <c r="M153" s="151">
        <v>22</v>
      </c>
      <c r="N153" s="151">
        <v>5</v>
      </c>
      <c r="O153" s="152">
        <v>0.227272727272727</v>
      </c>
      <c r="P153" s="108">
        <v>120</v>
      </c>
      <c r="Q153" s="108">
        <v>123.666666666667</v>
      </c>
      <c r="R153" s="108">
        <v>105.6</v>
      </c>
      <c r="S153" s="108">
        <v>229</v>
      </c>
      <c r="T153" s="108">
        <v>-5</v>
      </c>
      <c r="U153" s="108">
        <v>-14.3333333333333</v>
      </c>
      <c r="V153" s="108">
        <v>-15</v>
      </c>
      <c r="W153" s="115">
        <v>-14.7142857142857</v>
      </c>
      <c r="X153" s="108">
        <v>-2</v>
      </c>
      <c r="Y153" s="108">
        <v>-7.33333333333333</v>
      </c>
      <c r="Z153" s="108">
        <v>-7.6</v>
      </c>
      <c r="AA153" s="117">
        <v>-8</v>
      </c>
    </row>
    <row r="154" spans="1:27">
      <c r="A154" s="103">
        <v>45015</v>
      </c>
      <c r="B154" s="104" t="s">
        <v>22</v>
      </c>
      <c r="C154" s="145">
        <v>4316</v>
      </c>
      <c r="D154" s="145"/>
      <c r="E154" s="104">
        <v>134</v>
      </c>
      <c r="F154" s="106">
        <v>0.031047265987025</v>
      </c>
      <c r="G154" s="107">
        <v>45</v>
      </c>
      <c r="H154" s="106">
        <v>0.335820895522388</v>
      </c>
      <c r="I154" s="106"/>
      <c r="J154" s="106"/>
      <c r="K154" s="106"/>
      <c r="L154" s="144" t="s">
        <v>4770</v>
      </c>
      <c r="M154" s="151">
        <v>134</v>
      </c>
      <c r="N154" s="151">
        <v>45</v>
      </c>
      <c r="O154" s="152">
        <v>0.335820895522388</v>
      </c>
      <c r="P154" s="108">
        <v>-102</v>
      </c>
      <c r="Q154" s="108">
        <v>-127.333333333333</v>
      </c>
      <c r="R154" s="108">
        <v>-332.8</v>
      </c>
      <c r="S154" s="108">
        <v>-496.714285714285</v>
      </c>
      <c r="T154" s="108">
        <v>9</v>
      </c>
      <c r="U154" s="108">
        <v>10.6666666666667</v>
      </c>
      <c r="V154" s="108">
        <v>8.2</v>
      </c>
      <c r="W154" s="108">
        <v>-4.28571428571428</v>
      </c>
      <c r="X154" s="108">
        <v>7</v>
      </c>
      <c r="Y154" s="116">
        <v>2.66666666666666</v>
      </c>
      <c r="Z154" s="108">
        <v>2</v>
      </c>
      <c r="AA154" s="108">
        <v>-3.42857142857143</v>
      </c>
    </row>
    <row r="155" spans="1:27">
      <c r="A155" s="103">
        <v>45015</v>
      </c>
      <c r="B155" s="104" t="s">
        <v>23</v>
      </c>
      <c r="C155" s="145">
        <v>2726</v>
      </c>
      <c r="D155" s="145"/>
      <c r="E155" s="104">
        <v>23</v>
      </c>
      <c r="F155" s="106">
        <v>0.00843727072633896</v>
      </c>
      <c r="G155" s="107">
        <v>5</v>
      </c>
      <c r="H155" s="106">
        <v>0.217391304347826</v>
      </c>
      <c r="I155" s="106"/>
      <c r="J155" s="106"/>
      <c r="K155" s="106"/>
      <c r="L155" s="144" t="s">
        <v>4770</v>
      </c>
      <c r="M155" s="151">
        <v>23</v>
      </c>
      <c r="N155" s="151">
        <v>5</v>
      </c>
      <c r="O155" s="152">
        <v>0.217391304347826</v>
      </c>
      <c r="P155" s="108">
        <v>-159</v>
      </c>
      <c r="Q155" s="108">
        <v>-238.666666666667</v>
      </c>
      <c r="R155" s="117">
        <v>-372.4</v>
      </c>
      <c r="S155" s="108">
        <v>-599.285714285714</v>
      </c>
      <c r="T155" s="115">
        <v>-17</v>
      </c>
      <c r="U155" s="115">
        <v>-19</v>
      </c>
      <c r="V155" s="117">
        <v>-20.4</v>
      </c>
      <c r="W155" s="117">
        <v>-25.2857142857143</v>
      </c>
      <c r="X155" s="115">
        <v>-7</v>
      </c>
      <c r="Y155" s="115">
        <v>-4.66666666666667</v>
      </c>
      <c r="Z155" s="115">
        <v>-7.4</v>
      </c>
      <c r="AA155" s="115">
        <v>-9.71428571428571</v>
      </c>
    </row>
    <row r="156" spans="1:27">
      <c r="A156" s="103">
        <v>45015</v>
      </c>
      <c r="B156" s="104" t="s">
        <v>24</v>
      </c>
      <c r="C156" s="145">
        <v>568</v>
      </c>
      <c r="D156" s="145"/>
      <c r="E156" s="104">
        <v>7</v>
      </c>
      <c r="F156" s="106">
        <v>0.0123239436619718</v>
      </c>
      <c r="G156" s="107">
        <v>2</v>
      </c>
      <c r="H156" s="106">
        <v>0.285714285714286</v>
      </c>
      <c r="I156" s="106"/>
      <c r="J156" s="106"/>
      <c r="K156" s="106"/>
      <c r="L156" s="144" t="s">
        <v>4770</v>
      </c>
      <c r="M156" s="151">
        <v>7</v>
      </c>
      <c r="N156" s="151">
        <v>2</v>
      </c>
      <c r="O156" s="152">
        <v>0.285714285714286</v>
      </c>
      <c r="P156" s="108">
        <v>28</v>
      </c>
      <c r="Q156" s="108">
        <v>16.6666666666666</v>
      </c>
      <c r="R156" s="108">
        <v>-46.6</v>
      </c>
      <c r="S156" s="108">
        <v>-157.571428571429</v>
      </c>
      <c r="T156" s="108">
        <v>-1</v>
      </c>
      <c r="U156" s="115">
        <v>-4</v>
      </c>
      <c r="V156" s="115">
        <v>-5.8</v>
      </c>
      <c r="W156" s="115">
        <v>-7.28571428571429</v>
      </c>
      <c r="X156" s="108">
        <v>-2</v>
      </c>
      <c r="Y156" s="108">
        <v>-3</v>
      </c>
      <c r="Z156" s="108">
        <v>-3</v>
      </c>
      <c r="AA156" s="108">
        <v>-3.57142857142857</v>
      </c>
    </row>
    <row r="157" spans="1:27">
      <c r="A157" s="103">
        <v>45015</v>
      </c>
      <c r="B157" s="104" t="s">
        <v>25</v>
      </c>
      <c r="C157" s="145">
        <v>6490</v>
      </c>
      <c r="D157" s="145"/>
      <c r="E157" s="104">
        <v>40</v>
      </c>
      <c r="F157" s="106">
        <v>0.0061633281972265</v>
      </c>
      <c r="G157" s="107">
        <v>30</v>
      </c>
      <c r="H157" s="106">
        <v>0.75</v>
      </c>
      <c r="I157" s="106"/>
      <c r="J157" s="106"/>
      <c r="K157" s="106"/>
      <c r="L157" s="144" t="s">
        <v>4770</v>
      </c>
      <c r="M157" s="151">
        <v>40</v>
      </c>
      <c r="N157" s="151">
        <v>30</v>
      </c>
      <c r="O157" s="152">
        <v>0.75</v>
      </c>
      <c r="P157" s="108">
        <v>401</v>
      </c>
      <c r="Q157" s="108">
        <v>450</v>
      </c>
      <c r="R157" s="108">
        <v>1019.2</v>
      </c>
      <c r="S157" s="108">
        <v>1221</v>
      </c>
      <c r="T157" s="108">
        <v>0</v>
      </c>
      <c r="U157" s="108">
        <v>-4.33333333333334</v>
      </c>
      <c r="V157" s="108">
        <v>-4.2</v>
      </c>
      <c r="W157" s="108">
        <v>-2</v>
      </c>
      <c r="X157" s="108">
        <v>3</v>
      </c>
      <c r="Y157" s="108">
        <v>5</v>
      </c>
      <c r="Z157" s="108">
        <v>5.6</v>
      </c>
      <c r="AA157" s="108">
        <v>7.28571428571428</v>
      </c>
    </row>
    <row r="158" spans="1:27">
      <c r="A158" s="103">
        <v>45015</v>
      </c>
      <c r="B158" s="104" t="s">
        <v>26</v>
      </c>
      <c r="C158" s="145">
        <v>469</v>
      </c>
      <c r="D158" s="145"/>
      <c r="E158" s="104">
        <v>85</v>
      </c>
      <c r="F158" s="106">
        <v>0.181236673773987</v>
      </c>
      <c r="G158" s="107">
        <v>19</v>
      </c>
      <c r="H158" s="106">
        <v>0.223529411764706</v>
      </c>
      <c r="I158" s="106"/>
      <c r="J158" s="106"/>
      <c r="K158" s="106"/>
      <c r="L158" s="144" t="s">
        <v>4770</v>
      </c>
      <c r="M158" s="151">
        <v>85</v>
      </c>
      <c r="N158" s="151">
        <v>19</v>
      </c>
      <c r="O158" s="152">
        <v>0.223529411764706</v>
      </c>
      <c r="P158" s="108">
        <v>8</v>
      </c>
      <c r="Q158" s="117">
        <v>68.3333333333333</v>
      </c>
      <c r="R158" s="117">
        <v>86</v>
      </c>
      <c r="S158" s="117">
        <v>85.8571428571428</v>
      </c>
      <c r="T158" s="108">
        <v>31</v>
      </c>
      <c r="U158" s="108">
        <v>29</v>
      </c>
      <c r="V158" s="108">
        <v>31.8</v>
      </c>
      <c r="W158" s="108">
        <v>34</v>
      </c>
      <c r="X158" s="108">
        <v>1</v>
      </c>
      <c r="Y158" s="108">
        <v>0</v>
      </c>
      <c r="Z158" s="108">
        <v>1.8</v>
      </c>
      <c r="AA158" s="108">
        <v>2.71428571428572</v>
      </c>
    </row>
    <row r="159" spans="1:27">
      <c r="A159" s="103">
        <v>45015</v>
      </c>
      <c r="B159" s="104" t="s">
        <v>27</v>
      </c>
      <c r="C159" s="145">
        <v>25</v>
      </c>
      <c r="D159" s="145"/>
      <c r="E159" s="104">
        <v>0</v>
      </c>
      <c r="F159" s="106">
        <v>0</v>
      </c>
      <c r="G159" s="107">
        <v>0</v>
      </c>
      <c r="H159" s="106">
        <v>0</v>
      </c>
      <c r="I159" s="106"/>
      <c r="J159" s="106"/>
      <c r="K159" s="106"/>
      <c r="L159" s="144" t="s">
        <v>4770</v>
      </c>
      <c r="M159" s="151">
        <v>0</v>
      </c>
      <c r="N159" s="151">
        <v>0</v>
      </c>
      <c r="O159" s="152">
        <v>0</v>
      </c>
      <c r="P159" s="108">
        <v>-16</v>
      </c>
      <c r="Q159" s="108">
        <v>-7.33333333333334</v>
      </c>
      <c r="R159" s="108">
        <v>-6.2</v>
      </c>
      <c r="S159" s="108">
        <v>-8.85714285714285</v>
      </c>
      <c r="T159" s="108">
        <v>0</v>
      </c>
      <c r="U159" s="108">
        <v>-0.333333333333333</v>
      </c>
      <c r="V159" s="108">
        <v>-0.4</v>
      </c>
      <c r="W159" s="108">
        <v>-0.428571428571429</v>
      </c>
      <c r="X159" s="108">
        <v>0</v>
      </c>
      <c r="Y159" s="108">
        <v>0</v>
      </c>
      <c r="Z159" s="108">
        <v>0</v>
      </c>
      <c r="AA159" s="108">
        <v>0</v>
      </c>
    </row>
    <row r="160" spans="1:27">
      <c r="A160" s="103">
        <v>45015</v>
      </c>
      <c r="B160" s="104" t="s">
        <v>28</v>
      </c>
      <c r="C160" s="145">
        <v>0</v>
      </c>
      <c r="D160" s="145"/>
      <c r="E160" s="104">
        <v>0</v>
      </c>
      <c r="F160" s="106">
        <v>0</v>
      </c>
      <c r="G160" s="107">
        <v>0</v>
      </c>
      <c r="H160" s="106">
        <v>0</v>
      </c>
      <c r="I160" s="106"/>
      <c r="J160" s="106"/>
      <c r="K160" s="106"/>
      <c r="L160" s="144" t="s">
        <v>4770</v>
      </c>
      <c r="M160" s="151">
        <v>0</v>
      </c>
      <c r="N160" s="151">
        <v>0</v>
      </c>
      <c r="O160" s="152">
        <v>0</v>
      </c>
      <c r="P160" s="108">
        <v>0</v>
      </c>
      <c r="Q160" s="108">
        <v>0</v>
      </c>
      <c r="R160" s="108">
        <v>0</v>
      </c>
      <c r="S160" s="108">
        <v>0</v>
      </c>
      <c r="T160" s="108">
        <v>0</v>
      </c>
      <c r="U160" s="108">
        <v>0</v>
      </c>
      <c r="V160" s="108">
        <v>0</v>
      </c>
      <c r="W160" s="108">
        <v>0</v>
      </c>
      <c r="X160" s="108">
        <v>0</v>
      </c>
      <c r="Y160" s="108">
        <v>0</v>
      </c>
      <c r="Z160" s="108">
        <v>0</v>
      </c>
      <c r="AA160" s="108">
        <v>0</v>
      </c>
    </row>
    <row r="161" spans="1:27">
      <c r="A161" s="103">
        <v>45015</v>
      </c>
      <c r="B161" s="104" t="s">
        <v>29</v>
      </c>
      <c r="C161" s="145">
        <v>2</v>
      </c>
      <c r="D161" s="145"/>
      <c r="E161" s="104">
        <v>0</v>
      </c>
      <c r="F161" s="106">
        <v>0</v>
      </c>
      <c r="G161" s="107">
        <v>0</v>
      </c>
      <c r="H161" s="106">
        <v>0</v>
      </c>
      <c r="I161" s="106"/>
      <c r="J161" s="106"/>
      <c r="K161" s="106"/>
      <c r="L161" s="144" t="s">
        <v>4770</v>
      </c>
      <c r="M161" s="151">
        <v>0</v>
      </c>
      <c r="N161" s="151">
        <v>0</v>
      </c>
      <c r="O161" s="152">
        <v>0</v>
      </c>
      <c r="P161" s="108">
        <v>-1</v>
      </c>
      <c r="Q161" s="108">
        <v>0.666666666666667</v>
      </c>
      <c r="R161" s="108">
        <v>1</v>
      </c>
      <c r="S161" s="108">
        <v>1.14285714285714</v>
      </c>
      <c r="T161" s="108">
        <v>0</v>
      </c>
      <c r="U161" s="108">
        <v>0</v>
      </c>
      <c r="V161" s="108">
        <v>-0.2</v>
      </c>
      <c r="W161" s="108">
        <v>-0.142857142857143</v>
      </c>
      <c r="X161" s="108">
        <v>0</v>
      </c>
      <c r="Y161" s="108">
        <v>0</v>
      </c>
      <c r="Z161" s="108">
        <v>0</v>
      </c>
      <c r="AA161" s="108">
        <v>0</v>
      </c>
    </row>
    <row r="162" spans="1:27">
      <c r="A162" s="103">
        <v>45015</v>
      </c>
      <c r="B162" s="104" t="s">
        <v>30</v>
      </c>
      <c r="C162" s="145">
        <v>0</v>
      </c>
      <c r="D162" s="145"/>
      <c r="E162" s="104">
        <v>0</v>
      </c>
      <c r="F162" s="106">
        <v>0</v>
      </c>
      <c r="G162" s="107">
        <v>0</v>
      </c>
      <c r="H162" s="106">
        <v>0</v>
      </c>
      <c r="I162" s="106"/>
      <c r="J162" s="106"/>
      <c r="K162" s="106"/>
      <c r="L162" s="144" t="s">
        <v>4770</v>
      </c>
      <c r="M162" s="151">
        <v>0</v>
      </c>
      <c r="N162" s="151">
        <v>0</v>
      </c>
      <c r="O162" s="152">
        <v>0</v>
      </c>
      <c r="P162" s="108">
        <v>0</v>
      </c>
      <c r="Q162" s="108">
        <v>0</v>
      </c>
      <c r="R162" s="108">
        <v>0</v>
      </c>
      <c r="S162" s="108">
        <v>0</v>
      </c>
      <c r="T162" s="108">
        <v>0</v>
      </c>
      <c r="U162" s="108">
        <v>0</v>
      </c>
      <c r="V162" s="108">
        <v>0</v>
      </c>
      <c r="W162" s="108">
        <v>0</v>
      </c>
      <c r="X162" s="108">
        <v>0</v>
      </c>
      <c r="Y162" s="108">
        <v>0</v>
      </c>
      <c r="Z162" s="108">
        <v>0</v>
      </c>
      <c r="AA162" s="108">
        <v>0</v>
      </c>
    </row>
    <row r="163" spans="1:15">
      <c r="A163" s="103">
        <v>45015</v>
      </c>
      <c r="B163" s="104" t="s">
        <v>31</v>
      </c>
      <c r="C163" s="145">
        <v>0</v>
      </c>
      <c r="D163" s="145"/>
      <c r="E163" s="104">
        <v>1</v>
      </c>
      <c r="F163" s="106">
        <v>1</v>
      </c>
      <c r="G163" s="107">
        <v>0</v>
      </c>
      <c r="H163" s="106">
        <v>0</v>
      </c>
      <c r="I163" s="106"/>
      <c r="J163" s="106"/>
      <c r="K163" s="106"/>
      <c r="L163" s="144" t="s">
        <v>4770</v>
      </c>
      <c r="M163" s="151">
        <v>1</v>
      </c>
      <c r="N163" s="151">
        <v>0</v>
      </c>
      <c r="O163" s="152">
        <v>0</v>
      </c>
    </row>
    <row r="164" spans="1:15">
      <c r="A164" s="103">
        <v>45015</v>
      </c>
      <c r="B164" s="104" t="s">
        <v>32</v>
      </c>
      <c r="C164" s="145">
        <v>0</v>
      </c>
      <c r="D164" s="145"/>
      <c r="E164" s="104">
        <v>0</v>
      </c>
      <c r="F164" s="106">
        <v>0</v>
      </c>
      <c r="G164" s="107">
        <v>0</v>
      </c>
      <c r="H164" s="106">
        <v>0</v>
      </c>
      <c r="I164" s="106"/>
      <c r="J164" s="106"/>
      <c r="K164" s="106"/>
      <c r="L164" s="144" t="s">
        <v>4770</v>
      </c>
      <c r="M164" s="151">
        <v>0</v>
      </c>
      <c r="N164" s="151">
        <v>0</v>
      </c>
      <c r="O164" s="152">
        <v>0</v>
      </c>
    </row>
    <row r="165" spans="1:15">
      <c r="A165" s="103">
        <v>45015</v>
      </c>
      <c r="B165" s="104" t="s">
        <v>33</v>
      </c>
      <c r="C165" s="145">
        <v>0</v>
      </c>
      <c r="D165" s="145"/>
      <c r="E165" s="104">
        <v>0</v>
      </c>
      <c r="F165" s="106">
        <v>0</v>
      </c>
      <c r="G165" s="107">
        <v>0</v>
      </c>
      <c r="H165" s="106">
        <v>0</v>
      </c>
      <c r="I165" s="106"/>
      <c r="J165" s="106"/>
      <c r="K165" s="106"/>
      <c r="L165" s="144" t="s">
        <v>4770</v>
      </c>
      <c r="M165" s="151">
        <v>0</v>
      </c>
      <c r="N165" s="151">
        <v>0</v>
      </c>
      <c r="O165" s="152">
        <v>0</v>
      </c>
    </row>
    <row r="166" spans="1:27">
      <c r="A166" s="103">
        <v>45015</v>
      </c>
      <c r="B166" s="104" t="s">
        <v>34</v>
      </c>
      <c r="C166" s="145">
        <v>0</v>
      </c>
      <c r="D166" s="145"/>
      <c r="E166" s="104">
        <v>0</v>
      </c>
      <c r="F166" s="106">
        <v>0</v>
      </c>
      <c r="G166" s="107">
        <v>0</v>
      </c>
      <c r="H166" s="106">
        <v>0</v>
      </c>
      <c r="I166" s="106"/>
      <c r="J166" s="106"/>
      <c r="K166" s="106"/>
      <c r="L166" s="144" t="s">
        <v>4770</v>
      </c>
      <c r="M166" s="151">
        <v>0</v>
      </c>
      <c r="N166" s="151">
        <v>0</v>
      </c>
      <c r="O166" s="152">
        <v>0</v>
      </c>
      <c r="P166" s="153" t="s">
        <v>4776</v>
      </c>
      <c r="Q166" s="154"/>
      <c r="R166" s="154"/>
      <c r="S166" s="154"/>
      <c r="T166" s="154"/>
      <c r="U166" s="154"/>
      <c r="V166" s="154"/>
      <c r="W166" s="154"/>
      <c r="X166" s="154"/>
      <c r="Y166" s="154"/>
      <c r="Z166" s="154"/>
      <c r="AA166" s="164"/>
    </row>
    <row r="167" spans="1:27">
      <c r="A167" s="103">
        <v>45015</v>
      </c>
      <c r="B167" s="104" t="s">
        <v>35</v>
      </c>
      <c r="C167" s="145">
        <v>0</v>
      </c>
      <c r="D167" s="145"/>
      <c r="E167" s="104">
        <v>0</v>
      </c>
      <c r="F167" s="106">
        <v>0</v>
      </c>
      <c r="G167" s="107">
        <v>0</v>
      </c>
      <c r="H167" s="106">
        <v>0</v>
      </c>
      <c r="I167" s="106"/>
      <c r="J167" s="106"/>
      <c r="K167" s="106"/>
      <c r="L167" s="144" t="s">
        <v>4770</v>
      </c>
      <c r="M167" s="151">
        <v>0</v>
      </c>
      <c r="N167" s="151">
        <v>0</v>
      </c>
      <c r="O167" s="152">
        <v>0</v>
      </c>
      <c r="P167" s="154" t="s">
        <v>4777</v>
      </c>
      <c r="Q167" s="154"/>
      <c r="R167" s="154"/>
      <c r="S167" s="154"/>
      <c r="T167" s="154"/>
      <c r="U167" s="154"/>
      <c r="V167" s="154"/>
      <c r="W167" s="154"/>
      <c r="X167" s="154"/>
      <c r="Y167" s="154"/>
      <c r="Z167" s="154"/>
      <c r="AA167" s="154"/>
    </row>
    <row r="168" spans="1:27">
      <c r="A168" s="103">
        <v>45015</v>
      </c>
      <c r="B168" s="104" t="s">
        <v>36</v>
      </c>
      <c r="C168" s="145">
        <v>0</v>
      </c>
      <c r="D168" s="145"/>
      <c r="E168" s="104">
        <v>0</v>
      </c>
      <c r="F168" s="106">
        <v>0</v>
      </c>
      <c r="G168" s="107">
        <v>0</v>
      </c>
      <c r="H168" s="106">
        <v>0</v>
      </c>
      <c r="I168" s="106"/>
      <c r="J168" s="106"/>
      <c r="K168" s="106"/>
      <c r="L168" s="144" t="s">
        <v>4770</v>
      </c>
      <c r="M168" s="151">
        <v>0</v>
      </c>
      <c r="N168" s="151">
        <v>0</v>
      </c>
      <c r="O168" s="152">
        <v>0</v>
      </c>
      <c r="P168" s="154" t="s">
        <v>4778</v>
      </c>
      <c r="Q168" s="154"/>
      <c r="R168" s="154"/>
      <c r="S168" s="154"/>
      <c r="T168" s="154"/>
      <c r="U168" s="154"/>
      <c r="V168" s="154"/>
      <c r="W168" s="154"/>
      <c r="X168" s="154"/>
      <c r="Y168" s="154"/>
      <c r="Z168" s="154"/>
      <c r="AA168" s="164"/>
    </row>
    <row r="169" spans="1:27">
      <c r="A169" s="103">
        <v>45015</v>
      </c>
      <c r="B169" s="104" t="s">
        <v>37</v>
      </c>
      <c r="C169" s="145">
        <v>0</v>
      </c>
      <c r="D169" s="145"/>
      <c r="E169" s="104">
        <v>0</v>
      </c>
      <c r="F169" s="106">
        <v>0</v>
      </c>
      <c r="G169" s="107">
        <v>0</v>
      </c>
      <c r="H169" s="106">
        <v>0</v>
      </c>
      <c r="I169" s="106"/>
      <c r="J169" s="106"/>
      <c r="K169" s="106"/>
      <c r="L169" s="144" t="s">
        <v>4770</v>
      </c>
      <c r="M169" s="151">
        <v>0</v>
      </c>
      <c r="N169" s="151">
        <v>0</v>
      </c>
      <c r="O169" s="152">
        <v>0</v>
      </c>
      <c r="P169" s="154" t="s">
        <v>4779</v>
      </c>
      <c r="Q169" s="154"/>
      <c r="R169" s="154"/>
      <c r="S169" s="154"/>
      <c r="T169" s="154"/>
      <c r="U169" s="154"/>
      <c r="V169" s="154"/>
      <c r="W169" s="154"/>
      <c r="X169" s="154"/>
      <c r="Y169" s="154"/>
      <c r="Z169" s="154"/>
      <c r="AA169" s="164"/>
    </row>
    <row r="170" spans="1:27">
      <c r="A170" s="103">
        <v>45015</v>
      </c>
      <c r="B170" s="104" t="s">
        <v>38</v>
      </c>
      <c r="C170" s="145">
        <v>0</v>
      </c>
      <c r="D170" s="145"/>
      <c r="E170" s="104">
        <v>0</v>
      </c>
      <c r="F170" s="106">
        <v>0</v>
      </c>
      <c r="G170" s="107">
        <v>0</v>
      </c>
      <c r="H170" s="106">
        <v>0</v>
      </c>
      <c r="I170" s="106"/>
      <c r="J170" s="106"/>
      <c r="K170" s="106"/>
      <c r="L170" s="144" t="s">
        <v>4770</v>
      </c>
      <c r="M170" s="151">
        <v>0</v>
      </c>
      <c r="N170" s="151">
        <v>0</v>
      </c>
      <c r="O170" s="152">
        <v>0</v>
      </c>
      <c r="P170" s="154" t="s">
        <v>4780</v>
      </c>
      <c r="Q170" s="154"/>
      <c r="R170" s="154"/>
      <c r="S170" s="154"/>
      <c r="T170" s="154"/>
      <c r="U170" s="154"/>
      <c r="V170" s="154"/>
      <c r="W170" s="154"/>
      <c r="X170" s="154"/>
      <c r="Y170" s="154"/>
      <c r="Z170" s="154"/>
      <c r="AA170" s="164"/>
    </row>
    <row r="171" spans="1:27">
      <c r="A171" s="103">
        <v>45015</v>
      </c>
      <c r="B171" s="111" t="s">
        <v>39</v>
      </c>
      <c r="C171" s="112">
        <v>17542</v>
      </c>
      <c r="D171" s="112"/>
      <c r="E171" s="112">
        <v>420</v>
      </c>
      <c r="F171" s="113">
        <v>0.0239425379090184</v>
      </c>
      <c r="G171" s="112">
        <v>141</v>
      </c>
      <c r="H171" s="113">
        <v>0.335714285714286</v>
      </c>
      <c r="I171" s="113"/>
      <c r="J171" s="113"/>
      <c r="K171" s="113"/>
      <c r="L171" s="146" t="s">
        <v>4770</v>
      </c>
      <c r="M171" s="155">
        <v>420</v>
      </c>
      <c r="N171" s="155">
        <v>141</v>
      </c>
      <c r="O171" s="156">
        <v>0.335714285714286</v>
      </c>
      <c r="P171" s="154" t="s">
        <v>4781</v>
      </c>
      <c r="Q171" s="154"/>
      <c r="R171" s="154"/>
      <c r="S171" s="154"/>
      <c r="T171" s="154"/>
      <c r="U171" s="154"/>
      <c r="V171" s="154"/>
      <c r="W171" s="154"/>
      <c r="X171" s="154"/>
      <c r="Y171" s="154"/>
      <c r="Z171" s="154"/>
      <c r="AA171" s="164"/>
    </row>
    <row r="172" spans="1:27">
      <c r="A172" s="212">
        <v>45016</v>
      </c>
      <c r="B172" s="104" t="s">
        <v>17</v>
      </c>
      <c r="C172" s="107">
        <v>40</v>
      </c>
      <c r="D172" s="107"/>
      <c r="E172" s="104">
        <v>25</v>
      </c>
      <c r="F172" s="106">
        <v>0.625</v>
      </c>
      <c r="G172" s="107">
        <v>6</v>
      </c>
      <c r="H172" s="106">
        <v>0.24</v>
      </c>
      <c r="I172" s="106"/>
      <c r="J172" s="106"/>
      <c r="K172" s="106"/>
      <c r="L172" s="148" t="s">
        <v>4770</v>
      </c>
      <c r="M172" s="157">
        <v>25</v>
      </c>
      <c r="N172" s="157">
        <v>6</v>
      </c>
      <c r="O172" s="158">
        <v>0.24</v>
      </c>
      <c r="P172" s="108">
        <v>-20</v>
      </c>
      <c r="Q172" s="108">
        <v>-33.3333333333333</v>
      </c>
      <c r="R172" s="108">
        <v>-74.8</v>
      </c>
      <c r="S172" s="108">
        <v>-90</v>
      </c>
      <c r="T172" s="108">
        <v>-7</v>
      </c>
      <c r="U172" s="108">
        <v>-2.33333333333333</v>
      </c>
      <c r="V172" s="108">
        <v>-1.8</v>
      </c>
      <c r="W172" s="108">
        <v>-2.42857142857143</v>
      </c>
      <c r="X172" s="108">
        <v>2</v>
      </c>
      <c r="Y172" s="108">
        <v>2</v>
      </c>
      <c r="Z172" s="108">
        <v>2</v>
      </c>
      <c r="AA172" s="108">
        <v>2</v>
      </c>
    </row>
    <row r="173" spans="1:27">
      <c r="A173" s="212">
        <v>45016</v>
      </c>
      <c r="B173" s="104" t="s">
        <v>19</v>
      </c>
      <c r="C173" s="107">
        <v>1441</v>
      </c>
      <c r="D173" s="107"/>
      <c r="E173" s="104">
        <v>58</v>
      </c>
      <c r="F173" s="106">
        <v>0.0402498265093685</v>
      </c>
      <c r="G173" s="107">
        <v>22</v>
      </c>
      <c r="H173" s="106">
        <v>0.379310344827586</v>
      </c>
      <c r="I173" s="106"/>
      <c r="J173" s="106"/>
      <c r="K173" s="106"/>
      <c r="L173" s="149" t="s">
        <v>4770</v>
      </c>
      <c r="M173" s="159">
        <v>58</v>
      </c>
      <c r="N173" s="159">
        <v>22</v>
      </c>
      <c r="O173" s="160">
        <v>0.379310344827586</v>
      </c>
      <c r="P173" s="108">
        <v>-307</v>
      </c>
      <c r="Q173" s="108">
        <v>-302.666666666667</v>
      </c>
      <c r="R173" s="108">
        <v>-331.6</v>
      </c>
      <c r="S173" s="108">
        <v>-273</v>
      </c>
      <c r="T173" s="108">
        <v>-19</v>
      </c>
      <c r="U173" s="108">
        <v>-29</v>
      </c>
      <c r="V173" s="108">
        <v>-31.2</v>
      </c>
      <c r="W173" s="108">
        <v>-26.4285714285714</v>
      </c>
      <c r="X173" s="108">
        <v>-9</v>
      </c>
      <c r="Y173" s="108">
        <v>-15</v>
      </c>
      <c r="Z173" s="108">
        <v>-16</v>
      </c>
      <c r="AA173" s="115">
        <v>-12.8571428571429</v>
      </c>
    </row>
    <row r="174" spans="1:27">
      <c r="A174" s="212">
        <v>45016</v>
      </c>
      <c r="B174" s="104" t="s">
        <v>21</v>
      </c>
      <c r="C174" s="145">
        <v>1087</v>
      </c>
      <c r="D174" s="145"/>
      <c r="E174" s="104">
        <v>27</v>
      </c>
      <c r="F174" s="106">
        <v>0.0248390064397424</v>
      </c>
      <c r="G174" s="107">
        <v>11</v>
      </c>
      <c r="H174" s="106">
        <v>0.407407407407407</v>
      </c>
      <c r="I174" s="106"/>
      <c r="J174" s="106"/>
      <c r="K174" s="106"/>
      <c r="L174" s="149" t="s">
        <v>4770</v>
      </c>
      <c r="M174" s="159">
        <v>27</v>
      </c>
      <c r="N174" s="159">
        <v>11</v>
      </c>
      <c r="O174" s="160">
        <v>0.407407407407407</v>
      </c>
      <c r="P174" s="108">
        <v>-51</v>
      </c>
      <c r="Q174" s="108">
        <v>42</v>
      </c>
      <c r="R174" s="108">
        <v>32.4000000000001</v>
      </c>
      <c r="S174" s="108">
        <v>87.5714285714286</v>
      </c>
      <c r="T174" s="108">
        <v>5</v>
      </c>
      <c r="U174" s="108">
        <v>-1.33333333333333</v>
      </c>
      <c r="V174" s="108">
        <v>-5.6</v>
      </c>
      <c r="W174" s="108">
        <v>-8.42857142857143</v>
      </c>
      <c r="X174" s="108">
        <v>6</v>
      </c>
      <c r="Y174" s="108">
        <v>2.33333333333333</v>
      </c>
      <c r="Z174" s="108">
        <v>0</v>
      </c>
      <c r="AA174" s="108">
        <v>-0.285714285714286</v>
      </c>
    </row>
    <row r="175" spans="1:27">
      <c r="A175" s="212">
        <v>45016</v>
      </c>
      <c r="B175" s="104" t="s">
        <v>22</v>
      </c>
      <c r="C175" s="145">
        <v>4709</v>
      </c>
      <c r="D175" s="145"/>
      <c r="E175" s="104">
        <v>105</v>
      </c>
      <c r="F175" s="106">
        <v>0.0222977277553621</v>
      </c>
      <c r="G175" s="107">
        <v>32</v>
      </c>
      <c r="H175" s="106">
        <v>0.304761904761905</v>
      </c>
      <c r="I175" s="106"/>
      <c r="J175" s="106"/>
      <c r="K175" s="106"/>
      <c r="L175" s="149" t="s">
        <v>4770</v>
      </c>
      <c r="M175" s="159">
        <v>105</v>
      </c>
      <c r="N175" s="159">
        <v>32</v>
      </c>
      <c r="O175" s="160">
        <v>0.304761904761905</v>
      </c>
      <c r="P175" s="108">
        <v>393</v>
      </c>
      <c r="Q175" s="108">
        <v>387</v>
      </c>
      <c r="R175" s="108">
        <v>217.8</v>
      </c>
      <c r="S175" s="108">
        <v>26.4285714285716</v>
      </c>
      <c r="T175" s="108">
        <v>-29</v>
      </c>
      <c r="U175" s="108">
        <v>-25.6666666666667</v>
      </c>
      <c r="V175" s="108">
        <v>-20.6</v>
      </c>
      <c r="W175" s="115">
        <v>-28.1428571428571</v>
      </c>
      <c r="X175" s="108">
        <v>-13</v>
      </c>
      <c r="Y175" s="108">
        <v>-12</v>
      </c>
      <c r="Z175" s="108">
        <v>-9.4</v>
      </c>
      <c r="AA175" s="117">
        <v>-15</v>
      </c>
    </row>
    <row r="176" spans="1:27">
      <c r="A176" s="212">
        <v>45016</v>
      </c>
      <c r="B176" s="104" t="s">
        <v>23</v>
      </c>
      <c r="C176" s="145">
        <v>3126</v>
      </c>
      <c r="D176" s="145"/>
      <c r="E176" s="104">
        <v>32</v>
      </c>
      <c r="F176" s="106">
        <v>0.0102367242482406</v>
      </c>
      <c r="G176" s="107">
        <v>10</v>
      </c>
      <c r="H176" s="106">
        <v>0.3125</v>
      </c>
      <c r="I176" s="106"/>
      <c r="J176" s="106"/>
      <c r="K176" s="106"/>
      <c r="L176" s="149" t="s">
        <v>4770</v>
      </c>
      <c r="M176" s="159">
        <v>32</v>
      </c>
      <c r="N176" s="159">
        <v>10</v>
      </c>
      <c r="O176" s="160">
        <v>0.3125</v>
      </c>
      <c r="P176" s="108">
        <v>400</v>
      </c>
      <c r="Q176" s="108">
        <v>275.333333333333</v>
      </c>
      <c r="R176" s="108">
        <v>169.4</v>
      </c>
      <c r="S176" s="108">
        <v>-10.7142857142858</v>
      </c>
      <c r="T176" s="108">
        <v>9</v>
      </c>
      <c r="U176" s="108">
        <v>-5.33333333333334</v>
      </c>
      <c r="V176" s="108">
        <v>-6.4</v>
      </c>
      <c r="W176" s="108">
        <v>-10.2857142857143</v>
      </c>
      <c r="X176" s="108">
        <v>5</v>
      </c>
      <c r="Y176" s="116">
        <v>1.66666666666667</v>
      </c>
      <c r="Z176" s="108">
        <v>0.199999999999999</v>
      </c>
      <c r="AA176" s="108">
        <v>-2.28571428571429</v>
      </c>
    </row>
    <row r="177" spans="1:27">
      <c r="A177" s="212">
        <v>45016</v>
      </c>
      <c r="B177" s="104" t="s">
        <v>24</v>
      </c>
      <c r="C177" s="145">
        <v>479</v>
      </c>
      <c r="D177" s="145"/>
      <c r="E177" s="104">
        <v>3</v>
      </c>
      <c r="F177" s="106">
        <v>0.00626304801670146</v>
      </c>
      <c r="G177" s="107">
        <v>1</v>
      </c>
      <c r="H177" s="106">
        <v>0.333333333333333</v>
      </c>
      <c r="I177" s="106"/>
      <c r="J177" s="106"/>
      <c r="K177" s="106"/>
      <c r="L177" s="149" t="s">
        <v>4770</v>
      </c>
      <c r="M177" s="159">
        <v>3</v>
      </c>
      <c r="N177" s="159">
        <v>1</v>
      </c>
      <c r="O177" s="160">
        <v>0.333333333333333</v>
      </c>
      <c r="P177" s="108">
        <v>-89</v>
      </c>
      <c r="Q177" s="108">
        <v>-62.6666666666666</v>
      </c>
      <c r="R177" s="117">
        <v>-100.6</v>
      </c>
      <c r="S177" s="108">
        <v>-175</v>
      </c>
      <c r="T177" s="115">
        <v>-4</v>
      </c>
      <c r="U177" s="115">
        <v>-5.33333333333333</v>
      </c>
      <c r="V177" s="117">
        <v>-6.8</v>
      </c>
      <c r="W177" s="117">
        <v>-9.71428571428571</v>
      </c>
      <c r="X177" s="115">
        <v>-1</v>
      </c>
      <c r="Y177" s="115">
        <v>-3</v>
      </c>
      <c r="Z177" s="115">
        <v>-3</v>
      </c>
      <c r="AA177" s="115">
        <v>-3.71428571428571</v>
      </c>
    </row>
    <row r="178" spans="1:27">
      <c r="A178" s="212">
        <v>45016</v>
      </c>
      <c r="B178" s="104" t="s">
        <v>25</v>
      </c>
      <c r="C178" s="145">
        <v>5452</v>
      </c>
      <c r="D178" s="145"/>
      <c r="E178" s="104">
        <v>30</v>
      </c>
      <c r="F178" s="106">
        <v>0.00550256786500367</v>
      </c>
      <c r="G178" s="107">
        <v>13</v>
      </c>
      <c r="H178" s="106">
        <v>0.433333333333333</v>
      </c>
      <c r="I178" s="106"/>
      <c r="J178" s="106"/>
      <c r="K178" s="106"/>
      <c r="L178" s="149" t="s">
        <v>4770</v>
      </c>
      <c r="M178" s="159">
        <v>30</v>
      </c>
      <c r="N178" s="159">
        <v>13</v>
      </c>
      <c r="O178" s="160">
        <v>0.433333333333333</v>
      </c>
      <c r="P178" s="108">
        <v>-1038</v>
      </c>
      <c r="Q178" s="108">
        <v>-927.333333333333</v>
      </c>
      <c r="R178" s="108">
        <v>-497.4</v>
      </c>
      <c r="S178" s="108">
        <v>-66.4285714285716</v>
      </c>
      <c r="T178" s="116">
        <v>-10</v>
      </c>
      <c r="U178" s="115">
        <v>-11</v>
      </c>
      <c r="V178" s="115">
        <v>-12.2</v>
      </c>
      <c r="W178" s="115">
        <v>-12.5714285714286</v>
      </c>
      <c r="X178" s="108">
        <v>-17</v>
      </c>
      <c r="Y178" s="108">
        <v>-16</v>
      </c>
      <c r="Z178" s="108">
        <v>-13.6</v>
      </c>
      <c r="AA178" s="108">
        <v>-11.5714285714286</v>
      </c>
    </row>
    <row r="179" spans="1:27">
      <c r="A179" s="212">
        <v>45016</v>
      </c>
      <c r="B179" s="104" t="s">
        <v>26</v>
      </c>
      <c r="C179" s="145">
        <v>488</v>
      </c>
      <c r="D179" s="145"/>
      <c r="E179" s="104">
        <v>58</v>
      </c>
      <c r="F179" s="106">
        <v>0.118852459016393</v>
      </c>
      <c r="G179" s="107">
        <v>15</v>
      </c>
      <c r="H179" s="106">
        <v>0.258620689655172</v>
      </c>
      <c r="I179" s="106"/>
      <c r="J179" s="106"/>
      <c r="K179" s="106"/>
      <c r="L179" s="149" t="s">
        <v>4770</v>
      </c>
      <c r="M179" s="159">
        <v>58</v>
      </c>
      <c r="N179" s="159">
        <v>15</v>
      </c>
      <c r="O179" s="160">
        <v>0.258620689655172</v>
      </c>
      <c r="P179" s="108">
        <v>19</v>
      </c>
      <c r="Q179" s="108">
        <v>45</v>
      </c>
      <c r="R179" s="108">
        <v>86</v>
      </c>
      <c r="S179" s="108">
        <v>95.4285714285714</v>
      </c>
      <c r="T179" s="108">
        <v>-27</v>
      </c>
      <c r="U179" s="108">
        <v>-8.66666666666667</v>
      </c>
      <c r="V179" s="108">
        <v>-2.8</v>
      </c>
      <c r="W179" s="108">
        <v>1.14285714285715</v>
      </c>
      <c r="X179" s="108">
        <v>-4</v>
      </c>
      <c r="Y179" s="108">
        <v>-5.33333333333333</v>
      </c>
      <c r="Z179" s="108">
        <v>-3.4</v>
      </c>
      <c r="AA179" s="108">
        <v>-1.85714285714286</v>
      </c>
    </row>
    <row r="180" spans="1:27">
      <c r="A180" s="212">
        <v>45016</v>
      </c>
      <c r="B180" s="104" t="s">
        <v>27</v>
      </c>
      <c r="C180" s="145">
        <v>24</v>
      </c>
      <c r="D180" s="145"/>
      <c r="E180" s="104">
        <v>0</v>
      </c>
      <c r="F180" s="106">
        <v>0</v>
      </c>
      <c r="G180" s="107">
        <v>0</v>
      </c>
      <c r="H180" s="106">
        <v>0</v>
      </c>
      <c r="I180" s="106"/>
      <c r="J180" s="106"/>
      <c r="K180" s="106"/>
      <c r="L180" s="149" t="s">
        <v>4770</v>
      </c>
      <c r="M180" s="159">
        <v>0</v>
      </c>
      <c r="N180" s="159">
        <v>0</v>
      </c>
      <c r="O180" s="160">
        <v>0</v>
      </c>
      <c r="P180" s="108">
        <v>-1</v>
      </c>
      <c r="Q180" s="117">
        <v>-7.33333333333333</v>
      </c>
      <c r="R180" s="117">
        <v>-6.2</v>
      </c>
      <c r="S180" s="117">
        <v>-5</v>
      </c>
      <c r="T180" s="108">
        <v>0</v>
      </c>
      <c r="U180" s="108">
        <v>0</v>
      </c>
      <c r="V180" s="108">
        <v>-0.4</v>
      </c>
      <c r="W180" s="108">
        <v>-0.285714285714286</v>
      </c>
      <c r="X180" s="108">
        <v>0</v>
      </c>
      <c r="Y180" s="108">
        <v>0</v>
      </c>
      <c r="Z180" s="108">
        <v>0</v>
      </c>
      <c r="AA180" s="108">
        <v>0</v>
      </c>
    </row>
    <row r="181" spans="1:27">
      <c r="A181" s="212">
        <v>45016</v>
      </c>
      <c r="B181" s="104" t="s">
        <v>28</v>
      </c>
      <c r="C181" s="145">
        <v>0</v>
      </c>
      <c r="D181" s="145"/>
      <c r="E181" s="104">
        <v>0</v>
      </c>
      <c r="F181" s="106">
        <v>0</v>
      </c>
      <c r="G181" s="107">
        <v>0</v>
      </c>
      <c r="H181" s="106">
        <v>0</v>
      </c>
      <c r="I181" s="106"/>
      <c r="J181" s="106"/>
      <c r="K181" s="106"/>
      <c r="L181" s="149" t="s">
        <v>4770</v>
      </c>
      <c r="M181" s="159">
        <v>0</v>
      </c>
      <c r="N181" s="159">
        <v>0</v>
      </c>
      <c r="O181" s="160">
        <v>0</v>
      </c>
      <c r="P181" s="108">
        <v>0</v>
      </c>
      <c r="Q181" s="108">
        <v>0</v>
      </c>
      <c r="R181" s="108">
        <v>0</v>
      </c>
      <c r="S181" s="108">
        <v>0</v>
      </c>
      <c r="T181" s="108">
        <v>0</v>
      </c>
      <c r="U181" s="108">
        <v>0</v>
      </c>
      <c r="V181" s="108">
        <v>0</v>
      </c>
      <c r="W181" s="108">
        <v>0</v>
      </c>
      <c r="X181" s="108">
        <v>0</v>
      </c>
      <c r="Y181" s="108">
        <v>0</v>
      </c>
      <c r="Z181" s="108">
        <v>0</v>
      </c>
      <c r="AA181" s="108">
        <v>0</v>
      </c>
    </row>
    <row r="182" spans="1:27">
      <c r="A182" s="212">
        <v>45016</v>
      </c>
      <c r="B182" s="104" t="s">
        <v>29</v>
      </c>
      <c r="C182" s="145">
        <v>7</v>
      </c>
      <c r="D182" s="145"/>
      <c r="E182" s="104">
        <v>1</v>
      </c>
      <c r="F182" s="106">
        <v>0.142857142857143</v>
      </c>
      <c r="G182" s="107">
        <v>0</v>
      </c>
      <c r="H182" s="106">
        <v>0</v>
      </c>
      <c r="I182" s="106"/>
      <c r="J182" s="106"/>
      <c r="K182" s="106"/>
      <c r="L182" s="149" t="s">
        <v>4770</v>
      </c>
      <c r="M182" s="159">
        <v>1</v>
      </c>
      <c r="N182" s="159">
        <v>0</v>
      </c>
      <c r="O182" s="160">
        <v>0</v>
      </c>
      <c r="P182" s="108">
        <v>5</v>
      </c>
      <c r="Q182" s="108">
        <v>5</v>
      </c>
      <c r="R182" s="108">
        <v>5.6</v>
      </c>
      <c r="S182" s="108">
        <v>5.85714285714286</v>
      </c>
      <c r="T182" s="108">
        <v>1</v>
      </c>
      <c r="U182" s="108">
        <v>1</v>
      </c>
      <c r="V182" s="108">
        <v>1</v>
      </c>
      <c r="W182" s="108">
        <v>0.857142857142857</v>
      </c>
      <c r="X182" s="108">
        <v>0</v>
      </c>
      <c r="Y182" s="108">
        <v>0</v>
      </c>
      <c r="Z182" s="108">
        <v>0</v>
      </c>
      <c r="AA182" s="108">
        <v>0</v>
      </c>
    </row>
    <row r="183" spans="1:27">
      <c r="A183" s="212">
        <v>45016</v>
      </c>
      <c r="B183" s="104" t="s">
        <v>30</v>
      </c>
      <c r="C183" s="145">
        <v>0</v>
      </c>
      <c r="D183" s="145"/>
      <c r="E183" s="104">
        <v>0</v>
      </c>
      <c r="F183" s="106">
        <v>0</v>
      </c>
      <c r="G183" s="107">
        <v>0</v>
      </c>
      <c r="H183" s="106">
        <v>0</v>
      </c>
      <c r="I183" s="106"/>
      <c r="J183" s="106"/>
      <c r="K183" s="106"/>
      <c r="L183" s="149" t="s">
        <v>4770</v>
      </c>
      <c r="M183" s="159">
        <v>0</v>
      </c>
      <c r="N183" s="159">
        <v>0</v>
      </c>
      <c r="O183" s="160">
        <v>0</v>
      </c>
      <c r="P183" s="108">
        <v>0</v>
      </c>
      <c r="Q183" s="108">
        <v>0</v>
      </c>
      <c r="R183" s="108">
        <v>0</v>
      </c>
      <c r="S183" s="108">
        <v>0</v>
      </c>
      <c r="T183" s="108">
        <v>0</v>
      </c>
      <c r="U183" s="108">
        <v>0</v>
      </c>
      <c r="V183" s="108">
        <v>0</v>
      </c>
      <c r="W183" s="108">
        <v>0</v>
      </c>
      <c r="X183" s="108">
        <v>0</v>
      </c>
      <c r="Y183" s="108">
        <v>0</v>
      </c>
      <c r="Z183" s="108">
        <v>0</v>
      </c>
      <c r="AA183" s="108">
        <v>0</v>
      </c>
    </row>
    <row r="184" spans="1:27">
      <c r="A184" s="212">
        <v>45016</v>
      </c>
      <c r="B184" s="104" t="s">
        <v>31</v>
      </c>
      <c r="C184" s="145">
        <v>0</v>
      </c>
      <c r="D184" s="145"/>
      <c r="E184" s="104">
        <v>0</v>
      </c>
      <c r="F184" s="106">
        <v>0</v>
      </c>
      <c r="G184" s="107">
        <v>0</v>
      </c>
      <c r="H184" s="106">
        <v>0</v>
      </c>
      <c r="I184" s="106"/>
      <c r="J184" s="106"/>
      <c r="K184" s="106"/>
      <c r="L184" s="149" t="s">
        <v>4770</v>
      </c>
      <c r="M184" s="159">
        <v>0</v>
      </c>
      <c r="N184" s="159">
        <v>0</v>
      </c>
      <c r="O184" s="160">
        <v>0</v>
      </c>
      <c r="P184" s="108">
        <v>0</v>
      </c>
      <c r="Q184" s="108">
        <v>0</v>
      </c>
      <c r="R184" s="108">
        <v>0</v>
      </c>
      <c r="S184" s="108">
        <v>0</v>
      </c>
      <c r="T184" s="108">
        <v>-1</v>
      </c>
      <c r="U184" s="108">
        <v>-0.333333333333333</v>
      </c>
      <c r="V184" s="108">
        <v>-0.2</v>
      </c>
      <c r="W184" s="108">
        <v>-0.142857142857143</v>
      </c>
      <c r="X184" s="108">
        <v>0</v>
      </c>
      <c r="Y184" s="108">
        <v>0</v>
      </c>
      <c r="Z184" s="108">
        <v>0</v>
      </c>
      <c r="AA184" s="108">
        <v>0</v>
      </c>
    </row>
    <row r="185" spans="1:27">
      <c r="A185" s="212">
        <v>45016</v>
      </c>
      <c r="B185" s="104" t="s">
        <v>32</v>
      </c>
      <c r="C185" s="145">
        <v>0</v>
      </c>
      <c r="D185" s="145"/>
      <c r="E185" s="104">
        <v>0</v>
      </c>
      <c r="F185" s="106">
        <v>0</v>
      </c>
      <c r="G185" s="107">
        <v>0</v>
      </c>
      <c r="H185" s="106">
        <v>0</v>
      </c>
      <c r="I185" s="106"/>
      <c r="J185" s="106"/>
      <c r="K185" s="106"/>
      <c r="L185" s="149" t="s">
        <v>4770</v>
      </c>
      <c r="M185" s="159">
        <v>0</v>
      </c>
      <c r="N185" s="159">
        <v>0</v>
      </c>
      <c r="O185" s="160">
        <v>0</v>
      </c>
      <c r="P185" s="108">
        <v>0</v>
      </c>
      <c r="Q185" s="108">
        <v>0</v>
      </c>
      <c r="R185" s="108">
        <v>0</v>
      </c>
      <c r="S185" s="108">
        <v>0</v>
      </c>
      <c r="T185" s="108">
        <v>0</v>
      </c>
      <c r="U185" s="108">
        <v>0</v>
      </c>
      <c r="V185" s="108">
        <v>0</v>
      </c>
      <c r="W185" s="108">
        <v>0</v>
      </c>
      <c r="X185" s="108">
        <v>0</v>
      </c>
      <c r="Y185" s="108">
        <v>0</v>
      </c>
      <c r="Z185" s="108">
        <v>0</v>
      </c>
      <c r="AA185" s="108">
        <v>0</v>
      </c>
    </row>
    <row r="186" spans="1:27">
      <c r="A186" s="212">
        <v>45016</v>
      </c>
      <c r="B186" s="104" t="s">
        <v>33</v>
      </c>
      <c r="C186" s="145">
        <v>0</v>
      </c>
      <c r="D186" s="145"/>
      <c r="E186" s="104">
        <v>1</v>
      </c>
      <c r="F186" s="106">
        <v>1</v>
      </c>
      <c r="G186" s="107">
        <v>0</v>
      </c>
      <c r="H186" s="106">
        <v>0</v>
      </c>
      <c r="I186" s="106"/>
      <c r="J186" s="106"/>
      <c r="K186" s="106"/>
      <c r="L186" s="149" t="s">
        <v>4770</v>
      </c>
      <c r="M186" s="159">
        <v>1</v>
      </c>
      <c r="N186" s="159">
        <v>0</v>
      </c>
      <c r="O186" s="160">
        <v>0</v>
      </c>
      <c r="P186" s="108">
        <v>0</v>
      </c>
      <c r="Q186" s="108">
        <v>0</v>
      </c>
      <c r="R186" s="108">
        <v>0</v>
      </c>
      <c r="S186" s="108">
        <v>0</v>
      </c>
      <c r="T186" s="108">
        <v>1</v>
      </c>
      <c r="U186" s="108">
        <v>1</v>
      </c>
      <c r="V186" s="108">
        <v>1</v>
      </c>
      <c r="W186" s="108">
        <v>1</v>
      </c>
      <c r="X186" s="108">
        <v>0</v>
      </c>
      <c r="Y186" s="108">
        <v>0</v>
      </c>
      <c r="Z186" s="108">
        <v>0</v>
      </c>
      <c r="AA186" s="108">
        <v>0</v>
      </c>
    </row>
    <row r="187" spans="1:15">
      <c r="A187" s="212">
        <v>45016</v>
      </c>
      <c r="B187" s="104" t="s">
        <v>34</v>
      </c>
      <c r="C187" s="145">
        <v>0</v>
      </c>
      <c r="D187" s="145"/>
      <c r="E187" s="104">
        <v>0</v>
      </c>
      <c r="F187" s="106">
        <v>0</v>
      </c>
      <c r="G187" s="107">
        <v>0</v>
      </c>
      <c r="H187" s="106">
        <v>0</v>
      </c>
      <c r="I187" s="106"/>
      <c r="J187" s="106"/>
      <c r="K187" s="106"/>
      <c r="L187" s="149" t="s">
        <v>4770</v>
      </c>
      <c r="M187" s="159">
        <v>0</v>
      </c>
      <c r="N187" s="159">
        <v>0</v>
      </c>
      <c r="O187" s="160">
        <v>0</v>
      </c>
    </row>
    <row r="188" spans="1:27">
      <c r="A188" s="212">
        <v>45016</v>
      </c>
      <c r="B188" s="104" t="s">
        <v>35</v>
      </c>
      <c r="C188" s="145">
        <v>0</v>
      </c>
      <c r="D188" s="145"/>
      <c r="E188" s="104">
        <v>0</v>
      </c>
      <c r="F188" s="106">
        <v>0</v>
      </c>
      <c r="G188" s="107">
        <v>0</v>
      </c>
      <c r="H188" s="106">
        <v>0</v>
      </c>
      <c r="I188" s="106"/>
      <c r="J188" s="106"/>
      <c r="K188" s="106"/>
      <c r="L188" s="149" t="s">
        <v>4770</v>
      </c>
      <c r="M188" s="159">
        <v>0</v>
      </c>
      <c r="N188" s="159">
        <v>0</v>
      </c>
      <c r="O188" s="160">
        <v>0</v>
      </c>
      <c r="P188" s="161">
        <v>45016</v>
      </c>
      <c r="Q188" s="161" t="s">
        <v>4782</v>
      </c>
      <c r="R188" s="161"/>
      <c r="S188" s="161"/>
      <c r="T188" s="161"/>
      <c r="U188" s="161"/>
      <c r="V188" s="161"/>
      <c r="W188" s="161"/>
      <c r="X188" s="161"/>
      <c r="Y188" s="161"/>
      <c r="Z188" s="161"/>
      <c r="AA188" s="165"/>
    </row>
    <row r="189" spans="1:27">
      <c r="A189" s="212">
        <v>45016</v>
      </c>
      <c r="B189" s="104" t="s">
        <v>36</v>
      </c>
      <c r="C189" s="145">
        <v>0</v>
      </c>
      <c r="D189" s="145"/>
      <c r="E189" s="104">
        <v>0</v>
      </c>
      <c r="F189" s="106">
        <v>0</v>
      </c>
      <c r="G189" s="107">
        <v>0</v>
      </c>
      <c r="H189" s="106">
        <v>0</v>
      </c>
      <c r="I189" s="106"/>
      <c r="J189" s="106"/>
      <c r="K189" s="106"/>
      <c r="L189" s="149" t="s">
        <v>4770</v>
      </c>
      <c r="M189" s="159">
        <v>0</v>
      </c>
      <c r="N189" s="159">
        <v>0</v>
      </c>
      <c r="O189" s="160">
        <v>0</v>
      </c>
      <c r="P189" s="154" t="s">
        <v>4783</v>
      </c>
      <c r="Q189" s="154"/>
      <c r="R189" s="154"/>
      <c r="S189" s="154"/>
      <c r="T189" s="154"/>
      <c r="U189" s="154"/>
      <c r="V189" s="154"/>
      <c r="W189" s="154"/>
      <c r="X189" s="154"/>
      <c r="Y189" s="154"/>
      <c r="Z189" s="154"/>
      <c r="AA189" s="164"/>
    </row>
    <row r="190" spans="1:27">
      <c r="A190" s="212">
        <v>45016</v>
      </c>
      <c r="B190" s="104" t="s">
        <v>37</v>
      </c>
      <c r="C190" s="145">
        <v>0</v>
      </c>
      <c r="D190" s="145"/>
      <c r="E190" s="104">
        <v>0</v>
      </c>
      <c r="F190" s="106">
        <v>0</v>
      </c>
      <c r="G190" s="107">
        <v>0</v>
      </c>
      <c r="H190" s="106">
        <v>0</v>
      </c>
      <c r="I190" s="106"/>
      <c r="J190" s="106"/>
      <c r="K190" s="106"/>
      <c r="L190" s="149" t="s">
        <v>4770</v>
      </c>
      <c r="M190" s="159">
        <v>0</v>
      </c>
      <c r="N190" s="159">
        <v>0</v>
      </c>
      <c r="O190" s="160">
        <v>0</v>
      </c>
      <c r="P190" s="154" t="s">
        <v>4784</v>
      </c>
      <c r="Q190" s="154"/>
      <c r="R190" s="154"/>
      <c r="S190" s="154"/>
      <c r="T190" s="154"/>
      <c r="U190" s="154"/>
      <c r="V190" s="154"/>
      <c r="W190" s="154"/>
      <c r="X190" s="154"/>
      <c r="Y190" s="154"/>
      <c r="Z190" s="154"/>
      <c r="AA190" s="164"/>
    </row>
    <row r="191" spans="1:27">
      <c r="A191" s="212">
        <v>45016</v>
      </c>
      <c r="B191" s="104" t="s">
        <v>38</v>
      </c>
      <c r="C191" s="145">
        <v>0</v>
      </c>
      <c r="D191" s="145"/>
      <c r="E191" s="104">
        <v>0</v>
      </c>
      <c r="F191" s="106">
        <v>0</v>
      </c>
      <c r="G191" s="107">
        <v>0</v>
      </c>
      <c r="H191" s="106">
        <v>0</v>
      </c>
      <c r="I191" s="106"/>
      <c r="J191" s="106"/>
      <c r="K191" s="106"/>
      <c r="L191" s="149" t="s">
        <v>4770</v>
      </c>
      <c r="M191" s="159">
        <v>0</v>
      </c>
      <c r="N191" s="159">
        <v>0</v>
      </c>
      <c r="O191" s="160">
        <v>0</v>
      </c>
      <c r="P191" s="154" t="s">
        <v>4785</v>
      </c>
      <c r="Q191" s="154"/>
      <c r="R191" s="154"/>
      <c r="S191" s="154"/>
      <c r="T191" s="154"/>
      <c r="U191" s="154"/>
      <c r="V191" s="154"/>
      <c r="W191" s="154"/>
      <c r="X191" s="154"/>
      <c r="Y191" s="154"/>
      <c r="Z191" s="154"/>
      <c r="AA191" s="164"/>
    </row>
    <row r="192" spans="1:27">
      <c r="A192" s="212">
        <v>45016</v>
      </c>
      <c r="B192" s="111" t="s">
        <v>39</v>
      </c>
      <c r="C192" s="112">
        <v>16853</v>
      </c>
      <c r="D192" s="112"/>
      <c r="E192" s="112">
        <v>339</v>
      </c>
      <c r="F192" s="113">
        <v>0.0201151130362547</v>
      </c>
      <c r="G192" s="112">
        <v>110</v>
      </c>
      <c r="H192" s="113">
        <v>0.324483775811209</v>
      </c>
      <c r="I192" s="113"/>
      <c r="J192" s="113"/>
      <c r="K192" s="113"/>
      <c r="L192" s="150" t="s">
        <v>4770</v>
      </c>
      <c r="M192" s="162">
        <v>339</v>
      </c>
      <c r="N192" s="162">
        <v>110</v>
      </c>
      <c r="O192" s="163">
        <v>0.324483775811209</v>
      </c>
      <c r="P192" s="154" t="s">
        <v>4786</v>
      </c>
      <c r="Q192" s="154"/>
      <c r="R192" s="154"/>
      <c r="S192" s="154"/>
      <c r="T192" s="154"/>
      <c r="U192" s="154"/>
      <c r="V192" s="154"/>
      <c r="W192" s="154"/>
      <c r="X192" s="154"/>
      <c r="Y192" s="154"/>
      <c r="Z192" s="154"/>
      <c r="AA192" s="164"/>
    </row>
    <row r="193" ht="14.45" customHeight="1" spans="1:27">
      <c r="A193" s="212">
        <v>45017</v>
      </c>
      <c r="B193" s="104" t="s">
        <v>17</v>
      </c>
      <c r="C193" s="107">
        <v>54</v>
      </c>
      <c r="D193" s="107"/>
      <c r="E193" s="104">
        <v>40</v>
      </c>
      <c r="F193" s="106">
        <v>0.740740740740741</v>
      </c>
      <c r="G193" s="107">
        <v>6</v>
      </c>
      <c r="H193" s="106">
        <v>0.15</v>
      </c>
      <c r="I193" s="106"/>
      <c r="J193" s="106"/>
      <c r="K193" s="106"/>
      <c r="L193" s="148" t="s">
        <v>4770</v>
      </c>
      <c r="M193" s="157">
        <v>40</v>
      </c>
      <c r="N193" s="157">
        <v>6</v>
      </c>
      <c r="O193" s="158">
        <v>0.15</v>
      </c>
      <c r="P193" s="108">
        <v>14</v>
      </c>
      <c r="Q193" s="108">
        <v>4.33333333333334</v>
      </c>
      <c r="R193" s="108">
        <v>-33.6</v>
      </c>
      <c r="S193" s="108">
        <v>-55.5714285714286</v>
      </c>
      <c r="T193" s="108">
        <v>15</v>
      </c>
      <c r="U193" s="108">
        <v>14.3333333333333</v>
      </c>
      <c r="V193" s="108">
        <v>13.6</v>
      </c>
      <c r="W193" s="108">
        <v>12.2857142857143</v>
      </c>
      <c r="X193" s="108">
        <v>0</v>
      </c>
      <c r="Y193" s="108">
        <v>1.33333333333333</v>
      </c>
      <c r="Z193" s="108">
        <v>1.6</v>
      </c>
      <c r="AA193" s="108">
        <v>1.85714285714286</v>
      </c>
    </row>
    <row r="194" ht="14.45" customHeight="1" spans="1:30">
      <c r="A194" s="212">
        <v>45017</v>
      </c>
      <c r="B194" s="104" t="s">
        <v>19</v>
      </c>
      <c r="C194" s="107">
        <v>1108</v>
      </c>
      <c r="D194" s="107"/>
      <c r="E194" s="104">
        <v>46</v>
      </c>
      <c r="F194" s="106">
        <v>0.0415162454873646</v>
      </c>
      <c r="G194" s="107">
        <v>13</v>
      </c>
      <c r="H194" s="106">
        <v>0.282608695652174</v>
      </c>
      <c r="I194" s="106"/>
      <c r="J194" s="106"/>
      <c r="K194" s="106"/>
      <c r="L194" s="149" t="s">
        <v>4770</v>
      </c>
      <c r="M194" s="159">
        <v>46</v>
      </c>
      <c r="N194" s="159">
        <v>13</v>
      </c>
      <c r="O194" s="160">
        <v>0.282608695652174</v>
      </c>
      <c r="P194" s="108">
        <v>-333</v>
      </c>
      <c r="Q194" s="108">
        <v>-518.333333333333</v>
      </c>
      <c r="R194" s="108">
        <v>-601.6</v>
      </c>
      <c r="S194" s="108">
        <v>-598.857142857143</v>
      </c>
      <c r="T194" s="108">
        <v>-12</v>
      </c>
      <c r="U194" s="108">
        <v>-27.3333333333333</v>
      </c>
      <c r="V194" s="108">
        <v>-38.2</v>
      </c>
      <c r="W194" s="108">
        <v>-38.2857142857143</v>
      </c>
      <c r="X194" s="108">
        <v>-9</v>
      </c>
      <c r="Y194" s="108">
        <v>-18</v>
      </c>
      <c r="Z194" s="108">
        <v>-21.6</v>
      </c>
      <c r="AA194" s="115">
        <v>-21.7142857142857</v>
      </c>
      <c r="AB194" s="168"/>
      <c r="AC194" s="169"/>
      <c r="AD194" s="169"/>
    </row>
    <row r="195" ht="14.45" customHeight="1" spans="1:30">
      <c r="A195" s="212">
        <v>45017</v>
      </c>
      <c r="B195" s="104" t="s">
        <v>21</v>
      </c>
      <c r="C195" s="145">
        <v>1232</v>
      </c>
      <c r="D195" s="145"/>
      <c r="E195" s="104">
        <v>31</v>
      </c>
      <c r="F195" s="106">
        <v>0.0251623376623377</v>
      </c>
      <c r="G195" s="107">
        <v>12</v>
      </c>
      <c r="H195" s="106">
        <v>0.387096774193548</v>
      </c>
      <c r="I195" s="106"/>
      <c r="J195" s="106"/>
      <c r="K195" s="106"/>
      <c r="L195" s="149" t="s">
        <v>4770</v>
      </c>
      <c r="M195" s="159">
        <v>31</v>
      </c>
      <c r="N195" s="159">
        <v>12</v>
      </c>
      <c r="O195" s="160">
        <v>0.387096774193548</v>
      </c>
      <c r="P195" s="108">
        <v>145</v>
      </c>
      <c r="Q195" s="108">
        <v>151</v>
      </c>
      <c r="R195" s="108">
        <v>178.4</v>
      </c>
      <c r="S195" s="108">
        <v>176.714285714286</v>
      </c>
      <c r="T195" s="108">
        <v>4</v>
      </c>
      <c r="U195" s="108">
        <v>5.66666666666667</v>
      </c>
      <c r="V195" s="108">
        <v>-0.600000000000001</v>
      </c>
      <c r="W195" s="108">
        <v>-2.42857142857143</v>
      </c>
      <c r="X195" s="108">
        <v>1</v>
      </c>
      <c r="Y195" s="108">
        <v>4.33333333333333</v>
      </c>
      <c r="Z195" s="108">
        <v>1.4</v>
      </c>
      <c r="AA195" s="108">
        <v>0.714285714285714</v>
      </c>
      <c r="AB195" s="168"/>
      <c r="AC195" s="169"/>
      <c r="AD195" s="169"/>
    </row>
    <row r="196" ht="18.95" customHeight="1" spans="1:30">
      <c r="A196" s="212">
        <v>45017</v>
      </c>
      <c r="B196" s="104" t="s">
        <v>22</v>
      </c>
      <c r="C196" s="145">
        <v>5758</v>
      </c>
      <c r="D196" s="145"/>
      <c r="E196" s="104">
        <v>163</v>
      </c>
      <c r="F196" s="106">
        <v>0.0283084404307051</v>
      </c>
      <c r="G196" s="107">
        <v>68</v>
      </c>
      <c r="H196" s="106">
        <v>0.417177914110429</v>
      </c>
      <c r="I196" s="106"/>
      <c r="J196" s="106"/>
      <c r="K196" s="106"/>
      <c r="L196" s="149" t="s">
        <v>4770</v>
      </c>
      <c r="M196" s="159">
        <v>163</v>
      </c>
      <c r="N196" s="159">
        <v>68</v>
      </c>
      <c r="O196" s="160">
        <v>0.417177914110429</v>
      </c>
      <c r="P196" s="108">
        <v>1049</v>
      </c>
      <c r="Q196" s="108">
        <v>1277</v>
      </c>
      <c r="R196" s="108">
        <v>1287</v>
      </c>
      <c r="S196" s="108">
        <v>1148.14285714286</v>
      </c>
      <c r="T196" s="108">
        <v>58</v>
      </c>
      <c r="U196" s="108">
        <v>41.6666666666667</v>
      </c>
      <c r="V196" s="108">
        <v>41.2</v>
      </c>
      <c r="W196" s="115">
        <v>39</v>
      </c>
      <c r="X196" s="108">
        <v>36</v>
      </c>
      <c r="Y196" s="108">
        <v>29.6666666666667</v>
      </c>
      <c r="Z196" s="108">
        <v>27.2</v>
      </c>
      <c r="AA196" s="117">
        <v>26.2857142857143</v>
      </c>
      <c r="AB196" s="168"/>
      <c r="AC196" s="169"/>
      <c r="AD196" s="169"/>
    </row>
    <row r="197" ht="14.45" customHeight="1" spans="1:30">
      <c r="A197" s="212">
        <v>45017</v>
      </c>
      <c r="B197" s="104" t="s">
        <v>23</v>
      </c>
      <c r="C197" s="145">
        <v>3633</v>
      </c>
      <c r="D197" s="145"/>
      <c r="E197" s="104">
        <v>50</v>
      </c>
      <c r="F197" s="106">
        <v>0.0137627305257363</v>
      </c>
      <c r="G197" s="107">
        <v>25</v>
      </c>
      <c r="H197" s="106">
        <v>0.5</v>
      </c>
      <c r="I197" s="106"/>
      <c r="J197" s="106"/>
      <c r="K197" s="106"/>
      <c r="L197" s="149" t="s">
        <v>4770</v>
      </c>
      <c r="M197" s="159">
        <v>50</v>
      </c>
      <c r="N197" s="159">
        <v>25</v>
      </c>
      <c r="O197" s="160">
        <v>0.5</v>
      </c>
      <c r="P197" s="108">
        <v>507</v>
      </c>
      <c r="Q197" s="108">
        <v>720.666666666667</v>
      </c>
      <c r="R197" s="108">
        <v>683.8</v>
      </c>
      <c r="S197" s="108">
        <v>583.857142857143</v>
      </c>
      <c r="T197" s="108">
        <v>18</v>
      </c>
      <c r="U197" s="108">
        <v>18.3333333333333</v>
      </c>
      <c r="V197" s="108">
        <v>13.8</v>
      </c>
      <c r="W197" s="108">
        <v>11.1428571428571</v>
      </c>
      <c r="X197" s="108">
        <v>15</v>
      </c>
      <c r="Y197" s="116">
        <v>16</v>
      </c>
      <c r="Z197" s="108">
        <v>16.2</v>
      </c>
      <c r="AA197" s="108">
        <v>14</v>
      </c>
      <c r="AB197" s="168"/>
      <c r="AC197" s="168"/>
      <c r="AD197" s="168"/>
    </row>
    <row r="198" ht="14.45" customHeight="1" spans="1:30">
      <c r="A198" s="212">
        <v>45017</v>
      </c>
      <c r="B198" s="104" t="s">
        <v>24</v>
      </c>
      <c r="C198" s="145">
        <v>505</v>
      </c>
      <c r="D198" s="145"/>
      <c r="E198" s="104">
        <v>2</v>
      </c>
      <c r="F198" s="106">
        <v>0.00396039603960396</v>
      </c>
      <c r="G198" s="107">
        <v>2</v>
      </c>
      <c r="H198" s="106">
        <v>1</v>
      </c>
      <c r="I198" s="106"/>
      <c r="J198" s="106"/>
      <c r="K198" s="106"/>
      <c r="L198" s="149" t="s">
        <v>4770</v>
      </c>
      <c r="M198" s="159">
        <v>2</v>
      </c>
      <c r="N198" s="159">
        <v>2</v>
      </c>
      <c r="O198" s="160">
        <v>1</v>
      </c>
      <c r="P198" s="108">
        <v>26</v>
      </c>
      <c r="Q198" s="108">
        <v>-24</v>
      </c>
      <c r="R198" s="117">
        <v>-35.2</v>
      </c>
      <c r="S198" s="108">
        <v>-83.5714285714286</v>
      </c>
      <c r="T198" s="115">
        <v>-1</v>
      </c>
      <c r="U198" s="115">
        <v>-4</v>
      </c>
      <c r="V198" s="117">
        <v>-6.6</v>
      </c>
      <c r="W198" s="117">
        <v>-8.57142857142857</v>
      </c>
      <c r="X198" s="115">
        <v>1</v>
      </c>
      <c r="Y198" s="115">
        <v>-0.333333333333333</v>
      </c>
      <c r="Z198" s="115">
        <v>-1.6</v>
      </c>
      <c r="AA198" s="115">
        <v>-2</v>
      </c>
      <c r="AB198" s="168"/>
      <c r="AC198" s="169"/>
      <c r="AD198" s="169"/>
    </row>
    <row r="199" ht="14.45" customHeight="1" spans="1:30">
      <c r="A199" s="212">
        <v>45017</v>
      </c>
      <c r="B199" s="104" t="s">
        <v>25</v>
      </c>
      <c r="C199" s="145">
        <v>7261</v>
      </c>
      <c r="D199" s="145"/>
      <c r="E199" s="104">
        <v>37</v>
      </c>
      <c r="F199" s="106">
        <v>0.00509571684341</v>
      </c>
      <c r="G199" s="107">
        <v>20</v>
      </c>
      <c r="H199" s="106">
        <v>0.540540540540541</v>
      </c>
      <c r="I199" s="106"/>
      <c r="J199" s="106"/>
      <c r="K199" s="106"/>
      <c r="L199" s="149" t="s">
        <v>4770</v>
      </c>
      <c r="M199" s="159">
        <v>37</v>
      </c>
      <c r="N199" s="159">
        <v>20</v>
      </c>
      <c r="O199" s="160">
        <v>0.540540540540541</v>
      </c>
      <c r="P199" s="108">
        <v>1809</v>
      </c>
      <c r="Q199" s="108">
        <v>1250.66666666667</v>
      </c>
      <c r="R199" s="108">
        <v>1248.6</v>
      </c>
      <c r="S199" s="108">
        <v>1647.28571428571</v>
      </c>
      <c r="T199" s="116">
        <v>7</v>
      </c>
      <c r="U199" s="115">
        <v>0.333333333333336</v>
      </c>
      <c r="V199" s="115">
        <v>-3.6</v>
      </c>
      <c r="W199" s="115">
        <v>-4.57142857142857</v>
      </c>
      <c r="X199" s="108">
        <v>7</v>
      </c>
      <c r="Y199" s="108">
        <v>-3.33333333333333</v>
      </c>
      <c r="Z199" s="108">
        <v>-3.6</v>
      </c>
      <c r="AA199" s="108">
        <v>-3.57142857142857</v>
      </c>
      <c r="AB199" s="168"/>
      <c r="AC199" s="169"/>
      <c r="AD199" s="169"/>
    </row>
    <row r="200" ht="14.45" customHeight="1" spans="1:30">
      <c r="A200" s="212">
        <v>45017</v>
      </c>
      <c r="B200" s="104" t="s">
        <v>26</v>
      </c>
      <c r="C200" s="145">
        <v>537</v>
      </c>
      <c r="D200" s="145"/>
      <c r="E200" s="104">
        <v>111</v>
      </c>
      <c r="F200" s="106">
        <v>0.206703910614525</v>
      </c>
      <c r="G200" s="107">
        <v>26</v>
      </c>
      <c r="H200" s="106">
        <v>0.234234234234234</v>
      </c>
      <c r="I200" s="106"/>
      <c r="J200" s="106"/>
      <c r="K200" s="106"/>
      <c r="L200" s="149" t="s">
        <v>4770</v>
      </c>
      <c r="M200" s="159">
        <v>111</v>
      </c>
      <c r="N200" s="159">
        <v>26</v>
      </c>
      <c r="O200" s="166">
        <v>0.234234234234234</v>
      </c>
      <c r="P200" s="108">
        <v>49</v>
      </c>
      <c r="Q200" s="108">
        <v>64.3333333333333</v>
      </c>
      <c r="R200" s="108">
        <v>105.2</v>
      </c>
      <c r="S200" s="108">
        <v>126.714285714286</v>
      </c>
      <c r="T200" s="108">
        <v>53</v>
      </c>
      <c r="U200" s="108">
        <v>45.3333333333333</v>
      </c>
      <c r="V200" s="108">
        <v>48.8</v>
      </c>
      <c r="W200" s="108">
        <v>52.5714285714286</v>
      </c>
      <c r="X200" s="108">
        <v>11</v>
      </c>
      <c r="Y200" s="108">
        <v>8.66666666666667</v>
      </c>
      <c r="Z200" s="108">
        <v>7.8</v>
      </c>
      <c r="AA200" s="108">
        <v>8.85714285714286</v>
      </c>
      <c r="AB200" s="168"/>
      <c r="AC200" s="169"/>
      <c r="AD200" s="169"/>
    </row>
    <row r="201" ht="14.45" customHeight="1" spans="1:30">
      <c r="A201" s="212">
        <v>45017</v>
      </c>
      <c r="B201" s="104" t="s">
        <v>27</v>
      </c>
      <c r="C201" s="145">
        <v>32</v>
      </c>
      <c r="D201" s="145"/>
      <c r="E201" s="104">
        <v>2</v>
      </c>
      <c r="F201" s="106">
        <v>0.0625</v>
      </c>
      <c r="G201" s="107">
        <v>1</v>
      </c>
      <c r="H201" s="106">
        <v>0.5</v>
      </c>
      <c r="I201" s="106"/>
      <c r="J201" s="106"/>
      <c r="K201" s="106"/>
      <c r="L201" s="149" t="s">
        <v>4770</v>
      </c>
      <c r="M201" s="159">
        <v>2</v>
      </c>
      <c r="N201" s="159">
        <v>1</v>
      </c>
      <c r="O201" s="160">
        <v>0.5</v>
      </c>
      <c r="P201" s="108">
        <v>8</v>
      </c>
      <c r="Q201" s="117">
        <v>2</v>
      </c>
      <c r="R201" s="117">
        <v>2.8</v>
      </c>
      <c r="S201" s="117">
        <v>2.71428571428572</v>
      </c>
      <c r="T201" s="108">
        <v>2</v>
      </c>
      <c r="U201" s="108">
        <v>2</v>
      </c>
      <c r="V201" s="108">
        <v>1.8</v>
      </c>
      <c r="W201" s="108">
        <v>1.71428571428571</v>
      </c>
      <c r="X201" s="108">
        <v>1</v>
      </c>
      <c r="Y201" s="108">
        <v>1</v>
      </c>
      <c r="Z201" s="108">
        <v>1</v>
      </c>
      <c r="AA201" s="108">
        <v>1</v>
      </c>
      <c r="AB201" s="168"/>
      <c r="AC201" s="168"/>
      <c r="AD201" s="168"/>
    </row>
    <row r="202" ht="14.45" customHeight="1" spans="1:30">
      <c r="A202" s="212">
        <v>45017</v>
      </c>
      <c r="B202" s="104" t="s">
        <v>28</v>
      </c>
      <c r="C202" s="145">
        <v>0</v>
      </c>
      <c r="D202" s="145"/>
      <c r="E202" s="104">
        <v>0</v>
      </c>
      <c r="F202" s="106">
        <v>0</v>
      </c>
      <c r="G202" s="107">
        <v>0</v>
      </c>
      <c r="H202" s="106">
        <v>0</v>
      </c>
      <c r="I202" s="106"/>
      <c r="J202" s="106"/>
      <c r="K202" s="106"/>
      <c r="L202" s="149" t="s">
        <v>4770</v>
      </c>
      <c r="M202" s="159">
        <v>0</v>
      </c>
      <c r="N202" s="159">
        <v>0</v>
      </c>
      <c r="O202" s="160">
        <v>0</v>
      </c>
      <c r="P202" s="108">
        <v>0</v>
      </c>
      <c r="Q202" s="108">
        <v>0</v>
      </c>
      <c r="R202" s="108">
        <v>0</v>
      </c>
      <c r="S202" s="108">
        <v>0</v>
      </c>
      <c r="T202" s="108">
        <v>0</v>
      </c>
      <c r="U202" s="108">
        <v>0</v>
      </c>
      <c r="V202" s="108">
        <v>0</v>
      </c>
      <c r="W202" s="108">
        <v>0</v>
      </c>
      <c r="X202" s="108">
        <v>0</v>
      </c>
      <c r="Y202" s="108">
        <v>0</v>
      </c>
      <c r="Z202" s="108">
        <v>0</v>
      </c>
      <c r="AA202" s="108">
        <v>0</v>
      </c>
      <c r="AB202" s="168"/>
      <c r="AC202" s="168"/>
      <c r="AD202" s="168"/>
    </row>
    <row r="203" ht="14.45" customHeight="1" spans="1:30">
      <c r="A203" s="212">
        <v>45017</v>
      </c>
      <c r="B203" s="104" t="s">
        <v>29</v>
      </c>
      <c r="C203" s="145">
        <v>1</v>
      </c>
      <c r="D203" s="145"/>
      <c r="E203" s="104">
        <v>0</v>
      </c>
      <c r="F203" s="106">
        <v>0</v>
      </c>
      <c r="G203" s="107">
        <v>0</v>
      </c>
      <c r="H203" s="106">
        <v>0</v>
      </c>
      <c r="I203" s="106"/>
      <c r="J203" s="106"/>
      <c r="K203" s="106"/>
      <c r="L203" s="149" t="s">
        <v>4770</v>
      </c>
      <c r="M203" s="159">
        <v>0</v>
      </c>
      <c r="N203" s="159">
        <v>0</v>
      </c>
      <c r="O203" s="160">
        <v>0</v>
      </c>
      <c r="P203" s="108">
        <v>-6</v>
      </c>
      <c r="Q203" s="108">
        <v>-3</v>
      </c>
      <c r="R203" s="108">
        <v>-1.6</v>
      </c>
      <c r="S203" s="108">
        <v>-1</v>
      </c>
      <c r="T203" s="108">
        <v>-1</v>
      </c>
      <c r="U203" s="108">
        <v>-0.333333333333333</v>
      </c>
      <c r="V203" s="108">
        <v>-0.2</v>
      </c>
      <c r="W203" s="108">
        <v>-0.285714285714286</v>
      </c>
      <c r="X203" s="108">
        <v>0</v>
      </c>
      <c r="Y203" s="108">
        <v>0</v>
      </c>
      <c r="Z203" s="108">
        <v>0</v>
      </c>
      <c r="AA203" s="108">
        <v>0</v>
      </c>
      <c r="AB203" s="168"/>
      <c r="AC203" s="168"/>
      <c r="AD203" s="168"/>
    </row>
    <row r="204" ht="14.45" customHeight="1" spans="1:31">
      <c r="A204" s="212">
        <v>45017</v>
      </c>
      <c r="B204" s="104" t="s">
        <v>30</v>
      </c>
      <c r="C204" s="145">
        <v>0</v>
      </c>
      <c r="D204" s="145"/>
      <c r="E204" s="104">
        <v>0</v>
      </c>
      <c r="F204" s="106">
        <v>0</v>
      </c>
      <c r="G204" s="107">
        <v>0</v>
      </c>
      <c r="H204" s="106">
        <v>0</v>
      </c>
      <c r="I204" s="106"/>
      <c r="J204" s="106"/>
      <c r="K204" s="106"/>
      <c r="L204" s="149" t="s">
        <v>4770</v>
      </c>
      <c r="M204" s="159">
        <v>0</v>
      </c>
      <c r="N204" s="159">
        <v>0</v>
      </c>
      <c r="O204" s="160">
        <v>0</v>
      </c>
      <c r="P204" s="108">
        <v>0</v>
      </c>
      <c r="Q204" s="108">
        <v>0</v>
      </c>
      <c r="R204" s="108">
        <v>0</v>
      </c>
      <c r="S204" s="108">
        <v>0</v>
      </c>
      <c r="T204" s="108">
        <v>0</v>
      </c>
      <c r="U204" s="108">
        <v>0</v>
      </c>
      <c r="V204" s="108">
        <v>0</v>
      </c>
      <c r="W204" s="108">
        <v>0</v>
      </c>
      <c r="X204" s="108">
        <v>0</v>
      </c>
      <c r="Y204" s="108">
        <v>0</v>
      </c>
      <c r="Z204" s="108">
        <v>0</v>
      </c>
      <c r="AA204" s="108">
        <v>0</v>
      </c>
      <c r="AB204" s="168"/>
      <c r="AC204" s="168"/>
      <c r="AD204" s="169"/>
      <c r="AE204" s="169"/>
    </row>
    <row r="205" ht="14.45" customHeight="1" spans="1:31">
      <c r="A205" s="212">
        <v>45017</v>
      </c>
      <c r="B205" s="104" t="s">
        <v>31</v>
      </c>
      <c r="C205" s="145">
        <v>0</v>
      </c>
      <c r="D205" s="145"/>
      <c r="E205" s="104">
        <v>0</v>
      </c>
      <c r="F205" s="106">
        <v>0</v>
      </c>
      <c r="G205" s="107">
        <v>0</v>
      </c>
      <c r="H205" s="106">
        <v>0</v>
      </c>
      <c r="I205" s="106"/>
      <c r="J205" s="106"/>
      <c r="K205" s="106"/>
      <c r="L205" s="149" t="s">
        <v>4770</v>
      </c>
      <c r="M205" s="159">
        <v>0</v>
      </c>
      <c r="N205" s="159">
        <v>0</v>
      </c>
      <c r="O205" s="160">
        <v>0</v>
      </c>
      <c r="P205" s="108">
        <v>0</v>
      </c>
      <c r="Q205" s="108">
        <v>0</v>
      </c>
      <c r="R205" s="108">
        <v>0</v>
      </c>
      <c r="S205" s="108">
        <v>0</v>
      </c>
      <c r="T205" s="108">
        <v>0</v>
      </c>
      <c r="U205" s="108">
        <v>-0.333333333333333</v>
      </c>
      <c r="V205" s="108">
        <v>-0.2</v>
      </c>
      <c r="W205" s="108">
        <v>-0.142857142857143</v>
      </c>
      <c r="X205" s="108">
        <v>0</v>
      </c>
      <c r="Y205" s="108">
        <v>0</v>
      </c>
      <c r="Z205" s="108">
        <v>0</v>
      </c>
      <c r="AA205" s="108">
        <v>0</v>
      </c>
      <c r="AB205" s="168"/>
      <c r="AC205" s="168"/>
      <c r="AD205" s="169"/>
      <c r="AE205" s="169"/>
    </row>
    <row r="206" ht="14.45" customHeight="1" spans="1:31">
      <c r="A206" s="212">
        <v>45017</v>
      </c>
      <c r="B206" s="104" t="s">
        <v>32</v>
      </c>
      <c r="C206" s="145">
        <v>0</v>
      </c>
      <c r="D206" s="145"/>
      <c r="E206" s="104">
        <v>0</v>
      </c>
      <c r="F206" s="106">
        <v>0</v>
      </c>
      <c r="G206" s="107">
        <v>0</v>
      </c>
      <c r="H206" s="106">
        <v>0</v>
      </c>
      <c r="I206" s="106"/>
      <c r="J206" s="106"/>
      <c r="K206" s="106"/>
      <c r="L206" s="149" t="s">
        <v>4770</v>
      </c>
      <c r="M206" s="159">
        <v>0</v>
      </c>
      <c r="N206" s="159">
        <v>0</v>
      </c>
      <c r="O206" s="160">
        <v>0</v>
      </c>
      <c r="P206" s="108">
        <v>0</v>
      </c>
      <c r="Q206" s="108">
        <v>0</v>
      </c>
      <c r="R206" s="108">
        <v>0</v>
      </c>
      <c r="S206" s="108">
        <v>0</v>
      </c>
      <c r="T206" s="108">
        <v>0</v>
      </c>
      <c r="U206" s="108">
        <v>0</v>
      </c>
      <c r="V206" s="108">
        <v>0</v>
      </c>
      <c r="W206" s="108">
        <v>0</v>
      </c>
      <c r="X206" s="108">
        <v>0</v>
      </c>
      <c r="Y206" s="108">
        <v>0</v>
      </c>
      <c r="Z206" s="108">
        <v>0</v>
      </c>
      <c r="AA206" s="108">
        <v>0</v>
      </c>
      <c r="AB206" s="168"/>
      <c r="AC206" s="168"/>
      <c r="AD206" s="169"/>
      <c r="AE206" s="169"/>
    </row>
    <row r="207" spans="1:27">
      <c r="A207" s="212">
        <v>45017</v>
      </c>
      <c r="B207" s="104" t="s">
        <v>33</v>
      </c>
      <c r="C207" s="145">
        <v>0</v>
      </c>
      <c r="D207" s="145"/>
      <c r="E207" s="104">
        <v>0</v>
      </c>
      <c r="F207" s="106">
        <v>0</v>
      </c>
      <c r="G207" s="107">
        <v>0</v>
      </c>
      <c r="H207" s="106">
        <v>0</v>
      </c>
      <c r="I207" s="106"/>
      <c r="J207" s="106"/>
      <c r="K207" s="106"/>
      <c r="L207" s="149" t="s">
        <v>4770</v>
      </c>
      <c r="M207" s="159">
        <v>0</v>
      </c>
      <c r="N207" s="159">
        <v>0</v>
      </c>
      <c r="O207" s="160">
        <v>0</v>
      </c>
      <c r="P207" s="108">
        <v>0</v>
      </c>
      <c r="Q207" s="108">
        <v>0</v>
      </c>
      <c r="R207" s="108">
        <v>0</v>
      </c>
      <c r="S207" s="108">
        <v>0</v>
      </c>
      <c r="T207" s="108">
        <v>-1</v>
      </c>
      <c r="U207" s="108">
        <v>-0.333333333333333</v>
      </c>
      <c r="V207" s="108">
        <v>-0.2</v>
      </c>
      <c r="W207" s="108">
        <v>-0.142857142857143</v>
      </c>
      <c r="X207" s="108">
        <v>0</v>
      </c>
      <c r="Y207" s="108">
        <v>0</v>
      </c>
      <c r="Z207" s="108">
        <v>0</v>
      </c>
      <c r="AA207" s="108">
        <v>0</v>
      </c>
    </row>
    <row r="208" spans="1:27">
      <c r="A208" s="212">
        <v>45017</v>
      </c>
      <c r="B208" s="104" t="s">
        <v>34</v>
      </c>
      <c r="C208" s="145">
        <v>0</v>
      </c>
      <c r="D208" s="145"/>
      <c r="E208" s="104">
        <v>0</v>
      </c>
      <c r="F208" s="106">
        <v>0</v>
      </c>
      <c r="G208" s="107">
        <v>0</v>
      </c>
      <c r="H208" s="106">
        <v>0</v>
      </c>
      <c r="I208" s="106"/>
      <c r="J208" s="106"/>
      <c r="K208" s="106"/>
      <c r="L208" s="149" t="s">
        <v>4770</v>
      </c>
      <c r="M208" s="159">
        <v>0</v>
      </c>
      <c r="N208" s="159">
        <v>0</v>
      </c>
      <c r="O208" s="166">
        <v>0</v>
      </c>
      <c r="P208" s="108">
        <v>0</v>
      </c>
      <c r="Q208" s="108">
        <v>0</v>
      </c>
      <c r="R208" s="108">
        <v>0</v>
      </c>
      <c r="S208" s="108">
        <v>0</v>
      </c>
      <c r="T208" s="108">
        <v>0</v>
      </c>
      <c r="U208" s="108">
        <v>0</v>
      </c>
      <c r="V208" s="108">
        <v>0</v>
      </c>
      <c r="W208" s="108">
        <v>0</v>
      </c>
      <c r="X208" s="108">
        <v>0</v>
      </c>
      <c r="Y208" s="108">
        <v>0</v>
      </c>
      <c r="Z208" s="108">
        <v>0</v>
      </c>
      <c r="AA208" s="108">
        <v>0</v>
      </c>
    </row>
    <row r="209" spans="1:27">
      <c r="A209" s="212">
        <v>45017</v>
      </c>
      <c r="B209" s="104" t="s">
        <v>35</v>
      </c>
      <c r="C209" s="145">
        <v>0</v>
      </c>
      <c r="D209" s="145"/>
      <c r="E209" s="104">
        <v>0</v>
      </c>
      <c r="F209" s="106">
        <v>0</v>
      </c>
      <c r="G209" s="107">
        <v>0</v>
      </c>
      <c r="H209" s="106">
        <v>0</v>
      </c>
      <c r="I209" s="106"/>
      <c r="J209" s="106"/>
      <c r="K209" s="106"/>
      <c r="L209" s="149" t="s">
        <v>4770</v>
      </c>
      <c r="M209" s="159">
        <v>0</v>
      </c>
      <c r="N209" s="159">
        <v>0</v>
      </c>
      <c r="O209" s="166">
        <v>0</v>
      </c>
      <c r="P209" s="108">
        <v>0</v>
      </c>
      <c r="Q209" s="108">
        <v>0</v>
      </c>
      <c r="R209" s="108">
        <v>0</v>
      </c>
      <c r="S209" s="108">
        <v>0</v>
      </c>
      <c r="T209" s="108">
        <v>0</v>
      </c>
      <c r="U209" s="108">
        <v>0</v>
      </c>
      <c r="V209" s="108">
        <v>0</v>
      </c>
      <c r="W209" s="108">
        <v>0</v>
      </c>
      <c r="X209" s="108">
        <v>0</v>
      </c>
      <c r="Y209" s="108">
        <v>0</v>
      </c>
      <c r="Z209" s="108">
        <v>0</v>
      </c>
      <c r="AA209" s="108">
        <v>0</v>
      </c>
    </row>
    <row r="210" spans="1:27">
      <c r="A210" s="212">
        <v>45017</v>
      </c>
      <c r="B210" s="104" t="s">
        <v>36</v>
      </c>
      <c r="C210" s="145">
        <v>0</v>
      </c>
      <c r="D210" s="145"/>
      <c r="E210" s="104">
        <v>0</v>
      </c>
      <c r="F210" s="106">
        <v>0</v>
      </c>
      <c r="G210" s="107">
        <v>0</v>
      </c>
      <c r="H210" s="106">
        <v>0</v>
      </c>
      <c r="I210" s="106"/>
      <c r="J210" s="106"/>
      <c r="K210" s="106"/>
      <c r="L210" s="149" t="s">
        <v>4770</v>
      </c>
      <c r="M210" s="159">
        <v>0</v>
      </c>
      <c r="N210" s="159">
        <v>0</v>
      </c>
      <c r="O210" s="166">
        <v>0</v>
      </c>
      <c r="P210" s="108">
        <v>0</v>
      </c>
      <c r="Q210" s="108">
        <v>0</v>
      </c>
      <c r="R210" s="108">
        <v>0</v>
      </c>
      <c r="S210" s="108">
        <v>0</v>
      </c>
      <c r="T210" s="108">
        <v>0</v>
      </c>
      <c r="U210" s="108">
        <v>0</v>
      </c>
      <c r="V210" s="108">
        <v>0</v>
      </c>
      <c r="W210" s="108">
        <v>0</v>
      </c>
      <c r="X210" s="108">
        <v>0</v>
      </c>
      <c r="Y210" s="108">
        <v>0</v>
      </c>
      <c r="Z210" s="108">
        <v>0</v>
      </c>
      <c r="AA210" s="108">
        <v>0</v>
      </c>
    </row>
    <row r="211" spans="1:27">
      <c r="A211" s="212">
        <v>45017</v>
      </c>
      <c r="B211" s="104" t="s">
        <v>37</v>
      </c>
      <c r="C211" s="145">
        <v>0</v>
      </c>
      <c r="D211" s="145"/>
      <c r="E211" s="104">
        <v>0</v>
      </c>
      <c r="F211" s="106">
        <v>0</v>
      </c>
      <c r="G211" s="107">
        <v>0</v>
      </c>
      <c r="H211" s="106">
        <v>0</v>
      </c>
      <c r="I211" s="106"/>
      <c r="J211" s="106"/>
      <c r="K211" s="106"/>
      <c r="L211" s="149" t="s">
        <v>4770</v>
      </c>
      <c r="M211" s="159">
        <v>0</v>
      </c>
      <c r="N211" s="159">
        <v>0</v>
      </c>
      <c r="O211" s="166">
        <v>0</v>
      </c>
      <c r="P211" s="108">
        <v>0</v>
      </c>
      <c r="Q211" s="108">
        <v>0</v>
      </c>
      <c r="R211" s="108">
        <v>0</v>
      </c>
      <c r="S211" s="108">
        <v>0</v>
      </c>
      <c r="T211" s="108">
        <v>0</v>
      </c>
      <c r="U211" s="108">
        <v>0</v>
      </c>
      <c r="V211" s="108">
        <v>0</v>
      </c>
      <c r="W211" s="108">
        <v>0</v>
      </c>
      <c r="X211" s="108">
        <v>0</v>
      </c>
      <c r="Y211" s="108">
        <v>0</v>
      </c>
      <c r="Z211" s="108">
        <v>0</v>
      </c>
      <c r="AA211" s="108">
        <v>0</v>
      </c>
    </row>
    <row r="212" spans="1:27">
      <c r="A212" s="212">
        <v>45017</v>
      </c>
      <c r="B212" s="104" t="s">
        <v>38</v>
      </c>
      <c r="C212" s="145">
        <v>0</v>
      </c>
      <c r="D212" s="145"/>
      <c r="E212" s="104">
        <v>0</v>
      </c>
      <c r="F212" s="106">
        <v>0</v>
      </c>
      <c r="G212" s="107">
        <v>0</v>
      </c>
      <c r="H212" s="106">
        <v>0</v>
      </c>
      <c r="I212" s="106"/>
      <c r="J212" s="106"/>
      <c r="K212" s="106"/>
      <c r="L212" s="149" t="s">
        <v>4770</v>
      </c>
      <c r="M212" s="159">
        <v>0</v>
      </c>
      <c r="N212" s="159">
        <v>0</v>
      </c>
      <c r="O212" s="166">
        <v>0</v>
      </c>
      <c r="P212" s="108">
        <v>0</v>
      </c>
      <c r="Q212" s="108">
        <v>0</v>
      </c>
      <c r="R212" s="108">
        <v>0</v>
      </c>
      <c r="S212" s="108">
        <v>0</v>
      </c>
      <c r="T212" s="108">
        <v>0</v>
      </c>
      <c r="U212" s="108">
        <v>0</v>
      </c>
      <c r="V212" s="108">
        <v>0</v>
      </c>
      <c r="W212" s="108">
        <v>0</v>
      </c>
      <c r="X212" s="108">
        <v>0</v>
      </c>
      <c r="Y212" s="108">
        <v>0</v>
      </c>
      <c r="Z212" s="108">
        <v>0</v>
      </c>
      <c r="AA212" s="108">
        <v>0</v>
      </c>
    </row>
    <row r="213" spans="1:27">
      <c r="A213" s="212">
        <v>45017</v>
      </c>
      <c r="B213" s="111" t="s">
        <v>39</v>
      </c>
      <c r="C213" s="112">
        <v>20121</v>
      </c>
      <c r="D213" s="112"/>
      <c r="E213" s="112">
        <v>482</v>
      </c>
      <c r="F213" s="113">
        <v>0.0239550718155161</v>
      </c>
      <c r="G213" s="112">
        <v>173</v>
      </c>
      <c r="H213" s="113">
        <v>0.358921161825726</v>
      </c>
      <c r="I213" s="113"/>
      <c r="J213" s="113"/>
      <c r="K213" s="113"/>
      <c r="L213" s="150" t="s">
        <v>4770</v>
      </c>
      <c r="M213" s="162">
        <v>482</v>
      </c>
      <c r="N213" s="162">
        <v>173</v>
      </c>
      <c r="O213" s="167">
        <v>0.358921161825726</v>
      </c>
      <c r="P213" s="108"/>
      <c r="Q213" s="108"/>
      <c r="R213" s="108"/>
      <c r="S213" s="108"/>
      <c r="T213" s="108"/>
      <c r="U213" s="108"/>
      <c r="V213" s="108"/>
      <c r="W213" s="108"/>
      <c r="X213" s="108"/>
      <c r="Y213" s="108"/>
      <c r="Z213" s="108"/>
      <c r="AA213" s="108"/>
    </row>
    <row r="214" spans="1:27">
      <c r="A214" s="212">
        <v>45018</v>
      </c>
      <c r="B214" s="104" t="s">
        <v>17</v>
      </c>
      <c r="C214" s="105">
        <v>32</v>
      </c>
      <c r="D214" s="105"/>
      <c r="E214" s="104">
        <v>29</v>
      </c>
      <c r="F214" s="106">
        <v>0.90625</v>
      </c>
      <c r="G214" s="107">
        <v>6</v>
      </c>
      <c r="H214" s="106">
        <v>0.206896551724138</v>
      </c>
      <c r="I214" s="106"/>
      <c r="J214" s="106"/>
      <c r="K214" s="106"/>
      <c r="L214" s="148" t="s">
        <v>4770</v>
      </c>
      <c r="M214" s="157">
        <v>29</v>
      </c>
      <c r="N214" s="157">
        <v>6</v>
      </c>
      <c r="O214" s="158">
        <v>0.206896551724138</v>
      </c>
      <c r="P214" s="108">
        <v>-22</v>
      </c>
      <c r="Q214" s="108">
        <v>-19.3333333333333</v>
      </c>
      <c r="R214" s="108">
        <v>-30.8</v>
      </c>
      <c r="S214" s="108">
        <v>-63.4285714285714</v>
      </c>
      <c r="T214" s="108">
        <v>-11</v>
      </c>
      <c r="U214" s="108">
        <v>-3.33333333333334</v>
      </c>
      <c r="V214" s="108">
        <v>-0.399999999999999</v>
      </c>
      <c r="W214" s="108">
        <v>0.571428571428573</v>
      </c>
      <c r="X214" s="108">
        <v>0</v>
      </c>
      <c r="Y214" s="108">
        <v>0.666666666666667</v>
      </c>
      <c r="Z214" s="108">
        <v>1.2</v>
      </c>
      <c r="AA214" s="108">
        <v>1.42857142857143</v>
      </c>
    </row>
    <row r="215" spans="1:27">
      <c r="A215" s="212">
        <v>45018</v>
      </c>
      <c r="B215" s="104" t="s">
        <v>19</v>
      </c>
      <c r="C215" s="107">
        <v>747</v>
      </c>
      <c r="D215" s="107"/>
      <c r="E215" s="104">
        <v>22</v>
      </c>
      <c r="F215" s="106">
        <v>0.0294511378848728</v>
      </c>
      <c r="G215" s="107">
        <v>16</v>
      </c>
      <c r="H215" s="106">
        <v>0.727272727272727</v>
      </c>
      <c r="I215" s="106"/>
      <c r="J215" s="106"/>
      <c r="K215" s="106"/>
      <c r="L215" s="149" t="s">
        <v>4770</v>
      </c>
      <c r="M215" s="159">
        <v>22</v>
      </c>
      <c r="N215" s="159">
        <v>16</v>
      </c>
      <c r="O215" s="160">
        <v>0.727272727272727</v>
      </c>
      <c r="P215" s="108">
        <v>-361</v>
      </c>
      <c r="Q215" s="108">
        <v>-685.333333333333</v>
      </c>
      <c r="R215" s="108">
        <v>-809</v>
      </c>
      <c r="S215" s="108">
        <v>-883.285714285714</v>
      </c>
      <c r="T215" s="108">
        <v>-24</v>
      </c>
      <c r="U215" s="108">
        <v>-38.3333333333333</v>
      </c>
      <c r="V215" s="108">
        <v>-51</v>
      </c>
      <c r="W215" s="108">
        <v>-56.5714285714286</v>
      </c>
      <c r="X215" s="108">
        <v>3</v>
      </c>
      <c r="Y215" s="108">
        <v>-6</v>
      </c>
      <c r="Z215" s="108">
        <v>-13.2</v>
      </c>
      <c r="AA215" s="115">
        <v>-16.1428571428571</v>
      </c>
    </row>
    <row r="216" spans="1:27">
      <c r="A216" s="212">
        <v>45018</v>
      </c>
      <c r="B216" s="104" t="s">
        <v>21</v>
      </c>
      <c r="C216" s="145">
        <v>1250</v>
      </c>
      <c r="D216" s="145"/>
      <c r="E216" s="104">
        <v>23</v>
      </c>
      <c r="F216" s="106">
        <v>0.0184</v>
      </c>
      <c r="G216" s="107">
        <v>9</v>
      </c>
      <c r="H216" s="106">
        <v>0.391304347826087</v>
      </c>
      <c r="I216" s="106"/>
      <c r="J216" s="106"/>
      <c r="K216" s="106"/>
      <c r="L216" s="149" t="s">
        <v>4770</v>
      </c>
      <c r="M216" s="159">
        <v>23</v>
      </c>
      <c r="N216" s="159">
        <v>9</v>
      </c>
      <c r="O216" s="160">
        <v>0.391304347826087</v>
      </c>
      <c r="P216" s="108">
        <v>18</v>
      </c>
      <c r="Q216" s="108">
        <v>97.6666666666667</v>
      </c>
      <c r="R216" s="108">
        <v>159.2</v>
      </c>
      <c r="S216" s="108">
        <v>165.428571428571</v>
      </c>
      <c r="T216" s="108">
        <v>-8</v>
      </c>
      <c r="U216" s="108">
        <v>-3.66666666666667</v>
      </c>
      <c r="V216" s="108">
        <v>-5.6</v>
      </c>
      <c r="W216" s="108">
        <v>-8.57142857142857</v>
      </c>
      <c r="X216" s="108">
        <v>-3</v>
      </c>
      <c r="Y216" s="108">
        <v>-0.333333333333334</v>
      </c>
      <c r="Z216" s="108">
        <v>-0.800000000000001</v>
      </c>
      <c r="AA216" s="108">
        <v>-2.14285714285714</v>
      </c>
    </row>
    <row r="217" spans="1:27">
      <c r="A217" s="212">
        <v>45018</v>
      </c>
      <c r="B217" s="104" t="s">
        <v>22</v>
      </c>
      <c r="C217" s="145">
        <v>5679</v>
      </c>
      <c r="D217" s="145"/>
      <c r="E217" s="104">
        <v>156</v>
      </c>
      <c r="F217" s="106">
        <v>0.0274696249339672</v>
      </c>
      <c r="G217" s="107">
        <v>54</v>
      </c>
      <c r="H217" s="106">
        <v>0.346153846153846</v>
      </c>
      <c r="I217" s="106"/>
      <c r="J217" s="106"/>
      <c r="K217" s="106"/>
      <c r="L217" s="149" t="s">
        <v>4770</v>
      </c>
      <c r="M217" s="159">
        <v>156</v>
      </c>
      <c r="N217" s="159">
        <v>54</v>
      </c>
      <c r="O217" s="160">
        <v>0.346153846153846</v>
      </c>
      <c r="P217" s="108">
        <v>-79</v>
      </c>
      <c r="Q217" s="108">
        <v>751.333333333333</v>
      </c>
      <c r="R217" s="108">
        <v>992.4</v>
      </c>
      <c r="S217" s="108">
        <v>975.714285714285</v>
      </c>
      <c r="T217" s="108">
        <v>-7</v>
      </c>
      <c r="U217" s="108">
        <v>22</v>
      </c>
      <c r="V217" s="108">
        <v>24</v>
      </c>
      <c r="W217" s="115">
        <v>28</v>
      </c>
      <c r="X217" s="108">
        <v>-14</v>
      </c>
      <c r="Y217" s="108">
        <v>5.66666666666666</v>
      </c>
      <c r="Z217" s="108">
        <v>7.6</v>
      </c>
      <c r="AA217" s="117">
        <v>10.1428571428571</v>
      </c>
    </row>
    <row r="218" spans="1:27">
      <c r="A218" s="212">
        <v>45018</v>
      </c>
      <c r="B218" s="104" t="s">
        <v>23</v>
      </c>
      <c r="C218" s="145">
        <v>3642</v>
      </c>
      <c r="D218" s="145"/>
      <c r="E218" s="104">
        <v>45</v>
      </c>
      <c r="F218" s="106">
        <v>0.0123558484349259</v>
      </c>
      <c r="G218" s="107">
        <v>11</v>
      </c>
      <c r="H218" s="106">
        <v>0.244444444444444</v>
      </c>
      <c r="I218" s="106"/>
      <c r="J218" s="106"/>
      <c r="K218" s="106"/>
      <c r="L218" s="149" t="s">
        <v>4770</v>
      </c>
      <c r="M218" s="159">
        <v>45</v>
      </c>
      <c r="N218" s="159">
        <v>11</v>
      </c>
      <c r="O218" s="160">
        <v>0.244444444444444</v>
      </c>
      <c r="P218" s="108">
        <v>9</v>
      </c>
      <c r="Q218" s="108">
        <v>480.333333333333</v>
      </c>
      <c r="R218" s="108">
        <v>579.8</v>
      </c>
      <c r="S218" s="108">
        <v>564.571428571428</v>
      </c>
      <c r="T218" s="108">
        <v>-5</v>
      </c>
      <c r="U218" s="108">
        <v>10</v>
      </c>
      <c r="V218" s="108">
        <v>6.2</v>
      </c>
      <c r="W218" s="108">
        <v>5.85714285714285</v>
      </c>
      <c r="X218" s="108">
        <v>-14</v>
      </c>
      <c r="Y218" s="116">
        <v>-2.33333333333333</v>
      </c>
      <c r="Z218" s="108">
        <v>-1</v>
      </c>
      <c r="AA218" s="108">
        <v>-1</v>
      </c>
    </row>
    <row r="219" spans="1:27">
      <c r="A219" s="212">
        <v>45018</v>
      </c>
      <c r="B219" s="104" t="s">
        <v>24</v>
      </c>
      <c r="C219" s="145">
        <v>500</v>
      </c>
      <c r="D219" s="145"/>
      <c r="E219" s="104">
        <v>7</v>
      </c>
      <c r="F219" s="106">
        <v>0.014</v>
      </c>
      <c r="G219" s="107">
        <v>3</v>
      </c>
      <c r="H219" s="106">
        <v>0.428571428571429</v>
      </c>
      <c r="I219" s="106"/>
      <c r="J219" s="106"/>
      <c r="K219" s="106"/>
      <c r="L219" s="149" t="s">
        <v>4770</v>
      </c>
      <c r="M219" s="159">
        <v>7</v>
      </c>
      <c r="N219" s="159">
        <v>3</v>
      </c>
      <c r="O219" s="160">
        <v>0.428571428571429</v>
      </c>
      <c r="P219" s="108">
        <v>-5</v>
      </c>
      <c r="Q219" s="108">
        <v>-17.3333333333334</v>
      </c>
      <c r="R219" s="108">
        <v>-21.8</v>
      </c>
      <c r="S219" s="108">
        <v>-54.5714285714286</v>
      </c>
      <c r="T219" s="115">
        <v>5</v>
      </c>
      <c r="U219" s="115">
        <v>3</v>
      </c>
      <c r="V219" s="117">
        <v>1</v>
      </c>
      <c r="W219" s="117">
        <v>-0.714285714285714</v>
      </c>
      <c r="X219" s="115">
        <v>1</v>
      </c>
      <c r="Y219" s="115">
        <v>1.33333333333333</v>
      </c>
      <c r="Z219" s="115">
        <v>0</v>
      </c>
      <c r="AA219" s="115">
        <v>-0.285714285714286</v>
      </c>
    </row>
    <row r="220" spans="1:27">
      <c r="A220" s="212">
        <v>45018</v>
      </c>
      <c r="B220" s="104" t="s">
        <v>25</v>
      </c>
      <c r="C220" s="145">
        <v>9358</v>
      </c>
      <c r="D220" s="145"/>
      <c r="E220" s="104">
        <v>49</v>
      </c>
      <c r="F220" s="106">
        <v>0.00523616157298568</v>
      </c>
      <c r="G220" s="107">
        <v>21</v>
      </c>
      <c r="H220" s="106">
        <v>0.428571428571429</v>
      </c>
      <c r="I220" s="106"/>
      <c r="J220" s="106"/>
      <c r="K220" s="106"/>
      <c r="L220" s="149" t="s">
        <v>4770</v>
      </c>
      <c r="M220" s="159">
        <v>49</v>
      </c>
      <c r="N220" s="159">
        <v>21</v>
      </c>
      <c r="O220" s="160">
        <v>0.428571428571429</v>
      </c>
      <c r="P220" s="108">
        <v>2097</v>
      </c>
      <c r="Q220" s="108">
        <v>2957</v>
      </c>
      <c r="R220" s="108">
        <v>2987.8</v>
      </c>
      <c r="S220" s="108">
        <v>3292.28571428571</v>
      </c>
      <c r="T220" s="116">
        <v>12</v>
      </c>
      <c r="U220" s="115">
        <v>13.3333333333333</v>
      </c>
      <c r="V220" s="115">
        <v>11</v>
      </c>
      <c r="W220" s="115">
        <v>9.28571428571428</v>
      </c>
      <c r="X220" s="108">
        <v>1</v>
      </c>
      <c r="Y220" s="108">
        <v>0</v>
      </c>
      <c r="Z220" s="108">
        <v>-3</v>
      </c>
      <c r="AA220" s="108">
        <v>-2.71428571428572</v>
      </c>
    </row>
    <row r="221" spans="1:27">
      <c r="A221" s="212">
        <v>45018</v>
      </c>
      <c r="B221" s="104" t="s">
        <v>26</v>
      </c>
      <c r="C221" s="145">
        <v>528</v>
      </c>
      <c r="D221" s="145"/>
      <c r="E221" s="104">
        <v>90</v>
      </c>
      <c r="F221" s="106">
        <v>0.170454545454545</v>
      </c>
      <c r="G221" s="107">
        <v>21</v>
      </c>
      <c r="H221" s="106">
        <v>0.233333333333333</v>
      </c>
      <c r="I221" s="106"/>
      <c r="J221" s="106"/>
      <c r="K221" s="106"/>
      <c r="L221" s="149" t="s">
        <v>4770</v>
      </c>
      <c r="M221" s="159">
        <v>90</v>
      </c>
      <c r="N221" s="159">
        <v>21</v>
      </c>
      <c r="O221" s="166">
        <v>0.233333333333333</v>
      </c>
      <c r="P221" s="108">
        <v>-9</v>
      </c>
      <c r="Q221" s="108">
        <v>30</v>
      </c>
      <c r="R221" s="108">
        <v>57.2</v>
      </c>
      <c r="S221" s="108">
        <v>94.4285714285714</v>
      </c>
      <c r="T221" s="108">
        <v>-21</v>
      </c>
      <c r="U221" s="108">
        <v>5.33333333333333</v>
      </c>
      <c r="V221" s="108">
        <v>16.2</v>
      </c>
      <c r="W221" s="108">
        <v>22.4285714285714</v>
      </c>
      <c r="X221" s="108">
        <v>-5</v>
      </c>
      <c r="Y221" s="108">
        <v>1</v>
      </c>
      <c r="Z221" s="108">
        <v>0.600000000000001</v>
      </c>
      <c r="AA221" s="108">
        <v>2</v>
      </c>
    </row>
    <row r="222" spans="1:27">
      <c r="A222" s="212">
        <v>45018</v>
      </c>
      <c r="B222" s="104" t="s">
        <v>27</v>
      </c>
      <c r="C222" s="145">
        <v>44</v>
      </c>
      <c r="D222" s="145"/>
      <c r="E222" s="104">
        <v>0</v>
      </c>
      <c r="F222" s="106">
        <v>0</v>
      </c>
      <c r="G222" s="107">
        <v>0</v>
      </c>
      <c r="H222" s="106">
        <v>0</v>
      </c>
      <c r="I222" s="106"/>
      <c r="J222" s="106"/>
      <c r="K222" s="106"/>
      <c r="L222" s="149" t="s">
        <v>4770</v>
      </c>
      <c r="M222" s="159">
        <v>0</v>
      </c>
      <c r="N222" s="159">
        <v>0</v>
      </c>
      <c r="O222" s="160">
        <v>0</v>
      </c>
      <c r="P222" s="108">
        <v>12</v>
      </c>
      <c r="Q222" s="108">
        <v>17</v>
      </c>
      <c r="R222" s="108">
        <v>14</v>
      </c>
      <c r="S222" s="108">
        <v>14.4285714285714</v>
      </c>
      <c r="T222" s="108">
        <v>-2</v>
      </c>
      <c r="U222" s="108">
        <v>-0.666666666666667</v>
      </c>
      <c r="V222" s="108">
        <v>-0.4</v>
      </c>
      <c r="W222" s="108">
        <v>-0.571428571428571</v>
      </c>
      <c r="X222" s="108">
        <v>-1</v>
      </c>
      <c r="Y222" s="108">
        <v>-0.333333333333333</v>
      </c>
      <c r="Z222" s="108">
        <v>-0.2</v>
      </c>
      <c r="AA222" s="108">
        <v>-0.142857142857143</v>
      </c>
    </row>
    <row r="223" spans="1:27">
      <c r="A223" s="212">
        <v>45018</v>
      </c>
      <c r="B223" s="104" t="s">
        <v>28</v>
      </c>
      <c r="C223" s="145">
        <v>0</v>
      </c>
      <c r="D223" s="145"/>
      <c r="E223" s="104">
        <v>0</v>
      </c>
      <c r="F223" s="106">
        <v>0</v>
      </c>
      <c r="G223" s="107">
        <v>0</v>
      </c>
      <c r="H223" s="106">
        <v>0</v>
      </c>
      <c r="I223" s="106"/>
      <c r="J223" s="106"/>
      <c r="K223" s="106"/>
      <c r="L223" s="149" t="s">
        <v>4770</v>
      </c>
      <c r="M223" s="159">
        <v>0</v>
      </c>
      <c r="N223" s="159">
        <v>0</v>
      </c>
      <c r="O223" s="160">
        <v>0</v>
      </c>
      <c r="P223" s="108">
        <v>0</v>
      </c>
      <c r="Q223" s="108">
        <v>0</v>
      </c>
      <c r="R223" s="108">
        <v>0</v>
      </c>
      <c r="S223" s="108">
        <v>0</v>
      </c>
      <c r="T223" s="108">
        <v>0</v>
      </c>
      <c r="U223" s="108">
        <v>0</v>
      </c>
      <c r="V223" s="108">
        <v>0</v>
      </c>
      <c r="W223" s="108">
        <v>0</v>
      </c>
      <c r="X223" s="108">
        <v>0</v>
      </c>
      <c r="Y223" s="108">
        <v>0</v>
      </c>
      <c r="Z223" s="108">
        <v>0</v>
      </c>
      <c r="AA223" s="108">
        <v>0</v>
      </c>
    </row>
    <row r="224" spans="1:27">
      <c r="A224" s="212">
        <v>45018</v>
      </c>
      <c r="B224" s="104" t="s">
        <v>29</v>
      </c>
      <c r="C224" s="145">
        <v>3</v>
      </c>
      <c r="D224" s="145"/>
      <c r="E224" s="104">
        <v>0</v>
      </c>
      <c r="F224" s="106">
        <v>0</v>
      </c>
      <c r="G224" s="107">
        <v>0</v>
      </c>
      <c r="H224" s="106">
        <v>0</v>
      </c>
      <c r="I224" s="106"/>
      <c r="J224" s="106"/>
      <c r="K224" s="106"/>
      <c r="L224" s="149" t="s">
        <v>4770</v>
      </c>
      <c r="M224" s="159">
        <v>0</v>
      </c>
      <c r="N224" s="159">
        <v>0</v>
      </c>
      <c r="O224" s="160">
        <v>0</v>
      </c>
      <c r="P224" s="108">
        <v>2</v>
      </c>
      <c r="Q224" s="108">
        <v>-0.333333333333333</v>
      </c>
      <c r="R224" s="108">
        <v>0.2</v>
      </c>
      <c r="S224" s="108">
        <v>0.857142857142857</v>
      </c>
      <c r="T224" s="108">
        <v>0</v>
      </c>
      <c r="U224" s="108">
        <v>-0.333333333333333</v>
      </c>
      <c r="V224" s="108">
        <v>-0.2</v>
      </c>
      <c r="W224" s="108">
        <v>-0.142857142857143</v>
      </c>
      <c r="X224" s="108">
        <v>0</v>
      </c>
      <c r="Y224" s="108">
        <v>0</v>
      </c>
      <c r="Z224" s="108">
        <v>0</v>
      </c>
      <c r="AA224" s="108">
        <v>0</v>
      </c>
    </row>
    <row r="225" spans="1:27">
      <c r="A225" s="212">
        <v>45018</v>
      </c>
      <c r="B225" s="104" t="s">
        <v>30</v>
      </c>
      <c r="C225" s="145">
        <v>0</v>
      </c>
      <c r="D225" s="145"/>
      <c r="E225" s="104">
        <v>0</v>
      </c>
      <c r="F225" s="106">
        <v>0</v>
      </c>
      <c r="G225" s="107">
        <v>0</v>
      </c>
      <c r="H225" s="106">
        <v>0</v>
      </c>
      <c r="I225" s="106"/>
      <c r="J225" s="106"/>
      <c r="K225" s="106"/>
      <c r="L225" s="149" t="s">
        <v>4770</v>
      </c>
      <c r="M225" s="159">
        <v>0</v>
      </c>
      <c r="N225" s="159">
        <v>0</v>
      </c>
      <c r="O225" s="160">
        <v>0</v>
      </c>
      <c r="P225" s="108">
        <v>0</v>
      </c>
      <c r="Q225" s="108">
        <v>0</v>
      </c>
      <c r="R225" s="108">
        <v>0</v>
      </c>
      <c r="S225" s="108">
        <v>0</v>
      </c>
      <c r="T225" s="108">
        <v>0</v>
      </c>
      <c r="U225" s="108">
        <v>0</v>
      </c>
      <c r="V225" s="108">
        <v>0</v>
      </c>
      <c r="W225" s="108">
        <v>0</v>
      </c>
      <c r="X225" s="108">
        <v>0</v>
      </c>
      <c r="Y225" s="108">
        <v>0</v>
      </c>
      <c r="Z225" s="108">
        <v>0</v>
      </c>
      <c r="AA225" s="108">
        <v>0</v>
      </c>
    </row>
    <row r="226" spans="1:27">
      <c r="A226" s="212">
        <v>45018</v>
      </c>
      <c r="B226" s="104" t="s">
        <v>31</v>
      </c>
      <c r="C226" s="145">
        <v>0</v>
      </c>
      <c r="D226" s="145"/>
      <c r="E226" s="104">
        <v>0</v>
      </c>
      <c r="F226" s="106">
        <v>0</v>
      </c>
      <c r="G226" s="107">
        <v>0</v>
      </c>
      <c r="H226" s="106">
        <v>0</v>
      </c>
      <c r="I226" s="106"/>
      <c r="J226" s="106"/>
      <c r="K226" s="106"/>
      <c r="L226" s="149" t="s">
        <v>4770</v>
      </c>
      <c r="M226" s="159">
        <v>0</v>
      </c>
      <c r="N226" s="159">
        <v>0</v>
      </c>
      <c r="O226" s="160">
        <v>0</v>
      </c>
      <c r="P226" s="108">
        <v>0</v>
      </c>
      <c r="Q226" s="108">
        <v>0</v>
      </c>
      <c r="R226" s="108">
        <v>0</v>
      </c>
      <c r="S226" s="108">
        <v>0</v>
      </c>
      <c r="T226" s="108">
        <v>0</v>
      </c>
      <c r="U226" s="108">
        <v>-0.333333333333333</v>
      </c>
      <c r="V226" s="108">
        <v>-0.2</v>
      </c>
      <c r="W226" s="108">
        <v>-0.142857142857143</v>
      </c>
      <c r="X226" s="108">
        <v>0</v>
      </c>
      <c r="Y226" s="108">
        <v>0</v>
      </c>
      <c r="Z226" s="108">
        <v>0</v>
      </c>
      <c r="AA226" s="108">
        <v>0</v>
      </c>
    </row>
    <row r="227" spans="1:27">
      <c r="A227" s="212">
        <v>45018</v>
      </c>
      <c r="B227" s="104" t="s">
        <v>32</v>
      </c>
      <c r="C227" s="145">
        <v>0</v>
      </c>
      <c r="D227" s="145"/>
      <c r="E227" s="104">
        <v>0</v>
      </c>
      <c r="F227" s="106">
        <v>0</v>
      </c>
      <c r="G227" s="107">
        <v>0</v>
      </c>
      <c r="H227" s="106">
        <v>0</v>
      </c>
      <c r="I227" s="106"/>
      <c r="J227" s="106"/>
      <c r="K227" s="106"/>
      <c r="L227" s="149" t="s">
        <v>4770</v>
      </c>
      <c r="M227" s="159">
        <v>0</v>
      </c>
      <c r="N227" s="159">
        <v>0</v>
      </c>
      <c r="O227" s="160">
        <v>0</v>
      </c>
      <c r="P227" s="108">
        <v>0</v>
      </c>
      <c r="Q227" s="108">
        <v>0</v>
      </c>
      <c r="R227" s="108">
        <v>0</v>
      </c>
      <c r="S227" s="108">
        <v>0</v>
      </c>
      <c r="T227" s="108">
        <v>0</v>
      </c>
      <c r="U227" s="108">
        <v>0</v>
      </c>
      <c r="V227" s="108">
        <v>0</v>
      </c>
      <c r="W227" s="108">
        <v>0</v>
      </c>
      <c r="X227" s="108">
        <v>0</v>
      </c>
      <c r="Y227" s="108">
        <v>0</v>
      </c>
      <c r="Z227" s="108">
        <v>0</v>
      </c>
      <c r="AA227" s="108">
        <v>0</v>
      </c>
    </row>
    <row r="228" spans="1:27">
      <c r="A228" s="212">
        <v>45018</v>
      </c>
      <c r="B228" s="104" t="s">
        <v>33</v>
      </c>
      <c r="C228" s="145">
        <v>0</v>
      </c>
      <c r="D228" s="145"/>
      <c r="E228" s="104">
        <v>0</v>
      </c>
      <c r="F228" s="106">
        <v>0</v>
      </c>
      <c r="G228" s="107">
        <v>0</v>
      </c>
      <c r="H228" s="106">
        <v>0</v>
      </c>
      <c r="I228" s="106"/>
      <c r="J228" s="106"/>
      <c r="K228" s="106"/>
      <c r="L228" s="149" t="s">
        <v>4770</v>
      </c>
      <c r="M228" s="159">
        <v>0</v>
      </c>
      <c r="N228" s="159">
        <v>0</v>
      </c>
      <c r="O228" s="160">
        <v>0</v>
      </c>
      <c r="P228" s="108">
        <v>0</v>
      </c>
      <c r="Q228" s="108">
        <v>0</v>
      </c>
      <c r="R228" s="108">
        <v>0</v>
      </c>
      <c r="S228" s="108">
        <v>0</v>
      </c>
      <c r="T228" s="108">
        <v>0</v>
      </c>
      <c r="U228" s="108">
        <v>-0.333333333333333</v>
      </c>
      <c r="V228" s="108">
        <v>-0.2</v>
      </c>
      <c r="W228" s="108">
        <v>-0.142857142857143</v>
      </c>
      <c r="X228" s="108">
        <v>0</v>
      </c>
      <c r="Y228" s="108">
        <v>0</v>
      </c>
      <c r="Z228" s="108">
        <v>0</v>
      </c>
      <c r="AA228" s="108">
        <v>0</v>
      </c>
    </row>
    <row r="229" spans="1:27">
      <c r="A229" s="212">
        <v>45018</v>
      </c>
      <c r="B229" s="104" t="s">
        <v>34</v>
      </c>
      <c r="C229" s="145">
        <v>0</v>
      </c>
      <c r="D229" s="145"/>
      <c r="E229" s="104">
        <v>0</v>
      </c>
      <c r="F229" s="106">
        <v>0</v>
      </c>
      <c r="G229" s="107">
        <v>0</v>
      </c>
      <c r="H229" s="106">
        <v>0</v>
      </c>
      <c r="I229" s="106"/>
      <c r="J229" s="106"/>
      <c r="K229" s="106"/>
      <c r="L229" s="149" t="s">
        <v>4770</v>
      </c>
      <c r="M229" s="159">
        <v>0</v>
      </c>
      <c r="N229" s="159">
        <v>0</v>
      </c>
      <c r="O229" s="166">
        <v>0</v>
      </c>
      <c r="P229" s="108">
        <v>0</v>
      </c>
      <c r="Q229" s="108">
        <v>0</v>
      </c>
      <c r="R229" s="108">
        <v>0</v>
      </c>
      <c r="S229" s="108">
        <v>0</v>
      </c>
      <c r="T229" s="108">
        <v>0</v>
      </c>
      <c r="U229" s="108">
        <v>0</v>
      </c>
      <c r="V229" s="108">
        <v>0</v>
      </c>
      <c r="W229" s="108">
        <v>0</v>
      </c>
      <c r="X229" s="108">
        <v>0</v>
      </c>
      <c r="Y229" s="108">
        <v>0</v>
      </c>
      <c r="Z229" s="108">
        <v>0</v>
      </c>
      <c r="AA229" s="108">
        <v>0</v>
      </c>
    </row>
    <row r="230" spans="1:27">
      <c r="A230" s="212">
        <v>45018</v>
      </c>
      <c r="B230" s="104" t="s">
        <v>35</v>
      </c>
      <c r="C230" s="145">
        <v>0</v>
      </c>
      <c r="D230" s="145"/>
      <c r="E230" s="104">
        <v>0</v>
      </c>
      <c r="F230" s="106">
        <v>0</v>
      </c>
      <c r="G230" s="107">
        <v>0</v>
      </c>
      <c r="H230" s="106">
        <v>0</v>
      </c>
      <c r="I230" s="106"/>
      <c r="J230" s="106"/>
      <c r="K230" s="106"/>
      <c r="L230" s="149" t="s">
        <v>4770</v>
      </c>
      <c r="M230" s="159">
        <v>0</v>
      </c>
      <c r="N230" s="159">
        <v>0</v>
      </c>
      <c r="O230" s="166">
        <v>0</v>
      </c>
      <c r="P230" s="108">
        <v>0</v>
      </c>
      <c r="Q230" s="108">
        <v>0</v>
      </c>
      <c r="R230" s="108">
        <v>0</v>
      </c>
      <c r="S230" s="108">
        <v>0</v>
      </c>
      <c r="T230" s="108">
        <v>0</v>
      </c>
      <c r="U230" s="108">
        <v>0</v>
      </c>
      <c r="V230" s="108">
        <v>0</v>
      </c>
      <c r="W230" s="108">
        <v>0</v>
      </c>
      <c r="X230" s="108">
        <v>0</v>
      </c>
      <c r="Y230" s="108">
        <v>0</v>
      </c>
      <c r="Z230" s="108">
        <v>0</v>
      </c>
      <c r="AA230" s="108">
        <v>0</v>
      </c>
    </row>
    <row r="231" spans="1:27">
      <c r="A231" s="212">
        <v>45018</v>
      </c>
      <c r="B231" s="104" t="s">
        <v>36</v>
      </c>
      <c r="C231" s="145">
        <v>0</v>
      </c>
      <c r="D231" s="145"/>
      <c r="E231" s="104">
        <v>0</v>
      </c>
      <c r="F231" s="106">
        <v>0</v>
      </c>
      <c r="G231" s="107">
        <v>0</v>
      </c>
      <c r="H231" s="106">
        <v>0</v>
      </c>
      <c r="I231" s="106"/>
      <c r="J231" s="106"/>
      <c r="K231" s="106"/>
      <c r="L231" s="149" t="s">
        <v>4770</v>
      </c>
      <c r="M231" s="159">
        <v>0</v>
      </c>
      <c r="N231" s="159">
        <v>0</v>
      </c>
      <c r="O231" s="166">
        <v>0</v>
      </c>
      <c r="P231" s="108">
        <v>0</v>
      </c>
      <c r="Q231" s="108">
        <v>0</v>
      </c>
      <c r="R231" s="108">
        <v>0</v>
      </c>
      <c r="S231" s="108">
        <v>0</v>
      </c>
      <c r="T231" s="108">
        <v>0</v>
      </c>
      <c r="U231" s="108">
        <v>0</v>
      </c>
      <c r="V231" s="108">
        <v>0</v>
      </c>
      <c r="W231" s="108">
        <v>0</v>
      </c>
      <c r="X231" s="108">
        <v>0</v>
      </c>
      <c r="Y231" s="108">
        <v>0</v>
      </c>
      <c r="Z231" s="108">
        <v>0</v>
      </c>
      <c r="AA231" s="108">
        <v>0</v>
      </c>
    </row>
    <row r="232" spans="1:27">
      <c r="A232" s="212">
        <v>45018</v>
      </c>
      <c r="B232" s="104" t="s">
        <v>37</v>
      </c>
      <c r="C232" s="145">
        <v>0</v>
      </c>
      <c r="D232" s="145"/>
      <c r="E232" s="104">
        <v>0</v>
      </c>
      <c r="F232" s="106">
        <v>0</v>
      </c>
      <c r="G232" s="107">
        <v>0</v>
      </c>
      <c r="H232" s="106">
        <v>0</v>
      </c>
      <c r="I232" s="106"/>
      <c r="J232" s="106"/>
      <c r="K232" s="106"/>
      <c r="L232" s="149" t="s">
        <v>4770</v>
      </c>
      <c r="M232" s="159">
        <v>0</v>
      </c>
      <c r="N232" s="159">
        <v>0</v>
      </c>
      <c r="O232" s="166">
        <v>0</v>
      </c>
      <c r="P232" s="108">
        <v>0</v>
      </c>
      <c r="Q232" s="108">
        <v>0</v>
      </c>
      <c r="R232" s="108">
        <v>0</v>
      </c>
      <c r="S232" s="108">
        <v>0</v>
      </c>
      <c r="T232" s="108">
        <v>0</v>
      </c>
      <c r="U232" s="108">
        <v>0</v>
      </c>
      <c r="V232" s="108">
        <v>0</v>
      </c>
      <c r="W232" s="108">
        <v>0</v>
      </c>
      <c r="X232" s="108">
        <v>0</v>
      </c>
      <c r="Y232" s="108">
        <v>0</v>
      </c>
      <c r="Z232" s="108">
        <v>0</v>
      </c>
      <c r="AA232" s="108">
        <v>0</v>
      </c>
    </row>
    <row r="233" spans="1:27">
      <c r="A233" s="212">
        <v>45018</v>
      </c>
      <c r="B233" s="104" t="s">
        <v>38</v>
      </c>
      <c r="C233" s="145">
        <v>0</v>
      </c>
      <c r="D233" s="145"/>
      <c r="E233" s="104">
        <v>0</v>
      </c>
      <c r="F233" s="106">
        <v>0</v>
      </c>
      <c r="G233" s="107">
        <v>0</v>
      </c>
      <c r="H233" s="106">
        <v>0</v>
      </c>
      <c r="I233" s="106"/>
      <c r="J233" s="106"/>
      <c r="K233" s="106"/>
      <c r="L233" s="149" t="s">
        <v>4770</v>
      </c>
      <c r="M233" s="159">
        <v>0</v>
      </c>
      <c r="N233" s="159">
        <v>0</v>
      </c>
      <c r="O233" s="166">
        <v>0</v>
      </c>
      <c r="P233" s="108">
        <v>0</v>
      </c>
      <c r="Q233" s="108">
        <v>0</v>
      </c>
      <c r="R233" s="108">
        <v>0</v>
      </c>
      <c r="S233" s="108">
        <v>0</v>
      </c>
      <c r="T233" s="108">
        <v>0</v>
      </c>
      <c r="U233" s="108">
        <v>0</v>
      </c>
      <c r="V233" s="108">
        <v>0</v>
      </c>
      <c r="W233" s="108">
        <v>0</v>
      </c>
      <c r="X233" s="108">
        <v>0</v>
      </c>
      <c r="Y233" s="108">
        <v>0</v>
      </c>
      <c r="Z233" s="108">
        <v>0</v>
      </c>
      <c r="AA233" s="108">
        <v>0</v>
      </c>
    </row>
    <row r="234" spans="1:27">
      <c r="A234" s="212">
        <v>45018</v>
      </c>
      <c r="B234" s="111" t="s">
        <v>39</v>
      </c>
      <c r="C234" s="112">
        <v>21783</v>
      </c>
      <c r="D234" s="112"/>
      <c r="E234" s="112">
        <v>421</v>
      </c>
      <c r="F234" s="113">
        <v>0.0193269981177983</v>
      </c>
      <c r="G234" s="112">
        <v>141</v>
      </c>
      <c r="H234" s="113">
        <v>0.334916864608076</v>
      </c>
      <c r="I234" s="113"/>
      <c r="J234" s="113"/>
      <c r="K234" s="113"/>
      <c r="L234" s="150" t="s">
        <v>4770</v>
      </c>
      <c r="M234" s="162">
        <v>421</v>
      </c>
      <c r="N234" s="162">
        <v>141</v>
      </c>
      <c r="O234" s="167">
        <v>0.334916864608076</v>
      </c>
      <c r="P234" s="108"/>
      <c r="Q234" s="108"/>
      <c r="R234" s="108"/>
      <c r="S234" s="108"/>
      <c r="T234" s="108"/>
      <c r="U234" s="108"/>
      <c r="V234" s="108"/>
      <c r="W234" s="108"/>
      <c r="X234" s="108"/>
      <c r="Y234" s="108"/>
      <c r="Z234" s="108"/>
      <c r="AA234" s="108"/>
    </row>
    <row r="235" spans="1:27">
      <c r="A235" s="212">
        <v>45019</v>
      </c>
      <c r="B235" s="104" t="s">
        <v>17</v>
      </c>
      <c r="C235" s="105">
        <v>72</v>
      </c>
      <c r="D235" s="105"/>
      <c r="E235" s="104">
        <v>38</v>
      </c>
      <c r="F235" s="106">
        <v>0.527777777777778</v>
      </c>
      <c r="G235" s="107">
        <v>6</v>
      </c>
      <c r="H235" s="106">
        <v>0.157894736842105</v>
      </c>
      <c r="I235" s="106"/>
      <c r="J235" s="106"/>
      <c r="K235" s="106"/>
      <c r="L235" s="148" t="s">
        <v>4770</v>
      </c>
      <c r="M235" s="157">
        <v>38</v>
      </c>
      <c r="N235" s="157">
        <v>6</v>
      </c>
      <c r="O235" s="158">
        <v>0.157894736842105</v>
      </c>
      <c r="P235" s="108">
        <v>40</v>
      </c>
      <c r="Q235" s="108">
        <v>30</v>
      </c>
      <c r="R235" s="108">
        <v>25</v>
      </c>
      <c r="S235" s="108">
        <v>-2.85714285714286</v>
      </c>
      <c r="T235" s="108">
        <v>9</v>
      </c>
      <c r="U235" s="108">
        <v>6.66666666666667</v>
      </c>
      <c r="V235" s="108">
        <v>8.8</v>
      </c>
      <c r="W235" s="108">
        <v>9.28571428571428</v>
      </c>
      <c r="X235" s="108">
        <v>0</v>
      </c>
      <c r="Y235" s="108">
        <v>0</v>
      </c>
      <c r="Z235" s="108">
        <v>0.8</v>
      </c>
      <c r="AA235" s="108">
        <v>1.14285714285714</v>
      </c>
    </row>
    <row r="236" spans="1:27">
      <c r="A236" s="212">
        <v>45019</v>
      </c>
      <c r="B236" s="104" t="s">
        <v>19</v>
      </c>
      <c r="C236" s="107">
        <v>667</v>
      </c>
      <c r="D236" s="107"/>
      <c r="E236" s="104">
        <v>22</v>
      </c>
      <c r="F236" s="106">
        <v>0.0329835082458771</v>
      </c>
      <c r="G236" s="107">
        <v>14</v>
      </c>
      <c r="H236" s="106">
        <v>0.636363636363636</v>
      </c>
      <c r="I236" s="106"/>
      <c r="J236" s="106"/>
      <c r="K236" s="106"/>
      <c r="L236" s="149" t="s">
        <v>4770</v>
      </c>
      <c r="M236" s="159">
        <v>22</v>
      </c>
      <c r="N236" s="159">
        <v>14</v>
      </c>
      <c r="O236" s="160">
        <v>0.636363636363636</v>
      </c>
      <c r="P236" s="108">
        <v>-80</v>
      </c>
      <c r="Q236" s="108">
        <v>-431.666666666667</v>
      </c>
      <c r="R236" s="108">
        <v>-679.8</v>
      </c>
      <c r="S236" s="108">
        <v>-819.142857142857</v>
      </c>
      <c r="T236" s="108">
        <v>0</v>
      </c>
      <c r="U236" s="108">
        <v>-20</v>
      </c>
      <c r="V236" s="108">
        <v>-35.6</v>
      </c>
      <c r="W236" s="108">
        <v>-47.8571428571429</v>
      </c>
      <c r="X236" s="108">
        <v>-2</v>
      </c>
      <c r="Y236" s="108">
        <v>-3</v>
      </c>
      <c r="Z236" s="108">
        <v>-10.4</v>
      </c>
      <c r="AA236" s="115">
        <v>-14.8571428571429</v>
      </c>
    </row>
    <row r="237" spans="1:27">
      <c r="A237" s="212">
        <v>45019</v>
      </c>
      <c r="B237" s="104" t="s">
        <v>21</v>
      </c>
      <c r="C237" s="145">
        <v>1001</v>
      </c>
      <c r="D237" s="145"/>
      <c r="E237" s="104">
        <v>21</v>
      </c>
      <c r="F237" s="106">
        <v>0.020979020979021</v>
      </c>
      <c r="G237" s="107">
        <v>8</v>
      </c>
      <c r="H237" s="106">
        <v>0.380952380952381</v>
      </c>
      <c r="I237" s="106"/>
      <c r="J237" s="106"/>
      <c r="K237" s="106"/>
      <c r="L237" s="149" t="s">
        <v>4770</v>
      </c>
      <c r="M237" s="159">
        <v>21</v>
      </c>
      <c r="N237" s="159">
        <v>8</v>
      </c>
      <c r="O237" s="160">
        <v>0.380952380952381</v>
      </c>
      <c r="P237" s="108">
        <v>-249</v>
      </c>
      <c r="Q237" s="108">
        <v>-188.666666666667</v>
      </c>
      <c r="R237" s="108">
        <v>-144</v>
      </c>
      <c r="S237" s="108">
        <v>-106.142857142857</v>
      </c>
      <c r="T237" s="108">
        <v>-2</v>
      </c>
      <c r="U237" s="108">
        <v>-6</v>
      </c>
      <c r="V237" s="108">
        <v>-5</v>
      </c>
      <c r="W237" s="108">
        <v>-9.28571428571428</v>
      </c>
      <c r="X237" s="108">
        <v>-1</v>
      </c>
      <c r="Y237" s="108">
        <v>-2.66666666666667</v>
      </c>
      <c r="Z237" s="108">
        <v>-0.800000000000001</v>
      </c>
      <c r="AA237" s="108">
        <v>-2.57142857142857</v>
      </c>
    </row>
    <row r="238" spans="1:27">
      <c r="A238" s="212">
        <v>45019</v>
      </c>
      <c r="B238" s="104" t="s">
        <v>22</v>
      </c>
      <c r="C238" s="145">
        <v>5275</v>
      </c>
      <c r="D238" s="145"/>
      <c r="E238" s="104">
        <v>131</v>
      </c>
      <c r="F238" s="106">
        <v>0.0248341232227488</v>
      </c>
      <c r="G238" s="107">
        <v>39</v>
      </c>
      <c r="H238" s="106">
        <v>0.297709923664122</v>
      </c>
      <c r="I238" s="106"/>
      <c r="J238" s="106"/>
      <c r="K238" s="106"/>
      <c r="L238" s="149" t="s">
        <v>4770</v>
      </c>
      <c r="M238" s="159">
        <v>131</v>
      </c>
      <c r="N238" s="159">
        <v>39</v>
      </c>
      <c r="O238" s="160">
        <v>0.297709923664122</v>
      </c>
      <c r="P238" s="108">
        <v>-404</v>
      </c>
      <c r="Q238" s="108">
        <v>-107</v>
      </c>
      <c r="R238" s="108">
        <v>299</v>
      </c>
      <c r="S238" s="108">
        <v>447.571428571428</v>
      </c>
      <c r="T238" s="108">
        <v>-25</v>
      </c>
      <c r="U238" s="108">
        <v>-10.3333333333333</v>
      </c>
      <c r="V238" s="108">
        <v>-5.59999999999999</v>
      </c>
      <c r="W238" s="115">
        <v>-1.57142857142858</v>
      </c>
      <c r="X238" s="108">
        <v>-15</v>
      </c>
      <c r="Y238" s="108">
        <v>-12.3333333333333</v>
      </c>
      <c r="Z238" s="108">
        <v>-8.4</v>
      </c>
      <c r="AA238" s="117">
        <v>-7.57142857142857</v>
      </c>
    </row>
    <row r="239" spans="1:27">
      <c r="A239" s="212">
        <v>45019</v>
      </c>
      <c r="B239" s="104" t="s">
        <v>23</v>
      </c>
      <c r="C239" s="145">
        <v>3424</v>
      </c>
      <c r="D239" s="145"/>
      <c r="E239" s="104">
        <v>51</v>
      </c>
      <c r="F239" s="106">
        <v>0.0148948598130841</v>
      </c>
      <c r="G239" s="107">
        <v>23</v>
      </c>
      <c r="H239" s="106">
        <v>0.450980392156863</v>
      </c>
      <c r="I239" s="106"/>
      <c r="J239" s="106"/>
      <c r="K239" s="106"/>
      <c r="L239" s="149" t="s">
        <v>4770</v>
      </c>
      <c r="M239" s="159">
        <v>51</v>
      </c>
      <c r="N239" s="159">
        <v>23</v>
      </c>
      <c r="O239" s="160">
        <v>0.450980392156863</v>
      </c>
      <c r="P239" s="108">
        <v>-218</v>
      </c>
      <c r="Q239" s="108">
        <v>-43</v>
      </c>
      <c r="R239" s="108">
        <v>221.6</v>
      </c>
      <c r="S239" s="108">
        <v>278.142857142857</v>
      </c>
      <c r="T239" s="108">
        <v>6</v>
      </c>
      <c r="U239" s="108">
        <v>8.66666666666666</v>
      </c>
      <c r="V239" s="108">
        <v>13</v>
      </c>
      <c r="W239" s="108">
        <v>11.5714285714286</v>
      </c>
      <c r="X239" s="108">
        <v>12</v>
      </c>
      <c r="Y239" s="116">
        <v>7.66666666666667</v>
      </c>
      <c r="Z239" s="108">
        <v>10.4</v>
      </c>
      <c r="AA239" s="108">
        <v>11.5714285714286</v>
      </c>
    </row>
    <row r="240" spans="1:27">
      <c r="A240" s="212">
        <v>45019</v>
      </c>
      <c r="B240" s="104" t="s">
        <v>24</v>
      </c>
      <c r="C240" s="145">
        <v>519</v>
      </c>
      <c r="D240" s="145"/>
      <c r="E240" s="104">
        <v>7</v>
      </c>
      <c r="F240" s="106">
        <v>0.0134874759152216</v>
      </c>
      <c r="G240" s="107">
        <v>1</v>
      </c>
      <c r="H240" s="106">
        <v>0.142857142857143</v>
      </c>
      <c r="I240" s="106"/>
      <c r="J240" s="106"/>
      <c r="K240" s="106"/>
      <c r="L240" s="149" t="s">
        <v>4770</v>
      </c>
      <c r="M240" s="159">
        <v>7</v>
      </c>
      <c r="N240" s="159">
        <v>1</v>
      </c>
      <c r="O240" s="160">
        <v>0.142857142857143</v>
      </c>
      <c r="P240" s="108">
        <v>19</v>
      </c>
      <c r="Q240" s="108">
        <v>24.3333333333333</v>
      </c>
      <c r="R240" s="108">
        <v>0.600000000000023</v>
      </c>
      <c r="S240" s="108">
        <v>-10.4285714285714</v>
      </c>
      <c r="T240" s="115">
        <v>0</v>
      </c>
      <c r="U240" s="115">
        <v>3</v>
      </c>
      <c r="V240" s="117">
        <v>1.6</v>
      </c>
      <c r="W240" s="117">
        <v>-0.428571428571429</v>
      </c>
      <c r="X240" s="115">
        <v>-2</v>
      </c>
      <c r="Y240" s="115">
        <v>-1</v>
      </c>
      <c r="Z240" s="115">
        <v>-1.4</v>
      </c>
      <c r="AA240" s="115">
        <v>-2.28571428571429</v>
      </c>
    </row>
    <row r="241" spans="1:27">
      <c r="A241" s="212">
        <v>45019</v>
      </c>
      <c r="B241" s="104" t="s">
        <v>25</v>
      </c>
      <c r="C241" s="145">
        <v>11168</v>
      </c>
      <c r="D241" s="145"/>
      <c r="E241" s="104">
        <v>57</v>
      </c>
      <c r="F241" s="106">
        <v>0.00510386819484241</v>
      </c>
      <c r="G241" s="107">
        <v>21</v>
      </c>
      <c r="H241" s="106">
        <v>0.368421052631579</v>
      </c>
      <c r="I241" s="106"/>
      <c r="J241" s="106"/>
      <c r="K241" s="106"/>
      <c r="L241" s="149" t="s">
        <v>4770</v>
      </c>
      <c r="M241" s="159">
        <v>57</v>
      </c>
      <c r="N241" s="159">
        <v>21</v>
      </c>
      <c r="O241" s="160">
        <v>0.368421052631579</v>
      </c>
      <c r="P241" s="108">
        <v>1810</v>
      </c>
      <c r="Q241" s="108">
        <v>3811</v>
      </c>
      <c r="R241" s="108">
        <v>4238</v>
      </c>
      <c r="S241" s="108">
        <v>4499.28571428571</v>
      </c>
      <c r="T241" s="116">
        <v>8</v>
      </c>
      <c r="U241" s="115">
        <v>18.3333333333333</v>
      </c>
      <c r="V241" s="115">
        <v>17.8</v>
      </c>
      <c r="W241" s="115">
        <v>15.7142857142857</v>
      </c>
      <c r="X241" s="108">
        <v>0</v>
      </c>
      <c r="Y241" s="108">
        <v>3</v>
      </c>
      <c r="Z241" s="108">
        <v>-1.2</v>
      </c>
      <c r="AA241" s="108">
        <v>-1.71428571428572</v>
      </c>
    </row>
    <row r="242" spans="1:27">
      <c r="A242" s="212">
        <v>45019</v>
      </c>
      <c r="B242" s="104" t="s">
        <v>26</v>
      </c>
      <c r="C242" s="145">
        <v>2113</v>
      </c>
      <c r="D242" s="145"/>
      <c r="E242" s="104">
        <v>98</v>
      </c>
      <c r="F242" s="106">
        <v>0.0463795551348793</v>
      </c>
      <c r="G242" s="107">
        <v>19</v>
      </c>
      <c r="H242" s="106">
        <v>0.193877551020408</v>
      </c>
      <c r="I242" s="106"/>
      <c r="J242" s="106"/>
      <c r="K242" s="106"/>
      <c r="L242" s="149" t="s">
        <v>4770</v>
      </c>
      <c r="M242" s="159">
        <v>98</v>
      </c>
      <c r="N242" s="159">
        <v>19</v>
      </c>
      <c r="O242" s="166">
        <v>0.193877551020408</v>
      </c>
      <c r="P242" s="108">
        <v>1585</v>
      </c>
      <c r="Q242" s="108">
        <v>1595.33333333333</v>
      </c>
      <c r="R242" s="108">
        <v>1616.4</v>
      </c>
      <c r="S242" s="108">
        <v>1652.42857142857</v>
      </c>
      <c r="T242" s="108">
        <v>8</v>
      </c>
      <c r="U242" s="108">
        <v>11.6666666666667</v>
      </c>
      <c r="V242" s="108">
        <v>18.4</v>
      </c>
      <c r="W242" s="108">
        <v>24.8571428571429</v>
      </c>
      <c r="X242" s="108">
        <v>-2</v>
      </c>
      <c r="Y242" s="108">
        <v>-1.66666666666667</v>
      </c>
      <c r="Z242" s="108">
        <v>-0.800000000000001</v>
      </c>
      <c r="AA242" s="108">
        <v>-0.714285714285715</v>
      </c>
    </row>
    <row r="243" spans="1:27">
      <c r="A243" s="212">
        <v>45019</v>
      </c>
      <c r="B243" s="104" t="s">
        <v>27</v>
      </c>
      <c r="C243" s="145">
        <v>38</v>
      </c>
      <c r="D243" s="145"/>
      <c r="E243" s="104">
        <v>3</v>
      </c>
      <c r="F243" s="106">
        <v>0.0789473684210526</v>
      </c>
      <c r="G243" s="107">
        <v>0</v>
      </c>
      <c r="H243" s="106">
        <v>0</v>
      </c>
      <c r="I243" s="106"/>
      <c r="J243" s="106"/>
      <c r="K243" s="106"/>
      <c r="L243" s="149" t="s">
        <v>4770</v>
      </c>
      <c r="M243" s="159">
        <v>3</v>
      </c>
      <c r="N243" s="159">
        <v>0</v>
      </c>
      <c r="O243" s="160">
        <v>0</v>
      </c>
      <c r="P243" s="108">
        <v>-6</v>
      </c>
      <c r="Q243" s="108">
        <v>4.66666666666666</v>
      </c>
      <c r="R243" s="108">
        <v>4.8</v>
      </c>
      <c r="S243" s="108">
        <v>6.28571428571428</v>
      </c>
      <c r="T243" s="108">
        <v>3</v>
      </c>
      <c r="U243" s="108">
        <v>2.33333333333333</v>
      </c>
      <c r="V243" s="108">
        <v>2.6</v>
      </c>
      <c r="W243" s="108">
        <v>2.57142857142857</v>
      </c>
      <c r="X243" s="108">
        <v>0</v>
      </c>
      <c r="Y243" s="108">
        <v>-0.333333333333333</v>
      </c>
      <c r="Z243" s="108">
        <v>-0.2</v>
      </c>
      <c r="AA243" s="108">
        <v>-0.142857142857143</v>
      </c>
    </row>
    <row r="244" spans="1:27">
      <c r="A244" s="212">
        <v>45019</v>
      </c>
      <c r="B244" s="104" t="s">
        <v>28</v>
      </c>
      <c r="C244" s="145">
        <v>0</v>
      </c>
      <c r="D244" s="145"/>
      <c r="E244" s="104">
        <v>0</v>
      </c>
      <c r="F244" s="106">
        <v>0</v>
      </c>
      <c r="G244" s="107">
        <v>0</v>
      </c>
      <c r="H244" s="106">
        <v>0</v>
      </c>
      <c r="I244" s="106"/>
      <c r="J244" s="106"/>
      <c r="K244" s="106"/>
      <c r="L244" s="149" t="s">
        <v>4770</v>
      </c>
      <c r="M244" s="159">
        <v>0</v>
      </c>
      <c r="N244" s="159">
        <v>0</v>
      </c>
      <c r="O244" s="160">
        <v>0</v>
      </c>
      <c r="P244" s="108">
        <v>0</v>
      </c>
      <c r="Q244" s="108">
        <v>0</v>
      </c>
      <c r="R244" s="108">
        <v>0</v>
      </c>
      <c r="S244" s="108">
        <v>0</v>
      </c>
      <c r="T244" s="108">
        <v>0</v>
      </c>
      <c r="U244" s="108">
        <v>0</v>
      </c>
      <c r="V244" s="108">
        <v>0</v>
      </c>
      <c r="W244" s="108">
        <v>0</v>
      </c>
      <c r="X244" s="108">
        <v>0</v>
      </c>
      <c r="Y244" s="108">
        <v>0</v>
      </c>
      <c r="Z244" s="108">
        <v>0</v>
      </c>
      <c r="AA244" s="108">
        <v>0</v>
      </c>
    </row>
    <row r="245" spans="1:27">
      <c r="A245" s="212">
        <v>45019</v>
      </c>
      <c r="B245" s="104" t="s">
        <v>29</v>
      </c>
      <c r="C245" s="145">
        <v>4</v>
      </c>
      <c r="D245" s="145"/>
      <c r="E245" s="104">
        <v>0</v>
      </c>
      <c r="F245" s="106">
        <v>0</v>
      </c>
      <c r="G245" s="107">
        <v>0</v>
      </c>
      <c r="H245" s="106">
        <v>0</v>
      </c>
      <c r="I245" s="106"/>
      <c r="J245" s="106"/>
      <c r="K245" s="106"/>
      <c r="L245" s="149" t="s">
        <v>4770</v>
      </c>
      <c r="M245" s="159">
        <v>0</v>
      </c>
      <c r="N245" s="159">
        <v>0</v>
      </c>
      <c r="O245" s="160">
        <v>0</v>
      </c>
      <c r="P245" s="108">
        <v>1</v>
      </c>
      <c r="Q245" s="108">
        <v>0.333333333333333</v>
      </c>
      <c r="R245" s="108">
        <v>0.8</v>
      </c>
      <c r="S245" s="108">
        <v>1.57142857142857</v>
      </c>
      <c r="T245" s="108">
        <v>0</v>
      </c>
      <c r="U245" s="108">
        <v>-0.333333333333333</v>
      </c>
      <c r="V245" s="108">
        <v>-0.2</v>
      </c>
      <c r="W245" s="108">
        <v>-0.142857142857143</v>
      </c>
      <c r="X245" s="108">
        <v>0</v>
      </c>
      <c r="Y245" s="108">
        <v>0</v>
      </c>
      <c r="Z245" s="108">
        <v>0</v>
      </c>
      <c r="AA245" s="108">
        <v>0</v>
      </c>
    </row>
    <row r="246" spans="1:27">
      <c r="A246" s="212">
        <v>45019</v>
      </c>
      <c r="B246" s="104" t="s">
        <v>30</v>
      </c>
      <c r="C246" s="145">
        <v>0</v>
      </c>
      <c r="D246" s="145"/>
      <c r="E246" s="104">
        <v>0</v>
      </c>
      <c r="F246" s="106">
        <v>0</v>
      </c>
      <c r="G246" s="107">
        <v>0</v>
      </c>
      <c r="H246" s="106">
        <v>0</v>
      </c>
      <c r="I246" s="106"/>
      <c r="J246" s="106"/>
      <c r="K246" s="106"/>
      <c r="L246" s="149" t="s">
        <v>4770</v>
      </c>
      <c r="M246" s="159">
        <v>0</v>
      </c>
      <c r="N246" s="159">
        <v>0</v>
      </c>
      <c r="O246" s="160">
        <v>0</v>
      </c>
      <c r="P246" s="108">
        <v>0</v>
      </c>
      <c r="Q246" s="108">
        <v>0</v>
      </c>
      <c r="R246" s="108">
        <v>0</v>
      </c>
      <c r="S246" s="108">
        <v>0</v>
      </c>
      <c r="T246" s="108">
        <v>0</v>
      </c>
      <c r="U246" s="108">
        <v>0</v>
      </c>
      <c r="V246" s="108">
        <v>0</v>
      </c>
      <c r="W246" s="108">
        <v>0</v>
      </c>
      <c r="X246" s="108">
        <v>0</v>
      </c>
      <c r="Y246" s="108">
        <v>0</v>
      </c>
      <c r="Z246" s="108">
        <v>0</v>
      </c>
      <c r="AA246" s="108">
        <v>0</v>
      </c>
    </row>
    <row r="247" spans="1:27">
      <c r="A247" s="212">
        <v>45019</v>
      </c>
      <c r="B247" s="104" t="s">
        <v>31</v>
      </c>
      <c r="C247" s="145">
        <v>0</v>
      </c>
      <c r="D247" s="145"/>
      <c r="E247" s="104">
        <v>0</v>
      </c>
      <c r="F247" s="106">
        <v>0</v>
      </c>
      <c r="G247" s="107">
        <v>0</v>
      </c>
      <c r="H247" s="106">
        <v>0</v>
      </c>
      <c r="I247" s="106"/>
      <c r="J247" s="106"/>
      <c r="K247" s="106"/>
      <c r="L247" s="149" t="s">
        <v>4770</v>
      </c>
      <c r="M247" s="159">
        <v>0</v>
      </c>
      <c r="N247" s="159">
        <v>0</v>
      </c>
      <c r="O247" s="160">
        <v>0</v>
      </c>
      <c r="P247" s="108">
        <v>0</v>
      </c>
      <c r="Q247" s="108">
        <v>0</v>
      </c>
      <c r="R247" s="108">
        <v>0</v>
      </c>
      <c r="S247" s="108">
        <v>0</v>
      </c>
      <c r="T247" s="108">
        <v>0</v>
      </c>
      <c r="U247" s="108">
        <v>0</v>
      </c>
      <c r="V247" s="108">
        <v>-0.2</v>
      </c>
      <c r="W247" s="108">
        <v>-0.142857142857143</v>
      </c>
      <c r="X247" s="108">
        <v>0</v>
      </c>
      <c r="Y247" s="108">
        <v>0</v>
      </c>
      <c r="Z247" s="108">
        <v>0</v>
      </c>
      <c r="AA247" s="108">
        <v>0</v>
      </c>
    </row>
    <row r="248" spans="1:27">
      <c r="A248" s="212">
        <v>45019</v>
      </c>
      <c r="B248" s="104" t="s">
        <v>32</v>
      </c>
      <c r="C248" s="145">
        <v>0</v>
      </c>
      <c r="D248" s="145"/>
      <c r="E248" s="104">
        <v>0</v>
      </c>
      <c r="F248" s="106">
        <v>0</v>
      </c>
      <c r="G248" s="107">
        <v>0</v>
      </c>
      <c r="H248" s="106">
        <v>0</v>
      </c>
      <c r="I248" s="106"/>
      <c r="J248" s="106"/>
      <c r="K248" s="106"/>
      <c r="L248" s="149" t="s">
        <v>4770</v>
      </c>
      <c r="M248" s="159">
        <v>0</v>
      </c>
      <c r="N248" s="159">
        <v>0</v>
      </c>
      <c r="O248" s="160">
        <v>0</v>
      </c>
      <c r="P248" s="108">
        <v>0</v>
      </c>
      <c r="Q248" s="108">
        <v>0</v>
      </c>
      <c r="R248" s="108">
        <v>0</v>
      </c>
      <c r="S248" s="108">
        <v>0</v>
      </c>
      <c r="T248" s="108">
        <v>0</v>
      </c>
      <c r="U248" s="108">
        <v>0</v>
      </c>
      <c r="V248" s="108">
        <v>0</v>
      </c>
      <c r="W248" s="108">
        <v>0</v>
      </c>
      <c r="X248" s="108">
        <v>0</v>
      </c>
      <c r="Y248" s="108">
        <v>0</v>
      </c>
      <c r="Z248" s="108">
        <v>0</v>
      </c>
      <c r="AA248" s="108">
        <v>0</v>
      </c>
    </row>
    <row r="249" spans="1:27">
      <c r="A249" s="212">
        <v>45019</v>
      </c>
      <c r="B249" s="104" t="s">
        <v>33</v>
      </c>
      <c r="C249" s="145">
        <v>0</v>
      </c>
      <c r="D249" s="145"/>
      <c r="E249" s="104">
        <v>0</v>
      </c>
      <c r="F249" s="106">
        <v>0</v>
      </c>
      <c r="G249" s="107">
        <v>0</v>
      </c>
      <c r="H249" s="106">
        <v>0</v>
      </c>
      <c r="I249" s="106"/>
      <c r="J249" s="106"/>
      <c r="K249" s="106"/>
      <c r="L249" s="149" t="s">
        <v>4770</v>
      </c>
      <c r="M249" s="159">
        <v>0</v>
      </c>
      <c r="N249" s="159">
        <v>0</v>
      </c>
      <c r="O249" s="160">
        <v>0</v>
      </c>
      <c r="P249" s="108">
        <v>0</v>
      </c>
      <c r="Q249" s="108">
        <v>0</v>
      </c>
      <c r="R249" s="108">
        <v>0</v>
      </c>
      <c r="S249" s="108">
        <v>0</v>
      </c>
      <c r="T249" s="108">
        <v>0</v>
      </c>
      <c r="U249" s="108">
        <v>-0.333333333333333</v>
      </c>
      <c r="V249" s="108">
        <v>-0.2</v>
      </c>
      <c r="W249" s="108">
        <v>-0.142857142857143</v>
      </c>
      <c r="X249" s="108">
        <v>0</v>
      </c>
      <c r="Y249" s="108">
        <v>0</v>
      </c>
      <c r="Z249" s="108">
        <v>0</v>
      </c>
      <c r="AA249" s="108">
        <v>0</v>
      </c>
    </row>
    <row r="250" spans="1:27">
      <c r="A250" s="212">
        <v>45019</v>
      </c>
      <c r="B250" s="104" t="s">
        <v>34</v>
      </c>
      <c r="C250" s="145">
        <v>0</v>
      </c>
      <c r="D250" s="145"/>
      <c r="E250" s="104">
        <v>0</v>
      </c>
      <c r="F250" s="106">
        <v>0</v>
      </c>
      <c r="G250" s="107">
        <v>0</v>
      </c>
      <c r="H250" s="106">
        <v>0</v>
      </c>
      <c r="I250" s="106"/>
      <c r="J250" s="106"/>
      <c r="K250" s="106"/>
      <c r="L250" s="149" t="s">
        <v>4770</v>
      </c>
      <c r="M250" s="159">
        <v>0</v>
      </c>
      <c r="N250" s="159">
        <v>0</v>
      </c>
      <c r="O250" s="166">
        <v>0</v>
      </c>
      <c r="P250" s="108">
        <v>0</v>
      </c>
      <c r="Q250" s="108">
        <v>0</v>
      </c>
      <c r="R250" s="108">
        <v>0</v>
      </c>
      <c r="S250" s="108">
        <v>0</v>
      </c>
      <c r="T250" s="108">
        <v>0</v>
      </c>
      <c r="U250" s="108">
        <v>0</v>
      </c>
      <c r="V250" s="108">
        <v>0</v>
      </c>
      <c r="W250" s="108">
        <v>0</v>
      </c>
      <c r="X250" s="108">
        <v>0</v>
      </c>
      <c r="Y250" s="108">
        <v>0</v>
      </c>
      <c r="Z250" s="108">
        <v>0</v>
      </c>
      <c r="AA250" s="108">
        <v>0</v>
      </c>
    </row>
    <row r="251" spans="1:27">
      <c r="A251" s="212">
        <v>45019</v>
      </c>
      <c r="B251" s="104" t="s">
        <v>35</v>
      </c>
      <c r="C251" s="145">
        <v>0</v>
      </c>
      <c r="D251" s="145"/>
      <c r="E251" s="104">
        <v>0</v>
      </c>
      <c r="F251" s="106">
        <v>0</v>
      </c>
      <c r="G251" s="107">
        <v>0</v>
      </c>
      <c r="H251" s="106">
        <v>0</v>
      </c>
      <c r="I251" s="106"/>
      <c r="J251" s="106"/>
      <c r="K251" s="106"/>
      <c r="L251" s="149" t="s">
        <v>4770</v>
      </c>
      <c r="M251" s="159">
        <v>0</v>
      </c>
      <c r="N251" s="159">
        <v>0</v>
      </c>
      <c r="O251" s="166">
        <v>0</v>
      </c>
      <c r="P251" s="108">
        <v>0</v>
      </c>
      <c r="Q251" s="108">
        <v>0</v>
      </c>
      <c r="R251" s="108">
        <v>0</v>
      </c>
      <c r="S251" s="108">
        <v>0</v>
      </c>
      <c r="T251" s="108">
        <v>0</v>
      </c>
      <c r="U251" s="108">
        <v>0</v>
      </c>
      <c r="V251" s="108">
        <v>0</v>
      </c>
      <c r="W251" s="108">
        <v>0</v>
      </c>
      <c r="X251" s="108">
        <v>0</v>
      </c>
      <c r="Y251" s="108">
        <v>0</v>
      </c>
      <c r="Z251" s="108">
        <v>0</v>
      </c>
      <c r="AA251" s="108">
        <v>0</v>
      </c>
    </row>
    <row r="252" spans="1:27">
      <c r="A252" s="212">
        <v>45019</v>
      </c>
      <c r="B252" s="104" t="s">
        <v>36</v>
      </c>
      <c r="C252" s="145">
        <v>0</v>
      </c>
      <c r="D252" s="145"/>
      <c r="E252" s="104">
        <v>0</v>
      </c>
      <c r="F252" s="106">
        <v>0</v>
      </c>
      <c r="G252" s="107">
        <v>0</v>
      </c>
      <c r="H252" s="106">
        <v>0</v>
      </c>
      <c r="I252" s="106"/>
      <c r="J252" s="106"/>
      <c r="K252" s="106"/>
      <c r="L252" s="149" t="s">
        <v>4770</v>
      </c>
      <c r="M252" s="159">
        <v>0</v>
      </c>
      <c r="N252" s="159">
        <v>0</v>
      </c>
      <c r="O252" s="166">
        <v>0</v>
      </c>
      <c r="P252" s="108">
        <v>0</v>
      </c>
      <c r="Q252" s="108">
        <v>0</v>
      </c>
      <c r="R252" s="108">
        <v>0</v>
      </c>
      <c r="S252" s="108">
        <v>0</v>
      </c>
      <c r="T252" s="108">
        <v>0</v>
      </c>
      <c r="U252" s="108">
        <v>0</v>
      </c>
      <c r="V252" s="108">
        <v>0</v>
      </c>
      <c r="W252" s="108">
        <v>0</v>
      </c>
      <c r="X252" s="108">
        <v>0</v>
      </c>
      <c r="Y252" s="108">
        <v>0</v>
      </c>
      <c r="Z252" s="108">
        <v>0</v>
      </c>
      <c r="AA252" s="108">
        <v>0</v>
      </c>
    </row>
    <row r="253" spans="1:27">
      <c r="A253" s="212">
        <v>45019</v>
      </c>
      <c r="B253" s="104" t="s">
        <v>37</v>
      </c>
      <c r="C253" s="145">
        <v>0</v>
      </c>
      <c r="D253" s="145"/>
      <c r="E253" s="104">
        <v>0</v>
      </c>
      <c r="F253" s="106">
        <v>0</v>
      </c>
      <c r="G253" s="107">
        <v>0</v>
      </c>
      <c r="H253" s="106">
        <v>0</v>
      </c>
      <c r="I253" s="106"/>
      <c r="J253" s="106"/>
      <c r="K253" s="106"/>
      <c r="L253" s="149" t="s">
        <v>4770</v>
      </c>
      <c r="M253" s="159">
        <v>0</v>
      </c>
      <c r="N253" s="159">
        <v>0</v>
      </c>
      <c r="O253" s="166">
        <v>0</v>
      </c>
      <c r="P253" s="108">
        <v>0</v>
      </c>
      <c r="Q253" s="108">
        <v>0</v>
      </c>
      <c r="R253" s="108">
        <v>0</v>
      </c>
      <c r="S253" s="108">
        <v>0</v>
      </c>
      <c r="T253" s="108">
        <v>0</v>
      </c>
      <c r="U253" s="108">
        <v>0</v>
      </c>
      <c r="V253" s="108">
        <v>0</v>
      </c>
      <c r="W253" s="108">
        <v>0</v>
      </c>
      <c r="X253" s="108">
        <v>0</v>
      </c>
      <c r="Y253" s="108">
        <v>0</v>
      </c>
      <c r="Z253" s="108">
        <v>0</v>
      </c>
      <c r="AA253" s="108">
        <v>0</v>
      </c>
    </row>
    <row r="254" spans="1:27">
      <c r="A254" s="212">
        <v>45019</v>
      </c>
      <c r="B254" s="104" t="s">
        <v>38</v>
      </c>
      <c r="C254" s="145">
        <v>0</v>
      </c>
      <c r="D254" s="145"/>
      <c r="E254" s="104">
        <v>0</v>
      </c>
      <c r="F254" s="106">
        <v>0</v>
      </c>
      <c r="G254" s="107">
        <v>0</v>
      </c>
      <c r="H254" s="106">
        <v>0</v>
      </c>
      <c r="I254" s="106"/>
      <c r="J254" s="106"/>
      <c r="K254" s="106"/>
      <c r="L254" s="149" t="s">
        <v>4770</v>
      </c>
      <c r="M254" s="159">
        <v>0</v>
      </c>
      <c r="N254" s="159">
        <v>0</v>
      </c>
      <c r="O254" s="166">
        <v>0</v>
      </c>
      <c r="P254" s="108">
        <v>0</v>
      </c>
      <c r="Q254" s="108">
        <v>0</v>
      </c>
      <c r="R254" s="108">
        <v>0</v>
      </c>
      <c r="S254" s="108">
        <v>0</v>
      </c>
      <c r="T254" s="108">
        <v>0</v>
      </c>
      <c r="U254" s="108">
        <v>0</v>
      </c>
      <c r="V254" s="108">
        <v>0</v>
      </c>
      <c r="W254" s="108">
        <v>0</v>
      </c>
      <c r="X254" s="108">
        <v>0</v>
      </c>
      <c r="Y254" s="108">
        <v>0</v>
      </c>
      <c r="Z254" s="108">
        <v>0</v>
      </c>
      <c r="AA254" s="108">
        <v>0</v>
      </c>
    </row>
    <row r="255" spans="1:27">
      <c r="A255" s="212">
        <v>45019</v>
      </c>
      <c r="B255" s="111" t="s">
        <v>39</v>
      </c>
      <c r="C255" s="112">
        <v>24281</v>
      </c>
      <c r="D255" s="112"/>
      <c r="E255" s="112">
        <v>428</v>
      </c>
      <c r="F255" s="113">
        <v>0.0176269511140398</v>
      </c>
      <c r="G255" s="112">
        <v>131</v>
      </c>
      <c r="H255" s="113">
        <v>0.30607476635514</v>
      </c>
      <c r="I255" s="113"/>
      <c r="J255" s="113"/>
      <c r="K255" s="113"/>
      <c r="L255" s="150" t="s">
        <v>4770</v>
      </c>
      <c r="M255" s="162">
        <v>428</v>
      </c>
      <c r="N255" s="162">
        <v>131</v>
      </c>
      <c r="O255" s="167">
        <v>0.30607476635514</v>
      </c>
      <c r="P255" s="108"/>
      <c r="Q255" s="108"/>
      <c r="R255" s="108"/>
      <c r="S255" s="108"/>
      <c r="T255" s="108"/>
      <c r="U255" s="108"/>
      <c r="V255" s="108"/>
      <c r="W255" s="108"/>
      <c r="X255" s="108"/>
      <c r="Y255" s="108"/>
      <c r="Z255" s="108"/>
      <c r="AA255" s="108"/>
    </row>
    <row r="256" spans="1:23">
      <c r="A256" s="212">
        <v>45020</v>
      </c>
      <c r="B256" s="104" t="s">
        <v>17</v>
      </c>
      <c r="C256" s="105">
        <v>88</v>
      </c>
      <c r="D256" s="105"/>
      <c r="E256" s="104">
        <v>29</v>
      </c>
      <c r="F256" s="106">
        <v>0.329545454545455</v>
      </c>
      <c r="G256" s="107">
        <v>3</v>
      </c>
      <c r="H256" s="106">
        <v>0.103448275862069</v>
      </c>
      <c r="I256" s="106"/>
      <c r="J256" s="106"/>
      <c r="K256" s="106"/>
      <c r="L256" s="213">
        <v>16</v>
      </c>
      <c r="M256" s="213">
        <v>35.3333333333333</v>
      </c>
      <c r="N256" s="213">
        <v>36.4</v>
      </c>
      <c r="O256" s="213">
        <v>28.2857142857143</v>
      </c>
      <c r="P256" s="108">
        <v>-9</v>
      </c>
      <c r="Q256" s="108">
        <v>-6.66666666666666</v>
      </c>
      <c r="R256" s="108">
        <v>-3.8</v>
      </c>
      <c r="S256" s="108">
        <v>-1.57142857142857</v>
      </c>
      <c r="T256" s="108">
        <v>-3</v>
      </c>
      <c r="U256" s="108">
        <v>-3</v>
      </c>
      <c r="V256" s="108">
        <v>-2.6</v>
      </c>
      <c r="W256" s="108">
        <v>-2.14285714285714</v>
      </c>
    </row>
    <row r="257" spans="1:23">
      <c r="A257" s="212">
        <v>45020</v>
      </c>
      <c r="B257" s="104" t="s">
        <v>19</v>
      </c>
      <c r="C257" s="107">
        <v>652</v>
      </c>
      <c r="D257" s="107"/>
      <c r="E257" s="104">
        <v>18</v>
      </c>
      <c r="F257" s="106">
        <v>0.0276073619631902</v>
      </c>
      <c r="G257" s="107">
        <v>10</v>
      </c>
      <c r="H257" s="106">
        <v>0.555555555555556</v>
      </c>
      <c r="I257" s="106"/>
      <c r="J257" s="106"/>
      <c r="K257" s="106"/>
      <c r="L257" s="213">
        <v>-15</v>
      </c>
      <c r="M257" s="213">
        <v>-188.666666666667</v>
      </c>
      <c r="N257" s="213">
        <v>-490.2</v>
      </c>
      <c r="O257" s="213">
        <v>-661.428571428571</v>
      </c>
      <c r="P257" s="108">
        <v>-4</v>
      </c>
      <c r="Q257" s="108">
        <v>-12</v>
      </c>
      <c r="R257" s="108">
        <v>-27</v>
      </c>
      <c r="S257" s="108">
        <v>-40.4285714285714</v>
      </c>
      <c r="T257" s="108">
        <v>-4</v>
      </c>
      <c r="U257" s="108">
        <v>-4.33333333333333</v>
      </c>
      <c r="V257" s="108">
        <v>-9.2</v>
      </c>
      <c r="W257" s="115">
        <v>-15.1428571428571</v>
      </c>
    </row>
    <row r="258" spans="1:23">
      <c r="A258" s="212">
        <v>45020</v>
      </c>
      <c r="B258" s="104" t="s">
        <v>21</v>
      </c>
      <c r="C258" s="145">
        <v>726</v>
      </c>
      <c r="D258" s="145"/>
      <c r="E258" s="104">
        <v>25</v>
      </c>
      <c r="F258" s="106">
        <v>0.034435261707989</v>
      </c>
      <c r="G258" s="107">
        <v>9</v>
      </c>
      <c r="H258" s="106">
        <v>0.36</v>
      </c>
      <c r="I258" s="106"/>
      <c r="J258" s="106"/>
      <c r="K258" s="106"/>
      <c r="L258" s="213">
        <v>-275</v>
      </c>
      <c r="M258" s="213">
        <v>-435</v>
      </c>
      <c r="N258" s="213">
        <v>-415.6</v>
      </c>
      <c r="O258" s="213">
        <v>-374.714285714286</v>
      </c>
      <c r="P258" s="108">
        <v>4</v>
      </c>
      <c r="Q258" s="108">
        <v>0</v>
      </c>
      <c r="R258" s="108">
        <v>0.199999999999999</v>
      </c>
      <c r="S258" s="108">
        <v>-1.71428571428572</v>
      </c>
      <c r="T258" s="108">
        <v>1</v>
      </c>
      <c r="U258" s="108">
        <v>-0.666666666666666</v>
      </c>
      <c r="V258" s="108">
        <v>0</v>
      </c>
      <c r="W258" s="108">
        <v>-0.428571428571429</v>
      </c>
    </row>
    <row r="259" spans="1:23">
      <c r="A259" s="212">
        <v>45020</v>
      </c>
      <c r="B259" s="104" t="s">
        <v>22</v>
      </c>
      <c r="C259" s="145">
        <v>5156</v>
      </c>
      <c r="D259" s="145"/>
      <c r="E259" s="104">
        <v>147</v>
      </c>
      <c r="F259" s="106">
        <v>0.0285104732350659</v>
      </c>
      <c r="G259" s="107">
        <v>44</v>
      </c>
      <c r="H259" s="106">
        <v>0.299319727891156</v>
      </c>
      <c r="I259" s="106"/>
      <c r="J259" s="106"/>
      <c r="K259" s="106"/>
      <c r="L259" s="213">
        <v>-119</v>
      </c>
      <c r="M259" s="213">
        <v>-414.666666666667</v>
      </c>
      <c r="N259" s="213">
        <v>8.60000000000036</v>
      </c>
      <c r="O259" s="213">
        <v>243.571428571428</v>
      </c>
      <c r="P259" s="108">
        <v>16</v>
      </c>
      <c r="Q259" s="108">
        <v>-3</v>
      </c>
      <c r="R259" s="108">
        <v>9.19999999999999</v>
      </c>
      <c r="S259" s="115">
        <v>11.7142857142857</v>
      </c>
      <c r="T259" s="108">
        <v>5</v>
      </c>
      <c r="U259" s="108">
        <v>-9.66666666666666</v>
      </c>
      <c r="V259" s="108">
        <v>-3.6</v>
      </c>
      <c r="W259" s="117">
        <v>-2.42857142857143</v>
      </c>
    </row>
    <row r="260" spans="1:23">
      <c r="A260" s="212">
        <v>45020</v>
      </c>
      <c r="B260" s="104" t="s">
        <v>23</v>
      </c>
      <c r="C260" s="145">
        <v>3424</v>
      </c>
      <c r="D260" s="145"/>
      <c r="E260" s="104">
        <v>44</v>
      </c>
      <c r="F260" s="106">
        <v>0.0128504672897196</v>
      </c>
      <c r="G260" s="107">
        <v>19</v>
      </c>
      <c r="H260" s="106">
        <v>0.431818181818182</v>
      </c>
      <c r="I260" s="106"/>
      <c r="J260" s="106"/>
      <c r="K260" s="106"/>
      <c r="L260" s="213">
        <v>0</v>
      </c>
      <c r="M260" s="213">
        <v>-142.333333333333</v>
      </c>
      <c r="N260" s="213">
        <v>113.8</v>
      </c>
      <c r="O260" s="213">
        <v>227.285714285714</v>
      </c>
      <c r="P260" s="108">
        <v>-7</v>
      </c>
      <c r="Q260" s="108">
        <v>-4.66666666666666</v>
      </c>
      <c r="R260" s="108">
        <v>3.8</v>
      </c>
      <c r="S260" s="108">
        <v>2.57142857142857</v>
      </c>
      <c r="T260" s="108">
        <v>-4</v>
      </c>
      <c r="U260" s="116">
        <v>-0.666666666666668</v>
      </c>
      <c r="V260" s="108">
        <v>4.2</v>
      </c>
      <c r="W260" s="108">
        <v>5.57142857142857</v>
      </c>
    </row>
    <row r="261" spans="1:23">
      <c r="A261" s="212">
        <v>45020</v>
      </c>
      <c r="B261" s="104" t="s">
        <v>24</v>
      </c>
      <c r="C261" s="145">
        <v>569</v>
      </c>
      <c r="D261" s="145"/>
      <c r="E261" s="104">
        <v>7</v>
      </c>
      <c r="F261" s="106">
        <v>0.0123022847100176</v>
      </c>
      <c r="G261" s="107">
        <v>1</v>
      </c>
      <c r="H261" s="106">
        <v>0.142857142857143</v>
      </c>
      <c r="I261" s="106"/>
      <c r="J261" s="106"/>
      <c r="K261" s="106"/>
      <c r="L261" s="213">
        <v>50</v>
      </c>
      <c r="M261" s="213">
        <v>61</v>
      </c>
      <c r="N261" s="213">
        <v>54.8</v>
      </c>
      <c r="O261" s="213">
        <v>50.7142857142857</v>
      </c>
      <c r="P261" s="115">
        <v>0</v>
      </c>
      <c r="Q261" s="115">
        <v>1.66666666666667</v>
      </c>
      <c r="R261" s="117">
        <v>1.8</v>
      </c>
      <c r="S261" s="117">
        <v>0.714285714285714</v>
      </c>
      <c r="T261" s="115">
        <v>0</v>
      </c>
      <c r="U261" s="115">
        <v>-1</v>
      </c>
      <c r="V261" s="115">
        <v>-0.8</v>
      </c>
      <c r="W261" s="115">
        <v>-1.71428571428571</v>
      </c>
    </row>
    <row r="262" spans="1:23">
      <c r="A262" s="212">
        <v>45020</v>
      </c>
      <c r="B262" s="104" t="s">
        <v>25</v>
      </c>
      <c r="C262" s="145">
        <v>8821</v>
      </c>
      <c r="D262" s="145"/>
      <c r="E262" s="104">
        <v>43</v>
      </c>
      <c r="F262" s="106">
        <v>0.0048747307561501</v>
      </c>
      <c r="G262" s="107">
        <v>16</v>
      </c>
      <c r="H262" s="106">
        <v>0.372093023255814</v>
      </c>
      <c r="I262" s="106"/>
      <c r="J262" s="106"/>
      <c r="K262" s="106"/>
      <c r="L262" s="213">
        <v>-2347</v>
      </c>
      <c r="M262" s="213">
        <v>-441.333333333334</v>
      </c>
      <c r="N262" s="213">
        <v>875.2</v>
      </c>
      <c r="O262" s="213">
        <v>1338.57142857143</v>
      </c>
      <c r="P262" s="116">
        <v>-14</v>
      </c>
      <c r="Q262" s="115">
        <v>-4.66666666666666</v>
      </c>
      <c r="R262" s="115">
        <v>0.399999999999999</v>
      </c>
      <c r="S262" s="115">
        <v>0.714285714285715</v>
      </c>
      <c r="T262" s="108">
        <v>-5</v>
      </c>
      <c r="U262" s="108">
        <v>-4.66666666666667</v>
      </c>
      <c r="V262" s="108">
        <v>-5</v>
      </c>
      <c r="W262" s="108">
        <v>-7.14285714285714</v>
      </c>
    </row>
    <row r="263" spans="1:23">
      <c r="A263" s="212">
        <v>45020</v>
      </c>
      <c r="B263" s="104" t="s">
        <v>26</v>
      </c>
      <c r="C263" s="145">
        <v>1774</v>
      </c>
      <c r="D263" s="145"/>
      <c r="E263" s="104">
        <v>94</v>
      </c>
      <c r="F263" s="106">
        <v>0.0529875986471251</v>
      </c>
      <c r="G263" s="107">
        <v>26</v>
      </c>
      <c r="H263" s="106">
        <v>0.276595744680851</v>
      </c>
      <c r="I263" s="106"/>
      <c r="J263" s="106"/>
      <c r="K263" s="106"/>
      <c r="L263" s="213">
        <v>-339</v>
      </c>
      <c r="M263" s="213">
        <v>714.666666666667</v>
      </c>
      <c r="N263" s="213">
        <v>947</v>
      </c>
      <c r="O263" s="213">
        <v>1060.42857142857</v>
      </c>
      <c r="P263" s="108">
        <v>-4</v>
      </c>
      <c r="Q263" s="108">
        <v>-5.66666666666667</v>
      </c>
      <c r="R263" s="108">
        <v>5.59999999999999</v>
      </c>
      <c r="S263" s="108">
        <v>14.4285714285714</v>
      </c>
      <c r="T263" s="108">
        <v>7</v>
      </c>
      <c r="U263" s="108">
        <v>4</v>
      </c>
      <c r="V263" s="108">
        <v>6</v>
      </c>
      <c r="W263" s="108">
        <v>5.71428571428572</v>
      </c>
    </row>
    <row r="264" spans="1:23">
      <c r="A264" s="212">
        <v>45020</v>
      </c>
      <c r="B264" s="104" t="s">
        <v>27</v>
      </c>
      <c r="C264" s="145">
        <v>49</v>
      </c>
      <c r="D264" s="145"/>
      <c r="E264" s="104">
        <v>0</v>
      </c>
      <c r="F264" s="106">
        <v>0</v>
      </c>
      <c r="G264" s="107">
        <v>2</v>
      </c>
      <c r="H264" s="106">
        <v>2</v>
      </c>
      <c r="I264" s="106"/>
      <c r="J264" s="106"/>
      <c r="K264" s="106"/>
      <c r="L264" s="213">
        <v>11</v>
      </c>
      <c r="M264" s="213">
        <v>11</v>
      </c>
      <c r="N264" s="213">
        <v>16.4</v>
      </c>
      <c r="O264" s="213">
        <v>15.8571428571429</v>
      </c>
      <c r="P264" s="108">
        <v>-3</v>
      </c>
      <c r="Q264" s="108">
        <v>-1.66666666666667</v>
      </c>
      <c r="R264" s="108">
        <v>-1</v>
      </c>
      <c r="S264" s="108">
        <v>-0.714285714285714</v>
      </c>
      <c r="T264" s="108">
        <v>2</v>
      </c>
      <c r="U264" s="108">
        <v>1.66666666666667</v>
      </c>
      <c r="V264" s="108">
        <v>1.8</v>
      </c>
      <c r="W264" s="108">
        <v>1.85714285714286</v>
      </c>
    </row>
    <row r="265" spans="1:23">
      <c r="A265" s="212">
        <v>45020</v>
      </c>
      <c r="B265" s="104" t="s">
        <v>28</v>
      </c>
      <c r="C265" s="145">
        <v>0</v>
      </c>
      <c r="D265" s="145"/>
      <c r="E265" s="104">
        <v>0</v>
      </c>
      <c r="F265" s="106">
        <v>0</v>
      </c>
      <c r="G265" s="107">
        <v>0</v>
      </c>
      <c r="H265" s="106">
        <v>0</v>
      </c>
      <c r="I265" s="106"/>
      <c r="J265" s="106"/>
      <c r="K265" s="106"/>
      <c r="L265" s="213">
        <v>0</v>
      </c>
      <c r="M265" s="213">
        <v>0</v>
      </c>
      <c r="N265" s="213">
        <v>0</v>
      </c>
      <c r="O265" s="213">
        <v>0</v>
      </c>
      <c r="P265" s="108">
        <v>0</v>
      </c>
      <c r="Q265" s="108">
        <v>0</v>
      </c>
      <c r="R265" s="108">
        <v>0</v>
      </c>
      <c r="S265" s="108">
        <v>0</v>
      </c>
      <c r="T265" s="108">
        <v>0</v>
      </c>
      <c r="U265" s="108">
        <v>0</v>
      </c>
      <c r="V265" s="108">
        <v>0</v>
      </c>
      <c r="W265" s="108">
        <v>0</v>
      </c>
    </row>
    <row r="266" spans="1:23">
      <c r="A266" s="212">
        <v>45020</v>
      </c>
      <c r="B266" s="104" t="s">
        <v>29</v>
      </c>
      <c r="C266" s="145">
        <v>6</v>
      </c>
      <c r="D266" s="145"/>
      <c r="E266" s="104">
        <v>0</v>
      </c>
      <c r="F266" s="106">
        <v>0</v>
      </c>
      <c r="G266" s="107">
        <v>0</v>
      </c>
      <c r="H266" s="106">
        <v>0</v>
      </c>
      <c r="I266" s="106"/>
      <c r="J266" s="106"/>
      <c r="K266" s="106"/>
      <c r="L266" s="213">
        <v>2</v>
      </c>
      <c r="M266" s="213">
        <v>3.33333333333333</v>
      </c>
      <c r="N266" s="213">
        <v>2.6</v>
      </c>
      <c r="O266" s="213">
        <v>3</v>
      </c>
      <c r="P266" s="108">
        <v>0</v>
      </c>
      <c r="Q266" s="108">
        <v>0</v>
      </c>
      <c r="R266" s="108">
        <v>-0.2</v>
      </c>
      <c r="S266" s="108">
        <v>-0.142857142857143</v>
      </c>
      <c r="T266" s="108">
        <v>0</v>
      </c>
      <c r="U266" s="108">
        <v>0</v>
      </c>
      <c r="V266" s="108">
        <v>0</v>
      </c>
      <c r="W266" s="108">
        <v>0</v>
      </c>
    </row>
    <row r="267" spans="1:23">
      <c r="A267" s="212">
        <v>45020</v>
      </c>
      <c r="B267" s="104" t="s">
        <v>30</v>
      </c>
      <c r="C267" s="145">
        <v>0</v>
      </c>
      <c r="D267" s="145"/>
      <c r="E267" s="104">
        <v>0</v>
      </c>
      <c r="F267" s="106">
        <v>0</v>
      </c>
      <c r="G267" s="107">
        <v>0</v>
      </c>
      <c r="H267" s="106">
        <v>0</v>
      </c>
      <c r="I267" s="106"/>
      <c r="J267" s="106"/>
      <c r="K267" s="106"/>
      <c r="L267" s="213">
        <v>0</v>
      </c>
      <c r="M267" s="213">
        <v>0</v>
      </c>
      <c r="N267" s="213">
        <v>0</v>
      </c>
      <c r="O267" s="213">
        <v>0</v>
      </c>
      <c r="P267" s="108">
        <v>0</v>
      </c>
      <c r="Q267" s="108">
        <v>0</v>
      </c>
      <c r="R267" s="108">
        <v>0</v>
      </c>
      <c r="S267" s="108">
        <v>0</v>
      </c>
      <c r="T267" s="108">
        <v>0</v>
      </c>
      <c r="U267" s="108">
        <v>0</v>
      </c>
      <c r="V267" s="108">
        <v>0</v>
      </c>
      <c r="W267" s="108">
        <v>0</v>
      </c>
    </row>
    <row r="268" spans="1:23">
      <c r="A268" s="212">
        <v>45020</v>
      </c>
      <c r="B268" s="104" t="s">
        <v>31</v>
      </c>
      <c r="C268" s="145">
        <v>0</v>
      </c>
      <c r="D268" s="145"/>
      <c r="E268" s="104">
        <v>1</v>
      </c>
      <c r="F268" s="106">
        <v>1</v>
      </c>
      <c r="G268" s="107">
        <v>0</v>
      </c>
      <c r="H268" s="106">
        <v>0</v>
      </c>
      <c r="I268" s="106"/>
      <c r="J268" s="106"/>
      <c r="K268" s="106"/>
      <c r="L268" s="213">
        <v>0</v>
      </c>
      <c r="M268" s="213">
        <v>0</v>
      </c>
      <c r="N268" s="213">
        <v>0</v>
      </c>
      <c r="O268" s="213">
        <v>0</v>
      </c>
      <c r="P268" s="108">
        <v>1</v>
      </c>
      <c r="Q268" s="108">
        <v>1</v>
      </c>
      <c r="R268" s="108">
        <v>0.8</v>
      </c>
      <c r="S268" s="108">
        <v>0.857142857142857</v>
      </c>
      <c r="T268" s="108">
        <v>0</v>
      </c>
      <c r="U268" s="108">
        <v>0</v>
      </c>
      <c r="V268" s="108">
        <v>0</v>
      </c>
      <c r="W268" s="108">
        <v>0</v>
      </c>
    </row>
    <row r="269" spans="1:23">
      <c r="A269" s="212">
        <v>45020</v>
      </c>
      <c r="B269" s="104" t="s">
        <v>32</v>
      </c>
      <c r="C269" s="145">
        <v>0</v>
      </c>
      <c r="D269" s="145"/>
      <c r="E269" s="104">
        <v>0</v>
      </c>
      <c r="F269" s="106">
        <v>0</v>
      </c>
      <c r="G269" s="107">
        <v>0</v>
      </c>
      <c r="H269" s="106">
        <v>0</v>
      </c>
      <c r="I269" s="106"/>
      <c r="J269" s="106"/>
      <c r="K269" s="106"/>
      <c r="L269" s="213">
        <v>0</v>
      </c>
      <c r="M269" s="213">
        <v>0</v>
      </c>
      <c r="N269" s="213">
        <v>0</v>
      </c>
      <c r="O269" s="213">
        <v>0</v>
      </c>
      <c r="P269" s="108">
        <v>0</v>
      </c>
      <c r="Q269" s="108">
        <v>0</v>
      </c>
      <c r="R269" s="108">
        <v>0</v>
      </c>
      <c r="S269" s="108">
        <v>0</v>
      </c>
      <c r="T269" s="108">
        <v>0</v>
      </c>
      <c r="U269" s="108">
        <v>0</v>
      </c>
      <c r="V269" s="108">
        <v>0</v>
      </c>
      <c r="W269" s="108">
        <v>0</v>
      </c>
    </row>
    <row r="270" spans="1:23">
      <c r="A270" s="212">
        <v>45020</v>
      </c>
      <c r="B270" s="104" t="s">
        <v>33</v>
      </c>
      <c r="C270" s="145">
        <v>0</v>
      </c>
      <c r="D270" s="145"/>
      <c r="E270" s="104">
        <v>0</v>
      </c>
      <c r="F270" s="106">
        <v>0</v>
      </c>
      <c r="G270" s="107">
        <v>0</v>
      </c>
      <c r="H270" s="106">
        <v>0</v>
      </c>
      <c r="I270" s="106"/>
      <c r="J270" s="106"/>
      <c r="K270" s="106"/>
      <c r="L270" s="213">
        <v>0</v>
      </c>
      <c r="M270" s="213">
        <v>0</v>
      </c>
      <c r="N270" s="213">
        <v>0</v>
      </c>
      <c r="O270" s="213">
        <v>0</v>
      </c>
      <c r="P270" s="108">
        <v>0</v>
      </c>
      <c r="Q270" s="108">
        <v>0</v>
      </c>
      <c r="R270" s="108">
        <v>-0.2</v>
      </c>
      <c r="S270" s="108">
        <v>-0.142857142857143</v>
      </c>
      <c r="T270" s="108">
        <v>0</v>
      </c>
      <c r="U270" s="108">
        <v>0</v>
      </c>
      <c r="V270" s="108">
        <v>0</v>
      </c>
      <c r="W270" s="108">
        <v>0</v>
      </c>
    </row>
    <row r="271" spans="1:23">
      <c r="A271" s="212">
        <v>45020</v>
      </c>
      <c r="B271" s="104" t="s">
        <v>34</v>
      </c>
      <c r="C271" s="145">
        <v>0</v>
      </c>
      <c r="D271" s="145"/>
      <c r="E271" s="104">
        <v>0</v>
      </c>
      <c r="F271" s="106">
        <v>0</v>
      </c>
      <c r="G271" s="107">
        <v>0</v>
      </c>
      <c r="H271" s="106">
        <v>0</v>
      </c>
      <c r="I271" s="106"/>
      <c r="J271" s="106"/>
      <c r="K271" s="106"/>
      <c r="L271" s="213">
        <v>0</v>
      </c>
      <c r="M271" s="213">
        <v>0</v>
      </c>
      <c r="N271" s="213">
        <v>0</v>
      </c>
      <c r="O271" s="213">
        <v>0</v>
      </c>
      <c r="P271" s="108">
        <v>0</v>
      </c>
      <c r="Q271" s="108">
        <v>0</v>
      </c>
      <c r="R271" s="108">
        <v>0</v>
      </c>
      <c r="S271" s="108">
        <v>0</v>
      </c>
      <c r="T271" s="108">
        <v>0</v>
      </c>
      <c r="U271" s="108">
        <v>0</v>
      </c>
      <c r="V271" s="108">
        <v>0</v>
      </c>
      <c r="W271" s="108">
        <v>0</v>
      </c>
    </row>
    <row r="272" spans="1:23">
      <c r="A272" s="212">
        <v>45020</v>
      </c>
      <c r="B272" s="104" t="s">
        <v>35</v>
      </c>
      <c r="C272" s="145">
        <v>0</v>
      </c>
      <c r="D272" s="145"/>
      <c r="E272" s="104">
        <v>0</v>
      </c>
      <c r="F272" s="106">
        <v>0</v>
      </c>
      <c r="G272" s="107">
        <v>0</v>
      </c>
      <c r="H272" s="106">
        <v>0</v>
      </c>
      <c r="I272" s="106"/>
      <c r="J272" s="106"/>
      <c r="K272" s="106"/>
      <c r="L272" s="213">
        <v>0</v>
      </c>
      <c r="M272" s="213">
        <v>0</v>
      </c>
      <c r="N272" s="213">
        <v>0</v>
      </c>
      <c r="O272" s="213">
        <v>0</v>
      </c>
      <c r="P272" s="108">
        <v>0</v>
      </c>
      <c r="Q272" s="108">
        <v>0</v>
      </c>
      <c r="R272" s="108">
        <v>0</v>
      </c>
      <c r="S272" s="108">
        <v>0</v>
      </c>
      <c r="T272" s="108">
        <v>0</v>
      </c>
      <c r="U272" s="108">
        <v>0</v>
      </c>
      <c r="V272" s="108">
        <v>0</v>
      </c>
      <c r="W272" s="108">
        <v>0</v>
      </c>
    </row>
    <row r="273" spans="1:23">
      <c r="A273" s="212">
        <v>45020</v>
      </c>
      <c r="B273" s="104" t="s">
        <v>36</v>
      </c>
      <c r="C273" s="145">
        <v>0</v>
      </c>
      <c r="D273" s="145"/>
      <c r="E273" s="104">
        <v>0</v>
      </c>
      <c r="F273" s="106">
        <v>0</v>
      </c>
      <c r="G273" s="107">
        <v>0</v>
      </c>
      <c r="H273" s="106">
        <v>0</v>
      </c>
      <c r="I273" s="106"/>
      <c r="J273" s="106"/>
      <c r="K273" s="106"/>
      <c r="L273" s="213">
        <v>0</v>
      </c>
      <c r="M273" s="213">
        <v>0</v>
      </c>
      <c r="N273" s="213">
        <v>0</v>
      </c>
      <c r="O273" s="213">
        <v>0</v>
      </c>
      <c r="P273" s="108">
        <v>0</v>
      </c>
      <c r="Q273" s="108">
        <v>0</v>
      </c>
      <c r="R273" s="108">
        <v>0</v>
      </c>
      <c r="S273" s="108">
        <v>0</v>
      </c>
      <c r="T273" s="108">
        <v>0</v>
      </c>
      <c r="U273" s="108">
        <v>0</v>
      </c>
      <c r="V273" s="108">
        <v>0</v>
      </c>
      <c r="W273" s="108">
        <v>0</v>
      </c>
    </row>
    <row r="274" spans="1:23">
      <c r="A274" s="212">
        <v>45020</v>
      </c>
      <c r="B274" s="104" t="s">
        <v>37</v>
      </c>
      <c r="C274" s="145">
        <v>0</v>
      </c>
      <c r="D274" s="145"/>
      <c r="E274" s="104">
        <v>0</v>
      </c>
      <c r="F274" s="106">
        <v>0</v>
      </c>
      <c r="G274" s="107">
        <v>0</v>
      </c>
      <c r="H274" s="106">
        <v>0</v>
      </c>
      <c r="I274" s="106"/>
      <c r="J274" s="106"/>
      <c r="K274" s="106"/>
      <c r="L274" s="213">
        <v>0</v>
      </c>
      <c r="M274" s="213">
        <v>0</v>
      </c>
      <c r="N274" s="213">
        <v>0</v>
      </c>
      <c r="O274" s="213">
        <v>0</v>
      </c>
      <c r="P274" s="108">
        <v>0</v>
      </c>
      <c r="Q274" s="108">
        <v>0</v>
      </c>
      <c r="R274" s="108">
        <v>0</v>
      </c>
      <c r="S274" s="108">
        <v>0</v>
      </c>
      <c r="T274" s="108">
        <v>0</v>
      </c>
      <c r="U274" s="108">
        <v>0</v>
      </c>
      <c r="V274" s="108">
        <v>0</v>
      </c>
      <c r="W274" s="108">
        <v>0</v>
      </c>
    </row>
    <row r="275" spans="1:23">
      <c r="A275" s="212">
        <v>45020</v>
      </c>
      <c r="B275" s="104" t="s">
        <v>38</v>
      </c>
      <c r="C275" s="145">
        <v>0</v>
      </c>
      <c r="D275" s="145"/>
      <c r="E275" s="104">
        <v>0</v>
      </c>
      <c r="F275" s="106">
        <v>0</v>
      </c>
      <c r="G275" s="107">
        <v>0</v>
      </c>
      <c r="H275" s="106">
        <v>0</v>
      </c>
      <c r="I275" s="106"/>
      <c r="J275" s="106"/>
      <c r="K275" s="106"/>
      <c r="L275" s="213">
        <v>0</v>
      </c>
      <c r="M275" s="213">
        <v>0</v>
      </c>
      <c r="N275" s="213">
        <v>0</v>
      </c>
      <c r="O275" s="213">
        <v>0</v>
      </c>
      <c r="P275" s="108">
        <v>0</v>
      </c>
      <c r="Q275" s="108">
        <v>0</v>
      </c>
      <c r="R275" s="108">
        <v>0</v>
      </c>
      <c r="S275" s="108">
        <v>0</v>
      </c>
      <c r="T275" s="108">
        <v>0</v>
      </c>
      <c r="U275" s="108">
        <v>0</v>
      </c>
      <c r="V275" s="108">
        <v>0</v>
      </c>
      <c r="W275" s="108">
        <v>0</v>
      </c>
    </row>
    <row r="276" spans="1:23">
      <c r="A276" s="212">
        <v>45020</v>
      </c>
      <c r="B276" s="111" t="s">
        <v>39</v>
      </c>
      <c r="C276" s="112">
        <v>21265</v>
      </c>
      <c r="D276" s="112"/>
      <c r="E276" s="112">
        <v>408</v>
      </c>
      <c r="F276" s="113">
        <v>0.0191864566188573</v>
      </c>
      <c r="G276" s="112">
        <v>130</v>
      </c>
      <c r="H276" s="113">
        <v>0.318627450980392</v>
      </c>
      <c r="I276" s="113"/>
      <c r="J276" s="113"/>
      <c r="K276" s="113"/>
      <c r="L276" s="213"/>
      <c r="M276" s="213"/>
      <c r="N276" s="213"/>
      <c r="O276" s="213"/>
      <c r="P276" s="108"/>
      <c r="Q276" s="108"/>
      <c r="R276" s="108"/>
      <c r="S276" s="108"/>
      <c r="T276" s="108"/>
      <c r="U276" s="108"/>
      <c r="V276" s="108"/>
      <c r="W276" s="108"/>
    </row>
    <row r="277" spans="1:23">
      <c r="A277" s="212">
        <v>45021</v>
      </c>
      <c r="B277" s="104" t="s">
        <v>17</v>
      </c>
      <c r="C277" s="105">
        <v>96</v>
      </c>
      <c r="D277" s="105"/>
      <c r="E277" s="104">
        <v>40</v>
      </c>
      <c r="F277" s="106">
        <v>0.416666666666667</v>
      </c>
      <c r="G277" s="107">
        <v>6</v>
      </c>
      <c r="H277" s="106">
        <v>0.15</v>
      </c>
      <c r="I277" s="106"/>
      <c r="J277" s="106"/>
      <c r="K277" s="106"/>
      <c r="L277" s="213">
        <v>8</v>
      </c>
      <c r="M277" s="213">
        <v>32</v>
      </c>
      <c r="N277" s="213">
        <v>38.8</v>
      </c>
      <c r="O277" s="213">
        <v>39.5714285714286</v>
      </c>
      <c r="P277" s="108">
        <v>11</v>
      </c>
      <c r="Q277" s="108">
        <v>8</v>
      </c>
      <c r="R277" s="108">
        <v>7.8</v>
      </c>
      <c r="S277" s="108">
        <v>9.57142857142857</v>
      </c>
      <c r="T277" s="108">
        <v>3</v>
      </c>
      <c r="U277" s="108">
        <v>1</v>
      </c>
      <c r="V277" s="108">
        <v>0.6</v>
      </c>
      <c r="W277" s="108">
        <v>1</v>
      </c>
    </row>
    <row r="278" spans="1:23">
      <c r="A278" s="212">
        <v>45021</v>
      </c>
      <c r="B278" s="104" t="s">
        <v>19</v>
      </c>
      <c r="C278" s="107">
        <v>672</v>
      </c>
      <c r="D278" s="107"/>
      <c r="E278" s="104">
        <v>22</v>
      </c>
      <c r="F278" s="106">
        <v>0.0327380952380952</v>
      </c>
      <c r="G278" s="107">
        <v>11</v>
      </c>
      <c r="H278" s="106">
        <v>0.5</v>
      </c>
      <c r="I278" s="106"/>
      <c r="J278" s="106"/>
      <c r="K278" s="106"/>
      <c r="L278" s="213">
        <v>20</v>
      </c>
      <c r="M278" s="213">
        <v>-16.6666666666666</v>
      </c>
      <c r="N278" s="213">
        <v>-251</v>
      </c>
      <c r="O278" s="213">
        <v>-478.428571428571</v>
      </c>
      <c r="P278" s="108">
        <v>4</v>
      </c>
      <c r="Q278" s="108">
        <v>1.33333333333333</v>
      </c>
      <c r="R278" s="108">
        <v>-11.2</v>
      </c>
      <c r="S278" s="108">
        <v>-24.8571428571429</v>
      </c>
      <c r="T278" s="108">
        <v>1</v>
      </c>
      <c r="U278" s="108">
        <v>-2.33333333333333</v>
      </c>
      <c r="V278" s="108">
        <v>-4</v>
      </c>
      <c r="W278" s="115">
        <v>-9.85714285714286</v>
      </c>
    </row>
    <row r="279" spans="1:23">
      <c r="A279" s="212">
        <v>45021</v>
      </c>
      <c r="B279" s="104" t="s">
        <v>21</v>
      </c>
      <c r="C279" s="145">
        <v>764</v>
      </c>
      <c r="D279" s="145"/>
      <c r="E279" s="104">
        <v>29</v>
      </c>
      <c r="F279" s="106">
        <v>0.0379581151832461</v>
      </c>
      <c r="G279" s="107">
        <v>9</v>
      </c>
      <c r="H279" s="106">
        <v>0.310344827586207</v>
      </c>
      <c r="I279" s="106"/>
      <c r="J279" s="106"/>
      <c r="K279" s="106"/>
      <c r="L279" s="213">
        <v>38</v>
      </c>
      <c r="M279" s="213">
        <v>-228.333333333333</v>
      </c>
      <c r="N279" s="213">
        <v>-295.2</v>
      </c>
      <c r="O279" s="213">
        <v>-300.571428571429</v>
      </c>
      <c r="P279" s="108">
        <v>4</v>
      </c>
      <c r="Q279" s="108">
        <v>6</v>
      </c>
      <c r="R279" s="108">
        <v>3.6</v>
      </c>
      <c r="S279" s="108">
        <v>3.85714285714286</v>
      </c>
      <c r="T279" s="108">
        <v>0</v>
      </c>
      <c r="U279" s="108">
        <v>0.333333333333334</v>
      </c>
      <c r="V279" s="108">
        <v>-0.800000000000001</v>
      </c>
      <c r="W279" s="108">
        <v>0.285714285714286</v>
      </c>
    </row>
    <row r="280" spans="1:23">
      <c r="A280" s="212">
        <v>45021</v>
      </c>
      <c r="B280" s="104" t="s">
        <v>22</v>
      </c>
      <c r="C280" s="145">
        <v>5099</v>
      </c>
      <c r="D280" s="145"/>
      <c r="E280" s="104">
        <v>128</v>
      </c>
      <c r="F280" s="106">
        <v>0.0251029613649735</v>
      </c>
      <c r="G280" s="107">
        <v>51</v>
      </c>
      <c r="H280" s="106">
        <v>0.3984375</v>
      </c>
      <c r="I280" s="106"/>
      <c r="J280" s="106"/>
      <c r="K280" s="106"/>
      <c r="L280" s="213">
        <v>-57</v>
      </c>
      <c r="M280" s="213">
        <v>-271</v>
      </c>
      <c r="N280" s="213">
        <v>-216.4</v>
      </c>
      <c r="O280" s="213">
        <v>54.5714285714284</v>
      </c>
      <c r="P280" s="108">
        <v>-19</v>
      </c>
      <c r="Q280" s="108">
        <v>-16.6666666666667</v>
      </c>
      <c r="R280" s="108">
        <v>-12.4</v>
      </c>
      <c r="S280" s="115">
        <v>-9.28571428571428</v>
      </c>
      <c r="T280" s="108">
        <v>7</v>
      </c>
      <c r="U280" s="108">
        <v>5.33333333333334</v>
      </c>
      <c r="V280" s="108">
        <v>3.6</v>
      </c>
      <c r="W280" s="117">
        <v>5.28571428571428</v>
      </c>
    </row>
    <row r="281" spans="1:23">
      <c r="A281" s="212">
        <v>45021</v>
      </c>
      <c r="B281" s="104" t="s">
        <v>23</v>
      </c>
      <c r="C281" s="145">
        <v>3352</v>
      </c>
      <c r="D281" s="145"/>
      <c r="E281" s="104">
        <v>34</v>
      </c>
      <c r="F281" s="106">
        <v>0.0101431980906921</v>
      </c>
      <c r="G281" s="107">
        <v>12</v>
      </c>
      <c r="H281" s="106">
        <v>0.352941176470588</v>
      </c>
      <c r="I281" s="106"/>
      <c r="J281" s="106"/>
      <c r="K281" s="106"/>
      <c r="L281" s="213">
        <v>-72</v>
      </c>
      <c r="M281" s="213">
        <v>-144.666666666667</v>
      </c>
      <c r="N281" s="213">
        <v>-97.8000000000002</v>
      </c>
      <c r="O281" s="213">
        <v>86.2857142857142</v>
      </c>
      <c r="P281" s="108">
        <v>-10</v>
      </c>
      <c r="Q281" s="108">
        <v>-12.6666666666667</v>
      </c>
      <c r="R281" s="108">
        <v>-10.4</v>
      </c>
      <c r="S281" s="108">
        <v>-6.71428571428572</v>
      </c>
      <c r="T281" s="108">
        <v>-7</v>
      </c>
      <c r="U281" s="116">
        <v>-5.66666666666667</v>
      </c>
      <c r="V281" s="108">
        <v>-5.6</v>
      </c>
      <c r="W281" s="108">
        <v>-3</v>
      </c>
    </row>
    <row r="282" spans="1:23">
      <c r="A282" s="212">
        <v>45021</v>
      </c>
      <c r="B282" s="104" t="s">
        <v>24</v>
      </c>
      <c r="C282" s="145">
        <v>544</v>
      </c>
      <c r="D282" s="145"/>
      <c r="E282" s="104">
        <v>5</v>
      </c>
      <c r="F282" s="106">
        <v>0.00919117647058824</v>
      </c>
      <c r="G282" s="107">
        <v>1</v>
      </c>
      <c r="H282" s="106">
        <v>0.2</v>
      </c>
      <c r="I282" s="106"/>
      <c r="J282" s="106"/>
      <c r="K282" s="106"/>
      <c r="L282" s="213">
        <v>-25</v>
      </c>
      <c r="M282" s="213">
        <v>14.6666666666666</v>
      </c>
      <c r="N282" s="213">
        <v>29.6</v>
      </c>
      <c r="O282" s="213">
        <v>18.2857142857143</v>
      </c>
      <c r="P282" s="115">
        <v>-2</v>
      </c>
      <c r="Q282" s="115">
        <v>-2</v>
      </c>
      <c r="R282" s="117">
        <v>-0.2</v>
      </c>
      <c r="S282" s="117">
        <v>-0.857142857142857</v>
      </c>
      <c r="T282" s="115">
        <v>0</v>
      </c>
      <c r="U282" s="115">
        <v>-0.666666666666667</v>
      </c>
      <c r="V282" s="115">
        <v>-0.6</v>
      </c>
      <c r="W282" s="115">
        <v>-1</v>
      </c>
    </row>
    <row r="283" spans="1:23">
      <c r="A283" s="212">
        <v>45021</v>
      </c>
      <c r="B283" s="104" t="s">
        <v>25</v>
      </c>
      <c r="C283" s="145">
        <v>14786</v>
      </c>
      <c r="D283" s="145"/>
      <c r="E283" s="104">
        <v>48</v>
      </c>
      <c r="F283" s="106">
        <v>0.00324631408088733</v>
      </c>
      <c r="G283" s="107">
        <v>27</v>
      </c>
      <c r="H283" s="106">
        <v>0.5625</v>
      </c>
      <c r="I283" s="106"/>
      <c r="J283" s="106"/>
      <c r="K283" s="106"/>
      <c r="L283" s="213">
        <v>5965</v>
      </c>
      <c r="M283" s="213">
        <v>5003.66666666667</v>
      </c>
      <c r="N283" s="213">
        <v>6374</v>
      </c>
      <c r="O283" s="213">
        <v>6980.42857142857</v>
      </c>
      <c r="P283" s="116">
        <v>5</v>
      </c>
      <c r="Q283" s="115">
        <v>-1.66666666666666</v>
      </c>
      <c r="R283" s="115">
        <v>4.8</v>
      </c>
      <c r="S283" s="115">
        <v>5.71428571428572</v>
      </c>
      <c r="T283" s="108">
        <v>11</v>
      </c>
      <c r="U283" s="108">
        <v>7.66666666666667</v>
      </c>
      <c r="V283" s="108">
        <v>8.8</v>
      </c>
      <c r="W283" s="108">
        <v>5.85714285714286</v>
      </c>
    </row>
    <row r="284" spans="1:23">
      <c r="A284" s="212">
        <v>45021</v>
      </c>
      <c r="B284" s="104" t="s">
        <v>26</v>
      </c>
      <c r="C284" s="145">
        <v>1232</v>
      </c>
      <c r="D284" s="145"/>
      <c r="E284" s="104">
        <v>78</v>
      </c>
      <c r="F284" s="106">
        <v>0.0633116883116883</v>
      </c>
      <c r="G284" s="107">
        <v>19</v>
      </c>
      <c r="H284" s="106">
        <v>0.243589743589744</v>
      </c>
      <c r="I284" s="106"/>
      <c r="J284" s="106"/>
      <c r="K284" s="106"/>
      <c r="L284" s="213">
        <v>-542</v>
      </c>
      <c r="M284" s="213">
        <v>-239.666666666667</v>
      </c>
      <c r="N284" s="213">
        <v>144</v>
      </c>
      <c r="O284" s="213">
        <v>322</v>
      </c>
      <c r="P284" s="108">
        <v>-16</v>
      </c>
      <c r="Q284" s="108">
        <v>-16</v>
      </c>
      <c r="R284" s="108">
        <v>-12.2</v>
      </c>
      <c r="S284" s="108">
        <v>-6.28571428571429</v>
      </c>
      <c r="T284" s="108">
        <v>-7</v>
      </c>
      <c r="U284" s="108">
        <v>-3</v>
      </c>
      <c r="V284" s="108">
        <v>-2.4</v>
      </c>
      <c r="W284" s="108">
        <v>-1.57142857142857</v>
      </c>
    </row>
    <row r="285" spans="1:23">
      <c r="A285" s="212">
        <v>45021</v>
      </c>
      <c r="B285" s="104" t="s">
        <v>27</v>
      </c>
      <c r="C285" s="145">
        <v>54</v>
      </c>
      <c r="D285" s="145"/>
      <c r="E285" s="104">
        <v>1</v>
      </c>
      <c r="F285" s="106">
        <v>0.0185185185185185</v>
      </c>
      <c r="G285" s="107">
        <v>0</v>
      </c>
      <c r="H285" s="106">
        <v>0</v>
      </c>
      <c r="I285" s="106"/>
      <c r="J285" s="106"/>
      <c r="K285" s="106"/>
      <c r="L285" s="213">
        <v>5</v>
      </c>
      <c r="M285" s="213">
        <v>10.3333333333333</v>
      </c>
      <c r="N285" s="213">
        <v>16.6</v>
      </c>
      <c r="O285" s="213">
        <v>17.8571428571429</v>
      </c>
      <c r="P285" s="108">
        <v>1</v>
      </c>
      <c r="Q285" s="108">
        <v>0</v>
      </c>
      <c r="R285" s="108">
        <v>0</v>
      </c>
      <c r="S285" s="108">
        <v>0.285714285714286</v>
      </c>
      <c r="T285" s="108">
        <v>-2</v>
      </c>
      <c r="U285" s="108">
        <v>-0.666666666666667</v>
      </c>
      <c r="V285" s="108">
        <v>-0.6</v>
      </c>
      <c r="W285" s="108">
        <v>-0.428571428571429</v>
      </c>
    </row>
    <row r="286" spans="1:23">
      <c r="A286" s="212">
        <v>45021</v>
      </c>
      <c r="B286" s="104" t="s">
        <v>28</v>
      </c>
      <c r="C286" s="145">
        <v>0</v>
      </c>
      <c r="D286" s="145"/>
      <c r="E286" s="104">
        <v>0</v>
      </c>
      <c r="F286" s="106">
        <v>0</v>
      </c>
      <c r="G286" s="107">
        <v>0</v>
      </c>
      <c r="H286" s="106">
        <v>0</v>
      </c>
      <c r="I286" s="106"/>
      <c r="J286" s="106"/>
      <c r="K286" s="106"/>
      <c r="L286" s="213">
        <v>0</v>
      </c>
      <c r="M286" s="213">
        <v>0</v>
      </c>
      <c r="N286" s="213">
        <v>0</v>
      </c>
      <c r="O286" s="213">
        <v>0</v>
      </c>
      <c r="P286" s="108">
        <v>0</v>
      </c>
      <c r="Q286" s="108">
        <v>0</v>
      </c>
      <c r="R286" s="108">
        <v>0</v>
      </c>
      <c r="S286" s="108">
        <v>0</v>
      </c>
      <c r="T286" s="108">
        <v>0</v>
      </c>
      <c r="U286" s="108">
        <v>0</v>
      </c>
      <c r="V286" s="108">
        <v>0</v>
      </c>
      <c r="W286" s="108">
        <v>0</v>
      </c>
    </row>
    <row r="287" spans="1:23">
      <c r="A287" s="212">
        <v>45021</v>
      </c>
      <c r="B287" s="104" t="s">
        <v>29</v>
      </c>
      <c r="C287" s="145">
        <v>1</v>
      </c>
      <c r="D287" s="145"/>
      <c r="E287" s="104">
        <v>0</v>
      </c>
      <c r="F287" s="106">
        <v>0</v>
      </c>
      <c r="G287" s="107">
        <v>0</v>
      </c>
      <c r="H287" s="106">
        <v>0</v>
      </c>
      <c r="I287" s="106"/>
      <c r="J287" s="106"/>
      <c r="K287" s="106"/>
      <c r="L287" s="213">
        <v>-5</v>
      </c>
      <c r="M287" s="213">
        <v>-3.33333333333333</v>
      </c>
      <c r="N287" s="213">
        <v>-3.2</v>
      </c>
      <c r="O287" s="213">
        <v>-2.71428571428571</v>
      </c>
      <c r="P287" s="108">
        <v>0</v>
      </c>
      <c r="Q287" s="108">
        <v>0</v>
      </c>
      <c r="R287" s="108">
        <v>-0.2</v>
      </c>
      <c r="S287" s="108">
        <v>-0.142857142857143</v>
      </c>
      <c r="T287" s="108">
        <v>0</v>
      </c>
      <c r="U287" s="108">
        <v>0</v>
      </c>
      <c r="V287" s="108">
        <v>0</v>
      </c>
      <c r="W287" s="108">
        <v>0</v>
      </c>
    </row>
    <row r="288" spans="1:23">
      <c r="A288" s="212">
        <v>45021</v>
      </c>
      <c r="B288" s="104" t="s">
        <v>30</v>
      </c>
      <c r="C288" s="145">
        <v>0</v>
      </c>
      <c r="D288" s="145"/>
      <c r="E288" s="104">
        <v>0</v>
      </c>
      <c r="F288" s="106">
        <v>0</v>
      </c>
      <c r="G288" s="107">
        <v>0</v>
      </c>
      <c r="H288" s="106">
        <v>0</v>
      </c>
      <c r="I288" s="106"/>
      <c r="J288" s="106"/>
      <c r="K288" s="106"/>
      <c r="L288" s="213">
        <v>0</v>
      </c>
      <c r="M288" s="213">
        <v>0</v>
      </c>
      <c r="N288" s="213">
        <v>0</v>
      </c>
      <c r="O288" s="213">
        <v>0</v>
      </c>
      <c r="P288" s="108">
        <v>0</v>
      </c>
      <c r="Q288" s="108">
        <v>0</v>
      </c>
      <c r="R288" s="108">
        <v>0</v>
      </c>
      <c r="S288" s="108">
        <v>0</v>
      </c>
      <c r="T288" s="108">
        <v>0</v>
      </c>
      <c r="U288" s="108">
        <v>0</v>
      </c>
      <c r="V288" s="108">
        <v>0</v>
      </c>
      <c r="W288" s="108">
        <v>0</v>
      </c>
    </row>
    <row r="289" spans="1:23">
      <c r="A289" s="212">
        <v>45021</v>
      </c>
      <c r="B289" s="104" t="s">
        <v>31</v>
      </c>
      <c r="C289" s="145">
        <v>0</v>
      </c>
      <c r="D289" s="145"/>
      <c r="E289" s="104">
        <v>2</v>
      </c>
      <c r="F289" s="106">
        <v>2</v>
      </c>
      <c r="G289" s="107">
        <v>0</v>
      </c>
      <c r="H289" s="106">
        <v>0</v>
      </c>
      <c r="I289" s="106"/>
      <c r="J289" s="106"/>
      <c r="K289" s="106"/>
      <c r="L289" s="213">
        <v>0</v>
      </c>
      <c r="M289" s="213">
        <v>0</v>
      </c>
      <c r="N289" s="213">
        <v>0</v>
      </c>
      <c r="O289" s="213">
        <v>0</v>
      </c>
      <c r="P289" s="108">
        <v>1</v>
      </c>
      <c r="Q289" s="108">
        <v>1.66666666666667</v>
      </c>
      <c r="R289" s="108">
        <v>1.8</v>
      </c>
      <c r="S289" s="108">
        <v>1.71428571428571</v>
      </c>
      <c r="T289" s="108">
        <v>0</v>
      </c>
      <c r="U289" s="108">
        <v>0</v>
      </c>
      <c r="V289" s="108">
        <v>0</v>
      </c>
      <c r="W289" s="108">
        <v>0</v>
      </c>
    </row>
    <row r="290" spans="1:23">
      <c r="A290" s="212">
        <v>45021</v>
      </c>
      <c r="B290" s="104" t="s">
        <v>32</v>
      </c>
      <c r="C290" s="145">
        <v>0</v>
      </c>
      <c r="D290" s="145"/>
      <c r="E290" s="104">
        <v>0</v>
      </c>
      <c r="F290" s="106">
        <v>0</v>
      </c>
      <c r="G290" s="107">
        <v>0</v>
      </c>
      <c r="H290" s="106">
        <v>0</v>
      </c>
      <c r="I290" s="106"/>
      <c r="J290" s="106"/>
      <c r="K290" s="106"/>
      <c r="L290" s="213">
        <v>0</v>
      </c>
      <c r="M290" s="213">
        <v>0</v>
      </c>
      <c r="N290" s="213">
        <v>0</v>
      </c>
      <c r="O290" s="213">
        <v>0</v>
      </c>
      <c r="P290" s="108">
        <v>0</v>
      </c>
      <c r="Q290" s="108">
        <v>0</v>
      </c>
      <c r="R290" s="108">
        <v>0</v>
      </c>
      <c r="S290" s="108">
        <v>0</v>
      </c>
      <c r="T290" s="108">
        <v>0</v>
      </c>
      <c r="U290" s="108">
        <v>0</v>
      </c>
      <c r="V290" s="108">
        <v>0</v>
      </c>
      <c r="W290" s="108">
        <v>0</v>
      </c>
    </row>
    <row r="291" spans="1:23">
      <c r="A291" s="212">
        <v>45021</v>
      </c>
      <c r="B291" s="104" t="s">
        <v>33</v>
      </c>
      <c r="C291" s="145">
        <v>0</v>
      </c>
      <c r="D291" s="145"/>
      <c r="E291" s="104">
        <v>0</v>
      </c>
      <c r="F291" s="106">
        <v>0</v>
      </c>
      <c r="G291" s="107">
        <v>0</v>
      </c>
      <c r="H291" s="106">
        <v>0</v>
      </c>
      <c r="I291" s="106"/>
      <c r="J291" s="106"/>
      <c r="K291" s="106"/>
      <c r="L291" s="213">
        <v>0</v>
      </c>
      <c r="M291" s="213">
        <v>0</v>
      </c>
      <c r="N291" s="213">
        <v>0</v>
      </c>
      <c r="O291" s="213">
        <v>0</v>
      </c>
      <c r="P291" s="108">
        <v>0</v>
      </c>
      <c r="Q291" s="108">
        <v>0</v>
      </c>
      <c r="R291" s="108">
        <v>-0.2</v>
      </c>
      <c r="S291" s="108">
        <v>-0.142857142857143</v>
      </c>
      <c r="T291" s="108">
        <v>0</v>
      </c>
      <c r="U291" s="108">
        <v>0</v>
      </c>
      <c r="V291" s="108">
        <v>0</v>
      </c>
      <c r="W291" s="108">
        <v>0</v>
      </c>
    </row>
    <row r="292" spans="1:23">
      <c r="A292" s="212">
        <v>45021</v>
      </c>
      <c r="B292" s="104" t="s">
        <v>34</v>
      </c>
      <c r="C292" s="145">
        <v>0</v>
      </c>
      <c r="D292" s="145"/>
      <c r="E292" s="104">
        <v>0</v>
      </c>
      <c r="F292" s="106">
        <v>0</v>
      </c>
      <c r="G292" s="107">
        <v>0</v>
      </c>
      <c r="H292" s="106">
        <v>0</v>
      </c>
      <c r="I292" s="106"/>
      <c r="J292" s="106"/>
      <c r="K292" s="106"/>
      <c r="L292" s="213">
        <v>0</v>
      </c>
      <c r="M292" s="213">
        <v>0</v>
      </c>
      <c r="N292" s="213">
        <v>0</v>
      </c>
      <c r="O292" s="213">
        <v>0</v>
      </c>
      <c r="P292" s="108">
        <v>0</v>
      </c>
      <c r="Q292" s="108">
        <v>0</v>
      </c>
      <c r="R292" s="108">
        <v>0</v>
      </c>
      <c r="S292" s="108">
        <v>0</v>
      </c>
      <c r="T292" s="108">
        <v>0</v>
      </c>
      <c r="U292" s="108">
        <v>0</v>
      </c>
      <c r="V292" s="108">
        <v>0</v>
      </c>
      <c r="W292" s="108">
        <v>0</v>
      </c>
    </row>
    <row r="293" spans="1:23">
      <c r="A293" s="212">
        <v>45021</v>
      </c>
      <c r="B293" s="104" t="s">
        <v>35</v>
      </c>
      <c r="C293" s="145">
        <v>0</v>
      </c>
      <c r="D293" s="145"/>
      <c r="E293" s="104">
        <v>0</v>
      </c>
      <c r="F293" s="106">
        <v>0</v>
      </c>
      <c r="G293" s="107">
        <v>0</v>
      </c>
      <c r="H293" s="106">
        <v>0</v>
      </c>
      <c r="I293" s="106"/>
      <c r="J293" s="106"/>
      <c r="K293" s="106"/>
      <c r="L293" s="213">
        <v>0</v>
      </c>
      <c r="M293" s="213">
        <v>0</v>
      </c>
      <c r="N293" s="213">
        <v>0</v>
      </c>
      <c r="O293" s="213">
        <v>0</v>
      </c>
      <c r="P293" s="108">
        <v>0</v>
      </c>
      <c r="Q293" s="108">
        <v>0</v>
      </c>
      <c r="R293" s="108">
        <v>0</v>
      </c>
      <c r="S293" s="108">
        <v>0</v>
      </c>
      <c r="T293" s="108">
        <v>0</v>
      </c>
      <c r="U293" s="108">
        <v>0</v>
      </c>
      <c r="V293" s="108">
        <v>0</v>
      </c>
      <c r="W293" s="108">
        <v>0</v>
      </c>
    </row>
    <row r="294" spans="1:23">
      <c r="A294" s="212">
        <v>45021</v>
      </c>
      <c r="B294" s="104" t="s">
        <v>36</v>
      </c>
      <c r="C294" s="145">
        <v>0</v>
      </c>
      <c r="D294" s="145"/>
      <c r="E294" s="104">
        <v>0</v>
      </c>
      <c r="F294" s="106">
        <v>0</v>
      </c>
      <c r="G294" s="107">
        <v>0</v>
      </c>
      <c r="H294" s="106">
        <v>0</v>
      </c>
      <c r="I294" s="106"/>
      <c r="J294" s="106"/>
      <c r="K294" s="106"/>
      <c r="L294" s="213">
        <v>0</v>
      </c>
      <c r="M294" s="213">
        <v>0</v>
      </c>
      <c r="N294" s="213">
        <v>0</v>
      </c>
      <c r="O294" s="213">
        <v>0</v>
      </c>
      <c r="P294" s="108">
        <v>0</v>
      </c>
      <c r="Q294" s="108">
        <v>0</v>
      </c>
      <c r="R294" s="108">
        <v>0</v>
      </c>
      <c r="S294" s="108">
        <v>0</v>
      </c>
      <c r="T294" s="108">
        <v>0</v>
      </c>
      <c r="U294" s="108">
        <v>0</v>
      </c>
      <c r="V294" s="108">
        <v>0</v>
      </c>
      <c r="W294" s="108">
        <v>0</v>
      </c>
    </row>
    <row r="295" spans="1:23">
      <c r="A295" s="212">
        <v>45021</v>
      </c>
      <c r="B295" s="104" t="s">
        <v>37</v>
      </c>
      <c r="C295" s="145">
        <v>0</v>
      </c>
      <c r="D295" s="145"/>
      <c r="E295" s="104">
        <v>0</v>
      </c>
      <c r="F295" s="106">
        <v>0</v>
      </c>
      <c r="G295" s="107">
        <v>0</v>
      </c>
      <c r="H295" s="106">
        <v>0</v>
      </c>
      <c r="I295" s="106"/>
      <c r="J295" s="106"/>
      <c r="K295" s="106"/>
      <c r="L295" s="213">
        <v>0</v>
      </c>
      <c r="M295" s="213">
        <v>0</v>
      </c>
      <c r="N295" s="213">
        <v>0</v>
      </c>
      <c r="O295" s="213">
        <v>0</v>
      </c>
      <c r="P295" s="108">
        <v>0</v>
      </c>
      <c r="Q295" s="108">
        <v>0</v>
      </c>
      <c r="R295" s="108">
        <v>0</v>
      </c>
      <c r="S295" s="108">
        <v>0</v>
      </c>
      <c r="T295" s="108">
        <v>0</v>
      </c>
      <c r="U295" s="108">
        <v>0</v>
      </c>
      <c r="V295" s="108">
        <v>0</v>
      </c>
      <c r="W295" s="108">
        <v>0</v>
      </c>
    </row>
    <row r="296" spans="1:23">
      <c r="A296" s="212">
        <v>45021</v>
      </c>
      <c r="B296" s="104" t="s">
        <v>38</v>
      </c>
      <c r="C296" s="145">
        <v>0</v>
      </c>
      <c r="D296" s="145"/>
      <c r="E296" s="104">
        <v>0</v>
      </c>
      <c r="F296" s="106">
        <v>0</v>
      </c>
      <c r="G296" s="107">
        <v>0</v>
      </c>
      <c r="H296" s="106">
        <v>0</v>
      </c>
      <c r="I296" s="106"/>
      <c r="J296" s="106"/>
      <c r="K296" s="106"/>
      <c r="L296" s="213">
        <v>0</v>
      </c>
      <c r="M296" s="213">
        <v>0</v>
      </c>
      <c r="N296" s="213">
        <v>0</v>
      </c>
      <c r="O296" s="213">
        <v>0</v>
      </c>
      <c r="P296" s="108">
        <v>0</v>
      </c>
      <c r="Q296" s="108">
        <v>0</v>
      </c>
      <c r="R296" s="108">
        <v>0</v>
      </c>
      <c r="S296" s="108">
        <v>0</v>
      </c>
      <c r="T296" s="108">
        <v>0</v>
      </c>
      <c r="U296" s="108">
        <v>0</v>
      </c>
      <c r="V296" s="108">
        <v>0</v>
      </c>
      <c r="W296" s="108">
        <v>0</v>
      </c>
    </row>
    <row r="297" spans="1:23">
      <c r="A297" s="212">
        <v>45021</v>
      </c>
      <c r="B297" s="111" t="s">
        <v>39</v>
      </c>
      <c r="C297" s="112">
        <v>26600</v>
      </c>
      <c r="D297" s="112"/>
      <c r="E297" s="112">
        <v>387</v>
      </c>
      <c r="F297" s="113">
        <v>0.0145488721804511</v>
      </c>
      <c r="G297" s="112">
        <v>136</v>
      </c>
      <c r="H297" s="113">
        <v>0.351421188630491</v>
      </c>
      <c r="I297" s="113"/>
      <c r="J297" s="113"/>
      <c r="K297" s="113"/>
      <c r="L297" s="213"/>
      <c r="M297" s="213"/>
      <c r="N297" s="213"/>
      <c r="O297" s="213"/>
      <c r="P297" s="108"/>
      <c r="Q297" s="108"/>
      <c r="R297" s="108"/>
      <c r="S297" s="108"/>
      <c r="T297" s="108"/>
      <c r="U297" s="108"/>
      <c r="V297" s="108"/>
      <c r="W297" s="108"/>
    </row>
    <row r="298" spans="1:23">
      <c r="A298" s="212">
        <v>45022</v>
      </c>
      <c r="B298" s="104" t="s">
        <v>17</v>
      </c>
      <c r="C298" s="105">
        <v>96</v>
      </c>
      <c r="D298" s="105"/>
      <c r="E298" s="104">
        <v>21</v>
      </c>
      <c r="F298" s="106">
        <v>0.21875</v>
      </c>
      <c r="G298" s="107">
        <v>2</v>
      </c>
      <c r="H298" s="106">
        <v>0.0952380952380952</v>
      </c>
      <c r="I298" s="106"/>
      <c r="J298" s="106"/>
      <c r="K298" s="106"/>
      <c r="L298" s="213">
        <v>0</v>
      </c>
      <c r="M298" s="213">
        <v>10.6666666666667</v>
      </c>
      <c r="N298" s="213">
        <v>27.6</v>
      </c>
      <c r="O298" s="213">
        <v>32.8571428571429</v>
      </c>
      <c r="P298" s="108">
        <v>-19</v>
      </c>
      <c r="Q298" s="108">
        <v>-14.6666666666667</v>
      </c>
      <c r="R298" s="108">
        <v>-14.2</v>
      </c>
      <c r="S298" s="108">
        <v>-12.2857142857143</v>
      </c>
      <c r="T298" s="108">
        <v>-4</v>
      </c>
      <c r="U298" s="108">
        <v>-3</v>
      </c>
      <c r="V298" s="108">
        <v>-3.4</v>
      </c>
      <c r="W298" s="108">
        <v>-3.28571428571429</v>
      </c>
    </row>
    <row r="299" spans="1:23">
      <c r="A299" s="212">
        <v>45022</v>
      </c>
      <c r="B299" s="104" t="s">
        <v>19</v>
      </c>
      <c r="C299" s="107">
        <v>661</v>
      </c>
      <c r="D299" s="107"/>
      <c r="E299" s="104">
        <v>26</v>
      </c>
      <c r="F299" s="106">
        <v>0.0393343419062027</v>
      </c>
      <c r="G299" s="107">
        <v>9</v>
      </c>
      <c r="H299" s="106">
        <v>0.346153846153846</v>
      </c>
      <c r="I299" s="106"/>
      <c r="J299" s="106"/>
      <c r="K299" s="106"/>
      <c r="L299" s="213">
        <v>-11</v>
      </c>
      <c r="M299" s="213">
        <v>-2.66666666666663</v>
      </c>
      <c r="N299" s="213">
        <v>-108.2</v>
      </c>
      <c r="O299" s="213">
        <v>-344</v>
      </c>
      <c r="P299" s="108">
        <v>4</v>
      </c>
      <c r="Q299" s="108">
        <v>5.33333333333333</v>
      </c>
      <c r="R299" s="108">
        <v>0</v>
      </c>
      <c r="S299" s="108">
        <v>-11.8571428571429</v>
      </c>
      <c r="T299" s="108">
        <v>-2</v>
      </c>
      <c r="U299" s="108">
        <v>-2.66666666666667</v>
      </c>
      <c r="V299" s="108">
        <v>-3.8</v>
      </c>
      <c r="W299" s="115">
        <v>-7.71428571428572</v>
      </c>
    </row>
    <row r="300" spans="1:23">
      <c r="A300" s="212">
        <v>45022</v>
      </c>
      <c r="B300" s="104" t="s">
        <v>21</v>
      </c>
      <c r="C300" s="145">
        <v>652</v>
      </c>
      <c r="D300" s="145"/>
      <c r="E300" s="104">
        <v>23</v>
      </c>
      <c r="F300" s="106">
        <v>0.0352760736196319</v>
      </c>
      <c r="G300" s="107">
        <v>9</v>
      </c>
      <c r="H300" s="106">
        <v>0.391304347826087</v>
      </c>
      <c r="I300" s="106"/>
      <c r="J300" s="106"/>
      <c r="K300" s="106"/>
      <c r="L300" s="213">
        <v>-112</v>
      </c>
      <c r="M300" s="213">
        <v>-178.333333333333</v>
      </c>
      <c r="N300" s="213">
        <v>-342.6</v>
      </c>
      <c r="O300" s="213">
        <v>-376.285714285714</v>
      </c>
      <c r="P300" s="108">
        <v>-6</v>
      </c>
      <c r="Q300" s="108">
        <v>-2</v>
      </c>
      <c r="R300" s="108">
        <v>-2.8</v>
      </c>
      <c r="S300" s="108">
        <v>-2.42857142857143</v>
      </c>
      <c r="T300" s="108">
        <v>0</v>
      </c>
      <c r="U300" s="108">
        <v>0.333333333333334</v>
      </c>
      <c r="V300" s="108">
        <v>-0.4</v>
      </c>
      <c r="W300" s="108">
        <v>0</v>
      </c>
    </row>
    <row r="301" spans="1:23">
      <c r="A301" s="212">
        <v>45022</v>
      </c>
      <c r="B301" s="104" t="s">
        <v>22</v>
      </c>
      <c r="C301" s="145">
        <v>4777</v>
      </c>
      <c r="D301" s="145"/>
      <c r="E301" s="104">
        <v>116</v>
      </c>
      <c r="F301" s="106">
        <v>0.024283022817668</v>
      </c>
      <c r="G301" s="107">
        <v>39</v>
      </c>
      <c r="H301" s="106">
        <v>0.336206896551724</v>
      </c>
      <c r="I301" s="106"/>
      <c r="J301" s="106"/>
      <c r="K301" s="106"/>
      <c r="L301" s="213">
        <v>-322</v>
      </c>
      <c r="M301" s="213">
        <v>-399.666666666667</v>
      </c>
      <c r="N301" s="213">
        <v>-616.4</v>
      </c>
      <c r="O301" s="213">
        <v>-364.714285714285</v>
      </c>
      <c r="P301" s="108">
        <v>-12</v>
      </c>
      <c r="Q301" s="108">
        <v>-19.3333333333333</v>
      </c>
      <c r="R301" s="108">
        <v>-29</v>
      </c>
      <c r="S301" s="115">
        <v>-21.7142857142857</v>
      </c>
      <c r="T301" s="108">
        <v>-12</v>
      </c>
      <c r="U301" s="108">
        <v>-5.66666666666666</v>
      </c>
      <c r="V301" s="108">
        <v>-12.2</v>
      </c>
      <c r="W301" s="117">
        <v>-8.57142857142857</v>
      </c>
    </row>
    <row r="302" spans="1:23">
      <c r="A302" s="212">
        <v>45022</v>
      </c>
      <c r="B302" s="104" t="s">
        <v>23</v>
      </c>
      <c r="C302" s="145">
        <v>3031</v>
      </c>
      <c r="D302" s="145"/>
      <c r="E302" s="104">
        <v>45</v>
      </c>
      <c r="F302" s="106">
        <v>0.0148465852853844</v>
      </c>
      <c r="G302" s="107">
        <v>9</v>
      </c>
      <c r="H302" s="106">
        <v>0.2</v>
      </c>
      <c r="I302" s="106"/>
      <c r="J302" s="106"/>
      <c r="K302" s="106"/>
      <c r="L302" s="213">
        <v>-321</v>
      </c>
      <c r="M302" s="213">
        <v>-369</v>
      </c>
      <c r="N302" s="213">
        <v>-464</v>
      </c>
      <c r="O302" s="213">
        <v>-301.428571428572</v>
      </c>
      <c r="P302" s="108">
        <v>11</v>
      </c>
      <c r="Q302" s="108">
        <v>2</v>
      </c>
      <c r="R302" s="108">
        <v>0.200000000000003</v>
      </c>
      <c r="S302" s="108">
        <v>5.14285714285715</v>
      </c>
      <c r="T302" s="108">
        <v>-3</v>
      </c>
      <c r="U302" s="116">
        <v>-9</v>
      </c>
      <c r="V302" s="108">
        <v>-9</v>
      </c>
      <c r="W302" s="108">
        <v>-6</v>
      </c>
    </row>
    <row r="303" spans="1:23">
      <c r="A303" s="212">
        <v>45022</v>
      </c>
      <c r="B303" s="104" t="s">
        <v>24</v>
      </c>
      <c r="C303" s="145">
        <v>798</v>
      </c>
      <c r="D303" s="145"/>
      <c r="E303" s="104">
        <v>6</v>
      </c>
      <c r="F303" s="106">
        <v>0.0075187969924812</v>
      </c>
      <c r="G303" s="107">
        <v>1</v>
      </c>
      <c r="H303" s="106">
        <v>0.166666666666667</v>
      </c>
      <c r="I303" s="106"/>
      <c r="J303" s="106"/>
      <c r="K303" s="106"/>
      <c r="L303" s="213">
        <v>254</v>
      </c>
      <c r="M303" s="213">
        <v>254</v>
      </c>
      <c r="N303" s="213">
        <v>270.6</v>
      </c>
      <c r="O303" s="213">
        <v>271.714285714286</v>
      </c>
      <c r="P303" s="115">
        <v>1</v>
      </c>
      <c r="Q303" s="115">
        <v>-0.333333333333333</v>
      </c>
      <c r="R303" s="117">
        <v>0.4</v>
      </c>
      <c r="S303" s="117">
        <v>0.571428571428571</v>
      </c>
      <c r="T303" s="115">
        <v>0</v>
      </c>
      <c r="U303" s="115">
        <v>0</v>
      </c>
      <c r="V303" s="115">
        <v>-0.6</v>
      </c>
      <c r="W303" s="115">
        <v>-0.571428571428571</v>
      </c>
    </row>
    <row r="304" spans="1:23">
      <c r="A304" s="212">
        <v>45022</v>
      </c>
      <c r="B304" s="104" t="s">
        <v>25</v>
      </c>
      <c r="C304" s="145">
        <v>18234</v>
      </c>
      <c r="D304" s="145"/>
      <c r="E304" s="104">
        <v>45</v>
      </c>
      <c r="F304" s="106">
        <v>0.00246791707798618</v>
      </c>
      <c r="G304" s="107">
        <v>17</v>
      </c>
      <c r="H304" s="106">
        <v>0.377777777777778</v>
      </c>
      <c r="I304" s="106"/>
      <c r="J304" s="106"/>
      <c r="K304" s="106"/>
      <c r="L304" s="213">
        <v>3448</v>
      </c>
      <c r="M304" s="213">
        <v>6642.33333333333</v>
      </c>
      <c r="N304" s="213">
        <v>7955.2</v>
      </c>
      <c r="O304" s="213">
        <v>9186</v>
      </c>
      <c r="P304" s="116">
        <v>-3</v>
      </c>
      <c r="Q304" s="115">
        <v>-4.33333333333334</v>
      </c>
      <c r="R304" s="115">
        <v>-1.8</v>
      </c>
      <c r="S304" s="115">
        <v>1.57142857142857</v>
      </c>
      <c r="T304" s="108">
        <v>-10</v>
      </c>
      <c r="U304" s="108">
        <v>-4.33333333333333</v>
      </c>
      <c r="V304" s="108">
        <v>-4</v>
      </c>
      <c r="W304" s="108">
        <v>-4.14285714285714</v>
      </c>
    </row>
    <row r="305" spans="1:23">
      <c r="A305" s="212">
        <v>45022</v>
      </c>
      <c r="B305" s="104" t="s">
        <v>26</v>
      </c>
      <c r="C305" s="145">
        <v>1610</v>
      </c>
      <c r="D305" s="145"/>
      <c r="E305" s="104">
        <v>78</v>
      </c>
      <c r="F305" s="106">
        <v>0.0484472049689441</v>
      </c>
      <c r="G305" s="107">
        <v>20</v>
      </c>
      <c r="H305" s="106">
        <v>0.256410256410256</v>
      </c>
      <c r="I305" s="106"/>
      <c r="J305" s="106"/>
      <c r="K305" s="106"/>
      <c r="L305" s="213">
        <v>378</v>
      </c>
      <c r="M305" s="213">
        <v>-96.3333333333333</v>
      </c>
      <c r="N305" s="213">
        <v>373.2</v>
      </c>
      <c r="O305" s="213">
        <v>589.857142857143</v>
      </c>
      <c r="P305" s="108">
        <v>0</v>
      </c>
      <c r="Q305" s="108">
        <v>-12</v>
      </c>
      <c r="R305" s="108">
        <v>-16.2</v>
      </c>
      <c r="S305" s="108">
        <v>-9.71428571428571</v>
      </c>
      <c r="T305" s="108">
        <v>1</v>
      </c>
      <c r="U305" s="108">
        <v>-1.33333333333333</v>
      </c>
      <c r="V305" s="108">
        <v>-2.2</v>
      </c>
      <c r="W305" s="108">
        <v>-0.714285714285715</v>
      </c>
    </row>
    <row r="306" spans="1:23">
      <c r="A306" s="212">
        <v>45022</v>
      </c>
      <c r="B306" s="104" t="s">
        <v>27</v>
      </c>
      <c r="C306" s="145">
        <v>41</v>
      </c>
      <c r="D306" s="145"/>
      <c r="E306" s="104">
        <v>3</v>
      </c>
      <c r="F306" s="106">
        <v>0.0731707317073171</v>
      </c>
      <c r="G306" s="107">
        <v>1</v>
      </c>
      <c r="H306" s="106">
        <v>0.333333333333333</v>
      </c>
      <c r="I306" s="106"/>
      <c r="J306" s="106"/>
      <c r="K306" s="106"/>
      <c r="L306" s="213">
        <v>-13</v>
      </c>
      <c r="M306" s="213">
        <v>-6</v>
      </c>
      <c r="N306" s="213">
        <v>-2.4</v>
      </c>
      <c r="O306" s="213">
        <v>3</v>
      </c>
      <c r="P306" s="108">
        <v>2</v>
      </c>
      <c r="Q306" s="108">
        <v>1.66666666666667</v>
      </c>
      <c r="R306" s="108">
        <v>1.8</v>
      </c>
      <c r="S306" s="108">
        <v>2.14285714285714</v>
      </c>
      <c r="T306" s="108">
        <v>1</v>
      </c>
      <c r="U306" s="108">
        <v>0.333333333333333</v>
      </c>
      <c r="V306" s="108">
        <v>0.4</v>
      </c>
      <c r="W306" s="108">
        <v>0.571428571428571</v>
      </c>
    </row>
    <row r="307" spans="1:23">
      <c r="A307" s="212">
        <v>45022</v>
      </c>
      <c r="B307" s="104" t="s">
        <v>28</v>
      </c>
      <c r="C307" s="145">
        <v>0</v>
      </c>
      <c r="D307" s="145"/>
      <c r="E307" s="104">
        <v>0</v>
      </c>
      <c r="F307" s="106">
        <v>0</v>
      </c>
      <c r="G307" s="107">
        <v>0</v>
      </c>
      <c r="H307" s="106">
        <v>0</v>
      </c>
      <c r="I307" s="106"/>
      <c r="J307" s="106"/>
      <c r="K307" s="106"/>
      <c r="L307" s="213">
        <v>0</v>
      </c>
      <c r="M307" s="213">
        <v>0</v>
      </c>
      <c r="N307" s="213">
        <v>0</v>
      </c>
      <c r="O307" s="213">
        <v>0</v>
      </c>
      <c r="P307" s="108">
        <v>0</v>
      </c>
      <c r="Q307" s="108">
        <v>0</v>
      </c>
      <c r="R307" s="108">
        <v>0</v>
      </c>
      <c r="S307" s="108">
        <v>0</v>
      </c>
      <c r="T307" s="108">
        <v>0</v>
      </c>
      <c r="U307" s="108">
        <v>0</v>
      </c>
      <c r="V307" s="108">
        <v>0</v>
      </c>
      <c r="W307" s="108">
        <v>0</v>
      </c>
    </row>
    <row r="308" spans="1:23">
      <c r="A308" s="212">
        <v>45022</v>
      </c>
      <c r="B308" s="104" t="s">
        <v>29</v>
      </c>
      <c r="C308" s="145">
        <v>2</v>
      </c>
      <c r="D308" s="145"/>
      <c r="E308" s="104">
        <v>0</v>
      </c>
      <c r="F308" s="106">
        <v>0</v>
      </c>
      <c r="G308" s="107">
        <v>0</v>
      </c>
      <c r="H308" s="106">
        <v>0</v>
      </c>
      <c r="I308" s="106"/>
      <c r="J308" s="106"/>
      <c r="K308" s="106"/>
      <c r="L308" s="213">
        <v>1</v>
      </c>
      <c r="M308" s="213">
        <v>-1.66666666666667</v>
      </c>
      <c r="N308" s="213">
        <v>-1</v>
      </c>
      <c r="O308" s="213">
        <v>-1.42857142857143</v>
      </c>
      <c r="P308" s="108">
        <v>0</v>
      </c>
      <c r="Q308" s="108">
        <v>0</v>
      </c>
      <c r="R308" s="108">
        <v>0</v>
      </c>
      <c r="S308" s="108">
        <v>-0.142857142857143</v>
      </c>
      <c r="T308" s="108">
        <v>0</v>
      </c>
      <c r="U308" s="108">
        <v>0</v>
      </c>
      <c r="V308" s="108">
        <v>0</v>
      </c>
      <c r="W308" s="108">
        <v>0</v>
      </c>
    </row>
    <row r="309" spans="1:23">
      <c r="A309" s="212">
        <v>45022</v>
      </c>
      <c r="B309" s="104" t="s">
        <v>30</v>
      </c>
      <c r="C309" s="145">
        <v>0</v>
      </c>
      <c r="D309" s="145"/>
      <c r="E309" s="104">
        <v>0</v>
      </c>
      <c r="F309" s="106">
        <v>0</v>
      </c>
      <c r="G309" s="107">
        <v>0</v>
      </c>
      <c r="H309" s="106">
        <v>0</v>
      </c>
      <c r="I309" s="106"/>
      <c r="J309" s="106"/>
      <c r="K309" s="106"/>
      <c r="L309" s="213">
        <v>0</v>
      </c>
      <c r="M309" s="213">
        <v>0</v>
      </c>
      <c r="N309" s="213">
        <v>0</v>
      </c>
      <c r="O309" s="213">
        <v>0</v>
      </c>
      <c r="P309" s="108">
        <v>0</v>
      </c>
      <c r="Q309" s="108">
        <v>0</v>
      </c>
      <c r="R309" s="108">
        <v>0</v>
      </c>
      <c r="S309" s="108">
        <v>0</v>
      </c>
      <c r="T309" s="108">
        <v>0</v>
      </c>
      <c r="U309" s="108">
        <v>0</v>
      </c>
      <c r="V309" s="108">
        <v>0</v>
      </c>
      <c r="W309" s="108">
        <v>0</v>
      </c>
    </row>
    <row r="310" spans="1:23">
      <c r="A310" s="212">
        <v>45022</v>
      </c>
      <c r="B310" s="104" t="s">
        <v>31</v>
      </c>
      <c r="C310" s="145">
        <v>0</v>
      </c>
      <c r="D310" s="145"/>
      <c r="E310" s="104">
        <v>0</v>
      </c>
      <c r="F310" s="106">
        <v>0</v>
      </c>
      <c r="G310" s="107">
        <v>0</v>
      </c>
      <c r="H310" s="106">
        <v>0</v>
      </c>
      <c r="I310" s="106"/>
      <c r="J310" s="106"/>
      <c r="K310" s="106"/>
      <c r="L310" s="213">
        <v>0</v>
      </c>
      <c r="M310" s="213">
        <v>0</v>
      </c>
      <c r="N310" s="213">
        <v>0</v>
      </c>
      <c r="O310" s="213">
        <v>0</v>
      </c>
      <c r="P310" s="108">
        <v>-2</v>
      </c>
      <c r="Q310" s="108">
        <v>-1</v>
      </c>
      <c r="R310" s="108">
        <v>-0.6</v>
      </c>
      <c r="S310" s="108">
        <v>-0.571428571428571</v>
      </c>
      <c r="T310" s="108">
        <v>0</v>
      </c>
      <c r="U310" s="108">
        <v>0</v>
      </c>
      <c r="V310" s="108">
        <v>0</v>
      </c>
      <c r="W310" s="108">
        <v>0</v>
      </c>
    </row>
    <row r="311" spans="1:23">
      <c r="A311" s="212">
        <v>45022</v>
      </c>
      <c r="B311" s="104" t="s">
        <v>32</v>
      </c>
      <c r="C311" s="145">
        <v>0</v>
      </c>
      <c r="D311" s="145"/>
      <c r="E311" s="104">
        <v>0</v>
      </c>
      <c r="F311" s="106">
        <v>0</v>
      </c>
      <c r="G311" s="107">
        <v>0</v>
      </c>
      <c r="H311" s="106">
        <v>0</v>
      </c>
      <c r="I311" s="106"/>
      <c r="J311" s="106"/>
      <c r="K311" s="106"/>
      <c r="L311" s="213">
        <v>0</v>
      </c>
      <c r="M311" s="213">
        <v>0</v>
      </c>
      <c r="N311" s="213">
        <v>0</v>
      </c>
      <c r="O311" s="213">
        <v>0</v>
      </c>
      <c r="P311" s="108">
        <v>0</v>
      </c>
      <c r="Q311" s="108">
        <v>0</v>
      </c>
      <c r="R311" s="108">
        <v>0</v>
      </c>
      <c r="S311" s="108">
        <v>0</v>
      </c>
      <c r="T311" s="108">
        <v>0</v>
      </c>
      <c r="U311" s="108">
        <v>0</v>
      </c>
      <c r="V311" s="108">
        <v>0</v>
      </c>
      <c r="W311" s="108">
        <v>0</v>
      </c>
    </row>
    <row r="312" spans="1:23">
      <c r="A312" s="212">
        <v>45022</v>
      </c>
      <c r="B312" s="104" t="s">
        <v>33</v>
      </c>
      <c r="C312" s="145">
        <v>0</v>
      </c>
      <c r="D312" s="145"/>
      <c r="E312" s="104">
        <v>0</v>
      </c>
      <c r="F312" s="106">
        <v>0</v>
      </c>
      <c r="G312" s="107">
        <v>0</v>
      </c>
      <c r="H312" s="106">
        <v>0</v>
      </c>
      <c r="I312" s="106"/>
      <c r="J312" s="106"/>
      <c r="K312" s="106"/>
      <c r="L312" s="213">
        <v>0</v>
      </c>
      <c r="M312" s="213">
        <v>0</v>
      </c>
      <c r="N312" s="213">
        <v>0</v>
      </c>
      <c r="O312" s="213">
        <v>0</v>
      </c>
      <c r="P312" s="108">
        <v>0</v>
      </c>
      <c r="Q312" s="108">
        <v>0</v>
      </c>
      <c r="R312" s="108">
        <v>0</v>
      </c>
      <c r="S312" s="108">
        <v>-0.142857142857143</v>
      </c>
      <c r="T312" s="108">
        <v>0</v>
      </c>
      <c r="U312" s="108">
        <v>0</v>
      </c>
      <c r="V312" s="108">
        <v>0</v>
      </c>
      <c r="W312" s="108">
        <v>0</v>
      </c>
    </row>
    <row r="313" spans="1:23">
      <c r="A313" s="212">
        <v>45022</v>
      </c>
      <c r="B313" s="104" t="s">
        <v>34</v>
      </c>
      <c r="C313" s="145">
        <v>0</v>
      </c>
      <c r="D313" s="145"/>
      <c r="E313" s="104">
        <v>0</v>
      </c>
      <c r="F313" s="106">
        <v>0</v>
      </c>
      <c r="G313" s="107">
        <v>0</v>
      </c>
      <c r="H313" s="106">
        <v>0</v>
      </c>
      <c r="I313" s="106"/>
      <c r="J313" s="106"/>
      <c r="K313" s="106"/>
      <c r="L313" s="213">
        <v>0</v>
      </c>
      <c r="M313" s="213">
        <v>0</v>
      </c>
      <c r="N313" s="213">
        <v>0</v>
      </c>
      <c r="O313" s="213">
        <v>0</v>
      </c>
      <c r="P313" s="108">
        <v>0</v>
      </c>
      <c r="Q313" s="108">
        <v>0</v>
      </c>
      <c r="R313" s="108">
        <v>0</v>
      </c>
      <c r="S313" s="108">
        <v>0</v>
      </c>
      <c r="T313" s="108">
        <v>0</v>
      </c>
      <c r="U313" s="108">
        <v>0</v>
      </c>
      <c r="V313" s="108">
        <v>0</v>
      </c>
      <c r="W313" s="108">
        <v>0</v>
      </c>
    </row>
    <row r="314" spans="1:23">
      <c r="A314" s="212">
        <v>45022</v>
      </c>
      <c r="B314" s="104" t="s">
        <v>35</v>
      </c>
      <c r="C314" s="145">
        <v>0</v>
      </c>
      <c r="D314" s="145"/>
      <c r="E314" s="104">
        <v>0</v>
      </c>
      <c r="F314" s="106">
        <v>0</v>
      </c>
      <c r="G314" s="107">
        <v>0</v>
      </c>
      <c r="H314" s="106">
        <v>0</v>
      </c>
      <c r="I314" s="106"/>
      <c r="J314" s="106"/>
      <c r="K314" s="106"/>
      <c r="L314" s="213">
        <v>0</v>
      </c>
      <c r="M314" s="213">
        <v>0</v>
      </c>
      <c r="N314" s="213">
        <v>0</v>
      </c>
      <c r="O314" s="213">
        <v>0</v>
      </c>
      <c r="P314" s="108">
        <v>0</v>
      </c>
      <c r="Q314" s="108">
        <v>0</v>
      </c>
      <c r="R314" s="108">
        <v>0</v>
      </c>
      <c r="S314" s="108">
        <v>0</v>
      </c>
      <c r="T314" s="108">
        <v>0</v>
      </c>
      <c r="U314" s="108">
        <v>0</v>
      </c>
      <c r="V314" s="108">
        <v>0</v>
      </c>
      <c r="W314" s="108">
        <v>0</v>
      </c>
    </row>
    <row r="315" spans="1:23">
      <c r="A315" s="212">
        <v>45022</v>
      </c>
      <c r="B315" s="104" t="s">
        <v>36</v>
      </c>
      <c r="C315" s="145">
        <v>0</v>
      </c>
      <c r="D315" s="145"/>
      <c r="E315" s="104">
        <v>0</v>
      </c>
      <c r="F315" s="106">
        <v>0</v>
      </c>
      <c r="G315" s="107">
        <v>0</v>
      </c>
      <c r="H315" s="106">
        <v>0</v>
      </c>
      <c r="I315" s="106"/>
      <c r="J315" s="106"/>
      <c r="K315" s="106"/>
      <c r="L315" s="213">
        <v>0</v>
      </c>
      <c r="M315" s="213">
        <v>0</v>
      </c>
      <c r="N315" s="213">
        <v>0</v>
      </c>
      <c r="O315" s="213">
        <v>0</v>
      </c>
      <c r="P315" s="108">
        <v>0</v>
      </c>
      <c r="Q315" s="108">
        <v>0</v>
      </c>
      <c r="R315" s="108">
        <v>0</v>
      </c>
      <c r="S315" s="108">
        <v>0</v>
      </c>
      <c r="T315" s="108">
        <v>0</v>
      </c>
      <c r="U315" s="108">
        <v>0</v>
      </c>
      <c r="V315" s="108">
        <v>0</v>
      </c>
      <c r="W315" s="108">
        <v>0</v>
      </c>
    </row>
    <row r="316" spans="1:23">
      <c r="A316" s="212">
        <v>45022</v>
      </c>
      <c r="B316" s="104" t="s">
        <v>37</v>
      </c>
      <c r="C316" s="145">
        <v>0</v>
      </c>
      <c r="D316" s="145"/>
      <c r="E316" s="104">
        <v>0</v>
      </c>
      <c r="F316" s="106">
        <v>0</v>
      </c>
      <c r="G316" s="107">
        <v>0</v>
      </c>
      <c r="H316" s="106">
        <v>0</v>
      </c>
      <c r="I316" s="106"/>
      <c r="J316" s="106"/>
      <c r="K316" s="106"/>
      <c r="L316" s="213">
        <v>0</v>
      </c>
      <c r="M316" s="213">
        <v>0</v>
      </c>
      <c r="N316" s="213">
        <v>0</v>
      </c>
      <c r="O316" s="213">
        <v>0</v>
      </c>
      <c r="P316" s="108">
        <v>0</v>
      </c>
      <c r="Q316" s="108">
        <v>0</v>
      </c>
      <c r="R316" s="108">
        <v>0</v>
      </c>
      <c r="S316" s="108">
        <v>0</v>
      </c>
      <c r="T316" s="108">
        <v>0</v>
      </c>
      <c r="U316" s="108">
        <v>0</v>
      </c>
      <c r="V316" s="108">
        <v>0</v>
      </c>
      <c r="W316" s="108">
        <v>0</v>
      </c>
    </row>
    <row r="317" spans="1:23">
      <c r="A317" s="212">
        <v>45022</v>
      </c>
      <c r="B317" s="104" t="s">
        <v>38</v>
      </c>
      <c r="C317" s="145">
        <v>0</v>
      </c>
      <c r="D317" s="145"/>
      <c r="E317" s="104">
        <v>0</v>
      </c>
      <c r="F317" s="106">
        <v>0</v>
      </c>
      <c r="G317" s="107">
        <v>0</v>
      </c>
      <c r="H317" s="106">
        <v>0</v>
      </c>
      <c r="I317" s="106"/>
      <c r="J317" s="106"/>
      <c r="K317" s="106"/>
      <c r="L317" s="213">
        <v>0</v>
      </c>
      <c r="M317" s="213">
        <v>0</v>
      </c>
      <c r="N317" s="213">
        <v>0</v>
      </c>
      <c r="O317" s="213">
        <v>0</v>
      </c>
      <c r="P317" s="108">
        <v>0</v>
      </c>
      <c r="Q317" s="108">
        <v>0</v>
      </c>
      <c r="R317" s="108">
        <v>0</v>
      </c>
      <c r="S317" s="108">
        <v>0</v>
      </c>
      <c r="T317" s="108">
        <v>0</v>
      </c>
      <c r="U317" s="108">
        <v>0</v>
      </c>
      <c r="V317" s="108">
        <v>0</v>
      </c>
      <c r="W317" s="108">
        <v>0</v>
      </c>
    </row>
    <row r="318" spans="1:23">
      <c r="A318" s="212">
        <v>45022</v>
      </c>
      <c r="B318" s="111" t="s">
        <v>39</v>
      </c>
      <c r="C318" s="112">
        <v>29902</v>
      </c>
      <c r="D318" s="112"/>
      <c r="E318" s="112">
        <v>363</v>
      </c>
      <c r="F318" s="113">
        <v>0.0121396562102869</v>
      </c>
      <c r="G318" s="112">
        <v>107</v>
      </c>
      <c r="H318" s="113">
        <v>0.294765840220386</v>
      </c>
      <c r="I318" s="113"/>
      <c r="J318" s="113"/>
      <c r="K318" s="113"/>
      <c r="L318" s="213"/>
      <c r="M318" s="213"/>
      <c r="N318" s="213"/>
      <c r="O318" s="213"/>
      <c r="P318" s="108"/>
      <c r="Q318" s="108"/>
      <c r="R318" s="108"/>
      <c r="S318" s="108"/>
      <c r="T318" s="108"/>
      <c r="U318" s="108"/>
      <c r="V318" s="108"/>
      <c r="W318" s="108"/>
    </row>
    <row r="319" ht="14.45" customHeight="1" spans="1:23">
      <c r="A319" s="212">
        <v>45023</v>
      </c>
      <c r="B319" s="104" t="s">
        <v>17</v>
      </c>
      <c r="C319" s="105">
        <v>116</v>
      </c>
      <c r="D319" s="105"/>
      <c r="E319" s="104">
        <v>26</v>
      </c>
      <c r="F319" s="106">
        <v>0.224137931034483</v>
      </c>
      <c r="G319" s="107">
        <v>5</v>
      </c>
      <c r="H319" s="106">
        <v>0.192307692307692</v>
      </c>
      <c r="I319" s="106"/>
      <c r="J319" s="106"/>
      <c r="K319" s="106"/>
      <c r="L319" s="213">
        <v>20</v>
      </c>
      <c r="M319" s="213">
        <v>22.6666666666667</v>
      </c>
      <c r="N319" s="213">
        <v>39.2</v>
      </c>
      <c r="O319" s="213">
        <v>47.7142857142857</v>
      </c>
      <c r="P319" s="108">
        <v>5</v>
      </c>
      <c r="Q319" s="108">
        <v>-4</v>
      </c>
      <c r="R319" s="108">
        <v>-5.4</v>
      </c>
      <c r="S319" s="108">
        <v>-5.71428571428572</v>
      </c>
      <c r="T319" s="108">
        <v>3</v>
      </c>
      <c r="U319" s="108">
        <v>1.33333333333333</v>
      </c>
      <c r="V319" s="108">
        <v>0.4</v>
      </c>
      <c r="W319" s="108">
        <v>0</v>
      </c>
    </row>
    <row r="320" ht="14.45" customHeight="1" spans="1:30">
      <c r="A320" s="212">
        <v>45023</v>
      </c>
      <c r="B320" s="104" t="s">
        <v>19</v>
      </c>
      <c r="C320" s="107">
        <v>764</v>
      </c>
      <c r="D320" s="107"/>
      <c r="E320" s="104">
        <v>31</v>
      </c>
      <c r="F320" s="106">
        <v>0.0405759162303665</v>
      </c>
      <c r="G320" s="107">
        <v>9</v>
      </c>
      <c r="H320" s="106">
        <v>0.290322580645161</v>
      </c>
      <c r="I320" s="106"/>
      <c r="J320" s="106"/>
      <c r="K320" s="106"/>
      <c r="L320" s="213">
        <v>103</v>
      </c>
      <c r="M320" s="213">
        <v>102.333333333333</v>
      </c>
      <c r="N320" s="213">
        <v>84.2</v>
      </c>
      <c r="O320" s="213">
        <v>-85.7142857142857</v>
      </c>
      <c r="P320" s="108">
        <v>5</v>
      </c>
      <c r="Q320" s="108">
        <v>9</v>
      </c>
      <c r="R320" s="108">
        <v>9</v>
      </c>
      <c r="S320" s="108">
        <v>0.428571428571427</v>
      </c>
      <c r="T320" s="108">
        <v>0</v>
      </c>
      <c r="U320" s="108">
        <v>-1</v>
      </c>
      <c r="V320" s="108">
        <v>-3</v>
      </c>
      <c r="W320" s="115">
        <v>-4.57142857142857</v>
      </c>
      <c r="X320" s="168"/>
      <c r="Y320" s="169"/>
      <c r="Z320" s="154"/>
      <c r="AA320" s="154"/>
      <c r="AB320" s="154"/>
      <c r="AC320" s="154"/>
      <c r="AD320" s="154"/>
    </row>
    <row r="321" ht="14.45" customHeight="1" spans="1:25">
      <c r="A321" s="212">
        <v>45023</v>
      </c>
      <c r="B321" s="104" t="s">
        <v>21</v>
      </c>
      <c r="C321" s="145">
        <v>625</v>
      </c>
      <c r="D321" s="145"/>
      <c r="E321" s="104">
        <v>23</v>
      </c>
      <c r="F321" s="106">
        <v>0.0368</v>
      </c>
      <c r="G321" s="107">
        <v>9</v>
      </c>
      <c r="H321" s="106">
        <v>0.391304347826087</v>
      </c>
      <c r="I321" s="106"/>
      <c r="J321" s="106"/>
      <c r="K321" s="106"/>
      <c r="L321" s="213">
        <v>-27</v>
      </c>
      <c r="M321" s="213">
        <v>-89</v>
      </c>
      <c r="N321" s="213">
        <v>-253.6</v>
      </c>
      <c r="O321" s="213">
        <v>-333.857142857143</v>
      </c>
      <c r="P321" s="108">
        <v>0</v>
      </c>
      <c r="Q321" s="108">
        <v>-2.66666666666667</v>
      </c>
      <c r="R321" s="108">
        <v>-1.2</v>
      </c>
      <c r="S321" s="108">
        <v>-2.57142857142857</v>
      </c>
      <c r="T321" s="108">
        <v>0</v>
      </c>
      <c r="U321" s="108">
        <v>0</v>
      </c>
      <c r="V321" s="108">
        <v>0.199999999999999</v>
      </c>
      <c r="W321" s="108">
        <v>-0.571428571428571</v>
      </c>
      <c r="X321" s="168"/>
      <c r="Y321" s="169"/>
    </row>
    <row r="322" ht="18.95" customHeight="1" spans="1:30">
      <c r="A322" s="212">
        <v>45023</v>
      </c>
      <c r="B322" s="104" t="s">
        <v>22</v>
      </c>
      <c r="C322" s="145">
        <v>4202</v>
      </c>
      <c r="D322" s="145"/>
      <c r="E322" s="104">
        <v>104</v>
      </c>
      <c r="F322" s="106">
        <v>0.0247501189909567</v>
      </c>
      <c r="G322" s="107">
        <v>24</v>
      </c>
      <c r="H322" s="106">
        <v>0.230769230769231</v>
      </c>
      <c r="I322" s="106"/>
      <c r="J322" s="106"/>
      <c r="K322" s="106"/>
      <c r="L322" s="213">
        <v>-575</v>
      </c>
      <c r="M322" s="213">
        <v>-808.666666666667</v>
      </c>
      <c r="N322" s="213">
        <v>-995.2</v>
      </c>
      <c r="O322" s="213">
        <v>-1005.57142857143</v>
      </c>
      <c r="P322" s="108">
        <v>-12</v>
      </c>
      <c r="Q322" s="108">
        <v>-26.3333333333333</v>
      </c>
      <c r="R322" s="108">
        <v>-31.6</v>
      </c>
      <c r="S322" s="115">
        <v>-31.1428571428571</v>
      </c>
      <c r="T322" s="108">
        <v>-15</v>
      </c>
      <c r="U322" s="108">
        <v>-20.6666666666667</v>
      </c>
      <c r="V322" s="108">
        <v>-21.4</v>
      </c>
      <c r="W322" s="117">
        <v>-22.7142857142857</v>
      </c>
      <c r="X322" s="168"/>
      <c r="Y322" s="169"/>
      <c r="Z322" s="154"/>
      <c r="AA322" s="154"/>
      <c r="AB322" s="154"/>
      <c r="AC322" s="154"/>
      <c r="AD322" s="154"/>
    </row>
    <row r="323" ht="14.45" customHeight="1" spans="1:25">
      <c r="A323" s="212">
        <v>45023</v>
      </c>
      <c r="B323" s="104" t="s">
        <v>23</v>
      </c>
      <c r="C323" s="145">
        <v>2845</v>
      </c>
      <c r="D323" s="145"/>
      <c r="E323" s="104">
        <v>23</v>
      </c>
      <c r="F323" s="106">
        <v>0.00808435852372584</v>
      </c>
      <c r="G323" s="107">
        <v>12</v>
      </c>
      <c r="H323" s="106">
        <v>0.521739130434783</v>
      </c>
      <c r="I323" s="106"/>
      <c r="J323" s="106"/>
      <c r="K323" s="106"/>
      <c r="L323" s="213">
        <v>-186</v>
      </c>
      <c r="M323" s="213">
        <v>-424</v>
      </c>
      <c r="N323" s="213">
        <v>-529.6</v>
      </c>
      <c r="O323" s="213">
        <v>-531</v>
      </c>
      <c r="P323" s="108">
        <v>-22</v>
      </c>
      <c r="Q323" s="108">
        <v>-18</v>
      </c>
      <c r="R323" s="108">
        <v>-20.8</v>
      </c>
      <c r="S323" s="108">
        <v>-20</v>
      </c>
      <c r="T323" s="108">
        <v>3</v>
      </c>
      <c r="U323" s="116">
        <v>-1.33333333333333</v>
      </c>
      <c r="V323" s="108">
        <v>-2.8</v>
      </c>
      <c r="W323" s="108">
        <v>-3.57142857142857</v>
      </c>
      <c r="X323" s="168"/>
      <c r="Y323" s="168"/>
    </row>
    <row r="324" ht="14.45" customHeight="1" spans="1:30">
      <c r="A324" s="212">
        <v>45023</v>
      </c>
      <c r="B324" s="104" t="s">
        <v>24</v>
      </c>
      <c r="C324" s="145">
        <v>456</v>
      </c>
      <c r="D324" s="145"/>
      <c r="E324" s="104">
        <v>7</v>
      </c>
      <c r="F324" s="106">
        <v>0.0153508771929825</v>
      </c>
      <c r="G324" s="107">
        <v>2</v>
      </c>
      <c r="H324" s="106">
        <v>0.285714285714286</v>
      </c>
      <c r="I324" s="106"/>
      <c r="J324" s="106"/>
      <c r="K324" s="106"/>
      <c r="L324" s="213">
        <v>-342</v>
      </c>
      <c r="M324" s="213">
        <v>-181</v>
      </c>
      <c r="N324" s="213">
        <v>-130</v>
      </c>
      <c r="O324" s="213">
        <v>-103.142857142857</v>
      </c>
      <c r="P324" s="115">
        <v>1</v>
      </c>
      <c r="Q324" s="115">
        <v>1</v>
      </c>
      <c r="R324" s="117">
        <v>0.6</v>
      </c>
      <c r="S324" s="117">
        <v>1.71428571428571</v>
      </c>
      <c r="T324" s="115">
        <v>1</v>
      </c>
      <c r="U324" s="115">
        <v>1</v>
      </c>
      <c r="V324" s="115">
        <v>0.6</v>
      </c>
      <c r="W324" s="115">
        <v>0.571428571428571</v>
      </c>
      <c r="X324" s="168"/>
      <c r="Y324" s="169"/>
      <c r="Z324" s="154"/>
      <c r="AA324" s="154"/>
      <c r="AB324" s="154"/>
      <c r="AC324" s="154"/>
      <c r="AD324" s="154"/>
    </row>
    <row r="325" ht="14.45" customHeight="1" spans="1:25">
      <c r="A325" s="212">
        <v>45023</v>
      </c>
      <c r="B325" s="104" t="s">
        <v>25</v>
      </c>
      <c r="C325" s="145">
        <v>15144</v>
      </c>
      <c r="D325" s="145"/>
      <c r="E325" s="104">
        <v>42</v>
      </c>
      <c r="F325" s="106">
        <v>0.00277337559429477</v>
      </c>
      <c r="G325" s="107">
        <v>16</v>
      </c>
      <c r="H325" s="106">
        <v>0.380952380952381</v>
      </c>
      <c r="I325" s="106"/>
      <c r="J325" s="106"/>
      <c r="K325" s="106"/>
      <c r="L325" s="213">
        <v>-3090</v>
      </c>
      <c r="M325" s="213">
        <v>1197</v>
      </c>
      <c r="N325" s="213">
        <v>2670.6</v>
      </c>
      <c r="O325" s="213">
        <v>4418.28571428571</v>
      </c>
      <c r="P325" s="116">
        <v>-3</v>
      </c>
      <c r="Q325" s="115">
        <v>-3.33333333333334</v>
      </c>
      <c r="R325" s="115">
        <v>-6.4</v>
      </c>
      <c r="S325" s="115">
        <v>-2.14285714285715</v>
      </c>
      <c r="T325" s="108">
        <v>-1</v>
      </c>
      <c r="U325" s="108">
        <v>-4</v>
      </c>
      <c r="V325" s="108">
        <v>-4.4</v>
      </c>
      <c r="W325" s="108">
        <v>-3.28571428571428</v>
      </c>
      <c r="X325" s="168"/>
      <c r="Y325" s="169"/>
    </row>
    <row r="326" ht="14.45" customHeight="1" spans="1:26">
      <c r="A326" s="212">
        <v>45023</v>
      </c>
      <c r="B326" s="104" t="s">
        <v>26</v>
      </c>
      <c r="C326" s="145">
        <v>1435</v>
      </c>
      <c r="D326" s="145"/>
      <c r="E326" s="104">
        <v>67</v>
      </c>
      <c r="F326" s="106">
        <v>0.0466898954703833</v>
      </c>
      <c r="G326" s="107">
        <v>19</v>
      </c>
      <c r="H326" s="106">
        <v>0.283582089552239</v>
      </c>
      <c r="I326" s="106"/>
      <c r="J326" s="106"/>
      <c r="K326" s="106"/>
      <c r="L326" s="213">
        <v>-175</v>
      </c>
      <c r="M326" s="213">
        <v>-103.666666666667</v>
      </c>
      <c r="N326" s="213">
        <v>-16.4000000000001</v>
      </c>
      <c r="O326" s="213">
        <v>251.857142857143</v>
      </c>
      <c r="P326" s="108">
        <v>-11</v>
      </c>
      <c r="Q326" s="108">
        <v>-16.3333333333333</v>
      </c>
      <c r="R326" s="108">
        <v>-20.6</v>
      </c>
      <c r="S326" s="108">
        <v>-19.7142857142857</v>
      </c>
      <c r="T326" s="108">
        <v>-1</v>
      </c>
      <c r="U326" s="108">
        <v>-2.66666666666667</v>
      </c>
      <c r="V326" s="108">
        <v>-2</v>
      </c>
      <c r="W326" s="108">
        <v>-1.85714285714286</v>
      </c>
      <c r="X326" s="168"/>
      <c r="Y326" s="169"/>
      <c r="Z326" s="169"/>
    </row>
    <row r="327" ht="14.45" customHeight="1" spans="1:26">
      <c r="A327" s="212">
        <v>45023</v>
      </c>
      <c r="B327" s="104" t="s">
        <v>27</v>
      </c>
      <c r="C327" s="145">
        <v>61</v>
      </c>
      <c r="D327" s="145"/>
      <c r="E327" s="104">
        <v>3</v>
      </c>
      <c r="F327" s="106">
        <v>0.0491803278688525</v>
      </c>
      <c r="G327" s="107">
        <v>1</v>
      </c>
      <c r="H327" s="106">
        <v>0.333333333333333</v>
      </c>
      <c r="I327" s="106"/>
      <c r="J327" s="106"/>
      <c r="K327" s="106"/>
      <c r="L327" s="213">
        <v>20</v>
      </c>
      <c r="M327" s="213">
        <v>13</v>
      </c>
      <c r="N327" s="213">
        <v>15.8</v>
      </c>
      <c r="O327" s="213">
        <v>20.7142857142857</v>
      </c>
      <c r="P327" s="108">
        <v>0</v>
      </c>
      <c r="Q327" s="108">
        <v>1.66666666666667</v>
      </c>
      <c r="R327" s="108">
        <v>1.6</v>
      </c>
      <c r="S327" s="108">
        <v>1.71428571428571</v>
      </c>
      <c r="T327" s="108">
        <v>0</v>
      </c>
      <c r="U327" s="108">
        <v>0</v>
      </c>
      <c r="V327" s="108">
        <v>0.4</v>
      </c>
      <c r="W327" s="108">
        <v>0.428571428571429</v>
      </c>
      <c r="X327" s="168"/>
      <c r="Y327" s="168"/>
      <c r="Z327" s="168"/>
    </row>
    <row r="328" ht="14.45" customHeight="1" spans="1:26">
      <c r="A328" s="212">
        <v>45023</v>
      </c>
      <c r="B328" s="104" t="s">
        <v>28</v>
      </c>
      <c r="C328" s="145">
        <v>0</v>
      </c>
      <c r="D328" s="145"/>
      <c r="E328" s="104">
        <v>0</v>
      </c>
      <c r="F328" s="106">
        <v>0</v>
      </c>
      <c r="G328" s="107">
        <v>0</v>
      </c>
      <c r="H328" s="106">
        <v>0</v>
      </c>
      <c r="I328" s="106"/>
      <c r="J328" s="106"/>
      <c r="K328" s="106"/>
      <c r="L328" s="213">
        <v>0</v>
      </c>
      <c r="M328" s="213">
        <v>0</v>
      </c>
      <c r="N328" s="213">
        <v>0</v>
      </c>
      <c r="O328" s="213">
        <v>0</v>
      </c>
      <c r="P328" s="108">
        <v>0</v>
      </c>
      <c r="Q328" s="108">
        <v>0</v>
      </c>
      <c r="R328" s="108">
        <v>0</v>
      </c>
      <c r="S328" s="108">
        <v>0</v>
      </c>
      <c r="T328" s="108">
        <v>0</v>
      </c>
      <c r="U328" s="108">
        <v>0</v>
      </c>
      <c r="V328" s="108">
        <v>0</v>
      </c>
      <c r="W328" s="108">
        <v>0</v>
      </c>
      <c r="X328" s="168"/>
      <c r="Y328" s="168"/>
      <c r="Z328" s="168"/>
    </row>
    <row r="329" ht="14.45" customHeight="1" spans="1:26">
      <c r="A329" s="212">
        <v>45023</v>
      </c>
      <c r="B329" s="104" t="s">
        <v>29</v>
      </c>
      <c r="C329" s="145">
        <v>1</v>
      </c>
      <c r="D329" s="145"/>
      <c r="E329" s="104">
        <v>0</v>
      </c>
      <c r="F329" s="106">
        <v>0</v>
      </c>
      <c r="G329" s="107">
        <v>0</v>
      </c>
      <c r="H329" s="106">
        <v>0</v>
      </c>
      <c r="I329" s="106"/>
      <c r="J329" s="106"/>
      <c r="K329" s="106"/>
      <c r="L329" s="213">
        <v>-1</v>
      </c>
      <c r="M329" s="213">
        <v>-2</v>
      </c>
      <c r="N329" s="213">
        <v>-2.2</v>
      </c>
      <c r="O329" s="213">
        <v>-2.42857142857143</v>
      </c>
      <c r="P329" s="108">
        <v>0</v>
      </c>
      <c r="Q329" s="108">
        <v>0</v>
      </c>
      <c r="R329" s="108">
        <v>0</v>
      </c>
      <c r="S329" s="108">
        <v>-0.142857142857143</v>
      </c>
      <c r="T329" s="108">
        <v>0</v>
      </c>
      <c r="U329" s="108">
        <v>0</v>
      </c>
      <c r="V329" s="108">
        <v>0</v>
      </c>
      <c r="W329" s="108">
        <v>0</v>
      </c>
      <c r="X329" s="168"/>
      <c r="Y329" s="168"/>
      <c r="Z329" s="168"/>
    </row>
    <row r="330" ht="14.45" customHeight="1" spans="1:27">
      <c r="A330" s="212">
        <v>45023</v>
      </c>
      <c r="B330" s="104" t="s">
        <v>30</v>
      </c>
      <c r="C330" s="145">
        <v>0</v>
      </c>
      <c r="D330" s="145"/>
      <c r="E330" s="104">
        <v>0</v>
      </c>
      <c r="F330" s="106">
        <v>0</v>
      </c>
      <c r="G330" s="107">
        <v>0</v>
      </c>
      <c r="H330" s="106">
        <v>0</v>
      </c>
      <c r="I330" s="106"/>
      <c r="J330" s="106"/>
      <c r="K330" s="106"/>
      <c r="L330" s="213">
        <v>0</v>
      </c>
      <c r="M330" s="213">
        <v>0</v>
      </c>
      <c r="N330" s="213">
        <v>0</v>
      </c>
      <c r="O330" s="213">
        <v>0</v>
      </c>
      <c r="P330" s="108">
        <v>0</v>
      </c>
      <c r="Q330" s="108">
        <v>0</v>
      </c>
      <c r="R330" s="108">
        <v>0</v>
      </c>
      <c r="S330" s="108">
        <v>0</v>
      </c>
      <c r="T330" s="108">
        <v>0</v>
      </c>
      <c r="U330" s="108">
        <v>0</v>
      </c>
      <c r="V330" s="108">
        <v>0</v>
      </c>
      <c r="W330" s="108">
        <v>0</v>
      </c>
      <c r="X330" s="168"/>
      <c r="Y330" s="168"/>
      <c r="Z330" s="169"/>
      <c r="AA330" s="169"/>
    </row>
    <row r="331" ht="14.45" customHeight="1" spans="1:27">
      <c r="A331" s="212">
        <v>45023</v>
      </c>
      <c r="B331" s="104" t="s">
        <v>31</v>
      </c>
      <c r="C331" s="145">
        <v>0</v>
      </c>
      <c r="D331" s="145"/>
      <c r="E331" s="104">
        <v>0</v>
      </c>
      <c r="F331" s="106">
        <v>0</v>
      </c>
      <c r="G331" s="107">
        <v>0</v>
      </c>
      <c r="H331" s="106">
        <v>0</v>
      </c>
      <c r="I331" s="106"/>
      <c r="J331" s="106"/>
      <c r="K331" s="106"/>
      <c r="L331" s="213">
        <v>0</v>
      </c>
      <c r="M331" s="213">
        <v>0</v>
      </c>
      <c r="N331" s="213">
        <v>0</v>
      </c>
      <c r="O331" s="213">
        <v>0</v>
      </c>
      <c r="P331" s="108">
        <v>0</v>
      </c>
      <c r="Q331" s="108">
        <v>-1</v>
      </c>
      <c r="R331" s="108">
        <v>-0.6</v>
      </c>
      <c r="S331" s="108">
        <v>-0.428571428571429</v>
      </c>
      <c r="T331" s="108">
        <v>0</v>
      </c>
      <c r="U331" s="108">
        <v>0</v>
      </c>
      <c r="V331" s="108">
        <v>0</v>
      </c>
      <c r="W331" s="108">
        <v>0</v>
      </c>
      <c r="X331" s="168"/>
      <c r="Y331" s="168"/>
      <c r="Z331" s="169"/>
      <c r="AA331" s="169"/>
    </row>
    <row r="332" ht="14.45" customHeight="1" spans="1:27">
      <c r="A332" s="212">
        <v>45023</v>
      </c>
      <c r="B332" s="104" t="s">
        <v>32</v>
      </c>
      <c r="C332" s="145">
        <v>0</v>
      </c>
      <c r="D332" s="145"/>
      <c r="E332" s="104">
        <v>0</v>
      </c>
      <c r="F332" s="106">
        <v>0</v>
      </c>
      <c r="G332" s="107">
        <v>0</v>
      </c>
      <c r="H332" s="106">
        <v>0</v>
      </c>
      <c r="I332" s="106"/>
      <c r="J332" s="106"/>
      <c r="K332" s="106"/>
      <c r="L332" s="213">
        <v>0</v>
      </c>
      <c r="M332" s="213">
        <v>0</v>
      </c>
      <c r="N332" s="213">
        <v>0</v>
      </c>
      <c r="O332" s="213">
        <v>0</v>
      </c>
      <c r="P332" s="108">
        <v>0</v>
      </c>
      <c r="Q332" s="108">
        <v>0</v>
      </c>
      <c r="R332" s="108">
        <v>0</v>
      </c>
      <c r="S332" s="108">
        <v>0</v>
      </c>
      <c r="T332" s="108">
        <v>0</v>
      </c>
      <c r="U332" s="108">
        <v>0</v>
      </c>
      <c r="V332" s="108">
        <v>0</v>
      </c>
      <c r="W332" s="108">
        <v>0</v>
      </c>
      <c r="X332" s="168"/>
      <c r="Y332" s="168"/>
      <c r="Z332" s="169"/>
      <c r="AA332" s="169"/>
    </row>
    <row r="333" spans="1:23">
      <c r="A333" s="212">
        <v>45023</v>
      </c>
      <c r="B333" s="104" t="s">
        <v>33</v>
      </c>
      <c r="C333" s="145">
        <v>0</v>
      </c>
      <c r="D333" s="145"/>
      <c r="E333" s="104">
        <v>0</v>
      </c>
      <c r="F333" s="106">
        <v>0</v>
      </c>
      <c r="G333" s="107">
        <v>0</v>
      </c>
      <c r="H333" s="106">
        <v>0</v>
      </c>
      <c r="I333" s="106"/>
      <c r="J333" s="106"/>
      <c r="K333" s="106"/>
      <c r="L333" s="213">
        <v>0</v>
      </c>
      <c r="M333" s="213">
        <v>0</v>
      </c>
      <c r="N333" s="213">
        <v>0</v>
      </c>
      <c r="O333" s="213">
        <v>0</v>
      </c>
      <c r="P333" s="108">
        <v>0</v>
      </c>
      <c r="Q333" s="108">
        <v>0</v>
      </c>
      <c r="R333" s="108">
        <v>0</v>
      </c>
      <c r="S333" s="108">
        <v>-0.142857142857143</v>
      </c>
      <c r="T333" s="108">
        <v>0</v>
      </c>
      <c r="U333" s="108">
        <v>0</v>
      </c>
      <c r="V333" s="108">
        <v>0</v>
      </c>
      <c r="W333" s="108">
        <v>0</v>
      </c>
    </row>
    <row r="334" spans="1:23">
      <c r="A334" s="212">
        <v>45023</v>
      </c>
      <c r="B334" s="104" t="s">
        <v>34</v>
      </c>
      <c r="C334" s="145">
        <v>0</v>
      </c>
      <c r="D334" s="145"/>
      <c r="E334" s="104">
        <v>0</v>
      </c>
      <c r="F334" s="106">
        <v>0</v>
      </c>
      <c r="G334" s="107">
        <v>0</v>
      </c>
      <c r="H334" s="106">
        <v>0</v>
      </c>
      <c r="I334" s="106"/>
      <c r="J334" s="106"/>
      <c r="K334" s="106"/>
      <c r="L334" s="213">
        <v>0</v>
      </c>
      <c r="M334" s="213">
        <v>0</v>
      </c>
      <c r="N334" s="213">
        <v>0</v>
      </c>
      <c r="O334" s="213">
        <v>0</v>
      </c>
      <c r="P334" s="108">
        <v>0</v>
      </c>
      <c r="Q334" s="108">
        <v>0</v>
      </c>
      <c r="R334" s="108">
        <v>0</v>
      </c>
      <c r="S334" s="108">
        <v>0</v>
      </c>
      <c r="T334" s="108">
        <v>0</v>
      </c>
      <c r="U334" s="108">
        <v>0</v>
      </c>
      <c r="V334" s="108">
        <v>0</v>
      </c>
      <c r="W334" s="108">
        <v>0</v>
      </c>
    </row>
    <row r="335" spans="1:23">
      <c r="A335" s="212">
        <v>45023</v>
      </c>
      <c r="B335" s="104" t="s">
        <v>35</v>
      </c>
      <c r="C335" s="145">
        <v>0</v>
      </c>
      <c r="D335" s="145"/>
      <c r="E335" s="104">
        <v>0</v>
      </c>
      <c r="F335" s="106">
        <v>0</v>
      </c>
      <c r="G335" s="107">
        <v>0</v>
      </c>
      <c r="H335" s="106">
        <v>0</v>
      </c>
      <c r="I335" s="106"/>
      <c r="J335" s="106"/>
      <c r="K335" s="106"/>
      <c r="L335" s="213">
        <v>0</v>
      </c>
      <c r="M335" s="213">
        <v>0</v>
      </c>
      <c r="N335" s="213">
        <v>0</v>
      </c>
      <c r="O335" s="213">
        <v>0</v>
      </c>
      <c r="P335" s="108">
        <v>0</v>
      </c>
      <c r="Q335" s="108">
        <v>0</v>
      </c>
      <c r="R335" s="108">
        <v>0</v>
      </c>
      <c r="S335" s="108">
        <v>0</v>
      </c>
      <c r="T335" s="108">
        <v>0</v>
      </c>
      <c r="U335" s="108">
        <v>0</v>
      </c>
      <c r="V335" s="108">
        <v>0</v>
      </c>
      <c r="W335" s="108">
        <v>0</v>
      </c>
    </row>
    <row r="336" spans="1:23">
      <c r="A336" s="212">
        <v>45023</v>
      </c>
      <c r="B336" s="104" t="s">
        <v>36</v>
      </c>
      <c r="C336" s="145">
        <v>0</v>
      </c>
      <c r="D336" s="145"/>
      <c r="E336" s="104">
        <v>0</v>
      </c>
      <c r="F336" s="106">
        <v>0</v>
      </c>
      <c r="G336" s="107">
        <v>0</v>
      </c>
      <c r="H336" s="106">
        <v>0</v>
      </c>
      <c r="I336" s="106"/>
      <c r="J336" s="106"/>
      <c r="K336" s="106"/>
      <c r="L336" s="213">
        <v>0</v>
      </c>
      <c r="M336" s="213">
        <v>0</v>
      </c>
      <c r="N336" s="213">
        <v>0</v>
      </c>
      <c r="O336" s="213">
        <v>0</v>
      </c>
      <c r="P336" s="108">
        <v>0</v>
      </c>
      <c r="Q336" s="108">
        <v>0</v>
      </c>
      <c r="R336" s="108">
        <v>0</v>
      </c>
      <c r="S336" s="108">
        <v>0</v>
      </c>
      <c r="T336" s="108">
        <v>0</v>
      </c>
      <c r="U336" s="108">
        <v>0</v>
      </c>
      <c r="V336" s="108">
        <v>0</v>
      </c>
      <c r="W336" s="108">
        <v>0</v>
      </c>
    </row>
    <row r="337" spans="1:23">
      <c r="A337" s="212">
        <v>45023</v>
      </c>
      <c r="B337" s="104" t="s">
        <v>37</v>
      </c>
      <c r="C337" s="145">
        <v>0</v>
      </c>
      <c r="D337" s="145"/>
      <c r="E337" s="104">
        <v>0</v>
      </c>
      <c r="F337" s="106">
        <v>0</v>
      </c>
      <c r="G337" s="107">
        <v>0</v>
      </c>
      <c r="H337" s="106">
        <v>0</v>
      </c>
      <c r="I337" s="106"/>
      <c r="J337" s="106"/>
      <c r="K337" s="106"/>
      <c r="L337" s="213">
        <v>0</v>
      </c>
      <c r="M337" s="213">
        <v>0</v>
      </c>
      <c r="N337" s="213">
        <v>0</v>
      </c>
      <c r="O337" s="213">
        <v>0</v>
      </c>
      <c r="P337" s="108">
        <v>0</v>
      </c>
      <c r="Q337" s="108">
        <v>0</v>
      </c>
      <c r="R337" s="108">
        <v>0</v>
      </c>
      <c r="S337" s="108">
        <v>0</v>
      </c>
      <c r="T337" s="108">
        <v>0</v>
      </c>
      <c r="U337" s="108">
        <v>0</v>
      </c>
      <c r="V337" s="108">
        <v>0</v>
      </c>
      <c r="W337" s="108">
        <v>0</v>
      </c>
    </row>
    <row r="338" spans="1:23">
      <c r="A338" s="212">
        <v>45023</v>
      </c>
      <c r="B338" s="104" t="s">
        <v>38</v>
      </c>
      <c r="C338" s="145">
        <v>0</v>
      </c>
      <c r="D338" s="145"/>
      <c r="E338" s="104">
        <v>0</v>
      </c>
      <c r="F338" s="106">
        <v>0</v>
      </c>
      <c r="G338" s="107">
        <v>0</v>
      </c>
      <c r="H338" s="106">
        <v>0</v>
      </c>
      <c r="I338" s="106"/>
      <c r="J338" s="106"/>
      <c r="K338" s="106"/>
      <c r="L338" s="213">
        <v>0</v>
      </c>
      <c r="M338" s="213">
        <v>0</v>
      </c>
      <c r="N338" s="213">
        <v>0</v>
      </c>
      <c r="O338" s="213">
        <v>0</v>
      </c>
      <c r="P338" s="108">
        <v>0</v>
      </c>
      <c r="Q338" s="108">
        <v>0</v>
      </c>
      <c r="R338" s="108">
        <v>0</v>
      </c>
      <c r="S338" s="108">
        <v>0</v>
      </c>
      <c r="T338" s="108">
        <v>0</v>
      </c>
      <c r="U338" s="108">
        <v>0</v>
      </c>
      <c r="V338" s="108">
        <v>0</v>
      </c>
      <c r="W338" s="108">
        <v>0</v>
      </c>
    </row>
    <row r="339" spans="1:23">
      <c r="A339" s="212">
        <v>45023</v>
      </c>
      <c r="B339" s="111" t="s">
        <v>39</v>
      </c>
      <c r="C339" s="112">
        <v>25649</v>
      </c>
      <c r="D339" s="112"/>
      <c r="E339" s="112">
        <v>326</v>
      </c>
      <c r="F339" s="113">
        <v>0.0127100471753285</v>
      </c>
      <c r="G339" s="112">
        <v>97</v>
      </c>
      <c r="H339" s="113">
        <v>0.297546012269939</v>
      </c>
      <c r="I339" s="113"/>
      <c r="J339" s="113"/>
      <c r="K339" s="113"/>
      <c r="L339" s="213"/>
      <c r="M339" s="213"/>
      <c r="N339" s="213"/>
      <c r="O339" s="213"/>
      <c r="P339" s="108"/>
      <c r="Q339" s="108"/>
      <c r="R339" s="108"/>
      <c r="S339" s="108"/>
      <c r="T339" s="108"/>
      <c r="U339" s="108"/>
      <c r="V339" s="108"/>
      <c r="W339" s="108"/>
    </row>
    <row r="340" spans="1:23">
      <c r="A340" s="212">
        <v>45024</v>
      </c>
      <c r="B340" s="104" t="s">
        <v>17</v>
      </c>
      <c r="C340" s="105">
        <v>181</v>
      </c>
      <c r="D340" s="105"/>
      <c r="E340" s="104">
        <v>28</v>
      </c>
      <c r="F340" s="106">
        <v>0.154696132596685</v>
      </c>
      <c r="G340" s="107">
        <v>1</v>
      </c>
      <c r="H340" s="106">
        <v>0.0357142857142857</v>
      </c>
      <c r="I340" s="106"/>
      <c r="J340" s="106"/>
      <c r="K340" s="106"/>
      <c r="L340" s="213">
        <v>65</v>
      </c>
      <c r="M340" s="213">
        <v>78.3333333333333</v>
      </c>
      <c r="N340" s="213">
        <v>87.4</v>
      </c>
      <c r="O340" s="213">
        <v>101.857142857143</v>
      </c>
      <c r="P340" s="108">
        <v>2</v>
      </c>
      <c r="Q340" s="108">
        <v>-1</v>
      </c>
      <c r="R340" s="108">
        <v>-2.8</v>
      </c>
      <c r="S340" s="108">
        <v>-3.85714285714286</v>
      </c>
      <c r="T340" s="108">
        <v>-4</v>
      </c>
      <c r="U340" s="108">
        <v>-3.33333333333333</v>
      </c>
      <c r="V340" s="108">
        <v>-3.4</v>
      </c>
      <c r="W340" s="108">
        <v>-3.85714285714286</v>
      </c>
    </row>
    <row r="341" spans="1:23">
      <c r="A341" s="212">
        <v>45024</v>
      </c>
      <c r="B341" s="104" t="s">
        <v>19</v>
      </c>
      <c r="C341" s="107">
        <v>873</v>
      </c>
      <c r="D341" s="107"/>
      <c r="E341" s="104">
        <v>39</v>
      </c>
      <c r="F341" s="106">
        <v>0.0446735395189003</v>
      </c>
      <c r="G341" s="107">
        <v>8</v>
      </c>
      <c r="H341" s="106">
        <v>0.205128205128205</v>
      </c>
      <c r="I341" s="106"/>
      <c r="J341" s="106"/>
      <c r="K341" s="106"/>
      <c r="L341" s="213">
        <v>109</v>
      </c>
      <c r="M341" s="213">
        <v>174</v>
      </c>
      <c r="N341" s="213">
        <v>189.8</v>
      </c>
      <c r="O341" s="213">
        <v>120</v>
      </c>
      <c r="P341" s="108">
        <v>8</v>
      </c>
      <c r="Q341" s="108">
        <v>12.6666666666667</v>
      </c>
      <c r="R341" s="108">
        <v>15.2</v>
      </c>
      <c r="S341" s="108">
        <v>12.2857142857143</v>
      </c>
      <c r="T341" s="108">
        <v>-1</v>
      </c>
      <c r="U341" s="108">
        <v>-1.66666666666667</v>
      </c>
      <c r="V341" s="108">
        <v>-2.6</v>
      </c>
      <c r="W341" s="115">
        <v>-3.71428571428571</v>
      </c>
    </row>
    <row r="342" spans="1:23">
      <c r="A342" s="212">
        <v>45024</v>
      </c>
      <c r="B342" s="104" t="s">
        <v>21</v>
      </c>
      <c r="C342" s="145">
        <v>465</v>
      </c>
      <c r="D342" s="145"/>
      <c r="E342" s="104">
        <v>24</v>
      </c>
      <c r="F342" s="106">
        <v>0.0516129032258065</v>
      </c>
      <c r="G342" s="107">
        <v>7</v>
      </c>
      <c r="H342" s="106">
        <v>0.291666666666667</v>
      </c>
      <c r="I342" s="106"/>
      <c r="J342" s="106"/>
      <c r="K342" s="106"/>
      <c r="L342" s="213">
        <v>-160</v>
      </c>
      <c r="M342" s="213">
        <v>-215.333333333333</v>
      </c>
      <c r="N342" s="213">
        <v>-288.6</v>
      </c>
      <c r="O342" s="213">
        <v>-427.857142857143</v>
      </c>
      <c r="P342" s="108">
        <v>1</v>
      </c>
      <c r="Q342" s="108">
        <v>-1</v>
      </c>
      <c r="R342" s="108">
        <v>-0.199999999999999</v>
      </c>
      <c r="S342" s="108">
        <v>-1</v>
      </c>
      <c r="T342" s="108">
        <v>-2</v>
      </c>
      <c r="U342" s="108">
        <v>-2</v>
      </c>
      <c r="V342" s="108">
        <v>-1.8</v>
      </c>
      <c r="W342" s="108">
        <v>-2.28571428571429</v>
      </c>
    </row>
    <row r="343" spans="1:26">
      <c r="A343" s="212">
        <v>45024</v>
      </c>
      <c r="B343" s="104" t="s">
        <v>22</v>
      </c>
      <c r="C343" s="145">
        <v>4643</v>
      </c>
      <c r="D343" s="145"/>
      <c r="E343" s="104">
        <v>116</v>
      </c>
      <c r="F343" s="106">
        <v>0.0249838466508723</v>
      </c>
      <c r="G343" s="107">
        <v>13</v>
      </c>
      <c r="H343" s="106">
        <v>0.112068965517241</v>
      </c>
      <c r="I343" s="106"/>
      <c r="J343" s="106"/>
      <c r="K343" s="106"/>
      <c r="L343" s="213">
        <v>441</v>
      </c>
      <c r="M343" s="213">
        <v>-49.666666666667</v>
      </c>
      <c r="N343" s="213">
        <v>-258.8</v>
      </c>
      <c r="O343" s="213">
        <v>-492.142857142857</v>
      </c>
      <c r="P343" s="108">
        <v>12</v>
      </c>
      <c r="Q343" s="108">
        <v>0</v>
      </c>
      <c r="R343" s="108">
        <v>-9.2</v>
      </c>
      <c r="S343" s="115">
        <v>-19</v>
      </c>
      <c r="T343" s="108">
        <v>-11</v>
      </c>
      <c r="U343" s="108">
        <v>-25</v>
      </c>
      <c r="V343" s="108">
        <v>-26.4</v>
      </c>
      <c r="W343" s="117">
        <v>-32.5714285714286</v>
      </c>
      <c r="Z343">
        <f>4202-4643</f>
        <v>-441</v>
      </c>
    </row>
    <row r="344" spans="1:23">
      <c r="A344" s="212">
        <v>45024</v>
      </c>
      <c r="B344" s="104" t="s">
        <v>23</v>
      </c>
      <c r="C344" s="145">
        <v>2895</v>
      </c>
      <c r="D344" s="145"/>
      <c r="E344" s="104">
        <v>38</v>
      </c>
      <c r="F344" s="106">
        <v>0.013126079447323</v>
      </c>
      <c r="G344" s="107">
        <v>14</v>
      </c>
      <c r="H344" s="106">
        <v>0.368421052631579</v>
      </c>
      <c r="I344" s="106"/>
      <c r="J344" s="106"/>
      <c r="K344" s="106"/>
      <c r="L344" s="213">
        <v>50</v>
      </c>
      <c r="M344" s="213">
        <v>-181</v>
      </c>
      <c r="N344" s="213">
        <v>-320.2</v>
      </c>
      <c r="O344" s="213">
        <v>-440.857142857143</v>
      </c>
      <c r="P344" s="108">
        <v>15</v>
      </c>
      <c r="Q344" s="108">
        <v>4</v>
      </c>
      <c r="R344" s="108">
        <v>-1.4</v>
      </c>
      <c r="S344" s="108">
        <v>-3.71428571428572</v>
      </c>
      <c r="T344" s="108">
        <v>2</v>
      </c>
      <c r="U344" s="116">
        <v>3</v>
      </c>
      <c r="V344" s="108">
        <v>-1</v>
      </c>
      <c r="W344" s="108">
        <v>-1.85714285714286</v>
      </c>
    </row>
    <row r="345" spans="1:23">
      <c r="A345" s="212">
        <v>45024</v>
      </c>
      <c r="B345" s="104" t="s">
        <v>24</v>
      </c>
      <c r="C345" s="145">
        <v>478</v>
      </c>
      <c r="D345" s="145"/>
      <c r="E345" s="104">
        <v>7</v>
      </c>
      <c r="F345" s="106">
        <v>0.0146443514644351</v>
      </c>
      <c r="G345" s="107">
        <v>3</v>
      </c>
      <c r="H345" s="106">
        <v>0.428571428571429</v>
      </c>
      <c r="I345" s="106"/>
      <c r="J345" s="106"/>
      <c r="K345" s="106"/>
      <c r="L345" s="213">
        <v>22</v>
      </c>
      <c r="M345" s="213">
        <v>-121.333333333333</v>
      </c>
      <c r="N345" s="213">
        <v>-99.2</v>
      </c>
      <c r="O345" s="213">
        <v>-77.8571428571429</v>
      </c>
      <c r="P345" s="115">
        <v>0</v>
      </c>
      <c r="Q345" s="115">
        <v>1</v>
      </c>
      <c r="R345" s="117">
        <v>0.6</v>
      </c>
      <c r="S345" s="117">
        <v>1.14285714285714</v>
      </c>
      <c r="T345" s="115">
        <v>1</v>
      </c>
      <c r="U345" s="115">
        <v>1.66666666666667</v>
      </c>
      <c r="V345" s="115">
        <v>1.8</v>
      </c>
      <c r="W345" s="115">
        <v>1.42857142857143</v>
      </c>
    </row>
    <row r="346" spans="1:23">
      <c r="A346" s="212">
        <v>45024</v>
      </c>
      <c r="B346" s="104" t="s">
        <v>25</v>
      </c>
      <c r="C346" s="145">
        <v>11821</v>
      </c>
      <c r="D346" s="145"/>
      <c r="E346" s="104">
        <v>50</v>
      </c>
      <c r="F346" s="106">
        <v>0.00422976059555029</v>
      </c>
      <c r="G346" s="107">
        <v>58</v>
      </c>
      <c r="H346" s="106">
        <v>1.16</v>
      </c>
      <c r="I346" s="106"/>
      <c r="J346" s="106"/>
      <c r="K346" s="106"/>
      <c r="L346" s="213">
        <v>-3323</v>
      </c>
      <c r="M346" s="213">
        <v>-4233.66666666667</v>
      </c>
      <c r="N346" s="213">
        <v>-1809.6</v>
      </c>
      <c r="O346" s="213">
        <v>-289.285714285714</v>
      </c>
      <c r="P346" s="116">
        <v>8</v>
      </c>
      <c r="Q346" s="115">
        <v>5</v>
      </c>
      <c r="R346" s="115">
        <v>3</v>
      </c>
      <c r="S346" s="115">
        <v>4.14285714285715</v>
      </c>
      <c r="T346" s="108">
        <v>42</v>
      </c>
      <c r="U346" s="108">
        <v>38</v>
      </c>
      <c r="V346" s="108">
        <v>38.6</v>
      </c>
      <c r="W346" s="108">
        <v>38.2857142857143</v>
      </c>
    </row>
    <row r="347" spans="1:23">
      <c r="A347" s="212">
        <v>45024</v>
      </c>
      <c r="B347" s="104" t="s">
        <v>26</v>
      </c>
      <c r="C347" s="145">
        <v>1975</v>
      </c>
      <c r="D347" s="145"/>
      <c r="E347" s="104">
        <v>73</v>
      </c>
      <c r="F347" s="106">
        <v>0.0369620253164557</v>
      </c>
      <c r="G347" s="107">
        <v>34</v>
      </c>
      <c r="H347" s="106">
        <v>0.465753424657534</v>
      </c>
      <c r="I347" s="106"/>
      <c r="J347" s="106"/>
      <c r="K347" s="106"/>
      <c r="L347" s="213">
        <v>540</v>
      </c>
      <c r="M347" s="213">
        <v>549.333333333333</v>
      </c>
      <c r="N347" s="213">
        <v>342.2</v>
      </c>
      <c r="O347" s="213">
        <v>656.571428571429</v>
      </c>
      <c r="P347" s="108">
        <v>6</v>
      </c>
      <c r="Q347" s="108">
        <v>-1.33333333333333</v>
      </c>
      <c r="R347" s="108">
        <v>-10</v>
      </c>
      <c r="S347" s="108">
        <v>-15</v>
      </c>
      <c r="T347" s="108">
        <v>15</v>
      </c>
      <c r="U347" s="108">
        <v>14.6666666666667</v>
      </c>
      <c r="V347" s="108">
        <v>13.4</v>
      </c>
      <c r="W347" s="108">
        <v>12.5714285714286</v>
      </c>
    </row>
    <row r="348" spans="1:23">
      <c r="A348" s="212">
        <v>45024</v>
      </c>
      <c r="B348" s="104" t="s">
        <v>27</v>
      </c>
      <c r="C348" s="145">
        <v>80</v>
      </c>
      <c r="D348" s="145"/>
      <c r="E348" s="104">
        <v>8</v>
      </c>
      <c r="F348" s="106">
        <v>0.1</v>
      </c>
      <c r="G348" s="107">
        <v>0</v>
      </c>
      <c r="H348" s="106">
        <v>0</v>
      </c>
      <c r="I348" s="106"/>
      <c r="J348" s="106"/>
      <c r="K348" s="106"/>
      <c r="L348" s="213">
        <v>19</v>
      </c>
      <c r="M348" s="213">
        <v>28</v>
      </c>
      <c r="N348" s="213">
        <v>31.4</v>
      </c>
      <c r="O348" s="213">
        <v>34.4285714285714</v>
      </c>
      <c r="P348" s="108">
        <v>5</v>
      </c>
      <c r="Q348" s="108">
        <v>5.66666666666667</v>
      </c>
      <c r="R348" s="108">
        <v>6</v>
      </c>
      <c r="S348" s="108">
        <v>6.28571428571429</v>
      </c>
      <c r="T348" s="108">
        <v>-1</v>
      </c>
      <c r="U348" s="108">
        <v>-0.666666666666667</v>
      </c>
      <c r="V348" s="108">
        <v>-0.8</v>
      </c>
      <c r="W348" s="108">
        <v>-0.714285714285714</v>
      </c>
    </row>
    <row r="349" spans="1:23">
      <c r="A349" s="212">
        <v>45024</v>
      </c>
      <c r="B349" s="104" t="s">
        <v>28</v>
      </c>
      <c r="C349" s="145">
        <v>0</v>
      </c>
      <c r="D349" s="145"/>
      <c r="E349" s="104">
        <v>0</v>
      </c>
      <c r="F349" s="106">
        <v>0</v>
      </c>
      <c r="G349" s="107">
        <v>0</v>
      </c>
      <c r="H349" s="106">
        <v>0</v>
      </c>
      <c r="I349" s="106"/>
      <c r="J349" s="106"/>
      <c r="K349" s="106"/>
      <c r="L349" s="213">
        <v>0</v>
      </c>
      <c r="M349" s="213">
        <v>0</v>
      </c>
      <c r="N349" s="213">
        <v>0</v>
      </c>
      <c r="O349" s="213">
        <v>0</v>
      </c>
      <c r="P349" s="108">
        <v>0</v>
      </c>
      <c r="Q349" s="108">
        <v>0</v>
      </c>
      <c r="R349" s="108">
        <v>0</v>
      </c>
      <c r="S349" s="108">
        <v>0</v>
      </c>
      <c r="T349" s="108">
        <v>0</v>
      </c>
      <c r="U349" s="108">
        <v>0</v>
      </c>
      <c r="V349" s="108">
        <v>0</v>
      </c>
      <c r="W349" s="108">
        <v>0</v>
      </c>
    </row>
    <row r="350" spans="1:23">
      <c r="A350" s="212">
        <v>45024</v>
      </c>
      <c r="B350" s="104" t="s">
        <v>29</v>
      </c>
      <c r="C350" s="145">
        <v>0</v>
      </c>
      <c r="D350" s="145"/>
      <c r="E350" s="104">
        <v>1</v>
      </c>
      <c r="F350" s="106">
        <v>1</v>
      </c>
      <c r="G350" s="107">
        <v>1</v>
      </c>
      <c r="H350" s="106">
        <v>1</v>
      </c>
      <c r="I350" s="106"/>
      <c r="J350" s="106"/>
      <c r="K350" s="106"/>
      <c r="L350" s="213">
        <v>-1</v>
      </c>
      <c r="M350" s="213">
        <v>-1.33333333333333</v>
      </c>
      <c r="N350" s="213">
        <v>-2.8</v>
      </c>
      <c r="O350" s="213">
        <v>-2.57142857142857</v>
      </c>
      <c r="P350" s="108">
        <v>1</v>
      </c>
      <c r="Q350" s="108">
        <v>1</v>
      </c>
      <c r="R350" s="108">
        <v>1</v>
      </c>
      <c r="S350" s="108">
        <v>1</v>
      </c>
      <c r="T350" s="108">
        <v>1</v>
      </c>
      <c r="U350" s="108">
        <v>1</v>
      </c>
      <c r="V350" s="108">
        <v>1</v>
      </c>
      <c r="W350" s="108">
        <v>1</v>
      </c>
    </row>
    <row r="351" spans="1:23">
      <c r="A351" s="212">
        <v>45024</v>
      </c>
      <c r="B351" s="104" t="s">
        <v>30</v>
      </c>
      <c r="C351" s="145">
        <v>0</v>
      </c>
      <c r="D351" s="145"/>
      <c r="E351" s="104">
        <v>0</v>
      </c>
      <c r="F351" s="106">
        <v>0</v>
      </c>
      <c r="G351" s="107">
        <v>0</v>
      </c>
      <c r="H351" s="106">
        <v>0</v>
      </c>
      <c r="I351" s="106"/>
      <c r="J351" s="106"/>
      <c r="K351" s="106"/>
      <c r="L351" s="213">
        <v>0</v>
      </c>
      <c r="M351" s="213">
        <v>0</v>
      </c>
      <c r="N351" s="213">
        <v>0</v>
      </c>
      <c r="O351" s="213">
        <v>0</v>
      </c>
      <c r="P351" s="108">
        <v>0</v>
      </c>
      <c r="Q351" s="108">
        <v>0</v>
      </c>
      <c r="R351" s="108">
        <v>0</v>
      </c>
      <c r="S351" s="108">
        <v>0</v>
      </c>
      <c r="T351" s="108">
        <v>0</v>
      </c>
      <c r="U351" s="108">
        <v>0</v>
      </c>
      <c r="V351" s="108">
        <v>0</v>
      </c>
      <c r="W351" s="108">
        <v>0</v>
      </c>
    </row>
    <row r="352" spans="1:23">
      <c r="A352" s="212">
        <v>45024</v>
      </c>
      <c r="B352" s="104" t="s">
        <v>31</v>
      </c>
      <c r="C352" s="145">
        <v>0</v>
      </c>
      <c r="D352" s="145"/>
      <c r="E352" s="104">
        <v>1</v>
      </c>
      <c r="F352" s="106">
        <v>1</v>
      </c>
      <c r="G352" s="107">
        <v>0</v>
      </c>
      <c r="H352" s="106">
        <v>0</v>
      </c>
      <c r="I352" s="106"/>
      <c r="J352" s="106"/>
      <c r="K352" s="106"/>
      <c r="L352" s="213">
        <v>0</v>
      </c>
      <c r="M352" s="213">
        <v>0</v>
      </c>
      <c r="N352" s="213">
        <v>0</v>
      </c>
      <c r="O352" s="213">
        <v>0</v>
      </c>
      <c r="P352" s="108">
        <v>1</v>
      </c>
      <c r="Q352" s="108">
        <v>0.333333333333333</v>
      </c>
      <c r="R352" s="108">
        <v>0.4</v>
      </c>
      <c r="S352" s="108">
        <v>0.571428571428571</v>
      </c>
      <c r="T352" s="108">
        <v>0</v>
      </c>
      <c r="U352" s="108">
        <v>0</v>
      </c>
      <c r="V352" s="108">
        <v>0</v>
      </c>
      <c r="W352" s="108">
        <v>0</v>
      </c>
    </row>
    <row r="353" spans="1:23">
      <c r="A353" s="212">
        <v>45024</v>
      </c>
      <c r="B353" s="104" t="s">
        <v>32</v>
      </c>
      <c r="C353" s="145">
        <v>0</v>
      </c>
      <c r="D353" s="145"/>
      <c r="E353" s="104">
        <v>0</v>
      </c>
      <c r="F353" s="106">
        <v>0</v>
      </c>
      <c r="G353" s="107">
        <v>0</v>
      </c>
      <c r="H353" s="106">
        <v>0</v>
      </c>
      <c r="I353" s="106"/>
      <c r="J353" s="106"/>
      <c r="K353" s="106"/>
      <c r="L353" s="213">
        <v>0</v>
      </c>
      <c r="M353" s="213">
        <v>0</v>
      </c>
      <c r="N353" s="213">
        <v>0</v>
      </c>
      <c r="O353" s="213">
        <v>0</v>
      </c>
      <c r="P353" s="108">
        <v>0</v>
      </c>
      <c r="Q353" s="108">
        <v>0</v>
      </c>
      <c r="R353" s="108">
        <v>0</v>
      </c>
      <c r="S353" s="108">
        <v>0</v>
      </c>
      <c r="T353" s="108">
        <v>0</v>
      </c>
      <c r="U353" s="108">
        <v>0</v>
      </c>
      <c r="V353" s="108">
        <v>0</v>
      </c>
      <c r="W353" s="108">
        <v>0</v>
      </c>
    </row>
    <row r="354" spans="1:23">
      <c r="A354" s="212">
        <v>45024</v>
      </c>
      <c r="B354" s="104" t="s">
        <v>33</v>
      </c>
      <c r="C354" s="145">
        <v>0</v>
      </c>
      <c r="D354" s="145"/>
      <c r="E354" s="104">
        <v>0</v>
      </c>
      <c r="F354" s="106">
        <v>0</v>
      </c>
      <c r="G354" s="107">
        <v>0</v>
      </c>
      <c r="H354" s="106">
        <v>0</v>
      </c>
      <c r="I354" s="106"/>
      <c r="J354" s="106"/>
      <c r="K354" s="106"/>
      <c r="L354" s="213">
        <v>0</v>
      </c>
      <c r="M354" s="213">
        <v>0</v>
      </c>
      <c r="N354" s="213">
        <v>0</v>
      </c>
      <c r="O354" s="213">
        <v>0</v>
      </c>
      <c r="P354" s="108">
        <v>0</v>
      </c>
      <c r="Q354" s="108">
        <v>0</v>
      </c>
      <c r="R354" s="108">
        <v>0</v>
      </c>
      <c r="S354" s="108">
        <v>0</v>
      </c>
      <c r="T354" s="108">
        <v>0</v>
      </c>
      <c r="U354" s="108">
        <v>0</v>
      </c>
      <c r="V354" s="108">
        <v>0</v>
      </c>
      <c r="W354" s="108">
        <v>0</v>
      </c>
    </row>
    <row r="355" spans="1:23">
      <c r="A355" s="212">
        <v>45024</v>
      </c>
      <c r="B355" s="104" t="s">
        <v>34</v>
      </c>
      <c r="C355" s="145">
        <v>0</v>
      </c>
      <c r="D355" s="145"/>
      <c r="E355" s="104">
        <v>0</v>
      </c>
      <c r="F355" s="106">
        <v>0</v>
      </c>
      <c r="G355" s="107">
        <v>0</v>
      </c>
      <c r="H355" s="106">
        <v>0</v>
      </c>
      <c r="I355" s="106"/>
      <c r="J355" s="106"/>
      <c r="K355" s="106"/>
      <c r="L355" s="213">
        <v>0</v>
      </c>
      <c r="M355" s="213">
        <v>0</v>
      </c>
      <c r="N355" s="213">
        <v>0</v>
      </c>
      <c r="O355" s="213">
        <v>0</v>
      </c>
      <c r="P355" s="108">
        <v>0</v>
      </c>
      <c r="Q355" s="108">
        <v>0</v>
      </c>
      <c r="R355" s="108">
        <v>0</v>
      </c>
      <c r="S355" s="108">
        <v>0</v>
      </c>
      <c r="T355" s="108">
        <v>0</v>
      </c>
      <c r="U355" s="108">
        <v>0</v>
      </c>
      <c r="V355" s="108">
        <v>0</v>
      </c>
      <c r="W355" s="108">
        <v>0</v>
      </c>
    </row>
    <row r="356" spans="1:23">
      <c r="A356" s="212">
        <v>45024</v>
      </c>
      <c r="B356" s="104" t="s">
        <v>35</v>
      </c>
      <c r="C356" s="145">
        <v>0</v>
      </c>
      <c r="D356" s="145"/>
      <c r="E356" s="104">
        <v>0</v>
      </c>
      <c r="F356" s="106">
        <v>0</v>
      </c>
      <c r="G356" s="107">
        <v>0</v>
      </c>
      <c r="H356" s="106">
        <v>0</v>
      </c>
      <c r="I356" s="106"/>
      <c r="J356" s="106"/>
      <c r="K356" s="106"/>
      <c r="L356" s="213">
        <v>0</v>
      </c>
      <c r="M356" s="213">
        <v>0</v>
      </c>
      <c r="N356" s="213">
        <v>0</v>
      </c>
      <c r="O356" s="213">
        <v>0</v>
      </c>
      <c r="P356" s="108">
        <v>0</v>
      </c>
      <c r="Q356" s="108">
        <v>0</v>
      </c>
      <c r="R356" s="108">
        <v>0</v>
      </c>
      <c r="S356" s="108">
        <v>0</v>
      </c>
      <c r="T356" s="108">
        <v>0</v>
      </c>
      <c r="U356" s="108">
        <v>0</v>
      </c>
      <c r="V356" s="108">
        <v>0</v>
      </c>
      <c r="W356" s="108">
        <v>0</v>
      </c>
    </row>
    <row r="357" spans="1:23">
      <c r="A357" s="212">
        <v>45024</v>
      </c>
      <c r="B357" s="104" t="s">
        <v>36</v>
      </c>
      <c r="C357" s="145">
        <v>0</v>
      </c>
      <c r="D357" s="145"/>
      <c r="E357" s="104">
        <v>0</v>
      </c>
      <c r="F357" s="106">
        <v>0</v>
      </c>
      <c r="G357" s="107">
        <v>0</v>
      </c>
      <c r="H357" s="106">
        <v>0</v>
      </c>
      <c r="I357" s="106"/>
      <c r="J357" s="106"/>
      <c r="K357" s="106"/>
      <c r="L357" s="213">
        <v>0</v>
      </c>
      <c r="M357" s="213">
        <v>0</v>
      </c>
      <c r="N357" s="213">
        <v>0</v>
      </c>
      <c r="O357" s="213">
        <v>0</v>
      </c>
      <c r="P357" s="108">
        <v>0</v>
      </c>
      <c r="Q357" s="108">
        <v>0</v>
      </c>
      <c r="R357" s="108">
        <v>0</v>
      </c>
      <c r="S357" s="108">
        <v>0</v>
      </c>
      <c r="T357" s="108">
        <v>0</v>
      </c>
      <c r="U357" s="108">
        <v>0</v>
      </c>
      <c r="V357" s="108">
        <v>0</v>
      </c>
      <c r="W357" s="108">
        <v>0</v>
      </c>
    </row>
    <row r="358" spans="1:23">
      <c r="A358" s="212">
        <v>45024</v>
      </c>
      <c r="B358" s="104" t="s">
        <v>37</v>
      </c>
      <c r="C358" s="145">
        <v>0</v>
      </c>
      <c r="D358" s="145"/>
      <c r="E358" s="104">
        <v>0</v>
      </c>
      <c r="F358" s="106">
        <v>0</v>
      </c>
      <c r="G358" s="107">
        <v>0</v>
      </c>
      <c r="H358" s="106">
        <v>0</v>
      </c>
      <c r="I358" s="106"/>
      <c r="J358" s="106"/>
      <c r="K358" s="106"/>
      <c r="L358" s="213">
        <v>0</v>
      </c>
      <c r="M358" s="213">
        <v>0</v>
      </c>
      <c r="N358" s="213">
        <v>0</v>
      </c>
      <c r="O358" s="213">
        <v>0</v>
      </c>
      <c r="P358" s="108">
        <v>0</v>
      </c>
      <c r="Q358" s="108">
        <v>0</v>
      </c>
      <c r="R358" s="108">
        <v>0</v>
      </c>
      <c r="S358" s="108">
        <v>0</v>
      </c>
      <c r="T358" s="108">
        <v>0</v>
      </c>
      <c r="U358" s="108">
        <v>0</v>
      </c>
      <c r="V358" s="108">
        <v>0</v>
      </c>
      <c r="W358" s="108">
        <v>0</v>
      </c>
    </row>
    <row r="359" spans="1:23">
      <c r="A359" s="212">
        <v>45024</v>
      </c>
      <c r="B359" s="104" t="s">
        <v>38</v>
      </c>
      <c r="C359" s="145">
        <v>0</v>
      </c>
      <c r="D359" s="145"/>
      <c r="E359" s="104">
        <v>0</v>
      </c>
      <c r="F359" s="106">
        <v>0</v>
      </c>
      <c r="G359" s="107">
        <v>0</v>
      </c>
      <c r="H359" s="106">
        <v>0</v>
      </c>
      <c r="I359" s="106"/>
      <c r="J359" s="106"/>
      <c r="K359" s="106"/>
      <c r="L359" s="213">
        <v>0</v>
      </c>
      <c r="M359" s="213">
        <v>0</v>
      </c>
      <c r="N359" s="213">
        <v>0</v>
      </c>
      <c r="O359" s="213">
        <v>0</v>
      </c>
      <c r="P359" s="108">
        <v>0</v>
      </c>
      <c r="Q359" s="108">
        <v>0</v>
      </c>
      <c r="R359" s="108">
        <v>0</v>
      </c>
      <c r="S359" s="108">
        <v>0</v>
      </c>
      <c r="T359" s="108">
        <v>0</v>
      </c>
      <c r="U359" s="108">
        <v>0</v>
      </c>
      <c r="V359" s="108">
        <v>0</v>
      </c>
      <c r="W359" s="108">
        <v>0</v>
      </c>
    </row>
    <row r="360" spans="1:23">
      <c r="A360" s="212">
        <v>45024</v>
      </c>
      <c r="B360" s="111" t="s">
        <v>39</v>
      </c>
      <c r="C360" s="112">
        <v>23411</v>
      </c>
      <c r="D360" s="112"/>
      <c r="E360" s="112">
        <v>385</v>
      </c>
      <c r="F360" s="113">
        <v>0.0164452607748494</v>
      </c>
      <c r="G360" s="112">
        <v>139</v>
      </c>
      <c r="H360" s="113">
        <v>0.361038961038961</v>
      </c>
      <c r="I360" s="113"/>
      <c r="J360" s="113"/>
      <c r="K360" s="113"/>
      <c r="L360" s="213"/>
      <c r="M360" s="213"/>
      <c r="N360" s="213"/>
      <c r="O360" s="213"/>
      <c r="P360" s="108"/>
      <c r="Q360" s="108"/>
      <c r="R360" s="108"/>
      <c r="S360" s="108"/>
      <c r="T360" s="108"/>
      <c r="U360" s="108"/>
      <c r="V360" s="108"/>
      <c r="W360" s="108"/>
    </row>
    <row r="361" spans="1:23">
      <c r="A361" s="212">
        <v>45025</v>
      </c>
      <c r="B361" s="104" t="s">
        <v>17</v>
      </c>
      <c r="C361" s="105">
        <v>156</v>
      </c>
      <c r="D361" s="105"/>
      <c r="E361" s="104">
        <v>33</v>
      </c>
      <c r="F361" s="106">
        <v>0.211538461538462</v>
      </c>
      <c r="G361" s="107">
        <v>4</v>
      </c>
      <c r="H361" s="106">
        <v>0.121212121212121</v>
      </c>
      <c r="I361" s="106"/>
      <c r="J361" s="106"/>
      <c r="K361" s="106"/>
      <c r="L361" s="213">
        <v>-25</v>
      </c>
      <c r="M361" s="213">
        <v>25</v>
      </c>
      <c r="N361" s="213">
        <v>40.6</v>
      </c>
      <c r="O361" s="213">
        <v>58.7142857142857</v>
      </c>
      <c r="P361" s="108">
        <v>5</v>
      </c>
      <c r="Q361" s="108">
        <v>8</v>
      </c>
      <c r="R361" s="108">
        <v>4.2</v>
      </c>
      <c r="S361" s="108">
        <v>2.85714285714286</v>
      </c>
      <c r="T361" s="108">
        <v>3</v>
      </c>
      <c r="U361" s="108">
        <v>1.33333333333333</v>
      </c>
      <c r="V361" s="108">
        <v>0.6</v>
      </c>
      <c r="W361" s="108">
        <v>-0.142857142857143</v>
      </c>
    </row>
    <row r="362" spans="1:23">
      <c r="A362" s="212">
        <v>45025</v>
      </c>
      <c r="B362" s="104" t="s">
        <v>19</v>
      </c>
      <c r="C362" s="107">
        <v>601</v>
      </c>
      <c r="D362" s="107"/>
      <c r="E362" s="104">
        <v>28</v>
      </c>
      <c r="F362" s="106">
        <v>0.0465890183028286</v>
      </c>
      <c r="G362" s="107">
        <v>13</v>
      </c>
      <c r="H362" s="106">
        <v>0.464285714285714</v>
      </c>
      <c r="I362" s="106"/>
      <c r="J362" s="106"/>
      <c r="K362" s="106"/>
      <c r="L362" s="213">
        <v>-272</v>
      </c>
      <c r="M362" s="213">
        <v>-165</v>
      </c>
      <c r="N362" s="213">
        <v>-123.4</v>
      </c>
      <c r="O362" s="213">
        <v>-118.428571428571</v>
      </c>
      <c r="P362" s="108">
        <v>-11</v>
      </c>
      <c r="Q362" s="108">
        <v>-4</v>
      </c>
      <c r="R362" s="108">
        <v>0.800000000000001</v>
      </c>
      <c r="S362" s="108">
        <v>2.28571428571428</v>
      </c>
      <c r="T362" s="108">
        <v>5</v>
      </c>
      <c r="U362" s="108">
        <v>4.33333333333333</v>
      </c>
      <c r="V362" s="108">
        <v>3.6</v>
      </c>
      <c r="W362" s="115">
        <v>2</v>
      </c>
    </row>
    <row r="363" spans="1:23">
      <c r="A363" s="212">
        <v>45025</v>
      </c>
      <c r="B363" s="104" t="s">
        <v>21</v>
      </c>
      <c r="C363" s="145">
        <v>389</v>
      </c>
      <c r="D363" s="145"/>
      <c r="E363" s="104">
        <v>22</v>
      </c>
      <c r="F363" s="106">
        <v>0.0565552699228792</v>
      </c>
      <c r="G363" s="107">
        <v>11</v>
      </c>
      <c r="H363" s="106">
        <v>0.5</v>
      </c>
      <c r="I363" s="106"/>
      <c r="J363" s="106"/>
      <c r="K363" s="106"/>
      <c r="L363" s="213">
        <v>-76</v>
      </c>
      <c r="M363" s="213">
        <v>-191.666666666667</v>
      </c>
      <c r="N363" s="213">
        <v>-257.4</v>
      </c>
      <c r="O363" s="213">
        <v>-394.285714285714</v>
      </c>
      <c r="P363" s="108">
        <v>-2</v>
      </c>
      <c r="Q363" s="108">
        <v>-1.33333333333333</v>
      </c>
      <c r="R363" s="108">
        <v>-2.8</v>
      </c>
      <c r="S363" s="108">
        <v>-2</v>
      </c>
      <c r="T363" s="108">
        <v>4</v>
      </c>
      <c r="U363" s="108">
        <v>2.66666666666667</v>
      </c>
      <c r="V363" s="108">
        <v>2.4</v>
      </c>
      <c r="W363" s="108">
        <v>2.42857142857143</v>
      </c>
    </row>
    <row r="364" spans="1:23">
      <c r="A364" s="212">
        <v>45025</v>
      </c>
      <c r="B364" s="104" t="s">
        <v>22</v>
      </c>
      <c r="C364" s="145">
        <v>4472</v>
      </c>
      <c r="D364" s="145"/>
      <c r="E364" s="104">
        <v>116</v>
      </c>
      <c r="F364" s="106">
        <v>0.0259391771019678</v>
      </c>
      <c r="G364" s="107">
        <v>38</v>
      </c>
      <c r="H364" s="106">
        <v>0.327586206896552</v>
      </c>
      <c r="I364" s="106"/>
      <c r="J364" s="106"/>
      <c r="K364" s="106"/>
      <c r="L364" s="213">
        <v>-171</v>
      </c>
      <c r="M364" s="213">
        <v>-68.666666666667</v>
      </c>
      <c r="N364" s="213">
        <v>-303.4</v>
      </c>
      <c r="O364" s="213">
        <v>-503.857142857143</v>
      </c>
      <c r="P364" s="108">
        <v>0</v>
      </c>
      <c r="Q364" s="108">
        <v>4</v>
      </c>
      <c r="R364" s="108">
        <v>-6.2</v>
      </c>
      <c r="S364" s="115">
        <v>-12.2857142857143</v>
      </c>
      <c r="T364" s="108">
        <v>25</v>
      </c>
      <c r="U364" s="108">
        <v>12.6666666666667</v>
      </c>
      <c r="V364" s="108">
        <v>3.8</v>
      </c>
      <c r="W364" s="117">
        <v>0.285714285714285</v>
      </c>
    </row>
    <row r="365" spans="1:23">
      <c r="A365" s="212">
        <v>45025</v>
      </c>
      <c r="B365" s="104" t="s">
        <v>23</v>
      </c>
      <c r="C365" s="145">
        <v>2666</v>
      </c>
      <c r="D365" s="145"/>
      <c r="E365" s="104">
        <v>31</v>
      </c>
      <c r="F365" s="106">
        <v>0.0116279069767442</v>
      </c>
      <c r="G365" s="107">
        <v>8</v>
      </c>
      <c r="H365" s="106">
        <v>0.258064516129032</v>
      </c>
      <c r="I365" s="106"/>
      <c r="J365" s="106"/>
      <c r="K365" s="106"/>
      <c r="L365" s="213">
        <v>-229</v>
      </c>
      <c r="M365" s="213">
        <v>-257.666666666667</v>
      </c>
      <c r="N365" s="213">
        <v>-443.4</v>
      </c>
      <c r="O365" s="213">
        <v>-564.428571428572</v>
      </c>
      <c r="P365" s="108">
        <v>-7</v>
      </c>
      <c r="Q365" s="108">
        <v>-4.33333333333334</v>
      </c>
      <c r="R365" s="108">
        <v>-5.8</v>
      </c>
      <c r="S365" s="108">
        <v>-9</v>
      </c>
      <c r="T365" s="108">
        <v>-6</v>
      </c>
      <c r="U365" s="116">
        <v>-3.66666666666667</v>
      </c>
      <c r="V365" s="108">
        <v>-5.2</v>
      </c>
      <c r="W365" s="108">
        <v>-6.28571428571429</v>
      </c>
    </row>
    <row r="366" spans="1:23">
      <c r="A366" s="212">
        <v>45025</v>
      </c>
      <c r="B366" s="104" t="s">
        <v>24</v>
      </c>
      <c r="C366" s="145">
        <v>455</v>
      </c>
      <c r="D366" s="145"/>
      <c r="E366" s="104">
        <v>5</v>
      </c>
      <c r="F366" s="106">
        <v>0.010989010989011</v>
      </c>
      <c r="G366" s="107">
        <v>0</v>
      </c>
      <c r="H366" s="106">
        <v>0</v>
      </c>
      <c r="I366" s="106"/>
      <c r="J366" s="106"/>
      <c r="K366" s="106"/>
      <c r="L366" s="213">
        <v>-23</v>
      </c>
      <c r="M366" s="213">
        <v>-122.333333333333</v>
      </c>
      <c r="N366" s="213">
        <v>-114</v>
      </c>
      <c r="O366" s="213">
        <v>-97</v>
      </c>
      <c r="P366" s="115">
        <v>-2</v>
      </c>
      <c r="Q366" s="115">
        <v>-1.66666666666667</v>
      </c>
      <c r="R366" s="117">
        <v>-1.4</v>
      </c>
      <c r="S366" s="117">
        <v>-1.57142857142857</v>
      </c>
      <c r="T366" s="115">
        <v>-3</v>
      </c>
      <c r="U366" s="115">
        <v>-2</v>
      </c>
      <c r="V366" s="115">
        <v>-1.6</v>
      </c>
      <c r="W366" s="115">
        <v>-1.71428571428571</v>
      </c>
    </row>
    <row r="367" spans="1:23">
      <c r="A367" s="212">
        <v>45025</v>
      </c>
      <c r="B367" s="104" t="s">
        <v>25</v>
      </c>
      <c r="C367" s="145">
        <v>11147</v>
      </c>
      <c r="D367" s="145"/>
      <c r="E367" s="104">
        <v>38</v>
      </c>
      <c r="F367" s="106">
        <v>0.00340898896564098</v>
      </c>
      <c r="G367" s="107">
        <v>18</v>
      </c>
      <c r="H367" s="106">
        <v>0.473684210526316</v>
      </c>
      <c r="I367" s="106"/>
      <c r="J367" s="106"/>
      <c r="K367" s="106"/>
      <c r="L367" s="213">
        <v>-674</v>
      </c>
      <c r="M367" s="213">
        <v>-3919.33333333333</v>
      </c>
      <c r="N367" s="213">
        <v>-2614.2</v>
      </c>
      <c r="O367" s="213">
        <v>-1614.71428571429</v>
      </c>
      <c r="P367" s="116">
        <v>-12</v>
      </c>
      <c r="Q367" s="115">
        <v>-7.66666666666666</v>
      </c>
      <c r="R367" s="115">
        <v>-7.6</v>
      </c>
      <c r="S367" s="115">
        <v>-9.71428571428572</v>
      </c>
      <c r="T367" s="108">
        <v>-40</v>
      </c>
      <c r="U367" s="108">
        <v>-12.3333333333333</v>
      </c>
      <c r="V367" s="108">
        <v>-8.8</v>
      </c>
      <c r="W367" s="108">
        <v>-7.14285714285714</v>
      </c>
    </row>
    <row r="368" spans="1:23">
      <c r="A368" s="212">
        <v>45025</v>
      </c>
      <c r="B368" s="104" t="s">
        <v>26</v>
      </c>
      <c r="C368" s="145">
        <v>2322</v>
      </c>
      <c r="D368" s="145"/>
      <c r="E368" s="104">
        <v>56</v>
      </c>
      <c r="F368" s="106">
        <v>0.0241171403962102</v>
      </c>
      <c r="G368" s="107">
        <v>22</v>
      </c>
      <c r="H368" s="106">
        <v>0.392857142857143</v>
      </c>
      <c r="I368" s="106"/>
      <c r="J368" s="106"/>
      <c r="K368" s="106"/>
      <c r="L368" s="213">
        <v>347</v>
      </c>
      <c r="M368" s="213">
        <v>648.666666666667</v>
      </c>
      <c r="N368" s="213">
        <v>716.8</v>
      </c>
      <c r="O368" s="213">
        <v>798.142857142857</v>
      </c>
      <c r="P368" s="108">
        <v>-17</v>
      </c>
      <c r="Q368" s="108">
        <v>-16.6666666666667</v>
      </c>
      <c r="R368" s="108">
        <v>-22</v>
      </c>
      <c r="S368" s="108">
        <v>-26.5714285714286</v>
      </c>
      <c r="T368" s="108">
        <v>-12</v>
      </c>
      <c r="U368" s="108">
        <v>-2.33333333333333</v>
      </c>
      <c r="V368" s="108">
        <v>-1.6</v>
      </c>
      <c r="W368" s="108">
        <v>-0.571428571428573</v>
      </c>
    </row>
    <row r="369" spans="1:23">
      <c r="A369" s="212">
        <v>45025</v>
      </c>
      <c r="B369" s="104" t="s">
        <v>27</v>
      </c>
      <c r="C369" s="145">
        <v>53</v>
      </c>
      <c r="D369" s="145"/>
      <c r="E369" s="104">
        <v>4</v>
      </c>
      <c r="F369" s="106">
        <v>0.0754716981132075</v>
      </c>
      <c r="G369" s="107">
        <v>2</v>
      </c>
      <c r="H369" s="106">
        <v>0.5</v>
      </c>
      <c r="I369" s="106"/>
      <c r="J369" s="106"/>
      <c r="K369" s="106"/>
      <c r="L369" s="213">
        <v>-27</v>
      </c>
      <c r="M369" s="213">
        <v>-7.66666666666666</v>
      </c>
      <c r="N369" s="213">
        <v>-4</v>
      </c>
      <c r="O369" s="213">
        <v>0.571428571428569</v>
      </c>
      <c r="P369" s="108">
        <v>-4</v>
      </c>
      <c r="Q369" s="108">
        <v>-0.666666666666667</v>
      </c>
      <c r="R369" s="108">
        <v>1</v>
      </c>
      <c r="S369" s="108">
        <v>1.42857142857143</v>
      </c>
      <c r="T369" s="108">
        <v>2</v>
      </c>
      <c r="U369" s="108">
        <v>1.33333333333333</v>
      </c>
      <c r="V369" s="108">
        <v>1.2</v>
      </c>
      <c r="W369" s="108">
        <v>1.42857142857143</v>
      </c>
    </row>
    <row r="370" spans="1:23">
      <c r="A370" s="212">
        <v>45025</v>
      </c>
      <c r="B370" s="104" t="s">
        <v>28</v>
      </c>
      <c r="C370" s="145">
        <v>0</v>
      </c>
      <c r="D370" s="145"/>
      <c r="E370" s="104">
        <v>0</v>
      </c>
      <c r="F370" s="106">
        <v>0</v>
      </c>
      <c r="G370" s="107">
        <v>0</v>
      </c>
      <c r="H370" s="106">
        <v>0</v>
      </c>
      <c r="I370" s="106"/>
      <c r="J370" s="106"/>
      <c r="K370" s="106"/>
      <c r="L370" s="213">
        <v>0</v>
      </c>
      <c r="M370" s="213">
        <v>0</v>
      </c>
      <c r="N370" s="213">
        <v>0</v>
      </c>
      <c r="O370" s="213">
        <v>0</v>
      </c>
      <c r="P370" s="108">
        <v>0</v>
      </c>
      <c r="Q370" s="108">
        <v>0</v>
      </c>
      <c r="R370" s="108">
        <v>0</v>
      </c>
      <c r="S370" s="108">
        <v>0</v>
      </c>
      <c r="T370" s="108">
        <v>0</v>
      </c>
      <c r="U370" s="108">
        <v>0</v>
      </c>
      <c r="V370" s="108">
        <v>0</v>
      </c>
      <c r="W370" s="108">
        <v>0</v>
      </c>
    </row>
    <row r="371" spans="1:23">
      <c r="A371" s="212">
        <v>45025</v>
      </c>
      <c r="B371" s="104" t="s">
        <v>29</v>
      </c>
      <c r="C371" s="145">
        <v>0</v>
      </c>
      <c r="D371" s="145"/>
      <c r="E371" s="104">
        <v>0</v>
      </c>
      <c r="F371" s="106">
        <v>0</v>
      </c>
      <c r="G371" s="107">
        <v>0</v>
      </c>
      <c r="H371" s="106">
        <v>0</v>
      </c>
      <c r="I371" s="106"/>
      <c r="J371" s="106"/>
      <c r="K371" s="106"/>
      <c r="L371" s="213">
        <v>0</v>
      </c>
      <c r="M371" s="213">
        <v>-1</v>
      </c>
      <c r="N371" s="213">
        <v>-2</v>
      </c>
      <c r="O371" s="213">
        <v>-2.42857142857143</v>
      </c>
      <c r="P371" s="108">
        <v>-1</v>
      </c>
      <c r="Q371" s="108">
        <v>-0.333333333333333</v>
      </c>
      <c r="R371" s="108">
        <v>-0.2</v>
      </c>
      <c r="S371" s="108">
        <v>-0.142857142857143</v>
      </c>
      <c r="T371" s="108">
        <v>-1</v>
      </c>
      <c r="U371" s="108">
        <v>-0.333333333333333</v>
      </c>
      <c r="V371" s="108">
        <v>-0.2</v>
      </c>
      <c r="W371" s="108">
        <v>-0.142857142857143</v>
      </c>
    </row>
    <row r="372" spans="1:23">
      <c r="A372" s="212">
        <v>45025</v>
      </c>
      <c r="B372" s="104" t="s">
        <v>30</v>
      </c>
      <c r="C372" s="145">
        <v>0</v>
      </c>
      <c r="D372" s="145"/>
      <c r="E372" s="104">
        <v>0</v>
      </c>
      <c r="F372" s="106">
        <v>0</v>
      </c>
      <c r="G372" s="107">
        <v>0</v>
      </c>
      <c r="H372" s="106">
        <v>0</v>
      </c>
      <c r="I372" s="106"/>
      <c r="J372" s="106"/>
      <c r="K372" s="106"/>
      <c r="L372" s="213">
        <v>0</v>
      </c>
      <c r="M372" s="213">
        <v>0</v>
      </c>
      <c r="N372" s="213">
        <v>0</v>
      </c>
      <c r="O372" s="213">
        <v>0</v>
      </c>
      <c r="P372" s="108">
        <v>0</v>
      </c>
      <c r="Q372" s="108">
        <v>0</v>
      </c>
      <c r="R372" s="108">
        <v>0</v>
      </c>
      <c r="S372" s="108">
        <v>0</v>
      </c>
      <c r="T372" s="108">
        <v>0</v>
      </c>
      <c r="U372" s="108">
        <v>0</v>
      </c>
      <c r="V372" s="108">
        <v>0</v>
      </c>
      <c r="W372" s="108">
        <v>0</v>
      </c>
    </row>
    <row r="373" spans="1:23">
      <c r="A373" s="212">
        <v>45025</v>
      </c>
      <c r="B373" s="104" t="s">
        <v>31</v>
      </c>
      <c r="C373" s="145">
        <v>0</v>
      </c>
      <c r="D373" s="145"/>
      <c r="E373" s="104">
        <v>0</v>
      </c>
      <c r="F373" s="106">
        <v>0</v>
      </c>
      <c r="G373" s="107">
        <v>0</v>
      </c>
      <c r="H373" s="106">
        <v>0</v>
      </c>
      <c r="I373" s="106"/>
      <c r="J373" s="106"/>
      <c r="K373" s="106"/>
      <c r="L373" s="213">
        <v>0</v>
      </c>
      <c r="M373" s="213">
        <v>0</v>
      </c>
      <c r="N373" s="213">
        <v>0</v>
      </c>
      <c r="O373" s="213">
        <v>0</v>
      </c>
      <c r="P373" s="108">
        <v>-1</v>
      </c>
      <c r="Q373" s="108">
        <v>-0.333333333333333</v>
      </c>
      <c r="R373" s="108">
        <v>-0.8</v>
      </c>
      <c r="S373" s="108">
        <v>-0.571428571428571</v>
      </c>
      <c r="T373" s="108">
        <v>0</v>
      </c>
      <c r="U373" s="108">
        <v>0</v>
      </c>
      <c r="V373" s="108">
        <v>0</v>
      </c>
      <c r="W373" s="108">
        <v>0</v>
      </c>
    </row>
    <row r="374" spans="1:23">
      <c r="A374" s="212">
        <v>45025</v>
      </c>
      <c r="B374" s="104" t="s">
        <v>32</v>
      </c>
      <c r="C374" s="145">
        <v>0</v>
      </c>
      <c r="D374" s="145"/>
      <c r="E374" s="104">
        <v>0</v>
      </c>
      <c r="F374" s="106">
        <v>0</v>
      </c>
      <c r="G374" s="107">
        <v>0</v>
      </c>
      <c r="H374" s="106">
        <v>0</v>
      </c>
      <c r="I374" s="106"/>
      <c r="J374" s="106"/>
      <c r="K374" s="106"/>
      <c r="L374" s="213">
        <v>0</v>
      </c>
      <c r="M374" s="213">
        <v>0</v>
      </c>
      <c r="N374" s="213">
        <v>0</v>
      </c>
      <c r="O374" s="213">
        <v>0</v>
      </c>
      <c r="P374" s="108">
        <v>0</v>
      </c>
      <c r="Q374" s="108">
        <v>0</v>
      </c>
      <c r="R374" s="108">
        <v>0</v>
      </c>
      <c r="S374" s="108">
        <v>0</v>
      </c>
      <c r="T374" s="108">
        <v>0</v>
      </c>
      <c r="U374" s="108">
        <v>0</v>
      </c>
      <c r="V374" s="108">
        <v>0</v>
      </c>
      <c r="W374" s="108">
        <v>0</v>
      </c>
    </row>
    <row r="375" spans="1:23">
      <c r="A375" s="212">
        <v>45025</v>
      </c>
      <c r="B375" s="104" t="s">
        <v>33</v>
      </c>
      <c r="C375" s="145">
        <v>0</v>
      </c>
      <c r="D375" s="145"/>
      <c r="E375" s="104">
        <v>0</v>
      </c>
      <c r="F375" s="106">
        <v>0</v>
      </c>
      <c r="G375" s="107">
        <v>0</v>
      </c>
      <c r="H375" s="106">
        <v>0</v>
      </c>
      <c r="I375" s="106"/>
      <c r="J375" s="106"/>
      <c r="K375" s="106"/>
      <c r="L375" s="213">
        <v>0</v>
      </c>
      <c r="M375" s="213">
        <v>0</v>
      </c>
      <c r="N375" s="213">
        <v>0</v>
      </c>
      <c r="O375" s="213">
        <v>0</v>
      </c>
      <c r="P375" s="108">
        <v>0</v>
      </c>
      <c r="Q375" s="108">
        <v>0</v>
      </c>
      <c r="R375" s="108">
        <v>0</v>
      </c>
      <c r="S375" s="108">
        <v>0</v>
      </c>
      <c r="T375" s="108">
        <v>0</v>
      </c>
      <c r="U375" s="108">
        <v>0</v>
      </c>
      <c r="V375" s="108">
        <v>0</v>
      </c>
      <c r="W375" s="108">
        <v>0</v>
      </c>
    </row>
    <row r="376" spans="1:23">
      <c r="A376" s="212">
        <v>45025</v>
      </c>
      <c r="B376" s="104" t="s">
        <v>34</v>
      </c>
      <c r="C376" s="145">
        <v>0</v>
      </c>
      <c r="D376" s="145"/>
      <c r="E376" s="104">
        <v>0</v>
      </c>
      <c r="F376" s="106">
        <v>0</v>
      </c>
      <c r="G376" s="107">
        <v>0</v>
      </c>
      <c r="H376" s="106">
        <v>0</v>
      </c>
      <c r="I376" s="106"/>
      <c r="J376" s="106"/>
      <c r="K376" s="106"/>
      <c r="L376" s="213">
        <v>0</v>
      </c>
      <c r="M376" s="213">
        <v>0</v>
      </c>
      <c r="N376" s="213">
        <v>0</v>
      </c>
      <c r="O376" s="213">
        <v>0</v>
      </c>
      <c r="P376" s="108">
        <v>0</v>
      </c>
      <c r="Q376" s="108">
        <v>0</v>
      </c>
      <c r="R376" s="108">
        <v>0</v>
      </c>
      <c r="S376" s="108">
        <v>0</v>
      </c>
      <c r="T376" s="108">
        <v>0</v>
      </c>
      <c r="U376" s="108">
        <v>0</v>
      </c>
      <c r="V376" s="108">
        <v>0</v>
      </c>
      <c r="W376" s="108">
        <v>0</v>
      </c>
    </row>
    <row r="377" spans="1:23">
      <c r="A377" s="212">
        <v>45025</v>
      </c>
      <c r="B377" s="104" t="s">
        <v>35</v>
      </c>
      <c r="C377" s="145">
        <v>0</v>
      </c>
      <c r="D377" s="145"/>
      <c r="E377" s="104">
        <v>0</v>
      </c>
      <c r="F377" s="106">
        <v>0</v>
      </c>
      <c r="G377" s="107">
        <v>0</v>
      </c>
      <c r="H377" s="106">
        <v>0</v>
      </c>
      <c r="I377" s="106"/>
      <c r="J377" s="106"/>
      <c r="K377" s="106"/>
      <c r="L377" s="213">
        <v>0</v>
      </c>
      <c r="M377" s="213">
        <v>0</v>
      </c>
      <c r="N377" s="213">
        <v>0</v>
      </c>
      <c r="O377" s="213">
        <v>0</v>
      </c>
      <c r="P377" s="108">
        <v>0</v>
      </c>
      <c r="Q377" s="108">
        <v>0</v>
      </c>
      <c r="R377" s="108">
        <v>0</v>
      </c>
      <c r="S377" s="108">
        <v>0</v>
      </c>
      <c r="T377" s="108">
        <v>0</v>
      </c>
      <c r="U377" s="108">
        <v>0</v>
      </c>
      <c r="V377" s="108">
        <v>0</v>
      </c>
      <c r="W377" s="108">
        <v>0</v>
      </c>
    </row>
    <row r="378" spans="1:23">
      <c r="A378" s="212">
        <v>45025</v>
      </c>
      <c r="B378" s="104" t="s">
        <v>36</v>
      </c>
      <c r="C378" s="145">
        <v>0</v>
      </c>
      <c r="D378" s="145"/>
      <c r="E378" s="104">
        <v>0</v>
      </c>
      <c r="F378" s="106">
        <v>0</v>
      </c>
      <c r="G378" s="107">
        <v>0</v>
      </c>
      <c r="H378" s="106">
        <v>0</v>
      </c>
      <c r="I378" s="106"/>
      <c r="J378" s="106"/>
      <c r="K378" s="106"/>
      <c r="L378" s="213">
        <v>0</v>
      </c>
      <c r="M378" s="213">
        <v>0</v>
      </c>
      <c r="N378" s="213">
        <v>0</v>
      </c>
      <c r="O378" s="213">
        <v>0</v>
      </c>
      <c r="P378" s="108">
        <v>0</v>
      </c>
      <c r="Q378" s="108">
        <v>0</v>
      </c>
      <c r="R378" s="108">
        <v>0</v>
      </c>
      <c r="S378" s="108">
        <v>0</v>
      </c>
      <c r="T378" s="108">
        <v>0</v>
      </c>
      <c r="U378" s="108">
        <v>0</v>
      </c>
      <c r="V378" s="108">
        <v>0</v>
      </c>
      <c r="W378" s="108">
        <v>0</v>
      </c>
    </row>
    <row r="379" spans="1:23">
      <c r="A379" s="212">
        <v>45025</v>
      </c>
      <c r="B379" s="104" t="s">
        <v>37</v>
      </c>
      <c r="C379" s="145">
        <v>0</v>
      </c>
      <c r="D379" s="145"/>
      <c r="E379" s="104">
        <v>0</v>
      </c>
      <c r="F379" s="106">
        <v>0</v>
      </c>
      <c r="G379" s="107">
        <v>0</v>
      </c>
      <c r="H379" s="106">
        <v>0</v>
      </c>
      <c r="I379" s="106"/>
      <c r="J379" s="106"/>
      <c r="K379" s="106"/>
      <c r="L379" s="213">
        <v>0</v>
      </c>
      <c r="M379" s="213">
        <v>0</v>
      </c>
      <c r="N379" s="213">
        <v>0</v>
      </c>
      <c r="O379" s="213">
        <v>0</v>
      </c>
      <c r="P379" s="108">
        <v>0</v>
      </c>
      <c r="Q379" s="108">
        <v>0</v>
      </c>
      <c r="R379" s="108">
        <v>0</v>
      </c>
      <c r="S379" s="108">
        <v>0</v>
      </c>
      <c r="T379" s="108">
        <v>0</v>
      </c>
      <c r="U379" s="108">
        <v>0</v>
      </c>
      <c r="V379" s="108">
        <v>0</v>
      </c>
      <c r="W379" s="108">
        <v>0</v>
      </c>
    </row>
    <row r="380" spans="1:23">
      <c r="A380" s="212">
        <v>45025</v>
      </c>
      <c r="B380" s="104" t="s">
        <v>38</v>
      </c>
      <c r="C380" s="145">
        <v>0</v>
      </c>
      <c r="D380" s="145"/>
      <c r="E380" s="104">
        <v>0</v>
      </c>
      <c r="F380" s="106">
        <v>0</v>
      </c>
      <c r="G380" s="107">
        <v>0</v>
      </c>
      <c r="H380" s="106">
        <v>0</v>
      </c>
      <c r="I380" s="106"/>
      <c r="J380" s="106"/>
      <c r="K380" s="106"/>
      <c r="L380" s="213">
        <v>0</v>
      </c>
      <c r="M380" s="213">
        <v>0</v>
      </c>
      <c r="N380" s="213">
        <v>0</v>
      </c>
      <c r="O380" s="213">
        <v>0</v>
      </c>
      <c r="P380" s="108">
        <v>0</v>
      </c>
      <c r="Q380" s="108">
        <v>0</v>
      </c>
      <c r="R380" s="108">
        <v>0</v>
      </c>
      <c r="S380" s="108">
        <v>0</v>
      </c>
      <c r="T380" s="108">
        <v>0</v>
      </c>
      <c r="U380" s="108">
        <v>0</v>
      </c>
      <c r="V380" s="108">
        <v>0</v>
      </c>
      <c r="W380" s="108">
        <v>0</v>
      </c>
    </row>
    <row r="381" spans="1:23">
      <c r="A381" s="212">
        <v>45025</v>
      </c>
      <c r="B381" s="111" t="s">
        <v>39</v>
      </c>
      <c r="C381" s="112">
        <v>22261</v>
      </c>
      <c r="D381" s="112"/>
      <c r="E381" s="112">
        <v>333</v>
      </c>
      <c r="F381" s="113">
        <v>0.0149588967252145</v>
      </c>
      <c r="G381" s="112">
        <v>116</v>
      </c>
      <c r="H381" s="113">
        <v>0.348348348348348</v>
      </c>
      <c r="I381" s="113"/>
      <c r="J381" s="113"/>
      <c r="K381" s="113"/>
      <c r="L381" s="213"/>
      <c r="M381" s="213"/>
      <c r="N381" s="213"/>
      <c r="O381" s="213"/>
      <c r="P381" s="108"/>
      <c r="Q381" s="108"/>
      <c r="R381" s="108"/>
      <c r="S381" s="108"/>
      <c r="T381" s="108"/>
      <c r="U381" s="108"/>
      <c r="V381" s="108"/>
      <c r="W381" s="108"/>
    </row>
    <row r="382" spans="1:23">
      <c r="A382" s="212">
        <v>45026</v>
      </c>
      <c r="B382" s="104" t="s">
        <v>17</v>
      </c>
      <c r="C382" s="105">
        <v>167</v>
      </c>
      <c r="D382" s="105"/>
      <c r="E382" s="104">
        <v>27</v>
      </c>
      <c r="F382" s="106">
        <v>0.161676646706587</v>
      </c>
      <c r="G382" s="107">
        <v>2</v>
      </c>
      <c r="H382" s="106">
        <v>0.0740740740740741</v>
      </c>
      <c r="I382" s="106"/>
      <c r="J382" s="106"/>
      <c r="K382" s="106"/>
      <c r="L382" s="213">
        <v>11</v>
      </c>
      <c r="M382" s="213">
        <v>16</v>
      </c>
      <c r="N382" s="213">
        <v>38</v>
      </c>
      <c r="O382" s="213">
        <v>52</v>
      </c>
      <c r="P382" s="108">
        <v>-6</v>
      </c>
      <c r="Q382" s="108">
        <v>-2</v>
      </c>
      <c r="R382" s="108">
        <v>-2.6</v>
      </c>
      <c r="S382" s="108">
        <v>-3.71428571428572</v>
      </c>
      <c r="T382" s="108">
        <v>-2</v>
      </c>
      <c r="U382" s="108">
        <v>-1.33333333333333</v>
      </c>
      <c r="V382" s="108">
        <v>-1.6</v>
      </c>
      <c r="W382" s="108">
        <v>-1.85714285714286</v>
      </c>
    </row>
    <row r="383" spans="1:23">
      <c r="A383" s="212">
        <v>45026</v>
      </c>
      <c r="B383" s="104" t="s">
        <v>19</v>
      </c>
      <c r="C383" s="107">
        <v>587</v>
      </c>
      <c r="D383" s="107"/>
      <c r="E383" s="104">
        <v>23</v>
      </c>
      <c r="F383" s="106">
        <v>0.0391822827938671</v>
      </c>
      <c r="G383" s="107">
        <v>11</v>
      </c>
      <c r="H383" s="106">
        <v>0.478260869565217</v>
      </c>
      <c r="I383" s="106"/>
      <c r="J383" s="106"/>
      <c r="K383" s="106"/>
      <c r="L383" s="213">
        <v>-14</v>
      </c>
      <c r="M383" s="213">
        <v>-159</v>
      </c>
      <c r="N383" s="213">
        <v>-127.2</v>
      </c>
      <c r="O383" s="213">
        <v>-111.571428571429</v>
      </c>
      <c r="P383" s="108">
        <v>-5</v>
      </c>
      <c r="Q383" s="108">
        <v>-9.66666666666666</v>
      </c>
      <c r="R383" s="108">
        <v>-6.2</v>
      </c>
      <c r="S383" s="108">
        <v>-3.57142857142857</v>
      </c>
      <c r="T383" s="108">
        <v>-2</v>
      </c>
      <c r="U383" s="108">
        <v>1</v>
      </c>
      <c r="V383" s="108">
        <v>1</v>
      </c>
      <c r="W383" s="115">
        <v>0.428571428571429</v>
      </c>
    </row>
    <row r="384" spans="1:23">
      <c r="A384" s="212">
        <v>45026</v>
      </c>
      <c r="B384" s="104" t="s">
        <v>21</v>
      </c>
      <c r="C384" s="145">
        <v>397</v>
      </c>
      <c r="D384" s="145"/>
      <c r="E384" s="104">
        <v>23</v>
      </c>
      <c r="F384" s="106">
        <v>0.0579345088161209</v>
      </c>
      <c r="G384" s="107">
        <v>11</v>
      </c>
      <c r="H384" s="106">
        <v>0.478260869565217</v>
      </c>
      <c r="I384" s="106"/>
      <c r="J384" s="106"/>
      <c r="K384" s="106"/>
      <c r="L384" s="213">
        <v>8</v>
      </c>
      <c r="M384" s="213">
        <v>-96</v>
      </c>
      <c r="N384" s="213">
        <v>-182</v>
      </c>
      <c r="O384" s="213">
        <v>-263.285714285714</v>
      </c>
      <c r="P384" s="108">
        <v>1</v>
      </c>
      <c r="Q384" s="108">
        <v>0</v>
      </c>
      <c r="R384" s="108">
        <v>-1.2</v>
      </c>
      <c r="S384" s="108">
        <v>-0.857142857142858</v>
      </c>
      <c r="T384" s="108">
        <v>0</v>
      </c>
      <c r="U384" s="108">
        <v>2</v>
      </c>
      <c r="V384" s="108">
        <v>2</v>
      </c>
      <c r="W384" s="108">
        <v>2.14285714285714</v>
      </c>
    </row>
    <row r="385" spans="1:23">
      <c r="A385" s="212">
        <v>45026</v>
      </c>
      <c r="B385" s="104" t="s">
        <v>22</v>
      </c>
      <c r="C385" s="145">
        <v>4093</v>
      </c>
      <c r="D385" s="145"/>
      <c r="E385" s="104">
        <v>99</v>
      </c>
      <c r="F385" s="106">
        <v>0.0241876374297581</v>
      </c>
      <c r="G385" s="107">
        <v>33</v>
      </c>
      <c r="H385" s="106">
        <v>0.333333333333333</v>
      </c>
      <c r="I385" s="106"/>
      <c r="J385" s="106"/>
      <c r="K385" s="106"/>
      <c r="L385" s="213">
        <v>-379</v>
      </c>
      <c r="M385" s="213">
        <v>-346</v>
      </c>
      <c r="N385" s="213">
        <v>-545.6</v>
      </c>
      <c r="O385" s="213">
        <v>-710.428571428572</v>
      </c>
      <c r="P385" s="108">
        <v>-17</v>
      </c>
      <c r="Q385" s="108">
        <v>-13</v>
      </c>
      <c r="R385" s="108">
        <v>-17</v>
      </c>
      <c r="S385" s="115">
        <v>-23.5714285714286</v>
      </c>
      <c r="T385" s="108">
        <v>-5</v>
      </c>
      <c r="U385" s="108">
        <v>8</v>
      </c>
      <c r="V385" s="108">
        <v>0</v>
      </c>
      <c r="W385" s="117">
        <v>-2.42857142857143</v>
      </c>
    </row>
    <row r="386" spans="1:23">
      <c r="A386" s="212">
        <v>45026</v>
      </c>
      <c r="B386" s="104" t="s">
        <v>23</v>
      </c>
      <c r="C386" s="145">
        <v>2469</v>
      </c>
      <c r="D386" s="145"/>
      <c r="E386" s="104">
        <v>34</v>
      </c>
      <c r="F386" s="106">
        <v>0.0137707573916565</v>
      </c>
      <c r="G386" s="107">
        <v>13</v>
      </c>
      <c r="H386" s="106">
        <v>0.382352941176471</v>
      </c>
      <c r="I386" s="106"/>
      <c r="J386" s="106"/>
      <c r="K386" s="106"/>
      <c r="L386" s="213">
        <v>-197</v>
      </c>
      <c r="M386" s="213">
        <v>-333</v>
      </c>
      <c r="N386" s="213">
        <v>-488.8</v>
      </c>
      <c r="O386" s="213">
        <v>-622</v>
      </c>
      <c r="P386" s="108">
        <v>3</v>
      </c>
      <c r="Q386" s="108">
        <v>3.33333333333333</v>
      </c>
      <c r="R386" s="108">
        <v>-0.200000000000003</v>
      </c>
      <c r="S386" s="108">
        <v>-4</v>
      </c>
      <c r="T386" s="108">
        <v>5</v>
      </c>
      <c r="U386" s="116">
        <v>1.66666666666667</v>
      </c>
      <c r="V386" s="108">
        <v>2</v>
      </c>
      <c r="W386" s="108">
        <v>-0.857142857142858</v>
      </c>
    </row>
    <row r="387" spans="1:23">
      <c r="A387" s="212">
        <v>45026</v>
      </c>
      <c r="B387" s="104" t="s">
        <v>24</v>
      </c>
      <c r="C387" s="145">
        <v>506</v>
      </c>
      <c r="D387" s="145"/>
      <c r="E387" s="104">
        <v>6</v>
      </c>
      <c r="F387" s="106">
        <v>0.0118577075098814</v>
      </c>
      <c r="G387" s="107">
        <v>3</v>
      </c>
      <c r="H387" s="106">
        <v>0.5</v>
      </c>
      <c r="I387" s="106"/>
      <c r="J387" s="106"/>
      <c r="K387" s="106"/>
      <c r="L387" s="213">
        <v>51</v>
      </c>
      <c r="M387" s="213">
        <v>43</v>
      </c>
      <c r="N387" s="213">
        <v>-40.2</v>
      </c>
      <c r="O387" s="213">
        <v>-39.5714285714286</v>
      </c>
      <c r="P387" s="115">
        <v>1</v>
      </c>
      <c r="Q387" s="115">
        <v>-0.333333333333333</v>
      </c>
      <c r="R387" s="117">
        <v>0</v>
      </c>
      <c r="S387" s="117">
        <v>-0.285714285714286</v>
      </c>
      <c r="T387" s="115">
        <v>3</v>
      </c>
      <c r="U387" s="115">
        <v>1.33333333333333</v>
      </c>
      <c r="V387" s="115">
        <v>1.6</v>
      </c>
      <c r="W387" s="115">
        <v>1.71428571428571</v>
      </c>
    </row>
    <row r="388" spans="1:23">
      <c r="A388" s="212">
        <v>45026</v>
      </c>
      <c r="B388" s="104" t="s">
        <v>25</v>
      </c>
      <c r="C388" s="145">
        <v>3520</v>
      </c>
      <c r="D388" s="145"/>
      <c r="E388" s="104">
        <v>27</v>
      </c>
      <c r="F388" s="106">
        <v>0.00767045454545455</v>
      </c>
      <c r="G388" s="107">
        <v>10</v>
      </c>
      <c r="H388" s="106">
        <v>0.37037037037037</v>
      </c>
      <c r="I388" s="106"/>
      <c r="J388" s="106"/>
      <c r="K388" s="106"/>
      <c r="L388" s="213">
        <v>-7627</v>
      </c>
      <c r="M388" s="213">
        <v>-9184</v>
      </c>
      <c r="N388" s="213">
        <v>-10706.4</v>
      </c>
      <c r="O388" s="213">
        <v>-9497.28571428571</v>
      </c>
      <c r="P388" s="116">
        <v>-11</v>
      </c>
      <c r="Q388" s="115">
        <v>-16.3333333333333</v>
      </c>
      <c r="R388" s="115">
        <v>-17.6</v>
      </c>
      <c r="S388" s="115">
        <v>-19.1428571428571</v>
      </c>
      <c r="T388" s="108">
        <v>-8</v>
      </c>
      <c r="U388" s="108">
        <v>-20.6666666666667</v>
      </c>
      <c r="V388" s="108">
        <v>-17.2</v>
      </c>
      <c r="W388" s="108">
        <v>-14.7142857142857</v>
      </c>
    </row>
    <row r="389" spans="1:23">
      <c r="A389" s="212">
        <v>45026</v>
      </c>
      <c r="B389" s="104" t="s">
        <v>26</v>
      </c>
      <c r="C389" s="145">
        <v>2044</v>
      </c>
      <c r="D389" s="145"/>
      <c r="E389" s="104">
        <v>45</v>
      </c>
      <c r="F389" s="106">
        <v>0.0220156555772994</v>
      </c>
      <c r="G389" s="107">
        <v>18</v>
      </c>
      <c r="H389" s="106">
        <v>0.4</v>
      </c>
      <c r="I389" s="106"/>
      <c r="J389" s="106"/>
      <c r="K389" s="106"/>
      <c r="L389" s="213">
        <v>-278</v>
      </c>
      <c r="M389" s="213">
        <v>133.333333333333</v>
      </c>
      <c r="N389" s="213">
        <v>329.2</v>
      </c>
      <c r="O389" s="213">
        <v>263.857142857143</v>
      </c>
      <c r="P389" s="108">
        <v>-11</v>
      </c>
      <c r="Q389" s="108">
        <v>-20.3333333333333</v>
      </c>
      <c r="R389" s="108">
        <v>-25.4</v>
      </c>
      <c r="S389" s="108">
        <v>-32.7142857142857</v>
      </c>
      <c r="T389" s="108">
        <v>-4</v>
      </c>
      <c r="U389" s="108">
        <v>-7</v>
      </c>
      <c r="V389" s="108">
        <v>-4.8</v>
      </c>
      <c r="W389" s="108">
        <v>-4.71428571428572</v>
      </c>
    </row>
    <row r="390" spans="1:23">
      <c r="A390" s="212">
        <v>45026</v>
      </c>
      <c r="B390" s="104" t="s">
        <v>27</v>
      </c>
      <c r="C390" s="145">
        <v>52</v>
      </c>
      <c r="D390" s="145"/>
      <c r="E390" s="104">
        <v>3</v>
      </c>
      <c r="F390" s="106">
        <v>0.0576923076923077</v>
      </c>
      <c r="G390" s="107">
        <v>2</v>
      </c>
      <c r="H390" s="106">
        <v>0.666666666666667</v>
      </c>
      <c r="I390" s="106"/>
      <c r="J390" s="106"/>
      <c r="K390" s="106"/>
      <c r="L390" s="213">
        <v>-1</v>
      </c>
      <c r="M390" s="213">
        <v>-12.6666666666667</v>
      </c>
      <c r="N390" s="213">
        <v>-5.8</v>
      </c>
      <c r="O390" s="213">
        <v>-1.71428571428572</v>
      </c>
      <c r="P390" s="108">
        <v>-1</v>
      </c>
      <c r="Q390" s="108">
        <v>-2</v>
      </c>
      <c r="R390" s="108">
        <v>-0.8</v>
      </c>
      <c r="S390" s="108">
        <v>-0.142857142857143</v>
      </c>
      <c r="T390" s="108">
        <v>0</v>
      </c>
      <c r="U390" s="108">
        <v>1</v>
      </c>
      <c r="V390" s="108">
        <v>1.2</v>
      </c>
      <c r="W390" s="108">
        <v>1.14285714285714</v>
      </c>
    </row>
    <row r="391" spans="1:23">
      <c r="A391" s="212">
        <v>45026</v>
      </c>
      <c r="B391" s="104" t="s">
        <v>28</v>
      </c>
      <c r="C391" s="145">
        <v>0</v>
      </c>
      <c r="D391" s="145"/>
      <c r="E391" s="104">
        <v>0</v>
      </c>
      <c r="F391" s="106">
        <v>0</v>
      </c>
      <c r="G391" s="107">
        <v>0</v>
      </c>
      <c r="H391" s="106">
        <v>0</v>
      </c>
      <c r="I391" s="106"/>
      <c r="J391" s="106"/>
      <c r="K391" s="106"/>
      <c r="L391" s="213">
        <v>0</v>
      </c>
      <c r="M391" s="213">
        <v>0</v>
      </c>
      <c r="N391" s="213">
        <v>0</v>
      </c>
      <c r="O391" s="213">
        <v>0</v>
      </c>
      <c r="P391" s="108">
        <v>0</v>
      </c>
      <c r="Q391" s="108">
        <v>0</v>
      </c>
      <c r="R391" s="108">
        <v>0</v>
      </c>
      <c r="S391" s="108">
        <v>0</v>
      </c>
      <c r="T391" s="108">
        <v>0</v>
      </c>
      <c r="U391" s="108">
        <v>0</v>
      </c>
      <c r="V391" s="108">
        <v>0</v>
      </c>
      <c r="W391" s="108">
        <v>0</v>
      </c>
    </row>
    <row r="392" spans="1:23">
      <c r="A392" s="212">
        <v>45026</v>
      </c>
      <c r="B392" s="104" t="s">
        <v>29</v>
      </c>
      <c r="C392" s="145">
        <v>1</v>
      </c>
      <c r="D392" s="145"/>
      <c r="E392" s="104">
        <v>1</v>
      </c>
      <c r="F392" s="106">
        <v>1</v>
      </c>
      <c r="G392" s="107">
        <v>0</v>
      </c>
      <c r="H392" s="106">
        <v>0</v>
      </c>
      <c r="I392" s="106"/>
      <c r="J392" s="106"/>
      <c r="K392" s="106"/>
      <c r="L392" s="213">
        <v>1</v>
      </c>
      <c r="M392" s="213">
        <v>0.666666666666667</v>
      </c>
      <c r="N392" s="213">
        <v>0.2</v>
      </c>
      <c r="O392" s="213">
        <v>-1</v>
      </c>
      <c r="P392" s="108">
        <v>1</v>
      </c>
      <c r="Q392" s="108">
        <v>0.666666666666667</v>
      </c>
      <c r="R392" s="108">
        <v>0.8</v>
      </c>
      <c r="S392" s="108">
        <v>0.857142857142857</v>
      </c>
      <c r="T392" s="108">
        <v>0</v>
      </c>
      <c r="U392" s="108">
        <v>-0.333333333333333</v>
      </c>
      <c r="V392" s="108">
        <v>-0.2</v>
      </c>
      <c r="W392" s="108">
        <v>-0.142857142857143</v>
      </c>
    </row>
    <row r="393" spans="1:23">
      <c r="A393" s="212">
        <v>45026</v>
      </c>
      <c r="B393" s="104" t="s">
        <v>30</v>
      </c>
      <c r="C393" s="145">
        <v>0</v>
      </c>
      <c r="D393" s="145"/>
      <c r="E393" s="104">
        <v>0</v>
      </c>
      <c r="F393" s="106">
        <v>0</v>
      </c>
      <c r="G393" s="107">
        <v>0</v>
      </c>
      <c r="H393" s="106">
        <v>0</v>
      </c>
      <c r="I393" s="106"/>
      <c r="J393" s="106"/>
      <c r="K393" s="106"/>
      <c r="L393" s="213">
        <v>0</v>
      </c>
      <c r="M393" s="213">
        <v>0</v>
      </c>
      <c r="N393" s="213">
        <v>0</v>
      </c>
      <c r="O393" s="213">
        <v>0</v>
      </c>
      <c r="P393" s="108">
        <v>0</v>
      </c>
      <c r="Q393" s="108">
        <v>0</v>
      </c>
      <c r="R393" s="108">
        <v>0</v>
      </c>
      <c r="S393" s="108">
        <v>0</v>
      </c>
      <c r="T393" s="108">
        <v>0</v>
      </c>
      <c r="U393" s="108">
        <v>0</v>
      </c>
      <c r="V393" s="108">
        <v>0</v>
      </c>
      <c r="W393" s="108">
        <v>0</v>
      </c>
    </row>
    <row r="394" spans="1:23">
      <c r="A394" s="212">
        <v>45026</v>
      </c>
      <c r="B394" s="104" t="s">
        <v>31</v>
      </c>
      <c r="C394" s="145">
        <v>0</v>
      </c>
      <c r="D394" s="145"/>
      <c r="E394" s="104">
        <v>0</v>
      </c>
      <c r="F394" s="106">
        <v>0</v>
      </c>
      <c r="G394" s="107">
        <v>0</v>
      </c>
      <c r="H394" s="106">
        <v>0</v>
      </c>
      <c r="I394" s="106"/>
      <c r="J394" s="106"/>
      <c r="K394" s="106"/>
      <c r="L394" s="213">
        <v>0</v>
      </c>
      <c r="M394" s="213">
        <v>0</v>
      </c>
      <c r="N394" s="213">
        <v>0</v>
      </c>
      <c r="O394" s="213">
        <v>0</v>
      </c>
      <c r="P394" s="108">
        <v>0</v>
      </c>
      <c r="Q394" s="108">
        <v>-0.333333333333333</v>
      </c>
      <c r="R394" s="108">
        <v>-0.6</v>
      </c>
      <c r="S394" s="108">
        <v>-0.571428571428571</v>
      </c>
      <c r="T394" s="108">
        <v>0</v>
      </c>
      <c r="U394" s="108">
        <v>0</v>
      </c>
      <c r="V394" s="108">
        <v>0</v>
      </c>
      <c r="W394" s="108">
        <v>0</v>
      </c>
    </row>
    <row r="395" spans="1:23">
      <c r="A395" s="212">
        <v>45026</v>
      </c>
      <c r="B395" s="104" t="s">
        <v>32</v>
      </c>
      <c r="C395" s="145">
        <v>0</v>
      </c>
      <c r="D395" s="145"/>
      <c r="E395" s="104">
        <v>0</v>
      </c>
      <c r="F395" s="106">
        <v>0</v>
      </c>
      <c r="G395" s="107">
        <v>0</v>
      </c>
      <c r="H395" s="106">
        <v>0</v>
      </c>
      <c r="I395" s="106"/>
      <c r="J395" s="106"/>
      <c r="K395" s="106"/>
      <c r="L395" s="213">
        <v>0</v>
      </c>
      <c r="M395" s="213">
        <v>0</v>
      </c>
      <c r="N395" s="213">
        <v>0</v>
      </c>
      <c r="O395" s="213">
        <v>0</v>
      </c>
      <c r="P395" s="108">
        <v>0</v>
      </c>
      <c r="Q395" s="108">
        <v>0</v>
      </c>
      <c r="R395" s="108">
        <v>0</v>
      </c>
      <c r="S395" s="108">
        <v>0</v>
      </c>
      <c r="T395" s="108">
        <v>0</v>
      </c>
      <c r="U395" s="108">
        <v>0</v>
      </c>
      <c r="V395" s="108">
        <v>0</v>
      </c>
      <c r="W395" s="108">
        <v>0</v>
      </c>
    </row>
    <row r="396" spans="1:23">
      <c r="A396" s="212">
        <v>45026</v>
      </c>
      <c r="B396" s="104" t="s">
        <v>33</v>
      </c>
      <c r="C396" s="145">
        <v>0</v>
      </c>
      <c r="D396" s="145"/>
      <c r="E396" s="104">
        <v>0</v>
      </c>
      <c r="F396" s="106">
        <v>0</v>
      </c>
      <c r="G396" s="107">
        <v>0</v>
      </c>
      <c r="H396" s="106">
        <v>0</v>
      </c>
      <c r="I396" s="106"/>
      <c r="J396" s="106"/>
      <c r="K396" s="106"/>
      <c r="L396" s="213">
        <v>0</v>
      </c>
      <c r="M396" s="213">
        <v>0</v>
      </c>
      <c r="N396" s="213">
        <v>0</v>
      </c>
      <c r="O396" s="213">
        <v>0</v>
      </c>
      <c r="P396" s="108">
        <v>0</v>
      </c>
      <c r="Q396" s="108">
        <v>0</v>
      </c>
      <c r="R396" s="108">
        <v>0</v>
      </c>
      <c r="S396" s="108">
        <v>0</v>
      </c>
      <c r="T396" s="108">
        <v>0</v>
      </c>
      <c r="U396" s="108">
        <v>0</v>
      </c>
      <c r="V396" s="108">
        <v>0</v>
      </c>
      <c r="W396" s="108">
        <v>0</v>
      </c>
    </row>
    <row r="397" spans="1:23">
      <c r="A397" s="212">
        <v>45026</v>
      </c>
      <c r="B397" s="104" t="s">
        <v>34</v>
      </c>
      <c r="C397" s="145">
        <v>0</v>
      </c>
      <c r="D397" s="145"/>
      <c r="E397" s="104">
        <v>0</v>
      </c>
      <c r="F397" s="106">
        <v>0</v>
      </c>
      <c r="G397" s="107">
        <v>0</v>
      </c>
      <c r="H397" s="106">
        <v>0</v>
      </c>
      <c r="I397" s="106"/>
      <c r="J397" s="106"/>
      <c r="K397" s="106"/>
      <c r="L397" s="213">
        <v>0</v>
      </c>
      <c r="M397" s="213">
        <v>0</v>
      </c>
      <c r="N397" s="213">
        <v>0</v>
      </c>
      <c r="O397" s="213">
        <v>0</v>
      </c>
      <c r="P397" s="108">
        <v>0</v>
      </c>
      <c r="Q397" s="108">
        <v>0</v>
      </c>
      <c r="R397" s="108">
        <v>0</v>
      </c>
      <c r="S397" s="108">
        <v>0</v>
      </c>
      <c r="T397" s="108">
        <v>0</v>
      </c>
      <c r="U397" s="108">
        <v>0</v>
      </c>
      <c r="V397" s="108">
        <v>0</v>
      </c>
      <c r="W397" s="108">
        <v>0</v>
      </c>
    </row>
    <row r="398" spans="1:23">
      <c r="A398" s="212">
        <v>45026</v>
      </c>
      <c r="B398" s="104" t="s">
        <v>35</v>
      </c>
      <c r="C398" s="145">
        <v>0</v>
      </c>
      <c r="D398" s="145"/>
      <c r="E398" s="104">
        <v>0</v>
      </c>
      <c r="F398" s="106">
        <v>0</v>
      </c>
      <c r="G398" s="107">
        <v>0</v>
      </c>
      <c r="H398" s="106">
        <v>0</v>
      </c>
      <c r="I398" s="106"/>
      <c r="J398" s="106"/>
      <c r="K398" s="106"/>
      <c r="L398" s="213">
        <v>0</v>
      </c>
      <c r="M398" s="213">
        <v>0</v>
      </c>
      <c r="N398" s="213">
        <v>0</v>
      </c>
      <c r="O398" s="213">
        <v>0</v>
      </c>
      <c r="P398" s="108">
        <v>0</v>
      </c>
      <c r="Q398" s="108">
        <v>0</v>
      </c>
      <c r="R398" s="108">
        <v>0</v>
      </c>
      <c r="S398" s="108">
        <v>0</v>
      </c>
      <c r="T398" s="108">
        <v>0</v>
      </c>
      <c r="U398" s="108">
        <v>0</v>
      </c>
      <c r="V398" s="108">
        <v>0</v>
      </c>
      <c r="W398" s="108">
        <v>0</v>
      </c>
    </row>
    <row r="399" spans="1:23">
      <c r="A399" s="212">
        <v>45026</v>
      </c>
      <c r="B399" s="104" t="s">
        <v>36</v>
      </c>
      <c r="C399" s="145">
        <v>0</v>
      </c>
      <c r="D399" s="145"/>
      <c r="E399" s="104">
        <v>0</v>
      </c>
      <c r="F399" s="106">
        <v>0</v>
      </c>
      <c r="G399" s="107">
        <v>0</v>
      </c>
      <c r="H399" s="106">
        <v>0</v>
      </c>
      <c r="I399" s="106"/>
      <c r="J399" s="106"/>
      <c r="K399" s="106"/>
      <c r="L399" s="213">
        <v>0</v>
      </c>
      <c r="M399" s="213">
        <v>0</v>
      </c>
      <c r="N399" s="213">
        <v>0</v>
      </c>
      <c r="O399" s="213">
        <v>0</v>
      </c>
      <c r="P399" s="108">
        <v>0</v>
      </c>
      <c r="Q399" s="108">
        <v>0</v>
      </c>
      <c r="R399" s="108">
        <v>0</v>
      </c>
      <c r="S399" s="108">
        <v>0</v>
      </c>
      <c r="T399" s="108">
        <v>0</v>
      </c>
      <c r="U399" s="108">
        <v>0</v>
      </c>
      <c r="V399" s="108">
        <v>0</v>
      </c>
      <c r="W399" s="108">
        <v>0</v>
      </c>
    </row>
    <row r="400" spans="1:23">
      <c r="A400" s="212">
        <v>45026</v>
      </c>
      <c r="B400" s="104" t="s">
        <v>37</v>
      </c>
      <c r="C400" s="145">
        <v>0</v>
      </c>
      <c r="D400" s="145"/>
      <c r="E400" s="104">
        <v>0</v>
      </c>
      <c r="F400" s="106">
        <v>0</v>
      </c>
      <c r="G400" s="107">
        <v>0</v>
      </c>
      <c r="H400" s="106">
        <v>0</v>
      </c>
      <c r="I400" s="106"/>
      <c r="J400" s="106"/>
      <c r="K400" s="106"/>
      <c r="L400" s="213">
        <v>0</v>
      </c>
      <c r="M400" s="213">
        <v>0</v>
      </c>
      <c r="N400" s="213">
        <v>0</v>
      </c>
      <c r="O400" s="213">
        <v>0</v>
      </c>
      <c r="P400" s="108">
        <v>0</v>
      </c>
      <c r="Q400" s="108">
        <v>0</v>
      </c>
      <c r="R400" s="108">
        <v>0</v>
      </c>
      <c r="S400" s="108">
        <v>0</v>
      </c>
      <c r="T400" s="108">
        <v>0</v>
      </c>
      <c r="U400" s="108">
        <v>0</v>
      </c>
      <c r="V400" s="108">
        <v>0</v>
      </c>
      <c r="W400" s="108">
        <v>0</v>
      </c>
    </row>
    <row r="401" spans="1:23">
      <c r="A401" s="212">
        <v>45026</v>
      </c>
      <c r="B401" s="104" t="s">
        <v>38</v>
      </c>
      <c r="C401" s="145">
        <v>0</v>
      </c>
      <c r="D401" s="145"/>
      <c r="E401" s="104">
        <v>0</v>
      </c>
      <c r="F401" s="106">
        <v>0</v>
      </c>
      <c r="G401" s="107">
        <v>0</v>
      </c>
      <c r="H401" s="106">
        <v>0</v>
      </c>
      <c r="I401" s="106"/>
      <c r="J401" s="106"/>
      <c r="K401" s="106"/>
      <c r="L401" s="213">
        <v>0</v>
      </c>
      <c r="M401" s="213">
        <v>0</v>
      </c>
      <c r="N401" s="213">
        <v>0</v>
      </c>
      <c r="O401" s="213">
        <v>0</v>
      </c>
      <c r="P401" s="108">
        <v>0</v>
      </c>
      <c r="Q401" s="108">
        <v>0</v>
      </c>
      <c r="R401" s="108">
        <v>0</v>
      </c>
      <c r="S401" s="108">
        <v>0</v>
      </c>
      <c r="T401" s="108">
        <v>0</v>
      </c>
      <c r="U401" s="108">
        <v>0</v>
      </c>
      <c r="V401" s="108">
        <v>0</v>
      </c>
      <c r="W401" s="108">
        <v>0</v>
      </c>
    </row>
    <row r="402" spans="1:23">
      <c r="A402" s="212">
        <v>45026</v>
      </c>
      <c r="B402" s="111" t="s">
        <v>39</v>
      </c>
      <c r="C402" s="112">
        <v>13836</v>
      </c>
      <c r="D402" s="112"/>
      <c r="E402" s="112">
        <v>288</v>
      </c>
      <c r="F402" s="113">
        <v>0.02081526452732</v>
      </c>
      <c r="G402" s="112">
        <v>103</v>
      </c>
      <c r="H402" s="113">
        <v>0.357638888888889</v>
      </c>
      <c r="I402" s="113"/>
      <c r="J402" s="113"/>
      <c r="K402" s="113"/>
      <c r="L402" s="213"/>
      <c r="M402" s="213"/>
      <c r="N402" s="213"/>
      <c r="O402" s="213"/>
      <c r="P402" s="108"/>
      <c r="Q402" s="108"/>
      <c r="R402" s="108"/>
      <c r="S402" s="108"/>
      <c r="T402" s="108"/>
      <c r="U402" s="108"/>
      <c r="V402" s="108"/>
      <c r="W402" s="108"/>
    </row>
    <row r="403" spans="1:23">
      <c r="A403" s="103">
        <v>45027</v>
      </c>
      <c r="B403" s="104" t="s">
        <v>17</v>
      </c>
      <c r="C403" s="105">
        <v>216</v>
      </c>
      <c r="D403" s="105"/>
      <c r="E403" s="104">
        <v>15</v>
      </c>
      <c r="F403" s="106">
        <v>0.0694444444444444</v>
      </c>
      <c r="G403" s="107">
        <v>3</v>
      </c>
      <c r="H403" s="106">
        <v>0.2</v>
      </c>
      <c r="I403" s="106"/>
      <c r="J403" s="106"/>
      <c r="K403" s="106"/>
      <c r="L403" s="213">
        <v>49</v>
      </c>
      <c r="M403" s="213">
        <v>48</v>
      </c>
      <c r="N403" s="213">
        <v>72.8</v>
      </c>
      <c r="O403" s="213">
        <v>87.4285714285714</v>
      </c>
      <c r="P403" s="108">
        <v>-12</v>
      </c>
      <c r="Q403" s="108">
        <v>-14.3333333333333</v>
      </c>
      <c r="R403" s="108">
        <v>-12</v>
      </c>
      <c r="S403" s="108">
        <v>-14.1428571428571</v>
      </c>
      <c r="T403" s="108">
        <v>1</v>
      </c>
      <c r="U403" s="108">
        <v>0.666666666666667</v>
      </c>
      <c r="V403" s="108">
        <v>0.2</v>
      </c>
      <c r="W403" s="108">
        <v>-0.285714285714286</v>
      </c>
    </row>
    <row r="404" spans="1:23">
      <c r="A404" s="103">
        <v>45027</v>
      </c>
      <c r="B404" s="104" t="s">
        <v>19</v>
      </c>
      <c r="C404" s="107">
        <v>538</v>
      </c>
      <c r="D404" s="107"/>
      <c r="E404" s="104">
        <v>20</v>
      </c>
      <c r="F404" s="106">
        <v>0.0371747211895911</v>
      </c>
      <c r="G404" s="107">
        <v>14</v>
      </c>
      <c r="H404" s="106">
        <v>0.7</v>
      </c>
      <c r="I404" s="106"/>
      <c r="J404" s="106"/>
      <c r="K404" s="106"/>
      <c r="L404" s="213">
        <v>-49</v>
      </c>
      <c r="M404" s="213">
        <v>-149</v>
      </c>
      <c r="N404" s="213">
        <v>-159.2</v>
      </c>
      <c r="O404" s="213">
        <v>-149.142857142857</v>
      </c>
      <c r="P404" s="108">
        <v>-3</v>
      </c>
      <c r="Q404" s="108">
        <v>-10</v>
      </c>
      <c r="R404" s="108">
        <v>-9.4</v>
      </c>
      <c r="S404" s="108">
        <v>-6.71428571428572</v>
      </c>
      <c r="T404" s="108">
        <v>3</v>
      </c>
      <c r="U404" s="108">
        <v>3.33333333333333</v>
      </c>
      <c r="V404" s="108">
        <v>4</v>
      </c>
      <c r="W404" s="115">
        <v>3.85714285714286</v>
      </c>
    </row>
    <row r="405" spans="1:23">
      <c r="A405" s="103">
        <v>45027</v>
      </c>
      <c r="B405" s="104" t="s">
        <v>21</v>
      </c>
      <c r="C405" s="145">
        <v>452</v>
      </c>
      <c r="D405" s="145"/>
      <c r="E405" s="104">
        <v>28</v>
      </c>
      <c r="F405" s="106">
        <v>0.0619469026548673</v>
      </c>
      <c r="G405" s="107">
        <v>8</v>
      </c>
      <c r="H405" s="106">
        <v>0.285714285714286</v>
      </c>
      <c r="I405" s="106"/>
      <c r="J405" s="106"/>
      <c r="K405" s="106"/>
      <c r="L405" s="213">
        <v>55</v>
      </c>
      <c r="M405" s="213">
        <v>35</v>
      </c>
      <c r="N405" s="213">
        <v>-53.6</v>
      </c>
      <c r="O405" s="213">
        <v>-122</v>
      </c>
      <c r="P405" s="108">
        <v>5</v>
      </c>
      <c r="Q405" s="108">
        <v>5</v>
      </c>
      <c r="R405" s="108">
        <v>5</v>
      </c>
      <c r="S405" s="108">
        <v>3.85714285714286</v>
      </c>
      <c r="T405" s="108">
        <v>-3</v>
      </c>
      <c r="U405" s="108">
        <v>-1.66666666666667</v>
      </c>
      <c r="V405" s="108">
        <v>-1.4</v>
      </c>
      <c r="W405" s="108">
        <v>-1.28571428571429</v>
      </c>
    </row>
    <row r="406" spans="1:23">
      <c r="A406" s="103">
        <v>45027</v>
      </c>
      <c r="B406" s="104" t="s">
        <v>22</v>
      </c>
      <c r="C406" s="145">
        <v>4230</v>
      </c>
      <c r="D406" s="145"/>
      <c r="E406" s="104">
        <v>97</v>
      </c>
      <c r="F406" s="106">
        <v>0.0229314420803782</v>
      </c>
      <c r="G406" s="107">
        <v>28</v>
      </c>
      <c r="H406" s="106">
        <v>0.288659793814433</v>
      </c>
      <c r="I406" s="106"/>
      <c r="J406" s="106"/>
      <c r="K406" s="106"/>
      <c r="L406" s="213">
        <v>137</v>
      </c>
      <c r="M406" s="213">
        <v>-172.666666666667</v>
      </c>
      <c r="N406" s="213">
        <v>-207.4</v>
      </c>
      <c r="O406" s="213">
        <v>-404.571428571428</v>
      </c>
      <c r="P406" s="108">
        <v>-2</v>
      </c>
      <c r="Q406" s="108">
        <v>-13.3333333333333</v>
      </c>
      <c r="R406" s="108">
        <v>-13.2</v>
      </c>
      <c r="S406" s="115">
        <v>-21</v>
      </c>
      <c r="T406" s="108">
        <v>-5</v>
      </c>
      <c r="U406" s="108">
        <v>0</v>
      </c>
      <c r="V406" s="108">
        <v>-1.4</v>
      </c>
      <c r="W406" s="117">
        <v>-6.57142857142857</v>
      </c>
    </row>
    <row r="407" spans="1:23">
      <c r="A407" s="103">
        <v>45027</v>
      </c>
      <c r="B407" s="104" t="s">
        <v>23</v>
      </c>
      <c r="C407" s="145">
        <v>2470</v>
      </c>
      <c r="D407" s="145"/>
      <c r="E407" s="104">
        <v>33</v>
      </c>
      <c r="F407" s="106">
        <v>0.0133603238866397</v>
      </c>
      <c r="G407" s="107">
        <v>13</v>
      </c>
      <c r="H407" s="106">
        <v>0.393939393939394</v>
      </c>
      <c r="I407" s="106"/>
      <c r="J407" s="106"/>
      <c r="K407" s="106"/>
      <c r="L407" s="213">
        <v>1</v>
      </c>
      <c r="M407" s="213">
        <v>-206.666666666667</v>
      </c>
      <c r="N407" s="213">
        <v>-311.2</v>
      </c>
      <c r="O407" s="213">
        <v>-484.571428571428</v>
      </c>
      <c r="P407" s="108">
        <v>-1</v>
      </c>
      <c r="Q407" s="108">
        <v>-1.33333333333334</v>
      </c>
      <c r="R407" s="108">
        <v>-1.2</v>
      </c>
      <c r="S407" s="108">
        <v>-2.57142857142857</v>
      </c>
      <c r="T407" s="108">
        <v>0</v>
      </c>
      <c r="U407" s="116">
        <v>1.33333333333333</v>
      </c>
      <c r="V407" s="108">
        <v>1.8</v>
      </c>
      <c r="W407" s="108">
        <v>0.571428571428571</v>
      </c>
    </row>
    <row r="408" spans="1:23">
      <c r="A408" s="103">
        <v>45027</v>
      </c>
      <c r="B408" s="104" t="s">
        <v>24</v>
      </c>
      <c r="C408" s="145">
        <v>418</v>
      </c>
      <c r="D408" s="145"/>
      <c r="E408" s="104">
        <v>9</v>
      </c>
      <c r="F408" s="106">
        <v>0.0215311004784689</v>
      </c>
      <c r="G408" s="107">
        <v>0</v>
      </c>
      <c r="H408" s="106">
        <v>0</v>
      </c>
      <c r="I408" s="106"/>
      <c r="J408" s="106"/>
      <c r="K408" s="106"/>
      <c r="L408" s="213">
        <v>-88</v>
      </c>
      <c r="M408" s="213">
        <v>-61.6666666666667</v>
      </c>
      <c r="N408" s="213">
        <v>-120.6</v>
      </c>
      <c r="O408" s="213">
        <v>-125.714285714286</v>
      </c>
      <c r="P408" s="115">
        <v>3</v>
      </c>
      <c r="Q408" s="115">
        <v>3</v>
      </c>
      <c r="R408" s="117">
        <v>2.8</v>
      </c>
      <c r="S408" s="117">
        <v>2.85714285714286</v>
      </c>
      <c r="T408" s="115">
        <v>-3</v>
      </c>
      <c r="U408" s="115">
        <v>-2</v>
      </c>
      <c r="V408" s="115">
        <v>-1.8</v>
      </c>
      <c r="W408" s="115">
        <v>-1.57142857142857</v>
      </c>
    </row>
    <row r="409" spans="1:23">
      <c r="A409" s="103">
        <v>45027</v>
      </c>
      <c r="B409" s="104" t="s">
        <v>25</v>
      </c>
      <c r="C409" s="145">
        <v>3012</v>
      </c>
      <c r="D409" s="145"/>
      <c r="E409" s="104">
        <v>34</v>
      </c>
      <c r="F409" s="106">
        <v>0.0112881806108898</v>
      </c>
      <c r="G409" s="107">
        <v>11</v>
      </c>
      <c r="H409" s="106">
        <v>0.323529411764706</v>
      </c>
      <c r="I409" s="106"/>
      <c r="J409" s="106"/>
      <c r="K409" s="106"/>
      <c r="L409" s="213">
        <v>-508</v>
      </c>
      <c r="M409" s="213">
        <v>-5817.33333333333</v>
      </c>
      <c r="N409" s="213">
        <v>-8961.2</v>
      </c>
      <c r="O409" s="213">
        <v>-8912.71428571429</v>
      </c>
      <c r="P409" s="116">
        <v>7</v>
      </c>
      <c r="Q409" s="115">
        <v>-4.33333333333334</v>
      </c>
      <c r="R409" s="115">
        <v>-6.4</v>
      </c>
      <c r="S409" s="115">
        <v>-7.85714285714285</v>
      </c>
      <c r="T409" s="108">
        <v>1</v>
      </c>
      <c r="U409" s="108">
        <v>-17.6666666666667</v>
      </c>
      <c r="V409" s="108">
        <v>-12.8</v>
      </c>
      <c r="W409" s="108">
        <v>-12.1428571428571</v>
      </c>
    </row>
    <row r="410" spans="1:23">
      <c r="A410" s="103">
        <v>45027</v>
      </c>
      <c r="B410" s="104" t="s">
        <v>26</v>
      </c>
      <c r="C410" s="145">
        <v>1686</v>
      </c>
      <c r="D410" s="145"/>
      <c r="E410" s="104">
        <v>43</v>
      </c>
      <c r="F410" s="106">
        <v>0.0255041518386714</v>
      </c>
      <c r="G410" s="107">
        <v>11</v>
      </c>
      <c r="H410" s="106">
        <v>0.255813953488372</v>
      </c>
      <c r="I410" s="106"/>
      <c r="J410" s="106"/>
      <c r="K410" s="106"/>
      <c r="L410" s="213">
        <v>-358</v>
      </c>
      <c r="M410" s="213">
        <v>-427.666666666667</v>
      </c>
      <c r="N410" s="213">
        <v>-191.2</v>
      </c>
      <c r="O410" s="213">
        <v>-84.2857142857142</v>
      </c>
      <c r="P410" s="108">
        <v>-2</v>
      </c>
      <c r="Q410" s="108">
        <v>-15</v>
      </c>
      <c r="R410" s="108">
        <v>-20.8</v>
      </c>
      <c r="S410" s="108">
        <v>-27.1428571428571</v>
      </c>
      <c r="T410" s="108">
        <v>-7</v>
      </c>
      <c r="U410" s="108">
        <v>-13.6666666666667</v>
      </c>
      <c r="V410" s="108">
        <v>-11.6</v>
      </c>
      <c r="W410" s="108">
        <v>-11.5714285714286</v>
      </c>
    </row>
    <row r="411" spans="1:23">
      <c r="A411" s="103">
        <v>45027</v>
      </c>
      <c r="B411" s="104" t="s">
        <v>27</v>
      </c>
      <c r="C411" s="145">
        <v>97</v>
      </c>
      <c r="D411" s="145"/>
      <c r="E411" s="104">
        <v>3</v>
      </c>
      <c r="F411" s="106">
        <v>0.0309278350515464</v>
      </c>
      <c r="G411" s="107">
        <v>1</v>
      </c>
      <c r="H411" s="106">
        <v>0.333333333333333</v>
      </c>
      <c r="I411" s="106"/>
      <c r="J411" s="106"/>
      <c r="K411" s="106"/>
      <c r="L411" s="213">
        <v>45</v>
      </c>
      <c r="M411" s="213">
        <v>35.3333333333333</v>
      </c>
      <c r="N411" s="213">
        <v>39.6</v>
      </c>
      <c r="O411" s="213">
        <v>41.2857142857143</v>
      </c>
      <c r="P411" s="108">
        <v>0</v>
      </c>
      <c r="Q411" s="108">
        <v>-2</v>
      </c>
      <c r="R411" s="108">
        <v>-1.2</v>
      </c>
      <c r="S411" s="108">
        <v>-0.142857142857143</v>
      </c>
      <c r="T411" s="108">
        <v>-1</v>
      </c>
      <c r="U411" s="108">
        <v>-0.333333333333333</v>
      </c>
      <c r="V411" s="108">
        <v>-0.2</v>
      </c>
      <c r="W411" s="108">
        <v>-0.142857142857143</v>
      </c>
    </row>
    <row r="412" spans="1:23">
      <c r="A412" s="103">
        <v>45027</v>
      </c>
      <c r="B412" s="104" t="s">
        <v>28</v>
      </c>
      <c r="C412" s="145">
        <v>0</v>
      </c>
      <c r="D412" s="145"/>
      <c r="E412" s="104">
        <v>1</v>
      </c>
      <c r="F412" s="106">
        <v>1</v>
      </c>
      <c r="G412" s="107">
        <v>0</v>
      </c>
      <c r="H412" s="106">
        <v>0</v>
      </c>
      <c r="I412" s="106"/>
      <c r="J412" s="106"/>
      <c r="K412" s="106"/>
      <c r="L412" s="213">
        <v>0</v>
      </c>
      <c r="M412" s="213">
        <v>0</v>
      </c>
      <c r="N412" s="213">
        <v>0</v>
      </c>
      <c r="O412" s="213">
        <v>0</v>
      </c>
      <c r="P412" s="108">
        <v>1</v>
      </c>
      <c r="Q412" s="108">
        <v>1</v>
      </c>
      <c r="R412" s="108">
        <v>1</v>
      </c>
      <c r="S412" s="108">
        <v>1</v>
      </c>
      <c r="T412" s="108">
        <v>0</v>
      </c>
      <c r="U412" s="108">
        <v>0</v>
      </c>
      <c r="V412" s="108">
        <v>0</v>
      </c>
      <c r="W412" s="108">
        <v>0</v>
      </c>
    </row>
    <row r="413" spans="1:23">
      <c r="A413" s="103">
        <v>45027</v>
      </c>
      <c r="B413" s="104" t="s">
        <v>29</v>
      </c>
      <c r="C413" s="145">
        <v>1</v>
      </c>
      <c r="D413" s="145"/>
      <c r="E413" s="104">
        <v>1</v>
      </c>
      <c r="F413" s="106">
        <v>1</v>
      </c>
      <c r="G413" s="107">
        <v>0</v>
      </c>
      <c r="H413" s="106">
        <v>0</v>
      </c>
      <c r="I413" s="106"/>
      <c r="J413" s="106"/>
      <c r="K413" s="106"/>
      <c r="L413" s="213">
        <v>0</v>
      </c>
      <c r="M413" s="213">
        <v>0.666666666666667</v>
      </c>
      <c r="N413" s="213">
        <v>0.2</v>
      </c>
      <c r="O413" s="213">
        <v>-0.571428571428571</v>
      </c>
      <c r="P413" s="108">
        <v>0</v>
      </c>
      <c r="Q413" s="108">
        <v>0.333333333333333</v>
      </c>
      <c r="R413" s="108">
        <v>0.6</v>
      </c>
      <c r="S413" s="108">
        <v>0.714285714285714</v>
      </c>
      <c r="T413" s="108">
        <v>0</v>
      </c>
      <c r="U413" s="108">
        <v>-0.333333333333333</v>
      </c>
      <c r="V413" s="108">
        <v>-0.2</v>
      </c>
      <c r="W413" s="108">
        <v>-0.142857142857143</v>
      </c>
    </row>
    <row r="414" spans="1:23">
      <c r="A414" s="103">
        <v>45027</v>
      </c>
      <c r="B414" s="104" t="s">
        <v>30</v>
      </c>
      <c r="C414" s="145">
        <v>0</v>
      </c>
      <c r="D414" s="145"/>
      <c r="E414" s="104">
        <v>0</v>
      </c>
      <c r="F414" s="106">
        <v>0</v>
      </c>
      <c r="G414" s="107">
        <v>0</v>
      </c>
      <c r="H414" s="106">
        <v>0</v>
      </c>
      <c r="I414" s="106"/>
      <c r="J414" s="106"/>
      <c r="K414" s="106"/>
      <c r="L414" s="213">
        <v>0</v>
      </c>
      <c r="M414" s="213">
        <v>0</v>
      </c>
      <c r="N414" s="213">
        <v>0</v>
      </c>
      <c r="O414" s="213">
        <v>0</v>
      </c>
      <c r="P414" s="108">
        <v>0</v>
      </c>
      <c r="Q414" s="108">
        <v>0</v>
      </c>
      <c r="R414" s="108">
        <v>0</v>
      </c>
      <c r="S414" s="108">
        <v>0</v>
      </c>
      <c r="T414" s="108">
        <v>0</v>
      </c>
      <c r="U414" s="108">
        <v>0</v>
      </c>
      <c r="V414" s="108">
        <v>0</v>
      </c>
      <c r="W414" s="108">
        <v>0</v>
      </c>
    </row>
    <row r="415" spans="1:23">
      <c r="A415" s="103">
        <v>45027</v>
      </c>
      <c r="B415" s="104" t="s">
        <v>31</v>
      </c>
      <c r="C415" s="145">
        <v>0</v>
      </c>
      <c r="D415" s="145"/>
      <c r="E415" s="104">
        <v>0</v>
      </c>
      <c r="F415" s="106">
        <v>0</v>
      </c>
      <c r="G415" s="107">
        <v>0</v>
      </c>
      <c r="H415" s="106">
        <v>0</v>
      </c>
      <c r="I415" s="106"/>
      <c r="J415" s="106"/>
      <c r="K415" s="106"/>
      <c r="L415" s="213">
        <v>0</v>
      </c>
      <c r="M415" s="213">
        <v>0</v>
      </c>
      <c r="N415" s="213">
        <v>0</v>
      </c>
      <c r="O415" s="213">
        <v>0</v>
      </c>
      <c r="P415" s="108">
        <v>0</v>
      </c>
      <c r="Q415" s="108">
        <v>-0.333333333333333</v>
      </c>
      <c r="R415" s="108">
        <v>-0.2</v>
      </c>
      <c r="S415" s="108">
        <v>-0.571428571428571</v>
      </c>
      <c r="T415" s="108">
        <v>0</v>
      </c>
      <c r="U415" s="108">
        <v>0</v>
      </c>
      <c r="V415" s="108">
        <v>0</v>
      </c>
      <c r="W415" s="108">
        <v>0</v>
      </c>
    </row>
    <row r="416" spans="1:23">
      <c r="A416" s="103">
        <v>45027</v>
      </c>
      <c r="B416" s="104" t="s">
        <v>32</v>
      </c>
      <c r="C416" s="145">
        <v>0</v>
      </c>
      <c r="D416" s="145"/>
      <c r="E416" s="104">
        <v>0</v>
      </c>
      <c r="F416" s="106">
        <v>0</v>
      </c>
      <c r="G416" s="107">
        <v>0</v>
      </c>
      <c r="H416" s="106">
        <v>0</v>
      </c>
      <c r="I416" s="106"/>
      <c r="J416" s="106"/>
      <c r="K416" s="106"/>
      <c r="L416" s="213">
        <v>0</v>
      </c>
      <c r="M416" s="213">
        <v>0</v>
      </c>
      <c r="N416" s="213">
        <v>0</v>
      </c>
      <c r="O416" s="213">
        <v>0</v>
      </c>
      <c r="P416" s="108">
        <v>0</v>
      </c>
      <c r="Q416" s="108">
        <v>0</v>
      </c>
      <c r="R416" s="108">
        <v>0</v>
      </c>
      <c r="S416" s="108">
        <v>0</v>
      </c>
      <c r="T416" s="108">
        <v>0</v>
      </c>
      <c r="U416" s="108">
        <v>0</v>
      </c>
      <c r="V416" s="108">
        <v>0</v>
      </c>
      <c r="W416" s="108">
        <v>0</v>
      </c>
    </row>
    <row r="417" spans="1:23">
      <c r="A417" s="103">
        <v>45027</v>
      </c>
      <c r="B417" s="104" t="s">
        <v>33</v>
      </c>
      <c r="C417" s="145">
        <v>0</v>
      </c>
      <c r="D417" s="145"/>
      <c r="E417" s="104">
        <v>0</v>
      </c>
      <c r="F417" s="106">
        <v>0</v>
      </c>
      <c r="G417" s="107">
        <v>0</v>
      </c>
      <c r="H417" s="106">
        <v>0</v>
      </c>
      <c r="I417" s="106"/>
      <c r="J417" s="106"/>
      <c r="K417" s="106"/>
      <c r="L417" s="213">
        <v>0</v>
      </c>
      <c r="M417" s="213">
        <v>0</v>
      </c>
      <c r="N417" s="213">
        <v>0</v>
      </c>
      <c r="O417" s="213">
        <v>0</v>
      </c>
      <c r="P417" s="108">
        <v>0</v>
      </c>
      <c r="Q417" s="108">
        <v>0</v>
      </c>
      <c r="R417" s="108">
        <v>0</v>
      </c>
      <c r="S417" s="108">
        <v>0</v>
      </c>
      <c r="T417" s="108">
        <v>0</v>
      </c>
      <c r="U417" s="108">
        <v>0</v>
      </c>
      <c r="V417" s="108">
        <v>0</v>
      </c>
      <c r="W417" s="108">
        <v>0</v>
      </c>
    </row>
    <row r="418" spans="1:23">
      <c r="A418" s="103">
        <v>45027</v>
      </c>
      <c r="B418" s="104" t="s">
        <v>34</v>
      </c>
      <c r="C418" s="145">
        <v>0</v>
      </c>
      <c r="D418" s="145"/>
      <c r="E418" s="104">
        <v>0</v>
      </c>
      <c r="F418" s="106">
        <v>0</v>
      </c>
      <c r="G418" s="107">
        <v>0</v>
      </c>
      <c r="H418" s="106">
        <v>0</v>
      </c>
      <c r="I418" s="106"/>
      <c r="J418" s="106"/>
      <c r="K418" s="106"/>
      <c r="L418" s="213">
        <v>0</v>
      </c>
      <c r="M418" s="213">
        <v>0</v>
      </c>
      <c r="N418" s="213">
        <v>0</v>
      </c>
      <c r="O418" s="213">
        <v>0</v>
      </c>
      <c r="P418" s="108">
        <v>0</v>
      </c>
      <c r="Q418" s="108">
        <v>0</v>
      </c>
      <c r="R418" s="108">
        <v>0</v>
      </c>
      <c r="S418" s="108">
        <v>0</v>
      </c>
      <c r="T418" s="108">
        <v>0</v>
      </c>
      <c r="U418" s="108">
        <v>0</v>
      </c>
      <c r="V418" s="108">
        <v>0</v>
      </c>
      <c r="W418" s="108">
        <v>0</v>
      </c>
    </row>
    <row r="419" spans="1:23">
      <c r="A419" s="103">
        <v>45027</v>
      </c>
      <c r="B419" s="104" t="s">
        <v>35</v>
      </c>
      <c r="C419" s="145">
        <v>0</v>
      </c>
      <c r="D419" s="145"/>
      <c r="E419" s="104">
        <v>0</v>
      </c>
      <c r="F419" s="106">
        <v>0</v>
      </c>
      <c r="G419" s="107">
        <v>0</v>
      </c>
      <c r="H419" s="106">
        <v>0</v>
      </c>
      <c r="I419" s="106"/>
      <c r="J419" s="106"/>
      <c r="K419" s="106"/>
      <c r="L419" s="213">
        <v>0</v>
      </c>
      <c r="M419" s="213">
        <v>0</v>
      </c>
      <c r="N419" s="213">
        <v>0</v>
      </c>
      <c r="O419" s="213">
        <v>0</v>
      </c>
      <c r="P419" s="108">
        <v>0</v>
      </c>
      <c r="Q419" s="108">
        <v>0</v>
      </c>
      <c r="R419" s="108">
        <v>0</v>
      </c>
      <c r="S419" s="108">
        <v>0</v>
      </c>
      <c r="T419" s="108">
        <v>0</v>
      </c>
      <c r="U419" s="108">
        <v>0</v>
      </c>
      <c r="V419" s="108">
        <v>0</v>
      </c>
      <c r="W419" s="108">
        <v>0</v>
      </c>
    </row>
    <row r="420" spans="1:23">
      <c r="A420" s="103">
        <v>45027</v>
      </c>
      <c r="B420" s="104" t="s">
        <v>36</v>
      </c>
      <c r="C420" s="145">
        <v>0</v>
      </c>
      <c r="D420" s="145"/>
      <c r="E420" s="104">
        <v>0</v>
      </c>
      <c r="F420" s="106">
        <v>0</v>
      </c>
      <c r="G420" s="107">
        <v>0</v>
      </c>
      <c r="H420" s="106">
        <v>0</v>
      </c>
      <c r="I420" s="106"/>
      <c r="J420" s="106"/>
      <c r="K420" s="106"/>
      <c r="L420" s="213">
        <v>0</v>
      </c>
      <c r="M420" s="213">
        <v>0</v>
      </c>
      <c r="N420" s="213">
        <v>0</v>
      </c>
      <c r="O420" s="213">
        <v>0</v>
      </c>
      <c r="P420" s="108">
        <v>0</v>
      </c>
      <c r="Q420" s="108">
        <v>0</v>
      </c>
      <c r="R420" s="108">
        <v>0</v>
      </c>
      <c r="S420" s="108">
        <v>0</v>
      </c>
      <c r="T420" s="108">
        <v>0</v>
      </c>
      <c r="U420" s="108">
        <v>0</v>
      </c>
      <c r="V420" s="108">
        <v>0</v>
      </c>
      <c r="W420" s="108">
        <v>0</v>
      </c>
    </row>
    <row r="421" spans="1:23">
      <c r="A421" s="103">
        <v>45027</v>
      </c>
      <c r="B421" s="104" t="s">
        <v>37</v>
      </c>
      <c r="C421" s="145">
        <v>0</v>
      </c>
      <c r="D421" s="145"/>
      <c r="E421" s="104">
        <v>0</v>
      </c>
      <c r="F421" s="106">
        <v>0</v>
      </c>
      <c r="G421" s="107">
        <v>0</v>
      </c>
      <c r="H421" s="106">
        <v>0</v>
      </c>
      <c r="I421" s="106"/>
      <c r="J421" s="106"/>
      <c r="K421" s="106"/>
      <c r="L421" s="213">
        <v>0</v>
      </c>
      <c r="M421" s="213">
        <v>0</v>
      </c>
      <c r="N421" s="213">
        <v>0</v>
      </c>
      <c r="O421" s="213">
        <v>0</v>
      </c>
      <c r="P421" s="108">
        <v>0</v>
      </c>
      <c r="Q421" s="108">
        <v>0</v>
      </c>
      <c r="R421" s="108">
        <v>0</v>
      </c>
      <c r="S421" s="108">
        <v>0</v>
      </c>
      <c r="T421" s="108">
        <v>0</v>
      </c>
      <c r="U421" s="108">
        <v>0</v>
      </c>
      <c r="V421" s="108">
        <v>0</v>
      </c>
      <c r="W421" s="108">
        <v>0</v>
      </c>
    </row>
    <row r="422" spans="1:23">
      <c r="A422" s="103">
        <v>45027</v>
      </c>
      <c r="B422" s="104" t="s">
        <v>38</v>
      </c>
      <c r="C422" s="145">
        <v>0</v>
      </c>
      <c r="D422" s="145"/>
      <c r="E422" s="104">
        <v>0</v>
      </c>
      <c r="F422" s="106">
        <v>0</v>
      </c>
      <c r="G422" s="107">
        <v>0</v>
      </c>
      <c r="H422" s="106">
        <v>0</v>
      </c>
      <c r="I422" s="106"/>
      <c r="J422" s="106"/>
      <c r="K422" s="106"/>
      <c r="L422" s="213">
        <v>0</v>
      </c>
      <c r="M422" s="213">
        <v>0</v>
      </c>
      <c r="N422" s="213">
        <v>0</v>
      </c>
      <c r="O422" s="213">
        <v>0</v>
      </c>
      <c r="P422" s="108">
        <v>0</v>
      </c>
      <c r="Q422" s="108">
        <v>0</v>
      </c>
      <c r="R422" s="108">
        <v>0</v>
      </c>
      <c r="S422" s="108">
        <v>0</v>
      </c>
      <c r="T422" s="108">
        <v>0</v>
      </c>
      <c r="U422" s="108">
        <v>0</v>
      </c>
      <c r="V422" s="108">
        <v>0</v>
      </c>
      <c r="W422" s="108">
        <v>0</v>
      </c>
    </row>
    <row r="423" spans="1:23">
      <c r="A423" s="103">
        <v>45027</v>
      </c>
      <c r="B423" s="111" t="s">
        <v>39</v>
      </c>
      <c r="C423" s="112">
        <v>13120</v>
      </c>
      <c r="D423" s="112"/>
      <c r="E423" s="112">
        <v>284</v>
      </c>
      <c r="F423" s="113">
        <v>0.0216463414634146</v>
      </c>
      <c r="G423" s="112">
        <v>89</v>
      </c>
      <c r="H423" s="113">
        <v>0.313380281690141</v>
      </c>
      <c r="I423" s="113"/>
      <c r="J423" s="113"/>
      <c r="K423" s="113"/>
      <c r="L423" s="213"/>
      <c r="M423" s="213"/>
      <c r="N423" s="213"/>
      <c r="O423" s="213"/>
      <c r="P423" s="108"/>
      <c r="Q423" s="108"/>
      <c r="R423" s="108"/>
      <c r="S423" s="108"/>
      <c r="T423" s="108"/>
      <c r="U423" s="108"/>
      <c r="V423" s="108"/>
      <c r="W423" s="108"/>
    </row>
    <row r="424" spans="1:23">
      <c r="A424" s="103">
        <v>45028</v>
      </c>
      <c r="B424" s="104" t="s">
        <v>17</v>
      </c>
      <c r="C424" s="105">
        <v>248</v>
      </c>
      <c r="D424" s="105"/>
      <c r="E424" s="104">
        <v>48</v>
      </c>
      <c r="F424" s="106">
        <v>0.193548387096774</v>
      </c>
      <c r="G424" s="107">
        <v>10</v>
      </c>
      <c r="H424" s="106">
        <v>0.208333333333333</v>
      </c>
      <c r="I424" s="106"/>
      <c r="J424" s="106"/>
      <c r="K424" s="106"/>
      <c r="L424" s="213">
        <v>32</v>
      </c>
      <c r="M424" s="213">
        <v>68.3333333333333</v>
      </c>
      <c r="N424" s="213">
        <v>80.8</v>
      </c>
      <c r="O424" s="213">
        <v>101.142857142857</v>
      </c>
      <c r="P424" s="108">
        <v>33</v>
      </c>
      <c r="Q424" s="108">
        <v>23</v>
      </c>
      <c r="R424" s="108">
        <v>22.2</v>
      </c>
      <c r="S424" s="108">
        <v>20.8571428571429</v>
      </c>
      <c r="T424" s="108">
        <v>7</v>
      </c>
      <c r="U424" s="108">
        <v>7</v>
      </c>
      <c r="V424" s="108">
        <v>7</v>
      </c>
      <c r="W424" s="108">
        <v>6.71428571428571</v>
      </c>
    </row>
    <row r="425" spans="1:23">
      <c r="A425" s="103">
        <v>45028</v>
      </c>
      <c r="B425" s="104" t="s">
        <v>19</v>
      </c>
      <c r="C425" s="107">
        <v>998</v>
      </c>
      <c r="D425" s="107"/>
      <c r="E425" s="104">
        <v>14</v>
      </c>
      <c r="F425" s="106">
        <v>0.0140280561122244</v>
      </c>
      <c r="G425" s="107">
        <v>8</v>
      </c>
      <c r="H425" s="106">
        <v>0.571428571428571</v>
      </c>
      <c r="I425" s="106"/>
      <c r="J425" s="106"/>
      <c r="K425" s="106"/>
      <c r="L425" s="213">
        <v>460</v>
      </c>
      <c r="M425" s="213">
        <v>422.666666666667</v>
      </c>
      <c r="N425" s="213">
        <v>325.4</v>
      </c>
      <c r="O425" s="213">
        <v>327.142857142857</v>
      </c>
      <c r="P425" s="108">
        <v>-6</v>
      </c>
      <c r="Q425" s="108">
        <v>-9.66666666666667</v>
      </c>
      <c r="R425" s="108">
        <v>-14.2</v>
      </c>
      <c r="S425" s="108">
        <v>-13</v>
      </c>
      <c r="T425" s="108">
        <v>-6</v>
      </c>
      <c r="U425" s="108">
        <v>-4.66666666666667</v>
      </c>
      <c r="V425" s="108">
        <v>-3</v>
      </c>
      <c r="W425" s="115">
        <v>-2.71428571428571</v>
      </c>
    </row>
    <row r="426" spans="1:23">
      <c r="A426" s="103">
        <v>45028</v>
      </c>
      <c r="B426" s="104" t="s">
        <v>21</v>
      </c>
      <c r="C426" s="145">
        <v>407</v>
      </c>
      <c r="D426" s="145"/>
      <c r="E426" s="104">
        <v>22</v>
      </c>
      <c r="F426" s="106">
        <v>0.0540540540540541</v>
      </c>
      <c r="G426" s="107">
        <v>9</v>
      </c>
      <c r="H426" s="106">
        <v>0.409090909090909</v>
      </c>
      <c r="I426" s="106"/>
      <c r="J426" s="106"/>
      <c r="K426" s="106"/>
      <c r="L426" s="213">
        <v>-45</v>
      </c>
      <c r="M426" s="213">
        <v>-5.66666666666669</v>
      </c>
      <c r="N426" s="213">
        <v>-58.6</v>
      </c>
      <c r="O426" s="213">
        <v>-127.857142857143</v>
      </c>
      <c r="P426" s="108">
        <v>-6</v>
      </c>
      <c r="Q426" s="108">
        <v>-2.33333333333333</v>
      </c>
      <c r="R426" s="108">
        <v>-2</v>
      </c>
      <c r="S426" s="108">
        <v>-2.57142857142857</v>
      </c>
      <c r="T426" s="108">
        <v>1</v>
      </c>
      <c r="U426" s="108">
        <v>-1</v>
      </c>
      <c r="V426" s="108">
        <v>-0.199999999999999</v>
      </c>
      <c r="W426" s="108">
        <v>-0.142857142857142</v>
      </c>
    </row>
    <row r="427" spans="1:23">
      <c r="A427" s="103">
        <v>45028</v>
      </c>
      <c r="B427" s="104" t="s">
        <v>22</v>
      </c>
      <c r="C427" s="145">
        <v>4210</v>
      </c>
      <c r="D427" s="145"/>
      <c r="E427" s="104">
        <v>76</v>
      </c>
      <c r="F427" s="106">
        <v>0.0180522565320665</v>
      </c>
      <c r="G427" s="107">
        <v>35</v>
      </c>
      <c r="H427" s="106">
        <v>0.460526315789474</v>
      </c>
      <c r="I427" s="106"/>
      <c r="J427" s="106"/>
      <c r="K427" s="106"/>
      <c r="L427" s="213">
        <v>-20</v>
      </c>
      <c r="M427" s="213">
        <v>-55</v>
      </c>
      <c r="N427" s="213">
        <v>-118</v>
      </c>
      <c r="O427" s="213">
        <v>-292.285714285715</v>
      </c>
      <c r="P427" s="108">
        <v>-21</v>
      </c>
      <c r="Q427" s="108">
        <v>-28</v>
      </c>
      <c r="R427" s="108">
        <v>-30.4</v>
      </c>
      <c r="S427" s="115">
        <v>-34.8571428571429</v>
      </c>
      <c r="T427" s="108">
        <v>7</v>
      </c>
      <c r="U427" s="108">
        <v>2</v>
      </c>
      <c r="V427" s="108">
        <v>7.8</v>
      </c>
      <c r="W427" s="117">
        <v>2.71428571428572</v>
      </c>
    </row>
    <row r="428" spans="1:23">
      <c r="A428" s="103">
        <v>45028</v>
      </c>
      <c r="B428" s="104" t="s">
        <v>23</v>
      </c>
      <c r="C428" s="145">
        <v>2410</v>
      </c>
      <c r="D428" s="145"/>
      <c r="E428" s="104">
        <v>36</v>
      </c>
      <c r="F428" s="106">
        <v>0.0149377593360996</v>
      </c>
      <c r="G428" s="107">
        <v>13</v>
      </c>
      <c r="H428" s="106">
        <v>0.361111111111111</v>
      </c>
      <c r="I428" s="106"/>
      <c r="J428" s="106"/>
      <c r="K428" s="106"/>
      <c r="L428" s="213">
        <v>-60</v>
      </c>
      <c r="M428" s="213">
        <v>-125</v>
      </c>
      <c r="N428" s="213">
        <v>-259</v>
      </c>
      <c r="O428" s="213">
        <v>-408.285714285714</v>
      </c>
      <c r="P428" s="108">
        <v>3</v>
      </c>
      <c r="Q428" s="108">
        <v>3.33333333333334</v>
      </c>
      <c r="R428" s="108">
        <v>4.2</v>
      </c>
      <c r="S428" s="108">
        <v>2</v>
      </c>
      <c r="T428" s="108">
        <v>0</v>
      </c>
      <c r="U428" s="116">
        <v>1.66666666666667</v>
      </c>
      <c r="V428" s="108">
        <v>1</v>
      </c>
      <c r="W428" s="108">
        <v>1.42857142857143</v>
      </c>
    </row>
    <row r="429" spans="1:23">
      <c r="A429" s="103">
        <v>45028</v>
      </c>
      <c r="B429" s="104" t="s">
        <v>24</v>
      </c>
      <c r="C429" s="145">
        <v>438</v>
      </c>
      <c r="D429" s="145"/>
      <c r="E429" s="104">
        <v>6</v>
      </c>
      <c r="F429" s="106">
        <v>0.0136986301369863</v>
      </c>
      <c r="G429" s="107">
        <v>2</v>
      </c>
      <c r="H429" s="106">
        <v>0.333333333333333</v>
      </c>
      <c r="I429" s="106"/>
      <c r="J429" s="106"/>
      <c r="K429" s="106"/>
      <c r="L429" s="213">
        <v>20</v>
      </c>
      <c r="M429" s="213">
        <v>-21.6666666666667</v>
      </c>
      <c r="N429" s="213">
        <v>-24.6</v>
      </c>
      <c r="O429" s="213">
        <v>-84.1428571428571</v>
      </c>
      <c r="P429" s="115">
        <v>-3</v>
      </c>
      <c r="Q429" s="115">
        <v>-0.666666666666667</v>
      </c>
      <c r="R429" s="117">
        <v>-0.8</v>
      </c>
      <c r="S429" s="117">
        <v>-0.428571428571429</v>
      </c>
      <c r="T429" s="115">
        <v>2</v>
      </c>
      <c r="U429" s="115">
        <v>1</v>
      </c>
      <c r="V429" s="115">
        <v>0.4</v>
      </c>
      <c r="W429" s="115">
        <v>0.571428571428571</v>
      </c>
    </row>
    <row r="430" spans="1:23">
      <c r="A430" s="103">
        <v>45028</v>
      </c>
      <c r="B430" s="104" t="s">
        <v>25</v>
      </c>
      <c r="C430" s="145">
        <v>8784</v>
      </c>
      <c r="D430" s="145"/>
      <c r="E430" s="104">
        <v>36</v>
      </c>
      <c r="F430" s="106">
        <v>0.00409836065573771</v>
      </c>
      <c r="G430" s="107">
        <v>17</v>
      </c>
      <c r="H430" s="106">
        <v>0.472222222222222</v>
      </c>
      <c r="I430" s="106"/>
      <c r="J430" s="106"/>
      <c r="K430" s="106"/>
      <c r="L430" s="213">
        <v>5772</v>
      </c>
      <c r="M430" s="213">
        <v>2891</v>
      </c>
      <c r="N430" s="213">
        <v>-144.799999999999</v>
      </c>
      <c r="O430" s="213">
        <v>-2310.85714285714</v>
      </c>
      <c r="P430" s="116">
        <v>2</v>
      </c>
      <c r="Q430" s="115">
        <v>3</v>
      </c>
      <c r="R430" s="115">
        <v>-2.2</v>
      </c>
      <c r="S430" s="115">
        <v>-4.57142857142857</v>
      </c>
      <c r="T430" s="108">
        <v>6</v>
      </c>
      <c r="U430" s="108">
        <v>4</v>
      </c>
      <c r="V430" s="108">
        <v>-5.6</v>
      </c>
      <c r="W430" s="108">
        <v>-5.42857142857143</v>
      </c>
    </row>
    <row r="431" spans="1:23">
      <c r="A431" s="103">
        <v>45028</v>
      </c>
      <c r="B431" s="104" t="s">
        <v>26</v>
      </c>
      <c r="C431" s="145">
        <v>5556</v>
      </c>
      <c r="D431" s="145"/>
      <c r="E431" s="104">
        <v>49</v>
      </c>
      <c r="F431" s="106">
        <v>0.00881929445644348</v>
      </c>
      <c r="G431" s="107">
        <v>17</v>
      </c>
      <c r="H431" s="106">
        <v>0.346938775510204</v>
      </c>
      <c r="I431" s="106"/>
      <c r="J431" s="106"/>
      <c r="K431" s="106"/>
      <c r="L431" s="213">
        <v>3870</v>
      </c>
      <c r="M431" s="213">
        <v>3538.66666666667</v>
      </c>
      <c r="N431" s="213">
        <v>3663.6</v>
      </c>
      <c r="O431" s="213">
        <v>3798.28571428571</v>
      </c>
      <c r="P431" s="108">
        <v>6</v>
      </c>
      <c r="Q431" s="108">
        <v>1</v>
      </c>
      <c r="R431" s="108">
        <v>-7.8</v>
      </c>
      <c r="S431" s="108">
        <v>-13.8571428571429</v>
      </c>
      <c r="T431" s="108">
        <v>6</v>
      </c>
      <c r="U431" s="108">
        <v>0</v>
      </c>
      <c r="V431" s="108">
        <v>-3.8</v>
      </c>
      <c r="W431" s="108">
        <v>-3.42857142857143</v>
      </c>
    </row>
    <row r="432" spans="1:23">
      <c r="A432" s="103">
        <v>45028</v>
      </c>
      <c r="B432" s="104" t="s">
        <v>27</v>
      </c>
      <c r="C432" s="145">
        <v>332</v>
      </c>
      <c r="D432" s="145"/>
      <c r="E432" s="104">
        <v>3</v>
      </c>
      <c r="F432" s="106">
        <v>0.00903614457831325</v>
      </c>
      <c r="G432" s="107">
        <v>1</v>
      </c>
      <c r="H432" s="106">
        <v>0.333333333333333</v>
      </c>
      <c r="I432" s="106"/>
      <c r="J432" s="106"/>
      <c r="K432" s="106"/>
      <c r="L432" s="213">
        <v>235</v>
      </c>
      <c r="M432" s="213">
        <v>264.666666666667</v>
      </c>
      <c r="N432" s="213">
        <v>263.4</v>
      </c>
      <c r="O432" s="213">
        <v>269.428571428571</v>
      </c>
      <c r="P432" s="108">
        <v>0</v>
      </c>
      <c r="Q432" s="108">
        <v>-0.333333333333333</v>
      </c>
      <c r="R432" s="108">
        <v>-1.2</v>
      </c>
      <c r="S432" s="108">
        <v>-0.571428571428572</v>
      </c>
      <c r="T432" s="108">
        <v>0</v>
      </c>
      <c r="U432" s="108">
        <v>-0.666666666666667</v>
      </c>
      <c r="V432" s="108">
        <v>-0.2</v>
      </c>
      <c r="W432" s="108">
        <v>0</v>
      </c>
    </row>
    <row r="433" spans="1:23">
      <c r="A433" s="103">
        <v>45028</v>
      </c>
      <c r="B433" s="104" t="s">
        <v>28</v>
      </c>
      <c r="C433" s="145">
        <v>0</v>
      </c>
      <c r="D433" s="145"/>
      <c r="E433" s="104">
        <v>1</v>
      </c>
      <c r="F433" s="106">
        <v>1</v>
      </c>
      <c r="G433" s="107">
        <v>1</v>
      </c>
      <c r="H433" s="106">
        <v>1</v>
      </c>
      <c r="I433" s="106"/>
      <c r="J433" s="106"/>
      <c r="K433" s="106"/>
      <c r="L433" s="213">
        <v>0</v>
      </c>
      <c r="M433" s="213">
        <v>0</v>
      </c>
      <c r="N433" s="213">
        <v>0</v>
      </c>
      <c r="O433" s="213">
        <v>0</v>
      </c>
      <c r="P433" s="108">
        <v>0</v>
      </c>
      <c r="Q433" s="108">
        <v>0.666666666666667</v>
      </c>
      <c r="R433" s="108">
        <v>0.8</v>
      </c>
      <c r="S433" s="108">
        <v>0.857142857142857</v>
      </c>
      <c r="T433" s="108">
        <v>1</v>
      </c>
      <c r="U433" s="108">
        <v>1</v>
      </c>
      <c r="V433" s="108">
        <v>1</v>
      </c>
      <c r="W433" s="108">
        <v>1</v>
      </c>
    </row>
    <row r="434" spans="1:23">
      <c r="A434" s="103">
        <v>45028</v>
      </c>
      <c r="B434" s="104" t="s">
        <v>29</v>
      </c>
      <c r="C434" s="145">
        <v>3</v>
      </c>
      <c r="D434" s="145"/>
      <c r="E434" s="104">
        <v>0</v>
      </c>
      <c r="F434" s="106">
        <v>0</v>
      </c>
      <c r="G434" s="107">
        <v>0</v>
      </c>
      <c r="H434" s="106">
        <v>0</v>
      </c>
      <c r="I434" s="106"/>
      <c r="J434" s="106"/>
      <c r="K434" s="106"/>
      <c r="L434" s="213">
        <v>2</v>
      </c>
      <c r="M434" s="213">
        <v>2.33333333333333</v>
      </c>
      <c r="N434" s="213">
        <v>2.4</v>
      </c>
      <c r="O434" s="213">
        <v>2.14285714285714</v>
      </c>
      <c r="P434" s="108">
        <v>-1</v>
      </c>
      <c r="Q434" s="108">
        <v>-0.666666666666667</v>
      </c>
      <c r="R434" s="108">
        <v>-0.6</v>
      </c>
      <c r="S434" s="108">
        <v>-0.428571428571429</v>
      </c>
      <c r="T434" s="108">
        <v>0</v>
      </c>
      <c r="U434" s="108">
        <v>0</v>
      </c>
      <c r="V434" s="108">
        <v>-0.2</v>
      </c>
      <c r="W434" s="108">
        <v>-0.142857142857143</v>
      </c>
    </row>
    <row r="435" spans="1:23">
      <c r="A435" s="103">
        <v>45028</v>
      </c>
      <c r="B435" s="104" t="s">
        <v>30</v>
      </c>
      <c r="C435" s="145">
        <v>0</v>
      </c>
      <c r="D435" s="145"/>
      <c r="E435" s="104">
        <v>0</v>
      </c>
      <c r="F435" s="106">
        <v>0</v>
      </c>
      <c r="G435" s="107">
        <v>0</v>
      </c>
      <c r="H435" s="106">
        <v>0</v>
      </c>
      <c r="I435" s="106"/>
      <c r="J435" s="106"/>
      <c r="K435" s="106"/>
      <c r="L435" s="213">
        <v>0</v>
      </c>
      <c r="M435" s="213">
        <v>0</v>
      </c>
      <c r="N435" s="213">
        <v>0</v>
      </c>
      <c r="O435" s="213">
        <v>0</v>
      </c>
      <c r="P435" s="108">
        <v>0</v>
      </c>
      <c r="Q435" s="108">
        <v>0</v>
      </c>
      <c r="R435" s="108">
        <v>0</v>
      </c>
      <c r="S435" s="108">
        <v>0</v>
      </c>
      <c r="T435" s="108">
        <v>0</v>
      </c>
      <c r="U435" s="108">
        <v>0</v>
      </c>
      <c r="V435" s="108">
        <v>0</v>
      </c>
      <c r="W435" s="108">
        <v>0</v>
      </c>
    </row>
    <row r="436" spans="1:23">
      <c r="A436" s="103">
        <v>45028</v>
      </c>
      <c r="B436" s="104" t="s">
        <v>31</v>
      </c>
      <c r="C436" s="145">
        <v>0</v>
      </c>
      <c r="D436" s="145"/>
      <c r="E436" s="104">
        <v>0</v>
      </c>
      <c r="F436" s="106">
        <v>0</v>
      </c>
      <c r="G436" s="107">
        <v>0</v>
      </c>
      <c r="H436" s="106">
        <v>0</v>
      </c>
      <c r="I436" s="106"/>
      <c r="J436" s="106"/>
      <c r="K436" s="106"/>
      <c r="L436" s="213">
        <v>0</v>
      </c>
      <c r="M436" s="213">
        <v>0</v>
      </c>
      <c r="N436" s="213">
        <v>0</v>
      </c>
      <c r="O436" s="213">
        <v>0</v>
      </c>
      <c r="P436" s="108">
        <v>0</v>
      </c>
      <c r="Q436" s="108">
        <v>0</v>
      </c>
      <c r="R436" s="108">
        <v>-0.2</v>
      </c>
      <c r="S436" s="108">
        <v>-0.428571428571429</v>
      </c>
      <c r="T436" s="108">
        <v>0</v>
      </c>
      <c r="U436" s="108">
        <v>0</v>
      </c>
      <c r="V436" s="108">
        <v>0</v>
      </c>
      <c r="W436" s="108">
        <v>0</v>
      </c>
    </row>
    <row r="437" spans="1:23">
      <c r="A437" s="103">
        <v>45028</v>
      </c>
      <c r="B437" s="104" t="s">
        <v>32</v>
      </c>
      <c r="C437" s="145">
        <v>0</v>
      </c>
      <c r="D437" s="145"/>
      <c r="E437" s="104">
        <v>0</v>
      </c>
      <c r="F437" s="106">
        <v>0</v>
      </c>
      <c r="G437" s="107">
        <v>0</v>
      </c>
      <c r="H437" s="106">
        <v>0</v>
      </c>
      <c r="I437" s="106"/>
      <c r="J437" s="106"/>
      <c r="K437" s="106"/>
      <c r="L437" s="213">
        <v>0</v>
      </c>
      <c r="M437" s="213">
        <v>0</v>
      </c>
      <c r="N437" s="213">
        <v>0</v>
      </c>
      <c r="O437" s="213">
        <v>0</v>
      </c>
      <c r="P437" s="108">
        <v>0</v>
      </c>
      <c r="Q437" s="108">
        <v>0</v>
      </c>
      <c r="R437" s="108">
        <v>0</v>
      </c>
      <c r="S437" s="108">
        <v>0</v>
      </c>
      <c r="T437" s="108">
        <v>0</v>
      </c>
      <c r="U437" s="108">
        <v>0</v>
      </c>
      <c r="V437" s="108">
        <v>0</v>
      </c>
      <c r="W437" s="108">
        <v>0</v>
      </c>
    </row>
    <row r="438" spans="1:23">
      <c r="A438" s="103">
        <v>45028</v>
      </c>
      <c r="B438" s="104" t="s">
        <v>33</v>
      </c>
      <c r="C438" s="145">
        <v>0</v>
      </c>
      <c r="D438" s="145"/>
      <c r="E438" s="104">
        <v>0</v>
      </c>
      <c r="F438" s="106">
        <v>0</v>
      </c>
      <c r="G438" s="107">
        <v>0</v>
      </c>
      <c r="H438" s="106">
        <v>0</v>
      </c>
      <c r="I438" s="106"/>
      <c r="J438" s="106"/>
      <c r="K438" s="106"/>
      <c r="L438" s="213">
        <v>0</v>
      </c>
      <c r="M438" s="213">
        <v>0</v>
      </c>
      <c r="N438" s="213">
        <v>0</v>
      </c>
      <c r="O438" s="213">
        <v>0</v>
      </c>
      <c r="P438" s="108">
        <v>0</v>
      </c>
      <c r="Q438" s="108">
        <v>0</v>
      </c>
      <c r="R438" s="108">
        <v>0</v>
      </c>
      <c r="S438" s="108">
        <v>0</v>
      </c>
      <c r="T438" s="108">
        <v>0</v>
      </c>
      <c r="U438" s="108">
        <v>0</v>
      </c>
      <c r="V438" s="108">
        <v>0</v>
      </c>
      <c r="W438" s="108">
        <v>0</v>
      </c>
    </row>
    <row r="439" spans="1:23">
      <c r="A439" s="103">
        <v>45028</v>
      </c>
      <c r="B439" s="104" t="s">
        <v>34</v>
      </c>
      <c r="C439" s="145">
        <v>0</v>
      </c>
      <c r="D439" s="145"/>
      <c r="E439" s="104">
        <v>0</v>
      </c>
      <c r="F439" s="106">
        <v>0</v>
      </c>
      <c r="G439" s="107">
        <v>0</v>
      </c>
      <c r="H439" s="106">
        <v>0</v>
      </c>
      <c r="I439" s="106"/>
      <c r="J439" s="106"/>
      <c r="K439" s="106"/>
      <c r="L439" s="213">
        <v>0</v>
      </c>
      <c r="M439" s="213">
        <v>0</v>
      </c>
      <c r="N439" s="213">
        <v>0</v>
      </c>
      <c r="O439" s="213">
        <v>0</v>
      </c>
      <c r="P439" s="108">
        <v>0</v>
      </c>
      <c r="Q439" s="108">
        <v>0</v>
      </c>
      <c r="R439" s="108">
        <v>0</v>
      </c>
      <c r="S439" s="108">
        <v>0</v>
      </c>
      <c r="T439" s="108">
        <v>0</v>
      </c>
      <c r="U439" s="108">
        <v>0</v>
      </c>
      <c r="V439" s="108">
        <v>0</v>
      </c>
      <c r="W439" s="108">
        <v>0</v>
      </c>
    </row>
    <row r="440" spans="1:23">
      <c r="A440" s="103">
        <v>45028</v>
      </c>
      <c r="B440" s="104" t="s">
        <v>35</v>
      </c>
      <c r="C440" s="145">
        <v>0</v>
      </c>
      <c r="D440" s="145"/>
      <c r="E440" s="104">
        <v>0</v>
      </c>
      <c r="F440" s="106">
        <v>0</v>
      </c>
      <c r="G440" s="107">
        <v>0</v>
      </c>
      <c r="H440" s="106">
        <v>0</v>
      </c>
      <c r="I440" s="106"/>
      <c r="J440" s="106"/>
      <c r="K440" s="106"/>
      <c r="L440" s="213">
        <v>0</v>
      </c>
      <c r="M440" s="213">
        <v>0</v>
      </c>
      <c r="N440" s="213">
        <v>0</v>
      </c>
      <c r="O440" s="213">
        <v>0</v>
      </c>
      <c r="P440" s="108">
        <v>0</v>
      </c>
      <c r="Q440" s="108">
        <v>0</v>
      </c>
      <c r="R440" s="108">
        <v>0</v>
      </c>
      <c r="S440" s="108">
        <v>0</v>
      </c>
      <c r="T440" s="108">
        <v>0</v>
      </c>
      <c r="U440" s="108">
        <v>0</v>
      </c>
      <c r="V440" s="108">
        <v>0</v>
      </c>
      <c r="W440" s="108">
        <v>0</v>
      </c>
    </row>
    <row r="441" spans="1:23">
      <c r="A441" s="103">
        <v>45028</v>
      </c>
      <c r="B441" s="104" t="s">
        <v>36</v>
      </c>
      <c r="C441" s="145">
        <v>0</v>
      </c>
      <c r="D441" s="145"/>
      <c r="E441" s="104">
        <v>0</v>
      </c>
      <c r="F441" s="106">
        <v>0</v>
      </c>
      <c r="G441" s="107">
        <v>0</v>
      </c>
      <c r="H441" s="106">
        <v>0</v>
      </c>
      <c r="I441" s="106"/>
      <c r="J441" s="106"/>
      <c r="K441" s="106"/>
      <c r="L441" s="213">
        <v>0</v>
      </c>
      <c r="M441" s="213">
        <v>0</v>
      </c>
      <c r="N441" s="213">
        <v>0</v>
      </c>
      <c r="O441" s="213">
        <v>0</v>
      </c>
      <c r="P441" s="108">
        <v>0</v>
      </c>
      <c r="Q441" s="108">
        <v>0</v>
      </c>
      <c r="R441" s="108">
        <v>0</v>
      </c>
      <c r="S441" s="108">
        <v>0</v>
      </c>
      <c r="T441" s="108">
        <v>0</v>
      </c>
      <c r="U441" s="108">
        <v>0</v>
      </c>
      <c r="V441" s="108">
        <v>0</v>
      </c>
      <c r="W441" s="108">
        <v>0</v>
      </c>
    </row>
    <row r="442" spans="1:23">
      <c r="A442" s="103">
        <v>45028</v>
      </c>
      <c r="B442" s="104" t="s">
        <v>37</v>
      </c>
      <c r="C442" s="145">
        <v>0</v>
      </c>
      <c r="D442" s="145"/>
      <c r="E442" s="104">
        <v>0</v>
      </c>
      <c r="F442" s="106">
        <v>0</v>
      </c>
      <c r="G442" s="107">
        <v>0</v>
      </c>
      <c r="H442" s="106">
        <v>0</v>
      </c>
      <c r="I442" s="106"/>
      <c r="J442" s="106"/>
      <c r="K442" s="106"/>
      <c r="L442" s="213">
        <v>0</v>
      </c>
      <c r="M442" s="213">
        <v>0</v>
      </c>
      <c r="N442" s="213">
        <v>0</v>
      </c>
      <c r="O442" s="213">
        <v>0</v>
      </c>
      <c r="P442" s="108">
        <v>0</v>
      </c>
      <c r="Q442" s="108">
        <v>0</v>
      </c>
      <c r="R442" s="108">
        <v>0</v>
      </c>
      <c r="S442" s="108">
        <v>0</v>
      </c>
      <c r="T442" s="108">
        <v>0</v>
      </c>
      <c r="U442" s="108">
        <v>0</v>
      </c>
      <c r="V442" s="108">
        <v>0</v>
      </c>
      <c r="W442" s="108">
        <v>0</v>
      </c>
    </row>
    <row r="443" spans="1:23">
      <c r="A443" s="103">
        <v>45028</v>
      </c>
      <c r="B443" s="104" t="s">
        <v>38</v>
      </c>
      <c r="C443" s="145">
        <v>0</v>
      </c>
      <c r="D443" s="145"/>
      <c r="E443" s="104">
        <v>0</v>
      </c>
      <c r="F443" s="106">
        <v>0</v>
      </c>
      <c r="G443" s="107">
        <v>0</v>
      </c>
      <c r="H443" s="106">
        <v>0</v>
      </c>
      <c r="I443" s="106"/>
      <c r="J443" s="106"/>
      <c r="K443" s="106"/>
      <c r="L443" s="213">
        <v>0</v>
      </c>
      <c r="M443" s="213">
        <v>0</v>
      </c>
      <c r="N443" s="213">
        <v>0</v>
      </c>
      <c r="O443" s="213">
        <v>0</v>
      </c>
      <c r="P443" s="108">
        <v>0</v>
      </c>
      <c r="Q443" s="108">
        <v>0</v>
      </c>
      <c r="R443" s="108">
        <v>0</v>
      </c>
      <c r="S443" s="108">
        <v>0</v>
      </c>
      <c r="T443" s="108">
        <v>0</v>
      </c>
      <c r="U443" s="108">
        <v>0</v>
      </c>
      <c r="V443" s="108">
        <v>0</v>
      </c>
      <c r="W443" s="108">
        <v>0</v>
      </c>
    </row>
    <row r="444" spans="1:23">
      <c r="A444" s="103">
        <v>45028</v>
      </c>
      <c r="B444" s="111" t="s">
        <v>39</v>
      </c>
      <c r="C444" s="112">
        <v>23386</v>
      </c>
      <c r="D444" s="112"/>
      <c r="E444" s="112">
        <v>291</v>
      </c>
      <c r="F444" s="113">
        <v>0.0124433421705294</v>
      </c>
      <c r="G444" s="112">
        <v>113</v>
      </c>
      <c r="H444" s="113">
        <v>0.388316151202749</v>
      </c>
      <c r="I444" s="113"/>
      <c r="J444" s="113"/>
      <c r="K444" s="113"/>
      <c r="L444" s="213"/>
      <c r="M444" s="213"/>
      <c r="N444" s="213"/>
      <c r="O444" s="213"/>
      <c r="P444" s="108"/>
      <c r="Q444" s="108"/>
      <c r="R444" s="108"/>
      <c r="S444" s="108"/>
      <c r="T444" s="108"/>
      <c r="U444" s="108"/>
      <c r="V444" s="108"/>
      <c r="W444" s="108"/>
    </row>
    <row r="445" spans="1:23">
      <c r="A445" s="103">
        <v>45029</v>
      </c>
      <c r="B445" s="104" t="s">
        <v>17</v>
      </c>
      <c r="C445" s="105">
        <v>234</v>
      </c>
      <c r="D445" s="105"/>
      <c r="E445" s="104">
        <v>31</v>
      </c>
      <c r="F445" s="106">
        <v>0.132478632478632</v>
      </c>
      <c r="G445" s="107">
        <v>6</v>
      </c>
      <c r="H445" s="106">
        <v>0.193548387096774</v>
      </c>
      <c r="I445" s="106"/>
      <c r="J445" s="106"/>
      <c r="K445" s="106"/>
      <c r="L445" s="213">
        <v>-14</v>
      </c>
      <c r="M445" s="213">
        <v>23.6666666666667</v>
      </c>
      <c r="N445" s="213">
        <v>40.4</v>
      </c>
      <c r="O445" s="213">
        <v>65.4285714285714</v>
      </c>
      <c r="P445" s="108">
        <v>-17</v>
      </c>
      <c r="Q445" s="108">
        <v>1</v>
      </c>
      <c r="R445" s="108">
        <v>0.800000000000001</v>
      </c>
      <c r="S445" s="108">
        <v>2.71428571428572</v>
      </c>
      <c r="T445" s="108">
        <v>-4</v>
      </c>
      <c r="U445" s="108">
        <v>1</v>
      </c>
      <c r="V445" s="108">
        <v>2</v>
      </c>
      <c r="W445" s="108">
        <v>2.14285714285714</v>
      </c>
    </row>
    <row r="446" spans="1:23">
      <c r="A446" s="103">
        <v>45029</v>
      </c>
      <c r="B446" s="104" t="s">
        <v>19</v>
      </c>
      <c r="C446" s="107">
        <v>920</v>
      </c>
      <c r="D446" s="107"/>
      <c r="E446" s="104">
        <v>18</v>
      </c>
      <c r="F446" s="106">
        <v>0.0195652173913043</v>
      </c>
      <c r="G446" s="107">
        <v>7</v>
      </c>
      <c r="H446" s="106">
        <v>0.388888888888889</v>
      </c>
      <c r="I446" s="106"/>
      <c r="J446" s="106"/>
      <c r="K446" s="106"/>
      <c r="L446" s="213">
        <v>-78</v>
      </c>
      <c r="M446" s="213">
        <v>212.333333333333</v>
      </c>
      <c r="N446" s="213">
        <v>200.6</v>
      </c>
      <c r="O446" s="213">
        <v>202.571428571429</v>
      </c>
      <c r="P446" s="108">
        <v>4</v>
      </c>
      <c r="Q446" s="108">
        <v>-1</v>
      </c>
      <c r="R446" s="108">
        <v>-6.8</v>
      </c>
      <c r="S446" s="108">
        <v>-7.85714285714286</v>
      </c>
      <c r="T446" s="108">
        <v>-1</v>
      </c>
      <c r="U446" s="108">
        <v>-4</v>
      </c>
      <c r="V446" s="108">
        <v>-3.8</v>
      </c>
      <c r="W446" s="115">
        <v>-3.28571428571429</v>
      </c>
    </row>
    <row r="447" spans="1:23">
      <c r="A447" s="103">
        <v>45029</v>
      </c>
      <c r="B447" s="104" t="s">
        <v>21</v>
      </c>
      <c r="C447" s="145">
        <v>370</v>
      </c>
      <c r="D447" s="145"/>
      <c r="E447" s="104">
        <v>27</v>
      </c>
      <c r="F447" s="106">
        <v>0.072972972972973</v>
      </c>
      <c r="G447" s="107">
        <v>8</v>
      </c>
      <c r="H447" s="106">
        <v>0.296296296296296</v>
      </c>
      <c r="I447" s="106"/>
      <c r="J447" s="106"/>
      <c r="K447" s="106"/>
      <c r="L447" s="213">
        <v>-37</v>
      </c>
      <c r="M447" s="213">
        <v>-48.6666666666667</v>
      </c>
      <c r="N447" s="213">
        <v>-52</v>
      </c>
      <c r="O447" s="213">
        <v>-113.857142857143</v>
      </c>
      <c r="P447" s="108">
        <v>5</v>
      </c>
      <c r="Q447" s="108">
        <v>2.66666666666667</v>
      </c>
      <c r="R447" s="108">
        <v>3.2</v>
      </c>
      <c r="S447" s="108">
        <v>3.42857142857143</v>
      </c>
      <c r="T447" s="108">
        <v>-1</v>
      </c>
      <c r="U447" s="108">
        <v>-1.33333333333333</v>
      </c>
      <c r="V447" s="108">
        <v>-1.2</v>
      </c>
      <c r="W447" s="108">
        <v>-1.14285714285714</v>
      </c>
    </row>
    <row r="448" spans="1:23">
      <c r="A448" s="103">
        <v>45029</v>
      </c>
      <c r="B448" s="104" t="s">
        <v>22</v>
      </c>
      <c r="C448" s="145">
        <v>4135</v>
      </c>
      <c r="D448" s="145"/>
      <c r="E448" s="104">
        <v>93</v>
      </c>
      <c r="F448" s="106">
        <v>0.022490931076179</v>
      </c>
      <c r="G448" s="107">
        <v>37</v>
      </c>
      <c r="H448" s="106">
        <v>0.397849462365591</v>
      </c>
      <c r="I448" s="106"/>
      <c r="J448" s="106"/>
      <c r="K448" s="106"/>
      <c r="L448" s="213">
        <v>-75</v>
      </c>
      <c r="M448" s="213">
        <v>-42.666666666667</v>
      </c>
      <c r="N448" s="213">
        <v>-194.6</v>
      </c>
      <c r="O448" s="213">
        <v>-240.285714285715</v>
      </c>
      <c r="P448" s="108">
        <v>17</v>
      </c>
      <c r="Q448" s="108">
        <v>2.33333333333333</v>
      </c>
      <c r="R448" s="108">
        <v>-7.8</v>
      </c>
      <c r="S448" s="115">
        <v>-10.4285714285714</v>
      </c>
      <c r="T448" s="108">
        <v>2</v>
      </c>
      <c r="U448" s="108">
        <v>5</v>
      </c>
      <c r="V448" s="108">
        <v>7.6</v>
      </c>
      <c r="W448" s="117">
        <v>7</v>
      </c>
    </row>
    <row r="449" spans="1:23">
      <c r="A449" s="103">
        <v>45029</v>
      </c>
      <c r="B449" s="104" t="s">
        <v>23</v>
      </c>
      <c r="C449" s="145">
        <v>2381</v>
      </c>
      <c r="D449" s="145"/>
      <c r="E449" s="104">
        <v>27</v>
      </c>
      <c r="F449" s="106">
        <v>0.0113397732045359</v>
      </c>
      <c r="G449" s="107">
        <v>9</v>
      </c>
      <c r="H449" s="106">
        <v>0.333333333333333</v>
      </c>
      <c r="I449" s="106"/>
      <c r="J449" s="106"/>
      <c r="K449" s="106"/>
      <c r="L449" s="213">
        <v>-29</v>
      </c>
      <c r="M449" s="213">
        <v>-68.6666666666665</v>
      </c>
      <c r="N449" s="213">
        <v>-201</v>
      </c>
      <c r="O449" s="213">
        <v>-302.714285714286</v>
      </c>
      <c r="P449" s="108">
        <v>-9</v>
      </c>
      <c r="Q449" s="108">
        <v>-7.33333333333334</v>
      </c>
      <c r="R449" s="108">
        <v>-7.4</v>
      </c>
      <c r="S449" s="108">
        <v>-7.28571428571428</v>
      </c>
      <c r="T449" s="108">
        <v>-4</v>
      </c>
      <c r="U449" s="116">
        <v>-4</v>
      </c>
      <c r="V449" s="108">
        <v>-3.2</v>
      </c>
      <c r="W449" s="108">
        <v>-2.71428571428571</v>
      </c>
    </row>
    <row r="450" spans="1:23">
      <c r="A450" s="103">
        <v>45029</v>
      </c>
      <c r="B450" s="104" t="s">
        <v>24</v>
      </c>
      <c r="C450" s="145">
        <v>485</v>
      </c>
      <c r="D450" s="145"/>
      <c r="E450" s="104">
        <v>7</v>
      </c>
      <c r="F450" s="106">
        <v>0.0144329896907217</v>
      </c>
      <c r="G450" s="107">
        <v>2</v>
      </c>
      <c r="H450" s="106">
        <v>0.285714285714286</v>
      </c>
      <c r="I450" s="106"/>
      <c r="J450" s="106"/>
      <c r="K450" s="106"/>
      <c r="L450" s="213">
        <v>47</v>
      </c>
      <c r="M450" s="213">
        <v>31</v>
      </c>
      <c r="N450" s="213">
        <v>26</v>
      </c>
      <c r="O450" s="213">
        <v>-22</v>
      </c>
      <c r="P450" s="115">
        <v>1</v>
      </c>
      <c r="Q450" s="115">
        <v>0</v>
      </c>
      <c r="R450" s="117">
        <v>0.4</v>
      </c>
      <c r="S450" s="117">
        <v>0.428571428571429</v>
      </c>
      <c r="T450" s="115">
        <v>0</v>
      </c>
      <c r="U450" s="115">
        <v>0.333333333333333</v>
      </c>
      <c r="V450" s="115">
        <v>0.4</v>
      </c>
      <c r="W450" s="115">
        <v>0.428571428571429</v>
      </c>
    </row>
    <row r="451" spans="1:23">
      <c r="A451" s="103">
        <v>45029</v>
      </c>
      <c r="B451" s="104" t="s">
        <v>25</v>
      </c>
      <c r="C451" s="145">
        <v>9340</v>
      </c>
      <c r="D451" s="145"/>
      <c r="E451" s="104">
        <v>35</v>
      </c>
      <c r="F451" s="106">
        <v>0.00374732334047109</v>
      </c>
      <c r="G451" s="107">
        <v>11</v>
      </c>
      <c r="H451" s="106">
        <v>0.314285714285714</v>
      </c>
      <c r="I451" s="106"/>
      <c r="J451" s="106"/>
      <c r="K451" s="106"/>
      <c r="L451" s="213">
        <v>556</v>
      </c>
      <c r="M451" s="213">
        <v>4234.66666666667</v>
      </c>
      <c r="N451" s="213">
        <v>1683.2</v>
      </c>
      <c r="O451" s="213">
        <v>-897.428571428571</v>
      </c>
      <c r="P451" s="116">
        <v>-1</v>
      </c>
      <c r="Q451" s="115">
        <v>2.66666666666666</v>
      </c>
      <c r="R451" s="115">
        <v>-2</v>
      </c>
      <c r="S451" s="115">
        <v>-3.85714285714285</v>
      </c>
      <c r="T451" s="108">
        <v>-6</v>
      </c>
      <c r="U451" s="108">
        <v>-1.66666666666667</v>
      </c>
      <c r="V451" s="108">
        <v>-11.8</v>
      </c>
      <c r="W451" s="108">
        <v>-10</v>
      </c>
    </row>
    <row r="452" spans="1:23">
      <c r="A452" s="103">
        <v>45029</v>
      </c>
      <c r="B452" s="104" t="s">
        <v>26</v>
      </c>
      <c r="C452" s="145">
        <v>5756</v>
      </c>
      <c r="D452" s="145"/>
      <c r="E452" s="104">
        <v>31</v>
      </c>
      <c r="F452" s="106">
        <v>0.00538568450312717</v>
      </c>
      <c r="G452" s="107">
        <v>14</v>
      </c>
      <c r="H452" s="106">
        <v>0.451612903225806</v>
      </c>
      <c r="I452" s="106"/>
      <c r="J452" s="106"/>
      <c r="K452" s="106"/>
      <c r="L452" s="213">
        <v>200</v>
      </c>
      <c r="M452" s="213">
        <v>2660.66666666667</v>
      </c>
      <c r="N452" s="213">
        <v>3039.4</v>
      </c>
      <c r="O452" s="213">
        <v>3380.57142857143</v>
      </c>
      <c r="P452" s="108">
        <v>-18</v>
      </c>
      <c r="Q452" s="108">
        <v>-14.6666666666667</v>
      </c>
      <c r="R452" s="108">
        <v>-22.2</v>
      </c>
      <c r="S452" s="108">
        <v>-27.7142857142857</v>
      </c>
      <c r="T452" s="108">
        <v>-3</v>
      </c>
      <c r="U452" s="108">
        <v>-1.33333333333333</v>
      </c>
      <c r="V452" s="108">
        <v>-6.4</v>
      </c>
      <c r="W452" s="108">
        <v>-6.14285714285714</v>
      </c>
    </row>
    <row r="453" spans="1:23">
      <c r="A453" s="103">
        <v>45029</v>
      </c>
      <c r="B453" s="104" t="s">
        <v>27</v>
      </c>
      <c r="C453" s="145">
        <v>380</v>
      </c>
      <c r="D453" s="145"/>
      <c r="E453" s="104">
        <v>6</v>
      </c>
      <c r="F453" s="106">
        <v>0.0157894736842105</v>
      </c>
      <c r="G453" s="107">
        <v>0</v>
      </c>
      <c r="H453" s="106">
        <v>0</v>
      </c>
      <c r="I453" s="106"/>
      <c r="J453" s="106"/>
      <c r="K453" s="106"/>
      <c r="L453" s="213">
        <v>48</v>
      </c>
      <c r="M453" s="213">
        <v>219.666666666667</v>
      </c>
      <c r="N453" s="213">
        <v>257.2</v>
      </c>
      <c r="O453" s="213">
        <v>277.714285714286</v>
      </c>
      <c r="P453" s="108">
        <v>3</v>
      </c>
      <c r="Q453" s="108">
        <v>3</v>
      </c>
      <c r="R453" s="108">
        <v>1.8</v>
      </c>
      <c r="S453" s="108">
        <v>2.14285714285714</v>
      </c>
      <c r="T453" s="108">
        <v>-1</v>
      </c>
      <c r="U453" s="108">
        <v>-1.33333333333333</v>
      </c>
      <c r="V453" s="108">
        <v>-1.2</v>
      </c>
      <c r="W453" s="108">
        <v>-1.14285714285714</v>
      </c>
    </row>
    <row r="454" spans="1:23">
      <c r="A454" s="103">
        <v>45029</v>
      </c>
      <c r="B454" s="104" t="s">
        <v>28</v>
      </c>
      <c r="C454" s="145">
        <v>0</v>
      </c>
      <c r="D454" s="145"/>
      <c r="E454" s="104">
        <v>0</v>
      </c>
      <c r="F454" s="106">
        <v>0</v>
      </c>
      <c r="G454" s="107">
        <v>0</v>
      </c>
      <c r="H454" s="106">
        <v>0</v>
      </c>
      <c r="I454" s="106"/>
      <c r="J454" s="106"/>
      <c r="K454" s="106"/>
      <c r="L454" s="213">
        <v>0</v>
      </c>
      <c r="M454" s="213">
        <v>0</v>
      </c>
      <c r="N454" s="213">
        <v>0</v>
      </c>
      <c r="O454" s="213">
        <v>0</v>
      </c>
      <c r="P454" s="108">
        <v>-1</v>
      </c>
      <c r="Q454" s="108">
        <v>-0.666666666666667</v>
      </c>
      <c r="R454" s="108">
        <v>-0.4</v>
      </c>
      <c r="S454" s="108">
        <v>-0.285714285714286</v>
      </c>
      <c r="T454" s="108">
        <v>-1</v>
      </c>
      <c r="U454" s="108">
        <v>-0.333333333333333</v>
      </c>
      <c r="V454" s="108">
        <v>-0.2</v>
      </c>
      <c r="W454" s="108">
        <v>-0.142857142857143</v>
      </c>
    </row>
    <row r="455" spans="1:23">
      <c r="A455" s="103">
        <v>45029</v>
      </c>
      <c r="B455" s="104" t="s">
        <v>29</v>
      </c>
      <c r="C455" s="145">
        <v>2</v>
      </c>
      <c r="D455" s="145"/>
      <c r="E455" s="104">
        <v>0</v>
      </c>
      <c r="F455" s="106">
        <v>0</v>
      </c>
      <c r="G455" s="107">
        <v>0</v>
      </c>
      <c r="H455" s="106">
        <v>0</v>
      </c>
      <c r="I455" s="106"/>
      <c r="J455" s="106"/>
      <c r="K455" s="106"/>
      <c r="L455" s="213">
        <v>-1</v>
      </c>
      <c r="M455" s="213">
        <v>0.333333333333333</v>
      </c>
      <c r="N455" s="213">
        <v>1</v>
      </c>
      <c r="O455" s="213">
        <v>0.857142857142857</v>
      </c>
      <c r="P455" s="108">
        <v>0</v>
      </c>
      <c r="Q455" s="108">
        <v>-0.666666666666667</v>
      </c>
      <c r="R455" s="108">
        <v>-0.6</v>
      </c>
      <c r="S455" s="108">
        <v>-0.428571428571429</v>
      </c>
      <c r="T455" s="108">
        <v>0</v>
      </c>
      <c r="U455" s="108">
        <v>0</v>
      </c>
      <c r="V455" s="108">
        <v>-0.2</v>
      </c>
      <c r="W455" s="108">
        <v>-0.142857142857143</v>
      </c>
    </row>
    <row r="456" spans="1:23">
      <c r="A456" s="103">
        <v>45029</v>
      </c>
      <c r="B456" s="104" t="s">
        <v>30</v>
      </c>
      <c r="C456" s="145">
        <v>0</v>
      </c>
      <c r="D456" s="145"/>
      <c r="E456" s="104">
        <v>0</v>
      </c>
      <c r="F456" s="106">
        <v>0</v>
      </c>
      <c r="G456" s="107">
        <v>0</v>
      </c>
      <c r="H456" s="106">
        <v>0</v>
      </c>
      <c r="I456" s="106"/>
      <c r="J456" s="106"/>
      <c r="K456" s="106"/>
      <c r="L456" s="213">
        <v>0</v>
      </c>
      <c r="M456" s="213">
        <v>0</v>
      </c>
      <c r="N456" s="213">
        <v>0</v>
      </c>
      <c r="O456" s="213">
        <v>0</v>
      </c>
      <c r="P456" s="108">
        <v>0</v>
      </c>
      <c r="Q456" s="108">
        <v>0</v>
      </c>
      <c r="R456" s="108">
        <v>0</v>
      </c>
      <c r="S456" s="108">
        <v>0</v>
      </c>
      <c r="T456" s="108">
        <v>0</v>
      </c>
      <c r="U456" s="108">
        <v>0</v>
      </c>
      <c r="V456" s="108">
        <v>0</v>
      </c>
      <c r="W456" s="108">
        <v>0</v>
      </c>
    </row>
    <row r="457" spans="1:23">
      <c r="A457" s="103">
        <v>45029</v>
      </c>
      <c r="B457" s="104" t="s">
        <v>31</v>
      </c>
      <c r="C457" s="145">
        <v>0</v>
      </c>
      <c r="D457" s="145"/>
      <c r="E457" s="104">
        <v>0</v>
      </c>
      <c r="F457" s="106">
        <v>0</v>
      </c>
      <c r="G457" s="107">
        <v>0</v>
      </c>
      <c r="H457" s="106">
        <v>0</v>
      </c>
      <c r="I457" s="106"/>
      <c r="J457" s="106"/>
      <c r="K457" s="106"/>
      <c r="L457" s="213">
        <v>0</v>
      </c>
      <c r="M457" s="213">
        <v>0</v>
      </c>
      <c r="N457" s="213">
        <v>0</v>
      </c>
      <c r="O457" s="213">
        <v>0</v>
      </c>
      <c r="P457" s="108">
        <v>0</v>
      </c>
      <c r="Q457" s="108">
        <v>0</v>
      </c>
      <c r="R457" s="108">
        <v>-0.2</v>
      </c>
      <c r="S457" s="108">
        <v>-0.142857142857143</v>
      </c>
      <c r="T457" s="108">
        <v>0</v>
      </c>
      <c r="U457" s="108">
        <v>0</v>
      </c>
      <c r="V457" s="108">
        <v>0</v>
      </c>
      <c r="W457" s="108">
        <v>0</v>
      </c>
    </row>
    <row r="458" spans="1:23">
      <c r="A458" s="103">
        <v>45029</v>
      </c>
      <c r="B458" s="104" t="s">
        <v>32</v>
      </c>
      <c r="C458" s="145">
        <v>0</v>
      </c>
      <c r="D458" s="145"/>
      <c r="E458" s="104">
        <v>0</v>
      </c>
      <c r="F458" s="106">
        <v>0</v>
      </c>
      <c r="G458" s="107">
        <v>0</v>
      </c>
      <c r="H458" s="106">
        <v>0</v>
      </c>
      <c r="I458" s="106"/>
      <c r="J458" s="106"/>
      <c r="K458" s="106"/>
      <c r="L458" s="213">
        <v>0</v>
      </c>
      <c r="M458" s="213">
        <v>0</v>
      </c>
      <c r="N458" s="213">
        <v>0</v>
      </c>
      <c r="O458" s="213">
        <v>0</v>
      </c>
      <c r="P458" s="108">
        <v>0</v>
      </c>
      <c r="Q458" s="108">
        <v>0</v>
      </c>
      <c r="R458" s="108">
        <v>0</v>
      </c>
      <c r="S458" s="108">
        <v>0</v>
      </c>
      <c r="T458" s="108">
        <v>0</v>
      </c>
      <c r="U458" s="108">
        <v>0</v>
      </c>
      <c r="V458" s="108">
        <v>0</v>
      </c>
      <c r="W458" s="108">
        <v>0</v>
      </c>
    </row>
    <row r="459" spans="1:23">
      <c r="A459" s="103">
        <v>45029</v>
      </c>
      <c r="B459" s="104" t="s">
        <v>33</v>
      </c>
      <c r="C459" s="145">
        <v>0</v>
      </c>
      <c r="D459" s="145"/>
      <c r="E459" s="104">
        <v>0</v>
      </c>
      <c r="F459" s="106">
        <v>0</v>
      </c>
      <c r="G459" s="107">
        <v>0</v>
      </c>
      <c r="H459" s="106">
        <v>0</v>
      </c>
      <c r="I459" s="106"/>
      <c r="J459" s="106"/>
      <c r="K459" s="106"/>
      <c r="L459" s="213">
        <v>0</v>
      </c>
      <c r="M459" s="213">
        <v>0</v>
      </c>
      <c r="N459" s="213">
        <v>0</v>
      </c>
      <c r="O459" s="213">
        <v>0</v>
      </c>
      <c r="P459" s="108">
        <v>0</v>
      </c>
      <c r="Q459" s="108">
        <v>0</v>
      </c>
      <c r="R459" s="108">
        <v>0</v>
      </c>
      <c r="S459" s="108">
        <v>0</v>
      </c>
      <c r="T459" s="108">
        <v>0</v>
      </c>
      <c r="U459" s="108">
        <v>0</v>
      </c>
      <c r="V459" s="108">
        <v>0</v>
      </c>
      <c r="W459" s="108">
        <v>0</v>
      </c>
    </row>
    <row r="460" spans="1:23">
      <c r="A460" s="103">
        <v>45029</v>
      </c>
      <c r="B460" s="104" t="s">
        <v>34</v>
      </c>
      <c r="C460" s="145">
        <v>0</v>
      </c>
      <c r="D460" s="145"/>
      <c r="E460" s="104">
        <v>0</v>
      </c>
      <c r="F460" s="106">
        <v>0</v>
      </c>
      <c r="G460" s="107">
        <v>0</v>
      </c>
      <c r="H460" s="106">
        <v>0</v>
      </c>
      <c r="I460" s="106"/>
      <c r="J460" s="106"/>
      <c r="K460" s="106"/>
      <c r="L460" s="213">
        <v>0</v>
      </c>
      <c r="M460" s="213">
        <v>0</v>
      </c>
      <c r="N460" s="213">
        <v>0</v>
      </c>
      <c r="O460" s="213">
        <v>0</v>
      </c>
      <c r="P460" s="108">
        <v>0</v>
      </c>
      <c r="Q460" s="108">
        <v>0</v>
      </c>
      <c r="R460" s="108">
        <v>0</v>
      </c>
      <c r="S460" s="108">
        <v>0</v>
      </c>
      <c r="T460" s="108">
        <v>0</v>
      </c>
      <c r="U460" s="108">
        <v>0</v>
      </c>
      <c r="V460" s="108">
        <v>0</v>
      </c>
      <c r="W460" s="108">
        <v>0</v>
      </c>
    </row>
    <row r="461" spans="1:23">
      <c r="A461" s="103">
        <v>45029</v>
      </c>
      <c r="B461" s="104" t="s">
        <v>35</v>
      </c>
      <c r="C461" s="145">
        <v>0</v>
      </c>
      <c r="D461" s="145"/>
      <c r="E461" s="104">
        <v>0</v>
      </c>
      <c r="F461" s="106">
        <v>0</v>
      </c>
      <c r="G461" s="107">
        <v>0</v>
      </c>
      <c r="H461" s="106">
        <v>0</v>
      </c>
      <c r="I461" s="106"/>
      <c r="J461" s="106"/>
      <c r="K461" s="106"/>
      <c r="L461" s="213">
        <v>0</v>
      </c>
      <c r="M461" s="213">
        <v>0</v>
      </c>
      <c r="N461" s="213">
        <v>0</v>
      </c>
      <c r="O461" s="213">
        <v>0</v>
      </c>
      <c r="P461" s="108">
        <v>0</v>
      </c>
      <c r="Q461" s="108">
        <v>0</v>
      </c>
      <c r="R461" s="108">
        <v>0</v>
      </c>
      <c r="S461" s="108">
        <v>0</v>
      </c>
      <c r="T461" s="108">
        <v>0</v>
      </c>
      <c r="U461" s="108">
        <v>0</v>
      </c>
      <c r="V461" s="108">
        <v>0</v>
      </c>
      <c r="W461" s="108">
        <v>0</v>
      </c>
    </row>
    <row r="462" spans="1:23">
      <c r="A462" s="103">
        <v>45029</v>
      </c>
      <c r="B462" s="104" t="s">
        <v>36</v>
      </c>
      <c r="C462" s="145">
        <v>0</v>
      </c>
      <c r="D462" s="145"/>
      <c r="E462" s="104">
        <v>0</v>
      </c>
      <c r="F462" s="106">
        <v>0</v>
      </c>
      <c r="G462" s="107">
        <v>0</v>
      </c>
      <c r="H462" s="106">
        <v>0</v>
      </c>
      <c r="I462" s="106"/>
      <c r="J462" s="106"/>
      <c r="K462" s="106"/>
      <c r="L462" s="213">
        <v>0</v>
      </c>
      <c r="M462" s="213">
        <v>0</v>
      </c>
      <c r="N462" s="213">
        <v>0</v>
      </c>
      <c r="O462" s="213">
        <v>0</v>
      </c>
      <c r="P462" s="108">
        <v>0</v>
      </c>
      <c r="Q462" s="108">
        <v>0</v>
      </c>
      <c r="R462" s="108">
        <v>0</v>
      </c>
      <c r="S462" s="108">
        <v>0</v>
      </c>
      <c r="T462" s="108">
        <v>0</v>
      </c>
      <c r="U462" s="108">
        <v>0</v>
      </c>
      <c r="V462" s="108">
        <v>0</v>
      </c>
      <c r="W462" s="108">
        <v>0</v>
      </c>
    </row>
    <row r="463" spans="1:23">
      <c r="A463" s="103">
        <v>45029</v>
      </c>
      <c r="B463" s="104" t="s">
        <v>37</v>
      </c>
      <c r="C463" s="145">
        <v>0</v>
      </c>
      <c r="D463" s="145"/>
      <c r="E463" s="104">
        <v>0</v>
      </c>
      <c r="F463" s="106">
        <v>0</v>
      </c>
      <c r="G463" s="107">
        <v>0</v>
      </c>
      <c r="H463" s="106">
        <v>0</v>
      </c>
      <c r="I463" s="106"/>
      <c r="J463" s="106"/>
      <c r="K463" s="106"/>
      <c r="L463" s="213">
        <v>0</v>
      </c>
      <c r="M463" s="213">
        <v>0</v>
      </c>
      <c r="N463" s="213">
        <v>0</v>
      </c>
      <c r="O463" s="213">
        <v>0</v>
      </c>
      <c r="P463" s="108">
        <v>0</v>
      </c>
      <c r="Q463" s="108">
        <v>0</v>
      </c>
      <c r="R463" s="108">
        <v>0</v>
      </c>
      <c r="S463" s="108">
        <v>0</v>
      </c>
      <c r="T463" s="108">
        <v>0</v>
      </c>
      <c r="U463" s="108">
        <v>0</v>
      </c>
      <c r="V463" s="108">
        <v>0</v>
      </c>
      <c r="W463" s="108">
        <v>0</v>
      </c>
    </row>
    <row r="464" spans="1:23">
      <c r="A464" s="103">
        <v>45029</v>
      </c>
      <c r="B464" s="104" t="s">
        <v>38</v>
      </c>
      <c r="C464" s="145">
        <v>0</v>
      </c>
      <c r="D464" s="145"/>
      <c r="E464" s="104">
        <v>0</v>
      </c>
      <c r="F464" s="106">
        <v>0</v>
      </c>
      <c r="G464" s="107">
        <v>0</v>
      </c>
      <c r="H464" s="106">
        <v>0</v>
      </c>
      <c r="I464" s="106"/>
      <c r="J464" s="106"/>
      <c r="K464" s="106"/>
      <c r="L464" s="213">
        <v>0</v>
      </c>
      <c r="M464" s="213">
        <v>0</v>
      </c>
      <c r="N464" s="213">
        <v>0</v>
      </c>
      <c r="O464" s="213">
        <v>0</v>
      </c>
      <c r="P464" s="108">
        <v>0</v>
      </c>
      <c r="Q464" s="108">
        <v>0</v>
      </c>
      <c r="R464" s="108">
        <v>0</v>
      </c>
      <c r="S464" s="108">
        <v>0</v>
      </c>
      <c r="T464" s="108">
        <v>0</v>
      </c>
      <c r="U464" s="108">
        <v>0</v>
      </c>
      <c r="V464" s="108">
        <v>0</v>
      </c>
      <c r="W464" s="108">
        <v>0</v>
      </c>
    </row>
    <row r="465" spans="1:23">
      <c r="A465" s="103">
        <v>45029</v>
      </c>
      <c r="B465" s="111" t="s">
        <v>39</v>
      </c>
      <c r="C465" s="112">
        <v>24003</v>
      </c>
      <c r="D465" s="112"/>
      <c r="E465" s="112">
        <v>275</v>
      </c>
      <c r="F465" s="113">
        <v>0.0114569012206807</v>
      </c>
      <c r="G465" s="112">
        <v>94</v>
      </c>
      <c r="H465" s="113">
        <v>0.341818181818182</v>
      </c>
      <c r="I465" s="113"/>
      <c r="J465" s="113"/>
      <c r="K465" s="113"/>
      <c r="L465" s="213"/>
      <c r="M465" s="213"/>
      <c r="N465" s="213"/>
      <c r="O465" s="213"/>
      <c r="P465" s="108"/>
      <c r="Q465" s="108"/>
      <c r="R465" s="108"/>
      <c r="S465" s="108"/>
      <c r="T465" s="108"/>
      <c r="U465" s="108"/>
      <c r="V465" s="108"/>
      <c r="W465" s="108"/>
    </row>
    <row r="466" spans="1:23">
      <c r="A466" s="103">
        <v>45030</v>
      </c>
      <c r="B466" s="104" t="s">
        <v>17</v>
      </c>
      <c r="C466" s="105">
        <v>156</v>
      </c>
      <c r="D466" s="105"/>
      <c r="E466" s="104">
        <v>27</v>
      </c>
      <c r="F466" s="106">
        <v>0.173076923076923</v>
      </c>
      <c r="G466" s="107">
        <v>4</v>
      </c>
      <c r="H466" s="106">
        <v>0.148148148148148</v>
      </c>
      <c r="I466" s="106"/>
      <c r="J466" s="106"/>
      <c r="K466" s="106"/>
      <c r="L466" s="213">
        <v>-78</v>
      </c>
      <c r="M466" s="213">
        <v>-76.6666666666667</v>
      </c>
      <c r="N466" s="213">
        <v>-48.2</v>
      </c>
      <c r="O466" s="213">
        <v>-32.2857142857143</v>
      </c>
      <c r="P466" s="108">
        <v>-4</v>
      </c>
      <c r="Q466" s="108">
        <v>-4.33333333333333</v>
      </c>
      <c r="R466" s="108">
        <v>-3.8</v>
      </c>
      <c r="S466" s="108">
        <v>-2.71428571428572</v>
      </c>
      <c r="T466" s="108">
        <v>-2</v>
      </c>
      <c r="U466" s="108">
        <v>-2.33333333333333</v>
      </c>
      <c r="V466" s="108">
        <v>-1</v>
      </c>
      <c r="W466" s="108">
        <v>-0.428571428571429</v>
      </c>
    </row>
    <row r="467" spans="1:23">
      <c r="A467" s="103">
        <v>45030</v>
      </c>
      <c r="B467" s="104" t="s">
        <v>19</v>
      </c>
      <c r="C467" s="107">
        <v>1066</v>
      </c>
      <c r="D467" s="107"/>
      <c r="E467" s="104">
        <v>24</v>
      </c>
      <c r="F467" s="106">
        <v>0.0225140712945591</v>
      </c>
      <c r="G467" s="107">
        <v>8</v>
      </c>
      <c r="H467" s="106">
        <v>0.333333333333333</v>
      </c>
      <c r="I467" s="106"/>
      <c r="J467" s="106"/>
      <c r="K467" s="106"/>
      <c r="L467" s="213">
        <v>146</v>
      </c>
      <c r="M467" s="213">
        <v>247.333333333333</v>
      </c>
      <c r="N467" s="213">
        <v>337.2</v>
      </c>
      <c r="O467" s="213">
        <v>311.571428571429</v>
      </c>
      <c r="P467" s="108">
        <v>6</v>
      </c>
      <c r="Q467" s="108">
        <v>6.66666666666667</v>
      </c>
      <c r="R467" s="108">
        <v>3.4</v>
      </c>
      <c r="S467" s="108">
        <v>-0.714285714285715</v>
      </c>
      <c r="T467" s="108">
        <v>1</v>
      </c>
      <c r="U467" s="108">
        <v>-1.66666666666667</v>
      </c>
      <c r="V467" s="108">
        <v>-2.6</v>
      </c>
      <c r="W467" s="115">
        <v>-2</v>
      </c>
    </row>
    <row r="468" spans="1:23">
      <c r="A468" s="103">
        <v>45030</v>
      </c>
      <c r="B468" s="104" t="s">
        <v>21</v>
      </c>
      <c r="C468" s="145">
        <v>406</v>
      </c>
      <c r="D468" s="145"/>
      <c r="E468" s="104">
        <v>28</v>
      </c>
      <c r="F468" s="106">
        <v>0.0689655172413793</v>
      </c>
      <c r="G468" s="107">
        <v>9</v>
      </c>
      <c r="H468" s="106">
        <v>0.321428571428571</v>
      </c>
      <c r="I468" s="106"/>
      <c r="J468" s="106"/>
      <c r="K468" s="106"/>
      <c r="L468" s="213">
        <v>36</v>
      </c>
      <c r="M468" s="213">
        <v>-3.66666666666669</v>
      </c>
      <c r="N468" s="213">
        <v>3</v>
      </c>
      <c r="O468" s="213">
        <v>-37.5714285714286</v>
      </c>
      <c r="P468" s="108">
        <v>1</v>
      </c>
      <c r="Q468" s="108">
        <v>2.33333333333333</v>
      </c>
      <c r="R468" s="108">
        <v>3.6</v>
      </c>
      <c r="S468" s="108">
        <v>3.85714285714286</v>
      </c>
      <c r="T468" s="108">
        <v>1</v>
      </c>
      <c r="U468" s="108">
        <v>0.666666666666666</v>
      </c>
      <c r="V468" s="108">
        <v>-0.4</v>
      </c>
      <c r="W468" s="108">
        <v>0</v>
      </c>
    </row>
    <row r="469" spans="1:23">
      <c r="A469" s="103">
        <v>45030</v>
      </c>
      <c r="B469" s="104" t="s">
        <v>22</v>
      </c>
      <c r="C469" s="145">
        <v>4246</v>
      </c>
      <c r="D469" s="145"/>
      <c r="E469" s="104">
        <v>92</v>
      </c>
      <c r="F469" s="106">
        <v>0.0216674517192652</v>
      </c>
      <c r="G469" s="107">
        <v>36</v>
      </c>
      <c r="H469" s="106">
        <v>0.391304347826087</v>
      </c>
      <c r="I469" s="106"/>
      <c r="J469" s="106"/>
      <c r="K469" s="106"/>
      <c r="L469" s="213">
        <v>111</v>
      </c>
      <c r="M469" s="213">
        <v>54.333333333333</v>
      </c>
      <c r="N469" s="213">
        <v>18</v>
      </c>
      <c r="O469" s="213">
        <v>-37.5714285714284</v>
      </c>
      <c r="P469" s="108">
        <v>-1</v>
      </c>
      <c r="Q469" s="108">
        <v>3.33333333333333</v>
      </c>
      <c r="R469" s="108">
        <v>-4.2</v>
      </c>
      <c r="S469" s="115">
        <v>-8.14285714285714</v>
      </c>
      <c r="T469" s="108">
        <v>-1</v>
      </c>
      <c r="U469" s="108">
        <v>2.66666666666666</v>
      </c>
      <c r="V469" s="108">
        <v>1.8</v>
      </c>
      <c r="W469" s="117">
        <v>6.28571428571428</v>
      </c>
    </row>
    <row r="470" spans="1:23">
      <c r="A470" s="103">
        <v>45030</v>
      </c>
      <c r="B470" s="104" t="s">
        <v>23</v>
      </c>
      <c r="C470" s="145">
        <v>2593</v>
      </c>
      <c r="D470" s="145"/>
      <c r="E470" s="104">
        <v>27</v>
      </c>
      <c r="F470" s="106">
        <v>0.0104126494408022</v>
      </c>
      <c r="G470" s="107">
        <v>6</v>
      </c>
      <c r="H470" s="106">
        <v>0.222222222222222</v>
      </c>
      <c r="I470" s="106"/>
      <c r="J470" s="106"/>
      <c r="K470" s="106"/>
      <c r="L470" s="213">
        <v>212</v>
      </c>
      <c r="M470" s="213">
        <v>172.666666666667</v>
      </c>
      <c r="N470" s="213">
        <v>113.8</v>
      </c>
      <c r="O470" s="213">
        <v>2.14285714285734</v>
      </c>
      <c r="P470" s="108">
        <v>0</v>
      </c>
      <c r="Q470" s="108">
        <v>-5</v>
      </c>
      <c r="R470" s="108">
        <v>-5.2</v>
      </c>
      <c r="S470" s="108">
        <v>-4.71428571428572</v>
      </c>
      <c r="T470" s="108">
        <v>-3</v>
      </c>
      <c r="U470" s="116">
        <v>-5.66666666666667</v>
      </c>
      <c r="V470" s="108">
        <v>-5.2</v>
      </c>
      <c r="W470" s="108">
        <v>-5.71428571428571</v>
      </c>
    </row>
    <row r="471" spans="1:23">
      <c r="A471" s="103">
        <v>45030</v>
      </c>
      <c r="B471" s="104" t="s">
        <v>24</v>
      </c>
      <c r="C471" s="145">
        <v>266</v>
      </c>
      <c r="D471" s="145"/>
      <c r="E471" s="104">
        <v>5</v>
      </c>
      <c r="F471" s="106">
        <v>0.018796992481203</v>
      </c>
      <c r="G471" s="107">
        <v>1</v>
      </c>
      <c r="H471" s="106">
        <v>0.2</v>
      </c>
      <c r="I471" s="106"/>
      <c r="J471" s="106"/>
      <c r="K471" s="106"/>
      <c r="L471" s="213">
        <v>-219</v>
      </c>
      <c r="M471" s="213">
        <v>-181</v>
      </c>
      <c r="N471" s="213">
        <v>-194.4</v>
      </c>
      <c r="O471" s="213">
        <v>-196.285714285714</v>
      </c>
      <c r="P471" s="115">
        <v>-2</v>
      </c>
      <c r="Q471" s="115">
        <v>-2.33333333333333</v>
      </c>
      <c r="R471" s="117">
        <v>-1.6</v>
      </c>
      <c r="S471" s="117">
        <v>-1.71428571428571</v>
      </c>
      <c r="T471" s="115">
        <v>-1</v>
      </c>
      <c r="U471" s="115">
        <v>-0.333333333333333</v>
      </c>
      <c r="V471" s="115">
        <v>-0.4</v>
      </c>
      <c r="W471" s="115">
        <v>-0.714285714285714</v>
      </c>
    </row>
    <row r="472" spans="1:23">
      <c r="A472" s="103">
        <v>45030</v>
      </c>
      <c r="B472" s="104" t="s">
        <v>25</v>
      </c>
      <c r="C472" s="145">
        <v>9880</v>
      </c>
      <c r="D472" s="145"/>
      <c r="E472" s="104">
        <v>34</v>
      </c>
      <c r="F472" s="106">
        <v>0.0034412955465587</v>
      </c>
      <c r="G472" s="107">
        <v>14</v>
      </c>
      <c r="H472" s="106">
        <v>0.411764705882353</v>
      </c>
      <c r="I472" s="106"/>
      <c r="J472" s="106"/>
      <c r="K472" s="106"/>
      <c r="L472" s="213">
        <v>540</v>
      </c>
      <c r="M472" s="213">
        <v>2834.66666666667</v>
      </c>
      <c r="N472" s="213">
        <v>2719.4</v>
      </c>
      <c r="O472" s="213">
        <v>913.142857142857</v>
      </c>
      <c r="P472" s="116">
        <v>-1</v>
      </c>
      <c r="Q472" s="115">
        <v>-1</v>
      </c>
      <c r="R472" s="115">
        <v>0</v>
      </c>
      <c r="S472" s="115">
        <v>-3.42857142857143</v>
      </c>
      <c r="T472" s="108">
        <v>3</v>
      </c>
      <c r="U472" s="108">
        <v>1</v>
      </c>
      <c r="V472" s="108">
        <v>0.6</v>
      </c>
      <c r="W472" s="108">
        <v>-6.14285714285714</v>
      </c>
    </row>
    <row r="473" spans="1:23">
      <c r="A473" s="103">
        <v>45030</v>
      </c>
      <c r="B473" s="104" t="s">
        <v>26</v>
      </c>
      <c r="C473" s="145">
        <v>5868</v>
      </c>
      <c r="D473" s="145"/>
      <c r="E473" s="104">
        <v>32</v>
      </c>
      <c r="F473" s="106">
        <v>0.005453306066803</v>
      </c>
      <c r="G473" s="107">
        <v>11</v>
      </c>
      <c r="H473" s="106">
        <v>0.34375</v>
      </c>
      <c r="I473" s="106"/>
      <c r="J473" s="106"/>
      <c r="K473" s="106"/>
      <c r="L473" s="213">
        <v>112</v>
      </c>
      <c r="M473" s="213">
        <v>1535.33333333333</v>
      </c>
      <c r="N473" s="213">
        <v>2395.2</v>
      </c>
      <c r="O473" s="213">
        <v>2900.28571428571</v>
      </c>
      <c r="P473" s="108">
        <v>1</v>
      </c>
      <c r="Q473" s="108">
        <v>-9</v>
      </c>
      <c r="R473" s="108">
        <v>-12.8</v>
      </c>
      <c r="S473" s="108">
        <v>-20</v>
      </c>
      <c r="T473" s="108">
        <v>-3</v>
      </c>
      <c r="U473" s="108">
        <v>-3</v>
      </c>
      <c r="V473" s="108">
        <v>-5.4</v>
      </c>
      <c r="W473" s="108">
        <v>-8.28571428571428</v>
      </c>
    </row>
    <row r="474" spans="1:23">
      <c r="A474" s="103">
        <v>45030</v>
      </c>
      <c r="B474" s="104" t="s">
        <v>27</v>
      </c>
      <c r="C474" s="145">
        <v>338</v>
      </c>
      <c r="D474" s="145"/>
      <c r="E474" s="104">
        <v>6</v>
      </c>
      <c r="F474" s="106">
        <v>0.0177514792899408</v>
      </c>
      <c r="G474" s="107">
        <v>1</v>
      </c>
      <c r="H474" s="106">
        <v>0.166666666666667</v>
      </c>
      <c r="I474" s="106"/>
      <c r="J474" s="106"/>
      <c r="K474" s="106"/>
      <c r="L474" s="213">
        <v>-42</v>
      </c>
      <c r="M474" s="213">
        <v>68.3333333333333</v>
      </c>
      <c r="N474" s="213">
        <v>155.2</v>
      </c>
      <c r="O474" s="213">
        <v>187.285714285714</v>
      </c>
      <c r="P474" s="108">
        <v>0</v>
      </c>
      <c r="Q474" s="108">
        <v>2</v>
      </c>
      <c r="R474" s="108">
        <v>2.2</v>
      </c>
      <c r="S474" s="108">
        <v>1.71428571428571</v>
      </c>
      <c r="T474" s="108">
        <v>1</v>
      </c>
      <c r="U474" s="108">
        <v>0.333333333333333</v>
      </c>
      <c r="V474" s="108">
        <v>-0.2</v>
      </c>
      <c r="W474" s="108">
        <v>0</v>
      </c>
    </row>
    <row r="475" spans="1:23">
      <c r="A475" s="103">
        <v>45030</v>
      </c>
      <c r="B475" s="104" t="s">
        <v>28</v>
      </c>
      <c r="C475" s="145">
        <v>0</v>
      </c>
      <c r="D475" s="145"/>
      <c r="E475" s="104">
        <v>0</v>
      </c>
      <c r="F475" s="106">
        <v>0</v>
      </c>
      <c r="G475" s="107">
        <v>0</v>
      </c>
      <c r="H475" s="106">
        <v>0</v>
      </c>
      <c r="I475" s="106"/>
      <c r="J475" s="106"/>
      <c r="K475" s="106"/>
      <c r="L475" s="213">
        <v>0</v>
      </c>
      <c r="M475" s="213">
        <v>0</v>
      </c>
      <c r="N475" s="213">
        <v>0</v>
      </c>
      <c r="O475" s="213">
        <v>0</v>
      </c>
      <c r="P475" s="108">
        <v>0</v>
      </c>
      <c r="Q475" s="108">
        <v>-0.666666666666667</v>
      </c>
      <c r="R475" s="108">
        <v>-0.4</v>
      </c>
      <c r="S475" s="108">
        <v>-0.285714285714286</v>
      </c>
      <c r="T475" s="108">
        <v>0</v>
      </c>
      <c r="U475" s="108">
        <v>-0.333333333333333</v>
      </c>
      <c r="V475" s="108">
        <v>-0.2</v>
      </c>
      <c r="W475" s="108">
        <v>-0.142857142857143</v>
      </c>
    </row>
    <row r="476" spans="1:23">
      <c r="A476" s="103">
        <v>45030</v>
      </c>
      <c r="B476" s="104" t="s">
        <v>29</v>
      </c>
      <c r="C476" s="145">
        <v>0</v>
      </c>
      <c r="D476" s="145"/>
      <c r="E476" s="104">
        <v>1</v>
      </c>
      <c r="F476" s="106">
        <v>1</v>
      </c>
      <c r="G476" s="107">
        <v>0</v>
      </c>
      <c r="H476" s="106">
        <v>0</v>
      </c>
      <c r="I476" s="106"/>
      <c r="J476" s="106"/>
      <c r="K476" s="106"/>
      <c r="L476" s="213">
        <v>-2</v>
      </c>
      <c r="M476" s="213">
        <v>-2</v>
      </c>
      <c r="N476" s="213">
        <v>-1.4</v>
      </c>
      <c r="O476" s="213">
        <v>-1.14285714285714</v>
      </c>
      <c r="P476" s="108">
        <v>1</v>
      </c>
      <c r="Q476" s="108">
        <v>0.666666666666667</v>
      </c>
      <c r="R476" s="108">
        <v>0.6</v>
      </c>
      <c r="S476" s="108">
        <v>0.571428571428571</v>
      </c>
      <c r="T476" s="108">
        <v>0</v>
      </c>
      <c r="U476" s="108">
        <v>0</v>
      </c>
      <c r="V476" s="108">
        <v>0</v>
      </c>
      <c r="W476" s="108">
        <v>-0.142857142857143</v>
      </c>
    </row>
    <row r="477" spans="1:23">
      <c r="A477" s="103">
        <v>45030</v>
      </c>
      <c r="B477" s="104" t="s">
        <v>30</v>
      </c>
      <c r="C477" s="145">
        <v>0</v>
      </c>
      <c r="D477" s="145"/>
      <c r="E477" s="104">
        <v>0</v>
      </c>
      <c r="F477" s="106">
        <v>0</v>
      </c>
      <c r="G477" s="107">
        <v>0</v>
      </c>
      <c r="H477" s="106">
        <v>0</v>
      </c>
      <c r="I477" s="106"/>
      <c r="J477" s="106"/>
      <c r="K477" s="106"/>
      <c r="L477" s="213">
        <v>0</v>
      </c>
      <c r="M477" s="213">
        <v>0</v>
      </c>
      <c r="N477" s="213">
        <v>0</v>
      </c>
      <c r="O477" s="213">
        <v>0</v>
      </c>
      <c r="P477" s="108">
        <v>0</v>
      </c>
      <c r="Q477" s="108">
        <v>0</v>
      </c>
      <c r="R477" s="108">
        <v>0</v>
      </c>
      <c r="S477" s="108">
        <v>0</v>
      </c>
      <c r="T477" s="108">
        <v>0</v>
      </c>
      <c r="U477" s="108">
        <v>0</v>
      </c>
      <c r="V477" s="108">
        <v>0</v>
      </c>
      <c r="W477" s="108">
        <v>0</v>
      </c>
    </row>
    <row r="478" spans="1:23">
      <c r="A478" s="103">
        <v>45030</v>
      </c>
      <c r="B478" s="104" t="s">
        <v>31</v>
      </c>
      <c r="C478" s="145">
        <v>0</v>
      </c>
      <c r="D478" s="145"/>
      <c r="E478" s="104">
        <v>0</v>
      </c>
      <c r="F478" s="106">
        <v>0</v>
      </c>
      <c r="G478" s="107">
        <v>0</v>
      </c>
      <c r="H478" s="106">
        <v>0</v>
      </c>
      <c r="I478" s="106"/>
      <c r="J478" s="106"/>
      <c r="K478" s="106"/>
      <c r="L478" s="213">
        <v>0</v>
      </c>
      <c r="M478" s="213">
        <v>0</v>
      </c>
      <c r="N478" s="213">
        <v>0</v>
      </c>
      <c r="O478" s="213">
        <v>0</v>
      </c>
      <c r="P478" s="108">
        <v>0</v>
      </c>
      <c r="Q478" s="108">
        <v>0</v>
      </c>
      <c r="R478" s="108">
        <v>0</v>
      </c>
      <c r="S478" s="108">
        <v>-0.142857142857143</v>
      </c>
      <c r="T478" s="108">
        <v>0</v>
      </c>
      <c r="U478" s="108">
        <v>0</v>
      </c>
      <c r="V478" s="108">
        <v>0</v>
      </c>
      <c r="W478" s="108">
        <v>0</v>
      </c>
    </row>
    <row r="479" spans="1:23">
      <c r="A479" s="103">
        <v>45030</v>
      </c>
      <c r="B479" s="104" t="s">
        <v>32</v>
      </c>
      <c r="C479" s="145">
        <v>0</v>
      </c>
      <c r="D479" s="145"/>
      <c r="E479" s="104">
        <v>0</v>
      </c>
      <c r="F479" s="106">
        <v>0</v>
      </c>
      <c r="G479" s="107">
        <v>0</v>
      </c>
      <c r="H479" s="106">
        <v>0</v>
      </c>
      <c r="I479" s="106"/>
      <c r="J479" s="106"/>
      <c r="K479" s="106"/>
      <c r="L479" s="213">
        <v>0</v>
      </c>
      <c r="M479" s="213">
        <v>0</v>
      </c>
      <c r="N479" s="213">
        <v>0</v>
      </c>
      <c r="O479" s="213">
        <v>0</v>
      </c>
      <c r="P479" s="108">
        <v>0</v>
      </c>
      <c r="Q479" s="108">
        <v>0</v>
      </c>
      <c r="R479" s="108">
        <v>0</v>
      </c>
      <c r="S479" s="108">
        <v>0</v>
      </c>
      <c r="T479" s="108">
        <v>0</v>
      </c>
      <c r="U479" s="108">
        <v>0</v>
      </c>
      <c r="V479" s="108">
        <v>0</v>
      </c>
      <c r="W479" s="108">
        <v>0</v>
      </c>
    </row>
    <row r="480" spans="1:23">
      <c r="A480" s="103">
        <v>45030</v>
      </c>
      <c r="B480" s="104" t="s">
        <v>33</v>
      </c>
      <c r="C480" s="145">
        <v>0</v>
      </c>
      <c r="D480" s="145"/>
      <c r="E480" s="104">
        <v>0</v>
      </c>
      <c r="F480" s="106">
        <v>0</v>
      </c>
      <c r="G480" s="107">
        <v>0</v>
      </c>
      <c r="H480" s="106">
        <v>0</v>
      </c>
      <c r="I480" s="106"/>
      <c r="J480" s="106"/>
      <c r="K480" s="106"/>
      <c r="L480" s="213">
        <v>0</v>
      </c>
      <c r="M480" s="213">
        <v>0</v>
      </c>
      <c r="N480" s="213">
        <v>0</v>
      </c>
      <c r="O480" s="213">
        <v>0</v>
      </c>
      <c r="P480" s="108">
        <v>0</v>
      </c>
      <c r="Q480" s="108">
        <v>0</v>
      </c>
      <c r="R480" s="108">
        <v>0</v>
      </c>
      <c r="S480" s="108">
        <v>0</v>
      </c>
      <c r="T480" s="108">
        <v>0</v>
      </c>
      <c r="U480" s="108">
        <v>0</v>
      </c>
      <c r="V480" s="108">
        <v>0</v>
      </c>
      <c r="W480" s="108">
        <v>0</v>
      </c>
    </row>
    <row r="481" spans="1:23">
      <c r="A481" s="103">
        <v>45030</v>
      </c>
      <c r="B481" s="104" t="s">
        <v>34</v>
      </c>
      <c r="C481" s="145">
        <v>0</v>
      </c>
      <c r="D481" s="145"/>
      <c r="E481" s="104">
        <v>0</v>
      </c>
      <c r="F481" s="106">
        <v>0</v>
      </c>
      <c r="G481" s="107">
        <v>0</v>
      </c>
      <c r="H481" s="106">
        <v>0</v>
      </c>
      <c r="I481" s="106"/>
      <c r="J481" s="106"/>
      <c r="K481" s="106"/>
      <c r="L481" s="213">
        <v>0</v>
      </c>
      <c r="M481" s="213">
        <v>0</v>
      </c>
      <c r="N481" s="213">
        <v>0</v>
      </c>
      <c r="O481" s="213">
        <v>0</v>
      </c>
      <c r="P481" s="108">
        <v>0</v>
      </c>
      <c r="Q481" s="108">
        <v>0</v>
      </c>
      <c r="R481" s="108">
        <v>0</v>
      </c>
      <c r="S481" s="108">
        <v>0</v>
      </c>
      <c r="T481" s="108">
        <v>0</v>
      </c>
      <c r="U481" s="108">
        <v>0</v>
      </c>
      <c r="V481" s="108">
        <v>0</v>
      </c>
      <c r="W481" s="108">
        <v>0</v>
      </c>
    </row>
    <row r="482" spans="1:23">
      <c r="A482" s="103">
        <v>45030</v>
      </c>
      <c r="B482" s="104" t="s">
        <v>35</v>
      </c>
      <c r="C482" s="145">
        <v>0</v>
      </c>
      <c r="D482" s="145"/>
      <c r="E482" s="104">
        <v>0</v>
      </c>
      <c r="F482" s="106">
        <v>0</v>
      </c>
      <c r="G482" s="107">
        <v>0</v>
      </c>
      <c r="H482" s="106">
        <v>0</v>
      </c>
      <c r="I482" s="106"/>
      <c r="J482" s="106"/>
      <c r="K482" s="106"/>
      <c r="L482" s="213">
        <v>0</v>
      </c>
      <c r="M482" s="213">
        <v>0</v>
      </c>
      <c r="N482" s="213">
        <v>0</v>
      </c>
      <c r="O482" s="213">
        <v>0</v>
      </c>
      <c r="P482" s="108">
        <v>0</v>
      </c>
      <c r="Q482" s="108">
        <v>0</v>
      </c>
      <c r="R482" s="108">
        <v>0</v>
      </c>
      <c r="S482" s="108">
        <v>0</v>
      </c>
      <c r="T482" s="108">
        <v>0</v>
      </c>
      <c r="U482" s="108">
        <v>0</v>
      </c>
      <c r="V482" s="108">
        <v>0</v>
      </c>
      <c r="W482" s="108">
        <v>0</v>
      </c>
    </row>
    <row r="483" spans="1:23">
      <c r="A483" s="103">
        <v>45030</v>
      </c>
      <c r="B483" s="104" t="s">
        <v>36</v>
      </c>
      <c r="C483" s="145">
        <v>0</v>
      </c>
      <c r="D483" s="145"/>
      <c r="E483" s="104">
        <v>0</v>
      </c>
      <c r="F483" s="106">
        <v>0</v>
      </c>
      <c r="G483" s="107">
        <v>0</v>
      </c>
      <c r="H483" s="106">
        <v>0</v>
      </c>
      <c r="I483" s="106"/>
      <c r="J483" s="106"/>
      <c r="K483" s="106"/>
      <c r="L483" s="213">
        <v>0</v>
      </c>
      <c r="M483" s="213">
        <v>0</v>
      </c>
      <c r="N483" s="213">
        <v>0</v>
      </c>
      <c r="O483" s="213">
        <v>0</v>
      </c>
      <c r="P483" s="108">
        <v>0</v>
      </c>
      <c r="Q483" s="108">
        <v>0</v>
      </c>
      <c r="R483" s="108">
        <v>0</v>
      </c>
      <c r="S483" s="108">
        <v>0</v>
      </c>
      <c r="T483" s="108">
        <v>0</v>
      </c>
      <c r="U483" s="108">
        <v>0</v>
      </c>
      <c r="V483" s="108">
        <v>0</v>
      </c>
      <c r="W483" s="108">
        <v>0</v>
      </c>
    </row>
    <row r="484" spans="1:23">
      <c r="A484" s="103">
        <v>45030</v>
      </c>
      <c r="B484" s="104" t="s">
        <v>37</v>
      </c>
      <c r="C484" s="145">
        <v>0</v>
      </c>
      <c r="D484" s="145"/>
      <c r="E484" s="104">
        <v>0</v>
      </c>
      <c r="F484" s="106">
        <v>0</v>
      </c>
      <c r="G484" s="107">
        <v>0</v>
      </c>
      <c r="H484" s="106">
        <v>0</v>
      </c>
      <c r="I484" s="106"/>
      <c r="J484" s="106"/>
      <c r="K484" s="106"/>
      <c r="L484" s="213">
        <v>0</v>
      </c>
      <c r="M484" s="213">
        <v>0</v>
      </c>
      <c r="N484" s="213">
        <v>0</v>
      </c>
      <c r="O484" s="213">
        <v>0</v>
      </c>
      <c r="P484" s="108">
        <v>0</v>
      </c>
      <c r="Q484" s="108">
        <v>0</v>
      </c>
      <c r="R484" s="108">
        <v>0</v>
      </c>
      <c r="S484" s="108">
        <v>0</v>
      </c>
      <c r="T484" s="108">
        <v>0</v>
      </c>
      <c r="U484" s="108">
        <v>0</v>
      </c>
      <c r="V484" s="108">
        <v>0</v>
      </c>
      <c r="W484" s="108">
        <v>0</v>
      </c>
    </row>
    <row r="485" spans="1:23">
      <c r="A485" s="103">
        <v>45030</v>
      </c>
      <c r="B485" s="104" t="s">
        <v>38</v>
      </c>
      <c r="C485" s="145">
        <v>0</v>
      </c>
      <c r="D485" s="145"/>
      <c r="E485" s="104">
        <v>0</v>
      </c>
      <c r="F485" s="106">
        <v>0</v>
      </c>
      <c r="G485" s="107">
        <v>0</v>
      </c>
      <c r="H485" s="106">
        <v>0</v>
      </c>
      <c r="I485" s="106"/>
      <c r="J485" s="106"/>
      <c r="K485" s="106"/>
      <c r="L485" s="213">
        <v>0</v>
      </c>
      <c r="M485" s="213">
        <v>0</v>
      </c>
      <c r="N485" s="213">
        <v>0</v>
      </c>
      <c r="O485" s="213">
        <v>0</v>
      </c>
      <c r="P485" s="108">
        <v>0</v>
      </c>
      <c r="Q485" s="108">
        <v>0</v>
      </c>
      <c r="R485" s="108">
        <v>0</v>
      </c>
      <c r="S485" s="108">
        <v>0</v>
      </c>
      <c r="T485" s="108">
        <v>0</v>
      </c>
      <c r="U485" s="108">
        <v>0</v>
      </c>
      <c r="V485" s="108">
        <v>0</v>
      </c>
      <c r="W485" s="108">
        <v>0</v>
      </c>
    </row>
    <row r="486" spans="1:23">
      <c r="A486" s="103">
        <v>45030</v>
      </c>
      <c r="B486" s="111" t="s">
        <v>39</v>
      </c>
      <c r="C486" s="112">
        <v>24819</v>
      </c>
      <c r="D486" s="112"/>
      <c r="E486" s="112">
        <v>276</v>
      </c>
      <c r="F486" s="113">
        <v>0.0111205125105766</v>
      </c>
      <c r="G486" s="112">
        <v>90</v>
      </c>
      <c r="H486" s="113">
        <v>0.326086956521739</v>
      </c>
      <c r="I486" s="113"/>
      <c r="J486" s="113"/>
      <c r="K486" s="113"/>
      <c r="L486" s="213"/>
      <c r="M486" s="213"/>
      <c r="N486" s="213"/>
      <c r="O486" s="213"/>
      <c r="P486" s="108"/>
      <c r="Q486" s="108"/>
      <c r="R486" s="108"/>
      <c r="S486" s="108"/>
      <c r="T486" s="108"/>
      <c r="U486" s="108"/>
      <c r="V486" s="108"/>
      <c r="W486" s="108"/>
    </row>
    <row r="487" spans="1:23">
      <c r="A487" s="103">
        <v>45031</v>
      </c>
      <c r="B487" s="104" t="s">
        <v>17</v>
      </c>
      <c r="C487" s="105">
        <v>176</v>
      </c>
      <c r="D487" s="105"/>
      <c r="E487" s="104">
        <v>29</v>
      </c>
      <c r="F487" s="106">
        <v>0.164772727272727</v>
      </c>
      <c r="G487" s="107">
        <v>5</v>
      </c>
      <c r="H487" s="106">
        <v>0.172413793103448</v>
      </c>
      <c r="I487" s="106"/>
      <c r="J487" s="106"/>
      <c r="K487" s="106"/>
      <c r="L487" s="213">
        <v>20</v>
      </c>
      <c r="M487" s="213">
        <v>-36.6666666666667</v>
      </c>
      <c r="N487" s="213">
        <v>-28.2</v>
      </c>
      <c r="O487" s="213">
        <v>-18</v>
      </c>
      <c r="P487" s="108">
        <v>2</v>
      </c>
      <c r="Q487" s="108">
        <v>-6.33333333333334</v>
      </c>
      <c r="R487" s="108">
        <v>-0.600000000000001</v>
      </c>
      <c r="S487" s="108">
        <v>-0.857142857142858</v>
      </c>
      <c r="T487" s="108">
        <v>1</v>
      </c>
      <c r="U487" s="108">
        <v>-1.66666666666667</v>
      </c>
      <c r="V487" s="108">
        <v>0</v>
      </c>
      <c r="W487" s="108">
        <v>0.714285714285714</v>
      </c>
    </row>
    <row r="488" spans="1:23">
      <c r="A488" s="103">
        <v>45031</v>
      </c>
      <c r="B488" s="104" t="s">
        <v>19</v>
      </c>
      <c r="C488" s="107">
        <v>1508</v>
      </c>
      <c r="D488" s="107"/>
      <c r="E488" s="104">
        <v>37</v>
      </c>
      <c r="F488" s="106">
        <v>0.0245358090185676</v>
      </c>
      <c r="G488" s="107">
        <v>11</v>
      </c>
      <c r="H488" s="106">
        <v>0.297297297297297</v>
      </c>
      <c r="I488" s="106"/>
      <c r="J488" s="106"/>
      <c r="K488" s="106"/>
      <c r="L488" s="213">
        <v>442</v>
      </c>
      <c r="M488" s="213">
        <v>513.333333333333</v>
      </c>
      <c r="N488" s="213">
        <v>686.2</v>
      </c>
      <c r="O488" s="213">
        <v>710.428571428571</v>
      </c>
      <c r="P488" s="108">
        <v>13</v>
      </c>
      <c r="Q488" s="108">
        <v>18.3333333333333</v>
      </c>
      <c r="R488" s="108">
        <v>17.2</v>
      </c>
      <c r="S488" s="108">
        <v>13.2857142857143</v>
      </c>
      <c r="T488" s="108">
        <v>3</v>
      </c>
      <c r="U488" s="108">
        <v>3.33333333333333</v>
      </c>
      <c r="V488" s="108">
        <v>1.4</v>
      </c>
      <c r="W488" s="115">
        <v>1.14285714285714</v>
      </c>
    </row>
    <row r="489" spans="1:23">
      <c r="A489" s="103">
        <v>45031</v>
      </c>
      <c r="B489" s="104" t="s">
        <v>21</v>
      </c>
      <c r="C489" s="145">
        <v>416</v>
      </c>
      <c r="D489" s="145"/>
      <c r="E489" s="104">
        <v>21</v>
      </c>
      <c r="F489" s="106">
        <v>0.0504807692307692</v>
      </c>
      <c r="G489" s="107">
        <v>11</v>
      </c>
      <c r="H489" s="106">
        <v>0.523809523809524</v>
      </c>
      <c r="I489" s="106"/>
      <c r="J489" s="106"/>
      <c r="K489" s="106"/>
      <c r="L489" s="213">
        <v>10</v>
      </c>
      <c r="M489" s="213">
        <v>21.6666666666667</v>
      </c>
      <c r="N489" s="213">
        <v>9.60000000000002</v>
      </c>
      <c r="O489" s="213">
        <v>3.71428571428572</v>
      </c>
      <c r="P489" s="108">
        <v>-7</v>
      </c>
      <c r="Q489" s="108">
        <v>-4.66666666666667</v>
      </c>
      <c r="R489" s="108">
        <v>-4.6</v>
      </c>
      <c r="S489" s="108">
        <v>-3.85714285714286</v>
      </c>
      <c r="T489" s="108">
        <v>2</v>
      </c>
      <c r="U489" s="108">
        <v>2.33333333333333</v>
      </c>
      <c r="V489" s="108">
        <v>2</v>
      </c>
      <c r="W489" s="108">
        <v>2</v>
      </c>
    </row>
    <row r="490" spans="1:23">
      <c r="A490" s="103">
        <v>45031</v>
      </c>
      <c r="B490" s="104" t="s">
        <v>22</v>
      </c>
      <c r="C490" s="145">
        <v>4435</v>
      </c>
      <c r="D490" s="145"/>
      <c r="E490" s="104">
        <v>106</v>
      </c>
      <c r="F490" s="106">
        <v>0.0239007891770011</v>
      </c>
      <c r="G490" s="107">
        <v>37</v>
      </c>
      <c r="H490" s="106">
        <v>0.349056603773585</v>
      </c>
      <c r="I490" s="106"/>
      <c r="J490" s="106"/>
      <c r="K490" s="106"/>
      <c r="L490" s="213">
        <v>189</v>
      </c>
      <c r="M490" s="213">
        <v>238</v>
      </c>
      <c r="N490" s="213">
        <v>252.2</v>
      </c>
      <c r="O490" s="213">
        <v>145.142857142857</v>
      </c>
      <c r="P490" s="108">
        <v>14</v>
      </c>
      <c r="Q490" s="108">
        <v>19</v>
      </c>
      <c r="R490" s="108">
        <v>14.6</v>
      </c>
      <c r="S490" s="115">
        <v>7.57142857142857</v>
      </c>
      <c r="T490" s="108">
        <v>1</v>
      </c>
      <c r="U490" s="108">
        <v>1</v>
      </c>
      <c r="V490" s="108">
        <v>3.2</v>
      </c>
      <c r="W490" s="117">
        <v>5.57142857142857</v>
      </c>
    </row>
    <row r="491" spans="1:23">
      <c r="A491" s="103">
        <v>45031</v>
      </c>
      <c r="B491" s="104" t="s">
        <v>23</v>
      </c>
      <c r="C491" s="145">
        <v>2617</v>
      </c>
      <c r="D491" s="145"/>
      <c r="E491" s="104">
        <v>19</v>
      </c>
      <c r="F491" s="106">
        <v>0.00726022162781811</v>
      </c>
      <c r="G491" s="107">
        <v>13</v>
      </c>
      <c r="H491" s="106">
        <v>0.684210526315789</v>
      </c>
      <c r="I491" s="106"/>
      <c r="J491" s="106"/>
      <c r="K491" s="106"/>
      <c r="L491" s="213">
        <v>24</v>
      </c>
      <c r="M491" s="213">
        <v>155.666666666667</v>
      </c>
      <c r="N491" s="213">
        <v>152.4</v>
      </c>
      <c r="O491" s="213">
        <v>62.1428571428573</v>
      </c>
      <c r="P491" s="108">
        <v>-8</v>
      </c>
      <c r="Q491" s="108">
        <v>-11</v>
      </c>
      <c r="R491" s="108">
        <v>-12.4</v>
      </c>
      <c r="S491" s="108">
        <v>-13.2857142857143</v>
      </c>
      <c r="T491" s="108">
        <v>7</v>
      </c>
      <c r="U491" s="116">
        <v>3.66666666666667</v>
      </c>
      <c r="V491" s="108">
        <v>2.2</v>
      </c>
      <c r="W491" s="108">
        <v>2.14285714285714</v>
      </c>
    </row>
    <row r="492" spans="1:23">
      <c r="A492" s="103">
        <v>45031</v>
      </c>
      <c r="B492" s="104" t="s">
        <v>24</v>
      </c>
      <c r="C492" s="145">
        <v>361</v>
      </c>
      <c r="D492" s="145"/>
      <c r="E492" s="104">
        <v>2</v>
      </c>
      <c r="F492" s="106">
        <v>0.00554016620498615</v>
      </c>
      <c r="G492" s="107">
        <v>2</v>
      </c>
      <c r="H492" s="106">
        <v>1</v>
      </c>
      <c r="I492" s="106"/>
      <c r="J492" s="106"/>
      <c r="K492" s="106"/>
      <c r="L492" s="213">
        <v>95</v>
      </c>
      <c r="M492" s="213">
        <v>-35.3333333333333</v>
      </c>
      <c r="N492" s="213">
        <v>-61.6</v>
      </c>
      <c r="O492" s="213">
        <v>-74.1428571428572</v>
      </c>
      <c r="P492" s="115">
        <v>-3</v>
      </c>
      <c r="Q492" s="115">
        <v>-4</v>
      </c>
      <c r="R492" s="117">
        <v>-4.6</v>
      </c>
      <c r="S492" s="117">
        <v>-4.42857142857143</v>
      </c>
      <c r="T492" s="115">
        <v>1</v>
      </c>
      <c r="U492" s="115">
        <v>0.333333333333333</v>
      </c>
      <c r="V492" s="115">
        <v>0.4</v>
      </c>
      <c r="W492" s="115">
        <v>0.428571428571429</v>
      </c>
    </row>
    <row r="493" spans="1:23">
      <c r="A493" s="103">
        <v>45031</v>
      </c>
      <c r="B493" s="104" t="s">
        <v>25</v>
      </c>
      <c r="C493" s="145">
        <v>10730</v>
      </c>
      <c r="D493" s="145"/>
      <c r="E493" s="104">
        <v>28</v>
      </c>
      <c r="F493" s="106">
        <v>0.00260950605778192</v>
      </c>
      <c r="G493" s="107">
        <v>12</v>
      </c>
      <c r="H493" s="106">
        <v>0.428571428571429</v>
      </c>
      <c r="I493" s="106"/>
      <c r="J493" s="106"/>
      <c r="K493" s="106"/>
      <c r="L493" s="213">
        <v>850</v>
      </c>
      <c r="M493" s="213">
        <v>1395.33333333333</v>
      </c>
      <c r="N493" s="213">
        <v>3822.8</v>
      </c>
      <c r="O493" s="213">
        <v>2515.14285714286</v>
      </c>
      <c r="P493" s="116">
        <v>-6</v>
      </c>
      <c r="Q493" s="115">
        <v>-7</v>
      </c>
      <c r="R493" s="115">
        <v>-5.2</v>
      </c>
      <c r="S493" s="115">
        <v>-8.28571428571428</v>
      </c>
      <c r="T493" s="108">
        <v>-2</v>
      </c>
      <c r="U493" s="108">
        <v>-2</v>
      </c>
      <c r="V493" s="108">
        <v>-0.6</v>
      </c>
      <c r="W493" s="108">
        <v>-7.85714285714286</v>
      </c>
    </row>
    <row r="494" spans="1:23">
      <c r="A494" s="103">
        <v>45031</v>
      </c>
      <c r="B494" s="104" t="s">
        <v>26</v>
      </c>
      <c r="C494" s="145">
        <v>3454</v>
      </c>
      <c r="D494" s="145"/>
      <c r="E494" s="104">
        <v>20</v>
      </c>
      <c r="F494" s="106">
        <v>0.00579038795599305</v>
      </c>
      <c r="G494" s="107">
        <v>16</v>
      </c>
      <c r="H494" s="106">
        <v>0.8</v>
      </c>
      <c r="I494" s="106"/>
      <c r="J494" s="106"/>
      <c r="K494" s="106"/>
      <c r="L494" s="213">
        <v>-2414</v>
      </c>
      <c r="M494" s="213">
        <v>-2272.66666666667</v>
      </c>
      <c r="N494" s="213">
        <v>-728</v>
      </c>
      <c r="O494" s="213">
        <v>-147</v>
      </c>
      <c r="P494" s="108">
        <v>-12</v>
      </c>
      <c r="Q494" s="108">
        <v>-17.3333333333333</v>
      </c>
      <c r="R494" s="108">
        <v>-20</v>
      </c>
      <c r="S494" s="108">
        <v>-27</v>
      </c>
      <c r="T494" s="108">
        <v>5</v>
      </c>
      <c r="U494" s="108">
        <v>2</v>
      </c>
      <c r="V494" s="108">
        <v>1.8</v>
      </c>
      <c r="W494" s="108">
        <v>-2.14285714285714</v>
      </c>
    </row>
    <row r="495" spans="1:23">
      <c r="A495" s="103">
        <v>45031</v>
      </c>
      <c r="B495" s="104" t="s">
        <v>27</v>
      </c>
      <c r="C495" s="145">
        <v>324</v>
      </c>
      <c r="D495" s="145"/>
      <c r="E495" s="104">
        <v>0</v>
      </c>
      <c r="F495" s="106">
        <v>0</v>
      </c>
      <c r="G495" s="107">
        <v>0</v>
      </c>
      <c r="H495" s="106">
        <v>0</v>
      </c>
      <c r="I495" s="106"/>
      <c r="J495" s="106"/>
      <c r="K495" s="106"/>
      <c r="L495" s="213">
        <v>-14</v>
      </c>
      <c r="M495" s="213">
        <v>-26</v>
      </c>
      <c r="N495" s="213">
        <v>84.2</v>
      </c>
      <c r="O495" s="213">
        <v>133.714285714286</v>
      </c>
      <c r="P495" s="108">
        <v>-6</v>
      </c>
      <c r="Q495" s="108">
        <v>-5</v>
      </c>
      <c r="R495" s="108">
        <v>-4.2</v>
      </c>
      <c r="S495" s="108">
        <v>-4.71428571428571</v>
      </c>
      <c r="T495" s="108">
        <v>-1</v>
      </c>
      <c r="U495" s="108">
        <v>-0.666666666666667</v>
      </c>
      <c r="V495" s="108">
        <v>-1</v>
      </c>
      <c r="W495" s="108">
        <v>-1</v>
      </c>
    </row>
    <row r="496" spans="1:23">
      <c r="A496" s="103">
        <v>45031</v>
      </c>
      <c r="B496" s="104" t="s">
        <v>28</v>
      </c>
      <c r="C496" s="145">
        <v>0</v>
      </c>
      <c r="D496" s="145"/>
      <c r="E496" s="104">
        <v>0</v>
      </c>
      <c r="F496" s="106">
        <v>0</v>
      </c>
      <c r="G496" s="107">
        <v>0</v>
      </c>
      <c r="H496" s="106">
        <v>0</v>
      </c>
      <c r="I496" s="106"/>
      <c r="J496" s="106"/>
      <c r="K496" s="106"/>
      <c r="L496" s="213">
        <v>0</v>
      </c>
      <c r="M496" s="213">
        <v>0</v>
      </c>
      <c r="N496" s="213">
        <v>0</v>
      </c>
      <c r="O496" s="213">
        <v>0</v>
      </c>
      <c r="P496" s="108">
        <v>0</v>
      </c>
      <c r="Q496" s="108">
        <v>-0.333333333333333</v>
      </c>
      <c r="R496" s="108">
        <v>-0.4</v>
      </c>
      <c r="S496" s="108">
        <v>-0.285714285714286</v>
      </c>
      <c r="T496" s="108">
        <v>0</v>
      </c>
      <c r="U496" s="108">
        <v>-0.333333333333333</v>
      </c>
      <c r="V496" s="108">
        <v>-0.2</v>
      </c>
      <c r="W496" s="108">
        <v>-0.142857142857143</v>
      </c>
    </row>
    <row r="497" spans="1:23">
      <c r="A497" s="103">
        <v>45031</v>
      </c>
      <c r="B497" s="104" t="s">
        <v>29</v>
      </c>
      <c r="C497" s="145">
        <v>0</v>
      </c>
      <c r="D497" s="145"/>
      <c r="E497" s="104">
        <v>0</v>
      </c>
      <c r="F497" s="106">
        <v>0</v>
      </c>
      <c r="G497" s="107">
        <v>0</v>
      </c>
      <c r="H497" s="106">
        <v>0</v>
      </c>
      <c r="I497" s="106"/>
      <c r="J497" s="106"/>
      <c r="K497" s="106"/>
      <c r="L497" s="213">
        <v>0</v>
      </c>
      <c r="M497" s="213">
        <v>-1.66666666666667</v>
      </c>
      <c r="N497" s="213">
        <v>-1.4</v>
      </c>
      <c r="O497" s="213">
        <v>-1</v>
      </c>
      <c r="P497" s="108">
        <v>-1</v>
      </c>
      <c r="Q497" s="108">
        <v>-0.333333333333333</v>
      </c>
      <c r="R497" s="108">
        <v>-0.6</v>
      </c>
      <c r="S497" s="108">
        <v>-0.571428571428571</v>
      </c>
      <c r="T497" s="108">
        <v>0</v>
      </c>
      <c r="U497" s="108">
        <v>0</v>
      </c>
      <c r="V497" s="108">
        <v>0</v>
      </c>
      <c r="W497" s="108">
        <v>-0.142857142857143</v>
      </c>
    </row>
    <row r="498" spans="1:23">
      <c r="A498" s="103">
        <v>45031</v>
      </c>
      <c r="B498" s="104" t="s">
        <v>30</v>
      </c>
      <c r="C498" s="145">
        <v>0</v>
      </c>
      <c r="D498" s="145"/>
      <c r="E498" s="104">
        <v>0</v>
      </c>
      <c r="F498" s="106">
        <v>0</v>
      </c>
      <c r="G498" s="107">
        <v>0</v>
      </c>
      <c r="H498" s="106">
        <v>0</v>
      </c>
      <c r="I498" s="106"/>
      <c r="J498" s="106"/>
      <c r="K498" s="106"/>
      <c r="L498" s="213">
        <v>0</v>
      </c>
      <c r="M498" s="213">
        <v>0</v>
      </c>
      <c r="N498" s="213">
        <v>0</v>
      </c>
      <c r="O498" s="213">
        <v>0</v>
      </c>
      <c r="P498" s="108">
        <v>0</v>
      </c>
      <c r="Q498" s="108">
        <v>0</v>
      </c>
      <c r="R498" s="108">
        <v>0</v>
      </c>
      <c r="S498" s="108">
        <v>0</v>
      </c>
      <c r="T498" s="108">
        <v>0</v>
      </c>
      <c r="U498" s="108">
        <v>0</v>
      </c>
      <c r="V498" s="108">
        <v>0</v>
      </c>
      <c r="W498" s="108">
        <v>0</v>
      </c>
    </row>
    <row r="499" spans="1:23">
      <c r="A499" s="103">
        <v>45031</v>
      </c>
      <c r="B499" s="104" t="s">
        <v>31</v>
      </c>
      <c r="C499" s="145">
        <v>0</v>
      </c>
      <c r="D499" s="145"/>
      <c r="E499" s="104">
        <v>0</v>
      </c>
      <c r="F499" s="106">
        <v>0</v>
      </c>
      <c r="G499" s="107">
        <v>0</v>
      </c>
      <c r="H499" s="106">
        <v>0</v>
      </c>
      <c r="I499" s="106"/>
      <c r="J499" s="106"/>
      <c r="K499" s="106"/>
      <c r="L499" s="213">
        <v>0</v>
      </c>
      <c r="M499" s="213">
        <v>0</v>
      </c>
      <c r="N499" s="213">
        <v>0</v>
      </c>
      <c r="O499" s="213">
        <v>0</v>
      </c>
      <c r="P499" s="108">
        <v>0</v>
      </c>
      <c r="Q499" s="108">
        <v>0</v>
      </c>
      <c r="R499" s="108">
        <v>0</v>
      </c>
      <c r="S499" s="108">
        <v>-0.142857142857143</v>
      </c>
      <c r="T499" s="108">
        <v>0</v>
      </c>
      <c r="U499" s="108">
        <v>0</v>
      </c>
      <c r="V499" s="108">
        <v>0</v>
      </c>
      <c r="W499" s="108">
        <v>0</v>
      </c>
    </row>
    <row r="500" spans="1:23">
      <c r="A500" s="103">
        <v>45031</v>
      </c>
      <c r="B500" s="104" t="s">
        <v>32</v>
      </c>
      <c r="C500" s="145">
        <v>0</v>
      </c>
      <c r="D500" s="145"/>
      <c r="E500" s="104">
        <v>0</v>
      </c>
      <c r="F500" s="106">
        <v>0</v>
      </c>
      <c r="G500" s="107">
        <v>0</v>
      </c>
      <c r="H500" s="106">
        <v>0</v>
      </c>
      <c r="I500" s="106"/>
      <c r="J500" s="106"/>
      <c r="K500" s="106"/>
      <c r="L500" s="213">
        <v>0</v>
      </c>
      <c r="M500" s="213">
        <v>0</v>
      </c>
      <c r="N500" s="213">
        <v>0</v>
      </c>
      <c r="O500" s="213">
        <v>0</v>
      </c>
      <c r="P500" s="108">
        <v>0</v>
      </c>
      <c r="Q500" s="108">
        <v>0</v>
      </c>
      <c r="R500" s="108">
        <v>0</v>
      </c>
      <c r="S500" s="108">
        <v>0</v>
      </c>
      <c r="T500" s="108">
        <v>0</v>
      </c>
      <c r="U500" s="108">
        <v>0</v>
      </c>
      <c r="V500" s="108">
        <v>0</v>
      </c>
      <c r="W500" s="108">
        <v>0</v>
      </c>
    </row>
    <row r="501" spans="1:23">
      <c r="A501" s="103">
        <v>45031</v>
      </c>
      <c r="B501" s="104" t="s">
        <v>33</v>
      </c>
      <c r="C501" s="145">
        <v>0</v>
      </c>
      <c r="D501" s="145"/>
      <c r="E501" s="104">
        <v>0</v>
      </c>
      <c r="F501" s="106">
        <v>0</v>
      </c>
      <c r="G501" s="107">
        <v>0</v>
      </c>
      <c r="H501" s="106">
        <v>0</v>
      </c>
      <c r="I501" s="106"/>
      <c r="J501" s="106"/>
      <c r="K501" s="106"/>
      <c r="L501" s="213">
        <v>0</v>
      </c>
      <c r="M501" s="213">
        <v>0</v>
      </c>
      <c r="N501" s="213">
        <v>0</v>
      </c>
      <c r="O501" s="213">
        <v>0</v>
      </c>
      <c r="P501" s="108">
        <v>0</v>
      </c>
      <c r="Q501" s="108">
        <v>0</v>
      </c>
      <c r="R501" s="108">
        <v>0</v>
      </c>
      <c r="S501" s="108">
        <v>0</v>
      </c>
      <c r="T501" s="108">
        <v>0</v>
      </c>
      <c r="U501" s="108">
        <v>0</v>
      </c>
      <c r="V501" s="108">
        <v>0</v>
      </c>
      <c r="W501" s="108">
        <v>0</v>
      </c>
    </row>
    <row r="502" spans="1:23">
      <c r="A502" s="103">
        <v>45031</v>
      </c>
      <c r="B502" s="104" t="s">
        <v>34</v>
      </c>
      <c r="C502" s="145">
        <v>0</v>
      </c>
      <c r="D502" s="145"/>
      <c r="E502" s="104">
        <v>0</v>
      </c>
      <c r="F502" s="106">
        <v>0</v>
      </c>
      <c r="G502" s="107">
        <v>0</v>
      </c>
      <c r="H502" s="106">
        <v>0</v>
      </c>
      <c r="I502" s="106"/>
      <c r="J502" s="106"/>
      <c r="K502" s="106"/>
      <c r="L502" s="213">
        <v>0</v>
      </c>
      <c r="M502" s="213">
        <v>0</v>
      </c>
      <c r="N502" s="213">
        <v>0</v>
      </c>
      <c r="O502" s="213">
        <v>0</v>
      </c>
      <c r="P502" s="108">
        <v>0</v>
      </c>
      <c r="Q502" s="108">
        <v>0</v>
      </c>
      <c r="R502" s="108">
        <v>0</v>
      </c>
      <c r="S502" s="108">
        <v>0</v>
      </c>
      <c r="T502" s="108">
        <v>0</v>
      </c>
      <c r="U502" s="108">
        <v>0</v>
      </c>
      <c r="V502" s="108">
        <v>0</v>
      </c>
      <c r="W502" s="108">
        <v>0</v>
      </c>
    </row>
    <row r="503" spans="1:23">
      <c r="A503" s="103">
        <v>45031</v>
      </c>
      <c r="B503" s="104" t="s">
        <v>35</v>
      </c>
      <c r="C503" s="145">
        <v>0</v>
      </c>
      <c r="D503" s="145"/>
      <c r="E503" s="104">
        <v>0</v>
      </c>
      <c r="F503" s="106">
        <v>0</v>
      </c>
      <c r="G503" s="107">
        <v>0</v>
      </c>
      <c r="H503" s="106">
        <v>0</v>
      </c>
      <c r="I503" s="106"/>
      <c r="J503" s="106"/>
      <c r="K503" s="106"/>
      <c r="L503" s="213">
        <v>0</v>
      </c>
      <c r="M503" s="213">
        <v>0</v>
      </c>
      <c r="N503" s="213">
        <v>0</v>
      </c>
      <c r="O503" s="213">
        <v>0</v>
      </c>
      <c r="P503" s="108">
        <v>0</v>
      </c>
      <c r="Q503" s="108">
        <v>0</v>
      </c>
      <c r="R503" s="108">
        <v>0</v>
      </c>
      <c r="S503" s="108">
        <v>0</v>
      </c>
      <c r="T503" s="108">
        <v>0</v>
      </c>
      <c r="U503" s="108">
        <v>0</v>
      </c>
      <c r="V503" s="108">
        <v>0</v>
      </c>
      <c r="W503" s="108">
        <v>0</v>
      </c>
    </row>
    <row r="504" spans="1:23">
      <c r="A504" s="103">
        <v>45031</v>
      </c>
      <c r="B504" s="104" t="s">
        <v>36</v>
      </c>
      <c r="C504" s="145">
        <v>0</v>
      </c>
      <c r="D504" s="145"/>
      <c r="E504" s="104">
        <v>0</v>
      </c>
      <c r="F504" s="106">
        <v>0</v>
      </c>
      <c r="G504" s="107">
        <v>0</v>
      </c>
      <c r="H504" s="106">
        <v>0</v>
      </c>
      <c r="I504" s="106"/>
      <c r="J504" s="106"/>
      <c r="K504" s="106"/>
      <c r="L504" s="213">
        <v>0</v>
      </c>
      <c r="M504" s="213">
        <v>0</v>
      </c>
      <c r="N504" s="213">
        <v>0</v>
      </c>
      <c r="O504" s="213">
        <v>0</v>
      </c>
      <c r="P504" s="108">
        <v>0</v>
      </c>
      <c r="Q504" s="108">
        <v>0</v>
      </c>
      <c r="R504" s="108">
        <v>0</v>
      </c>
      <c r="S504" s="108">
        <v>0</v>
      </c>
      <c r="T504" s="108">
        <v>0</v>
      </c>
      <c r="U504" s="108">
        <v>0</v>
      </c>
      <c r="V504" s="108">
        <v>0</v>
      </c>
      <c r="W504" s="108">
        <v>0</v>
      </c>
    </row>
    <row r="505" spans="1:23">
      <c r="A505" s="103">
        <v>45031</v>
      </c>
      <c r="B505" s="104" t="s">
        <v>37</v>
      </c>
      <c r="C505" s="145">
        <v>0</v>
      </c>
      <c r="D505" s="145"/>
      <c r="E505" s="104">
        <v>0</v>
      </c>
      <c r="F505" s="106">
        <v>0</v>
      </c>
      <c r="G505" s="107">
        <v>0</v>
      </c>
      <c r="H505" s="106">
        <v>0</v>
      </c>
      <c r="I505" s="106"/>
      <c r="J505" s="106"/>
      <c r="K505" s="106"/>
      <c r="L505" s="213">
        <v>0</v>
      </c>
      <c r="M505" s="213">
        <v>0</v>
      </c>
      <c r="N505" s="213">
        <v>0</v>
      </c>
      <c r="O505" s="213">
        <v>0</v>
      </c>
      <c r="P505" s="108">
        <v>0</v>
      </c>
      <c r="Q505" s="108">
        <v>0</v>
      </c>
      <c r="R505" s="108">
        <v>0</v>
      </c>
      <c r="S505" s="108">
        <v>0</v>
      </c>
      <c r="T505" s="108">
        <v>0</v>
      </c>
      <c r="U505" s="108">
        <v>0</v>
      </c>
      <c r="V505" s="108">
        <v>0</v>
      </c>
      <c r="W505" s="108">
        <v>0</v>
      </c>
    </row>
    <row r="506" spans="1:23">
      <c r="A506" s="103">
        <v>45031</v>
      </c>
      <c r="B506" s="104" t="s">
        <v>38</v>
      </c>
      <c r="C506" s="145">
        <v>0</v>
      </c>
      <c r="D506" s="145"/>
      <c r="E506" s="104">
        <v>0</v>
      </c>
      <c r="F506" s="106">
        <v>0</v>
      </c>
      <c r="G506" s="107">
        <v>0</v>
      </c>
      <c r="H506" s="106">
        <v>0</v>
      </c>
      <c r="I506" s="106"/>
      <c r="J506" s="106"/>
      <c r="K506" s="106"/>
      <c r="L506" s="213">
        <v>0</v>
      </c>
      <c r="M506" s="213">
        <v>0</v>
      </c>
      <c r="N506" s="213">
        <v>0</v>
      </c>
      <c r="O506" s="213">
        <v>0</v>
      </c>
      <c r="P506" s="108">
        <v>0</v>
      </c>
      <c r="Q506" s="108">
        <v>0</v>
      </c>
      <c r="R506" s="108">
        <v>0</v>
      </c>
      <c r="S506" s="108">
        <v>0</v>
      </c>
      <c r="T506" s="108">
        <v>0</v>
      </c>
      <c r="U506" s="108">
        <v>0</v>
      </c>
      <c r="V506" s="108">
        <v>0</v>
      </c>
      <c r="W506" s="108">
        <v>0</v>
      </c>
    </row>
    <row r="507" spans="1:23">
      <c r="A507" s="103">
        <v>45031</v>
      </c>
      <c r="B507" s="111" t="s">
        <v>39</v>
      </c>
      <c r="C507" s="112">
        <v>24021</v>
      </c>
      <c r="D507" s="112"/>
      <c r="E507" s="112">
        <v>262</v>
      </c>
      <c r="F507" s="113">
        <v>0.0109071229340993</v>
      </c>
      <c r="G507" s="112">
        <v>107</v>
      </c>
      <c r="H507" s="113">
        <v>0.408396946564886</v>
      </c>
      <c r="I507" s="113"/>
      <c r="J507" s="113"/>
      <c r="K507" s="113"/>
      <c r="L507" s="213"/>
      <c r="M507" s="213"/>
      <c r="N507" s="213"/>
      <c r="O507" s="213"/>
      <c r="P507" s="108"/>
      <c r="Q507" s="108"/>
      <c r="R507" s="108"/>
      <c r="S507" s="108"/>
      <c r="T507" s="108"/>
      <c r="U507" s="108"/>
      <c r="V507" s="108"/>
      <c r="W507" s="108"/>
    </row>
    <row r="508" spans="1:23">
      <c r="A508" s="103">
        <v>45032</v>
      </c>
      <c r="B508" s="104" t="s">
        <v>17</v>
      </c>
      <c r="C508" s="105">
        <v>698</v>
      </c>
      <c r="D508" s="105"/>
      <c r="E508" s="104">
        <v>30</v>
      </c>
      <c r="F508" s="106">
        <v>0.0429799426934097</v>
      </c>
      <c r="G508" s="107">
        <v>9</v>
      </c>
      <c r="H508" s="106">
        <v>0.3</v>
      </c>
      <c r="I508" s="106"/>
      <c r="J508" s="106"/>
      <c r="K508" s="106"/>
      <c r="L508" s="213">
        <v>522</v>
      </c>
      <c r="M508" s="213">
        <v>509.333333333333</v>
      </c>
      <c r="N508" s="213">
        <v>492</v>
      </c>
      <c r="O508" s="213">
        <v>504.714285714286</v>
      </c>
      <c r="P508" s="108">
        <v>1</v>
      </c>
      <c r="Q508" s="108">
        <v>1</v>
      </c>
      <c r="R508" s="108">
        <v>0</v>
      </c>
      <c r="S508" s="108">
        <v>0</v>
      </c>
      <c r="T508" s="108">
        <v>4</v>
      </c>
      <c r="U508" s="108">
        <v>4</v>
      </c>
      <c r="V508" s="108">
        <v>3.4</v>
      </c>
      <c r="W508" s="108">
        <v>4.14285714285714</v>
      </c>
    </row>
    <row r="509" spans="1:23">
      <c r="A509" s="103">
        <v>45032</v>
      </c>
      <c r="B509" s="104" t="s">
        <v>19</v>
      </c>
      <c r="C509" s="107">
        <v>1482</v>
      </c>
      <c r="D509" s="107"/>
      <c r="E509" s="104">
        <v>39</v>
      </c>
      <c r="F509" s="106">
        <v>0.0263157894736842</v>
      </c>
      <c r="G509" s="107">
        <v>14</v>
      </c>
      <c r="H509" s="106">
        <v>0.358974358974359</v>
      </c>
      <c r="I509" s="106"/>
      <c r="J509" s="106"/>
      <c r="K509" s="106"/>
      <c r="L509" s="213">
        <v>-26</v>
      </c>
      <c r="M509" s="213">
        <v>317.333333333333</v>
      </c>
      <c r="N509" s="213">
        <v>476</v>
      </c>
      <c r="O509" s="213">
        <v>593.714285714286</v>
      </c>
      <c r="P509" s="108">
        <v>2</v>
      </c>
      <c r="Q509" s="108">
        <v>12.6666666666667</v>
      </c>
      <c r="R509" s="108">
        <v>16.4</v>
      </c>
      <c r="S509" s="108">
        <v>15.5714285714286</v>
      </c>
      <c r="T509" s="108">
        <v>3</v>
      </c>
      <c r="U509" s="108">
        <v>5.33333333333333</v>
      </c>
      <c r="V509" s="108">
        <v>4.4</v>
      </c>
      <c r="W509" s="115">
        <v>3.71428571428571</v>
      </c>
    </row>
    <row r="510" spans="1:23">
      <c r="A510" s="103">
        <v>45032</v>
      </c>
      <c r="B510" s="104" t="s">
        <v>21</v>
      </c>
      <c r="C510" s="145">
        <v>516</v>
      </c>
      <c r="D510" s="145"/>
      <c r="E510" s="104">
        <v>23</v>
      </c>
      <c r="F510" s="106">
        <v>0.0445736434108527</v>
      </c>
      <c r="G510" s="107">
        <v>6</v>
      </c>
      <c r="H510" s="106">
        <v>0.260869565217391</v>
      </c>
      <c r="I510" s="106"/>
      <c r="J510" s="106"/>
      <c r="K510" s="106"/>
      <c r="L510" s="213">
        <v>100</v>
      </c>
      <c r="M510" s="213">
        <v>118.666666666667</v>
      </c>
      <c r="N510" s="213">
        <v>105.8</v>
      </c>
      <c r="O510" s="213">
        <v>110.714285714286</v>
      </c>
      <c r="P510" s="108">
        <v>2</v>
      </c>
      <c r="Q510" s="108">
        <v>-2.33333333333333</v>
      </c>
      <c r="R510" s="108">
        <v>-2.2</v>
      </c>
      <c r="S510" s="108">
        <v>-1.42857142857143</v>
      </c>
      <c r="T510" s="108">
        <v>-5</v>
      </c>
      <c r="U510" s="108">
        <v>-3.33333333333333</v>
      </c>
      <c r="V510" s="108">
        <v>-3</v>
      </c>
      <c r="W510" s="108">
        <v>-3.57142857142857</v>
      </c>
    </row>
    <row r="511" spans="1:23">
      <c r="A511" s="103">
        <v>45032</v>
      </c>
      <c r="B511" s="104" t="s">
        <v>22</v>
      </c>
      <c r="C511" s="145">
        <v>4442</v>
      </c>
      <c r="D511" s="145"/>
      <c r="E511" s="104">
        <v>105</v>
      </c>
      <c r="F511" s="106">
        <v>0.0236380009004953</v>
      </c>
      <c r="G511" s="107">
        <v>39</v>
      </c>
      <c r="H511" s="106">
        <v>0.371428571428571</v>
      </c>
      <c r="I511" s="106"/>
      <c r="J511" s="106"/>
      <c r="K511" s="106"/>
      <c r="L511" s="213">
        <v>7</v>
      </c>
      <c r="M511" s="213">
        <v>170</v>
      </c>
      <c r="N511" s="213">
        <v>190.8</v>
      </c>
      <c r="O511" s="213">
        <v>181.857142857143</v>
      </c>
      <c r="P511" s="108">
        <v>-1</v>
      </c>
      <c r="Q511" s="108">
        <v>8</v>
      </c>
      <c r="R511" s="108">
        <v>12.2</v>
      </c>
      <c r="S511" s="115">
        <v>8</v>
      </c>
      <c r="T511" s="108">
        <v>2</v>
      </c>
      <c r="U511" s="108">
        <v>2.33333333333334</v>
      </c>
      <c r="V511" s="108">
        <v>4.4</v>
      </c>
      <c r="W511" s="117">
        <v>4.14285714285715</v>
      </c>
    </row>
    <row r="512" spans="1:23">
      <c r="A512" s="103">
        <v>45032</v>
      </c>
      <c r="B512" s="104" t="s">
        <v>23</v>
      </c>
      <c r="C512" s="145">
        <v>2814</v>
      </c>
      <c r="D512" s="145"/>
      <c r="E512" s="104">
        <v>35</v>
      </c>
      <c r="F512" s="106">
        <v>0.0124378109452736</v>
      </c>
      <c r="G512" s="107">
        <v>12</v>
      </c>
      <c r="H512" s="106">
        <v>0.342857142857143</v>
      </c>
      <c r="I512" s="106"/>
      <c r="J512" s="106"/>
      <c r="K512" s="106"/>
      <c r="L512" s="213">
        <v>197</v>
      </c>
      <c r="M512" s="213">
        <v>283.666666666667</v>
      </c>
      <c r="N512" s="213">
        <v>319.8</v>
      </c>
      <c r="O512" s="213">
        <v>298.857142857143</v>
      </c>
      <c r="P512" s="108">
        <v>16</v>
      </c>
      <c r="Q512" s="108">
        <v>10.6666666666667</v>
      </c>
      <c r="R512" s="108">
        <v>6.6</v>
      </c>
      <c r="S512" s="108">
        <v>5.42857142857143</v>
      </c>
      <c r="T512" s="108">
        <v>-1</v>
      </c>
      <c r="U512" s="116">
        <v>2.66666666666667</v>
      </c>
      <c r="V512" s="108">
        <v>1.2</v>
      </c>
      <c r="W512" s="108">
        <v>1.28571428571429</v>
      </c>
    </row>
    <row r="513" spans="1:23">
      <c r="A513" s="103">
        <v>45032</v>
      </c>
      <c r="B513" s="104" t="s">
        <v>24</v>
      </c>
      <c r="C513" s="145">
        <v>484</v>
      </c>
      <c r="D513" s="145"/>
      <c r="E513" s="104">
        <v>3</v>
      </c>
      <c r="F513" s="106">
        <v>0.00619834710743802</v>
      </c>
      <c r="G513" s="107">
        <v>4</v>
      </c>
      <c r="H513" s="106">
        <v>1.33333333333333</v>
      </c>
      <c r="I513" s="106"/>
      <c r="J513" s="106"/>
      <c r="K513" s="106"/>
      <c r="L513" s="213">
        <v>123</v>
      </c>
      <c r="M513" s="213">
        <v>113.333333333333</v>
      </c>
      <c r="N513" s="213">
        <v>90.4</v>
      </c>
      <c r="O513" s="213">
        <v>65.5714285714286</v>
      </c>
      <c r="P513" s="115">
        <v>1</v>
      </c>
      <c r="Q513" s="115">
        <v>-1.66666666666667</v>
      </c>
      <c r="R513" s="117">
        <v>-2.8</v>
      </c>
      <c r="S513" s="117">
        <v>-2.71428571428571</v>
      </c>
      <c r="T513" s="115">
        <v>2</v>
      </c>
      <c r="U513" s="115">
        <v>2.33333333333333</v>
      </c>
      <c r="V513" s="115">
        <v>2.6</v>
      </c>
      <c r="W513" s="115">
        <v>2.57142857142857</v>
      </c>
    </row>
    <row r="514" spans="1:23">
      <c r="A514" s="103">
        <v>45032</v>
      </c>
      <c r="B514" s="104" t="s">
        <v>25</v>
      </c>
      <c r="C514" s="145">
        <v>12738</v>
      </c>
      <c r="D514" s="145"/>
      <c r="E514" s="104">
        <v>54</v>
      </c>
      <c r="F514" s="106">
        <v>0.00423928403203015</v>
      </c>
      <c r="G514" s="107">
        <v>25</v>
      </c>
      <c r="H514" s="106">
        <v>0.462962962962963</v>
      </c>
      <c r="I514" s="106"/>
      <c r="J514" s="106"/>
      <c r="K514" s="106"/>
      <c r="L514" s="213">
        <v>2008</v>
      </c>
      <c r="M514" s="213">
        <v>2754.66666666667</v>
      </c>
      <c r="N514" s="213">
        <v>4388.8</v>
      </c>
      <c r="O514" s="213">
        <v>4679</v>
      </c>
      <c r="P514" s="116">
        <v>26</v>
      </c>
      <c r="Q514" s="115">
        <v>21.6666666666667</v>
      </c>
      <c r="R514" s="115">
        <v>20.6</v>
      </c>
      <c r="S514" s="115">
        <v>20.8571428571429</v>
      </c>
      <c r="T514" s="108">
        <v>13</v>
      </c>
      <c r="U514" s="108">
        <v>12.6666666666667</v>
      </c>
      <c r="V514" s="108">
        <v>12</v>
      </c>
      <c r="W514" s="108">
        <v>11.7142857142857</v>
      </c>
    </row>
    <row r="515" spans="1:23">
      <c r="A515" s="103">
        <v>45032</v>
      </c>
      <c r="B515" s="104" t="s">
        <v>26</v>
      </c>
      <c r="C515" s="145">
        <v>2582</v>
      </c>
      <c r="D515" s="145"/>
      <c r="E515" s="104">
        <v>38</v>
      </c>
      <c r="F515" s="106">
        <v>0.0147172734314485</v>
      </c>
      <c r="G515" s="107">
        <v>10</v>
      </c>
      <c r="H515" s="106">
        <v>0.263157894736842</v>
      </c>
      <c r="I515" s="106"/>
      <c r="J515" s="106"/>
      <c r="K515" s="106"/>
      <c r="L515" s="213">
        <v>-872</v>
      </c>
      <c r="M515" s="213">
        <v>-2444</v>
      </c>
      <c r="N515" s="213">
        <v>-1882</v>
      </c>
      <c r="O515" s="213">
        <v>-1230.28571428571</v>
      </c>
      <c r="P515" s="108">
        <v>18</v>
      </c>
      <c r="Q515" s="108">
        <v>10.3333333333333</v>
      </c>
      <c r="R515" s="108">
        <v>3</v>
      </c>
      <c r="S515" s="108">
        <v>-1.42857142857143</v>
      </c>
      <c r="T515" s="108">
        <v>-6</v>
      </c>
      <c r="U515" s="108">
        <v>-3.66666666666667</v>
      </c>
      <c r="V515" s="108">
        <v>-3.8</v>
      </c>
      <c r="W515" s="108">
        <v>-5.57142857142857</v>
      </c>
    </row>
    <row r="516" spans="1:23">
      <c r="A516" s="103">
        <v>45032</v>
      </c>
      <c r="B516" s="104" t="s">
        <v>27</v>
      </c>
      <c r="C516" s="145">
        <v>278</v>
      </c>
      <c r="D516" s="145"/>
      <c r="E516" s="104">
        <v>5</v>
      </c>
      <c r="F516" s="106">
        <v>0.0179856115107914</v>
      </c>
      <c r="G516" s="107">
        <v>2</v>
      </c>
      <c r="H516" s="106">
        <v>0.4</v>
      </c>
      <c r="I516" s="106"/>
      <c r="J516" s="106"/>
      <c r="K516" s="106"/>
      <c r="L516" s="213">
        <v>-46</v>
      </c>
      <c r="M516" s="213">
        <v>-69.3333333333333</v>
      </c>
      <c r="N516" s="213">
        <v>-16.2</v>
      </c>
      <c r="O516" s="213">
        <v>52.8571428571429</v>
      </c>
      <c r="P516" s="108">
        <v>5</v>
      </c>
      <c r="Q516" s="108">
        <v>1</v>
      </c>
      <c r="R516" s="108">
        <v>1.4</v>
      </c>
      <c r="S516" s="108">
        <v>1.42857142857143</v>
      </c>
      <c r="T516" s="108">
        <v>2</v>
      </c>
      <c r="U516" s="108">
        <v>1.66666666666667</v>
      </c>
      <c r="V516" s="108">
        <v>1.4</v>
      </c>
      <c r="W516" s="108">
        <v>1</v>
      </c>
    </row>
    <row r="517" spans="1:23">
      <c r="A517" s="103">
        <v>45032</v>
      </c>
      <c r="B517" s="104" t="s">
        <v>28</v>
      </c>
      <c r="C517" s="145">
        <v>0</v>
      </c>
      <c r="D517" s="145"/>
      <c r="E517" s="104">
        <v>0</v>
      </c>
      <c r="F517" s="106">
        <v>0</v>
      </c>
      <c r="G517" s="107">
        <v>0</v>
      </c>
      <c r="H517" s="106">
        <v>0</v>
      </c>
      <c r="I517" s="106"/>
      <c r="J517" s="106"/>
      <c r="K517" s="106"/>
      <c r="L517" s="213">
        <v>0</v>
      </c>
      <c r="M517" s="213">
        <v>0</v>
      </c>
      <c r="N517" s="213">
        <v>0</v>
      </c>
      <c r="O517" s="213">
        <v>0</v>
      </c>
      <c r="P517" s="108">
        <v>0</v>
      </c>
      <c r="Q517" s="108">
        <v>0</v>
      </c>
      <c r="R517" s="108">
        <v>-0.4</v>
      </c>
      <c r="S517" s="108">
        <v>-0.285714285714286</v>
      </c>
      <c r="T517" s="108">
        <v>0</v>
      </c>
      <c r="U517" s="108">
        <v>0</v>
      </c>
      <c r="V517" s="108">
        <v>-0.2</v>
      </c>
      <c r="W517" s="108">
        <v>-0.142857142857143</v>
      </c>
    </row>
    <row r="518" spans="1:23">
      <c r="A518" s="103">
        <v>45032</v>
      </c>
      <c r="B518" s="104" t="s">
        <v>29</v>
      </c>
      <c r="C518" s="145">
        <v>0</v>
      </c>
      <c r="D518" s="145"/>
      <c r="E518" s="104">
        <v>0</v>
      </c>
      <c r="F518" s="106">
        <v>0</v>
      </c>
      <c r="G518" s="107">
        <v>0</v>
      </c>
      <c r="H518" s="106">
        <v>0</v>
      </c>
      <c r="I518" s="106"/>
      <c r="J518" s="106"/>
      <c r="K518" s="106"/>
      <c r="L518" s="213">
        <v>0</v>
      </c>
      <c r="M518" s="213">
        <v>-0.666666666666667</v>
      </c>
      <c r="N518" s="213">
        <v>-1.2</v>
      </c>
      <c r="O518" s="213">
        <v>-1</v>
      </c>
      <c r="P518" s="108">
        <v>0</v>
      </c>
      <c r="Q518" s="108">
        <v>-0.333333333333333</v>
      </c>
      <c r="R518" s="108">
        <v>-0.4</v>
      </c>
      <c r="S518" s="108">
        <v>-0.428571428571429</v>
      </c>
      <c r="T518" s="108">
        <v>0</v>
      </c>
      <c r="U518" s="108">
        <v>0</v>
      </c>
      <c r="V518" s="108">
        <v>0</v>
      </c>
      <c r="W518" s="108">
        <v>0</v>
      </c>
    </row>
    <row r="519" spans="1:23">
      <c r="A519" s="103">
        <v>45032</v>
      </c>
      <c r="B519" s="104" t="s">
        <v>30</v>
      </c>
      <c r="C519" s="145">
        <v>0</v>
      </c>
      <c r="D519" s="145"/>
      <c r="E519" s="104">
        <v>0</v>
      </c>
      <c r="F519" s="106">
        <v>0</v>
      </c>
      <c r="G519" s="107">
        <v>0</v>
      </c>
      <c r="H519" s="106">
        <v>0</v>
      </c>
      <c r="I519" s="106"/>
      <c r="J519" s="106"/>
      <c r="K519" s="106"/>
      <c r="L519" s="213">
        <v>0</v>
      </c>
      <c r="M519" s="213">
        <v>0</v>
      </c>
      <c r="N519" s="213">
        <v>0</v>
      </c>
      <c r="O519" s="213">
        <v>0</v>
      </c>
      <c r="P519" s="108">
        <v>0</v>
      </c>
      <c r="Q519" s="108">
        <v>0</v>
      </c>
      <c r="R519" s="108">
        <v>0</v>
      </c>
      <c r="S519" s="108">
        <v>0</v>
      </c>
      <c r="T519" s="108">
        <v>0</v>
      </c>
      <c r="U519" s="108">
        <v>0</v>
      </c>
      <c r="V519" s="108">
        <v>0</v>
      </c>
      <c r="W519" s="108">
        <v>0</v>
      </c>
    </row>
    <row r="520" spans="1:23">
      <c r="A520" s="103">
        <v>45032</v>
      </c>
      <c r="B520" s="104" t="s">
        <v>31</v>
      </c>
      <c r="C520" s="145">
        <v>0</v>
      </c>
      <c r="D520" s="145"/>
      <c r="E520" s="104">
        <v>0</v>
      </c>
      <c r="F520" s="106">
        <v>0</v>
      </c>
      <c r="G520" s="107">
        <v>0</v>
      </c>
      <c r="H520" s="106">
        <v>0</v>
      </c>
      <c r="I520" s="106"/>
      <c r="J520" s="106"/>
      <c r="K520" s="106"/>
      <c r="L520" s="213">
        <v>0</v>
      </c>
      <c r="M520" s="213">
        <v>0</v>
      </c>
      <c r="N520" s="213">
        <v>0</v>
      </c>
      <c r="O520" s="213">
        <v>0</v>
      </c>
      <c r="P520" s="108">
        <v>0</v>
      </c>
      <c r="Q520" s="108">
        <v>0</v>
      </c>
      <c r="R520" s="108">
        <v>0</v>
      </c>
      <c r="S520" s="108">
        <v>0</v>
      </c>
      <c r="T520" s="108">
        <v>0</v>
      </c>
      <c r="U520" s="108">
        <v>0</v>
      </c>
      <c r="V520" s="108">
        <v>0</v>
      </c>
      <c r="W520" s="108">
        <v>0</v>
      </c>
    </row>
    <row r="521" spans="1:23">
      <c r="A521" s="103">
        <v>45032</v>
      </c>
      <c r="B521" s="104" t="s">
        <v>32</v>
      </c>
      <c r="C521" s="145">
        <v>0</v>
      </c>
      <c r="D521" s="145"/>
      <c r="E521" s="104">
        <v>0</v>
      </c>
      <c r="F521" s="106">
        <v>0</v>
      </c>
      <c r="G521" s="107">
        <v>0</v>
      </c>
      <c r="H521" s="106">
        <v>0</v>
      </c>
      <c r="I521" s="106"/>
      <c r="J521" s="106"/>
      <c r="K521" s="106"/>
      <c r="L521" s="213">
        <v>0</v>
      </c>
      <c r="M521" s="213">
        <v>0</v>
      </c>
      <c r="N521" s="213">
        <v>0</v>
      </c>
      <c r="O521" s="213">
        <v>0</v>
      </c>
      <c r="P521" s="108">
        <v>0</v>
      </c>
      <c r="Q521" s="108">
        <v>0</v>
      </c>
      <c r="R521" s="108">
        <v>0</v>
      </c>
      <c r="S521" s="108">
        <v>0</v>
      </c>
      <c r="T521" s="108">
        <v>0</v>
      </c>
      <c r="U521" s="108">
        <v>0</v>
      </c>
      <c r="V521" s="108">
        <v>0</v>
      </c>
      <c r="W521" s="108">
        <v>0</v>
      </c>
    </row>
    <row r="522" spans="1:23">
      <c r="A522" s="103">
        <v>45032</v>
      </c>
      <c r="B522" s="104" t="s">
        <v>33</v>
      </c>
      <c r="C522" s="145">
        <v>0</v>
      </c>
      <c r="D522" s="145"/>
      <c r="E522" s="104">
        <v>0</v>
      </c>
      <c r="F522" s="106">
        <v>0</v>
      </c>
      <c r="G522" s="107">
        <v>0</v>
      </c>
      <c r="H522" s="106">
        <v>0</v>
      </c>
      <c r="I522" s="106"/>
      <c r="J522" s="106"/>
      <c r="K522" s="106"/>
      <c r="L522" s="213">
        <v>0</v>
      </c>
      <c r="M522" s="213">
        <v>0</v>
      </c>
      <c r="N522" s="213">
        <v>0</v>
      </c>
      <c r="O522" s="213">
        <v>0</v>
      </c>
      <c r="P522" s="108">
        <v>0</v>
      </c>
      <c r="Q522" s="108">
        <v>0</v>
      </c>
      <c r="R522" s="108">
        <v>0</v>
      </c>
      <c r="S522" s="108">
        <v>0</v>
      </c>
      <c r="T522" s="108">
        <v>0</v>
      </c>
      <c r="U522" s="108">
        <v>0</v>
      </c>
      <c r="V522" s="108">
        <v>0</v>
      </c>
      <c r="W522" s="108">
        <v>0</v>
      </c>
    </row>
    <row r="523" spans="1:23">
      <c r="A523" s="103">
        <v>45032</v>
      </c>
      <c r="B523" s="104" t="s">
        <v>34</v>
      </c>
      <c r="C523" s="145">
        <v>0</v>
      </c>
      <c r="D523" s="145"/>
      <c r="E523" s="104">
        <v>0</v>
      </c>
      <c r="F523" s="106">
        <v>0</v>
      </c>
      <c r="G523" s="107">
        <v>0</v>
      </c>
      <c r="H523" s="106">
        <v>0</v>
      </c>
      <c r="I523" s="106"/>
      <c r="J523" s="106"/>
      <c r="K523" s="106"/>
      <c r="L523" s="213">
        <v>0</v>
      </c>
      <c r="M523" s="213">
        <v>0</v>
      </c>
      <c r="N523" s="213">
        <v>0</v>
      </c>
      <c r="O523" s="213">
        <v>0</v>
      </c>
      <c r="P523" s="108">
        <v>0</v>
      </c>
      <c r="Q523" s="108">
        <v>0</v>
      </c>
      <c r="R523" s="108">
        <v>0</v>
      </c>
      <c r="S523" s="108">
        <v>0</v>
      </c>
      <c r="T523" s="108">
        <v>0</v>
      </c>
      <c r="U523" s="108">
        <v>0</v>
      </c>
      <c r="V523" s="108">
        <v>0</v>
      </c>
      <c r="W523" s="108">
        <v>0</v>
      </c>
    </row>
    <row r="524" spans="1:23">
      <c r="A524" s="103">
        <v>45032</v>
      </c>
      <c r="B524" s="104" t="s">
        <v>35</v>
      </c>
      <c r="C524" s="145">
        <v>0</v>
      </c>
      <c r="D524" s="145"/>
      <c r="E524" s="104">
        <v>0</v>
      </c>
      <c r="F524" s="106">
        <v>0</v>
      </c>
      <c r="G524" s="107">
        <v>0</v>
      </c>
      <c r="H524" s="106">
        <v>0</v>
      </c>
      <c r="I524" s="106"/>
      <c r="J524" s="106"/>
      <c r="K524" s="106"/>
      <c r="L524" s="213">
        <v>0</v>
      </c>
      <c r="M524" s="213">
        <v>0</v>
      </c>
      <c r="N524" s="213">
        <v>0</v>
      </c>
      <c r="O524" s="213">
        <v>0</v>
      </c>
      <c r="P524" s="108">
        <v>0</v>
      </c>
      <c r="Q524" s="108">
        <v>0</v>
      </c>
      <c r="R524" s="108">
        <v>0</v>
      </c>
      <c r="S524" s="108">
        <v>0</v>
      </c>
      <c r="T524" s="108">
        <v>0</v>
      </c>
      <c r="U524" s="108">
        <v>0</v>
      </c>
      <c r="V524" s="108">
        <v>0</v>
      </c>
      <c r="W524" s="108">
        <v>0</v>
      </c>
    </row>
    <row r="525" spans="1:23">
      <c r="A525" s="103">
        <v>45032</v>
      </c>
      <c r="B525" s="104" t="s">
        <v>36</v>
      </c>
      <c r="C525" s="145">
        <v>0</v>
      </c>
      <c r="D525" s="145"/>
      <c r="E525" s="104">
        <v>0</v>
      </c>
      <c r="F525" s="106">
        <v>0</v>
      </c>
      <c r="G525" s="107">
        <v>0</v>
      </c>
      <c r="H525" s="106">
        <v>0</v>
      </c>
      <c r="I525" s="106"/>
      <c r="J525" s="106"/>
      <c r="K525" s="106"/>
      <c r="L525" s="213">
        <v>0</v>
      </c>
      <c r="M525" s="213">
        <v>0</v>
      </c>
      <c r="N525" s="213">
        <v>0</v>
      </c>
      <c r="O525" s="213">
        <v>0</v>
      </c>
      <c r="P525" s="108">
        <v>0</v>
      </c>
      <c r="Q525" s="108">
        <v>0</v>
      </c>
      <c r="R525" s="108">
        <v>0</v>
      </c>
      <c r="S525" s="108">
        <v>0</v>
      </c>
      <c r="T525" s="108">
        <v>0</v>
      </c>
      <c r="U525" s="108">
        <v>0</v>
      </c>
      <c r="V525" s="108">
        <v>0</v>
      </c>
      <c r="W525" s="108">
        <v>0</v>
      </c>
    </row>
    <row r="526" spans="1:23">
      <c r="A526" s="103">
        <v>45032</v>
      </c>
      <c r="B526" s="104" t="s">
        <v>37</v>
      </c>
      <c r="C526" s="145">
        <v>0</v>
      </c>
      <c r="D526" s="145"/>
      <c r="E526" s="104">
        <v>0</v>
      </c>
      <c r="F526" s="106">
        <v>0</v>
      </c>
      <c r="G526" s="107">
        <v>0</v>
      </c>
      <c r="H526" s="106">
        <v>0</v>
      </c>
      <c r="I526" s="106"/>
      <c r="J526" s="106"/>
      <c r="K526" s="106"/>
      <c r="L526" s="213">
        <v>0</v>
      </c>
      <c r="M526" s="213">
        <v>0</v>
      </c>
      <c r="N526" s="213">
        <v>0</v>
      </c>
      <c r="O526" s="213">
        <v>0</v>
      </c>
      <c r="P526" s="108">
        <v>0</v>
      </c>
      <c r="Q526" s="108">
        <v>0</v>
      </c>
      <c r="R526" s="108">
        <v>0</v>
      </c>
      <c r="S526" s="108">
        <v>0</v>
      </c>
      <c r="T526" s="108">
        <v>0</v>
      </c>
      <c r="U526" s="108">
        <v>0</v>
      </c>
      <c r="V526" s="108">
        <v>0</v>
      </c>
      <c r="W526" s="108">
        <v>0</v>
      </c>
    </row>
    <row r="527" spans="1:23">
      <c r="A527" s="103">
        <v>45032</v>
      </c>
      <c r="B527" s="104" t="s">
        <v>38</v>
      </c>
      <c r="C527" s="145">
        <v>0</v>
      </c>
      <c r="D527" s="145"/>
      <c r="E527" s="104">
        <v>0</v>
      </c>
      <c r="F527" s="106">
        <v>0</v>
      </c>
      <c r="G527" s="107">
        <v>0</v>
      </c>
      <c r="H527" s="106">
        <v>0</v>
      </c>
      <c r="I527" s="106"/>
      <c r="J527" s="106"/>
      <c r="K527" s="106"/>
      <c r="L527" s="213">
        <v>0</v>
      </c>
      <c r="M527" s="213">
        <v>0</v>
      </c>
      <c r="N527" s="213">
        <v>0</v>
      </c>
      <c r="O527" s="213">
        <v>0</v>
      </c>
      <c r="P527" s="108">
        <v>0</v>
      </c>
      <c r="Q527" s="108">
        <v>0</v>
      </c>
      <c r="R527" s="108">
        <v>0</v>
      </c>
      <c r="S527" s="108">
        <v>0</v>
      </c>
      <c r="T527" s="108">
        <v>0</v>
      </c>
      <c r="U527" s="108">
        <v>0</v>
      </c>
      <c r="V527" s="108">
        <v>0</v>
      </c>
      <c r="W527" s="108">
        <v>0</v>
      </c>
    </row>
    <row r="528" spans="1:23">
      <c r="A528" s="103">
        <v>45032</v>
      </c>
      <c r="B528" s="111" t="s">
        <v>39</v>
      </c>
      <c r="C528" s="112">
        <v>26034</v>
      </c>
      <c r="D528" s="112"/>
      <c r="E528" s="112">
        <v>332</v>
      </c>
      <c r="F528" s="113">
        <v>0.0127525543520012</v>
      </c>
      <c r="G528" s="112">
        <v>121</v>
      </c>
      <c r="H528" s="113">
        <v>0.364457831325301</v>
      </c>
      <c r="I528" s="113"/>
      <c r="J528" s="113"/>
      <c r="K528" s="113"/>
      <c r="L528" s="213"/>
      <c r="M528" s="213"/>
      <c r="N528" s="213"/>
      <c r="O528" s="213"/>
      <c r="P528" s="108"/>
      <c r="Q528" s="108"/>
      <c r="R528" s="108"/>
      <c r="S528" s="108"/>
      <c r="T528" s="108"/>
      <c r="U528" s="108"/>
      <c r="V528" s="108"/>
      <c r="W528" s="108"/>
    </row>
    <row r="529" spans="1:23">
      <c r="A529" s="103">
        <v>45033</v>
      </c>
      <c r="B529" s="104" t="s">
        <v>17</v>
      </c>
      <c r="C529" s="105">
        <v>736</v>
      </c>
      <c r="D529" s="105"/>
      <c r="E529" s="104">
        <v>25</v>
      </c>
      <c r="F529" s="106">
        <v>0.0339673913043478</v>
      </c>
      <c r="G529" s="107">
        <v>8</v>
      </c>
      <c r="H529" s="106">
        <v>0.32</v>
      </c>
      <c r="I529" s="106"/>
      <c r="J529" s="106"/>
      <c r="K529" s="106"/>
      <c r="L529" s="213">
        <v>38</v>
      </c>
      <c r="M529" s="213">
        <v>392.666666666667</v>
      </c>
      <c r="N529" s="213">
        <v>433.6</v>
      </c>
      <c r="O529" s="213">
        <v>465.285714285714</v>
      </c>
      <c r="P529" s="108">
        <v>-5</v>
      </c>
      <c r="Q529" s="108">
        <v>-3.66666666666667</v>
      </c>
      <c r="R529" s="108">
        <v>-8</v>
      </c>
      <c r="S529" s="108">
        <v>-4.57142857142857</v>
      </c>
      <c r="T529" s="108">
        <v>-1</v>
      </c>
      <c r="U529" s="108">
        <v>2</v>
      </c>
      <c r="V529" s="108">
        <v>1.2</v>
      </c>
      <c r="W529" s="108">
        <v>2.42857142857143</v>
      </c>
    </row>
    <row r="530" spans="1:23">
      <c r="A530" s="103">
        <v>45033</v>
      </c>
      <c r="B530" s="104" t="s">
        <v>19</v>
      </c>
      <c r="C530" s="107">
        <v>1292</v>
      </c>
      <c r="D530" s="107"/>
      <c r="E530" s="104">
        <v>25</v>
      </c>
      <c r="F530" s="106">
        <v>0.0193498452012384</v>
      </c>
      <c r="G530" s="107">
        <v>11</v>
      </c>
      <c r="H530" s="106">
        <v>0.44</v>
      </c>
      <c r="I530" s="106"/>
      <c r="J530" s="106"/>
      <c r="K530" s="106"/>
      <c r="L530" s="213">
        <v>-190</v>
      </c>
      <c r="M530" s="213">
        <v>-60</v>
      </c>
      <c r="N530" s="213">
        <v>97.2</v>
      </c>
      <c r="O530" s="213">
        <v>277.857142857143</v>
      </c>
      <c r="P530" s="108">
        <v>-14</v>
      </c>
      <c r="Q530" s="108">
        <v>-8.33333333333334</v>
      </c>
      <c r="R530" s="108">
        <v>-1.4</v>
      </c>
      <c r="S530" s="108">
        <v>0</v>
      </c>
      <c r="T530" s="108">
        <v>-3</v>
      </c>
      <c r="U530" s="108">
        <v>0</v>
      </c>
      <c r="V530" s="108">
        <v>1.4</v>
      </c>
      <c r="W530" s="115">
        <v>0.571428571428571</v>
      </c>
    </row>
    <row r="531" spans="1:23">
      <c r="A531" s="103">
        <v>45033</v>
      </c>
      <c r="B531" s="104" t="s">
        <v>21</v>
      </c>
      <c r="C531" s="145">
        <v>593</v>
      </c>
      <c r="D531" s="145"/>
      <c r="E531" s="104">
        <v>33</v>
      </c>
      <c r="F531" s="106">
        <v>0.0556492411467116</v>
      </c>
      <c r="G531" s="107">
        <v>11</v>
      </c>
      <c r="H531" s="106">
        <v>0.333333333333333</v>
      </c>
      <c r="I531" s="106"/>
      <c r="J531" s="106"/>
      <c r="K531" s="106"/>
      <c r="L531" s="213">
        <v>77</v>
      </c>
      <c r="M531" s="213">
        <v>147</v>
      </c>
      <c r="N531" s="213">
        <v>170</v>
      </c>
      <c r="O531" s="213">
        <v>169.571428571429</v>
      </c>
      <c r="P531" s="108">
        <v>10</v>
      </c>
      <c r="Q531" s="108">
        <v>9</v>
      </c>
      <c r="R531" s="108">
        <v>8.8</v>
      </c>
      <c r="S531" s="108">
        <v>8.42857142857143</v>
      </c>
      <c r="T531" s="108">
        <v>5</v>
      </c>
      <c r="U531" s="108">
        <v>2.33333333333333</v>
      </c>
      <c r="V531" s="108">
        <v>2.4</v>
      </c>
      <c r="W531" s="108">
        <v>2.14285714285714</v>
      </c>
    </row>
    <row r="532" spans="1:23">
      <c r="A532" s="103">
        <v>45033</v>
      </c>
      <c r="B532" s="104" t="s">
        <v>22</v>
      </c>
      <c r="C532" s="145">
        <v>4063</v>
      </c>
      <c r="D532" s="145"/>
      <c r="E532" s="104">
        <v>85</v>
      </c>
      <c r="F532" s="106">
        <v>0.0209205020920502</v>
      </c>
      <c r="G532" s="107">
        <v>30</v>
      </c>
      <c r="H532" s="106">
        <v>0.352941176470588</v>
      </c>
      <c r="I532" s="106"/>
      <c r="J532" s="106"/>
      <c r="K532" s="106"/>
      <c r="L532" s="213">
        <v>-379</v>
      </c>
      <c r="M532" s="213">
        <v>-311.333333333333</v>
      </c>
      <c r="N532" s="213">
        <v>-230.6</v>
      </c>
      <c r="O532" s="213">
        <v>-192.857142857143</v>
      </c>
      <c r="P532" s="108">
        <v>-20</v>
      </c>
      <c r="Q532" s="108">
        <v>-16</v>
      </c>
      <c r="R532" s="108">
        <v>-9.40000000000001</v>
      </c>
      <c r="S532" s="115">
        <v>-10.4285714285714</v>
      </c>
      <c r="T532" s="108">
        <v>-9</v>
      </c>
      <c r="U532" s="108">
        <v>-7.33333333333334</v>
      </c>
      <c r="V532" s="108">
        <v>-6.8</v>
      </c>
      <c r="W532" s="117">
        <v>-5</v>
      </c>
    </row>
    <row r="533" spans="1:23">
      <c r="A533" s="103">
        <v>45033</v>
      </c>
      <c r="B533" s="104" t="s">
        <v>23</v>
      </c>
      <c r="C533" s="145">
        <v>2584</v>
      </c>
      <c r="D533" s="145"/>
      <c r="E533" s="104">
        <v>35</v>
      </c>
      <c r="F533" s="106">
        <v>0.0135448916408669</v>
      </c>
      <c r="G533" s="107">
        <v>13</v>
      </c>
      <c r="H533" s="106">
        <v>0.371428571428571</v>
      </c>
      <c r="I533" s="106"/>
      <c r="J533" s="106"/>
      <c r="K533" s="106"/>
      <c r="L533" s="213">
        <v>-230</v>
      </c>
      <c r="M533" s="213">
        <v>-90.6666666666665</v>
      </c>
      <c r="N533" s="213">
        <v>21</v>
      </c>
      <c r="O533" s="213">
        <v>47.7142857142858</v>
      </c>
      <c r="P533" s="108">
        <v>0</v>
      </c>
      <c r="Q533" s="108">
        <v>8</v>
      </c>
      <c r="R533" s="108">
        <v>6.2</v>
      </c>
      <c r="S533" s="108">
        <v>4.85714285714286</v>
      </c>
      <c r="T533" s="108">
        <v>1</v>
      </c>
      <c r="U533" s="116">
        <v>2.66666666666667</v>
      </c>
      <c r="V533" s="108">
        <v>2.4</v>
      </c>
      <c r="W533" s="108">
        <v>1.71428571428571</v>
      </c>
    </row>
    <row r="534" spans="1:23">
      <c r="A534" s="103">
        <v>45033</v>
      </c>
      <c r="B534" s="104" t="s">
        <v>24</v>
      </c>
      <c r="C534" s="145">
        <v>486</v>
      </c>
      <c r="D534" s="145"/>
      <c r="E534" s="104">
        <v>11</v>
      </c>
      <c r="F534" s="106">
        <v>0.0226337448559671</v>
      </c>
      <c r="G534" s="107">
        <v>3</v>
      </c>
      <c r="H534" s="106">
        <v>0.272727272727273</v>
      </c>
      <c r="I534" s="106"/>
      <c r="J534" s="106"/>
      <c r="K534" s="106"/>
      <c r="L534" s="213">
        <v>2</v>
      </c>
      <c r="M534" s="213">
        <v>115.666666666667</v>
      </c>
      <c r="N534" s="213">
        <v>79.2</v>
      </c>
      <c r="O534" s="213">
        <v>63.4285714285714</v>
      </c>
      <c r="P534" s="115">
        <v>8</v>
      </c>
      <c r="Q534" s="115">
        <v>7.66666666666667</v>
      </c>
      <c r="R534" s="117">
        <v>6.4</v>
      </c>
      <c r="S534" s="117">
        <v>5.57142857142857</v>
      </c>
      <c r="T534" s="115">
        <v>-1</v>
      </c>
      <c r="U534" s="115">
        <v>0.666666666666667</v>
      </c>
      <c r="V534" s="115">
        <v>0.8</v>
      </c>
      <c r="W534" s="115">
        <v>1</v>
      </c>
    </row>
    <row r="535" spans="1:23">
      <c r="A535" s="103">
        <v>45033</v>
      </c>
      <c r="B535" s="104" t="s">
        <v>25</v>
      </c>
      <c r="C535" s="145">
        <v>12390</v>
      </c>
      <c r="D535" s="145"/>
      <c r="E535" s="104">
        <v>39</v>
      </c>
      <c r="F535" s="106">
        <v>0.00314769975786925</v>
      </c>
      <c r="G535" s="107">
        <v>6</v>
      </c>
      <c r="H535" s="106">
        <v>0.153846153846154</v>
      </c>
      <c r="I535" s="106"/>
      <c r="J535" s="106"/>
      <c r="K535" s="106"/>
      <c r="L535" s="213">
        <v>-348</v>
      </c>
      <c r="M535" s="213">
        <v>1274</v>
      </c>
      <c r="N535" s="213">
        <v>2095.6</v>
      </c>
      <c r="O535" s="213">
        <v>4103.71428571429</v>
      </c>
      <c r="P535" s="116">
        <v>-15</v>
      </c>
      <c r="Q535" s="115">
        <v>0.333333333333336</v>
      </c>
      <c r="R535" s="115">
        <v>1.6</v>
      </c>
      <c r="S535" s="115">
        <v>3.57142857142857</v>
      </c>
      <c r="T535" s="108">
        <v>-19</v>
      </c>
      <c r="U535" s="108">
        <v>-11</v>
      </c>
      <c r="V535" s="108">
        <v>-9.8</v>
      </c>
      <c r="W535" s="108">
        <v>-8.28571428571429</v>
      </c>
    </row>
    <row r="536" spans="1:23">
      <c r="A536" s="103">
        <v>45033</v>
      </c>
      <c r="B536" s="104" t="s">
        <v>26</v>
      </c>
      <c r="C536" s="145">
        <v>2042</v>
      </c>
      <c r="D536" s="145"/>
      <c r="E536" s="104">
        <v>30</v>
      </c>
      <c r="F536" s="106">
        <v>0.0146914789422135</v>
      </c>
      <c r="G536" s="107">
        <v>9</v>
      </c>
      <c r="H536" s="106">
        <v>0.3</v>
      </c>
      <c r="I536" s="106"/>
      <c r="J536" s="106"/>
      <c r="K536" s="106"/>
      <c r="L536" s="213">
        <v>-540</v>
      </c>
      <c r="M536" s="213">
        <v>-1926</v>
      </c>
      <c r="N536" s="213">
        <v>-2601.2</v>
      </c>
      <c r="O536" s="213">
        <v>-1807.42857142857</v>
      </c>
      <c r="P536" s="108">
        <v>-8</v>
      </c>
      <c r="Q536" s="108">
        <v>0</v>
      </c>
      <c r="R536" s="108">
        <v>-4</v>
      </c>
      <c r="S536" s="108">
        <v>-6.85714285714285</v>
      </c>
      <c r="T536" s="108">
        <v>-1</v>
      </c>
      <c r="U536" s="108">
        <v>-3.33333333333333</v>
      </c>
      <c r="V536" s="108">
        <v>-4.6</v>
      </c>
      <c r="W536" s="108">
        <v>-4.85714285714286</v>
      </c>
    </row>
    <row r="537" spans="1:23">
      <c r="A537" s="103">
        <v>45033</v>
      </c>
      <c r="B537" s="104" t="s">
        <v>27</v>
      </c>
      <c r="C537" s="145">
        <v>292</v>
      </c>
      <c r="D537" s="145"/>
      <c r="E537" s="104">
        <v>8</v>
      </c>
      <c r="F537" s="106">
        <v>0.0273972602739726</v>
      </c>
      <c r="G537" s="107">
        <v>3</v>
      </c>
      <c r="H537" s="106">
        <v>0.375</v>
      </c>
      <c r="I537" s="106"/>
      <c r="J537" s="106"/>
      <c r="K537" s="106"/>
      <c r="L537" s="213">
        <v>14</v>
      </c>
      <c r="M537" s="213">
        <v>-21.3333333333333</v>
      </c>
      <c r="N537" s="213">
        <v>-38.4</v>
      </c>
      <c r="O537" s="213">
        <v>34.7142857142857</v>
      </c>
      <c r="P537" s="108">
        <v>3</v>
      </c>
      <c r="Q537" s="108">
        <v>4.33333333333333</v>
      </c>
      <c r="R537" s="108">
        <v>4</v>
      </c>
      <c r="S537" s="108">
        <v>4.28571428571429</v>
      </c>
      <c r="T537" s="108">
        <v>1</v>
      </c>
      <c r="U537" s="108">
        <v>2</v>
      </c>
      <c r="V537" s="108">
        <v>2.2</v>
      </c>
      <c r="W537" s="108">
        <v>2</v>
      </c>
    </row>
    <row r="538" spans="1:23">
      <c r="A538" s="103">
        <v>45033</v>
      </c>
      <c r="B538" s="104" t="s">
        <v>28</v>
      </c>
      <c r="C538" s="145">
        <v>0</v>
      </c>
      <c r="D538" s="145"/>
      <c r="E538" s="104">
        <v>0</v>
      </c>
      <c r="F538" s="106">
        <v>0</v>
      </c>
      <c r="G538" s="107">
        <v>0</v>
      </c>
      <c r="H538" s="106">
        <v>0</v>
      </c>
      <c r="I538" s="106"/>
      <c r="J538" s="106"/>
      <c r="K538" s="106"/>
      <c r="L538" s="213">
        <v>0</v>
      </c>
      <c r="M538" s="213">
        <v>0</v>
      </c>
      <c r="N538" s="213">
        <v>0</v>
      </c>
      <c r="O538" s="213">
        <v>0</v>
      </c>
      <c r="P538" s="108">
        <v>0</v>
      </c>
      <c r="Q538" s="108">
        <v>0</v>
      </c>
      <c r="R538" s="108">
        <v>-0.2</v>
      </c>
      <c r="S538" s="108">
        <v>-0.285714285714286</v>
      </c>
      <c r="T538" s="108">
        <v>0</v>
      </c>
      <c r="U538" s="108">
        <v>0</v>
      </c>
      <c r="V538" s="108">
        <v>-0.2</v>
      </c>
      <c r="W538" s="108">
        <v>-0.142857142857143</v>
      </c>
    </row>
    <row r="539" spans="1:23">
      <c r="A539" s="103">
        <v>45033</v>
      </c>
      <c r="B539" s="104" t="s">
        <v>29</v>
      </c>
      <c r="C539" s="145">
        <v>0</v>
      </c>
      <c r="D539" s="145"/>
      <c r="E539" s="104">
        <v>0</v>
      </c>
      <c r="F539" s="106">
        <v>0</v>
      </c>
      <c r="G539" s="107">
        <v>0</v>
      </c>
      <c r="H539" s="106">
        <v>0</v>
      </c>
      <c r="I539" s="106"/>
      <c r="J539" s="106"/>
      <c r="K539" s="106"/>
      <c r="L539" s="213">
        <v>0</v>
      </c>
      <c r="M539" s="213">
        <v>0</v>
      </c>
      <c r="N539" s="213">
        <v>-1</v>
      </c>
      <c r="O539" s="213">
        <v>-1</v>
      </c>
      <c r="P539" s="108">
        <v>0</v>
      </c>
      <c r="Q539" s="108">
        <v>-0.333333333333333</v>
      </c>
      <c r="R539" s="108">
        <v>-0.2</v>
      </c>
      <c r="S539" s="108">
        <v>-0.428571428571429</v>
      </c>
      <c r="T539" s="108">
        <v>0</v>
      </c>
      <c r="U539" s="108">
        <v>0</v>
      </c>
      <c r="V539" s="108">
        <v>0</v>
      </c>
      <c r="W539" s="108">
        <v>0</v>
      </c>
    </row>
    <row r="540" spans="1:23">
      <c r="A540" s="103">
        <v>45033</v>
      </c>
      <c r="B540" s="104" t="s">
        <v>30</v>
      </c>
      <c r="C540" s="145">
        <v>0</v>
      </c>
      <c r="D540" s="145"/>
      <c r="E540" s="104">
        <v>0</v>
      </c>
      <c r="F540" s="106">
        <v>0</v>
      </c>
      <c r="G540" s="107">
        <v>0</v>
      </c>
      <c r="H540" s="106">
        <v>0</v>
      </c>
      <c r="I540" s="106"/>
      <c r="J540" s="106"/>
      <c r="K540" s="106"/>
      <c r="L540" s="213">
        <v>0</v>
      </c>
      <c r="M540" s="213">
        <v>0</v>
      </c>
      <c r="N540" s="213">
        <v>0</v>
      </c>
      <c r="O540" s="213">
        <v>0</v>
      </c>
      <c r="P540" s="108">
        <v>0</v>
      </c>
      <c r="Q540" s="108">
        <v>0</v>
      </c>
      <c r="R540" s="108">
        <v>0</v>
      </c>
      <c r="S540" s="108">
        <v>0</v>
      </c>
      <c r="T540" s="108">
        <v>0</v>
      </c>
      <c r="U540" s="108">
        <v>0</v>
      </c>
      <c r="V540" s="108">
        <v>0</v>
      </c>
      <c r="W540" s="108">
        <v>0</v>
      </c>
    </row>
    <row r="541" spans="1:23">
      <c r="A541" s="103">
        <v>45033</v>
      </c>
      <c r="B541" s="104" t="s">
        <v>31</v>
      </c>
      <c r="C541" s="145">
        <v>0</v>
      </c>
      <c r="D541" s="145"/>
      <c r="E541" s="104">
        <v>0</v>
      </c>
      <c r="F541" s="106">
        <v>0</v>
      </c>
      <c r="G541" s="107">
        <v>0</v>
      </c>
      <c r="H541" s="106">
        <v>0</v>
      </c>
      <c r="I541" s="106"/>
      <c r="J541" s="106"/>
      <c r="K541" s="106"/>
      <c r="L541" s="213">
        <v>0</v>
      </c>
      <c r="M541" s="213">
        <v>0</v>
      </c>
      <c r="N541" s="213">
        <v>0</v>
      </c>
      <c r="O541" s="213">
        <v>0</v>
      </c>
      <c r="P541" s="108">
        <v>0</v>
      </c>
      <c r="Q541" s="108">
        <v>0</v>
      </c>
      <c r="R541" s="108">
        <v>0</v>
      </c>
      <c r="S541" s="108">
        <v>0</v>
      </c>
      <c r="T541" s="108">
        <v>0</v>
      </c>
      <c r="U541" s="108">
        <v>0</v>
      </c>
      <c r="V541" s="108">
        <v>0</v>
      </c>
      <c r="W541" s="108">
        <v>0</v>
      </c>
    </row>
    <row r="542" spans="1:23">
      <c r="A542" s="103">
        <v>45033</v>
      </c>
      <c r="B542" s="104" t="s">
        <v>32</v>
      </c>
      <c r="C542" s="145">
        <v>0</v>
      </c>
      <c r="D542" s="145"/>
      <c r="E542" s="104">
        <v>0</v>
      </c>
      <c r="F542" s="106">
        <v>0</v>
      </c>
      <c r="G542" s="107">
        <v>0</v>
      </c>
      <c r="H542" s="106">
        <v>0</v>
      </c>
      <c r="I542" s="106"/>
      <c r="J542" s="106"/>
      <c r="K542" s="106"/>
      <c r="L542" s="213">
        <v>0</v>
      </c>
      <c r="M542" s="213">
        <v>0</v>
      </c>
      <c r="N542" s="213">
        <v>0</v>
      </c>
      <c r="O542" s="213">
        <v>0</v>
      </c>
      <c r="P542" s="108">
        <v>0</v>
      </c>
      <c r="Q542" s="108">
        <v>0</v>
      </c>
      <c r="R542" s="108">
        <v>0</v>
      </c>
      <c r="S542" s="108">
        <v>0</v>
      </c>
      <c r="T542" s="108">
        <v>0</v>
      </c>
      <c r="U542" s="108">
        <v>0</v>
      </c>
      <c r="V542" s="108">
        <v>0</v>
      </c>
      <c r="W542" s="108">
        <v>0</v>
      </c>
    </row>
    <row r="543" spans="1:23">
      <c r="A543" s="103">
        <v>45033</v>
      </c>
      <c r="B543" s="104" t="s">
        <v>33</v>
      </c>
      <c r="C543" s="145">
        <v>0</v>
      </c>
      <c r="D543" s="145"/>
      <c r="E543" s="104">
        <v>0</v>
      </c>
      <c r="F543" s="106">
        <v>0</v>
      </c>
      <c r="G543" s="107">
        <v>0</v>
      </c>
      <c r="H543" s="106">
        <v>0</v>
      </c>
      <c r="I543" s="106"/>
      <c r="J543" s="106"/>
      <c r="K543" s="106"/>
      <c r="L543" s="213">
        <v>0</v>
      </c>
      <c r="M543" s="213">
        <v>0</v>
      </c>
      <c r="N543" s="213">
        <v>0</v>
      </c>
      <c r="O543" s="213">
        <v>0</v>
      </c>
      <c r="P543" s="108">
        <v>0</v>
      </c>
      <c r="Q543" s="108">
        <v>0</v>
      </c>
      <c r="R543" s="108">
        <v>0</v>
      </c>
      <c r="S543" s="108">
        <v>0</v>
      </c>
      <c r="T543" s="108">
        <v>0</v>
      </c>
      <c r="U543" s="108">
        <v>0</v>
      </c>
      <c r="V543" s="108">
        <v>0</v>
      </c>
      <c r="W543" s="108">
        <v>0</v>
      </c>
    </row>
    <row r="544" spans="1:23">
      <c r="A544" s="103">
        <v>45033</v>
      </c>
      <c r="B544" s="104" t="s">
        <v>34</v>
      </c>
      <c r="C544" s="145">
        <v>0</v>
      </c>
      <c r="D544" s="145"/>
      <c r="E544" s="104">
        <v>0</v>
      </c>
      <c r="F544" s="106">
        <v>0</v>
      </c>
      <c r="G544" s="107">
        <v>0</v>
      </c>
      <c r="H544" s="106">
        <v>0</v>
      </c>
      <c r="I544" s="106"/>
      <c r="J544" s="106"/>
      <c r="K544" s="106"/>
      <c r="L544" s="213">
        <v>0</v>
      </c>
      <c r="M544" s="213">
        <v>0</v>
      </c>
      <c r="N544" s="213">
        <v>0</v>
      </c>
      <c r="O544" s="213">
        <v>0</v>
      </c>
      <c r="P544" s="108">
        <v>0</v>
      </c>
      <c r="Q544" s="108">
        <v>0</v>
      </c>
      <c r="R544" s="108">
        <v>0</v>
      </c>
      <c r="S544" s="108">
        <v>0</v>
      </c>
      <c r="T544" s="108">
        <v>0</v>
      </c>
      <c r="U544" s="108">
        <v>0</v>
      </c>
      <c r="V544" s="108">
        <v>0</v>
      </c>
      <c r="W544" s="108">
        <v>0</v>
      </c>
    </row>
    <row r="545" spans="1:23">
      <c r="A545" s="103">
        <v>45033</v>
      </c>
      <c r="B545" s="104" t="s">
        <v>35</v>
      </c>
      <c r="C545" s="145">
        <v>0</v>
      </c>
      <c r="D545" s="145"/>
      <c r="E545" s="104">
        <v>0</v>
      </c>
      <c r="F545" s="106">
        <v>0</v>
      </c>
      <c r="G545" s="107">
        <v>0</v>
      </c>
      <c r="H545" s="106">
        <v>0</v>
      </c>
      <c r="I545" s="106"/>
      <c r="J545" s="106"/>
      <c r="K545" s="106"/>
      <c r="L545" s="213">
        <v>0</v>
      </c>
      <c r="M545" s="213">
        <v>0</v>
      </c>
      <c r="N545" s="213">
        <v>0</v>
      </c>
      <c r="O545" s="213">
        <v>0</v>
      </c>
      <c r="P545" s="108">
        <v>0</v>
      </c>
      <c r="Q545" s="108">
        <v>0</v>
      </c>
      <c r="R545" s="108">
        <v>0</v>
      </c>
      <c r="S545" s="108">
        <v>0</v>
      </c>
      <c r="T545" s="108">
        <v>0</v>
      </c>
      <c r="U545" s="108">
        <v>0</v>
      </c>
      <c r="V545" s="108">
        <v>0</v>
      </c>
      <c r="W545" s="108">
        <v>0</v>
      </c>
    </row>
    <row r="546" spans="1:23">
      <c r="A546" s="103">
        <v>45033</v>
      </c>
      <c r="B546" s="104" t="s">
        <v>36</v>
      </c>
      <c r="C546" s="145">
        <v>0</v>
      </c>
      <c r="D546" s="145"/>
      <c r="E546" s="104">
        <v>0</v>
      </c>
      <c r="F546" s="106">
        <v>0</v>
      </c>
      <c r="G546" s="107">
        <v>0</v>
      </c>
      <c r="H546" s="106">
        <v>0</v>
      </c>
      <c r="I546" s="106"/>
      <c r="J546" s="106"/>
      <c r="K546" s="106"/>
      <c r="L546" s="213">
        <v>0</v>
      </c>
      <c r="M546" s="213">
        <v>0</v>
      </c>
      <c r="N546" s="213">
        <v>0</v>
      </c>
      <c r="O546" s="213">
        <v>0</v>
      </c>
      <c r="P546" s="108">
        <v>0</v>
      </c>
      <c r="Q546" s="108">
        <v>0</v>
      </c>
      <c r="R546" s="108">
        <v>0</v>
      </c>
      <c r="S546" s="108">
        <v>0</v>
      </c>
      <c r="T546" s="108">
        <v>0</v>
      </c>
      <c r="U546" s="108">
        <v>0</v>
      </c>
      <c r="V546" s="108">
        <v>0</v>
      </c>
      <c r="W546" s="108">
        <v>0</v>
      </c>
    </row>
    <row r="547" spans="1:23">
      <c r="A547" s="103">
        <v>45033</v>
      </c>
      <c r="B547" s="104" t="s">
        <v>37</v>
      </c>
      <c r="C547" s="145">
        <v>0</v>
      </c>
      <c r="D547" s="145"/>
      <c r="E547" s="104">
        <v>0</v>
      </c>
      <c r="F547" s="106">
        <v>0</v>
      </c>
      <c r="G547" s="107">
        <v>0</v>
      </c>
      <c r="H547" s="106">
        <v>0</v>
      </c>
      <c r="I547" s="106"/>
      <c r="J547" s="106"/>
      <c r="K547" s="106"/>
      <c r="L547" s="213">
        <v>0</v>
      </c>
      <c r="M547" s="213">
        <v>0</v>
      </c>
      <c r="N547" s="213">
        <v>0</v>
      </c>
      <c r="O547" s="213">
        <v>0</v>
      </c>
      <c r="P547" s="108">
        <v>0</v>
      </c>
      <c r="Q547" s="108">
        <v>0</v>
      </c>
      <c r="R547" s="108">
        <v>0</v>
      </c>
      <c r="S547" s="108">
        <v>0</v>
      </c>
      <c r="T547" s="108">
        <v>0</v>
      </c>
      <c r="U547" s="108">
        <v>0</v>
      </c>
      <c r="V547" s="108">
        <v>0</v>
      </c>
      <c r="W547" s="108">
        <v>0</v>
      </c>
    </row>
    <row r="548" spans="1:23">
      <c r="A548" s="103">
        <v>45033</v>
      </c>
      <c r="B548" s="104" t="s">
        <v>38</v>
      </c>
      <c r="C548" s="145">
        <v>0</v>
      </c>
      <c r="D548" s="145"/>
      <c r="E548" s="104">
        <v>0</v>
      </c>
      <c r="F548" s="106">
        <v>0</v>
      </c>
      <c r="G548" s="107">
        <v>0</v>
      </c>
      <c r="H548" s="106">
        <v>0</v>
      </c>
      <c r="I548" s="106"/>
      <c r="J548" s="106"/>
      <c r="K548" s="106"/>
      <c r="L548" s="213">
        <v>0</v>
      </c>
      <c r="M548" s="213">
        <v>0</v>
      </c>
      <c r="N548" s="213">
        <v>0</v>
      </c>
      <c r="O548" s="213">
        <v>0</v>
      </c>
      <c r="P548" s="108">
        <v>0</v>
      </c>
      <c r="Q548" s="108">
        <v>0</v>
      </c>
      <c r="R548" s="108">
        <v>0</v>
      </c>
      <c r="S548" s="108">
        <v>0</v>
      </c>
      <c r="T548" s="108">
        <v>0</v>
      </c>
      <c r="U548" s="108">
        <v>0</v>
      </c>
      <c r="V548" s="108">
        <v>0</v>
      </c>
      <c r="W548" s="108">
        <v>0</v>
      </c>
    </row>
    <row r="549" spans="1:23">
      <c r="A549" s="103">
        <v>45033</v>
      </c>
      <c r="B549" s="111" t="s">
        <v>39</v>
      </c>
      <c r="C549" s="112">
        <v>24478</v>
      </c>
      <c r="D549" s="112"/>
      <c r="E549" s="112">
        <v>291</v>
      </c>
      <c r="F549" s="113">
        <v>0.0118882261622682</v>
      </c>
      <c r="G549" s="112">
        <v>94</v>
      </c>
      <c r="H549" s="113">
        <v>0.323024054982818</v>
      </c>
      <c r="I549" s="113"/>
      <c r="J549" s="113"/>
      <c r="K549" s="113"/>
      <c r="L549" s="213"/>
      <c r="M549" s="213"/>
      <c r="N549" s="213"/>
      <c r="O549" s="213"/>
      <c r="P549" s="108"/>
      <c r="Q549" s="108"/>
      <c r="R549" s="108"/>
      <c r="S549" s="108"/>
      <c r="T549" s="108"/>
      <c r="U549" s="108"/>
      <c r="V549" s="108"/>
      <c r="W549" s="108"/>
    </row>
    <row r="550" spans="1:23">
      <c r="A550" s="103">
        <v>45034</v>
      </c>
      <c r="B550" s="104" t="s">
        <v>17</v>
      </c>
      <c r="C550" s="105">
        <v>716</v>
      </c>
      <c r="D550" s="105"/>
      <c r="E550" s="104">
        <v>27</v>
      </c>
      <c r="F550" s="106">
        <v>0.0377094972067039</v>
      </c>
      <c r="G550" s="107">
        <v>6</v>
      </c>
      <c r="H550" s="106">
        <v>0.222222222222222</v>
      </c>
      <c r="I550" s="106"/>
      <c r="J550" s="106"/>
      <c r="K550" s="106"/>
      <c r="L550" s="213">
        <v>-20</v>
      </c>
      <c r="M550" s="213">
        <v>179.333333333333</v>
      </c>
      <c r="N550" s="213">
        <v>316</v>
      </c>
      <c r="O550" s="213">
        <v>364</v>
      </c>
      <c r="P550" s="108">
        <v>2</v>
      </c>
      <c r="Q550" s="108">
        <v>-1</v>
      </c>
      <c r="R550" s="108">
        <v>-1.4</v>
      </c>
      <c r="S550" s="108">
        <v>-2.28571428571428</v>
      </c>
      <c r="T550" s="108">
        <v>-2</v>
      </c>
      <c r="U550" s="108">
        <v>-1.33333333333333</v>
      </c>
      <c r="V550" s="108">
        <v>-0.4</v>
      </c>
      <c r="W550" s="108">
        <v>-0.428571428571429</v>
      </c>
    </row>
    <row r="551" spans="1:23">
      <c r="A551" s="103">
        <v>45034</v>
      </c>
      <c r="B551" s="104" t="s">
        <v>19</v>
      </c>
      <c r="C551" s="107">
        <v>1418</v>
      </c>
      <c r="D551" s="107"/>
      <c r="E551" s="104">
        <v>24</v>
      </c>
      <c r="F551" s="106">
        <v>0.0169252468265162</v>
      </c>
      <c r="G551" s="107">
        <v>11</v>
      </c>
      <c r="H551" s="106">
        <v>0.458333333333333</v>
      </c>
      <c r="I551" s="106"/>
      <c r="J551" s="106"/>
      <c r="K551" s="106"/>
      <c r="L551" s="213">
        <v>126</v>
      </c>
      <c r="M551" s="213">
        <v>-9.33333333333326</v>
      </c>
      <c r="N551" s="213">
        <v>164.4</v>
      </c>
      <c r="O551" s="213">
        <v>303.142857142857</v>
      </c>
      <c r="P551" s="108">
        <v>-1</v>
      </c>
      <c r="Q551" s="108">
        <v>-9.66666666666666</v>
      </c>
      <c r="R551" s="108">
        <v>-4.6</v>
      </c>
      <c r="S551" s="108">
        <v>-1.28571428571428</v>
      </c>
      <c r="T551" s="108">
        <v>0</v>
      </c>
      <c r="U551" s="108">
        <v>-1</v>
      </c>
      <c r="V551" s="108">
        <v>0.800000000000001</v>
      </c>
      <c r="W551" s="115">
        <v>0.571428571428571</v>
      </c>
    </row>
    <row r="552" spans="1:23">
      <c r="A552" s="103">
        <v>45034</v>
      </c>
      <c r="B552" s="104" t="s">
        <v>21</v>
      </c>
      <c r="C552" s="145">
        <v>538</v>
      </c>
      <c r="D552" s="145"/>
      <c r="E552" s="104">
        <v>33</v>
      </c>
      <c r="F552" s="106">
        <v>0.0613382899628253</v>
      </c>
      <c r="G552" s="107">
        <v>14</v>
      </c>
      <c r="H552" s="106">
        <v>0.424242424242424</v>
      </c>
      <c r="I552" s="106"/>
      <c r="J552" s="106"/>
      <c r="K552" s="106"/>
      <c r="L552" s="213">
        <v>-55</v>
      </c>
      <c r="M552" s="213">
        <v>29.6666666666667</v>
      </c>
      <c r="N552" s="213">
        <v>77.8</v>
      </c>
      <c r="O552" s="213">
        <v>86.5714285714286</v>
      </c>
      <c r="P552" s="108">
        <v>0</v>
      </c>
      <c r="Q552" s="108">
        <v>7.33333333333333</v>
      </c>
      <c r="R552" s="108">
        <v>6.6</v>
      </c>
      <c r="S552" s="108">
        <v>7</v>
      </c>
      <c r="T552" s="108">
        <v>3</v>
      </c>
      <c r="U552" s="108">
        <v>4.66666666666667</v>
      </c>
      <c r="V552" s="108">
        <v>5</v>
      </c>
      <c r="W552" s="108">
        <v>5.14285714285714</v>
      </c>
    </row>
    <row r="553" spans="1:23">
      <c r="A553" s="103">
        <v>45034</v>
      </c>
      <c r="B553" s="104" t="s">
        <v>22</v>
      </c>
      <c r="C553" s="145">
        <v>3729</v>
      </c>
      <c r="D553" s="145"/>
      <c r="E553" s="104">
        <v>73</v>
      </c>
      <c r="F553" s="106">
        <v>0.0195762939125771</v>
      </c>
      <c r="G553" s="107">
        <v>22</v>
      </c>
      <c r="H553" s="106">
        <v>0.301369863013699</v>
      </c>
      <c r="I553" s="106"/>
      <c r="J553" s="106"/>
      <c r="K553" s="106"/>
      <c r="L553" s="213">
        <v>-334</v>
      </c>
      <c r="M553" s="213">
        <v>-584.333333333333</v>
      </c>
      <c r="N553" s="213">
        <v>-535.2</v>
      </c>
      <c r="O553" s="213">
        <v>-522.571428571428</v>
      </c>
      <c r="P553" s="108">
        <v>-12</v>
      </c>
      <c r="Q553" s="108">
        <v>-25.6666666666667</v>
      </c>
      <c r="R553" s="108">
        <v>-23.2</v>
      </c>
      <c r="S553" s="115">
        <v>-20.4285714285714</v>
      </c>
      <c r="T553" s="108">
        <v>-8</v>
      </c>
      <c r="U553" s="108">
        <v>-13.3333333333333</v>
      </c>
      <c r="V553" s="108">
        <v>-13.8</v>
      </c>
      <c r="W553" s="117">
        <v>-12.5714285714286</v>
      </c>
    </row>
    <row r="554" spans="1:23">
      <c r="A554" s="103">
        <v>45034</v>
      </c>
      <c r="B554" s="104" t="s">
        <v>23</v>
      </c>
      <c r="C554" s="145">
        <v>2568</v>
      </c>
      <c r="D554" s="145"/>
      <c r="E554" s="104">
        <v>19</v>
      </c>
      <c r="F554" s="106">
        <v>0.007398753894081</v>
      </c>
      <c r="G554" s="107">
        <v>2</v>
      </c>
      <c r="H554" s="106">
        <v>0.105263157894737</v>
      </c>
      <c r="I554" s="106"/>
      <c r="J554" s="106"/>
      <c r="K554" s="106"/>
      <c r="L554" s="213">
        <v>-16</v>
      </c>
      <c r="M554" s="213">
        <v>-103.666666666667</v>
      </c>
      <c r="N554" s="213">
        <v>-29.8000000000002</v>
      </c>
      <c r="O554" s="213">
        <v>15.2857142857142</v>
      </c>
      <c r="P554" s="108">
        <v>-16</v>
      </c>
      <c r="Q554" s="108">
        <v>-10.6666666666667</v>
      </c>
      <c r="R554" s="108">
        <v>-9.6</v>
      </c>
      <c r="S554" s="108">
        <v>-11.2857142857143</v>
      </c>
      <c r="T554" s="108">
        <v>-11</v>
      </c>
      <c r="U554" s="116">
        <v>-10.6666666666667</v>
      </c>
      <c r="V554" s="108">
        <v>-8.6</v>
      </c>
      <c r="W554" s="108">
        <v>-9.28571428571429</v>
      </c>
    </row>
    <row r="555" spans="1:23">
      <c r="A555" s="103">
        <v>45034</v>
      </c>
      <c r="B555" s="104" t="s">
        <v>24</v>
      </c>
      <c r="C555" s="145">
        <v>702</v>
      </c>
      <c r="D555" s="145"/>
      <c r="E555" s="104">
        <v>2</v>
      </c>
      <c r="F555" s="106">
        <v>0.00284900284900285</v>
      </c>
      <c r="G555" s="107">
        <v>1</v>
      </c>
      <c r="H555" s="106">
        <v>0.5</v>
      </c>
      <c r="I555" s="106"/>
      <c r="J555" s="106"/>
      <c r="K555" s="106"/>
      <c r="L555" s="213">
        <v>216</v>
      </c>
      <c r="M555" s="213">
        <v>258.333333333333</v>
      </c>
      <c r="N555" s="213">
        <v>285.6</v>
      </c>
      <c r="O555" s="213">
        <v>282.285714285714</v>
      </c>
      <c r="P555" s="115">
        <v>-9</v>
      </c>
      <c r="Q555" s="115">
        <v>-3.33333333333333</v>
      </c>
      <c r="R555" s="117">
        <v>-3.6</v>
      </c>
      <c r="S555" s="117">
        <v>-4.14285714285714</v>
      </c>
      <c r="T555" s="115">
        <v>-2</v>
      </c>
      <c r="U555" s="115">
        <v>-2</v>
      </c>
      <c r="V555" s="115">
        <v>-1.4</v>
      </c>
      <c r="W555" s="115">
        <v>-1</v>
      </c>
    </row>
    <row r="556" spans="1:23">
      <c r="A556" s="103">
        <v>45034</v>
      </c>
      <c r="B556" s="104" t="s">
        <v>25</v>
      </c>
      <c r="C556" s="145">
        <v>11612</v>
      </c>
      <c r="D556" s="145"/>
      <c r="E556" s="104">
        <v>38</v>
      </c>
      <c r="F556" s="106">
        <v>0.00327247674819153</v>
      </c>
      <c r="G556" s="107">
        <v>12</v>
      </c>
      <c r="H556" s="106">
        <v>0.315789473684211</v>
      </c>
      <c r="I556" s="106"/>
      <c r="J556" s="106"/>
      <c r="K556" s="106"/>
      <c r="L556" s="213">
        <v>-778</v>
      </c>
      <c r="M556" s="213">
        <v>-340.666666666666</v>
      </c>
      <c r="N556" s="213">
        <v>596.4</v>
      </c>
      <c r="O556" s="213">
        <v>2058.57142857143</v>
      </c>
      <c r="P556" s="116">
        <v>-1</v>
      </c>
      <c r="Q556" s="115">
        <v>-2.33333333333334</v>
      </c>
      <c r="R556" s="115">
        <v>0</v>
      </c>
      <c r="S556" s="115">
        <v>0.857142857142854</v>
      </c>
      <c r="T556" s="108">
        <v>6</v>
      </c>
      <c r="U556" s="108">
        <v>-2.33333333333333</v>
      </c>
      <c r="V556" s="108">
        <v>-1.6</v>
      </c>
      <c r="W556" s="108">
        <v>-1.71428571428571</v>
      </c>
    </row>
    <row r="557" spans="1:23">
      <c r="A557" s="103">
        <v>45034</v>
      </c>
      <c r="B557" s="104" t="s">
        <v>26</v>
      </c>
      <c r="C557" s="145">
        <v>1832</v>
      </c>
      <c r="D557" s="145"/>
      <c r="E557" s="104">
        <v>19</v>
      </c>
      <c r="F557" s="106">
        <v>0.0103711790393013</v>
      </c>
      <c r="G557" s="107">
        <v>4</v>
      </c>
      <c r="H557" s="106">
        <v>0.210526315789474</v>
      </c>
      <c r="I557" s="106"/>
      <c r="J557" s="106"/>
      <c r="K557" s="106"/>
      <c r="L557" s="213">
        <v>-210</v>
      </c>
      <c r="M557" s="213">
        <v>-860.666666666667</v>
      </c>
      <c r="N557" s="213">
        <v>-2108.4</v>
      </c>
      <c r="O557" s="213">
        <v>-2017.14285714286</v>
      </c>
      <c r="P557" s="108">
        <v>-11</v>
      </c>
      <c r="Q557" s="108">
        <v>-10.3333333333333</v>
      </c>
      <c r="R557" s="108">
        <v>-11.2</v>
      </c>
      <c r="S557" s="108">
        <v>-15.7142857142857</v>
      </c>
      <c r="T557" s="108">
        <v>-5</v>
      </c>
      <c r="U557" s="108">
        <v>-7.66666666666667</v>
      </c>
      <c r="V557" s="108">
        <v>-8</v>
      </c>
      <c r="W557" s="108">
        <v>-8.57142857142857</v>
      </c>
    </row>
    <row r="558" spans="1:23">
      <c r="A558" s="103">
        <v>45034</v>
      </c>
      <c r="B558" s="104" t="s">
        <v>27</v>
      </c>
      <c r="C558" s="145">
        <v>294</v>
      </c>
      <c r="D558" s="145"/>
      <c r="E558" s="104">
        <v>4</v>
      </c>
      <c r="F558" s="106">
        <v>0.0136054421768707</v>
      </c>
      <c r="G558" s="107">
        <v>0</v>
      </c>
      <c r="H558" s="106">
        <v>0</v>
      </c>
      <c r="I558" s="106"/>
      <c r="J558" s="106"/>
      <c r="K558" s="106"/>
      <c r="L558" s="213">
        <v>2</v>
      </c>
      <c r="M558" s="213">
        <v>-4</v>
      </c>
      <c r="N558" s="213">
        <v>-28.4</v>
      </c>
      <c r="O558" s="213">
        <v>2.42857142857144</v>
      </c>
      <c r="P558" s="108">
        <v>-4</v>
      </c>
      <c r="Q558" s="108">
        <v>-0.333333333333333</v>
      </c>
      <c r="R558" s="108">
        <v>-1</v>
      </c>
      <c r="S558" s="108">
        <v>-0.428571428571429</v>
      </c>
      <c r="T558" s="108">
        <v>-3</v>
      </c>
      <c r="U558" s="108">
        <v>-1.66666666666667</v>
      </c>
      <c r="V558" s="108">
        <v>-1.2</v>
      </c>
      <c r="W558" s="108">
        <v>-1.14285714285714</v>
      </c>
    </row>
    <row r="559" spans="1:23">
      <c r="A559" s="103">
        <v>45034</v>
      </c>
      <c r="B559" s="104" t="s">
        <v>28</v>
      </c>
      <c r="C559" s="145">
        <v>0</v>
      </c>
      <c r="D559" s="145"/>
      <c r="E559" s="104">
        <v>0</v>
      </c>
      <c r="F559" s="106">
        <v>0</v>
      </c>
      <c r="G559" s="107">
        <v>1</v>
      </c>
      <c r="H559" s="106">
        <v>1</v>
      </c>
      <c r="I559" s="106"/>
      <c r="J559" s="106"/>
      <c r="K559" s="106"/>
      <c r="L559" s="213">
        <v>0</v>
      </c>
      <c r="M559" s="213">
        <v>0</v>
      </c>
      <c r="N559" s="213">
        <v>0</v>
      </c>
      <c r="O559" s="213">
        <v>0</v>
      </c>
      <c r="P559" s="108">
        <v>0</v>
      </c>
      <c r="Q559" s="108">
        <v>0</v>
      </c>
      <c r="R559" s="108">
        <v>0</v>
      </c>
      <c r="S559" s="108">
        <v>-0.285714285714286</v>
      </c>
      <c r="T559" s="108">
        <v>1</v>
      </c>
      <c r="U559" s="108">
        <v>1</v>
      </c>
      <c r="V559" s="108">
        <v>1</v>
      </c>
      <c r="W559" s="108">
        <v>0.857142857142857</v>
      </c>
    </row>
    <row r="560" spans="1:23">
      <c r="A560" s="103">
        <v>45034</v>
      </c>
      <c r="B560" s="104" t="s">
        <v>29</v>
      </c>
      <c r="C560" s="145">
        <v>0</v>
      </c>
      <c r="D560" s="145"/>
      <c r="E560" s="104">
        <v>0</v>
      </c>
      <c r="F560" s="106">
        <v>0</v>
      </c>
      <c r="G560" s="107">
        <v>0</v>
      </c>
      <c r="H560" s="106">
        <v>0</v>
      </c>
      <c r="I560" s="106"/>
      <c r="J560" s="106"/>
      <c r="K560" s="106"/>
      <c r="L560" s="213">
        <v>0</v>
      </c>
      <c r="M560" s="213">
        <v>0</v>
      </c>
      <c r="N560" s="213">
        <v>-0.4</v>
      </c>
      <c r="O560" s="213">
        <v>-0.857142857142857</v>
      </c>
      <c r="P560" s="108">
        <v>0</v>
      </c>
      <c r="Q560" s="108">
        <v>0</v>
      </c>
      <c r="R560" s="108">
        <v>-0.2</v>
      </c>
      <c r="S560" s="108">
        <v>-0.285714285714286</v>
      </c>
      <c r="T560" s="108">
        <v>0</v>
      </c>
      <c r="U560" s="108">
        <v>0</v>
      </c>
      <c r="V560" s="108">
        <v>0</v>
      </c>
      <c r="W560" s="108">
        <v>0</v>
      </c>
    </row>
    <row r="561" spans="1:23">
      <c r="A561" s="103">
        <v>45034</v>
      </c>
      <c r="B561" s="104" t="s">
        <v>30</v>
      </c>
      <c r="C561" s="145">
        <v>0</v>
      </c>
      <c r="D561" s="145"/>
      <c r="E561" s="104">
        <v>0</v>
      </c>
      <c r="F561" s="106">
        <v>0</v>
      </c>
      <c r="G561" s="107">
        <v>0</v>
      </c>
      <c r="H561" s="106">
        <v>0</v>
      </c>
      <c r="I561" s="106"/>
      <c r="J561" s="106"/>
      <c r="K561" s="106"/>
      <c r="L561" s="213">
        <v>0</v>
      </c>
      <c r="M561" s="213">
        <v>0</v>
      </c>
      <c r="N561" s="213">
        <v>0</v>
      </c>
      <c r="O561" s="213">
        <v>0</v>
      </c>
      <c r="P561" s="108">
        <v>0</v>
      </c>
      <c r="Q561" s="108">
        <v>0</v>
      </c>
      <c r="R561" s="108">
        <v>0</v>
      </c>
      <c r="S561" s="108">
        <v>0</v>
      </c>
      <c r="T561" s="108">
        <v>0</v>
      </c>
      <c r="U561" s="108">
        <v>0</v>
      </c>
      <c r="V561" s="108">
        <v>0</v>
      </c>
      <c r="W561" s="108">
        <v>0</v>
      </c>
    </row>
    <row r="562" spans="1:23">
      <c r="A562" s="103">
        <v>45034</v>
      </c>
      <c r="B562" s="104" t="s">
        <v>31</v>
      </c>
      <c r="C562" s="145">
        <v>0</v>
      </c>
      <c r="D562" s="145"/>
      <c r="E562" s="104">
        <v>1</v>
      </c>
      <c r="F562" s="106">
        <v>1</v>
      </c>
      <c r="G562" s="107">
        <v>1</v>
      </c>
      <c r="H562" s="106">
        <v>1</v>
      </c>
      <c r="I562" s="106"/>
      <c r="J562" s="106"/>
      <c r="K562" s="106"/>
      <c r="L562" s="213">
        <v>0</v>
      </c>
      <c r="M562" s="213">
        <v>0</v>
      </c>
      <c r="N562" s="213">
        <v>0</v>
      </c>
      <c r="O562" s="213">
        <v>0</v>
      </c>
      <c r="P562" s="108">
        <v>1</v>
      </c>
      <c r="Q562" s="108">
        <v>1</v>
      </c>
      <c r="R562" s="108">
        <v>1</v>
      </c>
      <c r="S562" s="108">
        <v>1</v>
      </c>
      <c r="T562" s="108">
        <v>1</v>
      </c>
      <c r="U562" s="108">
        <v>1</v>
      </c>
      <c r="V562" s="108">
        <v>1</v>
      </c>
      <c r="W562" s="108">
        <v>1</v>
      </c>
    </row>
    <row r="563" spans="1:23">
      <c r="A563" s="103">
        <v>45034</v>
      </c>
      <c r="B563" s="104" t="s">
        <v>32</v>
      </c>
      <c r="C563" s="145">
        <v>0</v>
      </c>
      <c r="D563" s="145"/>
      <c r="E563" s="104">
        <v>0</v>
      </c>
      <c r="F563" s="106">
        <v>0</v>
      </c>
      <c r="G563" s="107">
        <v>0</v>
      </c>
      <c r="H563" s="106">
        <v>0</v>
      </c>
      <c r="I563" s="106"/>
      <c r="J563" s="106"/>
      <c r="K563" s="106"/>
      <c r="L563" s="213">
        <v>0</v>
      </c>
      <c r="M563" s="213">
        <v>0</v>
      </c>
      <c r="N563" s="213">
        <v>0</v>
      </c>
      <c r="O563" s="213">
        <v>0</v>
      </c>
      <c r="P563" s="108">
        <v>0</v>
      </c>
      <c r="Q563" s="108">
        <v>0</v>
      </c>
      <c r="R563" s="108">
        <v>0</v>
      </c>
      <c r="S563" s="108">
        <v>0</v>
      </c>
      <c r="T563" s="108">
        <v>0</v>
      </c>
      <c r="U563" s="108">
        <v>0</v>
      </c>
      <c r="V563" s="108">
        <v>0</v>
      </c>
      <c r="W563" s="108">
        <v>0</v>
      </c>
    </row>
    <row r="564" spans="1:23">
      <c r="A564" s="103">
        <v>45034</v>
      </c>
      <c r="B564" s="104" t="s">
        <v>33</v>
      </c>
      <c r="C564" s="145">
        <v>0</v>
      </c>
      <c r="D564" s="145"/>
      <c r="E564" s="104">
        <v>0</v>
      </c>
      <c r="F564" s="106">
        <v>0</v>
      </c>
      <c r="G564" s="107">
        <v>0</v>
      </c>
      <c r="H564" s="106">
        <v>0</v>
      </c>
      <c r="I564" s="106"/>
      <c r="J564" s="106"/>
      <c r="K564" s="106"/>
      <c r="L564" s="213">
        <v>0</v>
      </c>
      <c r="M564" s="213">
        <v>0</v>
      </c>
      <c r="N564" s="213">
        <v>0</v>
      </c>
      <c r="O564" s="213">
        <v>0</v>
      </c>
      <c r="P564" s="108">
        <v>0</v>
      </c>
      <c r="Q564" s="108">
        <v>0</v>
      </c>
      <c r="R564" s="108">
        <v>0</v>
      </c>
      <c r="S564" s="108">
        <v>0</v>
      </c>
      <c r="T564" s="108">
        <v>0</v>
      </c>
      <c r="U564" s="108">
        <v>0</v>
      </c>
      <c r="V564" s="108">
        <v>0</v>
      </c>
      <c r="W564" s="108">
        <v>0</v>
      </c>
    </row>
    <row r="565" spans="1:23">
      <c r="A565" s="103">
        <v>45034</v>
      </c>
      <c r="B565" s="104" t="s">
        <v>34</v>
      </c>
      <c r="C565" s="145">
        <v>0</v>
      </c>
      <c r="D565" s="145"/>
      <c r="E565" s="104">
        <v>0</v>
      </c>
      <c r="F565" s="106">
        <v>0</v>
      </c>
      <c r="G565" s="107">
        <v>0</v>
      </c>
      <c r="H565" s="106">
        <v>0</v>
      </c>
      <c r="I565" s="106"/>
      <c r="J565" s="106"/>
      <c r="K565" s="106"/>
      <c r="L565" s="213">
        <v>0</v>
      </c>
      <c r="M565" s="213">
        <v>0</v>
      </c>
      <c r="N565" s="213">
        <v>0</v>
      </c>
      <c r="O565" s="213">
        <v>0</v>
      </c>
      <c r="P565" s="108">
        <v>0</v>
      </c>
      <c r="Q565" s="108">
        <v>0</v>
      </c>
      <c r="R565" s="108">
        <v>0</v>
      </c>
      <c r="S565" s="108">
        <v>0</v>
      </c>
      <c r="T565" s="108">
        <v>0</v>
      </c>
      <c r="U565" s="108">
        <v>0</v>
      </c>
      <c r="V565" s="108">
        <v>0</v>
      </c>
      <c r="W565" s="108">
        <v>0</v>
      </c>
    </row>
    <row r="566" spans="1:23">
      <c r="A566" s="103">
        <v>45034</v>
      </c>
      <c r="B566" s="104" t="s">
        <v>35</v>
      </c>
      <c r="C566" s="145">
        <v>0</v>
      </c>
      <c r="D566" s="145"/>
      <c r="E566" s="104">
        <v>0</v>
      </c>
      <c r="F566" s="106">
        <v>0</v>
      </c>
      <c r="G566" s="107">
        <v>0</v>
      </c>
      <c r="H566" s="106">
        <v>0</v>
      </c>
      <c r="I566" s="106"/>
      <c r="J566" s="106"/>
      <c r="K566" s="106"/>
      <c r="L566" s="213">
        <v>0</v>
      </c>
      <c r="M566" s="213">
        <v>0</v>
      </c>
      <c r="N566" s="213">
        <v>0</v>
      </c>
      <c r="O566" s="213">
        <v>0</v>
      </c>
      <c r="P566" s="108">
        <v>0</v>
      </c>
      <c r="Q566" s="108">
        <v>0</v>
      </c>
      <c r="R566" s="108">
        <v>0</v>
      </c>
      <c r="S566" s="108">
        <v>0</v>
      </c>
      <c r="T566" s="108">
        <v>0</v>
      </c>
      <c r="U566" s="108">
        <v>0</v>
      </c>
      <c r="V566" s="108">
        <v>0</v>
      </c>
      <c r="W566" s="108">
        <v>0</v>
      </c>
    </row>
    <row r="567" spans="1:23">
      <c r="A567" s="103">
        <v>45034</v>
      </c>
      <c r="B567" s="104" t="s">
        <v>36</v>
      </c>
      <c r="C567" s="145">
        <v>0</v>
      </c>
      <c r="D567" s="145"/>
      <c r="E567" s="104">
        <v>0</v>
      </c>
      <c r="F567" s="106">
        <v>0</v>
      </c>
      <c r="G567" s="107">
        <v>0</v>
      </c>
      <c r="H567" s="106">
        <v>0</v>
      </c>
      <c r="I567" s="106"/>
      <c r="J567" s="106"/>
      <c r="K567" s="106"/>
      <c r="L567" s="213">
        <v>0</v>
      </c>
      <c r="M567" s="213">
        <v>0</v>
      </c>
      <c r="N567" s="213">
        <v>0</v>
      </c>
      <c r="O567" s="213">
        <v>0</v>
      </c>
      <c r="P567" s="108">
        <v>0</v>
      </c>
      <c r="Q567" s="108">
        <v>0</v>
      </c>
      <c r="R567" s="108">
        <v>0</v>
      </c>
      <c r="S567" s="108">
        <v>0</v>
      </c>
      <c r="T567" s="108">
        <v>0</v>
      </c>
      <c r="U567" s="108">
        <v>0</v>
      </c>
      <c r="V567" s="108">
        <v>0</v>
      </c>
      <c r="W567" s="108">
        <v>0</v>
      </c>
    </row>
    <row r="568" spans="1:23">
      <c r="A568" s="103">
        <v>45034</v>
      </c>
      <c r="B568" s="104" t="s">
        <v>37</v>
      </c>
      <c r="C568" s="145">
        <v>0</v>
      </c>
      <c r="D568" s="145"/>
      <c r="E568" s="104">
        <v>0</v>
      </c>
      <c r="F568" s="106">
        <v>0</v>
      </c>
      <c r="G568" s="107">
        <v>0</v>
      </c>
      <c r="H568" s="106">
        <v>0</v>
      </c>
      <c r="I568" s="106"/>
      <c r="J568" s="106"/>
      <c r="K568" s="106"/>
      <c r="L568" s="213">
        <v>0</v>
      </c>
      <c r="M568" s="213">
        <v>0</v>
      </c>
      <c r="N568" s="213">
        <v>0</v>
      </c>
      <c r="O568" s="213">
        <v>0</v>
      </c>
      <c r="P568" s="108">
        <v>0</v>
      </c>
      <c r="Q568" s="108">
        <v>0</v>
      </c>
      <c r="R568" s="108">
        <v>0</v>
      </c>
      <c r="S568" s="108">
        <v>0</v>
      </c>
      <c r="T568" s="108">
        <v>0</v>
      </c>
      <c r="U568" s="108">
        <v>0</v>
      </c>
      <c r="V568" s="108">
        <v>0</v>
      </c>
      <c r="W568" s="108">
        <v>0</v>
      </c>
    </row>
    <row r="569" spans="1:23">
      <c r="A569" s="103">
        <v>45034</v>
      </c>
      <c r="B569" s="104" t="s">
        <v>38</v>
      </c>
      <c r="C569" s="145">
        <v>0</v>
      </c>
      <c r="D569" s="145"/>
      <c r="E569" s="104">
        <v>0</v>
      </c>
      <c r="F569" s="106">
        <v>0</v>
      </c>
      <c r="G569" s="107">
        <v>0</v>
      </c>
      <c r="H569" s="106">
        <v>0</v>
      </c>
      <c r="I569" s="106"/>
      <c r="J569" s="106"/>
      <c r="K569" s="106"/>
      <c r="L569" s="213">
        <v>0</v>
      </c>
      <c r="M569" s="213">
        <v>0</v>
      </c>
      <c r="N569" s="213">
        <v>0</v>
      </c>
      <c r="O569" s="213">
        <v>0</v>
      </c>
      <c r="P569" s="108">
        <v>0</v>
      </c>
      <c r="Q569" s="108">
        <v>0</v>
      </c>
      <c r="R569" s="108">
        <v>0</v>
      </c>
      <c r="S569" s="108">
        <v>0</v>
      </c>
      <c r="T569" s="108">
        <v>0</v>
      </c>
      <c r="U569" s="108">
        <v>0</v>
      </c>
      <c r="V569" s="108">
        <v>0</v>
      </c>
      <c r="W569" s="108">
        <v>0</v>
      </c>
    </row>
    <row r="570" spans="1:23">
      <c r="A570" s="103">
        <v>45034</v>
      </c>
      <c r="B570" s="111" t="s">
        <v>39</v>
      </c>
      <c r="C570" s="112">
        <v>23409</v>
      </c>
      <c r="D570" s="112"/>
      <c r="E570" s="112">
        <v>240</v>
      </c>
      <c r="F570" s="113">
        <v>0.0102524669998718</v>
      </c>
      <c r="G570" s="112">
        <v>74</v>
      </c>
      <c r="H570" s="113">
        <v>0.308333333333333</v>
      </c>
      <c r="I570" s="113"/>
      <c r="J570" s="113"/>
      <c r="K570" s="113"/>
      <c r="L570" s="213"/>
      <c r="M570" s="213"/>
      <c r="N570" s="213"/>
      <c r="O570" s="213"/>
      <c r="P570" s="108"/>
      <c r="Q570" s="108"/>
      <c r="R570" s="108"/>
      <c r="S570" s="108"/>
      <c r="T570" s="108"/>
      <c r="U570" s="108"/>
      <c r="V570" s="108"/>
      <c r="W570" s="108"/>
    </row>
    <row r="571" spans="1:23">
      <c r="A571" s="103">
        <v>45035</v>
      </c>
      <c r="B571" s="104" t="s">
        <v>17</v>
      </c>
      <c r="C571" s="105">
        <v>627</v>
      </c>
      <c r="D571" s="105"/>
      <c r="E571" s="104">
        <v>20</v>
      </c>
      <c r="F571" s="106">
        <v>0.0318979266347687</v>
      </c>
      <c r="G571" s="107">
        <v>8</v>
      </c>
      <c r="H571" s="106">
        <v>0.4</v>
      </c>
      <c r="I571" s="106"/>
      <c r="J571" s="106"/>
      <c r="K571" s="106"/>
      <c r="L571" s="213">
        <v>-89</v>
      </c>
      <c r="M571" s="213">
        <v>-89.6666666666666</v>
      </c>
      <c r="N571" s="213">
        <v>130.6</v>
      </c>
      <c r="O571" s="213">
        <v>203.571428571429</v>
      </c>
      <c r="P571" s="108">
        <v>-7</v>
      </c>
      <c r="Q571" s="108">
        <v>-7.33333333333333</v>
      </c>
      <c r="R571" s="108">
        <v>-7.6</v>
      </c>
      <c r="S571" s="108">
        <v>-11</v>
      </c>
      <c r="T571" s="108">
        <v>2</v>
      </c>
      <c r="U571" s="108">
        <v>0.333333333333333</v>
      </c>
      <c r="V571" s="108">
        <v>1.6</v>
      </c>
      <c r="W571" s="108">
        <v>1.14285714285714</v>
      </c>
    </row>
    <row r="572" spans="1:23">
      <c r="A572" s="103">
        <v>45035</v>
      </c>
      <c r="B572" s="104" t="s">
        <v>19</v>
      </c>
      <c r="C572" s="107">
        <v>1856</v>
      </c>
      <c r="D572" s="107"/>
      <c r="E572" s="104">
        <v>38</v>
      </c>
      <c r="F572" s="106">
        <v>0.0204741379310345</v>
      </c>
      <c r="G572" s="107">
        <v>16</v>
      </c>
      <c r="H572" s="106">
        <v>0.421052631578947</v>
      </c>
      <c r="I572" s="106"/>
      <c r="J572" s="106"/>
      <c r="K572" s="106"/>
      <c r="L572" s="213">
        <v>438</v>
      </c>
      <c r="M572" s="213">
        <v>458.666666666667</v>
      </c>
      <c r="N572" s="213">
        <v>502.8</v>
      </c>
      <c r="O572" s="213">
        <v>615.428571428571</v>
      </c>
      <c r="P572" s="108">
        <v>14</v>
      </c>
      <c r="Q572" s="108">
        <v>8.66666666666667</v>
      </c>
      <c r="R572" s="108">
        <v>8.2</v>
      </c>
      <c r="S572" s="108">
        <v>12.1428571428571</v>
      </c>
      <c r="T572" s="108">
        <v>5</v>
      </c>
      <c r="U572" s="108">
        <v>4</v>
      </c>
      <c r="V572" s="108">
        <v>5</v>
      </c>
      <c r="W572" s="115">
        <v>6</v>
      </c>
    </row>
    <row r="573" spans="1:23">
      <c r="A573" s="103">
        <v>45035</v>
      </c>
      <c r="B573" s="104" t="s">
        <v>21</v>
      </c>
      <c r="C573" s="145">
        <v>558</v>
      </c>
      <c r="D573" s="145"/>
      <c r="E573" s="104">
        <v>30</v>
      </c>
      <c r="F573" s="106">
        <v>0.0537634408602151</v>
      </c>
      <c r="G573" s="107">
        <v>7</v>
      </c>
      <c r="H573" s="106">
        <v>0.233333333333333</v>
      </c>
      <c r="I573" s="106"/>
      <c r="J573" s="106"/>
      <c r="K573" s="106"/>
      <c r="L573" s="213">
        <v>20</v>
      </c>
      <c r="M573" s="213">
        <v>9</v>
      </c>
      <c r="N573" s="213">
        <v>64.2</v>
      </c>
      <c r="O573" s="213">
        <v>94.2857142857143</v>
      </c>
      <c r="P573" s="108">
        <v>-3</v>
      </c>
      <c r="Q573" s="108">
        <v>0.333333333333332</v>
      </c>
      <c r="R573" s="108">
        <v>2.4</v>
      </c>
      <c r="S573" s="108">
        <v>3.28571428571428</v>
      </c>
      <c r="T573" s="108">
        <v>-7</v>
      </c>
      <c r="U573" s="108">
        <v>-3.33333333333333</v>
      </c>
      <c r="V573" s="108">
        <v>-3.2</v>
      </c>
      <c r="W573" s="108">
        <v>-2.71428571428571</v>
      </c>
    </row>
    <row r="574" spans="1:23">
      <c r="A574" s="103">
        <v>45035</v>
      </c>
      <c r="B574" s="104" t="s">
        <v>22</v>
      </c>
      <c r="C574" s="145">
        <v>3774</v>
      </c>
      <c r="D574" s="145"/>
      <c r="E574" s="104">
        <v>91</v>
      </c>
      <c r="F574" s="106">
        <v>0.0241123476417594</v>
      </c>
      <c r="G574" s="107">
        <v>35</v>
      </c>
      <c r="H574" s="106">
        <v>0.384615384615385</v>
      </c>
      <c r="I574" s="106"/>
      <c r="J574" s="106"/>
      <c r="K574" s="106"/>
      <c r="L574" s="213">
        <v>45</v>
      </c>
      <c r="M574" s="213">
        <v>-304</v>
      </c>
      <c r="N574" s="213">
        <v>-409</v>
      </c>
      <c r="O574" s="213">
        <v>-406</v>
      </c>
      <c r="P574" s="108">
        <v>18</v>
      </c>
      <c r="Q574" s="108">
        <v>3.33333333333333</v>
      </c>
      <c r="R574" s="108">
        <v>-1.2</v>
      </c>
      <c r="S574" s="115">
        <v>1</v>
      </c>
      <c r="T574" s="108">
        <v>13</v>
      </c>
      <c r="U574" s="108">
        <v>4.66666666666667</v>
      </c>
      <c r="V574" s="108">
        <v>2.2</v>
      </c>
      <c r="W574" s="117">
        <v>1.28571428571428</v>
      </c>
    </row>
    <row r="575" spans="1:23">
      <c r="A575" s="103">
        <v>45035</v>
      </c>
      <c r="B575" s="104" t="s">
        <v>23</v>
      </c>
      <c r="C575" s="145">
        <v>2549</v>
      </c>
      <c r="D575" s="145"/>
      <c r="E575" s="104">
        <v>25</v>
      </c>
      <c r="F575" s="106">
        <v>0.00980776775205963</v>
      </c>
      <c r="G575" s="107">
        <v>11</v>
      </c>
      <c r="H575" s="106">
        <v>0.44</v>
      </c>
      <c r="I575" s="106"/>
      <c r="J575" s="106"/>
      <c r="K575" s="106"/>
      <c r="L575" s="213">
        <v>-19</v>
      </c>
      <c r="M575" s="213">
        <v>-106.333333333333</v>
      </c>
      <c r="N575" s="213">
        <v>-86.1999999999998</v>
      </c>
      <c r="O575" s="213">
        <v>-17.7142857142858</v>
      </c>
      <c r="P575" s="108">
        <v>6</v>
      </c>
      <c r="Q575" s="108">
        <v>-4.66666666666667</v>
      </c>
      <c r="R575" s="108">
        <v>-2</v>
      </c>
      <c r="S575" s="108">
        <v>-3.28571428571428</v>
      </c>
      <c r="T575" s="108">
        <v>9</v>
      </c>
      <c r="U575" s="116">
        <v>2</v>
      </c>
      <c r="V575" s="108">
        <v>1.8</v>
      </c>
      <c r="W575" s="108">
        <v>1.28571428571429</v>
      </c>
    </row>
    <row r="576" spans="1:23">
      <c r="A576" s="103">
        <v>45035</v>
      </c>
      <c r="B576" s="104" t="s">
        <v>24</v>
      </c>
      <c r="C576" s="145">
        <v>435</v>
      </c>
      <c r="D576" s="145"/>
      <c r="E576" s="104">
        <v>4</v>
      </c>
      <c r="F576" s="106">
        <v>0.00919540229885057</v>
      </c>
      <c r="G576" s="107">
        <v>5</v>
      </c>
      <c r="H576" s="106">
        <v>1.25</v>
      </c>
      <c r="I576" s="106"/>
      <c r="J576" s="106"/>
      <c r="K576" s="106"/>
      <c r="L576" s="213">
        <v>-267</v>
      </c>
      <c r="M576" s="213">
        <v>-122.333333333333</v>
      </c>
      <c r="N576" s="213">
        <v>-24.8</v>
      </c>
      <c r="O576" s="213">
        <v>-25.2857142857143</v>
      </c>
      <c r="P576" s="115">
        <v>2</v>
      </c>
      <c r="Q576" s="115">
        <v>-1.33333333333333</v>
      </c>
      <c r="R576" s="117">
        <v>-0.6</v>
      </c>
      <c r="S576" s="117">
        <v>-1.14285714285714</v>
      </c>
      <c r="T576" s="115">
        <v>4</v>
      </c>
      <c r="U576" s="115">
        <v>2.33333333333333</v>
      </c>
      <c r="V576" s="115">
        <v>2.8</v>
      </c>
      <c r="W576" s="115">
        <v>2.85714285714286</v>
      </c>
    </row>
    <row r="577" spans="1:23">
      <c r="A577" s="103">
        <v>45035</v>
      </c>
      <c r="B577" s="104" t="s">
        <v>25</v>
      </c>
      <c r="C577" s="145">
        <v>13202</v>
      </c>
      <c r="D577" s="145"/>
      <c r="E577" s="104">
        <v>38</v>
      </c>
      <c r="F577" s="106">
        <v>0.00287835176488411</v>
      </c>
      <c r="G577" s="107">
        <v>16</v>
      </c>
      <c r="H577" s="106">
        <v>0.421052631578947</v>
      </c>
      <c r="I577" s="106"/>
      <c r="J577" s="106"/>
      <c r="K577" s="106"/>
      <c r="L577" s="213">
        <v>1590</v>
      </c>
      <c r="M577" s="213">
        <v>955.333333333334</v>
      </c>
      <c r="N577" s="213">
        <v>1732</v>
      </c>
      <c r="O577" s="213">
        <v>2420</v>
      </c>
      <c r="P577" s="116">
        <v>0</v>
      </c>
      <c r="Q577" s="115">
        <v>-5.66666666666666</v>
      </c>
      <c r="R577" s="115">
        <v>-0.600000000000001</v>
      </c>
      <c r="S577" s="115">
        <v>0.285714285714285</v>
      </c>
      <c r="T577" s="108">
        <v>4</v>
      </c>
      <c r="U577" s="108">
        <v>1.66666666666667</v>
      </c>
      <c r="V577" s="108">
        <v>2.2</v>
      </c>
      <c r="W577" s="108">
        <v>2.14285714285714</v>
      </c>
    </row>
    <row r="578" spans="1:23">
      <c r="A578" s="103">
        <v>45035</v>
      </c>
      <c r="B578" s="104" t="s">
        <v>26</v>
      </c>
      <c r="C578" s="145">
        <v>2046</v>
      </c>
      <c r="D578" s="145"/>
      <c r="E578" s="104">
        <v>15</v>
      </c>
      <c r="F578" s="106">
        <v>0.00733137829912024</v>
      </c>
      <c r="G578" s="107">
        <v>4</v>
      </c>
      <c r="H578" s="106">
        <v>0.266666666666667</v>
      </c>
      <c r="I578" s="106"/>
      <c r="J578" s="106"/>
      <c r="K578" s="106"/>
      <c r="L578" s="213">
        <v>214</v>
      </c>
      <c r="M578" s="213">
        <v>-106</v>
      </c>
      <c r="N578" s="213">
        <v>-1109.6</v>
      </c>
      <c r="O578" s="213">
        <v>-1824</v>
      </c>
      <c r="P578" s="108">
        <v>-4</v>
      </c>
      <c r="Q578" s="108">
        <v>-14</v>
      </c>
      <c r="R578" s="108">
        <v>-12.8</v>
      </c>
      <c r="S578" s="108">
        <v>-16.2857142857143</v>
      </c>
      <c r="T578" s="108">
        <v>0</v>
      </c>
      <c r="U578" s="108">
        <v>-3.66666666666667</v>
      </c>
      <c r="V578" s="108">
        <v>-6</v>
      </c>
      <c r="W578" s="108">
        <v>-7.57142857142857</v>
      </c>
    </row>
    <row r="579" spans="1:23">
      <c r="A579" s="103">
        <v>45035</v>
      </c>
      <c r="B579" s="104" t="s">
        <v>27</v>
      </c>
      <c r="C579" s="145">
        <v>402</v>
      </c>
      <c r="D579" s="145"/>
      <c r="E579" s="104">
        <v>0</v>
      </c>
      <c r="F579" s="106">
        <v>0</v>
      </c>
      <c r="G579" s="107">
        <v>0</v>
      </c>
      <c r="H579" s="106">
        <v>0</v>
      </c>
      <c r="I579" s="106"/>
      <c r="J579" s="106"/>
      <c r="K579" s="106"/>
      <c r="L579" s="213">
        <v>108</v>
      </c>
      <c r="M579" s="213">
        <v>114</v>
      </c>
      <c r="N579" s="213">
        <v>96.8</v>
      </c>
      <c r="O579" s="213">
        <v>82.2857142857143</v>
      </c>
      <c r="P579" s="108">
        <v>-4</v>
      </c>
      <c r="Q579" s="108">
        <v>-5.66666666666667</v>
      </c>
      <c r="R579" s="108">
        <v>-4.6</v>
      </c>
      <c r="S579" s="108">
        <v>-4.57142857142857</v>
      </c>
      <c r="T579" s="108">
        <v>0</v>
      </c>
      <c r="U579" s="108">
        <v>-1.66666666666667</v>
      </c>
      <c r="V579" s="108">
        <v>-1.2</v>
      </c>
      <c r="W579" s="108">
        <v>-1</v>
      </c>
    </row>
    <row r="580" spans="1:23">
      <c r="A580" s="103">
        <v>45035</v>
      </c>
      <c r="B580" s="104" t="s">
        <v>28</v>
      </c>
      <c r="C580" s="145">
        <v>0</v>
      </c>
      <c r="D580" s="145"/>
      <c r="E580" s="104">
        <v>1</v>
      </c>
      <c r="F580" s="106">
        <v>1</v>
      </c>
      <c r="G580" s="107">
        <v>0</v>
      </c>
      <c r="H580" s="106">
        <v>0</v>
      </c>
      <c r="I580" s="106"/>
      <c r="J580" s="106"/>
      <c r="K580" s="106"/>
      <c r="L580" s="213">
        <v>0</v>
      </c>
      <c r="M580" s="213">
        <v>0</v>
      </c>
      <c r="N580" s="213">
        <v>0</v>
      </c>
      <c r="O580" s="213">
        <v>0</v>
      </c>
      <c r="P580" s="108">
        <v>1</v>
      </c>
      <c r="Q580" s="108">
        <v>1</v>
      </c>
      <c r="R580" s="108">
        <v>1</v>
      </c>
      <c r="S580" s="108">
        <v>0.857142857142857</v>
      </c>
      <c r="T580" s="108">
        <v>-1</v>
      </c>
      <c r="U580" s="108">
        <v>-0.333333333333333</v>
      </c>
      <c r="V580" s="108">
        <v>-0.2</v>
      </c>
      <c r="W580" s="108">
        <v>-0.285714285714286</v>
      </c>
    </row>
    <row r="581" spans="1:23">
      <c r="A581" s="103">
        <v>45035</v>
      </c>
      <c r="B581" s="104" t="s">
        <v>29</v>
      </c>
      <c r="C581" s="145">
        <v>0</v>
      </c>
      <c r="D581" s="145"/>
      <c r="E581" s="104">
        <v>0</v>
      </c>
      <c r="F581" s="106">
        <v>0</v>
      </c>
      <c r="G581" s="107">
        <v>0</v>
      </c>
      <c r="H581" s="106">
        <v>0</v>
      </c>
      <c r="I581" s="106"/>
      <c r="J581" s="106"/>
      <c r="K581" s="106"/>
      <c r="L581" s="213">
        <v>0</v>
      </c>
      <c r="M581" s="213">
        <v>0</v>
      </c>
      <c r="N581" s="213">
        <v>0</v>
      </c>
      <c r="O581" s="213">
        <v>-0.714285714285714</v>
      </c>
      <c r="P581" s="108">
        <v>0</v>
      </c>
      <c r="Q581" s="108">
        <v>0</v>
      </c>
      <c r="R581" s="108">
        <v>-0.2</v>
      </c>
      <c r="S581" s="108">
        <v>-0.142857142857143</v>
      </c>
      <c r="T581" s="108">
        <v>0</v>
      </c>
      <c r="U581" s="108">
        <v>0</v>
      </c>
      <c r="V581" s="108">
        <v>0</v>
      </c>
      <c r="W581" s="108">
        <v>0</v>
      </c>
    </row>
    <row r="582" spans="1:23">
      <c r="A582" s="103">
        <v>45035</v>
      </c>
      <c r="B582" s="104" t="s">
        <v>30</v>
      </c>
      <c r="C582" s="145">
        <v>0</v>
      </c>
      <c r="D582" s="145"/>
      <c r="E582" s="104">
        <v>0</v>
      </c>
      <c r="F582" s="106">
        <v>0</v>
      </c>
      <c r="G582" s="107">
        <v>0</v>
      </c>
      <c r="H582" s="106">
        <v>0</v>
      </c>
      <c r="I582" s="106"/>
      <c r="J582" s="106"/>
      <c r="K582" s="106"/>
      <c r="L582" s="213">
        <v>0</v>
      </c>
      <c r="M582" s="213">
        <v>0</v>
      </c>
      <c r="N582" s="213">
        <v>0</v>
      </c>
      <c r="O582" s="213">
        <v>0</v>
      </c>
      <c r="P582" s="108">
        <v>0</v>
      </c>
      <c r="Q582" s="108">
        <v>0</v>
      </c>
      <c r="R582" s="108">
        <v>0</v>
      </c>
      <c r="S582" s="108">
        <v>0</v>
      </c>
      <c r="T582" s="108">
        <v>0</v>
      </c>
      <c r="U582" s="108">
        <v>0</v>
      </c>
      <c r="V582" s="108">
        <v>0</v>
      </c>
      <c r="W582" s="108">
        <v>0</v>
      </c>
    </row>
    <row r="583" spans="1:23">
      <c r="A583" s="103">
        <v>45035</v>
      </c>
      <c r="B583" s="104" t="s">
        <v>31</v>
      </c>
      <c r="C583" s="145">
        <v>0</v>
      </c>
      <c r="D583" s="145"/>
      <c r="E583" s="104">
        <v>0</v>
      </c>
      <c r="F583" s="106">
        <v>0</v>
      </c>
      <c r="G583" s="107">
        <v>0</v>
      </c>
      <c r="H583" s="106">
        <v>0</v>
      </c>
      <c r="I583" s="106"/>
      <c r="J583" s="106"/>
      <c r="K583" s="106"/>
      <c r="L583" s="213">
        <v>0</v>
      </c>
      <c r="M583" s="213">
        <v>0</v>
      </c>
      <c r="N583" s="213">
        <v>0</v>
      </c>
      <c r="O583" s="213">
        <v>0</v>
      </c>
      <c r="P583" s="108">
        <v>-1</v>
      </c>
      <c r="Q583" s="108">
        <v>-0.333333333333333</v>
      </c>
      <c r="R583" s="108">
        <v>-0.2</v>
      </c>
      <c r="S583" s="108">
        <v>-0.142857142857143</v>
      </c>
      <c r="T583" s="108">
        <v>-1</v>
      </c>
      <c r="U583" s="108">
        <v>-0.333333333333333</v>
      </c>
      <c r="V583" s="108">
        <v>-0.2</v>
      </c>
      <c r="W583" s="108">
        <v>-0.142857142857143</v>
      </c>
    </row>
    <row r="584" spans="1:23">
      <c r="A584" s="103">
        <v>45035</v>
      </c>
      <c r="B584" s="104" t="s">
        <v>32</v>
      </c>
      <c r="C584" s="145">
        <v>0</v>
      </c>
      <c r="D584" s="145"/>
      <c r="E584" s="104">
        <v>0</v>
      </c>
      <c r="F584" s="106">
        <v>0</v>
      </c>
      <c r="G584" s="107">
        <v>0</v>
      </c>
      <c r="H584" s="106">
        <v>0</v>
      </c>
      <c r="I584" s="106"/>
      <c r="J584" s="106"/>
      <c r="K584" s="106"/>
      <c r="L584" s="213">
        <v>0</v>
      </c>
      <c r="M584" s="213">
        <v>0</v>
      </c>
      <c r="N584" s="213">
        <v>0</v>
      </c>
      <c r="O584" s="213">
        <v>0</v>
      </c>
      <c r="P584" s="108">
        <v>0</v>
      </c>
      <c r="Q584" s="108">
        <v>0</v>
      </c>
      <c r="R584" s="108">
        <v>0</v>
      </c>
      <c r="S584" s="108">
        <v>0</v>
      </c>
      <c r="T584" s="108">
        <v>0</v>
      </c>
      <c r="U584" s="108">
        <v>0</v>
      </c>
      <c r="V584" s="108">
        <v>0</v>
      </c>
      <c r="W584" s="108">
        <v>0</v>
      </c>
    </row>
    <row r="585" spans="1:23">
      <c r="A585" s="103">
        <v>45035</v>
      </c>
      <c r="B585" s="104" t="s">
        <v>33</v>
      </c>
      <c r="C585" s="145">
        <v>0</v>
      </c>
      <c r="D585" s="145"/>
      <c r="E585" s="104">
        <v>0</v>
      </c>
      <c r="F585" s="106">
        <v>0</v>
      </c>
      <c r="G585" s="107">
        <v>0</v>
      </c>
      <c r="H585" s="106">
        <v>0</v>
      </c>
      <c r="I585" s="106"/>
      <c r="J585" s="106"/>
      <c r="K585" s="106"/>
      <c r="L585" s="213">
        <v>0</v>
      </c>
      <c r="M585" s="213">
        <v>0</v>
      </c>
      <c r="N585" s="213">
        <v>0</v>
      </c>
      <c r="O585" s="213">
        <v>0</v>
      </c>
      <c r="P585" s="108">
        <v>0</v>
      </c>
      <c r="Q585" s="108">
        <v>0</v>
      </c>
      <c r="R585" s="108">
        <v>0</v>
      </c>
      <c r="S585" s="108">
        <v>0</v>
      </c>
      <c r="T585" s="108">
        <v>0</v>
      </c>
      <c r="U585" s="108">
        <v>0</v>
      </c>
      <c r="V585" s="108">
        <v>0</v>
      </c>
      <c r="W585" s="108">
        <v>0</v>
      </c>
    </row>
    <row r="586" spans="1:23">
      <c r="A586" s="103">
        <v>45035</v>
      </c>
      <c r="B586" s="104" t="s">
        <v>34</v>
      </c>
      <c r="C586" s="145">
        <v>0</v>
      </c>
      <c r="D586" s="145"/>
      <c r="E586" s="104">
        <v>0</v>
      </c>
      <c r="F586" s="106">
        <v>0</v>
      </c>
      <c r="G586" s="107">
        <v>0</v>
      </c>
      <c r="H586" s="106">
        <v>0</v>
      </c>
      <c r="I586" s="106"/>
      <c r="J586" s="106"/>
      <c r="K586" s="106"/>
      <c r="L586" s="213">
        <v>0</v>
      </c>
      <c r="M586" s="213">
        <v>0</v>
      </c>
      <c r="N586" s="213">
        <v>0</v>
      </c>
      <c r="O586" s="213">
        <v>0</v>
      </c>
      <c r="P586" s="108">
        <v>0</v>
      </c>
      <c r="Q586" s="108">
        <v>0</v>
      </c>
      <c r="R586" s="108">
        <v>0</v>
      </c>
      <c r="S586" s="108">
        <v>0</v>
      </c>
      <c r="T586" s="108">
        <v>0</v>
      </c>
      <c r="U586" s="108">
        <v>0</v>
      </c>
      <c r="V586" s="108">
        <v>0</v>
      </c>
      <c r="W586" s="108">
        <v>0</v>
      </c>
    </row>
    <row r="587" spans="1:23">
      <c r="A587" s="103">
        <v>45035</v>
      </c>
      <c r="B587" s="104" t="s">
        <v>35</v>
      </c>
      <c r="C587" s="145">
        <v>0</v>
      </c>
      <c r="D587" s="145"/>
      <c r="E587" s="104">
        <v>0</v>
      </c>
      <c r="F587" s="106">
        <v>0</v>
      </c>
      <c r="G587" s="107">
        <v>0</v>
      </c>
      <c r="H587" s="106">
        <v>0</v>
      </c>
      <c r="I587" s="106"/>
      <c r="J587" s="106"/>
      <c r="K587" s="106"/>
      <c r="L587" s="213">
        <v>0</v>
      </c>
      <c r="M587" s="213">
        <v>0</v>
      </c>
      <c r="N587" s="213">
        <v>0</v>
      </c>
      <c r="O587" s="213">
        <v>0</v>
      </c>
      <c r="P587" s="108">
        <v>0</v>
      </c>
      <c r="Q587" s="108">
        <v>0</v>
      </c>
      <c r="R587" s="108">
        <v>0</v>
      </c>
      <c r="S587" s="108">
        <v>0</v>
      </c>
      <c r="T587" s="108">
        <v>0</v>
      </c>
      <c r="U587" s="108">
        <v>0</v>
      </c>
      <c r="V587" s="108">
        <v>0</v>
      </c>
      <c r="W587" s="108">
        <v>0</v>
      </c>
    </row>
    <row r="588" spans="1:23">
      <c r="A588" s="103">
        <v>45035</v>
      </c>
      <c r="B588" s="104" t="s">
        <v>36</v>
      </c>
      <c r="C588" s="145">
        <v>0</v>
      </c>
      <c r="D588" s="145"/>
      <c r="E588" s="104">
        <v>0</v>
      </c>
      <c r="F588" s="106">
        <v>0</v>
      </c>
      <c r="G588" s="107">
        <v>0</v>
      </c>
      <c r="H588" s="106">
        <v>0</v>
      </c>
      <c r="I588" s="106"/>
      <c r="J588" s="106"/>
      <c r="K588" s="106"/>
      <c r="L588" s="213">
        <v>0</v>
      </c>
      <c r="M588" s="213">
        <v>0</v>
      </c>
      <c r="N588" s="213">
        <v>0</v>
      </c>
      <c r="O588" s="213">
        <v>0</v>
      </c>
      <c r="P588" s="108">
        <v>0</v>
      </c>
      <c r="Q588" s="108">
        <v>0</v>
      </c>
      <c r="R588" s="108">
        <v>0</v>
      </c>
      <c r="S588" s="108">
        <v>0</v>
      </c>
      <c r="T588" s="108">
        <v>0</v>
      </c>
      <c r="U588" s="108">
        <v>0</v>
      </c>
      <c r="V588" s="108">
        <v>0</v>
      </c>
      <c r="W588" s="108">
        <v>0</v>
      </c>
    </row>
    <row r="589" spans="1:23">
      <c r="A589" s="103">
        <v>45035</v>
      </c>
      <c r="B589" s="104" t="s">
        <v>37</v>
      </c>
      <c r="C589" s="145">
        <v>0</v>
      </c>
      <c r="D589" s="145"/>
      <c r="E589" s="104">
        <v>0</v>
      </c>
      <c r="F589" s="106">
        <v>0</v>
      </c>
      <c r="G589" s="107">
        <v>0</v>
      </c>
      <c r="H589" s="106">
        <v>0</v>
      </c>
      <c r="I589" s="106"/>
      <c r="J589" s="106"/>
      <c r="K589" s="106"/>
      <c r="L589" s="213">
        <v>0</v>
      </c>
      <c r="M589" s="213">
        <v>0</v>
      </c>
      <c r="N589" s="213">
        <v>0</v>
      </c>
      <c r="O589" s="213">
        <v>0</v>
      </c>
      <c r="P589" s="108">
        <v>0</v>
      </c>
      <c r="Q589" s="108">
        <v>0</v>
      </c>
      <c r="R589" s="108">
        <v>0</v>
      </c>
      <c r="S589" s="108">
        <v>0</v>
      </c>
      <c r="T589" s="108">
        <v>0</v>
      </c>
      <c r="U589" s="108">
        <v>0</v>
      </c>
      <c r="V589" s="108">
        <v>0</v>
      </c>
      <c r="W589" s="108">
        <v>0</v>
      </c>
    </row>
    <row r="590" spans="1:23">
      <c r="A590" s="103">
        <v>45035</v>
      </c>
      <c r="B590" s="104" t="s">
        <v>38</v>
      </c>
      <c r="C590" s="145">
        <v>0</v>
      </c>
      <c r="D590" s="145"/>
      <c r="E590" s="104">
        <v>0</v>
      </c>
      <c r="F590" s="106">
        <v>0</v>
      </c>
      <c r="G590" s="107">
        <v>0</v>
      </c>
      <c r="H590" s="106">
        <v>0</v>
      </c>
      <c r="I590" s="106"/>
      <c r="J590" s="106"/>
      <c r="K590" s="106"/>
      <c r="L590" s="213">
        <v>0</v>
      </c>
      <c r="M590" s="213">
        <v>0</v>
      </c>
      <c r="N590" s="213">
        <v>0</v>
      </c>
      <c r="O590" s="213">
        <v>0</v>
      </c>
      <c r="P590" s="108">
        <v>0</v>
      </c>
      <c r="Q590" s="108">
        <v>0</v>
      </c>
      <c r="R590" s="108">
        <v>0</v>
      </c>
      <c r="S590" s="108">
        <v>0</v>
      </c>
      <c r="T590" s="108">
        <v>0</v>
      </c>
      <c r="U590" s="108">
        <v>0</v>
      </c>
      <c r="V590" s="108">
        <v>0</v>
      </c>
      <c r="W590" s="108">
        <v>0</v>
      </c>
    </row>
    <row r="591" spans="1:23">
      <c r="A591" s="103">
        <v>45035</v>
      </c>
      <c r="B591" s="111" t="s">
        <v>39</v>
      </c>
      <c r="C591" s="112">
        <v>25449</v>
      </c>
      <c r="D591" s="112"/>
      <c r="E591" s="112">
        <v>262</v>
      </c>
      <c r="F591" s="113">
        <v>0.0102951000039294</v>
      </c>
      <c r="G591" s="112">
        <v>102</v>
      </c>
      <c r="H591" s="113">
        <v>0.389312977099237</v>
      </c>
      <c r="I591" s="113"/>
      <c r="J591" s="113"/>
      <c r="K591" s="113"/>
      <c r="L591" s="213"/>
      <c r="M591" s="213"/>
      <c r="N591" s="213"/>
      <c r="O591" s="213"/>
      <c r="P591" s="108"/>
      <c r="Q591" s="108"/>
      <c r="R591" s="108"/>
      <c r="S591" s="108"/>
      <c r="T591" s="108"/>
      <c r="U591" s="108"/>
      <c r="V591" s="108"/>
      <c r="W591" s="108"/>
    </row>
    <row r="592" spans="1:23">
      <c r="A592" s="103">
        <v>45036</v>
      </c>
      <c r="B592" s="104" t="s">
        <v>17</v>
      </c>
      <c r="C592" s="105">
        <v>540</v>
      </c>
      <c r="D592" s="105"/>
      <c r="E592" s="104">
        <v>15</v>
      </c>
      <c r="F592" s="106">
        <v>0.0277777777777778</v>
      </c>
      <c r="G592" s="107">
        <v>3</v>
      </c>
      <c r="H592" s="106">
        <v>0.2</v>
      </c>
      <c r="I592" s="106"/>
      <c r="J592" s="106"/>
      <c r="K592" s="106"/>
      <c r="L592" s="213">
        <v>-87</v>
      </c>
      <c r="M592" s="213">
        <v>-153</v>
      </c>
      <c r="N592" s="213">
        <v>-50.6</v>
      </c>
      <c r="O592" s="213">
        <v>62.4285714285714</v>
      </c>
      <c r="P592" s="108">
        <v>-5</v>
      </c>
      <c r="Q592" s="108">
        <v>-9</v>
      </c>
      <c r="R592" s="108">
        <v>-11.2</v>
      </c>
      <c r="S592" s="108">
        <v>-12</v>
      </c>
      <c r="T592" s="108">
        <v>-5</v>
      </c>
      <c r="U592" s="108">
        <v>-4.33333333333333</v>
      </c>
      <c r="V592" s="108">
        <v>-4.2</v>
      </c>
      <c r="W592" s="108">
        <v>-3.57142857142857</v>
      </c>
    </row>
    <row r="593" spans="1:23">
      <c r="A593" s="103">
        <v>45036</v>
      </c>
      <c r="B593" s="104" t="s">
        <v>19</v>
      </c>
      <c r="C593" s="107">
        <v>2348</v>
      </c>
      <c r="D593" s="107"/>
      <c r="E593" s="104">
        <v>37</v>
      </c>
      <c r="F593" s="106">
        <v>0.0157580919931857</v>
      </c>
      <c r="G593" s="107">
        <v>21</v>
      </c>
      <c r="H593" s="106">
        <v>0.567567567567568</v>
      </c>
      <c r="I593" s="106"/>
      <c r="J593" s="106"/>
      <c r="K593" s="106"/>
      <c r="L593" s="213">
        <v>492</v>
      </c>
      <c r="M593" s="213">
        <v>826</v>
      </c>
      <c r="N593" s="213">
        <v>836.8</v>
      </c>
      <c r="O593" s="213">
        <v>984.857142857143</v>
      </c>
      <c r="P593" s="108">
        <v>-1</v>
      </c>
      <c r="Q593" s="108">
        <v>8</v>
      </c>
      <c r="R593" s="108">
        <v>4.4</v>
      </c>
      <c r="S593" s="108">
        <v>7.71428571428572</v>
      </c>
      <c r="T593" s="108">
        <v>5</v>
      </c>
      <c r="U593" s="108">
        <v>8.33333333333333</v>
      </c>
      <c r="V593" s="108">
        <v>8.4</v>
      </c>
      <c r="W593" s="115">
        <v>9.85714285714286</v>
      </c>
    </row>
    <row r="594" spans="1:23">
      <c r="A594" s="103">
        <v>45036</v>
      </c>
      <c r="B594" s="104" t="s">
        <v>21</v>
      </c>
      <c r="C594" s="145">
        <v>523</v>
      </c>
      <c r="D594" s="145"/>
      <c r="E594" s="104">
        <v>24</v>
      </c>
      <c r="F594" s="106">
        <v>0.0458891013384321</v>
      </c>
      <c r="G594" s="107">
        <v>10</v>
      </c>
      <c r="H594" s="106">
        <v>0.416666666666667</v>
      </c>
      <c r="I594" s="106"/>
      <c r="J594" s="106"/>
      <c r="K594" s="106"/>
      <c r="L594" s="213">
        <v>-35</v>
      </c>
      <c r="M594" s="213">
        <v>-40</v>
      </c>
      <c r="N594" s="213">
        <v>-1.20000000000005</v>
      </c>
      <c r="O594" s="213">
        <v>37.7142857142857</v>
      </c>
      <c r="P594" s="108">
        <v>-6</v>
      </c>
      <c r="Q594" s="108">
        <v>-8</v>
      </c>
      <c r="R594" s="108">
        <v>-4</v>
      </c>
      <c r="S594" s="108">
        <v>-3.85714285714286</v>
      </c>
      <c r="T594" s="108">
        <v>3</v>
      </c>
      <c r="U594" s="108">
        <v>-0.666666666666666</v>
      </c>
      <c r="V594" s="108">
        <v>0.199999999999999</v>
      </c>
      <c r="W594" s="108">
        <v>0.571428571428571</v>
      </c>
    </row>
    <row r="595" spans="1:23">
      <c r="A595" s="103">
        <v>45036</v>
      </c>
      <c r="B595" s="104" t="s">
        <v>22</v>
      </c>
      <c r="C595" s="145">
        <v>3665</v>
      </c>
      <c r="D595" s="145"/>
      <c r="E595" s="104">
        <v>60</v>
      </c>
      <c r="F595" s="106">
        <v>0.0163710777626194</v>
      </c>
      <c r="G595" s="107">
        <v>27</v>
      </c>
      <c r="H595" s="106">
        <v>0.45</v>
      </c>
      <c r="I595" s="106"/>
      <c r="J595" s="106"/>
      <c r="K595" s="106"/>
      <c r="L595" s="213">
        <v>-109</v>
      </c>
      <c r="M595" s="213">
        <v>-190.333333333333</v>
      </c>
      <c r="N595" s="213">
        <v>-423.6</v>
      </c>
      <c r="O595" s="213">
        <v>-452.714285714285</v>
      </c>
      <c r="P595" s="108">
        <v>-31</v>
      </c>
      <c r="Q595" s="108">
        <v>-23</v>
      </c>
      <c r="R595" s="108">
        <v>-32</v>
      </c>
      <c r="S595" s="115">
        <v>-32.1428571428571</v>
      </c>
      <c r="T595" s="108">
        <v>-8</v>
      </c>
      <c r="U595" s="108">
        <v>-2</v>
      </c>
      <c r="V595" s="108">
        <v>-5.6</v>
      </c>
      <c r="W595" s="117">
        <v>-6.71428571428572</v>
      </c>
    </row>
    <row r="596" spans="1:23">
      <c r="A596" s="103">
        <v>45036</v>
      </c>
      <c r="B596" s="104" t="s">
        <v>23</v>
      </c>
      <c r="C596" s="145">
        <v>2635</v>
      </c>
      <c r="D596" s="145"/>
      <c r="E596" s="104">
        <v>32</v>
      </c>
      <c r="F596" s="106">
        <v>0.0121442125237192</v>
      </c>
      <c r="G596" s="107">
        <v>9</v>
      </c>
      <c r="H596" s="106">
        <v>0.28125</v>
      </c>
      <c r="I596" s="106"/>
      <c r="J596" s="106"/>
      <c r="K596" s="106"/>
      <c r="L596" s="213">
        <v>86</v>
      </c>
      <c r="M596" s="213">
        <v>68</v>
      </c>
      <c r="N596" s="213">
        <v>8.59999999999991</v>
      </c>
      <c r="O596" s="213">
        <v>48.4285714285716</v>
      </c>
      <c r="P596" s="108">
        <v>7</v>
      </c>
      <c r="Q596" s="108">
        <v>5.66666666666667</v>
      </c>
      <c r="R596" s="108">
        <v>5.4</v>
      </c>
      <c r="S596" s="108">
        <v>5.28571428571428</v>
      </c>
      <c r="T596" s="108">
        <v>-2</v>
      </c>
      <c r="U596" s="116">
        <v>0.333333333333334</v>
      </c>
      <c r="V596" s="108">
        <v>-1.2</v>
      </c>
      <c r="W596" s="108">
        <v>-0.428571428571429</v>
      </c>
    </row>
    <row r="597" spans="1:23">
      <c r="A597" s="103">
        <v>45036</v>
      </c>
      <c r="B597" s="104" t="s">
        <v>24</v>
      </c>
      <c r="C597" s="145">
        <v>445</v>
      </c>
      <c r="D597" s="145"/>
      <c r="E597" s="104">
        <v>3</v>
      </c>
      <c r="F597" s="106">
        <v>0.00674157303370787</v>
      </c>
      <c r="G597" s="107">
        <v>2</v>
      </c>
      <c r="H597" s="106">
        <v>0.666666666666667</v>
      </c>
      <c r="I597" s="106"/>
      <c r="J597" s="106"/>
      <c r="K597" s="106"/>
      <c r="L597" s="213">
        <v>10</v>
      </c>
      <c r="M597" s="213">
        <v>-96</v>
      </c>
      <c r="N597" s="213">
        <v>-48.6</v>
      </c>
      <c r="O597" s="213">
        <v>-14.8571428571428</v>
      </c>
      <c r="P597" s="115">
        <v>-1</v>
      </c>
      <c r="Q597" s="115">
        <v>-2.66666666666667</v>
      </c>
      <c r="R597" s="117">
        <v>-1.4</v>
      </c>
      <c r="S597" s="117">
        <v>-1.85714285714286</v>
      </c>
      <c r="T597" s="115">
        <v>-3</v>
      </c>
      <c r="U597" s="115">
        <v>-1</v>
      </c>
      <c r="V597" s="115">
        <v>-1</v>
      </c>
      <c r="W597" s="115">
        <v>-0.571428571428572</v>
      </c>
    </row>
    <row r="598" spans="1:23">
      <c r="A598" s="103">
        <v>45036</v>
      </c>
      <c r="B598" s="104" t="s">
        <v>25</v>
      </c>
      <c r="C598" s="145">
        <v>13770</v>
      </c>
      <c r="D598" s="145"/>
      <c r="E598" s="104">
        <v>27</v>
      </c>
      <c r="F598" s="106">
        <v>0.00196078431372549</v>
      </c>
      <c r="G598" s="107">
        <v>15</v>
      </c>
      <c r="H598" s="106">
        <v>0.555555555555556</v>
      </c>
      <c r="I598" s="106"/>
      <c r="J598" s="106"/>
      <c r="K598" s="106"/>
      <c r="L598" s="213">
        <v>568</v>
      </c>
      <c r="M598" s="213">
        <v>1368.66666666667</v>
      </c>
      <c r="N598" s="213">
        <v>1635.6</v>
      </c>
      <c r="O598" s="213">
        <v>2356.85714285714</v>
      </c>
      <c r="P598" s="116">
        <v>-11</v>
      </c>
      <c r="Q598" s="115">
        <v>-11.3333333333333</v>
      </c>
      <c r="R598" s="115">
        <v>-12.4</v>
      </c>
      <c r="S598" s="115">
        <v>-11</v>
      </c>
      <c r="T598" s="108">
        <v>-1</v>
      </c>
      <c r="U598" s="108">
        <v>3.66666666666667</v>
      </c>
      <c r="V598" s="108">
        <v>0.800000000000001</v>
      </c>
      <c r="W598" s="108">
        <v>1.28571428571429</v>
      </c>
    </row>
    <row r="599" spans="1:23">
      <c r="A599" s="103">
        <v>45036</v>
      </c>
      <c r="B599" s="104" t="s">
        <v>26</v>
      </c>
      <c r="C599" s="145">
        <v>2288</v>
      </c>
      <c r="D599" s="145"/>
      <c r="E599" s="104">
        <v>27</v>
      </c>
      <c r="F599" s="106">
        <v>0.0118006993006993</v>
      </c>
      <c r="G599" s="107">
        <v>13</v>
      </c>
      <c r="H599" s="106">
        <v>0.481481481481481</v>
      </c>
      <c r="I599" s="106"/>
      <c r="J599" s="106"/>
      <c r="K599" s="106"/>
      <c r="L599" s="213">
        <v>242</v>
      </c>
      <c r="M599" s="213">
        <v>314.666666666667</v>
      </c>
      <c r="N599" s="213">
        <v>-103.2</v>
      </c>
      <c r="O599" s="213">
        <v>-1080.57142857143</v>
      </c>
      <c r="P599" s="108">
        <v>12</v>
      </c>
      <c r="Q599" s="108">
        <v>5.66666666666667</v>
      </c>
      <c r="R599" s="108">
        <v>2.6</v>
      </c>
      <c r="S599" s="108">
        <v>0.571428571428573</v>
      </c>
      <c r="T599" s="108">
        <v>9</v>
      </c>
      <c r="U599" s="108">
        <v>7.33333333333333</v>
      </c>
      <c r="V599" s="108">
        <v>4.4</v>
      </c>
      <c r="W599" s="108">
        <v>3.28571428571429</v>
      </c>
    </row>
    <row r="600" spans="1:23">
      <c r="A600" s="103">
        <v>45036</v>
      </c>
      <c r="B600" s="104" t="s">
        <v>27</v>
      </c>
      <c r="C600" s="145">
        <v>448</v>
      </c>
      <c r="D600" s="145"/>
      <c r="E600" s="104">
        <v>3</v>
      </c>
      <c r="F600" s="106">
        <v>0.00669642857142857</v>
      </c>
      <c r="G600" s="107">
        <v>3</v>
      </c>
      <c r="H600" s="106">
        <v>1</v>
      </c>
      <c r="I600" s="106"/>
      <c r="J600" s="106"/>
      <c r="K600" s="106"/>
      <c r="L600" s="213">
        <v>46</v>
      </c>
      <c r="M600" s="213">
        <v>118.666666666667</v>
      </c>
      <c r="N600" s="213">
        <v>130</v>
      </c>
      <c r="O600" s="213">
        <v>118.285714285714</v>
      </c>
      <c r="P600" s="108">
        <v>3</v>
      </c>
      <c r="Q600" s="108">
        <v>-1</v>
      </c>
      <c r="R600" s="108">
        <v>-0.4</v>
      </c>
      <c r="S600" s="108">
        <v>-1.14285714285714</v>
      </c>
      <c r="T600" s="108">
        <v>3</v>
      </c>
      <c r="U600" s="108">
        <v>2</v>
      </c>
      <c r="V600" s="108">
        <v>2</v>
      </c>
      <c r="W600" s="108">
        <v>2.14285714285714</v>
      </c>
    </row>
    <row r="601" spans="1:23">
      <c r="A601" s="103">
        <v>45036</v>
      </c>
      <c r="B601" s="104" t="s">
        <v>28</v>
      </c>
      <c r="C601" s="145">
        <v>0</v>
      </c>
      <c r="D601" s="145"/>
      <c r="E601" s="104">
        <v>0</v>
      </c>
      <c r="F601" s="106">
        <v>0</v>
      </c>
      <c r="G601" s="107">
        <v>0</v>
      </c>
      <c r="H601" s="106">
        <v>0</v>
      </c>
      <c r="I601" s="106"/>
      <c r="J601" s="106"/>
      <c r="K601" s="106"/>
      <c r="L601" s="213">
        <v>0</v>
      </c>
      <c r="M601" s="213">
        <v>0</v>
      </c>
      <c r="N601" s="213">
        <v>0</v>
      </c>
      <c r="O601" s="213">
        <v>0</v>
      </c>
      <c r="P601" s="108">
        <v>-1</v>
      </c>
      <c r="Q601" s="108">
        <v>-0.333333333333333</v>
      </c>
      <c r="R601" s="108">
        <v>-0.2</v>
      </c>
      <c r="S601" s="108">
        <v>-0.142857142857143</v>
      </c>
      <c r="T601" s="108">
        <v>0</v>
      </c>
      <c r="U601" s="108">
        <v>-0.333333333333333</v>
      </c>
      <c r="V601" s="108">
        <v>-0.2</v>
      </c>
      <c r="W601" s="108">
        <v>-0.142857142857143</v>
      </c>
    </row>
    <row r="602" spans="1:23">
      <c r="A602" s="103">
        <v>45036</v>
      </c>
      <c r="B602" s="104" t="s">
        <v>29</v>
      </c>
      <c r="C602" s="145">
        <v>0</v>
      </c>
      <c r="D602" s="145"/>
      <c r="E602" s="104">
        <v>0</v>
      </c>
      <c r="F602" s="106">
        <v>0</v>
      </c>
      <c r="G602" s="107">
        <v>0</v>
      </c>
      <c r="H602" s="106">
        <v>0</v>
      </c>
      <c r="I602" s="106"/>
      <c r="J602" s="106"/>
      <c r="K602" s="106"/>
      <c r="L602" s="213">
        <v>0</v>
      </c>
      <c r="M602" s="213">
        <v>0</v>
      </c>
      <c r="N602" s="213">
        <v>0</v>
      </c>
      <c r="O602" s="213">
        <v>-0.285714285714286</v>
      </c>
      <c r="P602" s="108">
        <v>0</v>
      </c>
      <c r="Q602" s="108">
        <v>0</v>
      </c>
      <c r="R602" s="108">
        <v>0</v>
      </c>
      <c r="S602" s="108">
        <v>-0.142857142857143</v>
      </c>
      <c r="T602" s="108">
        <v>0</v>
      </c>
      <c r="U602" s="108">
        <v>0</v>
      </c>
      <c r="V602" s="108">
        <v>0</v>
      </c>
      <c r="W602" s="108">
        <v>0</v>
      </c>
    </row>
    <row r="603" spans="1:23">
      <c r="A603" s="103">
        <v>45036</v>
      </c>
      <c r="B603" s="104" t="s">
        <v>30</v>
      </c>
      <c r="C603" s="145">
        <v>0</v>
      </c>
      <c r="D603" s="145"/>
      <c r="E603" s="104">
        <v>0</v>
      </c>
      <c r="F603" s="106">
        <v>0</v>
      </c>
      <c r="G603" s="107">
        <v>0</v>
      </c>
      <c r="H603" s="106">
        <v>0</v>
      </c>
      <c r="I603" s="106"/>
      <c r="J603" s="106"/>
      <c r="K603" s="106"/>
      <c r="L603" s="213">
        <v>0</v>
      </c>
      <c r="M603" s="213">
        <v>0</v>
      </c>
      <c r="N603" s="213">
        <v>0</v>
      </c>
      <c r="O603" s="213">
        <v>0</v>
      </c>
      <c r="P603" s="108">
        <v>0</v>
      </c>
      <c r="Q603" s="108">
        <v>0</v>
      </c>
      <c r="R603" s="108">
        <v>0</v>
      </c>
      <c r="S603" s="108">
        <v>0</v>
      </c>
      <c r="T603" s="108">
        <v>0</v>
      </c>
      <c r="U603" s="108">
        <v>0</v>
      </c>
      <c r="V603" s="108">
        <v>0</v>
      </c>
      <c r="W603" s="108">
        <v>0</v>
      </c>
    </row>
    <row r="604" spans="1:23">
      <c r="A604" s="103">
        <v>45036</v>
      </c>
      <c r="B604" s="104" t="s">
        <v>31</v>
      </c>
      <c r="C604" s="145">
        <v>0</v>
      </c>
      <c r="D604" s="145"/>
      <c r="E604" s="104">
        <v>0</v>
      </c>
      <c r="F604" s="106">
        <v>0</v>
      </c>
      <c r="G604" s="107">
        <v>0</v>
      </c>
      <c r="H604" s="106">
        <v>0</v>
      </c>
      <c r="I604" s="106"/>
      <c r="J604" s="106"/>
      <c r="K604" s="106"/>
      <c r="L604" s="213">
        <v>0</v>
      </c>
      <c r="M604" s="213">
        <v>0</v>
      </c>
      <c r="N604" s="213">
        <v>0</v>
      </c>
      <c r="O604" s="213">
        <v>0</v>
      </c>
      <c r="P604" s="108">
        <v>0</v>
      </c>
      <c r="Q604" s="108">
        <v>-0.333333333333333</v>
      </c>
      <c r="R604" s="108">
        <v>-0.2</v>
      </c>
      <c r="S604" s="108">
        <v>-0.142857142857143</v>
      </c>
      <c r="T604" s="108">
        <v>0</v>
      </c>
      <c r="U604" s="108">
        <v>-0.333333333333333</v>
      </c>
      <c r="V604" s="108">
        <v>-0.2</v>
      </c>
      <c r="W604" s="108">
        <v>-0.142857142857143</v>
      </c>
    </row>
    <row r="605" spans="1:23">
      <c r="A605" s="103">
        <v>45036</v>
      </c>
      <c r="B605" s="104" t="s">
        <v>32</v>
      </c>
      <c r="C605" s="145">
        <v>0</v>
      </c>
      <c r="D605" s="145"/>
      <c r="E605" s="104">
        <v>0</v>
      </c>
      <c r="F605" s="106">
        <v>0</v>
      </c>
      <c r="G605" s="107">
        <v>0</v>
      </c>
      <c r="H605" s="106">
        <v>0</v>
      </c>
      <c r="I605" s="106"/>
      <c r="J605" s="106"/>
      <c r="K605" s="106"/>
      <c r="L605" s="213">
        <v>0</v>
      </c>
      <c r="M605" s="213">
        <v>0</v>
      </c>
      <c r="N605" s="213">
        <v>0</v>
      </c>
      <c r="O605" s="213">
        <v>0</v>
      </c>
      <c r="P605" s="108">
        <v>0</v>
      </c>
      <c r="Q605" s="108">
        <v>0</v>
      </c>
      <c r="R605" s="108">
        <v>0</v>
      </c>
      <c r="S605" s="108">
        <v>0</v>
      </c>
      <c r="T605" s="108">
        <v>0</v>
      </c>
      <c r="U605" s="108">
        <v>0</v>
      </c>
      <c r="V605" s="108">
        <v>0</v>
      </c>
      <c r="W605" s="108">
        <v>0</v>
      </c>
    </row>
    <row r="606" spans="1:23">
      <c r="A606" s="103">
        <v>45036</v>
      </c>
      <c r="B606" s="104" t="s">
        <v>33</v>
      </c>
      <c r="C606" s="145">
        <v>0</v>
      </c>
      <c r="D606" s="145"/>
      <c r="E606" s="104">
        <v>0</v>
      </c>
      <c r="F606" s="106">
        <v>0</v>
      </c>
      <c r="G606" s="107">
        <v>0</v>
      </c>
      <c r="H606" s="106">
        <v>0</v>
      </c>
      <c r="I606" s="106"/>
      <c r="J606" s="106"/>
      <c r="K606" s="106"/>
      <c r="L606" s="213">
        <v>0</v>
      </c>
      <c r="M606" s="213">
        <v>0</v>
      </c>
      <c r="N606" s="213">
        <v>0</v>
      </c>
      <c r="O606" s="213">
        <v>0</v>
      </c>
      <c r="P606" s="108">
        <v>0</v>
      </c>
      <c r="Q606" s="108">
        <v>0</v>
      </c>
      <c r="R606" s="108">
        <v>0</v>
      </c>
      <c r="S606" s="108">
        <v>0</v>
      </c>
      <c r="T606" s="108">
        <v>0</v>
      </c>
      <c r="U606" s="108">
        <v>0</v>
      </c>
      <c r="V606" s="108">
        <v>0</v>
      </c>
      <c r="W606" s="108">
        <v>0</v>
      </c>
    </row>
    <row r="607" spans="1:23">
      <c r="A607" s="103">
        <v>45036</v>
      </c>
      <c r="B607" s="104" t="s">
        <v>34</v>
      </c>
      <c r="C607" s="145">
        <v>0</v>
      </c>
      <c r="D607" s="145"/>
      <c r="E607" s="104">
        <v>0</v>
      </c>
      <c r="F607" s="106">
        <v>0</v>
      </c>
      <c r="G607" s="107">
        <v>0</v>
      </c>
      <c r="H607" s="106">
        <v>0</v>
      </c>
      <c r="I607" s="106"/>
      <c r="J607" s="106"/>
      <c r="K607" s="106"/>
      <c r="L607" s="213">
        <v>0</v>
      </c>
      <c r="M607" s="213">
        <v>0</v>
      </c>
      <c r="N607" s="213">
        <v>0</v>
      </c>
      <c r="O607" s="213">
        <v>0</v>
      </c>
      <c r="P607" s="108">
        <v>0</v>
      </c>
      <c r="Q607" s="108">
        <v>0</v>
      </c>
      <c r="R607" s="108">
        <v>0</v>
      </c>
      <c r="S607" s="108">
        <v>0</v>
      </c>
      <c r="T607" s="108">
        <v>0</v>
      </c>
      <c r="U607" s="108">
        <v>0</v>
      </c>
      <c r="V607" s="108">
        <v>0</v>
      </c>
      <c r="W607" s="108">
        <v>0</v>
      </c>
    </row>
    <row r="608" spans="1:23">
      <c r="A608" s="103">
        <v>45036</v>
      </c>
      <c r="B608" s="104" t="s">
        <v>35</v>
      </c>
      <c r="C608" s="145">
        <v>0</v>
      </c>
      <c r="D608" s="145"/>
      <c r="E608" s="104">
        <v>0</v>
      </c>
      <c r="F608" s="106">
        <v>0</v>
      </c>
      <c r="G608" s="107">
        <v>0</v>
      </c>
      <c r="H608" s="106">
        <v>0</v>
      </c>
      <c r="I608" s="106"/>
      <c r="J608" s="106"/>
      <c r="K608" s="106"/>
      <c r="L608" s="213">
        <v>0</v>
      </c>
      <c r="M608" s="213">
        <v>0</v>
      </c>
      <c r="N608" s="213">
        <v>0</v>
      </c>
      <c r="O608" s="213">
        <v>0</v>
      </c>
      <c r="P608" s="108">
        <v>0</v>
      </c>
      <c r="Q608" s="108">
        <v>0</v>
      </c>
      <c r="R608" s="108">
        <v>0</v>
      </c>
      <c r="S608" s="108">
        <v>0</v>
      </c>
      <c r="T608" s="108">
        <v>0</v>
      </c>
      <c r="U608" s="108">
        <v>0</v>
      </c>
      <c r="V608" s="108">
        <v>0</v>
      </c>
      <c r="W608" s="108">
        <v>0</v>
      </c>
    </row>
    <row r="609" spans="1:23">
      <c r="A609" s="103">
        <v>45036</v>
      </c>
      <c r="B609" s="104" t="s">
        <v>36</v>
      </c>
      <c r="C609" s="145">
        <v>0</v>
      </c>
      <c r="D609" s="145"/>
      <c r="E609" s="104">
        <v>0</v>
      </c>
      <c r="F609" s="106">
        <v>0</v>
      </c>
      <c r="G609" s="107">
        <v>0</v>
      </c>
      <c r="H609" s="106">
        <v>0</v>
      </c>
      <c r="I609" s="106"/>
      <c r="J609" s="106"/>
      <c r="K609" s="106"/>
      <c r="L609" s="213">
        <v>0</v>
      </c>
      <c r="M609" s="213">
        <v>0</v>
      </c>
      <c r="N609" s="213">
        <v>0</v>
      </c>
      <c r="O609" s="213">
        <v>0</v>
      </c>
      <c r="P609" s="108">
        <v>0</v>
      </c>
      <c r="Q609" s="108">
        <v>0</v>
      </c>
      <c r="R609" s="108">
        <v>0</v>
      </c>
      <c r="S609" s="108">
        <v>0</v>
      </c>
      <c r="T609" s="108">
        <v>0</v>
      </c>
      <c r="U609" s="108">
        <v>0</v>
      </c>
      <c r="V609" s="108">
        <v>0</v>
      </c>
      <c r="W609" s="108">
        <v>0</v>
      </c>
    </row>
    <row r="610" spans="1:23">
      <c r="A610" s="103">
        <v>45036</v>
      </c>
      <c r="B610" s="104" t="s">
        <v>37</v>
      </c>
      <c r="C610" s="145">
        <v>0</v>
      </c>
      <c r="D610" s="145"/>
      <c r="E610" s="104">
        <v>0</v>
      </c>
      <c r="F610" s="106">
        <v>0</v>
      </c>
      <c r="G610" s="107">
        <v>0</v>
      </c>
      <c r="H610" s="106">
        <v>0</v>
      </c>
      <c r="I610" s="106"/>
      <c r="J610" s="106"/>
      <c r="K610" s="106"/>
      <c r="L610" s="213">
        <v>0</v>
      </c>
      <c r="M610" s="213">
        <v>0</v>
      </c>
      <c r="N610" s="213">
        <v>0</v>
      </c>
      <c r="O610" s="213">
        <v>0</v>
      </c>
      <c r="P610" s="108">
        <v>0</v>
      </c>
      <c r="Q610" s="108">
        <v>0</v>
      </c>
      <c r="R610" s="108">
        <v>0</v>
      </c>
      <c r="S610" s="108">
        <v>0</v>
      </c>
      <c r="T610" s="108">
        <v>0</v>
      </c>
      <c r="U610" s="108">
        <v>0</v>
      </c>
      <c r="V610" s="108">
        <v>0</v>
      </c>
      <c r="W610" s="108">
        <v>0</v>
      </c>
    </row>
    <row r="611" spans="1:23">
      <c r="A611" s="103">
        <v>45036</v>
      </c>
      <c r="B611" s="104" t="s">
        <v>38</v>
      </c>
      <c r="C611" s="145">
        <v>0</v>
      </c>
      <c r="D611" s="145"/>
      <c r="E611" s="104">
        <v>0</v>
      </c>
      <c r="F611" s="106">
        <v>0</v>
      </c>
      <c r="G611" s="107">
        <v>0</v>
      </c>
      <c r="H611" s="106">
        <v>0</v>
      </c>
      <c r="I611" s="106"/>
      <c r="J611" s="106"/>
      <c r="K611" s="106"/>
      <c r="L611" s="213">
        <v>0</v>
      </c>
      <c r="M611" s="213">
        <v>0</v>
      </c>
      <c r="N611" s="213">
        <v>0</v>
      </c>
      <c r="O611" s="213">
        <v>0</v>
      </c>
      <c r="P611" s="108">
        <v>0</v>
      </c>
      <c r="Q611" s="108">
        <v>0</v>
      </c>
      <c r="R611" s="108">
        <v>0</v>
      </c>
      <c r="S611" s="108">
        <v>0</v>
      </c>
      <c r="T611" s="108">
        <v>0</v>
      </c>
      <c r="U611" s="108">
        <v>0</v>
      </c>
      <c r="V611" s="108">
        <v>0</v>
      </c>
      <c r="W611" s="108">
        <v>0</v>
      </c>
    </row>
    <row r="612" spans="1:23">
      <c r="A612" s="103">
        <v>45036</v>
      </c>
      <c r="B612" s="111" t="s">
        <v>39</v>
      </c>
      <c r="C612" s="112">
        <v>26662</v>
      </c>
      <c r="D612" s="112"/>
      <c r="E612" s="112">
        <v>228</v>
      </c>
      <c r="F612" s="113">
        <v>0.00855149651188958</v>
      </c>
      <c r="G612" s="112">
        <v>103</v>
      </c>
      <c r="H612" s="113">
        <v>0.451754385964912</v>
      </c>
      <c r="I612" s="113"/>
      <c r="J612" s="113"/>
      <c r="K612" s="113"/>
      <c r="L612" s="213"/>
      <c r="M612" s="213"/>
      <c r="N612" s="213"/>
      <c r="O612" s="213"/>
      <c r="P612" s="108"/>
      <c r="Q612" s="108"/>
      <c r="R612" s="108"/>
      <c r="S612" s="108"/>
      <c r="T612" s="108"/>
      <c r="U612" s="108"/>
      <c r="V612" s="108"/>
      <c r="W612" s="108"/>
    </row>
    <row r="613" spans="1:23">
      <c r="A613" s="103">
        <v>45037</v>
      </c>
      <c r="B613" s="104" t="s">
        <v>17</v>
      </c>
      <c r="C613" s="105">
        <v>701</v>
      </c>
      <c r="D613" s="105"/>
      <c r="E613" s="104">
        <v>21</v>
      </c>
      <c r="F613" s="106">
        <v>0.0299572039942939</v>
      </c>
      <c r="G613" s="107">
        <v>5</v>
      </c>
      <c r="H613" s="106">
        <v>0.238095238095238</v>
      </c>
      <c r="I613" s="106"/>
      <c r="J613" s="106"/>
      <c r="K613" s="106"/>
      <c r="L613" s="213">
        <v>161</v>
      </c>
      <c r="M613" s="213">
        <v>73.3333333333334</v>
      </c>
      <c r="N613" s="213">
        <v>37.6</v>
      </c>
      <c r="O613" s="213">
        <v>179.714285714286</v>
      </c>
      <c r="P613" s="108">
        <v>6</v>
      </c>
      <c r="Q613" s="108">
        <v>0.333333333333332</v>
      </c>
      <c r="R613" s="108">
        <v>-2.4</v>
      </c>
      <c r="S613" s="108">
        <v>-3.71428571428572</v>
      </c>
      <c r="T613" s="108">
        <v>2</v>
      </c>
      <c r="U613" s="108">
        <v>-0.666666666666667</v>
      </c>
      <c r="V613" s="108">
        <v>-1.8</v>
      </c>
      <c r="W613" s="108">
        <v>-1.14285714285714</v>
      </c>
    </row>
    <row r="614" spans="1:23">
      <c r="A614" s="103">
        <v>45037</v>
      </c>
      <c r="B614" s="104" t="s">
        <v>19</v>
      </c>
      <c r="C614" s="107">
        <v>2906</v>
      </c>
      <c r="D614" s="107"/>
      <c r="E614" s="104">
        <v>42</v>
      </c>
      <c r="F614" s="106">
        <v>0.0144528561596696</v>
      </c>
      <c r="G614" s="107">
        <v>18</v>
      </c>
      <c r="H614" s="106">
        <v>0.428571428571429</v>
      </c>
      <c r="I614" s="106"/>
      <c r="J614" s="106"/>
      <c r="K614" s="106"/>
      <c r="L614" s="213">
        <v>558</v>
      </c>
      <c r="M614" s="213">
        <v>1032</v>
      </c>
      <c r="N614" s="213">
        <v>1226.8</v>
      </c>
      <c r="O614" s="213">
        <v>1338.85714285714</v>
      </c>
      <c r="P614" s="108">
        <v>5</v>
      </c>
      <c r="Q614" s="108">
        <v>9</v>
      </c>
      <c r="R614" s="108">
        <v>9.4</v>
      </c>
      <c r="S614" s="108">
        <v>10</v>
      </c>
      <c r="T614" s="108">
        <v>-3</v>
      </c>
      <c r="U614" s="108">
        <v>2</v>
      </c>
      <c r="V614" s="108">
        <v>3.4</v>
      </c>
      <c r="W614" s="115">
        <v>4.85714285714286</v>
      </c>
    </row>
    <row r="615" spans="1:23">
      <c r="A615" s="103">
        <v>45037</v>
      </c>
      <c r="B615" s="104" t="s">
        <v>21</v>
      </c>
      <c r="C615" s="145">
        <v>561</v>
      </c>
      <c r="D615" s="145"/>
      <c r="E615" s="104">
        <v>24</v>
      </c>
      <c r="F615" s="106">
        <v>0.0427807486631016</v>
      </c>
      <c r="G615" s="107">
        <v>10</v>
      </c>
      <c r="H615" s="106">
        <v>0.416666666666667</v>
      </c>
      <c r="I615" s="106"/>
      <c r="J615" s="106"/>
      <c r="K615" s="106"/>
      <c r="L615" s="213">
        <v>38</v>
      </c>
      <c r="M615" s="213">
        <v>21.3333333333334</v>
      </c>
      <c r="N615" s="213">
        <v>15.4</v>
      </c>
      <c r="O615" s="213">
        <v>53.8571428571428</v>
      </c>
      <c r="P615" s="108">
        <v>0</v>
      </c>
      <c r="Q615" s="108">
        <v>-5</v>
      </c>
      <c r="R615" s="108">
        <v>-4.6</v>
      </c>
      <c r="S615" s="108">
        <v>-3.42857142857143</v>
      </c>
      <c r="T615" s="108">
        <v>0</v>
      </c>
      <c r="U615" s="108">
        <v>-0.333333333333334</v>
      </c>
      <c r="V615" s="108">
        <v>0.4</v>
      </c>
      <c r="W615" s="108">
        <v>0.285714285714286</v>
      </c>
    </row>
    <row r="616" spans="1:23">
      <c r="A616" s="103">
        <v>45037</v>
      </c>
      <c r="B616" s="104" t="s">
        <v>22</v>
      </c>
      <c r="C616" s="145">
        <v>3742</v>
      </c>
      <c r="D616" s="145"/>
      <c r="E616" s="104">
        <v>70</v>
      </c>
      <c r="F616" s="106">
        <v>0.0187065740245858</v>
      </c>
      <c r="G616" s="107">
        <v>25</v>
      </c>
      <c r="H616" s="106">
        <v>0.357142857142857</v>
      </c>
      <c r="I616" s="106"/>
      <c r="J616" s="106"/>
      <c r="K616" s="106"/>
      <c r="L616" s="213">
        <v>77</v>
      </c>
      <c r="M616" s="213">
        <v>19.3333333333335</v>
      </c>
      <c r="N616" s="213">
        <v>-192.6</v>
      </c>
      <c r="O616" s="213">
        <v>-308.571428571428</v>
      </c>
      <c r="P616" s="108">
        <v>10</v>
      </c>
      <c r="Q616" s="108">
        <v>-4.66666666666667</v>
      </c>
      <c r="R616" s="108">
        <v>-12.8</v>
      </c>
      <c r="S616" s="115">
        <v>-17.4285714285714</v>
      </c>
      <c r="T616" s="108">
        <v>-2</v>
      </c>
      <c r="U616" s="108">
        <v>-3</v>
      </c>
      <c r="V616" s="108">
        <v>-5.6</v>
      </c>
      <c r="W616" s="117">
        <v>-7.28571428571428</v>
      </c>
    </row>
    <row r="617" spans="1:23">
      <c r="A617" s="103">
        <v>45037</v>
      </c>
      <c r="B617" s="104" t="s">
        <v>23</v>
      </c>
      <c r="C617" s="145">
        <v>2612</v>
      </c>
      <c r="D617" s="145"/>
      <c r="E617" s="104">
        <v>23</v>
      </c>
      <c r="F617" s="106">
        <v>0.00880551301684533</v>
      </c>
      <c r="G617" s="107">
        <v>6</v>
      </c>
      <c r="H617" s="106">
        <v>0.260869565217391</v>
      </c>
      <c r="I617" s="106"/>
      <c r="J617" s="106"/>
      <c r="K617" s="106"/>
      <c r="L617" s="213">
        <v>-23</v>
      </c>
      <c r="M617" s="213">
        <v>28</v>
      </c>
      <c r="N617" s="213">
        <v>-18</v>
      </c>
      <c r="O617" s="213">
        <v>-10.8571428571427</v>
      </c>
      <c r="P617" s="108">
        <v>-9</v>
      </c>
      <c r="Q617" s="108">
        <v>-2.33333333333333</v>
      </c>
      <c r="R617" s="108">
        <v>-6.2</v>
      </c>
      <c r="S617" s="108">
        <v>-4.42857142857143</v>
      </c>
      <c r="T617" s="108">
        <v>-3</v>
      </c>
      <c r="U617" s="116">
        <v>-1.33333333333333</v>
      </c>
      <c r="V617" s="108">
        <v>-3.4</v>
      </c>
      <c r="W617" s="108">
        <v>-3.42857142857143</v>
      </c>
    </row>
    <row r="618" spans="1:23">
      <c r="A618" s="103">
        <v>45037</v>
      </c>
      <c r="B618" s="104" t="s">
        <v>24</v>
      </c>
      <c r="C618" s="145">
        <v>372</v>
      </c>
      <c r="D618" s="145"/>
      <c r="E618" s="104">
        <v>1</v>
      </c>
      <c r="F618" s="106">
        <v>0.00268817204301075</v>
      </c>
      <c r="G618" s="107">
        <v>1</v>
      </c>
      <c r="H618" s="106">
        <v>1</v>
      </c>
      <c r="I618" s="106"/>
      <c r="J618" s="106"/>
      <c r="K618" s="106"/>
      <c r="L618" s="213">
        <v>-73</v>
      </c>
      <c r="M618" s="213">
        <v>-155.333333333333</v>
      </c>
      <c r="N618" s="213">
        <v>-138.4</v>
      </c>
      <c r="O618" s="213">
        <v>-82.1428571428572</v>
      </c>
      <c r="P618" s="115">
        <v>-2</v>
      </c>
      <c r="Q618" s="115">
        <v>-2</v>
      </c>
      <c r="R618" s="117">
        <v>-3.6</v>
      </c>
      <c r="S618" s="117">
        <v>-3.28571428571429</v>
      </c>
      <c r="T618" s="115">
        <v>-1</v>
      </c>
      <c r="U618" s="115">
        <v>-1.66666666666667</v>
      </c>
      <c r="V618" s="115">
        <v>-2</v>
      </c>
      <c r="W618" s="115">
        <v>-1.57142857142857</v>
      </c>
    </row>
    <row r="619" spans="1:23">
      <c r="A619" s="103">
        <v>45037</v>
      </c>
      <c r="B619" s="104" t="s">
        <v>25</v>
      </c>
      <c r="C619" s="145">
        <v>14326</v>
      </c>
      <c r="D619" s="145"/>
      <c r="E619" s="104">
        <v>51</v>
      </c>
      <c r="F619" s="106">
        <v>0.00355996091023314</v>
      </c>
      <c r="G619" s="107">
        <v>15</v>
      </c>
      <c r="H619" s="106">
        <v>0.294117647058824</v>
      </c>
      <c r="I619" s="106"/>
      <c r="J619" s="106"/>
      <c r="K619" s="106"/>
      <c r="L619" s="213">
        <v>556</v>
      </c>
      <c r="M619" s="213">
        <v>1464.66666666667</v>
      </c>
      <c r="N619" s="213">
        <v>1583.6</v>
      </c>
      <c r="O619" s="213">
        <v>2280</v>
      </c>
      <c r="P619" s="116">
        <v>24</v>
      </c>
      <c r="Q619" s="115">
        <v>16.6666666666667</v>
      </c>
      <c r="R619" s="115">
        <v>11.8</v>
      </c>
      <c r="S619" s="115">
        <v>14.1428571428571</v>
      </c>
      <c r="T619" s="108">
        <v>0</v>
      </c>
      <c r="U619" s="108">
        <v>0.666666666666666</v>
      </c>
      <c r="V619" s="108">
        <v>0.199999999999999</v>
      </c>
      <c r="W619" s="108">
        <v>0.714285714285714</v>
      </c>
    </row>
    <row r="620" spans="1:23">
      <c r="A620" s="103">
        <v>45037</v>
      </c>
      <c r="B620" s="104" t="s">
        <v>26</v>
      </c>
      <c r="C620" s="145">
        <v>2282</v>
      </c>
      <c r="D620" s="145"/>
      <c r="E620" s="104">
        <v>28</v>
      </c>
      <c r="F620" s="106">
        <v>0.0122699386503067</v>
      </c>
      <c r="G620" s="107">
        <v>8</v>
      </c>
      <c r="H620" s="106">
        <v>0.285714285714286</v>
      </c>
      <c r="I620" s="106"/>
      <c r="J620" s="106"/>
      <c r="K620" s="106"/>
      <c r="L620" s="213">
        <v>-6</v>
      </c>
      <c r="M620" s="213">
        <v>226.666666666667</v>
      </c>
      <c r="N620" s="213">
        <v>124</v>
      </c>
      <c r="O620" s="213">
        <v>-591.142857142857</v>
      </c>
      <c r="P620" s="108">
        <v>1</v>
      </c>
      <c r="Q620" s="108">
        <v>7.66666666666667</v>
      </c>
      <c r="R620" s="108">
        <v>2.2</v>
      </c>
      <c r="S620" s="108">
        <v>2.14285714285714</v>
      </c>
      <c r="T620" s="108">
        <v>-5</v>
      </c>
      <c r="U620" s="108">
        <v>1</v>
      </c>
      <c r="V620" s="108">
        <v>0</v>
      </c>
      <c r="W620" s="108">
        <v>-1.57142857142857</v>
      </c>
    </row>
    <row r="621" spans="1:23">
      <c r="A621" s="103">
        <v>45037</v>
      </c>
      <c r="B621" s="104" t="s">
        <v>27</v>
      </c>
      <c r="C621" s="145">
        <v>512</v>
      </c>
      <c r="D621" s="145"/>
      <c r="E621" s="104">
        <v>4</v>
      </c>
      <c r="F621" s="106">
        <v>0.0078125</v>
      </c>
      <c r="G621" s="107">
        <v>2</v>
      </c>
      <c r="H621" s="106">
        <v>0.5</v>
      </c>
      <c r="I621" s="106"/>
      <c r="J621" s="106"/>
      <c r="K621" s="106"/>
      <c r="L621" s="213">
        <v>64</v>
      </c>
      <c r="M621" s="213">
        <v>130.666666666667</v>
      </c>
      <c r="N621" s="213">
        <v>169.2</v>
      </c>
      <c r="O621" s="213">
        <v>172.571428571429</v>
      </c>
      <c r="P621" s="108">
        <v>1</v>
      </c>
      <c r="Q621" s="108">
        <v>1.66666666666667</v>
      </c>
      <c r="R621" s="108">
        <v>0</v>
      </c>
      <c r="S621" s="108">
        <v>0.285714285714286</v>
      </c>
      <c r="T621" s="108">
        <v>-1</v>
      </c>
      <c r="U621" s="108">
        <v>1</v>
      </c>
      <c r="V621" s="108">
        <v>0.4</v>
      </c>
      <c r="W621" s="108">
        <v>0.714285714285714</v>
      </c>
    </row>
    <row r="622" spans="1:23">
      <c r="A622" s="103">
        <v>45037</v>
      </c>
      <c r="B622" s="104" t="s">
        <v>28</v>
      </c>
      <c r="C622" s="145">
        <v>0</v>
      </c>
      <c r="D622" s="145"/>
      <c r="E622" s="104">
        <v>1</v>
      </c>
      <c r="F622" s="106">
        <v>1</v>
      </c>
      <c r="G622" s="107">
        <v>0</v>
      </c>
      <c r="H622" s="106">
        <v>0</v>
      </c>
      <c r="I622" s="106"/>
      <c r="J622" s="106"/>
      <c r="K622" s="106"/>
      <c r="L622" s="213">
        <v>0</v>
      </c>
      <c r="M622" s="213">
        <v>0</v>
      </c>
      <c r="N622" s="213">
        <v>0</v>
      </c>
      <c r="O622" s="213">
        <v>0</v>
      </c>
      <c r="P622" s="108">
        <v>1</v>
      </c>
      <c r="Q622" s="108">
        <v>0.666666666666667</v>
      </c>
      <c r="R622" s="108">
        <v>0.8</v>
      </c>
      <c r="S622" s="108">
        <v>0.857142857142857</v>
      </c>
      <c r="T622" s="108">
        <v>0</v>
      </c>
      <c r="U622" s="108">
        <v>-0.333333333333333</v>
      </c>
      <c r="V622" s="108">
        <v>-0.2</v>
      </c>
      <c r="W622" s="108">
        <v>-0.142857142857143</v>
      </c>
    </row>
    <row r="623" spans="1:23">
      <c r="A623" s="103">
        <v>45037</v>
      </c>
      <c r="B623" s="104" t="s">
        <v>29</v>
      </c>
      <c r="C623" s="145">
        <v>0</v>
      </c>
      <c r="D623" s="145"/>
      <c r="E623" s="104">
        <v>1</v>
      </c>
      <c r="F623" s="106">
        <v>1</v>
      </c>
      <c r="G623" s="107">
        <v>0</v>
      </c>
      <c r="H623" s="106">
        <v>0</v>
      </c>
      <c r="I623" s="106"/>
      <c r="J623" s="106"/>
      <c r="K623" s="106"/>
      <c r="L623" s="213">
        <v>0</v>
      </c>
      <c r="M623" s="213">
        <v>0</v>
      </c>
      <c r="N623" s="213">
        <v>0</v>
      </c>
      <c r="O623" s="213">
        <v>0</v>
      </c>
      <c r="P623" s="108">
        <v>1</v>
      </c>
      <c r="Q623" s="108">
        <v>1</v>
      </c>
      <c r="R623" s="108">
        <v>1</v>
      </c>
      <c r="S623" s="108">
        <v>0.857142857142857</v>
      </c>
      <c r="T623" s="108">
        <v>0</v>
      </c>
      <c r="U623" s="108">
        <v>0</v>
      </c>
      <c r="V623" s="108">
        <v>0</v>
      </c>
      <c r="W623" s="108">
        <v>0</v>
      </c>
    </row>
    <row r="624" spans="1:23">
      <c r="A624" s="103">
        <v>45037</v>
      </c>
      <c r="B624" s="104" t="s">
        <v>30</v>
      </c>
      <c r="C624" s="145">
        <v>0</v>
      </c>
      <c r="D624" s="145"/>
      <c r="E624" s="104">
        <v>0</v>
      </c>
      <c r="F624" s="106">
        <v>0</v>
      </c>
      <c r="G624" s="107">
        <v>0</v>
      </c>
      <c r="H624" s="106">
        <v>0</v>
      </c>
      <c r="I624" s="106"/>
      <c r="J624" s="106"/>
      <c r="K624" s="106"/>
      <c r="L624" s="213">
        <v>0</v>
      </c>
      <c r="M624" s="213">
        <v>0</v>
      </c>
      <c r="N624" s="213">
        <v>0</v>
      </c>
      <c r="O624" s="213">
        <v>0</v>
      </c>
      <c r="P624" s="108">
        <v>0</v>
      </c>
      <c r="Q624" s="108">
        <v>0</v>
      </c>
      <c r="R624" s="108">
        <v>0</v>
      </c>
      <c r="S624" s="108">
        <v>0</v>
      </c>
      <c r="T624" s="108">
        <v>0</v>
      </c>
      <c r="U624" s="108">
        <v>0</v>
      </c>
      <c r="V624" s="108">
        <v>0</v>
      </c>
      <c r="W624" s="108">
        <v>0</v>
      </c>
    </row>
    <row r="625" spans="1:23">
      <c r="A625" s="103">
        <v>45037</v>
      </c>
      <c r="B625" s="104" t="s">
        <v>31</v>
      </c>
      <c r="C625" s="145">
        <v>0</v>
      </c>
      <c r="D625" s="145"/>
      <c r="E625" s="104">
        <v>0</v>
      </c>
      <c r="F625" s="106">
        <v>0</v>
      </c>
      <c r="G625" s="107">
        <v>0</v>
      </c>
      <c r="H625" s="106">
        <v>0</v>
      </c>
      <c r="I625" s="106"/>
      <c r="J625" s="106"/>
      <c r="K625" s="106"/>
      <c r="L625" s="213">
        <v>0</v>
      </c>
      <c r="M625" s="213">
        <v>0</v>
      </c>
      <c r="N625" s="213">
        <v>0</v>
      </c>
      <c r="O625" s="213">
        <v>0</v>
      </c>
      <c r="P625" s="108">
        <v>0</v>
      </c>
      <c r="Q625" s="108">
        <v>-0.333333333333333</v>
      </c>
      <c r="R625" s="108">
        <v>-0.2</v>
      </c>
      <c r="S625" s="108">
        <v>-0.142857142857143</v>
      </c>
      <c r="T625" s="108">
        <v>0</v>
      </c>
      <c r="U625" s="108">
        <v>-0.333333333333333</v>
      </c>
      <c r="V625" s="108">
        <v>-0.2</v>
      </c>
      <c r="W625" s="108">
        <v>-0.142857142857143</v>
      </c>
    </row>
    <row r="626" spans="1:23">
      <c r="A626" s="103">
        <v>45037</v>
      </c>
      <c r="B626" s="104" t="s">
        <v>32</v>
      </c>
      <c r="C626" s="145">
        <v>0</v>
      </c>
      <c r="D626" s="145"/>
      <c r="E626" s="104">
        <v>0</v>
      </c>
      <c r="F626" s="106">
        <v>0</v>
      </c>
      <c r="G626" s="107">
        <v>0</v>
      </c>
      <c r="H626" s="106">
        <v>0</v>
      </c>
      <c r="I626" s="106"/>
      <c r="J626" s="106"/>
      <c r="K626" s="106"/>
      <c r="L626" s="213">
        <v>0</v>
      </c>
      <c r="M626" s="213">
        <v>0</v>
      </c>
      <c r="N626" s="213">
        <v>0</v>
      </c>
      <c r="O626" s="213">
        <v>0</v>
      </c>
      <c r="P626" s="108">
        <v>0</v>
      </c>
      <c r="Q626" s="108">
        <v>0</v>
      </c>
      <c r="R626" s="108">
        <v>0</v>
      </c>
      <c r="S626" s="108">
        <v>0</v>
      </c>
      <c r="T626" s="108">
        <v>0</v>
      </c>
      <c r="U626" s="108">
        <v>0</v>
      </c>
      <c r="V626" s="108">
        <v>0</v>
      </c>
      <c r="W626" s="108">
        <v>0</v>
      </c>
    </row>
    <row r="627" spans="1:23">
      <c r="A627" s="103">
        <v>45037</v>
      </c>
      <c r="B627" s="104" t="s">
        <v>33</v>
      </c>
      <c r="C627" s="145">
        <v>0</v>
      </c>
      <c r="D627" s="145"/>
      <c r="E627" s="104">
        <v>0</v>
      </c>
      <c r="F627" s="106">
        <v>0</v>
      </c>
      <c r="G627" s="107">
        <v>0</v>
      </c>
      <c r="H627" s="106">
        <v>0</v>
      </c>
      <c r="I627" s="106"/>
      <c r="J627" s="106"/>
      <c r="K627" s="106"/>
      <c r="L627" s="213">
        <v>0</v>
      </c>
      <c r="M627" s="213">
        <v>0</v>
      </c>
      <c r="N627" s="213">
        <v>0</v>
      </c>
      <c r="O627" s="213">
        <v>0</v>
      </c>
      <c r="P627" s="108">
        <v>0</v>
      </c>
      <c r="Q627" s="108">
        <v>0</v>
      </c>
      <c r="R627" s="108">
        <v>0</v>
      </c>
      <c r="S627" s="108">
        <v>0</v>
      </c>
      <c r="T627" s="108">
        <v>0</v>
      </c>
      <c r="U627" s="108">
        <v>0</v>
      </c>
      <c r="V627" s="108">
        <v>0</v>
      </c>
      <c r="W627" s="108">
        <v>0</v>
      </c>
    </row>
    <row r="628" spans="1:23">
      <c r="A628" s="103">
        <v>45037</v>
      </c>
      <c r="B628" s="104" t="s">
        <v>34</v>
      </c>
      <c r="C628" s="145">
        <v>0</v>
      </c>
      <c r="D628" s="145"/>
      <c r="E628" s="104">
        <v>0</v>
      </c>
      <c r="F628" s="106">
        <v>0</v>
      </c>
      <c r="G628" s="107">
        <v>0</v>
      </c>
      <c r="H628" s="106">
        <v>0</v>
      </c>
      <c r="I628" s="106"/>
      <c r="J628" s="106"/>
      <c r="K628" s="106"/>
      <c r="L628" s="213">
        <v>0</v>
      </c>
      <c r="M628" s="213">
        <v>0</v>
      </c>
      <c r="N628" s="213">
        <v>0</v>
      </c>
      <c r="O628" s="213">
        <v>0</v>
      </c>
      <c r="P628" s="108">
        <v>0</v>
      </c>
      <c r="Q628" s="108">
        <v>0</v>
      </c>
      <c r="R628" s="108">
        <v>0</v>
      </c>
      <c r="S628" s="108">
        <v>0</v>
      </c>
      <c r="T628" s="108">
        <v>0</v>
      </c>
      <c r="U628" s="108">
        <v>0</v>
      </c>
      <c r="V628" s="108">
        <v>0</v>
      </c>
      <c r="W628" s="108">
        <v>0</v>
      </c>
    </row>
    <row r="629" spans="1:23">
      <c r="A629" s="103">
        <v>45037</v>
      </c>
      <c r="B629" s="104" t="s">
        <v>35</v>
      </c>
      <c r="C629" s="145">
        <v>0</v>
      </c>
      <c r="D629" s="145"/>
      <c r="E629" s="104">
        <v>0</v>
      </c>
      <c r="F629" s="106">
        <v>0</v>
      </c>
      <c r="G629" s="107">
        <v>0</v>
      </c>
      <c r="H629" s="106">
        <v>0</v>
      </c>
      <c r="I629" s="106"/>
      <c r="J629" s="106"/>
      <c r="K629" s="106"/>
      <c r="L629" s="213">
        <v>0</v>
      </c>
      <c r="M629" s="213">
        <v>0</v>
      </c>
      <c r="N629" s="213">
        <v>0</v>
      </c>
      <c r="O629" s="213">
        <v>0</v>
      </c>
      <c r="P629" s="108">
        <v>0</v>
      </c>
      <c r="Q629" s="108">
        <v>0</v>
      </c>
      <c r="R629" s="108">
        <v>0</v>
      </c>
      <c r="S629" s="108">
        <v>0</v>
      </c>
      <c r="T629" s="108">
        <v>0</v>
      </c>
      <c r="U629" s="108">
        <v>0</v>
      </c>
      <c r="V629" s="108">
        <v>0</v>
      </c>
      <c r="W629" s="108">
        <v>0</v>
      </c>
    </row>
    <row r="630" spans="1:23">
      <c r="A630" s="103">
        <v>45037</v>
      </c>
      <c r="B630" s="104" t="s">
        <v>36</v>
      </c>
      <c r="C630" s="145">
        <v>0</v>
      </c>
      <c r="D630" s="145"/>
      <c r="E630" s="104">
        <v>0</v>
      </c>
      <c r="F630" s="106">
        <v>0</v>
      </c>
      <c r="G630" s="107">
        <v>0</v>
      </c>
      <c r="H630" s="106">
        <v>0</v>
      </c>
      <c r="I630" s="106"/>
      <c r="J630" s="106"/>
      <c r="K630" s="106"/>
      <c r="L630" s="213">
        <v>0</v>
      </c>
      <c r="M630" s="213">
        <v>0</v>
      </c>
      <c r="N630" s="213">
        <v>0</v>
      </c>
      <c r="O630" s="213">
        <v>0</v>
      </c>
      <c r="P630" s="108">
        <v>0</v>
      </c>
      <c r="Q630" s="108">
        <v>0</v>
      </c>
      <c r="R630" s="108">
        <v>0</v>
      </c>
      <c r="S630" s="108">
        <v>0</v>
      </c>
      <c r="T630" s="108">
        <v>0</v>
      </c>
      <c r="U630" s="108">
        <v>0</v>
      </c>
      <c r="V630" s="108">
        <v>0</v>
      </c>
      <c r="W630" s="108">
        <v>0</v>
      </c>
    </row>
    <row r="631" spans="1:23">
      <c r="A631" s="103">
        <v>45037</v>
      </c>
      <c r="B631" s="104" t="s">
        <v>37</v>
      </c>
      <c r="C631" s="145">
        <v>0</v>
      </c>
      <c r="D631" s="145"/>
      <c r="E631" s="104">
        <v>0</v>
      </c>
      <c r="F631" s="106">
        <v>0</v>
      </c>
      <c r="G631" s="107">
        <v>0</v>
      </c>
      <c r="H631" s="106">
        <v>0</v>
      </c>
      <c r="I631" s="106"/>
      <c r="J631" s="106"/>
      <c r="K631" s="106"/>
      <c r="L631" s="213">
        <v>0</v>
      </c>
      <c r="M631" s="213">
        <v>0</v>
      </c>
      <c r="N631" s="213">
        <v>0</v>
      </c>
      <c r="O631" s="213">
        <v>0</v>
      </c>
      <c r="P631" s="108">
        <v>0</v>
      </c>
      <c r="Q631" s="108">
        <v>0</v>
      </c>
      <c r="R631" s="108">
        <v>0</v>
      </c>
      <c r="S631" s="108">
        <v>0</v>
      </c>
      <c r="T631" s="108">
        <v>0</v>
      </c>
      <c r="U631" s="108">
        <v>0</v>
      </c>
      <c r="V631" s="108">
        <v>0</v>
      </c>
      <c r="W631" s="108">
        <v>0</v>
      </c>
    </row>
    <row r="632" spans="1:23">
      <c r="A632" s="103">
        <v>45037</v>
      </c>
      <c r="B632" s="104" t="s">
        <v>38</v>
      </c>
      <c r="C632" s="145">
        <v>0</v>
      </c>
      <c r="D632" s="145"/>
      <c r="E632" s="104">
        <v>0</v>
      </c>
      <c r="F632" s="106">
        <v>0</v>
      </c>
      <c r="G632" s="107">
        <v>0</v>
      </c>
      <c r="H632" s="106">
        <v>0</v>
      </c>
      <c r="I632" s="106"/>
      <c r="J632" s="106"/>
      <c r="K632" s="106"/>
      <c r="L632" s="213">
        <v>0</v>
      </c>
      <c r="M632" s="213">
        <v>0</v>
      </c>
      <c r="N632" s="213">
        <v>0</v>
      </c>
      <c r="O632" s="213">
        <v>0</v>
      </c>
      <c r="P632" s="108">
        <v>0</v>
      </c>
      <c r="Q632" s="108">
        <v>0</v>
      </c>
      <c r="R632" s="108">
        <v>0</v>
      </c>
      <c r="S632" s="108">
        <v>0</v>
      </c>
      <c r="T632" s="108">
        <v>0</v>
      </c>
      <c r="U632" s="108">
        <v>0</v>
      </c>
      <c r="V632" s="108">
        <v>0</v>
      </c>
      <c r="W632" s="108">
        <v>0</v>
      </c>
    </row>
    <row r="633" spans="1:23">
      <c r="A633" s="103">
        <v>45037</v>
      </c>
      <c r="B633" s="111" t="s">
        <v>39</v>
      </c>
      <c r="C633" s="112">
        <v>28014</v>
      </c>
      <c r="D633" s="112"/>
      <c r="E633" s="112">
        <v>266</v>
      </c>
      <c r="F633" s="113">
        <v>0.00949525237381309</v>
      </c>
      <c r="G633" s="112">
        <v>90</v>
      </c>
      <c r="H633" s="113">
        <v>0.338345864661654</v>
      </c>
      <c r="I633" s="113"/>
      <c r="J633" s="113"/>
      <c r="K633" s="113"/>
      <c r="L633" s="213"/>
      <c r="M633" s="213"/>
      <c r="N633" s="213"/>
      <c r="O633" s="213"/>
      <c r="P633" s="108"/>
      <c r="Q633" s="108"/>
      <c r="R633" s="108"/>
      <c r="S633" s="108"/>
      <c r="T633" s="108"/>
      <c r="U633" s="108"/>
      <c r="V633" s="108"/>
      <c r="W633" s="108"/>
    </row>
    <row r="634" spans="1:23">
      <c r="A634" s="103">
        <v>45038</v>
      </c>
      <c r="B634" s="104" t="s">
        <v>17</v>
      </c>
      <c r="C634" s="105">
        <v>636</v>
      </c>
      <c r="D634" s="105"/>
      <c r="E634" s="104">
        <v>19</v>
      </c>
      <c r="F634" s="106">
        <v>0.029874213836478</v>
      </c>
      <c r="G634" s="107">
        <v>3</v>
      </c>
      <c r="H634" s="106">
        <v>0.157894736842105</v>
      </c>
      <c r="I634" s="106"/>
      <c r="J634" s="106"/>
      <c r="K634" s="106"/>
      <c r="L634" s="213">
        <v>-65</v>
      </c>
      <c r="M634" s="213">
        <v>13.3333333333334</v>
      </c>
      <c r="N634" s="213">
        <v>-28</v>
      </c>
      <c r="O634" s="213">
        <v>36.8571428571429</v>
      </c>
      <c r="P634" s="108">
        <v>-2</v>
      </c>
      <c r="Q634" s="108">
        <v>0.333333333333332</v>
      </c>
      <c r="R634" s="108">
        <v>-2.6</v>
      </c>
      <c r="S634" s="108">
        <v>-4.85714285714286</v>
      </c>
      <c r="T634" s="108">
        <v>-2</v>
      </c>
      <c r="U634" s="108">
        <v>-2.33333333333333</v>
      </c>
      <c r="V634" s="108">
        <v>-3</v>
      </c>
      <c r="W634" s="108">
        <v>-3.28571428571429</v>
      </c>
    </row>
    <row r="635" spans="1:23">
      <c r="A635" s="103">
        <v>45038</v>
      </c>
      <c r="B635" s="104" t="s">
        <v>19</v>
      </c>
      <c r="C635" s="107">
        <v>3366</v>
      </c>
      <c r="D635" s="107"/>
      <c r="E635" s="104">
        <v>35</v>
      </c>
      <c r="F635" s="106">
        <v>0.0103980986333928</v>
      </c>
      <c r="G635" s="107">
        <v>10</v>
      </c>
      <c r="H635" s="106">
        <v>0.285714285714286</v>
      </c>
      <c r="I635" s="106"/>
      <c r="J635" s="106"/>
      <c r="K635" s="106"/>
      <c r="L635" s="213">
        <v>460</v>
      </c>
      <c r="M635" s="213">
        <v>996</v>
      </c>
      <c r="N635" s="213">
        <v>1402</v>
      </c>
      <c r="O635" s="213">
        <v>1536</v>
      </c>
      <c r="P635" s="108">
        <v>-7</v>
      </c>
      <c r="Q635" s="108">
        <v>-4</v>
      </c>
      <c r="R635" s="108">
        <v>1.8</v>
      </c>
      <c r="S635" s="108">
        <v>0.428571428571431</v>
      </c>
      <c r="T635" s="108">
        <v>-8</v>
      </c>
      <c r="U635" s="108">
        <v>-8.33333333333333</v>
      </c>
      <c r="V635" s="108">
        <v>-5.4</v>
      </c>
      <c r="W635" s="115">
        <v>-4.57142857142857</v>
      </c>
    </row>
    <row r="636" spans="1:23">
      <c r="A636" s="103">
        <v>45038</v>
      </c>
      <c r="B636" s="104" t="s">
        <v>21</v>
      </c>
      <c r="C636" s="145">
        <v>631</v>
      </c>
      <c r="D636" s="145"/>
      <c r="E636" s="104">
        <v>25</v>
      </c>
      <c r="F636" s="106">
        <v>0.0396196513470681</v>
      </c>
      <c r="G636" s="107">
        <v>10</v>
      </c>
      <c r="H636" s="106">
        <v>0.4</v>
      </c>
      <c r="I636" s="106"/>
      <c r="J636" s="106"/>
      <c r="K636" s="106"/>
      <c r="L636" s="213">
        <v>70</v>
      </c>
      <c r="M636" s="213">
        <v>83.6666666666666</v>
      </c>
      <c r="N636" s="213">
        <v>76.4</v>
      </c>
      <c r="O636" s="213">
        <v>101.714285714286</v>
      </c>
      <c r="P636" s="108">
        <v>1</v>
      </c>
      <c r="Q636" s="108">
        <v>-1</v>
      </c>
      <c r="R636" s="108">
        <v>-3.8</v>
      </c>
      <c r="S636" s="108">
        <v>-1.85714285714286</v>
      </c>
      <c r="T636" s="108">
        <v>0</v>
      </c>
      <c r="U636" s="108">
        <v>1</v>
      </c>
      <c r="V636" s="108">
        <v>-0.4</v>
      </c>
      <c r="W636" s="108">
        <v>0.142857142857142</v>
      </c>
    </row>
    <row r="637" spans="1:23">
      <c r="A637" s="103">
        <v>45038</v>
      </c>
      <c r="B637" s="104" t="s">
        <v>22</v>
      </c>
      <c r="C637" s="145">
        <v>3635</v>
      </c>
      <c r="D637" s="145"/>
      <c r="E637" s="104">
        <v>52</v>
      </c>
      <c r="F637" s="106">
        <v>0.0143053645116919</v>
      </c>
      <c r="G637" s="107">
        <v>22</v>
      </c>
      <c r="H637" s="106">
        <v>0.423076923076923</v>
      </c>
      <c r="I637" s="106"/>
      <c r="J637" s="106"/>
      <c r="K637" s="106"/>
      <c r="L637" s="213">
        <v>-107</v>
      </c>
      <c r="M637" s="213">
        <v>-92</v>
      </c>
      <c r="N637" s="213">
        <v>-159.6</v>
      </c>
      <c r="O637" s="213">
        <v>-343.571428571428</v>
      </c>
      <c r="P637" s="108">
        <v>-18</v>
      </c>
      <c r="Q637" s="108">
        <v>-21.6666666666667</v>
      </c>
      <c r="R637" s="108">
        <v>-23.8</v>
      </c>
      <c r="S637" s="115">
        <v>-32.2857142857143</v>
      </c>
      <c r="T637" s="108">
        <v>-3</v>
      </c>
      <c r="U637" s="108">
        <v>-7</v>
      </c>
      <c r="V637" s="108">
        <v>-5.8</v>
      </c>
      <c r="W637" s="117">
        <v>-8.71428571428572</v>
      </c>
    </row>
    <row r="638" spans="1:23">
      <c r="A638" s="103">
        <v>45038</v>
      </c>
      <c r="B638" s="104" t="s">
        <v>23</v>
      </c>
      <c r="C638" s="145">
        <v>2592</v>
      </c>
      <c r="D638" s="145"/>
      <c r="E638" s="104">
        <v>22</v>
      </c>
      <c r="F638" s="106">
        <v>0.00848765432098765</v>
      </c>
      <c r="G638" s="107">
        <v>7</v>
      </c>
      <c r="H638" s="106">
        <v>0.318181818181818</v>
      </c>
      <c r="I638" s="106"/>
      <c r="J638" s="106"/>
      <c r="K638" s="106"/>
      <c r="L638" s="213">
        <v>-20</v>
      </c>
      <c r="M638" s="213">
        <v>-6.66666666666652</v>
      </c>
      <c r="N638" s="213">
        <v>2.40000000000009</v>
      </c>
      <c r="O638" s="213">
        <v>-33.5714285714284</v>
      </c>
      <c r="P638" s="108">
        <v>-1</v>
      </c>
      <c r="Q638" s="108">
        <v>-4.66666666666667</v>
      </c>
      <c r="R638" s="108">
        <v>-4.8</v>
      </c>
      <c r="S638" s="108">
        <v>-4.85714285714286</v>
      </c>
      <c r="T638" s="108">
        <v>1</v>
      </c>
      <c r="U638" s="116">
        <v>-1.66666666666667</v>
      </c>
      <c r="V638" s="108">
        <v>-1.2</v>
      </c>
      <c r="W638" s="108">
        <v>-2.42857142857143</v>
      </c>
    </row>
    <row r="639" spans="1:23">
      <c r="A639" s="103">
        <v>45038</v>
      </c>
      <c r="B639" s="104" t="s">
        <v>24</v>
      </c>
      <c r="C639" s="145">
        <v>432</v>
      </c>
      <c r="D639" s="145"/>
      <c r="E639" s="104">
        <v>1</v>
      </c>
      <c r="F639" s="106">
        <v>0.00231481481481481</v>
      </c>
      <c r="G639" s="107">
        <v>1</v>
      </c>
      <c r="H639" s="106">
        <v>1</v>
      </c>
      <c r="I639" s="106"/>
      <c r="J639" s="106"/>
      <c r="K639" s="106"/>
      <c r="L639" s="213">
        <v>60</v>
      </c>
      <c r="M639" s="213">
        <v>14.6666666666667</v>
      </c>
      <c r="N639" s="213">
        <v>-56</v>
      </c>
      <c r="O639" s="213">
        <v>-37.2857142857143</v>
      </c>
      <c r="P639" s="115">
        <v>0</v>
      </c>
      <c r="Q639" s="115">
        <v>-1.66666666666667</v>
      </c>
      <c r="R639" s="117">
        <v>-3.2</v>
      </c>
      <c r="S639" s="117">
        <v>-2.71428571428571</v>
      </c>
      <c r="T639" s="115">
        <v>0</v>
      </c>
      <c r="U639" s="115">
        <v>-1.66666666666667</v>
      </c>
      <c r="V639" s="115">
        <v>-1.4</v>
      </c>
      <c r="W639" s="115">
        <v>-1.57142857142857</v>
      </c>
    </row>
    <row r="640" spans="1:23">
      <c r="A640" s="103">
        <v>45038</v>
      </c>
      <c r="B640" s="104" t="s">
        <v>25</v>
      </c>
      <c r="C640" s="145">
        <v>15742</v>
      </c>
      <c r="D640" s="145"/>
      <c r="E640" s="104">
        <v>43</v>
      </c>
      <c r="F640" s="106">
        <v>0.00273154618218778</v>
      </c>
      <c r="G640" s="107">
        <v>19</v>
      </c>
      <c r="H640" s="106">
        <v>0.441860465116279</v>
      </c>
      <c r="I640" s="106"/>
      <c r="J640" s="106"/>
      <c r="K640" s="106"/>
      <c r="L640" s="213">
        <v>1416</v>
      </c>
      <c r="M640" s="213">
        <v>1976</v>
      </c>
      <c r="N640" s="213">
        <v>2682</v>
      </c>
      <c r="O640" s="213">
        <v>3060.85714285714</v>
      </c>
      <c r="P640" s="116">
        <v>-8</v>
      </c>
      <c r="Q640" s="115">
        <v>4.33333333333334</v>
      </c>
      <c r="R640" s="115">
        <v>4.4</v>
      </c>
      <c r="S640" s="115">
        <v>3.71428571428572</v>
      </c>
      <c r="T640" s="108">
        <v>4</v>
      </c>
      <c r="U640" s="108">
        <v>3.66666666666667</v>
      </c>
      <c r="V640" s="108">
        <v>6.2</v>
      </c>
      <c r="W640" s="108">
        <v>4.57142857142857</v>
      </c>
    </row>
    <row r="641" spans="1:23">
      <c r="A641" s="103">
        <v>45038</v>
      </c>
      <c r="B641" s="104" t="s">
        <v>26</v>
      </c>
      <c r="C641" s="145">
        <v>2196</v>
      </c>
      <c r="D641" s="145"/>
      <c r="E641" s="104">
        <v>22</v>
      </c>
      <c r="F641" s="106">
        <v>0.0100182149362477</v>
      </c>
      <c r="G641" s="107">
        <v>8</v>
      </c>
      <c r="H641" s="106">
        <v>0.363636363636364</v>
      </c>
      <c r="I641" s="106"/>
      <c r="J641" s="106"/>
      <c r="K641" s="106"/>
      <c r="L641" s="213">
        <v>-86</v>
      </c>
      <c r="M641" s="213">
        <v>-9.33333333333348</v>
      </c>
      <c r="N641" s="213">
        <v>98</v>
      </c>
      <c r="O641" s="213">
        <v>-164.857142857143</v>
      </c>
      <c r="P641" s="108">
        <v>-6</v>
      </c>
      <c r="Q641" s="108">
        <v>-1.33333333333333</v>
      </c>
      <c r="R641" s="108">
        <v>-1.8</v>
      </c>
      <c r="S641" s="108">
        <v>-3.28571428571428</v>
      </c>
      <c r="T641" s="108">
        <v>0</v>
      </c>
      <c r="U641" s="108">
        <v>-0.333333333333334</v>
      </c>
      <c r="V641" s="108">
        <v>0.4</v>
      </c>
      <c r="W641" s="108">
        <v>-1.14285714285714</v>
      </c>
    </row>
    <row r="642" spans="1:23">
      <c r="A642" s="103">
        <v>45038</v>
      </c>
      <c r="B642" s="104" t="s">
        <v>27</v>
      </c>
      <c r="C642" s="145">
        <v>548</v>
      </c>
      <c r="D642" s="145"/>
      <c r="E642" s="104">
        <v>7</v>
      </c>
      <c r="F642" s="106">
        <v>0.0127737226277372</v>
      </c>
      <c r="G642" s="107">
        <v>2</v>
      </c>
      <c r="H642" s="106">
        <v>0.285714285714286</v>
      </c>
      <c r="I642" s="106"/>
      <c r="J642" s="106"/>
      <c r="K642" s="106"/>
      <c r="L642" s="213">
        <v>36</v>
      </c>
      <c r="M642" s="213">
        <v>94</v>
      </c>
      <c r="N642" s="213">
        <v>158.4</v>
      </c>
      <c r="O642" s="213">
        <v>183.714285714286</v>
      </c>
      <c r="P642" s="108">
        <v>3</v>
      </c>
      <c r="Q642" s="108">
        <v>4.66666666666667</v>
      </c>
      <c r="R642" s="108">
        <v>3.2</v>
      </c>
      <c r="S642" s="108">
        <v>3.57142857142857</v>
      </c>
      <c r="T642" s="108">
        <v>0</v>
      </c>
      <c r="U642" s="108">
        <v>0.333333333333333</v>
      </c>
      <c r="V642" s="108">
        <v>0.4</v>
      </c>
      <c r="W642" s="108">
        <v>0.571428571428571</v>
      </c>
    </row>
    <row r="643" spans="1:23">
      <c r="A643" s="103">
        <v>45038</v>
      </c>
      <c r="B643" s="104" t="s">
        <v>28</v>
      </c>
      <c r="C643" s="145">
        <v>0</v>
      </c>
      <c r="D643" s="145"/>
      <c r="E643" s="104">
        <v>0</v>
      </c>
      <c r="F643" s="106">
        <v>0</v>
      </c>
      <c r="G643" s="107">
        <v>0</v>
      </c>
      <c r="H643" s="106">
        <v>0</v>
      </c>
      <c r="I643" s="106"/>
      <c r="J643" s="106"/>
      <c r="K643" s="106"/>
      <c r="L643" s="213">
        <v>0</v>
      </c>
      <c r="M643" s="213">
        <v>0</v>
      </c>
      <c r="N643" s="213">
        <v>0</v>
      </c>
      <c r="O643" s="213">
        <v>0</v>
      </c>
      <c r="P643" s="108">
        <v>-1</v>
      </c>
      <c r="Q643" s="108">
        <v>-0.666666666666667</v>
      </c>
      <c r="R643" s="108">
        <v>-0.4</v>
      </c>
      <c r="S643" s="108">
        <v>-0.285714285714286</v>
      </c>
      <c r="T643" s="108">
        <v>0</v>
      </c>
      <c r="U643" s="108">
        <v>0</v>
      </c>
      <c r="V643" s="108">
        <v>-0.2</v>
      </c>
      <c r="W643" s="108">
        <v>-0.142857142857143</v>
      </c>
    </row>
    <row r="644" spans="1:23">
      <c r="A644" s="103">
        <v>45038</v>
      </c>
      <c r="B644" s="104" t="s">
        <v>29</v>
      </c>
      <c r="C644" s="145">
        <v>0</v>
      </c>
      <c r="D644" s="145"/>
      <c r="E644" s="104">
        <v>1</v>
      </c>
      <c r="F644" s="106">
        <v>1</v>
      </c>
      <c r="G644" s="107">
        <v>0</v>
      </c>
      <c r="H644" s="106">
        <v>0</v>
      </c>
      <c r="I644" s="106"/>
      <c r="J644" s="106"/>
      <c r="K644" s="106"/>
      <c r="L644" s="213">
        <v>0</v>
      </c>
      <c r="M644" s="213">
        <v>0</v>
      </c>
      <c r="N644" s="213">
        <v>0</v>
      </c>
      <c r="O644" s="213">
        <v>0</v>
      </c>
      <c r="P644" s="108">
        <v>0</v>
      </c>
      <c r="Q644" s="108">
        <v>0.666666666666667</v>
      </c>
      <c r="R644" s="108">
        <v>0.8</v>
      </c>
      <c r="S644" s="108">
        <v>0.857142857142857</v>
      </c>
      <c r="T644" s="108">
        <v>0</v>
      </c>
      <c r="U644" s="108">
        <v>0</v>
      </c>
      <c r="V644" s="108">
        <v>0</v>
      </c>
      <c r="W644" s="108">
        <v>0</v>
      </c>
    </row>
    <row r="645" spans="1:23">
      <c r="A645" s="103">
        <v>45038</v>
      </c>
      <c r="B645" s="104" t="s">
        <v>30</v>
      </c>
      <c r="C645" s="145">
        <v>0</v>
      </c>
      <c r="D645" s="145"/>
      <c r="E645" s="104">
        <v>0</v>
      </c>
      <c r="F645" s="106">
        <v>0</v>
      </c>
      <c r="G645" s="107">
        <v>0</v>
      </c>
      <c r="H645" s="106">
        <v>0</v>
      </c>
      <c r="I645" s="106"/>
      <c r="J645" s="106"/>
      <c r="K645" s="106"/>
      <c r="L645" s="213">
        <v>0</v>
      </c>
      <c r="M645" s="213">
        <v>0</v>
      </c>
      <c r="N645" s="213">
        <v>0</v>
      </c>
      <c r="O645" s="213">
        <v>0</v>
      </c>
      <c r="P645" s="108">
        <v>0</v>
      </c>
      <c r="Q645" s="108">
        <v>0</v>
      </c>
      <c r="R645" s="108">
        <v>0</v>
      </c>
      <c r="S645" s="108">
        <v>0</v>
      </c>
      <c r="T645" s="108">
        <v>0</v>
      </c>
      <c r="U645" s="108">
        <v>0</v>
      </c>
      <c r="V645" s="108">
        <v>0</v>
      </c>
      <c r="W645" s="108">
        <v>0</v>
      </c>
    </row>
    <row r="646" spans="1:23">
      <c r="A646" s="103">
        <v>45038</v>
      </c>
      <c r="B646" s="104" t="s">
        <v>31</v>
      </c>
      <c r="C646" s="145">
        <v>0</v>
      </c>
      <c r="D646" s="145"/>
      <c r="E646" s="104">
        <v>0</v>
      </c>
      <c r="F646" s="106">
        <v>0</v>
      </c>
      <c r="G646" s="107">
        <v>1</v>
      </c>
      <c r="H646" s="106">
        <v>1</v>
      </c>
      <c r="I646" s="106"/>
      <c r="J646" s="106"/>
      <c r="K646" s="106"/>
      <c r="L646" s="213">
        <v>0</v>
      </c>
      <c r="M646" s="213">
        <v>0</v>
      </c>
      <c r="N646" s="213">
        <v>0</v>
      </c>
      <c r="O646" s="213">
        <v>0</v>
      </c>
      <c r="P646" s="108">
        <v>0</v>
      </c>
      <c r="Q646" s="108">
        <v>0</v>
      </c>
      <c r="R646" s="108">
        <v>-0.2</v>
      </c>
      <c r="S646" s="108">
        <v>-0.142857142857143</v>
      </c>
      <c r="T646" s="108">
        <v>1</v>
      </c>
      <c r="U646" s="108">
        <v>1</v>
      </c>
      <c r="V646" s="108">
        <v>0.8</v>
      </c>
      <c r="W646" s="108">
        <v>0.857142857142857</v>
      </c>
    </row>
    <row r="647" spans="1:23">
      <c r="A647" s="103">
        <v>45038</v>
      </c>
      <c r="B647" s="104" t="s">
        <v>32</v>
      </c>
      <c r="C647" s="145">
        <v>0</v>
      </c>
      <c r="D647" s="145"/>
      <c r="E647" s="104">
        <v>0</v>
      </c>
      <c r="F647" s="106">
        <v>0</v>
      </c>
      <c r="G647" s="107">
        <v>0</v>
      </c>
      <c r="H647" s="106">
        <v>0</v>
      </c>
      <c r="I647" s="106"/>
      <c r="J647" s="106"/>
      <c r="K647" s="106"/>
      <c r="L647" s="213">
        <v>0</v>
      </c>
      <c r="M647" s="213">
        <v>0</v>
      </c>
      <c r="N647" s="213">
        <v>0</v>
      </c>
      <c r="O647" s="213">
        <v>0</v>
      </c>
      <c r="P647" s="108">
        <v>0</v>
      </c>
      <c r="Q647" s="108">
        <v>0</v>
      </c>
      <c r="R647" s="108">
        <v>0</v>
      </c>
      <c r="S647" s="108">
        <v>0</v>
      </c>
      <c r="T647" s="108">
        <v>0</v>
      </c>
      <c r="U647" s="108">
        <v>0</v>
      </c>
      <c r="V647" s="108">
        <v>0</v>
      </c>
      <c r="W647" s="108">
        <v>0</v>
      </c>
    </row>
    <row r="648" spans="1:23">
      <c r="A648" s="103">
        <v>45038</v>
      </c>
      <c r="B648" s="104" t="s">
        <v>33</v>
      </c>
      <c r="C648" s="145">
        <v>0</v>
      </c>
      <c r="D648" s="145"/>
      <c r="E648" s="104">
        <v>0</v>
      </c>
      <c r="F648" s="106">
        <v>0</v>
      </c>
      <c r="G648" s="107">
        <v>0</v>
      </c>
      <c r="H648" s="106">
        <v>0</v>
      </c>
      <c r="I648" s="106"/>
      <c r="J648" s="106"/>
      <c r="K648" s="106"/>
      <c r="L648" s="213">
        <v>0</v>
      </c>
      <c r="M648" s="213">
        <v>0</v>
      </c>
      <c r="N648" s="213">
        <v>0</v>
      </c>
      <c r="O648" s="213">
        <v>0</v>
      </c>
      <c r="P648" s="108">
        <v>0</v>
      </c>
      <c r="Q648" s="108">
        <v>0</v>
      </c>
      <c r="R648" s="108">
        <v>0</v>
      </c>
      <c r="S648" s="108">
        <v>0</v>
      </c>
      <c r="T648" s="108">
        <v>0</v>
      </c>
      <c r="U648" s="108">
        <v>0</v>
      </c>
      <c r="V648" s="108">
        <v>0</v>
      </c>
      <c r="W648" s="108">
        <v>0</v>
      </c>
    </row>
    <row r="649" spans="1:23">
      <c r="A649" s="103">
        <v>45038</v>
      </c>
      <c r="B649" s="104" t="s">
        <v>34</v>
      </c>
      <c r="C649" s="145">
        <v>0</v>
      </c>
      <c r="D649" s="145"/>
      <c r="E649" s="104">
        <v>0</v>
      </c>
      <c r="F649" s="106">
        <v>0</v>
      </c>
      <c r="G649" s="107">
        <v>0</v>
      </c>
      <c r="H649" s="106">
        <v>0</v>
      </c>
      <c r="I649" s="106"/>
      <c r="J649" s="106"/>
      <c r="K649" s="106"/>
      <c r="L649" s="213">
        <v>0</v>
      </c>
      <c r="M649" s="213">
        <v>0</v>
      </c>
      <c r="N649" s="213">
        <v>0</v>
      </c>
      <c r="O649" s="213">
        <v>0</v>
      </c>
      <c r="P649" s="108">
        <v>0</v>
      </c>
      <c r="Q649" s="108">
        <v>0</v>
      </c>
      <c r="R649" s="108">
        <v>0</v>
      </c>
      <c r="S649" s="108">
        <v>0</v>
      </c>
      <c r="T649" s="108">
        <v>0</v>
      </c>
      <c r="U649" s="108">
        <v>0</v>
      </c>
      <c r="V649" s="108">
        <v>0</v>
      </c>
      <c r="W649" s="108">
        <v>0</v>
      </c>
    </row>
    <row r="650" spans="1:23">
      <c r="A650" s="103">
        <v>45038</v>
      </c>
      <c r="B650" s="104" t="s">
        <v>35</v>
      </c>
      <c r="C650" s="145">
        <v>0</v>
      </c>
      <c r="D650" s="145"/>
      <c r="E650" s="104">
        <v>0</v>
      </c>
      <c r="F650" s="106">
        <v>0</v>
      </c>
      <c r="G650" s="107">
        <v>0</v>
      </c>
      <c r="H650" s="106">
        <v>0</v>
      </c>
      <c r="I650" s="106"/>
      <c r="J650" s="106"/>
      <c r="K650" s="106"/>
      <c r="L650" s="213">
        <v>0</v>
      </c>
      <c r="M650" s="213">
        <v>0</v>
      </c>
      <c r="N650" s="213">
        <v>0</v>
      </c>
      <c r="O650" s="213">
        <v>0</v>
      </c>
      <c r="P650" s="108">
        <v>0</v>
      </c>
      <c r="Q650" s="108">
        <v>0</v>
      </c>
      <c r="R650" s="108">
        <v>0</v>
      </c>
      <c r="S650" s="108">
        <v>0</v>
      </c>
      <c r="T650" s="108">
        <v>0</v>
      </c>
      <c r="U650" s="108">
        <v>0</v>
      </c>
      <c r="V650" s="108">
        <v>0</v>
      </c>
      <c r="W650" s="108">
        <v>0</v>
      </c>
    </row>
    <row r="651" spans="1:23">
      <c r="A651" s="103">
        <v>45038</v>
      </c>
      <c r="B651" s="104" t="s">
        <v>36</v>
      </c>
      <c r="C651" s="145">
        <v>0</v>
      </c>
      <c r="D651" s="145"/>
      <c r="E651" s="104">
        <v>0</v>
      </c>
      <c r="F651" s="106">
        <v>0</v>
      </c>
      <c r="G651" s="107">
        <v>0</v>
      </c>
      <c r="H651" s="106">
        <v>0</v>
      </c>
      <c r="I651" s="106"/>
      <c r="J651" s="106"/>
      <c r="K651" s="106"/>
      <c r="L651" s="213">
        <v>0</v>
      </c>
      <c r="M651" s="213">
        <v>0</v>
      </c>
      <c r="N651" s="213">
        <v>0</v>
      </c>
      <c r="O651" s="213">
        <v>0</v>
      </c>
      <c r="P651" s="108">
        <v>0</v>
      </c>
      <c r="Q651" s="108">
        <v>0</v>
      </c>
      <c r="R651" s="108">
        <v>0</v>
      </c>
      <c r="S651" s="108">
        <v>0</v>
      </c>
      <c r="T651" s="108">
        <v>0</v>
      </c>
      <c r="U651" s="108">
        <v>0</v>
      </c>
      <c r="V651" s="108">
        <v>0</v>
      </c>
      <c r="W651" s="108">
        <v>0</v>
      </c>
    </row>
    <row r="652" spans="1:23">
      <c r="A652" s="103">
        <v>45038</v>
      </c>
      <c r="B652" s="104" t="s">
        <v>37</v>
      </c>
      <c r="C652" s="145">
        <v>0</v>
      </c>
      <c r="D652" s="145"/>
      <c r="E652" s="104">
        <v>0</v>
      </c>
      <c r="F652" s="106">
        <v>0</v>
      </c>
      <c r="G652" s="107">
        <v>0</v>
      </c>
      <c r="H652" s="106">
        <v>0</v>
      </c>
      <c r="I652" s="106"/>
      <c r="J652" s="106"/>
      <c r="K652" s="106"/>
      <c r="L652" s="213">
        <v>0</v>
      </c>
      <c r="M652" s="213">
        <v>0</v>
      </c>
      <c r="N652" s="213">
        <v>0</v>
      </c>
      <c r="O652" s="213">
        <v>0</v>
      </c>
      <c r="P652" s="108">
        <v>0</v>
      </c>
      <c r="Q652" s="108">
        <v>0</v>
      </c>
      <c r="R652" s="108">
        <v>0</v>
      </c>
      <c r="S652" s="108">
        <v>0</v>
      </c>
      <c r="T652" s="108">
        <v>0</v>
      </c>
      <c r="U652" s="108">
        <v>0</v>
      </c>
      <c r="V652" s="108">
        <v>0</v>
      </c>
      <c r="W652" s="108">
        <v>0</v>
      </c>
    </row>
    <row r="653" spans="1:23">
      <c r="A653" s="103">
        <v>45038</v>
      </c>
      <c r="B653" s="104" t="s">
        <v>38</v>
      </c>
      <c r="C653" s="145">
        <v>0</v>
      </c>
      <c r="D653" s="145"/>
      <c r="E653" s="104">
        <v>0</v>
      </c>
      <c r="F653" s="106">
        <v>0</v>
      </c>
      <c r="G653" s="107">
        <v>0</v>
      </c>
      <c r="H653" s="106">
        <v>0</v>
      </c>
      <c r="I653" s="106"/>
      <c r="J653" s="106"/>
      <c r="K653" s="106"/>
      <c r="L653" s="213">
        <v>0</v>
      </c>
      <c r="M653" s="213">
        <v>0</v>
      </c>
      <c r="N653" s="213">
        <v>0</v>
      </c>
      <c r="O653" s="213">
        <v>0</v>
      </c>
      <c r="P653" s="108">
        <v>0</v>
      </c>
      <c r="Q653" s="108">
        <v>0</v>
      </c>
      <c r="R653" s="108">
        <v>0</v>
      </c>
      <c r="S653" s="108">
        <v>0</v>
      </c>
      <c r="T653" s="108">
        <v>0</v>
      </c>
      <c r="U653" s="108">
        <v>0</v>
      </c>
      <c r="V653" s="108">
        <v>0</v>
      </c>
      <c r="W653" s="108">
        <v>0</v>
      </c>
    </row>
    <row r="654" spans="1:23">
      <c r="A654" s="103">
        <v>45038</v>
      </c>
      <c r="B654" s="111" t="s">
        <v>39</v>
      </c>
      <c r="C654" s="112">
        <v>29778</v>
      </c>
      <c r="D654" s="112"/>
      <c r="E654" s="112">
        <v>227</v>
      </c>
      <c r="F654" s="113">
        <v>0.0076230774397206</v>
      </c>
      <c r="G654" s="112">
        <v>83</v>
      </c>
      <c r="H654" s="113">
        <v>0.365638766519824</v>
      </c>
      <c r="I654" s="113"/>
      <c r="J654" s="113"/>
      <c r="K654" s="113"/>
      <c r="L654" s="213"/>
      <c r="M654" s="213"/>
      <c r="N654" s="213"/>
      <c r="O654" s="213"/>
      <c r="P654" s="108"/>
      <c r="Q654" s="108"/>
      <c r="R654" s="108"/>
      <c r="S654" s="108"/>
      <c r="T654" s="108"/>
      <c r="U654" s="108"/>
      <c r="V654" s="108"/>
      <c r="W654" s="108"/>
    </row>
    <row r="655" spans="1:23">
      <c r="A655" s="103">
        <v>45039</v>
      </c>
      <c r="B655" s="104" t="s">
        <v>17</v>
      </c>
      <c r="C655" s="105">
        <v>562</v>
      </c>
      <c r="D655" s="105"/>
      <c r="E655" s="104">
        <v>36</v>
      </c>
      <c r="F655" s="106">
        <v>0.0640569395017794</v>
      </c>
      <c r="G655" s="107">
        <v>7</v>
      </c>
      <c r="H655" s="106">
        <v>0.194444444444444</v>
      </c>
      <c r="I655" s="106"/>
      <c r="J655" s="106"/>
      <c r="K655" s="106"/>
      <c r="L655" s="213">
        <v>-74</v>
      </c>
      <c r="M655" s="213">
        <v>-63.6666666666666</v>
      </c>
      <c r="N655" s="213">
        <v>-82</v>
      </c>
      <c r="O655" s="213">
        <v>-102.857142857143</v>
      </c>
      <c r="P655" s="108">
        <v>17</v>
      </c>
      <c r="Q655" s="108">
        <v>17.6666666666667</v>
      </c>
      <c r="R655" s="108">
        <v>15.6</v>
      </c>
      <c r="S655" s="108">
        <v>13.5714285714286</v>
      </c>
      <c r="T655" s="108">
        <v>4</v>
      </c>
      <c r="U655" s="108">
        <v>3.33333333333333</v>
      </c>
      <c r="V655" s="108">
        <v>2</v>
      </c>
      <c r="W655" s="108">
        <v>1</v>
      </c>
    </row>
    <row r="656" spans="1:23">
      <c r="A656" s="103">
        <v>45039</v>
      </c>
      <c r="B656" s="104" t="s">
        <v>19</v>
      </c>
      <c r="C656" s="107">
        <v>3308</v>
      </c>
      <c r="D656" s="107"/>
      <c r="E656" s="104">
        <v>54</v>
      </c>
      <c r="F656" s="106">
        <v>0.0163240628778718</v>
      </c>
      <c r="G656" s="107">
        <v>22</v>
      </c>
      <c r="H656" s="106">
        <v>0.407407407407407</v>
      </c>
      <c r="I656" s="106"/>
      <c r="J656" s="106"/>
      <c r="K656" s="106"/>
      <c r="L656" s="213">
        <v>-58</v>
      </c>
      <c r="M656" s="213">
        <v>434.666666666667</v>
      </c>
      <c r="N656" s="213">
        <v>929.2</v>
      </c>
      <c r="O656" s="213">
        <v>1212.57142857143</v>
      </c>
      <c r="P656" s="108">
        <v>19</v>
      </c>
      <c r="Q656" s="108">
        <v>16</v>
      </c>
      <c r="R656" s="108">
        <v>18.8</v>
      </c>
      <c r="S656" s="108">
        <v>19.7142857142857</v>
      </c>
      <c r="T656" s="108">
        <v>12</v>
      </c>
      <c r="U656" s="108">
        <v>5.66666666666667</v>
      </c>
      <c r="V656" s="108">
        <v>6.8</v>
      </c>
      <c r="W656" s="115">
        <v>7.57142857142857</v>
      </c>
    </row>
    <row r="657" spans="1:23">
      <c r="A657" s="103">
        <v>45039</v>
      </c>
      <c r="B657" s="104" t="s">
        <v>21</v>
      </c>
      <c r="C657" s="145">
        <v>629</v>
      </c>
      <c r="D657" s="145"/>
      <c r="E657" s="104">
        <v>34</v>
      </c>
      <c r="F657" s="106">
        <v>0.0540540540540541</v>
      </c>
      <c r="G657" s="107">
        <v>9</v>
      </c>
      <c r="H657" s="106">
        <v>0.264705882352941</v>
      </c>
      <c r="I657" s="106"/>
      <c r="J657" s="106"/>
      <c r="K657" s="106"/>
      <c r="L657" s="213">
        <v>-2</v>
      </c>
      <c r="M657" s="213">
        <v>57.3333333333334</v>
      </c>
      <c r="N657" s="213">
        <v>66.8</v>
      </c>
      <c r="O657" s="213">
        <v>69</v>
      </c>
      <c r="P657" s="108">
        <v>9</v>
      </c>
      <c r="Q657" s="108">
        <v>9.66666666666667</v>
      </c>
      <c r="R657" s="108">
        <v>6.8</v>
      </c>
      <c r="S657" s="108">
        <v>6.57142857142857</v>
      </c>
      <c r="T657" s="108">
        <v>-1</v>
      </c>
      <c r="U657" s="108">
        <v>-1</v>
      </c>
      <c r="V657" s="108">
        <v>-1.2</v>
      </c>
      <c r="W657" s="108">
        <v>-0.714285714285714</v>
      </c>
    </row>
    <row r="658" spans="1:23">
      <c r="A658" s="103">
        <v>45039</v>
      </c>
      <c r="B658" s="104" t="s">
        <v>22</v>
      </c>
      <c r="C658" s="145">
        <v>3685</v>
      </c>
      <c r="D658" s="145"/>
      <c r="E658" s="104">
        <v>69</v>
      </c>
      <c r="F658" s="106">
        <v>0.0187245590230665</v>
      </c>
      <c r="G658" s="107">
        <v>18</v>
      </c>
      <c r="H658" s="106">
        <v>0.260869565217391</v>
      </c>
      <c r="I658" s="106"/>
      <c r="J658" s="106"/>
      <c r="K658" s="106"/>
      <c r="L658" s="213">
        <v>50</v>
      </c>
      <c r="M658" s="213">
        <v>4.33333333333348</v>
      </c>
      <c r="N658" s="213">
        <v>-24</v>
      </c>
      <c r="O658" s="213">
        <v>-179.285714285714</v>
      </c>
      <c r="P658" s="108">
        <v>17</v>
      </c>
      <c r="Q658" s="108">
        <v>8.33333333333334</v>
      </c>
      <c r="R658" s="108">
        <v>-0.200000000000003</v>
      </c>
      <c r="S658" s="115">
        <v>-7.57142857142857</v>
      </c>
      <c r="T658" s="108">
        <v>-4</v>
      </c>
      <c r="U658" s="108">
        <v>-6.66666666666667</v>
      </c>
      <c r="V658" s="108">
        <v>-8.2</v>
      </c>
      <c r="W658" s="117">
        <v>-10.5714285714286</v>
      </c>
    </row>
    <row r="659" spans="1:23">
      <c r="A659" s="103">
        <v>45039</v>
      </c>
      <c r="B659" s="104" t="s">
        <v>23</v>
      </c>
      <c r="C659" s="145">
        <v>2466</v>
      </c>
      <c r="D659" s="145"/>
      <c r="E659" s="104">
        <v>14</v>
      </c>
      <c r="F659" s="106">
        <v>0.0056772100567721</v>
      </c>
      <c r="G659" s="107">
        <v>2</v>
      </c>
      <c r="H659" s="106">
        <v>0.142857142857143</v>
      </c>
      <c r="I659" s="106"/>
      <c r="J659" s="106"/>
      <c r="K659" s="106"/>
      <c r="L659" s="213">
        <v>-126</v>
      </c>
      <c r="M659" s="213">
        <v>-147</v>
      </c>
      <c r="N659" s="213">
        <v>-125.2</v>
      </c>
      <c r="O659" s="213">
        <v>-156</v>
      </c>
      <c r="P659" s="108">
        <v>-8</v>
      </c>
      <c r="Q659" s="108">
        <v>-11.6666666666667</v>
      </c>
      <c r="R659" s="108">
        <v>-10.2</v>
      </c>
      <c r="S659" s="108">
        <v>-13.2857142857143</v>
      </c>
      <c r="T659" s="108">
        <v>-5</v>
      </c>
      <c r="U659" s="116">
        <v>-5.33333333333333</v>
      </c>
      <c r="V659" s="108">
        <v>-5</v>
      </c>
      <c r="W659" s="108">
        <v>-6.57142857142857</v>
      </c>
    </row>
    <row r="660" spans="1:23">
      <c r="A660" s="103">
        <v>45039</v>
      </c>
      <c r="B660" s="104" t="s">
        <v>24</v>
      </c>
      <c r="C660" s="145">
        <v>351</v>
      </c>
      <c r="D660" s="145"/>
      <c r="E660" s="104">
        <v>3</v>
      </c>
      <c r="F660" s="106">
        <v>0.00854700854700855</v>
      </c>
      <c r="G660" s="107">
        <v>2</v>
      </c>
      <c r="H660" s="106">
        <v>0.666666666666667</v>
      </c>
      <c r="I660" s="106"/>
      <c r="J660" s="106"/>
      <c r="K660" s="106"/>
      <c r="L660" s="213">
        <v>-81</v>
      </c>
      <c r="M660" s="213">
        <v>-65.3333333333333</v>
      </c>
      <c r="N660" s="213">
        <v>-126.2</v>
      </c>
      <c r="O660" s="213">
        <v>-128.428571428571</v>
      </c>
      <c r="P660" s="115">
        <v>2</v>
      </c>
      <c r="Q660" s="115">
        <v>1.33333333333333</v>
      </c>
      <c r="R660" s="117">
        <v>0.8</v>
      </c>
      <c r="S660" s="117">
        <v>-0.571428571428572</v>
      </c>
      <c r="T660" s="115">
        <v>1</v>
      </c>
      <c r="U660" s="115">
        <v>0.666666666666667</v>
      </c>
      <c r="V660" s="115">
        <v>0</v>
      </c>
      <c r="W660" s="115">
        <v>-0.428571428571428</v>
      </c>
    </row>
    <row r="661" spans="1:23">
      <c r="A661" s="103">
        <v>45039</v>
      </c>
      <c r="B661" s="104" t="s">
        <v>25</v>
      </c>
      <c r="C661" s="145">
        <v>14850</v>
      </c>
      <c r="D661" s="145"/>
      <c r="E661" s="104">
        <v>42</v>
      </c>
      <c r="F661" s="106">
        <v>0.00282828282828283</v>
      </c>
      <c r="G661" s="107">
        <v>15</v>
      </c>
      <c r="H661" s="106">
        <v>0.357142857142857</v>
      </c>
      <c r="I661" s="106"/>
      <c r="J661" s="106"/>
      <c r="K661" s="106"/>
      <c r="L661" s="213">
        <v>-892</v>
      </c>
      <c r="M661" s="213">
        <v>237.333333333334</v>
      </c>
      <c r="N661" s="213">
        <v>1119.6</v>
      </c>
      <c r="O661" s="213">
        <v>1452.85714285714</v>
      </c>
      <c r="P661" s="116">
        <v>-1</v>
      </c>
      <c r="Q661" s="115">
        <v>1.66666666666666</v>
      </c>
      <c r="R661" s="115">
        <v>2.6</v>
      </c>
      <c r="S661" s="115">
        <v>0.571428571428569</v>
      </c>
      <c r="T661" s="108">
        <v>-4</v>
      </c>
      <c r="U661" s="108">
        <v>-1.33333333333333</v>
      </c>
      <c r="V661" s="108">
        <v>-0.4</v>
      </c>
      <c r="W661" s="108">
        <v>-0.428571428571429</v>
      </c>
    </row>
    <row r="662" spans="1:23">
      <c r="A662" s="103">
        <v>45039</v>
      </c>
      <c r="B662" s="104" t="s">
        <v>26</v>
      </c>
      <c r="C662" s="145">
        <v>2076</v>
      </c>
      <c r="D662" s="145"/>
      <c r="E662" s="104">
        <v>24</v>
      </c>
      <c r="F662" s="106">
        <v>0.0115606936416185</v>
      </c>
      <c r="G662" s="107">
        <v>8</v>
      </c>
      <c r="H662" s="106">
        <v>0.333333333333333</v>
      </c>
      <c r="I662" s="106"/>
      <c r="J662" s="106"/>
      <c r="K662" s="106"/>
      <c r="L662" s="213">
        <v>-120</v>
      </c>
      <c r="M662" s="213">
        <v>-179.333333333333</v>
      </c>
      <c r="N662" s="213">
        <v>-52.8000000000002</v>
      </c>
      <c r="O662" s="213">
        <v>-105.142857142857</v>
      </c>
      <c r="P662" s="108">
        <v>2</v>
      </c>
      <c r="Q662" s="108">
        <v>-1.66666666666667</v>
      </c>
      <c r="R662" s="108">
        <v>1.8</v>
      </c>
      <c r="S662" s="108">
        <v>-1.57142857142857</v>
      </c>
      <c r="T662" s="108">
        <v>0</v>
      </c>
      <c r="U662" s="108">
        <v>-1.66666666666667</v>
      </c>
      <c r="V662" s="108">
        <v>0.6</v>
      </c>
      <c r="W662" s="108">
        <v>0</v>
      </c>
    </row>
    <row r="663" spans="1:23">
      <c r="A663" s="103">
        <v>45039</v>
      </c>
      <c r="B663" s="104" t="s">
        <v>27</v>
      </c>
      <c r="C663" s="145">
        <v>434</v>
      </c>
      <c r="D663" s="145"/>
      <c r="E663" s="104">
        <v>8</v>
      </c>
      <c r="F663" s="106">
        <v>0.0184331797235023</v>
      </c>
      <c r="G663" s="107">
        <v>2</v>
      </c>
      <c r="H663" s="106">
        <v>0.25</v>
      </c>
      <c r="I663" s="106"/>
      <c r="J663" s="106"/>
      <c r="K663" s="106"/>
      <c r="L663" s="213">
        <v>-114</v>
      </c>
      <c r="M663" s="213">
        <v>-68.6666666666667</v>
      </c>
      <c r="N663" s="213">
        <v>-6.80000000000001</v>
      </c>
      <c r="O663" s="213">
        <v>37.7142857142857</v>
      </c>
      <c r="P663" s="108">
        <v>1</v>
      </c>
      <c r="Q663" s="108">
        <v>3.33333333333333</v>
      </c>
      <c r="R663" s="108">
        <v>4.4</v>
      </c>
      <c r="S663" s="108">
        <v>3.57142857142857</v>
      </c>
      <c r="T663" s="108">
        <v>0</v>
      </c>
      <c r="U663" s="108">
        <v>-0.333333333333333</v>
      </c>
      <c r="V663" s="108">
        <v>0.6</v>
      </c>
      <c r="W663" s="108">
        <v>0.285714285714286</v>
      </c>
    </row>
    <row r="664" spans="1:23">
      <c r="A664" s="103">
        <v>45039</v>
      </c>
      <c r="B664" s="104" t="s">
        <v>28</v>
      </c>
      <c r="C664" s="145">
        <v>0</v>
      </c>
      <c r="D664" s="145"/>
      <c r="E664" s="104">
        <v>0</v>
      </c>
      <c r="F664" s="106">
        <v>0</v>
      </c>
      <c r="G664" s="107">
        <v>0</v>
      </c>
      <c r="H664" s="106">
        <v>0</v>
      </c>
      <c r="I664" s="106"/>
      <c r="J664" s="106"/>
      <c r="K664" s="106"/>
      <c r="L664" s="213">
        <v>0</v>
      </c>
      <c r="M664" s="213">
        <v>0</v>
      </c>
      <c r="N664" s="213">
        <v>0</v>
      </c>
      <c r="O664" s="213">
        <v>0</v>
      </c>
      <c r="P664" s="108">
        <v>0</v>
      </c>
      <c r="Q664" s="108">
        <v>-0.333333333333333</v>
      </c>
      <c r="R664" s="108">
        <v>-0.4</v>
      </c>
      <c r="S664" s="108">
        <v>-0.285714285714286</v>
      </c>
      <c r="T664" s="108">
        <v>0</v>
      </c>
      <c r="U664" s="108">
        <v>0</v>
      </c>
      <c r="V664" s="108">
        <v>-0.2</v>
      </c>
      <c r="W664" s="108">
        <v>-0.142857142857143</v>
      </c>
    </row>
    <row r="665" spans="1:23">
      <c r="A665" s="103">
        <v>45039</v>
      </c>
      <c r="B665" s="104" t="s">
        <v>29</v>
      </c>
      <c r="C665" s="145">
        <v>0</v>
      </c>
      <c r="D665" s="145"/>
      <c r="E665" s="104">
        <v>0</v>
      </c>
      <c r="F665" s="106">
        <v>0</v>
      </c>
      <c r="G665" s="107">
        <v>0</v>
      </c>
      <c r="H665" s="106">
        <v>0</v>
      </c>
      <c r="I665" s="106"/>
      <c r="J665" s="106"/>
      <c r="K665" s="106"/>
      <c r="L665" s="213">
        <v>0</v>
      </c>
      <c r="M665" s="213">
        <v>0</v>
      </c>
      <c r="N665" s="213">
        <v>0</v>
      </c>
      <c r="O665" s="213">
        <v>0</v>
      </c>
      <c r="P665" s="108">
        <v>-1</v>
      </c>
      <c r="Q665" s="108">
        <v>-0.666666666666667</v>
      </c>
      <c r="R665" s="108">
        <v>-0.4</v>
      </c>
      <c r="S665" s="108">
        <v>-0.285714285714286</v>
      </c>
      <c r="T665" s="108">
        <v>0</v>
      </c>
      <c r="U665" s="108">
        <v>0</v>
      </c>
      <c r="V665" s="108">
        <v>0</v>
      </c>
      <c r="W665" s="108">
        <v>0</v>
      </c>
    </row>
    <row r="666" spans="1:23">
      <c r="A666" s="103">
        <v>45039</v>
      </c>
      <c r="B666" s="104" t="s">
        <v>30</v>
      </c>
      <c r="C666" s="145">
        <v>0</v>
      </c>
      <c r="D666" s="145"/>
      <c r="E666" s="104">
        <v>0</v>
      </c>
      <c r="F666" s="106">
        <v>0</v>
      </c>
      <c r="G666" s="107">
        <v>0</v>
      </c>
      <c r="H666" s="106">
        <v>0</v>
      </c>
      <c r="I666" s="106"/>
      <c r="J666" s="106"/>
      <c r="K666" s="106"/>
      <c r="L666" s="213">
        <v>0</v>
      </c>
      <c r="M666" s="213">
        <v>0</v>
      </c>
      <c r="N666" s="213">
        <v>0</v>
      </c>
      <c r="O666" s="213">
        <v>0</v>
      </c>
      <c r="P666" s="108">
        <v>0</v>
      </c>
      <c r="Q666" s="108">
        <v>0</v>
      </c>
      <c r="R666" s="108">
        <v>0</v>
      </c>
      <c r="S666" s="108">
        <v>0</v>
      </c>
      <c r="T666" s="108">
        <v>0</v>
      </c>
      <c r="U666" s="108">
        <v>0</v>
      </c>
      <c r="V666" s="108">
        <v>0</v>
      </c>
      <c r="W666" s="108">
        <v>0</v>
      </c>
    </row>
    <row r="667" spans="1:23">
      <c r="A667" s="103">
        <v>45039</v>
      </c>
      <c r="B667" s="104" t="s">
        <v>31</v>
      </c>
      <c r="C667" s="145">
        <v>0</v>
      </c>
      <c r="D667" s="145"/>
      <c r="E667" s="104">
        <v>1</v>
      </c>
      <c r="F667" s="106">
        <v>1</v>
      </c>
      <c r="G667" s="107">
        <v>0</v>
      </c>
      <c r="H667" s="106">
        <v>0</v>
      </c>
      <c r="I667" s="106"/>
      <c r="J667" s="106"/>
      <c r="K667" s="106"/>
      <c r="L667" s="213">
        <v>0</v>
      </c>
      <c r="M667" s="213">
        <v>0</v>
      </c>
      <c r="N667" s="213">
        <v>0</v>
      </c>
      <c r="O667" s="213">
        <v>0</v>
      </c>
      <c r="P667" s="108">
        <v>1</v>
      </c>
      <c r="Q667" s="108">
        <v>1</v>
      </c>
      <c r="R667" s="108">
        <v>0.8</v>
      </c>
      <c r="S667" s="108">
        <v>0.857142857142857</v>
      </c>
      <c r="T667" s="108">
        <v>-1</v>
      </c>
      <c r="U667" s="108">
        <v>-0.333333333333333</v>
      </c>
      <c r="V667" s="108">
        <v>-0.4</v>
      </c>
      <c r="W667" s="108">
        <v>-0.285714285714286</v>
      </c>
    </row>
    <row r="668" spans="1:23">
      <c r="A668" s="103">
        <v>45039</v>
      </c>
      <c r="B668" s="104" t="s">
        <v>32</v>
      </c>
      <c r="C668" s="145">
        <v>0</v>
      </c>
      <c r="D668" s="145"/>
      <c r="E668" s="104">
        <v>0</v>
      </c>
      <c r="F668" s="106">
        <v>0</v>
      </c>
      <c r="G668" s="107">
        <v>0</v>
      </c>
      <c r="H668" s="106">
        <v>0</v>
      </c>
      <c r="I668" s="106"/>
      <c r="J668" s="106"/>
      <c r="K668" s="106"/>
      <c r="L668" s="213">
        <v>0</v>
      </c>
      <c r="M668" s="213">
        <v>0</v>
      </c>
      <c r="N668" s="213">
        <v>0</v>
      </c>
      <c r="O668" s="213">
        <v>0</v>
      </c>
      <c r="P668" s="108">
        <v>0</v>
      </c>
      <c r="Q668" s="108">
        <v>0</v>
      </c>
      <c r="R668" s="108">
        <v>0</v>
      </c>
      <c r="S668" s="108">
        <v>0</v>
      </c>
      <c r="T668" s="108">
        <v>0</v>
      </c>
      <c r="U668" s="108">
        <v>0</v>
      </c>
      <c r="V668" s="108">
        <v>0</v>
      </c>
      <c r="W668" s="108">
        <v>0</v>
      </c>
    </row>
    <row r="669" spans="1:23">
      <c r="A669" s="103">
        <v>45039</v>
      </c>
      <c r="B669" s="104" t="s">
        <v>33</v>
      </c>
      <c r="C669" s="145">
        <v>0</v>
      </c>
      <c r="D669" s="145"/>
      <c r="E669" s="104">
        <v>0</v>
      </c>
      <c r="F669" s="106">
        <v>0</v>
      </c>
      <c r="G669" s="107">
        <v>0</v>
      </c>
      <c r="H669" s="106">
        <v>0</v>
      </c>
      <c r="I669" s="106"/>
      <c r="J669" s="106"/>
      <c r="K669" s="106"/>
      <c r="L669" s="213">
        <v>0</v>
      </c>
      <c r="M669" s="213">
        <v>0</v>
      </c>
      <c r="N669" s="213">
        <v>0</v>
      </c>
      <c r="O669" s="213">
        <v>0</v>
      </c>
      <c r="P669" s="108">
        <v>0</v>
      </c>
      <c r="Q669" s="108">
        <v>0</v>
      </c>
      <c r="R669" s="108">
        <v>0</v>
      </c>
      <c r="S669" s="108">
        <v>0</v>
      </c>
      <c r="T669" s="108">
        <v>0</v>
      </c>
      <c r="U669" s="108">
        <v>0</v>
      </c>
      <c r="V669" s="108">
        <v>0</v>
      </c>
      <c r="W669" s="108">
        <v>0</v>
      </c>
    </row>
    <row r="670" spans="1:23">
      <c r="A670" s="103">
        <v>45039</v>
      </c>
      <c r="B670" s="104" t="s">
        <v>34</v>
      </c>
      <c r="C670" s="145">
        <v>0</v>
      </c>
      <c r="D670" s="145"/>
      <c r="E670" s="104">
        <v>0</v>
      </c>
      <c r="F670" s="106">
        <v>0</v>
      </c>
      <c r="G670" s="107">
        <v>0</v>
      </c>
      <c r="H670" s="106">
        <v>0</v>
      </c>
      <c r="I670" s="106"/>
      <c r="J670" s="106"/>
      <c r="K670" s="106"/>
      <c r="L670" s="213">
        <v>0</v>
      </c>
      <c r="M670" s="213">
        <v>0</v>
      </c>
      <c r="N670" s="213">
        <v>0</v>
      </c>
      <c r="O670" s="213">
        <v>0</v>
      </c>
      <c r="P670" s="108">
        <v>0</v>
      </c>
      <c r="Q670" s="108">
        <v>0</v>
      </c>
      <c r="R670" s="108">
        <v>0</v>
      </c>
      <c r="S670" s="108">
        <v>0</v>
      </c>
      <c r="T670" s="108">
        <v>0</v>
      </c>
      <c r="U670" s="108">
        <v>0</v>
      </c>
      <c r="V670" s="108">
        <v>0</v>
      </c>
      <c r="W670" s="108">
        <v>0</v>
      </c>
    </row>
    <row r="671" spans="1:23">
      <c r="A671" s="103">
        <v>45039</v>
      </c>
      <c r="B671" s="104" t="s">
        <v>35</v>
      </c>
      <c r="C671" s="145">
        <v>0</v>
      </c>
      <c r="D671" s="145"/>
      <c r="E671" s="104">
        <v>0</v>
      </c>
      <c r="F671" s="106">
        <v>0</v>
      </c>
      <c r="G671" s="107">
        <v>0</v>
      </c>
      <c r="H671" s="106">
        <v>0</v>
      </c>
      <c r="I671" s="106"/>
      <c r="J671" s="106"/>
      <c r="K671" s="106"/>
      <c r="L671" s="213">
        <v>0</v>
      </c>
      <c r="M671" s="213">
        <v>0</v>
      </c>
      <c r="N671" s="213">
        <v>0</v>
      </c>
      <c r="O671" s="213">
        <v>0</v>
      </c>
      <c r="P671" s="108">
        <v>0</v>
      </c>
      <c r="Q671" s="108">
        <v>0</v>
      </c>
      <c r="R671" s="108">
        <v>0</v>
      </c>
      <c r="S671" s="108">
        <v>0</v>
      </c>
      <c r="T671" s="108">
        <v>0</v>
      </c>
      <c r="U671" s="108">
        <v>0</v>
      </c>
      <c r="V671" s="108">
        <v>0</v>
      </c>
      <c r="W671" s="108">
        <v>0</v>
      </c>
    </row>
    <row r="672" spans="1:23">
      <c r="A672" s="103">
        <v>45039</v>
      </c>
      <c r="B672" s="104" t="s">
        <v>36</v>
      </c>
      <c r="C672" s="145">
        <v>0</v>
      </c>
      <c r="D672" s="145"/>
      <c r="E672" s="104">
        <v>0</v>
      </c>
      <c r="F672" s="106">
        <v>0</v>
      </c>
      <c r="G672" s="107">
        <v>0</v>
      </c>
      <c r="H672" s="106">
        <v>0</v>
      </c>
      <c r="I672" s="106"/>
      <c r="J672" s="106"/>
      <c r="K672" s="106"/>
      <c r="L672" s="213">
        <v>0</v>
      </c>
      <c r="M672" s="213">
        <v>0</v>
      </c>
      <c r="N672" s="213">
        <v>0</v>
      </c>
      <c r="O672" s="213">
        <v>0</v>
      </c>
      <c r="P672" s="108">
        <v>0</v>
      </c>
      <c r="Q672" s="108">
        <v>0</v>
      </c>
      <c r="R672" s="108">
        <v>0</v>
      </c>
      <c r="S672" s="108">
        <v>0</v>
      </c>
      <c r="T672" s="108">
        <v>0</v>
      </c>
      <c r="U672" s="108">
        <v>0</v>
      </c>
      <c r="V672" s="108">
        <v>0</v>
      </c>
      <c r="W672" s="108">
        <v>0</v>
      </c>
    </row>
    <row r="673" spans="1:23">
      <c r="A673" s="103">
        <v>45039</v>
      </c>
      <c r="B673" s="104" t="s">
        <v>37</v>
      </c>
      <c r="C673" s="145">
        <v>0</v>
      </c>
      <c r="D673" s="145"/>
      <c r="E673" s="104">
        <v>0</v>
      </c>
      <c r="F673" s="106">
        <v>0</v>
      </c>
      <c r="G673" s="107">
        <v>0</v>
      </c>
      <c r="H673" s="106">
        <v>0</v>
      </c>
      <c r="I673" s="106"/>
      <c r="J673" s="106"/>
      <c r="K673" s="106"/>
      <c r="L673" s="213">
        <v>0</v>
      </c>
      <c r="M673" s="213">
        <v>0</v>
      </c>
      <c r="N673" s="213">
        <v>0</v>
      </c>
      <c r="O673" s="213">
        <v>0</v>
      </c>
      <c r="P673" s="108">
        <v>0</v>
      </c>
      <c r="Q673" s="108">
        <v>0</v>
      </c>
      <c r="R673" s="108">
        <v>0</v>
      </c>
      <c r="S673" s="108">
        <v>0</v>
      </c>
      <c r="T673" s="108">
        <v>0</v>
      </c>
      <c r="U673" s="108">
        <v>0</v>
      </c>
      <c r="V673" s="108">
        <v>0</v>
      </c>
      <c r="W673" s="108">
        <v>0</v>
      </c>
    </row>
    <row r="674" spans="1:23">
      <c r="A674" s="103">
        <v>45039</v>
      </c>
      <c r="B674" s="104" t="s">
        <v>38</v>
      </c>
      <c r="C674" s="145">
        <v>0</v>
      </c>
      <c r="D674" s="145"/>
      <c r="E674" s="104">
        <v>0</v>
      </c>
      <c r="F674" s="106">
        <v>0</v>
      </c>
      <c r="G674" s="107">
        <v>0</v>
      </c>
      <c r="H674" s="106">
        <v>0</v>
      </c>
      <c r="I674" s="106"/>
      <c r="J674" s="106"/>
      <c r="K674" s="106"/>
      <c r="L674" s="213">
        <v>0</v>
      </c>
      <c r="M674" s="213">
        <v>0</v>
      </c>
      <c r="N674" s="213">
        <v>0</v>
      </c>
      <c r="O674" s="213">
        <v>0</v>
      </c>
      <c r="P674" s="108">
        <v>0</v>
      </c>
      <c r="Q674" s="108">
        <v>0</v>
      </c>
      <c r="R674" s="108">
        <v>0</v>
      </c>
      <c r="S674" s="108">
        <v>0</v>
      </c>
      <c r="T674" s="108">
        <v>0</v>
      </c>
      <c r="U674" s="108">
        <v>0</v>
      </c>
      <c r="V674" s="108">
        <v>0</v>
      </c>
      <c r="W674" s="108">
        <v>0</v>
      </c>
    </row>
    <row r="675" spans="1:23">
      <c r="A675" s="103">
        <v>45039</v>
      </c>
      <c r="B675" s="111" t="s">
        <v>39</v>
      </c>
      <c r="C675" s="112">
        <v>28361</v>
      </c>
      <c r="D675" s="112"/>
      <c r="E675" s="112">
        <v>285</v>
      </c>
      <c r="F675" s="113">
        <v>0.0100490109657628</v>
      </c>
      <c r="G675" s="112">
        <v>85</v>
      </c>
      <c r="H675" s="113">
        <v>0.298245614035088</v>
      </c>
      <c r="I675" s="113"/>
      <c r="J675" s="113"/>
      <c r="K675" s="113"/>
      <c r="L675" s="213"/>
      <c r="M675" s="213"/>
      <c r="N675" s="213"/>
      <c r="O675" s="213"/>
      <c r="P675" s="108"/>
      <c r="Q675" s="108"/>
      <c r="R675" s="108"/>
      <c r="S675" s="108"/>
      <c r="T675" s="108"/>
      <c r="U675" s="108"/>
      <c r="V675" s="108"/>
      <c r="W675" s="108"/>
    </row>
    <row r="676" spans="1:23">
      <c r="A676" s="103">
        <v>45040</v>
      </c>
      <c r="B676" s="104" t="s">
        <v>17</v>
      </c>
      <c r="C676" s="105">
        <v>525</v>
      </c>
      <c r="D676" s="105"/>
      <c r="E676" s="104">
        <v>33</v>
      </c>
      <c r="F676" s="106">
        <v>0.0628571428571429</v>
      </c>
      <c r="G676" s="107">
        <v>5</v>
      </c>
      <c r="H676" s="106">
        <v>0.151515151515152</v>
      </c>
      <c r="I676" s="106"/>
      <c r="J676" s="106"/>
      <c r="K676" s="106"/>
      <c r="L676" s="213">
        <v>-37</v>
      </c>
      <c r="M676" s="213">
        <v>-108</v>
      </c>
      <c r="N676" s="213">
        <v>-88.2</v>
      </c>
      <c r="O676" s="213">
        <v>-120.428571428571</v>
      </c>
      <c r="P676" s="108">
        <v>-3</v>
      </c>
      <c r="Q676" s="108">
        <v>7.66666666666667</v>
      </c>
      <c r="R676" s="108">
        <v>10.8</v>
      </c>
      <c r="S676" s="108">
        <v>9.71428571428572</v>
      </c>
      <c r="T676" s="108">
        <v>-2</v>
      </c>
      <c r="U676" s="108">
        <v>0</v>
      </c>
      <c r="V676" s="108">
        <v>-0.2</v>
      </c>
      <c r="W676" s="108">
        <v>-0.714285714285714</v>
      </c>
    </row>
    <row r="677" spans="1:23">
      <c r="A677" s="103">
        <v>45040</v>
      </c>
      <c r="B677" s="104" t="s">
        <v>19</v>
      </c>
      <c r="C677" s="107">
        <v>3528</v>
      </c>
      <c r="D677" s="107"/>
      <c r="E677" s="104">
        <v>54</v>
      </c>
      <c r="F677" s="106">
        <v>0.0153061224489796</v>
      </c>
      <c r="G677" s="107">
        <v>23</v>
      </c>
      <c r="H677" s="106">
        <v>0.425925925925926</v>
      </c>
      <c r="I677" s="106"/>
      <c r="J677" s="106"/>
      <c r="K677" s="106"/>
      <c r="L677" s="213">
        <v>220</v>
      </c>
      <c r="M677" s="213">
        <v>334.666666666667</v>
      </c>
      <c r="N677" s="213">
        <v>771.2</v>
      </c>
      <c r="O677" s="213">
        <v>1171.71428571429</v>
      </c>
      <c r="P677" s="108">
        <v>0</v>
      </c>
      <c r="Q677" s="108">
        <v>10.3333333333333</v>
      </c>
      <c r="R677" s="108">
        <v>12.8</v>
      </c>
      <c r="S677" s="108">
        <v>17.5714285714286</v>
      </c>
      <c r="T677" s="108">
        <v>1</v>
      </c>
      <c r="U677" s="108">
        <v>6.33333333333333</v>
      </c>
      <c r="V677" s="108">
        <v>5.6</v>
      </c>
      <c r="W677" s="115">
        <v>7.42857142857143</v>
      </c>
    </row>
    <row r="678" spans="1:23">
      <c r="A678" s="103">
        <v>45040</v>
      </c>
      <c r="B678" s="104" t="s">
        <v>21</v>
      </c>
      <c r="C678" s="145">
        <v>559</v>
      </c>
      <c r="D678" s="145"/>
      <c r="E678" s="104">
        <v>25</v>
      </c>
      <c r="F678" s="106">
        <v>0.0447227191413238</v>
      </c>
      <c r="G678" s="107">
        <v>6</v>
      </c>
      <c r="H678" s="106">
        <v>0.24</v>
      </c>
      <c r="I678" s="106"/>
      <c r="J678" s="106"/>
      <c r="K678" s="106"/>
      <c r="L678" s="213">
        <v>-70</v>
      </c>
      <c r="M678" s="213">
        <v>-48</v>
      </c>
      <c r="N678" s="213">
        <v>-21.4</v>
      </c>
      <c r="O678" s="213">
        <v>-17.1428571428571</v>
      </c>
      <c r="P678" s="108">
        <v>-9</v>
      </c>
      <c r="Q678" s="108">
        <v>-2.66666666666667</v>
      </c>
      <c r="R678" s="108">
        <v>-2.4</v>
      </c>
      <c r="S678" s="108">
        <v>-4</v>
      </c>
      <c r="T678" s="108">
        <v>-3</v>
      </c>
      <c r="U678" s="108">
        <v>-3.66666666666667</v>
      </c>
      <c r="V678" s="108">
        <v>-3.2</v>
      </c>
      <c r="W678" s="108">
        <v>-4.14285714285714</v>
      </c>
    </row>
    <row r="679" spans="1:23">
      <c r="A679" s="103">
        <v>45040</v>
      </c>
      <c r="B679" s="104" t="s">
        <v>22</v>
      </c>
      <c r="C679" s="145">
        <v>3591</v>
      </c>
      <c r="D679" s="145"/>
      <c r="E679" s="104">
        <v>75</v>
      </c>
      <c r="F679" s="106">
        <v>0.0208855472013367</v>
      </c>
      <c r="G679" s="107">
        <v>27</v>
      </c>
      <c r="H679" s="106">
        <v>0.36</v>
      </c>
      <c r="I679" s="106"/>
      <c r="J679" s="106"/>
      <c r="K679" s="106"/>
      <c r="L679" s="213">
        <v>-94</v>
      </c>
      <c r="M679" s="213">
        <v>-96.3333333333335</v>
      </c>
      <c r="N679" s="213">
        <v>-109.2</v>
      </c>
      <c r="O679" s="213">
        <v>-165.142857142857</v>
      </c>
      <c r="P679" s="108">
        <v>6</v>
      </c>
      <c r="Q679" s="108">
        <v>11.3333333333333</v>
      </c>
      <c r="R679" s="108">
        <v>6.59999999999999</v>
      </c>
      <c r="S679" s="115">
        <v>3.57142857142857</v>
      </c>
      <c r="T679" s="108">
        <v>9</v>
      </c>
      <c r="U679" s="108">
        <v>5.33333333333333</v>
      </c>
      <c r="V679" s="108">
        <v>1.6</v>
      </c>
      <c r="W679" s="117">
        <v>1.42857142857143</v>
      </c>
    </row>
    <row r="680" spans="1:23">
      <c r="A680" s="103">
        <v>45040</v>
      </c>
      <c r="B680" s="104" t="s">
        <v>23</v>
      </c>
      <c r="C680" s="145">
        <v>2458</v>
      </c>
      <c r="D680" s="145"/>
      <c r="E680" s="104">
        <v>24</v>
      </c>
      <c r="F680" s="106">
        <v>0.00976403580146461</v>
      </c>
      <c r="G680" s="107">
        <v>8</v>
      </c>
      <c r="H680" s="106">
        <v>0.333333333333333</v>
      </c>
      <c r="I680" s="106"/>
      <c r="J680" s="106"/>
      <c r="K680" s="106"/>
      <c r="L680" s="213">
        <v>-8</v>
      </c>
      <c r="M680" s="213">
        <v>-98.6666666666665</v>
      </c>
      <c r="N680" s="213">
        <v>-112.8</v>
      </c>
      <c r="O680" s="213">
        <v>-114.285714285714</v>
      </c>
      <c r="P680" s="108">
        <v>10</v>
      </c>
      <c r="Q680" s="108">
        <v>4.33333333333333</v>
      </c>
      <c r="R680" s="108">
        <v>0.800000000000001</v>
      </c>
      <c r="S680" s="108">
        <v>-0.285714285714285</v>
      </c>
      <c r="T680" s="108">
        <v>6</v>
      </c>
      <c r="U680" s="116">
        <v>3</v>
      </c>
      <c r="V680" s="108">
        <v>1</v>
      </c>
      <c r="W680" s="108">
        <v>0.857142857142857</v>
      </c>
    </row>
    <row r="681" spans="1:23">
      <c r="A681" s="103">
        <v>45040</v>
      </c>
      <c r="B681" s="104" t="s">
        <v>24</v>
      </c>
      <c r="C681" s="145">
        <v>295</v>
      </c>
      <c r="D681" s="145"/>
      <c r="E681" s="104">
        <v>2</v>
      </c>
      <c r="F681" s="106">
        <v>0.00677966101694915</v>
      </c>
      <c r="G681" s="107">
        <v>0</v>
      </c>
      <c r="H681" s="106">
        <v>0</v>
      </c>
      <c r="I681" s="106"/>
      <c r="J681" s="106"/>
      <c r="K681" s="106"/>
      <c r="L681" s="213">
        <v>-56</v>
      </c>
      <c r="M681" s="213">
        <v>-90</v>
      </c>
      <c r="N681" s="213">
        <v>-112</v>
      </c>
      <c r="O681" s="213">
        <v>-165.428571428571</v>
      </c>
      <c r="P681" s="115">
        <v>-1</v>
      </c>
      <c r="Q681" s="115">
        <v>0.333333333333333</v>
      </c>
      <c r="R681" s="117">
        <v>-0.4</v>
      </c>
      <c r="S681" s="117">
        <v>-1.57142857142857</v>
      </c>
      <c r="T681" s="115">
        <v>-2</v>
      </c>
      <c r="U681" s="115">
        <v>-1.33333333333333</v>
      </c>
      <c r="V681" s="115">
        <v>-2.2</v>
      </c>
      <c r="W681" s="115">
        <v>-2.14285714285714</v>
      </c>
    </row>
    <row r="682" spans="1:23">
      <c r="A682" s="103">
        <v>45040</v>
      </c>
      <c r="B682" s="104" t="s">
        <v>25</v>
      </c>
      <c r="C682" s="145">
        <v>13088</v>
      </c>
      <c r="D682" s="145"/>
      <c r="E682" s="104">
        <v>36</v>
      </c>
      <c r="F682" s="106">
        <v>0.00275061124694377</v>
      </c>
      <c r="G682" s="107">
        <v>10</v>
      </c>
      <c r="H682" s="106">
        <v>0.277777777777778</v>
      </c>
      <c r="I682" s="106"/>
      <c r="J682" s="106"/>
      <c r="K682" s="106"/>
      <c r="L682" s="213">
        <v>-1762</v>
      </c>
      <c r="M682" s="213">
        <v>-1884.66666666667</v>
      </c>
      <c r="N682" s="213">
        <v>-1290</v>
      </c>
      <c r="O682" s="213">
        <v>-610.857142857143</v>
      </c>
      <c r="P682" s="116">
        <v>-6</v>
      </c>
      <c r="Q682" s="115">
        <v>-9.33333333333334</v>
      </c>
      <c r="R682" s="115">
        <v>-4.2</v>
      </c>
      <c r="S682" s="115">
        <v>-3.71428571428572</v>
      </c>
      <c r="T682" s="108">
        <v>-5</v>
      </c>
      <c r="U682" s="108">
        <v>-6.33333333333333</v>
      </c>
      <c r="V682" s="108">
        <v>-6</v>
      </c>
      <c r="W682" s="108">
        <v>-4</v>
      </c>
    </row>
    <row r="683" spans="1:23">
      <c r="A683" s="103">
        <v>45040</v>
      </c>
      <c r="B683" s="104" t="s">
        <v>26</v>
      </c>
      <c r="C683" s="145">
        <v>2172</v>
      </c>
      <c r="D683" s="145"/>
      <c r="E683" s="104">
        <v>11</v>
      </c>
      <c r="F683" s="106">
        <v>0.00506445672191529</v>
      </c>
      <c r="G683" s="107">
        <v>10</v>
      </c>
      <c r="H683" s="106">
        <v>0.909090909090909</v>
      </c>
      <c r="I683" s="106"/>
      <c r="J683" s="106"/>
      <c r="K683" s="106"/>
      <c r="L683" s="213">
        <v>96</v>
      </c>
      <c r="M683" s="213">
        <v>-12.6666666666665</v>
      </c>
      <c r="N683" s="213">
        <v>-5.59999999999991</v>
      </c>
      <c r="O683" s="213">
        <v>63.1428571428573</v>
      </c>
      <c r="P683" s="108">
        <v>-13</v>
      </c>
      <c r="Q683" s="108">
        <v>-13.6666666666667</v>
      </c>
      <c r="R683" s="108">
        <v>-12.2</v>
      </c>
      <c r="S683" s="108">
        <v>-12.5714285714286</v>
      </c>
      <c r="T683" s="108">
        <v>2</v>
      </c>
      <c r="U683" s="108">
        <v>2</v>
      </c>
      <c r="V683" s="108">
        <v>1.8</v>
      </c>
      <c r="W683" s="108">
        <v>2.28571428571429</v>
      </c>
    </row>
    <row r="684" spans="1:23">
      <c r="A684" s="103">
        <v>45040</v>
      </c>
      <c r="B684" s="104" t="s">
        <v>27</v>
      </c>
      <c r="C684" s="145">
        <v>364</v>
      </c>
      <c r="D684" s="145"/>
      <c r="E684" s="104">
        <v>2</v>
      </c>
      <c r="F684" s="106">
        <v>0.00549450549450549</v>
      </c>
      <c r="G684" s="107">
        <v>0</v>
      </c>
      <c r="H684" s="106">
        <v>0</v>
      </c>
      <c r="I684" s="106"/>
      <c r="J684" s="106"/>
      <c r="K684" s="106"/>
      <c r="L684" s="213">
        <v>-70</v>
      </c>
      <c r="M684" s="213">
        <v>-134</v>
      </c>
      <c r="N684" s="213">
        <v>-104.8</v>
      </c>
      <c r="O684" s="213">
        <v>-54.5714285714286</v>
      </c>
      <c r="P684" s="108">
        <v>-6</v>
      </c>
      <c r="Q684" s="108">
        <v>-4.33333333333333</v>
      </c>
      <c r="R684" s="108">
        <v>-2.4</v>
      </c>
      <c r="S684" s="108">
        <v>-2.85714285714286</v>
      </c>
      <c r="T684" s="108">
        <v>-2</v>
      </c>
      <c r="U684" s="108">
        <v>-2</v>
      </c>
      <c r="V684" s="108">
        <v>-1.8</v>
      </c>
      <c r="W684" s="108">
        <v>-1.71428571428571</v>
      </c>
    </row>
    <row r="685" spans="1:23">
      <c r="A685" s="103">
        <v>45040</v>
      </c>
      <c r="B685" s="104" t="s">
        <v>28</v>
      </c>
      <c r="C685" s="145">
        <v>0</v>
      </c>
      <c r="D685" s="145"/>
      <c r="E685" s="104">
        <v>0</v>
      </c>
      <c r="F685" s="106">
        <v>0</v>
      </c>
      <c r="G685" s="107">
        <v>0</v>
      </c>
      <c r="H685" s="106">
        <v>0</v>
      </c>
      <c r="I685" s="106"/>
      <c r="J685" s="106"/>
      <c r="K685" s="106"/>
      <c r="L685" s="213">
        <v>0</v>
      </c>
      <c r="M685" s="213">
        <v>0</v>
      </c>
      <c r="N685" s="213">
        <v>0</v>
      </c>
      <c r="O685" s="213">
        <v>0</v>
      </c>
      <c r="P685" s="108">
        <v>0</v>
      </c>
      <c r="Q685" s="108">
        <v>-0.333333333333333</v>
      </c>
      <c r="R685" s="108">
        <v>-0.4</v>
      </c>
      <c r="S685" s="108">
        <v>-0.285714285714286</v>
      </c>
      <c r="T685" s="108">
        <v>0</v>
      </c>
      <c r="U685" s="108">
        <v>0</v>
      </c>
      <c r="V685" s="108">
        <v>0</v>
      </c>
      <c r="W685" s="108">
        <v>-0.142857142857143</v>
      </c>
    </row>
    <row r="686" spans="1:23">
      <c r="A686" s="103">
        <v>45040</v>
      </c>
      <c r="B686" s="104" t="s">
        <v>29</v>
      </c>
      <c r="C686" s="145">
        <v>0</v>
      </c>
      <c r="D686" s="145"/>
      <c r="E686" s="104">
        <v>1</v>
      </c>
      <c r="F686" s="106">
        <v>1</v>
      </c>
      <c r="G686" s="107">
        <v>0</v>
      </c>
      <c r="H686" s="106">
        <v>0</v>
      </c>
      <c r="I686" s="106"/>
      <c r="J686" s="106"/>
      <c r="K686" s="106"/>
      <c r="L686" s="213">
        <v>0</v>
      </c>
      <c r="M686" s="213">
        <v>0</v>
      </c>
      <c r="N686" s="213">
        <v>0</v>
      </c>
      <c r="O686" s="213">
        <v>0</v>
      </c>
      <c r="P686" s="108">
        <v>1</v>
      </c>
      <c r="Q686" s="108">
        <v>0.333333333333333</v>
      </c>
      <c r="R686" s="108">
        <v>0.6</v>
      </c>
      <c r="S686" s="108">
        <v>0.714285714285714</v>
      </c>
      <c r="T686" s="108">
        <v>0</v>
      </c>
      <c r="U686" s="108">
        <v>0</v>
      </c>
      <c r="V686" s="108">
        <v>0</v>
      </c>
      <c r="W686" s="108">
        <v>0</v>
      </c>
    </row>
    <row r="687" spans="1:23">
      <c r="A687" s="103">
        <v>45040</v>
      </c>
      <c r="B687" s="104" t="s">
        <v>30</v>
      </c>
      <c r="C687" s="145">
        <v>0</v>
      </c>
      <c r="D687" s="145"/>
      <c r="E687" s="104">
        <v>0</v>
      </c>
      <c r="F687" s="106">
        <v>0</v>
      </c>
      <c r="G687" s="107">
        <v>0</v>
      </c>
      <c r="H687" s="106">
        <v>0</v>
      </c>
      <c r="I687" s="106"/>
      <c r="J687" s="106"/>
      <c r="K687" s="106"/>
      <c r="L687" s="213">
        <v>0</v>
      </c>
      <c r="M687" s="213">
        <v>0</v>
      </c>
      <c r="N687" s="213">
        <v>0</v>
      </c>
      <c r="O687" s="213">
        <v>0</v>
      </c>
      <c r="P687" s="108">
        <v>0</v>
      </c>
      <c r="Q687" s="108">
        <v>0</v>
      </c>
      <c r="R687" s="108">
        <v>0</v>
      </c>
      <c r="S687" s="108">
        <v>0</v>
      </c>
      <c r="T687" s="108">
        <v>0</v>
      </c>
      <c r="U687" s="108">
        <v>0</v>
      </c>
      <c r="V687" s="108">
        <v>0</v>
      </c>
      <c r="W687" s="108">
        <v>0</v>
      </c>
    </row>
    <row r="688" spans="1:23">
      <c r="A688" s="103">
        <v>45040</v>
      </c>
      <c r="B688" s="104" t="s">
        <v>31</v>
      </c>
      <c r="C688" s="145">
        <v>0</v>
      </c>
      <c r="D688" s="145"/>
      <c r="E688" s="104">
        <v>0</v>
      </c>
      <c r="F688" s="106">
        <v>0</v>
      </c>
      <c r="G688" s="107">
        <v>0</v>
      </c>
      <c r="H688" s="106">
        <v>0</v>
      </c>
      <c r="I688" s="106"/>
      <c r="J688" s="106"/>
      <c r="K688" s="106"/>
      <c r="L688" s="213">
        <v>0</v>
      </c>
      <c r="M688" s="213">
        <v>0</v>
      </c>
      <c r="N688" s="213">
        <v>0</v>
      </c>
      <c r="O688" s="213">
        <v>0</v>
      </c>
      <c r="P688" s="108">
        <v>-1</v>
      </c>
      <c r="Q688" s="108">
        <v>-0.333333333333333</v>
      </c>
      <c r="R688" s="108">
        <v>-0.2</v>
      </c>
      <c r="S688" s="108">
        <v>-0.285714285714286</v>
      </c>
      <c r="T688" s="108">
        <v>0</v>
      </c>
      <c r="U688" s="108">
        <v>-0.333333333333333</v>
      </c>
      <c r="V688" s="108">
        <v>-0.2</v>
      </c>
      <c r="W688" s="108">
        <v>-0.285714285714286</v>
      </c>
    </row>
    <row r="689" spans="1:23">
      <c r="A689" s="103">
        <v>45040</v>
      </c>
      <c r="B689" s="104" t="s">
        <v>32</v>
      </c>
      <c r="C689" s="145">
        <v>0</v>
      </c>
      <c r="D689" s="145"/>
      <c r="E689" s="104">
        <v>0</v>
      </c>
      <c r="F689" s="106">
        <v>0</v>
      </c>
      <c r="G689" s="107">
        <v>0</v>
      </c>
      <c r="H689" s="106">
        <v>0</v>
      </c>
      <c r="I689" s="106"/>
      <c r="J689" s="106"/>
      <c r="K689" s="106"/>
      <c r="L689" s="213">
        <v>0</v>
      </c>
      <c r="M689" s="213">
        <v>0</v>
      </c>
      <c r="N689" s="213">
        <v>0</v>
      </c>
      <c r="O689" s="213">
        <v>0</v>
      </c>
      <c r="P689" s="108">
        <v>0</v>
      </c>
      <c r="Q689" s="108">
        <v>0</v>
      </c>
      <c r="R689" s="108">
        <v>0</v>
      </c>
      <c r="S689" s="108">
        <v>0</v>
      </c>
      <c r="T689" s="108">
        <v>0</v>
      </c>
      <c r="U689" s="108">
        <v>0</v>
      </c>
      <c r="V689" s="108">
        <v>0</v>
      </c>
      <c r="W689" s="108">
        <v>0</v>
      </c>
    </row>
    <row r="690" spans="1:23">
      <c r="A690" s="103">
        <v>45040</v>
      </c>
      <c r="B690" s="104" t="s">
        <v>33</v>
      </c>
      <c r="C690" s="145">
        <v>0</v>
      </c>
      <c r="D690" s="145"/>
      <c r="E690" s="104">
        <v>0</v>
      </c>
      <c r="F690" s="106">
        <v>0</v>
      </c>
      <c r="G690" s="107">
        <v>0</v>
      </c>
      <c r="H690" s="106">
        <v>0</v>
      </c>
      <c r="I690" s="106"/>
      <c r="J690" s="106"/>
      <c r="K690" s="106"/>
      <c r="L690" s="213">
        <v>0</v>
      </c>
      <c r="M690" s="213">
        <v>0</v>
      </c>
      <c r="N690" s="213">
        <v>0</v>
      </c>
      <c r="O690" s="213">
        <v>0</v>
      </c>
      <c r="P690" s="108">
        <v>0</v>
      </c>
      <c r="Q690" s="108">
        <v>0</v>
      </c>
      <c r="R690" s="108">
        <v>0</v>
      </c>
      <c r="S690" s="108">
        <v>0</v>
      </c>
      <c r="T690" s="108">
        <v>0</v>
      </c>
      <c r="U690" s="108">
        <v>0</v>
      </c>
      <c r="V690" s="108">
        <v>0</v>
      </c>
      <c r="W690" s="108">
        <v>0</v>
      </c>
    </row>
    <row r="691" spans="1:23">
      <c r="A691" s="103">
        <v>45040</v>
      </c>
      <c r="B691" s="104" t="s">
        <v>34</v>
      </c>
      <c r="C691" s="145">
        <v>0</v>
      </c>
      <c r="D691" s="145"/>
      <c r="E691" s="104">
        <v>0</v>
      </c>
      <c r="F691" s="106">
        <v>0</v>
      </c>
      <c r="G691" s="107">
        <v>0</v>
      </c>
      <c r="H691" s="106">
        <v>0</v>
      </c>
      <c r="I691" s="106"/>
      <c r="J691" s="106"/>
      <c r="K691" s="106"/>
      <c r="L691" s="213">
        <v>0</v>
      </c>
      <c r="M691" s="213">
        <v>0</v>
      </c>
      <c r="N691" s="213">
        <v>0</v>
      </c>
      <c r="O691" s="213">
        <v>0</v>
      </c>
      <c r="P691" s="108">
        <v>0</v>
      </c>
      <c r="Q691" s="108">
        <v>0</v>
      </c>
      <c r="R691" s="108">
        <v>0</v>
      </c>
      <c r="S691" s="108">
        <v>0</v>
      </c>
      <c r="T691" s="108">
        <v>0</v>
      </c>
      <c r="U691" s="108">
        <v>0</v>
      </c>
      <c r="V691" s="108">
        <v>0</v>
      </c>
      <c r="W691" s="108">
        <v>0</v>
      </c>
    </row>
    <row r="692" spans="1:23">
      <c r="A692" s="103">
        <v>45040</v>
      </c>
      <c r="B692" s="104" t="s">
        <v>35</v>
      </c>
      <c r="C692" s="145">
        <v>0</v>
      </c>
      <c r="D692" s="145"/>
      <c r="E692" s="104">
        <v>0</v>
      </c>
      <c r="F692" s="106">
        <v>0</v>
      </c>
      <c r="G692" s="107">
        <v>0</v>
      </c>
      <c r="H692" s="106">
        <v>0</v>
      </c>
      <c r="I692" s="106"/>
      <c r="J692" s="106"/>
      <c r="K692" s="106"/>
      <c r="L692" s="213">
        <v>0</v>
      </c>
      <c r="M692" s="213">
        <v>0</v>
      </c>
      <c r="N692" s="213">
        <v>0</v>
      </c>
      <c r="O692" s="213">
        <v>0</v>
      </c>
      <c r="P692" s="108">
        <v>0</v>
      </c>
      <c r="Q692" s="108">
        <v>0</v>
      </c>
      <c r="R692" s="108">
        <v>0</v>
      </c>
      <c r="S692" s="108">
        <v>0</v>
      </c>
      <c r="T692" s="108">
        <v>0</v>
      </c>
      <c r="U692" s="108">
        <v>0</v>
      </c>
      <c r="V692" s="108">
        <v>0</v>
      </c>
      <c r="W692" s="108">
        <v>0</v>
      </c>
    </row>
    <row r="693" spans="1:23">
      <c r="A693" s="103">
        <v>45040</v>
      </c>
      <c r="B693" s="104" t="s">
        <v>36</v>
      </c>
      <c r="C693" s="145">
        <v>0</v>
      </c>
      <c r="D693" s="145"/>
      <c r="E693" s="104">
        <v>0</v>
      </c>
      <c r="F693" s="106">
        <v>0</v>
      </c>
      <c r="G693" s="107">
        <v>0</v>
      </c>
      <c r="H693" s="106">
        <v>0</v>
      </c>
      <c r="I693" s="106"/>
      <c r="J693" s="106"/>
      <c r="K693" s="106"/>
      <c r="L693" s="213">
        <v>0</v>
      </c>
      <c r="M693" s="213">
        <v>0</v>
      </c>
      <c r="N693" s="213">
        <v>0</v>
      </c>
      <c r="O693" s="213">
        <v>0</v>
      </c>
      <c r="P693" s="108">
        <v>0</v>
      </c>
      <c r="Q693" s="108">
        <v>0</v>
      </c>
      <c r="R693" s="108">
        <v>0</v>
      </c>
      <c r="S693" s="108">
        <v>0</v>
      </c>
      <c r="T693" s="108">
        <v>0</v>
      </c>
      <c r="U693" s="108">
        <v>0</v>
      </c>
      <c r="V693" s="108">
        <v>0</v>
      </c>
      <c r="W693" s="108">
        <v>0</v>
      </c>
    </row>
    <row r="694" spans="1:23">
      <c r="A694" s="103">
        <v>45040</v>
      </c>
      <c r="B694" s="104" t="s">
        <v>37</v>
      </c>
      <c r="C694" s="145">
        <v>0</v>
      </c>
      <c r="D694" s="145"/>
      <c r="E694" s="104">
        <v>0</v>
      </c>
      <c r="F694" s="106">
        <v>0</v>
      </c>
      <c r="G694" s="107">
        <v>0</v>
      </c>
      <c r="H694" s="106">
        <v>0</v>
      </c>
      <c r="I694" s="106"/>
      <c r="J694" s="106"/>
      <c r="K694" s="106"/>
      <c r="L694" s="213">
        <v>0</v>
      </c>
      <c r="M694" s="213">
        <v>0</v>
      </c>
      <c r="N694" s="213">
        <v>0</v>
      </c>
      <c r="O694" s="213">
        <v>0</v>
      </c>
      <c r="P694" s="108">
        <v>0</v>
      </c>
      <c r="Q694" s="108">
        <v>0</v>
      </c>
      <c r="R694" s="108">
        <v>0</v>
      </c>
      <c r="S694" s="108">
        <v>0</v>
      </c>
      <c r="T694" s="108">
        <v>0</v>
      </c>
      <c r="U694" s="108">
        <v>0</v>
      </c>
      <c r="V694" s="108">
        <v>0</v>
      </c>
      <c r="W694" s="108">
        <v>0</v>
      </c>
    </row>
    <row r="695" spans="1:23">
      <c r="A695" s="103">
        <v>45040</v>
      </c>
      <c r="B695" s="104" t="s">
        <v>38</v>
      </c>
      <c r="C695" s="145">
        <v>0</v>
      </c>
      <c r="D695" s="145"/>
      <c r="E695" s="104">
        <v>0</v>
      </c>
      <c r="F695" s="106">
        <v>0</v>
      </c>
      <c r="G695" s="107">
        <v>0</v>
      </c>
      <c r="H695" s="106">
        <v>0</v>
      </c>
      <c r="I695" s="106"/>
      <c r="J695" s="106"/>
      <c r="K695" s="106"/>
      <c r="L695" s="213">
        <v>0</v>
      </c>
      <c r="M695" s="213">
        <v>0</v>
      </c>
      <c r="N695" s="213">
        <v>0</v>
      </c>
      <c r="O695" s="213">
        <v>0</v>
      </c>
      <c r="P695" s="108">
        <v>0</v>
      </c>
      <c r="Q695" s="108">
        <v>0</v>
      </c>
      <c r="R695" s="108">
        <v>0</v>
      </c>
      <c r="S695" s="108">
        <v>0</v>
      </c>
      <c r="T695" s="108">
        <v>0</v>
      </c>
      <c r="U695" s="108">
        <v>0</v>
      </c>
      <c r="V695" s="108">
        <v>0</v>
      </c>
      <c r="W695" s="108">
        <v>0</v>
      </c>
    </row>
    <row r="696" spans="1:23">
      <c r="A696" s="103">
        <v>45040</v>
      </c>
      <c r="B696" s="111" t="s">
        <v>39</v>
      </c>
      <c r="C696" s="112">
        <v>26580</v>
      </c>
      <c r="D696" s="112"/>
      <c r="E696" s="112">
        <v>263</v>
      </c>
      <c r="F696" s="113">
        <v>0.00989465763732129</v>
      </c>
      <c r="G696" s="112">
        <v>89</v>
      </c>
      <c r="H696" s="113">
        <v>0.338403041825095</v>
      </c>
      <c r="I696" s="113"/>
      <c r="J696" s="113"/>
      <c r="K696" s="113"/>
      <c r="L696" s="213"/>
      <c r="M696" s="213"/>
      <c r="N696" s="213"/>
      <c r="O696" s="213"/>
      <c r="P696" s="108"/>
      <c r="Q696" s="108"/>
      <c r="R696" s="108"/>
      <c r="S696" s="108"/>
      <c r="T696" s="108"/>
      <c r="U696" s="108"/>
      <c r="V696" s="108"/>
      <c r="W696" s="108"/>
    </row>
    <row r="697" spans="1:23">
      <c r="A697" s="103">
        <v>45041</v>
      </c>
      <c r="B697" s="104" t="s">
        <v>17</v>
      </c>
      <c r="C697" s="105">
        <v>571</v>
      </c>
      <c r="D697" s="105"/>
      <c r="E697" s="104">
        <v>42</v>
      </c>
      <c r="F697" s="106">
        <v>0.0735551663747811</v>
      </c>
      <c r="G697" s="107">
        <v>11</v>
      </c>
      <c r="H697" s="106">
        <v>0.261904761904762</v>
      </c>
      <c r="I697" s="106"/>
      <c r="J697" s="106"/>
      <c r="K697" s="106"/>
      <c r="L697" s="213">
        <v>46</v>
      </c>
      <c r="M697" s="213">
        <v>-3.33333333333337</v>
      </c>
      <c r="N697" s="213">
        <v>-21.8</v>
      </c>
      <c r="O697" s="213">
        <v>-44.2857142857143</v>
      </c>
      <c r="P697" s="108">
        <v>9</v>
      </c>
      <c r="Q697" s="108">
        <v>12.6666666666667</v>
      </c>
      <c r="R697" s="108">
        <v>17.2</v>
      </c>
      <c r="S697" s="108">
        <v>17.5714285714286</v>
      </c>
      <c r="T697" s="108">
        <v>6</v>
      </c>
      <c r="U697" s="108">
        <v>6</v>
      </c>
      <c r="V697" s="108">
        <v>6.4</v>
      </c>
      <c r="W697" s="108">
        <v>5.71428571428571</v>
      </c>
    </row>
    <row r="698" spans="1:23">
      <c r="A698" s="103">
        <v>45041</v>
      </c>
      <c r="B698" s="104" t="s">
        <v>19</v>
      </c>
      <c r="C698" s="107">
        <v>3368</v>
      </c>
      <c r="D698" s="107"/>
      <c r="E698" s="104">
        <v>53</v>
      </c>
      <c r="F698" s="106">
        <v>0.0157363420427553</v>
      </c>
      <c r="G698" s="107">
        <v>19</v>
      </c>
      <c r="H698" s="106">
        <v>0.358490566037736</v>
      </c>
      <c r="I698" s="106"/>
      <c r="J698" s="106"/>
      <c r="K698" s="106"/>
      <c r="L698" s="213">
        <v>-160</v>
      </c>
      <c r="M698" s="213">
        <v>-32.6666666666665</v>
      </c>
      <c r="N698" s="213">
        <v>276.8</v>
      </c>
      <c r="O698" s="213">
        <v>692.285714285714</v>
      </c>
      <c r="P698" s="108">
        <v>-1</v>
      </c>
      <c r="Q698" s="108">
        <v>5.33333333333334</v>
      </c>
      <c r="R698" s="108">
        <v>8.6</v>
      </c>
      <c r="S698" s="108">
        <v>12.4285714285714</v>
      </c>
      <c r="T698" s="108">
        <v>-4</v>
      </c>
      <c r="U698" s="108">
        <v>0.666666666666668</v>
      </c>
      <c r="V698" s="108">
        <v>0.199999999999999</v>
      </c>
      <c r="W698" s="115">
        <v>1.71428571428572</v>
      </c>
    </row>
    <row r="699" spans="1:23">
      <c r="A699" s="103">
        <v>45041</v>
      </c>
      <c r="B699" s="104" t="s">
        <v>21</v>
      </c>
      <c r="C699" s="145">
        <v>549</v>
      </c>
      <c r="D699" s="145"/>
      <c r="E699" s="104">
        <v>23</v>
      </c>
      <c r="F699" s="106">
        <v>0.0418943533697632</v>
      </c>
      <c r="G699" s="107">
        <v>10</v>
      </c>
      <c r="H699" s="106">
        <v>0.434782608695652</v>
      </c>
      <c r="I699" s="106"/>
      <c r="J699" s="106"/>
      <c r="K699" s="106"/>
      <c r="L699" s="213">
        <v>-10</v>
      </c>
      <c r="M699" s="213">
        <v>-57.3333333333334</v>
      </c>
      <c r="N699" s="213">
        <v>-31.6</v>
      </c>
      <c r="O699" s="213">
        <v>-22.2857142857143</v>
      </c>
      <c r="P699" s="108">
        <v>-2</v>
      </c>
      <c r="Q699" s="108">
        <v>-5</v>
      </c>
      <c r="R699" s="108">
        <v>-3.4</v>
      </c>
      <c r="S699" s="108">
        <v>-4.85714285714286</v>
      </c>
      <c r="T699" s="108">
        <v>4</v>
      </c>
      <c r="U699" s="108">
        <v>1.66666666666667</v>
      </c>
      <c r="V699" s="108">
        <v>1</v>
      </c>
      <c r="W699" s="108">
        <v>0.571428571428571</v>
      </c>
    </row>
    <row r="700" spans="1:23">
      <c r="A700" s="103">
        <v>45041</v>
      </c>
      <c r="B700" s="104" t="s">
        <v>22</v>
      </c>
      <c r="C700" s="145">
        <v>3544</v>
      </c>
      <c r="D700" s="145"/>
      <c r="E700" s="104">
        <v>58</v>
      </c>
      <c r="F700" s="106">
        <v>0.0163656884875846</v>
      </c>
      <c r="G700" s="107">
        <v>24</v>
      </c>
      <c r="H700" s="106">
        <v>0.413793103448276</v>
      </c>
      <c r="I700" s="106"/>
      <c r="J700" s="106"/>
      <c r="K700" s="106"/>
      <c r="L700" s="213">
        <v>-47</v>
      </c>
      <c r="M700" s="213">
        <v>-93</v>
      </c>
      <c r="N700" s="213">
        <v>-119.6</v>
      </c>
      <c r="O700" s="213">
        <v>-144.714285714286</v>
      </c>
      <c r="P700" s="108">
        <v>-17</v>
      </c>
      <c r="Q700" s="108">
        <v>-7.33333333333333</v>
      </c>
      <c r="R700" s="108">
        <v>-7.2</v>
      </c>
      <c r="S700" s="115">
        <v>-12</v>
      </c>
      <c r="T700" s="108">
        <v>-3</v>
      </c>
      <c r="U700" s="108">
        <v>1.66666666666667</v>
      </c>
      <c r="V700" s="108">
        <v>0.199999999999999</v>
      </c>
      <c r="W700" s="117">
        <v>-1.14285714285714</v>
      </c>
    </row>
    <row r="701" spans="1:23">
      <c r="A701" s="103">
        <v>45041</v>
      </c>
      <c r="B701" s="104" t="s">
        <v>23</v>
      </c>
      <c r="C701" s="145">
        <v>2605</v>
      </c>
      <c r="D701" s="145"/>
      <c r="E701" s="104">
        <v>25</v>
      </c>
      <c r="F701" s="106">
        <v>0.00959692898272553</v>
      </c>
      <c r="G701" s="107">
        <v>4</v>
      </c>
      <c r="H701" s="106">
        <v>0.16</v>
      </c>
      <c r="I701" s="106"/>
      <c r="J701" s="106"/>
      <c r="K701" s="106"/>
      <c r="L701" s="213">
        <v>147</v>
      </c>
      <c r="M701" s="213">
        <v>99.6666666666665</v>
      </c>
      <c r="N701" s="213">
        <v>52.4000000000001</v>
      </c>
      <c r="O701" s="213">
        <v>50.7142857142858</v>
      </c>
      <c r="P701" s="108">
        <v>1</v>
      </c>
      <c r="Q701" s="108">
        <v>5</v>
      </c>
      <c r="R701" s="108">
        <v>2</v>
      </c>
      <c r="S701" s="108">
        <v>2.28571428571428</v>
      </c>
      <c r="T701" s="108">
        <v>-4</v>
      </c>
      <c r="U701" s="116">
        <v>-1.66666666666667</v>
      </c>
      <c r="V701" s="108">
        <v>-2.4</v>
      </c>
      <c r="W701" s="108">
        <v>-2.42857142857143</v>
      </c>
    </row>
    <row r="702" spans="1:23">
      <c r="A702" s="103">
        <v>45041</v>
      </c>
      <c r="B702" s="104" t="s">
        <v>24</v>
      </c>
      <c r="C702" s="145">
        <v>268</v>
      </c>
      <c r="D702" s="145"/>
      <c r="E702" s="104">
        <v>1</v>
      </c>
      <c r="F702" s="106">
        <v>0.00373134328358209</v>
      </c>
      <c r="G702" s="107">
        <v>0</v>
      </c>
      <c r="H702" s="106">
        <v>0</v>
      </c>
      <c r="I702" s="106"/>
      <c r="J702" s="106"/>
      <c r="K702" s="106"/>
      <c r="L702" s="213">
        <v>-27</v>
      </c>
      <c r="M702" s="213">
        <v>-91.3333333333333</v>
      </c>
      <c r="N702" s="213">
        <v>-111</v>
      </c>
      <c r="O702" s="213">
        <v>-165.142857142857</v>
      </c>
      <c r="P702" s="115">
        <v>-1</v>
      </c>
      <c r="Q702" s="115">
        <v>-1</v>
      </c>
      <c r="R702" s="117">
        <v>-1</v>
      </c>
      <c r="S702" s="117">
        <v>-1.28571428571429</v>
      </c>
      <c r="T702" s="115">
        <v>0</v>
      </c>
      <c r="U702" s="115">
        <v>-1</v>
      </c>
      <c r="V702" s="115">
        <v>-1.2</v>
      </c>
      <c r="W702" s="115">
        <v>-1.71428571428571</v>
      </c>
    </row>
    <row r="703" spans="1:23">
      <c r="A703" s="103">
        <v>45041</v>
      </c>
      <c r="B703" s="104" t="s">
        <v>25</v>
      </c>
      <c r="C703" s="145">
        <v>15392</v>
      </c>
      <c r="D703" s="145"/>
      <c r="E703" s="104">
        <v>30</v>
      </c>
      <c r="F703" s="106">
        <v>0.00194906444906445</v>
      </c>
      <c r="G703" s="107">
        <v>13</v>
      </c>
      <c r="H703" s="106">
        <v>0.433333333333333</v>
      </c>
      <c r="I703" s="106"/>
      <c r="J703" s="106"/>
      <c r="K703" s="106"/>
      <c r="L703" s="213">
        <v>2304</v>
      </c>
      <c r="M703" s="213">
        <v>832</v>
      </c>
      <c r="N703" s="213">
        <v>1036.8</v>
      </c>
      <c r="O703" s="213">
        <v>1593.42857142857</v>
      </c>
      <c r="P703" s="116">
        <v>-6</v>
      </c>
      <c r="Q703" s="115">
        <v>-10.3333333333333</v>
      </c>
      <c r="R703" s="115">
        <v>-9.8</v>
      </c>
      <c r="S703" s="115">
        <v>-9.28571428571428</v>
      </c>
      <c r="T703" s="108">
        <v>3</v>
      </c>
      <c r="U703" s="108">
        <v>-1.66666666666667</v>
      </c>
      <c r="V703" s="108">
        <v>-1.8</v>
      </c>
      <c r="W703" s="108">
        <v>-1.57142857142857</v>
      </c>
    </row>
    <row r="704" spans="1:23">
      <c r="A704" s="103">
        <v>45041</v>
      </c>
      <c r="B704" s="104" t="s">
        <v>26</v>
      </c>
      <c r="C704" s="145">
        <v>2402</v>
      </c>
      <c r="D704" s="145"/>
      <c r="E704" s="104">
        <v>20</v>
      </c>
      <c r="F704" s="106">
        <v>0.00832639467110741</v>
      </c>
      <c r="G704" s="107">
        <v>9</v>
      </c>
      <c r="H704" s="106">
        <v>0.45</v>
      </c>
      <c r="I704" s="106"/>
      <c r="J704" s="106"/>
      <c r="K704" s="106"/>
      <c r="L704" s="213">
        <v>230</v>
      </c>
      <c r="M704" s="213">
        <v>254</v>
      </c>
      <c r="N704" s="213">
        <v>199.2</v>
      </c>
      <c r="O704" s="213">
        <v>274.571428571428</v>
      </c>
      <c r="P704" s="108">
        <v>9</v>
      </c>
      <c r="Q704" s="108">
        <v>1</v>
      </c>
      <c r="R704" s="108">
        <v>-2.4</v>
      </c>
      <c r="S704" s="108">
        <v>-0.857142857142858</v>
      </c>
      <c r="T704" s="108">
        <v>-1</v>
      </c>
      <c r="U704" s="108">
        <v>0.333333333333334</v>
      </c>
      <c r="V704" s="108">
        <v>-0.4</v>
      </c>
      <c r="W704" s="108">
        <v>1.14285714285714</v>
      </c>
    </row>
    <row r="705" spans="1:23">
      <c r="A705" s="103">
        <v>45041</v>
      </c>
      <c r="B705" s="104" t="s">
        <v>27</v>
      </c>
      <c r="C705" s="145">
        <v>422</v>
      </c>
      <c r="D705" s="145"/>
      <c r="E705" s="104">
        <v>5</v>
      </c>
      <c r="F705" s="106">
        <v>0.0118483412322275</v>
      </c>
      <c r="G705" s="107">
        <v>1</v>
      </c>
      <c r="H705" s="106">
        <v>0.2</v>
      </c>
      <c r="I705" s="106"/>
      <c r="J705" s="106"/>
      <c r="K705" s="106"/>
      <c r="L705" s="213">
        <v>58</v>
      </c>
      <c r="M705" s="213">
        <v>-26.6666666666667</v>
      </c>
      <c r="N705" s="213">
        <v>-39.2</v>
      </c>
      <c r="O705" s="213">
        <v>-6.85714285714283</v>
      </c>
      <c r="P705" s="108">
        <v>3</v>
      </c>
      <c r="Q705" s="108">
        <v>-0.666666666666667</v>
      </c>
      <c r="R705" s="108">
        <v>0.2</v>
      </c>
      <c r="S705" s="108">
        <v>1</v>
      </c>
      <c r="T705" s="108">
        <v>1</v>
      </c>
      <c r="U705" s="108">
        <v>-0.333333333333333</v>
      </c>
      <c r="V705" s="108">
        <v>-0.8</v>
      </c>
      <c r="W705" s="108">
        <v>-0.285714285714286</v>
      </c>
    </row>
    <row r="706" spans="1:23">
      <c r="A706" s="103">
        <v>45041</v>
      </c>
      <c r="B706" s="104" t="s">
        <v>28</v>
      </c>
      <c r="C706" s="145">
        <v>0</v>
      </c>
      <c r="D706" s="145"/>
      <c r="E706" s="104">
        <v>1</v>
      </c>
      <c r="F706" s="106">
        <v>1</v>
      </c>
      <c r="G706" s="107">
        <v>0</v>
      </c>
      <c r="H706" s="106">
        <v>0</v>
      </c>
      <c r="I706" s="106"/>
      <c r="J706" s="106"/>
      <c r="K706" s="106"/>
      <c r="L706" s="213">
        <v>0</v>
      </c>
      <c r="M706" s="213">
        <v>0</v>
      </c>
      <c r="N706" s="213">
        <v>0</v>
      </c>
      <c r="O706" s="213">
        <v>0</v>
      </c>
      <c r="P706" s="108">
        <v>1</v>
      </c>
      <c r="Q706" s="108">
        <v>1</v>
      </c>
      <c r="R706" s="108">
        <v>0.8</v>
      </c>
      <c r="S706" s="108">
        <v>0.714285714285714</v>
      </c>
      <c r="T706" s="108">
        <v>0</v>
      </c>
      <c r="U706" s="108">
        <v>0</v>
      </c>
      <c r="V706" s="108">
        <v>0</v>
      </c>
      <c r="W706" s="108">
        <v>-0.142857142857143</v>
      </c>
    </row>
    <row r="707" spans="1:23">
      <c r="A707" s="103">
        <v>45041</v>
      </c>
      <c r="B707" s="104" t="s">
        <v>29</v>
      </c>
      <c r="C707" s="145">
        <v>0</v>
      </c>
      <c r="D707" s="145"/>
      <c r="E707" s="104">
        <v>0</v>
      </c>
      <c r="F707" s="106">
        <v>0</v>
      </c>
      <c r="G707" s="107">
        <v>0</v>
      </c>
      <c r="H707" s="106">
        <v>0</v>
      </c>
      <c r="I707" s="106"/>
      <c r="J707" s="106"/>
      <c r="K707" s="106"/>
      <c r="L707" s="213">
        <v>0</v>
      </c>
      <c r="M707" s="213">
        <v>0</v>
      </c>
      <c r="N707" s="213">
        <v>0</v>
      </c>
      <c r="O707" s="213">
        <v>0</v>
      </c>
      <c r="P707" s="108">
        <v>-1</v>
      </c>
      <c r="Q707" s="108">
        <v>-0.666666666666667</v>
      </c>
      <c r="R707" s="108">
        <v>-0.6</v>
      </c>
      <c r="S707" s="108">
        <v>-0.428571428571429</v>
      </c>
      <c r="T707" s="108">
        <v>0</v>
      </c>
      <c r="U707" s="108">
        <v>0</v>
      </c>
      <c r="V707" s="108">
        <v>0</v>
      </c>
      <c r="W707" s="108">
        <v>0</v>
      </c>
    </row>
    <row r="708" spans="1:23">
      <c r="A708" s="103">
        <v>45041</v>
      </c>
      <c r="B708" s="104" t="s">
        <v>30</v>
      </c>
      <c r="C708" s="145">
        <v>0</v>
      </c>
      <c r="D708" s="145"/>
      <c r="E708" s="104">
        <v>0</v>
      </c>
      <c r="F708" s="106">
        <v>0</v>
      </c>
      <c r="G708" s="107">
        <v>0</v>
      </c>
      <c r="H708" s="106">
        <v>0</v>
      </c>
      <c r="I708" s="106"/>
      <c r="J708" s="106"/>
      <c r="K708" s="106"/>
      <c r="L708" s="213">
        <v>0</v>
      </c>
      <c r="M708" s="213">
        <v>0</v>
      </c>
      <c r="N708" s="213">
        <v>0</v>
      </c>
      <c r="O708" s="213">
        <v>0</v>
      </c>
      <c r="P708" s="108">
        <v>0</v>
      </c>
      <c r="Q708" s="108">
        <v>0</v>
      </c>
      <c r="R708" s="108">
        <v>0</v>
      </c>
      <c r="S708" s="108">
        <v>0</v>
      </c>
      <c r="T708" s="108">
        <v>0</v>
      </c>
      <c r="U708" s="108">
        <v>0</v>
      </c>
      <c r="V708" s="108">
        <v>0</v>
      </c>
      <c r="W708" s="108">
        <v>0</v>
      </c>
    </row>
    <row r="709" spans="1:23">
      <c r="A709" s="103">
        <v>45041</v>
      </c>
      <c r="B709" s="104" t="s">
        <v>31</v>
      </c>
      <c r="C709" s="145">
        <v>0</v>
      </c>
      <c r="D709" s="145"/>
      <c r="E709" s="104">
        <v>0</v>
      </c>
      <c r="F709" s="106">
        <v>0</v>
      </c>
      <c r="G709" s="107">
        <v>0</v>
      </c>
      <c r="H709" s="106">
        <v>0</v>
      </c>
      <c r="I709" s="106"/>
      <c r="J709" s="106"/>
      <c r="K709" s="106"/>
      <c r="L709" s="213">
        <v>0</v>
      </c>
      <c r="M709" s="213">
        <v>0</v>
      </c>
      <c r="N709" s="213">
        <v>0</v>
      </c>
      <c r="O709" s="213">
        <v>0</v>
      </c>
      <c r="P709" s="108">
        <v>0</v>
      </c>
      <c r="Q709" s="108">
        <v>-0.333333333333333</v>
      </c>
      <c r="R709" s="108">
        <v>-0.2</v>
      </c>
      <c r="S709" s="108">
        <v>-0.285714285714286</v>
      </c>
      <c r="T709" s="108">
        <v>0</v>
      </c>
      <c r="U709" s="108">
        <v>-0.333333333333333</v>
      </c>
      <c r="V709" s="108">
        <v>-0.2</v>
      </c>
      <c r="W709" s="108">
        <v>-0.285714285714286</v>
      </c>
    </row>
    <row r="710" spans="1:23">
      <c r="A710" s="103">
        <v>45041</v>
      </c>
      <c r="B710" s="104" t="s">
        <v>32</v>
      </c>
      <c r="C710" s="145">
        <v>0</v>
      </c>
      <c r="D710" s="145"/>
      <c r="E710" s="104">
        <v>0</v>
      </c>
      <c r="F710" s="106">
        <v>0</v>
      </c>
      <c r="G710" s="107">
        <v>0</v>
      </c>
      <c r="H710" s="106">
        <v>0</v>
      </c>
      <c r="I710" s="106"/>
      <c r="J710" s="106"/>
      <c r="K710" s="106"/>
      <c r="L710" s="213">
        <v>0</v>
      </c>
      <c r="M710" s="213">
        <v>0</v>
      </c>
      <c r="N710" s="213">
        <v>0</v>
      </c>
      <c r="O710" s="213">
        <v>0</v>
      </c>
      <c r="P710" s="108">
        <v>0</v>
      </c>
      <c r="Q710" s="108">
        <v>0</v>
      </c>
      <c r="R710" s="108">
        <v>0</v>
      </c>
      <c r="S710" s="108">
        <v>0</v>
      </c>
      <c r="T710" s="108">
        <v>0</v>
      </c>
      <c r="U710" s="108">
        <v>0</v>
      </c>
      <c r="V710" s="108">
        <v>0</v>
      </c>
      <c r="W710" s="108">
        <v>0</v>
      </c>
    </row>
    <row r="711" spans="1:23">
      <c r="A711" s="103">
        <v>45041</v>
      </c>
      <c r="B711" s="104" t="s">
        <v>33</v>
      </c>
      <c r="C711" s="145">
        <v>0</v>
      </c>
      <c r="D711" s="145"/>
      <c r="E711" s="104">
        <v>0</v>
      </c>
      <c r="F711" s="106">
        <v>0</v>
      </c>
      <c r="G711" s="107">
        <v>0</v>
      </c>
      <c r="H711" s="106">
        <v>0</v>
      </c>
      <c r="I711" s="106"/>
      <c r="J711" s="106"/>
      <c r="K711" s="106"/>
      <c r="L711" s="213">
        <v>0</v>
      </c>
      <c r="M711" s="213">
        <v>0</v>
      </c>
      <c r="N711" s="213">
        <v>0</v>
      </c>
      <c r="O711" s="213">
        <v>0</v>
      </c>
      <c r="P711" s="108">
        <v>0</v>
      </c>
      <c r="Q711" s="108">
        <v>0</v>
      </c>
      <c r="R711" s="108">
        <v>0</v>
      </c>
      <c r="S711" s="108">
        <v>0</v>
      </c>
      <c r="T711" s="108">
        <v>0</v>
      </c>
      <c r="U711" s="108">
        <v>0</v>
      </c>
      <c r="V711" s="108">
        <v>0</v>
      </c>
      <c r="W711" s="108">
        <v>0</v>
      </c>
    </row>
    <row r="712" spans="1:23">
      <c r="A712" s="103">
        <v>45041</v>
      </c>
      <c r="B712" s="104" t="s">
        <v>34</v>
      </c>
      <c r="C712" s="145">
        <v>0</v>
      </c>
      <c r="D712" s="145"/>
      <c r="E712" s="104">
        <v>0</v>
      </c>
      <c r="F712" s="106">
        <v>0</v>
      </c>
      <c r="G712" s="107">
        <v>0</v>
      </c>
      <c r="H712" s="106">
        <v>0</v>
      </c>
      <c r="I712" s="106"/>
      <c r="J712" s="106"/>
      <c r="K712" s="106"/>
      <c r="L712" s="213">
        <v>0</v>
      </c>
      <c r="M712" s="213">
        <v>0</v>
      </c>
      <c r="N712" s="213">
        <v>0</v>
      </c>
      <c r="O712" s="213">
        <v>0</v>
      </c>
      <c r="P712" s="108">
        <v>0</v>
      </c>
      <c r="Q712" s="108">
        <v>0</v>
      </c>
      <c r="R712" s="108">
        <v>0</v>
      </c>
      <c r="S712" s="108">
        <v>0</v>
      </c>
      <c r="T712" s="108">
        <v>0</v>
      </c>
      <c r="U712" s="108">
        <v>0</v>
      </c>
      <c r="V712" s="108">
        <v>0</v>
      </c>
      <c r="W712" s="108">
        <v>0</v>
      </c>
    </row>
    <row r="713" spans="1:23">
      <c r="A713" s="103">
        <v>45041</v>
      </c>
      <c r="B713" s="104" t="s">
        <v>35</v>
      </c>
      <c r="C713" s="145">
        <v>0</v>
      </c>
      <c r="D713" s="145"/>
      <c r="E713" s="104">
        <v>0</v>
      </c>
      <c r="F713" s="106">
        <v>0</v>
      </c>
      <c r="G713" s="107">
        <v>0</v>
      </c>
      <c r="H713" s="106">
        <v>0</v>
      </c>
      <c r="I713" s="106"/>
      <c r="J713" s="106"/>
      <c r="K713" s="106"/>
      <c r="L713" s="213">
        <v>0</v>
      </c>
      <c r="M713" s="213">
        <v>0</v>
      </c>
      <c r="N713" s="213">
        <v>0</v>
      </c>
      <c r="O713" s="213">
        <v>0</v>
      </c>
      <c r="P713" s="108">
        <v>0</v>
      </c>
      <c r="Q713" s="108">
        <v>0</v>
      </c>
      <c r="R713" s="108">
        <v>0</v>
      </c>
      <c r="S713" s="108">
        <v>0</v>
      </c>
      <c r="T713" s="108">
        <v>0</v>
      </c>
      <c r="U713" s="108">
        <v>0</v>
      </c>
      <c r="V713" s="108">
        <v>0</v>
      </c>
      <c r="W713" s="108">
        <v>0</v>
      </c>
    </row>
    <row r="714" spans="1:23">
      <c r="A714" s="103">
        <v>45041</v>
      </c>
      <c r="B714" s="104" t="s">
        <v>36</v>
      </c>
      <c r="C714" s="145">
        <v>0</v>
      </c>
      <c r="D714" s="145"/>
      <c r="E714" s="104">
        <v>0</v>
      </c>
      <c r="F714" s="106">
        <v>0</v>
      </c>
      <c r="G714" s="107">
        <v>0</v>
      </c>
      <c r="H714" s="106">
        <v>0</v>
      </c>
      <c r="I714" s="106"/>
      <c r="J714" s="106"/>
      <c r="K714" s="106"/>
      <c r="L714" s="213">
        <v>0</v>
      </c>
      <c r="M714" s="213">
        <v>0</v>
      </c>
      <c r="N714" s="213">
        <v>0</v>
      </c>
      <c r="O714" s="213">
        <v>0</v>
      </c>
      <c r="P714" s="108">
        <v>0</v>
      </c>
      <c r="Q714" s="108">
        <v>0</v>
      </c>
      <c r="R714" s="108">
        <v>0</v>
      </c>
      <c r="S714" s="108">
        <v>0</v>
      </c>
      <c r="T714" s="108">
        <v>0</v>
      </c>
      <c r="U714" s="108">
        <v>0</v>
      </c>
      <c r="V714" s="108">
        <v>0</v>
      </c>
      <c r="W714" s="108">
        <v>0</v>
      </c>
    </row>
    <row r="715" spans="1:23">
      <c r="A715" s="103">
        <v>45041</v>
      </c>
      <c r="B715" s="104" t="s">
        <v>37</v>
      </c>
      <c r="C715" s="145">
        <v>0</v>
      </c>
      <c r="D715" s="145"/>
      <c r="E715" s="104">
        <v>0</v>
      </c>
      <c r="F715" s="106">
        <v>0</v>
      </c>
      <c r="G715" s="107">
        <v>0</v>
      </c>
      <c r="H715" s="106">
        <v>0</v>
      </c>
      <c r="I715" s="106"/>
      <c r="J715" s="106"/>
      <c r="K715" s="106"/>
      <c r="L715" s="213">
        <v>0</v>
      </c>
      <c r="M715" s="213">
        <v>0</v>
      </c>
      <c r="N715" s="213">
        <v>0</v>
      </c>
      <c r="O715" s="213">
        <v>0</v>
      </c>
      <c r="P715" s="108">
        <v>0</v>
      </c>
      <c r="Q715" s="108">
        <v>0</v>
      </c>
      <c r="R715" s="108">
        <v>0</v>
      </c>
      <c r="S715" s="108">
        <v>0</v>
      </c>
      <c r="T715" s="108">
        <v>0</v>
      </c>
      <c r="U715" s="108">
        <v>0</v>
      </c>
      <c r="V715" s="108">
        <v>0</v>
      </c>
      <c r="W715" s="108">
        <v>0</v>
      </c>
    </row>
    <row r="716" spans="1:23">
      <c r="A716" s="103">
        <v>45041</v>
      </c>
      <c r="B716" s="104" t="s">
        <v>38</v>
      </c>
      <c r="C716" s="145">
        <v>0</v>
      </c>
      <c r="D716" s="145"/>
      <c r="E716" s="104">
        <v>0</v>
      </c>
      <c r="F716" s="106">
        <v>0</v>
      </c>
      <c r="G716" s="107">
        <v>0</v>
      </c>
      <c r="H716" s="106">
        <v>0</v>
      </c>
      <c r="I716" s="106"/>
      <c r="J716" s="106"/>
      <c r="K716" s="106"/>
      <c r="L716" s="213">
        <v>0</v>
      </c>
      <c r="M716" s="213">
        <v>0</v>
      </c>
      <c r="N716" s="213">
        <v>0</v>
      </c>
      <c r="O716" s="213">
        <v>0</v>
      </c>
      <c r="P716" s="108">
        <v>0</v>
      </c>
      <c r="Q716" s="108">
        <v>0</v>
      </c>
      <c r="R716" s="108">
        <v>0</v>
      </c>
      <c r="S716" s="108">
        <v>0</v>
      </c>
      <c r="T716" s="108">
        <v>0</v>
      </c>
      <c r="U716" s="108">
        <v>0</v>
      </c>
      <c r="V716" s="108">
        <v>0</v>
      </c>
      <c r="W716" s="108">
        <v>0</v>
      </c>
    </row>
    <row r="717" spans="1:23">
      <c r="A717" s="103">
        <v>45041</v>
      </c>
      <c r="B717" s="111" t="s">
        <v>39</v>
      </c>
      <c r="C717" s="112">
        <v>29121</v>
      </c>
      <c r="D717" s="112"/>
      <c r="E717" s="112">
        <v>258</v>
      </c>
      <c r="F717" s="113">
        <v>0.00885958586586999</v>
      </c>
      <c r="G717" s="112">
        <v>91</v>
      </c>
      <c r="H717" s="113">
        <v>0.352713178294574</v>
      </c>
      <c r="I717" s="113"/>
      <c r="J717" s="113"/>
      <c r="K717" s="113"/>
      <c r="L717" s="213"/>
      <c r="M717" s="213"/>
      <c r="N717" s="213"/>
      <c r="O717" s="213"/>
      <c r="P717" s="108"/>
      <c r="Q717" s="108"/>
      <c r="R717" s="108"/>
      <c r="S717" s="108"/>
      <c r="T717" s="108"/>
      <c r="U717" s="108"/>
      <c r="V717" s="108"/>
      <c r="W717" s="108"/>
    </row>
    <row r="718" spans="1:23">
      <c r="A718" s="103">
        <v>45042</v>
      </c>
      <c r="B718" s="104" t="s">
        <v>17</v>
      </c>
      <c r="C718" s="105">
        <v>616</v>
      </c>
      <c r="D718" s="105"/>
      <c r="E718" s="104">
        <v>36</v>
      </c>
      <c r="F718" s="106">
        <v>0.0584415584415584</v>
      </c>
      <c r="G718" s="107">
        <v>11</v>
      </c>
      <c r="H718" s="106">
        <v>0.305555555555556</v>
      </c>
      <c r="I718" s="106"/>
      <c r="J718" s="106"/>
      <c r="K718" s="106"/>
      <c r="L718" s="213">
        <v>45</v>
      </c>
      <c r="M718" s="213">
        <v>63.3333333333334</v>
      </c>
      <c r="N718" s="213">
        <v>17</v>
      </c>
      <c r="O718" s="213">
        <v>21.4285714285714</v>
      </c>
      <c r="P718" s="108">
        <v>-6</v>
      </c>
      <c r="Q718" s="108">
        <v>-1</v>
      </c>
      <c r="R718" s="108">
        <v>5.8</v>
      </c>
      <c r="S718" s="108">
        <v>9.42857142857143</v>
      </c>
      <c r="T718" s="108">
        <v>0</v>
      </c>
      <c r="U718" s="108">
        <v>3.33333333333333</v>
      </c>
      <c r="V718" s="108">
        <v>4.8</v>
      </c>
      <c r="W718" s="108">
        <v>5</v>
      </c>
    </row>
    <row r="719" spans="1:23">
      <c r="A719" s="103">
        <v>45042</v>
      </c>
      <c r="B719" s="104" t="s">
        <v>19</v>
      </c>
      <c r="C719" s="107">
        <v>1042</v>
      </c>
      <c r="D719" s="107"/>
      <c r="E719" s="104">
        <v>24</v>
      </c>
      <c r="F719" s="106">
        <v>0.0230326295585413</v>
      </c>
      <c r="G719" s="107">
        <v>14</v>
      </c>
      <c r="H719" s="106">
        <v>0.583333333333333</v>
      </c>
      <c r="I719" s="106"/>
      <c r="J719" s="106"/>
      <c r="K719" s="106"/>
      <c r="L719" s="213">
        <v>-2326</v>
      </c>
      <c r="M719" s="213">
        <v>-2359.33333333333</v>
      </c>
      <c r="N719" s="213">
        <v>-2253.2</v>
      </c>
      <c r="O719" s="213">
        <v>-1912.28571428571</v>
      </c>
      <c r="P719" s="108">
        <v>-29</v>
      </c>
      <c r="Q719" s="108">
        <v>-29.6666666666667</v>
      </c>
      <c r="R719" s="108">
        <v>-23.6</v>
      </c>
      <c r="S719" s="108">
        <v>-20.7142857142857</v>
      </c>
      <c r="T719" s="108">
        <v>-5</v>
      </c>
      <c r="U719" s="108">
        <v>-7.33333333333333</v>
      </c>
      <c r="V719" s="108">
        <v>-4.4</v>
      </c>
      <c r="W719" s="115">
        <v>-4.42857142857143</v>
      </c>
    </row>
    <row r="720" spans="1:23">
      <c r="A720" s="103">
        <v>45042</v>
      </c>
      <c r="B720" s="104" t="s">
        <v>21</v>
      </c>
      <c r="C720" s="145">
        <v>621</v>
      </c>
      <c r="D720" s="145"/>
      <c r="E720" s="104">
        <v>28</v>
      </c>
      <c r="F720" s="106">
        <v>0.0450885668276973</v>
      </c>
      <c r="G720" s="107">
        <v>9</v>
      </c>
      <c r="H720" s="106">
        <v>0.321428571428571</v>
      </c>
      <c r="I720" s="106"/>
      <c r="J720" s="106"/>
      <c r="K720" s="106"/>
      <c r="L720" s="213">
        <v>72</v>
      </c>
      <c r="M720" s="213">
        <v>42</v>
      </c>
      <c r="N720" s="213">
        <v>35.2</v>
      </c>
      <c r="O720" s="213">
        <v>48.1428571428571</v>
      </c>
      <c r="P720" s="108">
        <v>5</v>
      </c>
      <c r="Q720" s="108">
        <v>0.666666666666668</v>
      </c>
      <c r="R720" s="108">
        <v>1.8</v>
      </c>
      <c r="S720" s="108">
        <v>1.57142857142857</v>
      </c>
      <c r="T720" s="108">
        <v>-1</v>
      </c>
      <c r="U720" s="108">
        <v>0.666666666666666</v>
      </c>
      <c r="V720" s="108">
        <v>0</v>
      </c>
      <c r="W720" s="108">
        <v>0.142857142857142</v>
      </c>
    </row>
    <row r="721" spans="1:23">
      <c r="A721" s="103">
        <v>45042</v>
      </c>
      <c r="B721" s="104" t="s">
        <v>22</v>
      </c>
      <c r="C721" s="145">
        <v>3662</v>
      </c>
      <c r="D721" s="145"/>
      <c r="E721" s="104">
        <v>75</v>
      </c>
      <c r="F721" s="106">
        <v>0.0204806116876024</v>
      </c>
      <c r="G721" s="107">
        <v>30</v>
      </c>
      <c r="H721" s="106">
        <v>0.4</v>
      </c>
      <c r="I721" s="106"/>
      <c r="J721" s="106"/>
      <c r="K721" s="106"/>
      <c r="L721" s="213">
        <v>118</v>
      </c>
      <c r="M721" s="213">
        <v>55.3333333333335</v>
      </c>
      <c r="N721" s="213">
        <v>22.5999999999999</v>
      </c>
      <c r="O721" s="213">
        <v>-0.285714285714221</v>
      </c>
      <c r="P721" s="108">
        <v>17</v>
      </c>
      <c r="Q721" s="108">
        <v>7.66666666666667</v>
      </c>
      <c r="R721" s="108">
        <v>10.2</v>
      </c>
      <c r="S721" s="115">
        <v>7.14285714285714</v>
      </c>
      <c r="T721" s="108">
        <v>6</v>
      </c>
      <c r="U721" s="108">
        <v>7</v>
      </c>
      <c r="V721" s="108">
        <v>6.8</v>
      </c>
      <c r="W721" s="117">
        <v>4.57142857142857</v>
      </c>
    </row>
    <row r="722" spans="1:23">
      <c r="A722" s="103">
        <v>45042</v>
      </c>
      <c r="B722" s="104" t="s">
        <v>23</v>
      </c>
      <c r="C722" s="145">
        <v>2728</v>
      </c>
      <c r="D722" s="145"/>
      <c r="E722" s="104">
        <v>33</v>
      </c>
      <c r="F722" s="106">
        <v>0.0120967741935484</v>
      </c>
      <c r="G722" s="107">
        <v>9</v>
      </c>
      <c r="H722" s="106">
        <v>0.272727272727273</v>
      </c>
      <c r="I722" s="106"/>
      <c r="J722" s="106"/>
      <c r="K722" s="106"/>
      <c r="L722" s="213">
        <v>123</v>
      </c>
      <c r="M722" s="213">
        <v>218.333333333333</v>
      </c>
      <c r="N722" s="213">
        <v>181.4</v>
      </c>
      <c r="O722" s="213">
        <v>168.428571428572</v>
      </c>
      <c r="P722" s="108">
        <v>8</v>
      </c>
      <c r="Q722" s="108">
        <v>12</v>
      </c>
      <c r="R722" s="108">
        <v>11.4</v>
      </c>
      <c r="S722" s="108">
        <v>9.42857142857143</v>
      </c>
      <c r="T722" s="108">
        <v>5</v>
      </c>
      <c r="U722" s="116">
        <v>4.33333333333333</v>
      </c>
      <c r="V722" s="108">
        <v>3.6</v>
      </c>
      <c r="W722" s="108">
        <v>2.28571428571429</v>
      </c>
    </row>
    <row r="723" spans="1:23">
      <c r="A723" s="103">
        <v>45042</v>
      </c>
      <c r="B723" s="104" t="s">
        <v>24</v>
      </c>
      <c r="C723" s="145">
        <v>193</v>
      </c>
      <c r="D723" s="145"/>
      <c r="E723" s="104">
        <v>0</v>
      </c>
      <c r="F723" s="106">
        <v>0</v>
      </c>
      <c r="G723" s="107">
        <v>1</v>
      </c>
      <c r="H723" s="106">
        <v>1</v>
      </c>
      <c r="I723" s="106"/>
      <c r="J723" s="106"/>
      <c r="K723" s="106"/>
      <c r="L723" s="213">
        <v>-75</v>
      </c>
      <c r="M723" s="213">
        <v>-111.666666666667</v>
      </c>
      <c r="N723" s="213">
        <v>-150.6</v>
      </c>
      <c r="O723" s="213">
        <v>-178.142857142857</v>
      </c>
      <c r="P723" s="115">
        <v>-1</v>
      </c>
      <c r="Q723" s="115">
        <v>-2</v>
      </c>
      <c r="R723" s="117">
        <v>-1.6</v>
      </c>
      <c r="S723" s="117">
        <v>-2.14285714285714</v>
      </c>
      <c r="T723" s="115">
        <v>1</v>
      </c>
      <c r="U723" s="115">
        <v>0.333333333333333</v>
      </c>
      <c r="V723" s="115">
        <v>0.2</v>
      </c>
      <c r="W723" s="115">
        <v>-0.571428571428571</v>
      </c>
    </row>
    <row r="724" spans="1:23">
      <c r="A724" s="103">
        <v>45042</v>
      </c>
      <c r="B724" s="104" t="s">
        <v>25</v>
      </c>
      <c r="C724" s="145">
        <v>16572</v>
      </c>
      <c r="D724" s="145"/>
      <c r="E724" s="104">
        <v>53</v>
      </c>
      <c r="F724" s="106">
        <v>0.00319816558049722</v>
      </c>
      <c r="G724" s="107">
        <v>26</v>
      </c>
      <c r="H724" s="106">
        <v>0.490566037735849</v>
      </c>
      <c r="I724" s="106"/>
      <c r="J724" s="106"/>
      <c r="K724" s="106"/>
      <c r="L724" s="213">
        <v>1180</v>
      </c>
      <c r="M724" s="213">
        <v>2128.66666666667</v>
      </c>
      <c r="N724" s="213">
        <v>1892.4</v>
      </c>
      <c r="O724" s="213">
        <v>2233.42857142857</v>
      </c>
      <c r="P724" s="116">
        <v>23</v>
      </c>
      <c r="Q724" s="115">
        <v>17</v>
      </c>
      <c r="R724" s="115">
        <v>12.6</v>
      </c>
      <c r="S724" s="115">
        <v>14.8571428571429</v>
      </c>
      <c r="T724" s="108">
        <v>13</v>
      </c>
      <c r="U724" s="108">
        <v>13.3333333333333</v>
      </c>
      <c r="V724" s="108">
        <v>11.6</v>
      </c>
      <c r="W724" s="108">
        <v>11.2857142857143</v>
      </c>
    </row>
    <row r="725" spans="1:23">
      <c r="A725" s="103">
        <v>45042</v>
      </c>
      <c r="B725" s="104" t="s">
        <v>26</v>
      </c>
      <c r="C725" s="145">
        <v>2964</v>
      </c>
      <c r="D725" s="145"/>
      <c r="E725" s="104">
        <v>13</v>
      </c>
      <c r="F725" s="106">
        <v>0.0043859649122807</v>
      </c>
      <c r="G725" s="107">
        <v>3</v>
      </c>
      <c r="H725" s="106">
        <v>0.230769230769231</v>
      </c>
      <c r="I725" s="106"/>
      <c r="J725" s="106"/>
      <c r="K725" s="106"/>
      <c r="L725" s="213">
        <v>562</v>
      </c>
      <c r="M725" s="213">
        <v>747.333333333333</v>
      </c>
      <c r="N725" s="213">
        <v>738.4</v>
      </c>
      <c r="O725" s="213">
        <v>755.142857142857</v>
      </c>
      <c r="P725" s="108">
        <v>-7</v>
      </c>
      <c r="Q725" s="108">
        <v>-5.33333333333333</v>
      </c>
      <c r="R725" s="108">
        <v>-8</v>
      </c>
      <c r="S725" s="108">
        <v>-8</v>
      </c>
      <c r="T725" s="108">
        <v>-6</v>
      </c>
      <c r="U725" s="108">
        <v>-6</v>
      </c>
      <c r="V725" s="108">
        <v>-5.6</v>
      </c>
      <c r="W725" s="108">
        <v>-5.57142857142857</v>
      </c>
    </row>
    <row r="726" spans="1:23">
      <c r="A726" s="103">
        <v>45042</v>
      </c>
      <c r="B726" s="104" t="s">
        <v>27</v>
      </c>
      <c r="C726" s="145">
        <v>600</v>
      </c>
      <c r="D726" s="145"/>
      <c r="E726" s="104">
        <v>10</v>
      </c>
      <c r="F726" s="106">
        <v>0.0166666666666667</v>
      </c>
      <c r="G726" s="107">
        <v>2</v>
      </c>
      <c r="H726" s="106">
        <v>0.2</v>
      </c>
      <c r="I726" s="106"/>
      <c r="J726" s="106"/>
      <c r="K726" s="106"/>
      <c r="L726" s="213">
        <v>178</v>
      </c>
      <c r="M726" s="213">
        <v>193.333333333333</v>
      </c>
      <c r="N726" s="213">
        <v>144</v>
      </c>
      <c r="O726" s="213">
        <v>152.857142857143</v>
      </c>
      <c r="P726" s="108">
        <v>5</v>
      </c>
      <c r="Q726" s="108">
        <v>5</v>
      </c>
      <c r="R726" s="108">
        <v>4.8</v>
      </c>
      <c r="S726" s="108">
        <v>5.85714285714286</v>
      </c>
      <c r="T726" s="108">
        <v>1</v>
      </c>
      <c r="U726" s="108">
        <v>1</v>
      </c>
      <c r="V726" s="108">
        <v>0.6</v>
      </c>
      <c r="W726" s="108">
        <v>0.571428571428571</v>
      </c>
    </row>
    <row r="727" spans="1:23">
      <c r="A727" s="103">
        <v>45042</v>
      </c>
      <c r="B727" s="104" t="s">
        <v>28</v>
      </c>
      <c r="C727" s="145">
        <v>0</v>
      </c>
      <c r="D727" s="145"/>
      <c r="E727" s="104">
        <v>0</v>
      </c>
      <c r="F727" s="106">
        <v>0</v>
      </c>
      <c r="G727" s="107">
        <v>0</v>
      </c>
      <c r="H727" s="106">
        <v>0</v>
      </c>
      <c r="I727" s="106"/>
      <c r="J727" s="106"/>
      <c r="K727" s="106"/>
      <c r="L727" s="213">
        <v>0</v>
      </c>
      <c r="M727" s="213">
        <v>0</v>
      </c>
      <c r="N727" s="213">
        <v>0</v>
      </c>
      <c r="O727" s="213">
        <v>0</v>
      </c>
      <c r="P727" s="108">
        <v>-1</v>
      </c>
      <c r="Q727" s="108">
        <v>-0.333333333333333</v>
      </c>
      <c r="R727" s="108">
        <v>-0.4</v>
      </c>
      <c r="S727" s="108">
        <v>-0.428571428571429</v>
      </c>
      <c r="T727" s="108">
        <v>0</v>
      </c>
      <c r="U727" s="108">
        <v>0</v>
      </c>
      <c r="V727" s="108">
        <v>0</v>
      </c>
      <c r="W727" s="108">
        <v>0</v>
      </c>
    </row>
    <row r="728" spans="1:23">
      <c r="A728" s="103">
        <v>45042</v>
      </c>
      <c r="B728" s="104" t="s">
        <v>29</v>
      </c>
      <c r="C728" s="145">
        <v>0</v>
      </c>
      <c r="D728" s="145"/>
      <c r="E728" s="104">
        <v>0</v>
      </c>
      <c r="F728" s="106">
        <v>0</v>
      </c>
      <c r="G728" s="107">
        <v>0</v>
      </c>
      <c r="H728" s="106">
        <v>0</v>
      </c>
      <c r="I728" s="106"/>
      <c r="J728" s="106"/>
      <c r="K728" s="106"/>
      <c r="L728" s="213">
        <v>0</v>
      </c>
      <c r="M728" s="213">
        <v>0</v>
      </c>
      <c r="N728" s="213">
        <v>0</v>
      </c>
      <c r="O728" s="213">
        <v>0</v>
      </c>
      <c r="P728" s="108">
        <v>0</v>
      </c>
      <c r="Q728" s="108">
        <v>-0.333333333333333</v>
      </c>
      <c r="R728" s="108">
        <v>-0.6</v>
      </c>
      <c r="S728" s="108">
        <v>-0.428571428571429</v>
      </c>
      <c r="T728" s="108">
        <v>0</v>
      </c>
      <c r="U728" s="108">
        <v>0</v>
      </c>
      <c r="V728" s="108">
        <v>0</v>
      </c>
      <c r="W728" s="108">
        <v>0</v>
      </c>
    </row>
    <row r="729" spans="1:23">
      <c r="A729" s="103">
        <v>45042</v>
      </c>
      <c r="B729" s="104" t="s">
        <v>30</v>
      </c>
      <c r="C729" s="145">
        <v>0</v>
      </c>
      <c r="D729" s="145"/>
      <c r="E729" s="104">
        <v>0</v>
      </c>
      <c r="F729" s="106">
        <v>0</v>
      </c>
      <c r="G729" s="107">
        <v>0</v>
      </c>
      <c r="H729" s="106">
        <v>0</v>
      </c>
      <c r="I729" s="106"/>
      <c r="J729" s="106"/>
      <c r="K729" s="106"/>
      <c r="L729" s="213">
        <v>0</v>
      </c>
      <c r="M729" s="213">
        <v>0</v>
      </c>
      <c r="N729" s="213">
        <v>0</v>
      </c>
      <c r="O729" s="213">
        <v>0</v>
      </c>
      <c r="P729" s="108">
        <v>0</v>
      </c>
      <c r="Q729" s="108">
        <v>0</v>
      </c>
      <c r="R729" s="108">
        <v>0</v>
      </c>
      <c r="S729" s="108">
        <v>0</v>
      </c>
      <c r="T729" s="108">
        <v>0</v>
      </c>
      <c r="U729" s="108">
        <v>0</v>
      </c>
      <c r="V729" s="108">
        <v>0</v>
      </c>
      <c r="W729" s="108">
        <v>0</v>
      </c>
    </row>
    <row r="730" spans="1:23">
      <c r="A730" s="103">
        <v>45042</v>
      </c>
      <c r="B730" s="104" t="s">
        <v>31</v>
      </c>
      <c r="C730" s="145">
        <v>0</v>
      </c>
      <c r="D730" s="145"/>
      <c r="E730" s="104">
        <v>0</v>
      </c>
      <c r="F730" s="106">
        <v>0</v>
      </c>
      <c r="G730" s="107">
        <v>0</v>
      </c>
      <c r="H730" s="106">
        <v>0</v>
      </c>
      <c r="I730" s="106"/>
      <c r="J730" s="106"/>
      <c r="K730" s="106"/>
      <c r="L730" s="213">
        <v>0</v>
      </c>
      <c r="M730" s="213">
        <v>0</v>
      </c>
      <c r="N730" s="213">
        <v>0</v>
      </c>
      <c r="O730" s="213">
        <v>0</v>
      </c>
      <c r="P730" s="108">
        <v>0</v>
      </c>
      <c r="Q730" s="108">
        <v>-0.333333333333333</v>
      </c>
      <c r="R730" s="108">
        <v>-0.2</v>
      </c>
      <c r="S730" s="108">
        <v>-0.142857142857143</v>
      </c>
      <c r="T730" s="108">
        <v>0</v>
      </c>
      <c r="U730" s="108">
        <v>0</v>
      </c>
      <c r="V730" s="108">
        <v>-0.2</v>
      </c>
      <c r="W730" s="108">
        <v>-0.142857142857143</v>
      </c>
    </row>
    <row r="731" spans="1:23">
      <c r="A731" s="103">
        <v>45042</v>
      </c>
      <c r="B731" s="104" t="s">
        <v>32</v>
      </c>
      <c r="C731" s="145">
        <v>0</v>
      </c>
      <c r="D731" s="145"/>
      <c r="E731" s="104">
        <v>0</v>
      </c>
      <c r="F731" s="106">
        <v>0</v>
      </c>
      <c r="G731" s="107">
        <v>0</v>
      </c>
      <c r="H731" s="106">
        <v>0</v>
      </c>
      <c r="I731" s="106"/>
      <c r="J731" s="106"/>
      <c r="K731" s="106"/>
      <c r="L731" s="213">
        <v>0</v>
      </c>
      <c r="M731" s="213">
        <v>0</v>
      </c>
      <c r="N731" s="213">
        <v>0</v>
      </c>
      <c r="O731" s="213">
        <v>0</v>
      </c>
      <c r="P731" s="108">
        <v>0</v>
      </c>
      <c r="Q731" s="108">
        <v>0</v>
      </c>
      <c r="R731" s="108">
        <v>0</v>
      </c>
      <c r="S731" s="108">
        <v>0</v>
      </c>
      <c r="T731" s="108">
        <v>0</v>
      </c>
      <c r="U731" s="108">
        <v>0</v>
      </c>
      <c r="V731" s="108">
        <v>0</v>
      </c>
      <c r="W731" s="108">
        <v>0</v>
      </c>
    </row>
    <row r="732" spans="1:23">
      <c r="A732" s="103">
        <v>45042</v>
      </c>
      <c r="B732" s="104" t="s">
        <v>33</v>
      </c>
      <c r="C732" s="145">
        <v>0</v>
      </c>
      <c r="D732" s="145"/>
      <c r="E732" s="104">
        <v>0</v>
      </c>
      <c r="F732" s="106">
        <v>0</v>
      </c>
      <c r="G732" s="107">
        <v>0</v>
      </c>
      <c r="H732" s="106">
        <v>0</v>
      </c>
      <c r="I732" s="106"/>
      <c r="J732" s="106"/>
      <c r="K732" s="106"/>
      <c r="L732" s="213">
        <v>0</v>
      </c>
      <c r="M732" s="213">
        <v>0</v>
      </c>
      <c r="N732" s="213">
        <v>0</v>
      </c>
      <c r="O732" s="213">
        <v>0</v>
      </c>
      <c r="P732" s="108">
        <v>0</v>
      </c>
      <c r="Q732" s="108">
        <v>0</v>
      </c>
      <c r="R732" s="108">
        <v>0</v>
      </c>
      <c r="S732" s="108">
        <v>0</v>
      </c>
      <c r="T732" s="108">
        <v>0</v>
      </c>
      <c r="U732" s="108">
        <v>0</v>
      </c>
      <c r="V732" s="108">
        <v>0</v>
      </c>
      <c r="W732" s="108">
        <v>0</v>
      </c>
    </row>
    <row r="733" spans="1:23">
      <c r="A733" s="103">
        <v>45042</v>
      </c>
      <c r="B733" s="104" t="s">
        <v>34</v>
      </c>
      <c r="C733" s="145">
        <v>0</v>
      </c>
      <c r="D733" s="145"/>
      <c r="E733" s="104">
        <v>0</v>
      </c>
      <c r="F733" s="106">
        <v>0</v>
      </c>
      <c r="G733" s="107">
        <v>0</v>
      </c>
      <c r="H733" s="106">
        <v>0</v>
      </c>
      <c r="I733" s="106"/>
      <c r="J733" s="106"/>
      <c r="K733" s="106"/>
      <c r="L733" s="213">
        <v>0</v>
      </c>
      <c r="M733" s="213">
        <v>0</v>
      </c>
      <c r="N733" s="213">
        <v>0</v>
      </c>
      <c r="O733" s="213">
        <v>0</v>
      </c>
      <c r="P733" s="108">
        <v>0</v>
      </c>
      <c r="Q733" s="108">
        <v>0</v>
      </c>
      <c r="R733" s="108">
        <v>0</v>
      </c>
      <c r="S733" s="108">
        <v>0</v>
      </c>
      <c r="T733" s="108">
        <v>0</v>
      </c>
      <c r="U733" s="108">
        <v>0</v>
      </c>
      <c r="V733" s="108">
        <v>0</v>
      </c>
      <c r="W733" s="108">
        <v>0</v>
      </c>
    </row>
    <row r="734" spans="1:23">
      <c r="A734" s="103">
        <v>45042</v>
      </c>
      <c r="B734" s="104" t="s">
        <v>35</v>
      </c>
      <c r="C734" s="145">
        <v>0</v>
      </c>
      <c r="D734" s="145"/>
      <c r="E734" s="104">
        <v>0</v>
      </c>
      <c r="F734" s="106">
        <v>0</v>
      </c>
      <c r="G734" s="107">
        <v>0</v>
      </c>
      <c r="H734" s="106">
        <v>0</v>
      </c>
      <c r="I734" s="106"/>
      <c r="J734" s="106"/>
      <c r="K734" s="106"/>
      <c r="L734" s="213">
        <v>0</v>
      </c>
      <c r="M734" s="213">
        <v>0</v>
      </c>
      <c r="N734" s="213">
        <v>0</v>
      </c>
      <c r="O734" s="213">
        <v>0</v>
      </c>
      <c r="P734" s="108">
        <v>0</v>
      </c>
      <c r="Q734" s="108">
        <v>0</v>
      </c>
      <c r="R734" s="108">
        <v>0</v>
      </c>
      <c r="S734" s="108">
        <v>0</v>
      </c>
      <c r="T734" s="108">
        <v>0</v>
      </c>
      <c r="U734" s="108">
        <v>0</v>
      </c>
      <c r="V734" s="108">
        <v>0</v>
      </c>
      <c r="W734" s="108">
        <v>0</v>
      </c>
    </row>
    <row r="735" spans="1:23">
      <c r="A735" s="103">
        <v>45042</v>
      </c>
      <c r="B735" s="104" t="s">
        <v>36</v>
      </c>
      <c r="C735" s="145">
        <v>0</v>
      </c>
      <c r="D735" s="145"/>
      <c r="E735" s="104">
        <v>0</v>
      </c>
      <c r="F735" s="106">
        <v>0</v>
      </c>
      <c r="G735" s="107">
        <v>0</v>
      </c>
      <c r="H735" s="106">
        <v>0</v>
      </c>
      <c r="I735" s="106"/>
      <c r="J735" s="106"/>
      <c r="K735" s="106"/>
      <c r="L735" s="213">
        <v>0</v>
      </c>
      <c r="M735" s="213">
        <v>0</v>
      </c>
      <c r="N735" s="213">
        <v>0</v>
      </c>
      <c r="O735" s="213">
        <v>0</v>
      </c>
      <c r="P735" s="108">
        <v>0</v>
      </c>
      <c r="Q735" s="108">
        <v>0</v>
      </c>
      <c r="R735" s="108">
        <v>0</v>
      </c>
      <c r="S735" s="108">
        <v>0</v>
      </c>
      <c r="T735" s="108">
        <v>0</v>
      </c>
      <c r="U735" s="108">
        <v>0</v>
      </c>
      <c r="V735" s="108">
        <v>0</v>
      </c>
      <c r="W735" s="108">
        <v>0</v>
      </c>
    </row>
    <row r="736" spans="1:23">
      <c r="A736" s="103">
        <v>45042</v>
      </c>
      <c r="B736" s="104" t="s">
        <v>37</v>
      </c>
      <c r="C736" s="145">
        <v>0</v>
      </c>
      <c r="D736" s="145"/>
      <c r="E736" s="104">
        <v>0</v>
      </c>
      <c r="F736" s="106">
        <v>0</v>
      </c>
      <c r="G736" s="107">
        <v>0</v>
      </c>
      <c r="H736" s="106">
        <v>0</v>
      </c>
      <c r="I736" s="106"/>
      <c r="J736" s="106"/>
      <c r="K736" s="106"/>
      <c r="L736" s="213">
        <v>0</v>
      </c>
      <c r="M736" s="213">
        <v>0</v>
      </c>
      <c r="N736" s="213">
        <v>0</v>
      </c>
      <c r="O736" s="213">
        <v>0</v>
      </c>
      <c r="P736" s="108">
        <v>0</v>
      </c>
      <c r="Q736" s="108">
        <v>0</v>
      </c>
      <c r="R736" s="108">
        <v>0</v>
      </c>
      <c r="S736" s="108">
        <v>0</v>
      </c>
      <c r="T736" s="108">
        <v>0</v>
      </c>
      <c r="U736" s="108">
        <v>0</v>
      </c>
      <c r="V736" s="108">
        <v>0</v>
      </c>
      <c r="W736" s="108">
        <v>0</v>
      </c>
    </row>
    <row r="737" spans="1:23">
      <c r="A737" s="103">
        <v>45042</v>
      </c>
      <c r="B737" s="104" t="s">
        <v>38</v>
      </c>
      <c r="C737" s="145">
        <v>0</v>
      </c>
      <c r="D737" s="145"/>
      <c r="E737" s="104">
        <v>0</v>
      </c>
      <c r="F737" s="106">
        <v>0</v>
      </c>
      <c r="G737" s="107">
        <v>0</v>
      </c>
      <c r="H737" s="106">
        <v>0</v>
      </c>
      <c r="I737" s="106"/>
      <c r="J737" s="106"/>
      <c r="K737" s="106"/>
      <c r="L737" s="213">
        <v>0</v>
      </c>
      <c r="M737" s="213">
        <v>0</v>
      </c>
      <c r="N737" s="213">
        <v>0</v>
      </c>
      <c r="O737" s="213">
        <v>0</v>
      </c>
      <c r="P737" s="108">
        <v>0</v>
      </c>
      <c r="Q737" s="108">
        <v>0</v>
      </c>
      <c r="R737" s="108">
        <v>0</v>
      </c>
      <c r="S737" s="108">
        <v>0</v>
      </c>
      <c r="T737" s="108">
        <v>0</v>
      </c>
      <c r="U737" s="108">
        <v>0</v>
      </c>
      <c r="V737" s="108">
        <v>0</v>
      </c>
      <c r="W737" s="108">
        <v>0</v>
      </c>
    </row>
    <row r="738" spans="1:23">
      <c r="A738" s="103">
        <v>45042</v>
      </c>
      <c r="B738" s="111" t="s">
        <v>39</v>
      </c>
      <c r="C738" s="112">
        <v>28998</v>
      </c>
      <c r="D738" s="112"/>
      <c r="E738" s="112">
        <v>272</v>
      </c>
      <c r="F738" s="113">
        <v>0.00937995723843024</v>
      </c>
      <c r="G738" s="112">
        <v>105</v>
      </c>
      <c r="H738" s="113">
        <v>0.386029411764706</v>
      </c>
      <c r="I738" s="113"/>
      <c r="J738" s="113"/>
      <c r="K738" s="113"/>
      <c r="L738" s="213"/>
      <c r="M738" s="213"/>
      <c r="N738" s="213"/>
      <c r="O738" s="213"/>
      <c r="P738" s="108"/>
      <c r="Q738" s="108"/>
      <c r="R738" s="108"/>
      <c r="S738" s="108"/>
      <c r="T738" s="108"/>
      <c r="U738" s="108"/>
      <c r="V738" s="108"/>
      <c r="W738" s="108"/>
    </row>
    <row r="739" spans="1:23">
      <c r="A739" s="103">
        <v>45043</v>
      </c>
      <c r="B739" s="104" t="s">
        <v>17</v>
      </c>
      <c r="C739" s="105">
        <v>687</v>
      </c>
      <c r="D739" s="105"/>
      <c r="E739" s="104">
        <v>53</v>
      </c>
      <c r="F739" s="106">
        <v>0.0771470160116448</v>
      </c>
      <c r="G739" s="107">
        <v>7</v>
      </c>
      <c r="H739" s="106">
        <v>0.132075471698113</v>
      </c>
      <c r="I739" s="106"/>
      <c r="J739" s="106"/>
      <c r="K739" s="106"/>
      <c r="L739" s="213">
        <v>71</v>
      </c>
      <c r="M739" s="213">
        <v>116.333333333333</v>
      </c>
      <c r="N739" s="213">
        <v>105</v>
      </c>
      <c r="O739" s="213">
        <v>94</v>
      </c>
      <c r="P739" s="108">
        <v>17</v>
      </c>
      <c r="Q739" s="108">
        <v>16</v>
      </c>
      <c r="R739" s="108">
        <v>19.8</v>
      </c>
      <c r="S739" s="108">
        <v>24.1428571428571</v>
      </c>
      <c r="T739" s="108">
        <v>-4</v>
      </c>
      <c r="U739" s="108">
        <v>-2</v>
      </c>
      <c r="V739" s="108">
        <v>-0.4</v>
      </c>
      <c r="W739" s="108">
        <v>0.571428571428571</v>
      </c>
    </row>
    <row r="740" spans="1:23">
      <c r="A740" s="103">
        <v>45043</v>
      </c>
      <c r="B740" s="104" t="s">
        <v>19</v>
      </c>
      <c r="C740" s="107">
        <v>710</v>
      </c>
      <c r="D740" s="107"/>
      <c r="E740" s="104">
        <v>11</v>
      </c>
      <c r="F740" s="106">
        <v>0.0154929577464789</v>
      </c>
      <c r="G740" s="107">
        <v>6</v>
      </c>
      <c r="H740" s="106">
        <v>0.545454545454545</v>
      </c>
      <c r="I740" s="106"/>
      <c r="J740" s="106"/>
      <c r="K740" s="106"/>
      <c r="L740" s="213">
        <v>-332</v>
      </c>
      <c r="M740" s="213">
        <v>-1936</v>
      </c>
      <c r="N740" s="213">
        <v>-2212.4</v>
      </c>
      <c r="O740" s="213">
        <v>-2128</v>
      </c>
      <c r="P740" s="108">
        <v>-13</v>
      </c>
      <c r="Q740" s="108">
        <v>-32.6666666666667</v>
      </c>
      <c r="R740" s="108">
        <v>-33</v>
      </c>
      <c r="S740" s="108">
        <v>-31.7142857142857</v>
      </c>
      <c r="T740" s="108">
        <v>-8</v>
      </c>
      <c r="U740" s="108">
        <v>-12.6666666666667</v>
      </c>
      <c r="V740" s="108">
        <v>-11.6</v>
      </c>
      <c r="W740" s="115">
        <v>-12.1428571428571</v>
      </c>
    </row>
    <row r="741" spans="1:23">
      <c r="A741" s="103">
        <v>45043</v>
      </c>
      <c r="B741" s="104" t="s">
        <v>21</v>
      </c>
      <c r="C741" s="145">
        <v>603</v>
      </c>
      <c r="D741" s="145"/>
      <c r="E741" s="104">
        <v>37</v>
      </c>
      <c r="F741" s="106">
        <v>0.0613598673300166</v>
      </c>
      <c r="G741" s="107">
        <v>9</v>
      </c>
      <c r="H741" s="106">
        <v>0.243243243243243</v>
      </c>
      <c r="I741" s="106"/>
      <c r="J741" s="106"/>
      <c r="K741" s="106"/>
      <c r="L741" s="213">
        <v>-18</v>
      </c>
      <c r="M741" s="213">
        <v>26.6666666666666</v>
      </c>
      <c r="N741" s="213">
        <v>5.20000000000005</v>
      </c>
      <c r="O741" s="213">
        <v>21.1428571428571</v>
      </c>
      <c r="P741" s="108">
        <v>9</v>
      </c>
      <c r="Q741" s="108">
        <v>11.6666666666667</v>
      </c>
      <c r="R741" s="108">
        <v>10</v>
      </c>
      <c r="S741" s="108">
        <v>10.8571428571429</v>
      </c>
      <c r="T741" s="108">
        <v>0</v>
      </c>
      <c r="U741" s="108">
        <v>0.666666666666666</v>
      </c>
      <c r="V741" s="108">
        <v>0.199999999999999</v>
      </c>
      <c r="W741" s="108">
        <v>-0.142857142857142</v>
      </c>
    </row>
    <row r="742" spans="1:23">
      <c r="A742" s="103">
        <v>45043</v>
      </c>
      <c r="B742" s="104" t="s">
        <v>22</v>
      </c>
      <c r="C742" s="145">
        <v>3543</v>
      </c>
      <c r="D742" s="145"/>
      <c r="E742" s="104">
        <v>66</v>
      </c>
      <c r="F742" s="106">
        <v>0.0186282811176969</v>
      </c>
      <c r="G742" s="107">
        <v>23</v>
      </c>
      <c r="H742" s="106">
        <v>0.348484848484849</v>
      </c>
      <c r="I742" s="106"/>
      <c r="J742" s="106"/>
      <c r="K742" s="106"/>
      <c r="L742" s="213">
        <v>-119</v>
      </c>
      <c r="M742" s="213">
        <v>-56</v>
      </c>
      <c r="N742" s="213">
        <v>-80.4000000000001</v>
      </c>
      <c r="O742" s="213">
        <v>-103.285714285714</v>
      </c>
      <c r="P742" s="108">
        <v>-9</v>
      </c>
      <c r="Q742" s="108">
        <v>-3.33333333333333</v>
      </c>
      <c r="R742" s="108">
        <v>0.200000000000003</v>
      </c>
      <c r="S742" s="115">
        <v>0.428571428571431</v>
      </c>
      <c r="T742" s="108">
        <v>-7</v>
      </c>
      <c r="U742" s="108">
        <v>-4</v>
      </c>
      <c r="V742" s="108">
        <v>-1.2</v>
      </c>
      <c r="W742" s="117">
        <v>-1.71428571428572</v>
      </c>
    </row>
    <row r="743" spans="1:23">
      <c r="A743" s="103">
        <v>45043</v>
      </c>
      <c r="B743" s="104" t="s">
        <v>23</v>
      </c>
      <c r="C743" s="145">
        <v>2664</v>
      </c>
      <c r="D743" s="145"/>
      <c r="E743" s="104">
        <v>29</v>
      </c>
      <c r="F743" s="106">
        <v>0.0108858858858859</v>
      </c>
      <c r="G743" s="107">
        <v>3</v>
      </c>
      <c r="H743" s="106">
        <v>0.103448275862069</v>
      </c>
      <c r="I743" s="106"/>
      <c r="J743" s="106"/>
      <c r="K743" s="106"/>
      <c r="L743" s="213">
        <v>-64</v>
      </c>
      <c r="M743" s="213">
        <v>67</v>
      </c>
      <c r="N743" s="213">
        <v>94.1999999999998</v>
      </c>
      <c r="O743" s="213">
        <v>78.8571428571427</v>
      </c>
      <c r="P743" s="108">
        <v>-4</v>
      </c>
      <c r="Q743" s="108">
        <v>1.66666666666667</v>
      </c>
      <c r="R743" s="108">
        <v>5.4</v>
      </c>
      <c r="S743" s="108">
        <v>4.28571428571428</v>
      </c>
      <c r="T743" s="108">
        <v>-6</v>
      </c>
      <c r="U743" s="116">
        <v>-4</v>
      </c>
      <c r="V743" s="108">
        <v>-3</v>
      </c>
      <c r="W743" s="108">
        <v>-3.42857142857143</v>
      </c>
    </row>
    <row r="744" spans="1:23">
      <c r="A744" s="103">
        <v>45043</v>
      </c>
      <c r="B744" s="104" t="s">
        <v>24</v>
      </c>
      <c r="C744" s="145">
        <v>220</v>
      </c>
      <c r="D744" s="145"/>
      <c r="E744" s="104">
        <v>3</v>
      </c>
      <c r="F744" s="106">
        <v>0.0136363636363636</v>
      </c>
      <c r="G744" s="107">
        <v>0</v>
      </c>
      <c r="H744" s="106">
        <v>0</v>
      </c>
      <c r="I744" s="106"/>
      <c r="J744" s="106"/>
      <c r="K744" s="106"/>
      <c r="L744" s="213">
        <v>27</v>
      </c>
      <c r="M744" s="213">
        <v>-32</v>
      </c>
      <c r="N744" s="213">
        <v>-87.8</v>
      </c>
      <c r="O744" s="213">
        <v>-116.571428571429</v>
      </c>
      <c r="P744" s="115">
        <v>3</v>
      </c>
      <c r="Q744" s="115">
        <v>2</v>
      </c>
      <c r="R744" s="117">
        <v>1.6</v>
      </c>
      <c r="S744" s="117">
        <v>1.42857142857143</v>
      </c>
      <c r="T744" s="115">
        <v>-1</v>
      </c>
      <c r="U744" s="115">
        <v>-0.333333333333333</v>
      </c>
      <c r="V744" s="115">
        <v>-0.8</v>
      </c>
      <c r="W744" s="115">
        <v>-1</v>
      </c>
    </row>
    <row r="745" spans="1:23">
      <c r="A745" s="103">
        <v>45043</v>
      </c>
      <c r="B745" s="104" t="s">
        <v>25</v>
      </c>
      <c r="C745" s="145">
        <v>14948</v>
      </c>
      <c r="D745" s="145"/>
      <c r="E745" s="104">
        <v>65</v>
      </c>
      <c r="F745" s="106">
        <v>0.00434840781375435</v>
      </c>
      <c r="G745" s="107">
        <v>19</v>
      </c>
      <c r="H745" s="106">
        <v>0.292307692307692</v>
      </c>
      <c r="I745" s="106"/>
      <c r="J745" s="106"/>
      <c r="K745" s="106"/>
      <c r="L745" s="213">
        <v>-1624</v>
      </c>
      <c r="M745" s="213">
        <v>-69.3333333333339</v>
      </c>
      <c r="N745" s="213">
        <v>-180.799999999999</v>
      </c>
      <c r="O745" s="213">
        <v>128</v>
      </c>
      <c r="P745" s="116">
        <v>12</v>
      </c>
      <c r="Q745" s="115">
        <v>25.3333333333333</v>
      </c>
      <c r="R745" s="115">
        <v>24.2</v>
      </c>
      <c r="S745" s="115">
        <v>24.7142857142857</v>
      </c>
      <c r="T745" s="108">
        <v>-7</v>
      </c>
      <c r="U745" s="108">
        <v>2.66666666666667</v>
      </c>
      <c r="V745" s="108">
        <v>2.4</v>
      </c>
      <c r="W745" s="108">
        <v>2.85714285714286</v>
      </c>
    </row>
    <row r="746" spans="1:23">
      <c r="A746" s="103">
        <v>45043</v>
      </c>
      <c r="B746" s="104" t="s">
        <v>26</v>
      </c>
      <c r="C746" s="145">
        <v>2588</v>
      </c>
      <c r="D746" s="145"/>
      <c r="E746" s="104">
        <v>16</v>
      </c>
      <c r="F746" s="106">
        <v>0.00618238021638331</v>
      </c>
      <c r="G746" s="107">
        <v>8</v>
      </c>
      <c r="H746" s="106">
        <v>0.5</v>
      </c>
      <c r="I746" s="106"/>
      <c r="J746" s="106"/>
      <c r="K746" s="106"/>
      <c r="L746" s="213">
        <v>-376</v>
      </c>
      <c r="M746" s="213">
        <v>75.3333333333335</v>
      </c>
      <c r="N746" s="213">
        <v>226</v>
      </c>
      <c r="O746" s="213">
        <v>248</v>
      </c>
      <c r="P746" s="108">
        <v>3</v>
      </c>
      <c r="Q746" s="108">
        <v>1.33333333333333</v>
      </c>
      <c r="R746" s="108">
        <v>-2</v>
      </c>
      <c r="S746" s="108">
        <v>-4.71428571428572</v>
      </c>
      <c r="T746" s="108">
        <v>5</v>
      </c>
      <c r="U746" s="108">
        <v>0.666666666666667</v>
      </c>
      <c r="V746" s="108">
        <v>0.4</v>
      </c>
      <c r="W746" s="108">
        <v>-0.428571428571429</v>
      </c>
    </row>
    <row r="747" spans="1:23">
      <c r="A747" s="103">
        <v>45043</v>
      </c>
      <c r="B747" s="104" t="s">
        <v>27</v>
      </c>
      <c r="C747" s="145">
        <v>1028</v>
      </c>
      <c r="D747" s="145"/>
      <c r="E747" s="104">
        <v>11</v>
      </c>
      <c r="F747" s="106">
        <v>0.0107003891050584</v>
      </c>
      <c r="G747" s="107">
        <v>5</v>
      </c>
      <c r="H747" s="106">
        <v>0.454545454545455</v>
      </c>
      <c r="I747" s="106"/>
      <c r="J747" s="106"/>
      <c r="K747" s="106"/>
      <c r="L747" s="213">
        <v>428</v>
      </c>
      <c r="M747" s="213">
        <v>566</v>
      </c>
      <c r="N747" s="213">
        <v>554.4</v>
      </c>
      <c r="O747" s="213">
        <v>552.571428571429</v>
      </c>
      <c r="P747" s="108">
        <v>1</v>
      </c>
      <c r="Q747" s="108">
        <v>5.33333333333333</v>
      </c>
      <c r="R747" s="108">
        <v>4.6</v>
      </c>
      <c r="S747" s="108">
        <v>5.42857142857143</v>
      </c>
      <c r="T747" s="108">
        <v>3</v>
      </c>
      <c r="U747" s="108">
        <v>4</v>
      </c>
      <c r="V747" s="108">
        <v>3.6</v>
      </c>
      <c r="W747" s="108">
        <v>3.28571428571429</v>
      </c>
    </row>
    <row r="748" spans="1:23">
      <c r="A748" s="103">
        <v>45043</v>
      </c>
      <c r="B748" s="104" t="s">
        <v>28</v>
      </c>
      <c r="C748" s="145">
        <v>0</v>
      </c>
      <c r="D748" s="145"/>
      <c r="E748" s="104">
        <v>0</v>
      </c>
      <c r="F748" s="106">
        <v>0</v>
      </c>
      <c r="G748" s="107">
        <v>0</v>
      </c>
      <c r="H748" s="106">
        <v>0</v>
      </c>
      <c r="I748" s="106"/>
      <c r="J748" s="106"/>
      <c r="K748" s="106"/>
      <c r="L748" s="213">
        <v>0</v>
      </c>
      <c r="M748" s="213">
        <v>0</v>
      </c>
      <c r="N748" s="213">
        <v>0</v>
      </c>
      <c r="O748" s="213">
        <v>0</v>
      </c>
      <c r="P748" s="108">
        <v>0</v>
      </c>
      <c r="Q748" s="108">
        <v>-0.333333333333333</v>
      </c>
      <c r="R748" s="108">
        <v>-0.2</v>
      </c>
      <c r="S748" s="108">
        <v>-0.285714285714286</v>
      </c>
      <c r="T748" s="108">
        <v>0</v>
      </c>
      <c r="U748" s="108">
        <v>0</v>
      </c>
      <c r="V748" s="108">
        <v>0</v>
      </c>
      <c r="W748" s="108">
        <v>0</v>
      </c>
    </row>
    <row r="749" spans="1:23">
      <c r="A749" s="103">
        <v>45043</v>
      </c>
      <c r="B749" s="104" t="s">
        <v>29</v>
      </c>
      <c r="C749" s="145">
        <v>1</v>
      </c>
      <c r="D749" s="145"/>
      <c r="E749" s="104">
        <v>0</v>
      </c>
      <c r="F749" s="106">
        <v>0</v>
      </c>
      <c r="G749" s="107">
        <v>0</v>
      </c>
      <c r="H749" s="106">
        <v>0</v>
      </c>
      <c r="I749" s="106"/>
      <c r="J749" s="106"/>
      <c r="K749" s="106"/>
      <c r="L749" s="213">
        <v>1</v>
      </c>
      <c r="M749" s="213">
        <v>1</v>
      </c>
      <c r="N749" s="213">
        <v>1</v>
      </c>
      <c r="O749" s="213">
        <v>1</v>
      </c>
      <c r="P749" s="108">
        <v>0</v>
      </c>
      <c r="Q749" s="108">
        <v>-0.333333333333333</v>
      </c>
      <c r="R749" s="108">
        <v>-0.4</v>
      </c>
      <c r="S749" s="108">
        <v>-0.428571428571429</v>
      </c>
      <c r="T749" s="108">
        <v>0</v>
      </c>
      <c r="U749" s="108">
        <v>0</v>
      </c>
      <c r="V749" s="108">
        <v>0</v>
      </c>
      <c r="W749" s="108">
        <v>0</v>
      </c>
    </row>
    <row r="750" spans="1:23">
      <c r="A750" s="103">
        <v>45043</v>
      </c>
      <c r="B750" s="104" t="s">
        <v>30</v>
      </c>
      <c r="C750" s="145">
        <v>0</v>
      </c>
      <c r="D750" s="145"/>
      <c r="E750" s="104">
        <v>0</v>
      </c>
      <c r="F750" s="106">
        <v>0</v>
      </c>
      <c r="G750" s="107">
        <v>0</v>
      </c>
      <c r="H750" s="106">
        <v>0</v>
      </c>
      <c r="I750" s="106"/>
      <c r="J750" s="106"/>
      <c r="K750" s="106"/>
      <c r="L750" s="213">
        <v>0</v>
      </c>
      <c r="M750" s="213">
        <v>0</v>
      </c>
      <c r="N750" s="213">
        <v>0</v>
      </c>
      <c r="O750" s="213">
        <v>0</v>
      </c>
      <c r="P750" s="108">
        <v>0</v>
      </c>
      <c r="Q750" s="108">
        <v>0</v>
      </c>
      <c r="R750" s="108">
        <v>0</v>
      </c>
      <c r="S750" s="108">
        <v>0</v>
      </c>
      <c r="T750" s="108">
        <v>0</v>
      </c>
      <c r="U750" s="108">
        <v>0</v>
      </c>
      <c r="V750" s="108">
        <v>0</v>
      </c>
      <c r="W750" s="108">
        <v>0</v>
      </c>
    </row>
    <row r="751" spans="1:23">
      <c r="A751" s="103">
        <v>45043</v>
      </c>
      <c r="B751" s="104" t="s">
        <v>31</v>
      </c>
      <c r="C751" s="145">
        <v>0</v>
      </c>
      <c r="D751" s="145"/>
      <c r="E751" s="104">
        <v>0</v>
      </c>
      <c r="F751" s="106">
        <v>0</v>
      </c>
      <c r="G751" s="107">
        <v>0</v>
      </c>
      <c r="H751" s="106">
        <v>0</v>
      </c>
      <c r="I751" s="106"/>
      <c r="J751" s="106"/>
      <c r="K751" s="106"/>
      <c r="L751" s="213">
        <v>0</v>
      </c>
      <c r="M751" s="213">
        <v>0</v>
      </c>
      <c r="N751" s="213">
        <v>0</v>
      </c>
      <c r="O751" s="213">
        <v>0</v>
      </c>
      <c r="P751" s="108">
        <v>0</v>
      </c>
      <c r="Q751" s="108">
        <v>0</v>
      </c>
      <c r="R751" s="108">
        <v>-0.2</v>
      </c>
      <c r="S751" s="108">
        <v>-0.142857142857143</v>
      </c>
      <c r="T751" s="108">
        <v>0</v>
      </c>
      <c r="U751" s="108">
        <v>0</v>
      </c>
      <c r="V751" s="108">
        <v>-0.2</v>
      </c>
      <c r="W751" s="108">
        <v>-0.142857142857143</v>
      </c>
    </row>
    <row r="752" spans="1:23">
      <c r="A752" s="103">
        <v>45043</v>
      </c>
      <c r="B752" s="104" t="s">
        <v>32</v>
      </c>
      <c r="C752" s="145">
        <v>0</v>
      </c>
      <c r="D752" s="145"/>
      <c r="E752" s="104">
        <v>0</v>
      </c>
      <c r="F752" s="106">
        <v>0</v>
      </c>
      <c r="G752" s="107">
        <v>0</v>
      </c>
      <c r="H752" s="106">
        <v>0</v>
      </c>
      <c r="I752" s="106"/>
      <c r="J752" s="106"/>
      <c r="K752" s="106"/>
      <c r="L752" s="213">
        <v>0</v>
      </c>
      <c r="M752" s="213">
        <v>0</v>
      </c>
      <c r="N752" s="213">
        <v>0</v>
      </c>
      <c r="O752" s="213">
        <v>0</v>
      </c>
      <c r="P752" s="108">
        <v>0</v>
      </c>
      <c r="Q752" s="108">
        <v>0</v>
      </c>
      <c r="R752" s="108">
        <v>0</v>
      </c>
      <c r="S752" s="108">
        <v>0</v>
      </c>
      <c r="T752" s="108">
        <v>0</v>
      </c>
      <c r="U752" s="108">
        <v>0</v>
      </c>
      <c r="V752" s="108">
        <v>0</v>
      </c>
      <c r="W752" s="108">
        <v>0</v>
      </c>
    </row>
    <row r="753" spans="1:23">
      <c r="A753" s="103">
        <v>45043</v>
      </c>
      <c r="B753" s="104" t="s">
        <v>33</v>
      </c>
      <c r="C753" s="145">
        <v>0</v>
      </c>
      <c r="D753" s="145"/>
      <c r="E753" s="104">
        <v>0</v>
      </c>
      <c r="F753" s="106">
        <v>0</v>
      </c>
      <c r="G753" s="107">
        <v>0</v>
      </c>
      <c r="H753" s="106">
        <v>0</v>
      </c>
      <c r="I753" s="106"/>
      <c r="J753" s="106"/>
      <c r="K753" s="106"/>
      <c r="L753" s="213">
        <v>0</v>
      </c>
      <c r="M753" s="213">
        <v>0</v>
      </c>
      <c r="N753" s="213">
        <v>0</v>
      </c>
      <c r="O753" s="213">
        <v>0</v>
      </c>
      <c r="P753" s="108">
        <v>0</v>
      </c>
      <c r="Q753" s="108">
        <v>0</v>
      </c>
      <c r="R753" s="108">
        <v>0</v>
      </c>
      <c r="S753" s="108">
        <v>0</v>
      </c>
      <c r="T753" s="108">
        <v>0</v>
      </c>
      <c r="U753" s="108">
        <v>0</v>
      </c>
      <c r="V753" s="108">
        <v>0</v>
      </c>
      <c r="W753" s="108">
        <v>0</v>
      </c>
    </row>
    <row r="754" spans="1:23">
      <c r="A754" s="103">
        <v>45043</v>
      </c>
      <c r="B754" s="104" t="s">
        <v>34</v>
      </c>
      <c r="C754" s="145">
        <v>0</v>
      </c>
      <c r="D754" s="145"/>
      <c r="E754" s="104">
        <v>0</v>
      </c>
      <c r="F754" s="106">
        <v>0</v>
      </c>
      <c r="G754" s="107">
        <v>0</v>
      </c>
      <c r="H754" s="106">
        <v>0</v>
      </c>
      <c r="I754" s="106"/>
      <c r="J754" s="106"/>
      <c r="K754" s="106"/>
      <c r="L754" s="213">
        <v>0</v>
      </c>
      <c r="M754" s="213">
        <v>0</v>
      </c>
      <c r="N754" s="213">
        <v>0</v>
      </c>
      <c r="O754" s="213">
        <v>0</v>
      </c>
      <c r="P754" s="108">
        <v>0</v>
      </c>
      <c r="Q754" s="108">
        <v>0</v>
      </c>
      <c r="R754" s="108">
        <v>0</v>
      </c>
      <c r="S754" s="108">
        <v>0</v>
      </c>
      <c r="T754" s="108">
        <v>0</v>
      </c>
      <c r="U754" s="108">
        <v>0</v>
      </c>
      <c r="V754" s="108">
        <v>0</v>
      </c>
      <c r="W754" s="108">
        <v>0</v>
      </c>
    </row>
    <row r="755" spans="1:23">
      <c r="A755" s="103">
        <v>45043</v>
      </c>
      <c r="B755" s="104" t="s">
        <v>35</v>
      </c>
      <c r="C755" s="145">
        <v>0</v>
      </c>
      <c r="D755" s="145"/>
      <c r="E755" s="104">
        <v>0</v>
      </c>
      <c r="F755" s="106">
        <v>0</v>
      </c>
      <c r="G755" s="107">
        <v>0</v>
      </c>
      <c r="H755" s="106">
        <v>0</v>
      </c>
      <c r="I755" s="106"/>
      <c r="J755" s="106"/>
      <c r="K755" s="106"/>
      <c r="L755" s="213">
        <v>0</v>
      </c>
      <c r="M755" s="213">
        <v>0</v>
      </c>
      <c r="N755" s="213">
        <v>0</v>
      </c>
      <c r="O755" s="213">
        <v>0</v>
      </c>
      <c r="P755" s="108">
        <v>0</v>
      </c>
      <c r="Q755" s="108">
        <v>0</v>
      </c>
      <c r="R755" s="108">
        <v>0</v>
      </c>
      <c r="S755" s="108">
        <v>0</v>
      </c>
      <c r="T755" s="108">
        <v>0</v>
      </c>
      <c r="U755" s="108">
        <v>0</v>
      </c>
      <c r="V755" s="108">
        <v>0</v>
      </c>
      <c r="W755" s="108">
        <v>0</v>
      </c>
    </row>
    <row r="756" spans="1:23">
      <c r="A756" s="103">
        <v>45043</v>
      </c>
      <c r="B756" s="104" t="s">
        <v>36</v>
      </c>
      <c r="C756" s="145">
        <v>0</v>
      </c>
      <c r="D756" s="145"/>
      <c r="E756" s="104">
        <v>0</v>
      </c>
      <c r="F756" s="106">
        <v>0</v>
      </c>
      <c r="G756" s="107">
        <v>0</v>
      </c>
      <c r="H756" s="106">
        <v>0</v>
      </c>
      <c r="I756" s="106"/>
      <c r="J756" s="106"/>
      <c r="K756" s="106"/>
      <c r="L756" s="213">
        <v>0</v>
      </c>
      <c r="M756" s="213">
        <v>0</v>
      </c>
      <c r="N756" s="213">
        <v>0</v>
      </c>
      <c r="O756" s="213">
        <v>0</v>
      </c>
      <c r="P756" s="108">
        <v>0</v>
      </c>
      <c r="Q756" s="108">
        <v>0</v>
      </c>
      <c r="R756" s="108">
        <v>0</v>
      </c>
      <c r="S756" s="108">
        <v>0</v>
      </c>
      <c r="T756" s="108">
        <v>0</v>
      </c>
      <c r="U756" s="108">
        <v>0</v>
      </c>
      <c r="V756" s="108">
        <v>0</v>
      </c>
      <c r="W756" s="108">
        <v>0</v>
      </c>
    </row>
    <row r="757" spans="1:23">
      <c r="A757" s="103">
        <v>45043</v>
      </c>
      <c r="B757" s="104" t="s">
        <v>37</v>
      </c>
      <c r="C757" s="145">
        <v>0</v>
      </c>
      <c r="D757" s="145"/>
      <c r="E757" s="104">
        <v>0</v>
      </c>
      <c r="F757" s="106">
        <v>0</v>
      </c>
      <c r="G757" s="107">
        <v>0</v>
      </c>
      <c r="H757" s="106">
        <v>0</v>
      </c>
      <c r="I757" s="106"/>
      <c r="J757" s="106"/>
      <c r="K757" s="106"/>
      <c r="L757" s="213">
        <v>0</v>
      </c>
      <c r="M757" s="213">
        <v>0</v>
      </c>
      <c r="N757" s="213">
        <v>0</v>
      </c>
      <c r="O757" s="213">
        <v>0</v>
      </c>
      <c r="P757" s="108">
        <v>0</v>
      </c>
      <c r="Q757" s="108">
        <v>0</v>
      </c>
      <c r="R757" s="108">
        <v>0</v>
      </c>
      <c r="S757" s="108">
        <v>0</v>
      </c>
      <c r="T757" s="108">
        <v>0</v>
      </c>
      <c r="U757" s="108">
        <v>0</v>
      </c>
      <c r="V757" s="108">
        <v>0</v>
      </c>
      <c r="W757" s="108">
        <v>0</v>
      </c>
    </row>
    <row r="758" spans="1:23">
      <c r="A758" s="103">
        <v>45043</v>
      </c>
      <c r="B758" s="104" t="s">
        <v>38</v>
      </c>
      <c r="C758" s="145">
        <v>0</v>
      </c>
      <c r="D758" s="145"/>
      <c r="E758" s="104">
        <v>0</v>
      </c>
      <c r="F758" s="106">
        <v>0</v>
      </c>
      <c r="G758" s="107">
        <v>0</v>
      </c>
      <c r="H758" s="106">
        <v>0</v>
      </c>
      <c r="I758" s="106"/>
      <c r="J758" s="106"/>
      <c r="K758" s="106"/>
      <c r="L758" s="213">
        <v>0</v>
      </c>
      <c r="M758" s="213">
        <v>0</v>
      </c>
      <c r="N758" s="213">
        <v>0</v>
      </c>
      <c r="O758" s="213">
        <v>0</v>
      </c>
      <c r="P758" s="108">
        <v>0</v>
      </c>
      <c r="Q758" s="108">
        <v>0</v>
      </c>
      <c r="R758" s="108">
        <v>0</v>
      </c>
      <c r="S758" s="108">
        <v>0</v>
      </c>
      <c r="T758" s="108">
        <v>0</v>
      </c>
      <c r="U758" s="108">
        <v>0</v>
      </c>
      <c r="V758" s="108">
        <v>0</v>
      </c>
      <c r="W758" s="108">
        <v>0</v>
      </c>
    </row>
    <row r="759" spans="1:23">
      <c r="A759" s="103">
        <v>45043</v>
      </c>
      <c r="B759" s="111" t="s">
        <v>39</v>
      </c>
      <c r="C759" s="112">
        <v>26992</v>
      </c>
      <c r="D759" s="112"/>
      <c r="E759" s="112">
        <v>291</v>
      </c>
      <c r="F759" s="113">
        <v>0.0107809721398933</v>
      </c>
      <c r="G759" s="112">
        <v>80</v>
      </c>
      <c r="H759" s="113">
        <v>0.274914089347079</v>
      </c>
      <c r="I759" s="113"/>
      <c r="J759" s="113"/>
      <c r="K759" s="113"/>
      <c r="L759" s="213"/>
      <c r="M759" s="213"/>
      <c r="N759" s="213"/>
      <c r="O759" s="213"/>
      <c r="P759" s="108"/>
      <c r="Q759" s="108"/>
      <c r="R759" s="108"/>
      <c r="S759" s="108"/>
      <c r="T759" s="108"/>
      <c r="U759" s="108"/>
      <c r="V759" s="108"/>
      <c r="W759" s="108"/>
    </row>
    <row r="760" spans="1:23">
      <c r="A760" s="103">
        <v>45044</v>
      </c>
      <c r="B760" s="104" t="s">
        <v>17</v>
      </c>
      <c r="C760" s="105">
        <v>570</v>
      </c>
      <c r="D760" s="105"/>
      <c r="E760" s="104">
        <v>39</v>
      </c>
      <c r="F760" s="106">
        <v>0.068421052631579</v>
      </c>
      <c r="G760" s="107">
        <v>4</v>
      </c>
      <c r="H760" s="106">
        <v>0.102564102564103</v>
      </c>
      <c r="I760" s="106"/>
      <c r="J760" s="106"/>
      <c r="K760" s="106"/>
      <c r="L760" s="213">
        <v>-117</v>
      </c>
      <c r="M760" s="213">
        <v>-54.6666666666666</v>
      </c>
      <c r="N760" s="213">
        <v>-22.2</v>
      </c>
      <c r="O760" s="213">
        <v>-44</v>
      </c>
      <c r="P760" s="108">
        <v>-14</v>
      </c>
      <c r="Q760" s="108">
        <v>-4.66666666666666</v>
      </c>
      <c r="R760" s="108">
        <v>-1</v>
      </c>
      <c r="S760" s="108">
        <v>4.71428571428572</v>
      </c>
      <c r="T760" s="108">
        <v>-3</v>
      </c>
      <c r="U760" s="108">
        <v>-5.66666666666667</v>
      </c>
      <c r="V760" s="108">
        <v>-4.2</v>
      </c>
      <c r="W760" s="108">
        <v>-3</v>
      </c>
    </row>
    <row r="761" spans="1:23">
      <c r="A761" s="109">
        <v>45044</v>
      </c>
      <c r="B761" s="104" t="s">
        <v>19</v>
      </c>
      <c r="C761" s="107">
        <v>552</v>
      </c>
      <c r="D761" s="107"/>
      <c r="E761" s="104">
        <v>14</v>
      </c>
      <c r="F761" s="106">
        <v>0.0253623188405797</v>
      </c>
      <c r="G761" s="107">
        <v>5</v>
      </c>
      <c r="H761" s="106">
        <v>0.357142857142857</v>
      </c>
      <c r="I761" s="106"/>
      <c r="J761" s="106"/>
      <c r="K761" s="106"/>
      <c r="L761" s="213">
        <v>-158</v>
      </c>
      <c r="M761" s="213">
        <v>-1154.66666666667</v>
      </c>
      <c r="N761" s="213">
        <v>-1839.2</v>
      </c>
      <c r="O761" s="213">
        <v>-2052</v>
      </c>
      <c r="P761" s="108">
        <v>3</v>
      </c>
      <c r="Q761" s="108">
        <v>-15.3333333333333</v>
      </c>
      <c r="R761" s="108">
        <v>-25.2</v>
      </c>
      <c r="S761" s="108">
        <v>-25</v>
      </c>
      <c r="T761" s="108">
        <v>-1</v>
      </c>
      <c r="U761" s="108">
        <v>-8</v>
      </c>
      <c r="V761" s="108">
        <v>-11.8</v>
      </c>
      <c r="W761" s="115">
        <v>-11</v>
      </c>
    </row>
    <row r="762" spans="1:23">
      <c r="A762" s="109">
        <v>45044</v>
      </c>
      <c r="B762" s="104" t="s">
        <v>21</v>
      </c>
      <c r="C762" s="145">
        <v>586</v>
      </c>
      <c r="D762" s="145"/>
      <c r="E762" s="104">
        <v>27</v>
      </c>
      <c r="F762" s="106">
        <v>0.0460750853242321</v>
      </c>
      <c r="G762" s="107">
        <v>6</v>
      </c>
      <c r="H762" s="106">
        <v>0.222222222222222</v>
      </c>
      <c r="I762" s="106"/>
      <c r="J762" s="106"/>
      <c r="K762" s="106"/>
      <c r="L762" s="213">
        <v>-17</v>
      </c>
      <c r="M762" s="213">
        <v>-5</v>
      </c>
      <c r="N762" s="213">
        <v>-6.20000000000005</v>
      </c>
      <c r="O762" s="213">
        <v>-7.28571428571433</v>
      </c>
      <c r="P762" s="108">
        <v>-10</v>
      </c>
      <c r="Q762" s="108">
        <v>-2.33333333333333</v>
      </c>
      <c r="R762" s="108">
        <v>-2.4</v>
      </c>
      <c r="S762" s="108">
        <v>-1</v>
      </c>
      <c r="T762" s="108">
        <v>-3</v>
      </c>
      <c r="U762" s="108">
        <v>-3.33333333333333</v>
      </c>
      <c r="V762" s="108">
        <v>-2.6</v>
      </c>
      <c r="W762" s="108">
        <v>-3</v>
      </c>
    </row>
    <row r="763" spans="1:23">
      <c r="A763" s="109">
        <v>45044</v>
      </c>
      <c r="B763" s="104" t="s">
        <v>22</v>
      </c>
      <c r="C763" s="145">
        <v>3364</v>
      </c>
      <c r="D763" s="145"/>
      <c r="E763" s="104">
        <v>61</v>
      </c>
      <c r="F763" s="106">
        <v>0.0181331747919144</v>
      </c>
      <c r="G763" s="107">
        <v>26</v>
      </c>
      <c r="H763" s="106">
        <v>0.426229508196721</v>
      </c>
      <c r="I763" s="106"/>
      <c r="J763" s="106"/>
      <c r="K763" s="106"/>
      <c r="L763" s="213">
        <v>-179</v>
      </c>
      <c r="M763" s="213">
        <v>-219</v>
      </c>
      <c r="N763" s="213">
        <v>-241</v>
      </c>
      <c r="O763" s="213">
        <v>-264.857142857143</v>
      </c>
      <c r="P763" s="108">
        <v>-5</v>
      </c>
      <c r="Q763" s="108">
        <v>-5.33333333333333</v>
      </c>
      <c r="R763" s="108">
        <v>-7.59999999999999</v>
      </c>
      <c r="S763" s="115">
        <v>-5.42857142857143</v>
      </c>
      <c r="T763" s="108">
        <v>3</v>
      </c>
      <c r="U763" s="108">
        <v>0.333333333333332</v>
      </c>
      <c r="V763" s="108">
        <v>1.6</v>
      </c>
      <c r="W763" s="117">
        <v>1.85714285714286</v>
      </c>
    </row>
    <row r="764" spans="1:23">
      <c r="A764" s="109">
        <v>45044</v>
      </c>
      <c r="B764" s="104" t="s">
        <v>23</v>
      </c>
      <c r="C764" s="145">
        <v>2630</v>
      </c>
      <c r="D764" s="145"/>
      <c r="E764" s="104">
        <v>19</v>
      </c>
      <c r="F764" s="106">
        <v>0.00722433460076046</v>
      </c>
      <c r="G764" s="107">
        <v>10</v>
      </c>
      <c r="H764" s="106">
        <v>0.526315789473684</v>
      </c>
      <c r="I764" s="106"/>
      <c r="J764" s="106"/>
      <c r="K764" s="106"/>
      <c r="L764" s="213">
        <v>-34</v>
      </c>
      <c r="M764" s="213">
        <v>-35.6666666666665</v>
      </c>
      <c r="N764" s="213">
        <v>45.8000000000002</v>
      </c>
      <c r="O764" s="213">
        <v>40.7142857142858</v>
      </c>
      <c r="P764" s="108">
        <v>-10</v>
      </c>
      <c r="Q764" s="108">
        <v>-10</v>
      </c>
      <c r="R764" s="108">
        <v>-6</v>
      </c>
      <c r="S764" s="108">
        <v>-5.28571428571428</v>
      </c>
      <c r="T764" s="108">
        <v>7</v>
      </c>
      <c r="U764" s="116">
        <v>4.66666666666667</v>
      </c>
      <c r="V764" s="108">
        <v>4.8</v>
      </c>
      <c r="W764" s="108">
        <v>4.42857142857143</v>
      </c>
    </row>
    <row r="765" spans="1:23">
      <c r="A765" s="109">
        <v>45044</v>
      </c>
      <c r="B765" s="104" t="s">
        <v>24</v>
      </c>
      <c r="C765" s="145">
        <v>299</v>
      </c>
      <c r="D765" s="145"/>
      <c r="E765" s="104">
        <v>1</v>
      </c>
      <c r="F765" s="106">
        <v>0.00334448160535117</v>
      </c>
      <c r="G765" s="107">
        <v>1</v>
      </c>
      <c r="H765" s="106">
        <v>1</v>
      </c>
      <c r="I765" s="106"/>
      <c r="J765" s="106"/>
      <c r="K765" s="106"/>
      <c r="L765" s="213">
        <v>79</v>
      </c>
      <c r="M765" s="213">
        <v>72</v>
      </c>
      <c r="N765" s="213">
        <v>33.6</v>
      </c>
      <c r="O765" s="213">
        <v>-5.42857142857144</v>
      </c>
      <c r="P765" s="115">
        <v>-2</v>
      </c>
      <c r="Q765" s="115">
        <v>-0.333333333333333</v>
      </c>
      <c r="R765" s="117">
        <v>-0.8</v>
      </c>
      <c r="S765" s="117">
        <v>-0.571428571428571</v>
      </c>
      <c r="T765" s="115">
        <v>1</v>
      </c>
      <c r="U765" s="115">
        <v>0.666666666666667</v>
      </c>
      <c r="V765" s="115">
        <v>0.4</v>
      </c>
      <c r="W765" s="115">
        <v>0.285714285714286</v>
      </c>
    </row>
    <row r="766" spans="1:23">
      <c r="A766" s="109">
        <v>45044</v>
      </c>
      <c r="B766" s="104" t="s">
        <v>25</v>
      </c>
      <c r="C766" s="145">
        <v>16536</v>
      </c>
      <c r="D766" s="145"/>
      <c r="E766" s="104">
        <v>79</v>
      </c>
      <c r="F766" s="106">
        <v>0.00477745524915336</v>
      </c>
      <c r="G766" s="107">
        <v>33</v>
      </c>
      <c r="H766" s="106">
        <v>0.417721518987342</v>
      </c>
      <c r="I766" s="106"/>
      <c r="J766" s="106"/>
      <c r="K766" s="106"/>
      <c r="L766" s="213">
        <v>1588</v>
      </c>
      <c r="M766" s="213">
        <v>898.666666666666</v>
      </c>
      <c r="N766" s="213">
        <v>1566</v>
      </c>
      <c r="O766" s="213">
        <v>1547.71428571429</v>
      </c>
      <c r="P766" s="116">
        <v>14</v>
      </c>
      <c r="Q766" s="115">
        <v>29.6666666666667</v>
      </c>
      <c r="R766" s="115">
        <v>33.8</v>
      </c>
      <c r="S766" s="115">
        <v>33.2857142857143</v>
      </c>
      <c r="T766" s="108">
        <v>14</v>
      </c>
      <c r="U766" s="108">
        <v>13.6666666666667</v>
      </c>
      <c r="V766" s="108">
        <v>16.4</v>
      </c>
      <c r="W766" s="108">
        <v>16.2857142857143</v>
      </c>
    </row>
    <row r="767" spans="1:23">
      <c r="A767" s="109">
        <v>45044</v>
      </c>
      <c r="B767" s="104" t="s">
        <v>26</v>
      </c>
      <c r="C767" s="145">
        <v>2376</v>
      </c>
      <c r="D767" s="145"/>
      <c r="E767" s="104">
        <v>18</v>
      </c>
      <c r="F767" s="106">
        <v>0.00757575757575758</v>
      </c>
      <c r="G767" s="107">
        <v>6</v>
      </c>
      <c r="H767" s="106">
        <v>0.333333333333333</v>
      </c>
      <c r="I767" s="106"/>
      <c r="J767" s="106"/>
      <c r="K767" s="106"/>
      <c r="L767" s="213">
        <v>-212</v>
      </c>
      <c r="M767" s="213">
        <v>-275.333333333333</v>
      </c>
      <c r="N767" s="213">
        <v>-64.4000000000001</v>
      </c>
      <c r="O767" s="213">
        <v>-6.85714285714266</v>
      </c>
      <c r="P767" s="108">
        <v>2</v>
      </c>
      <c r="Q767" s="108">
        <v>1.66666666666667</v>
      </c>
      <c r="R767" s="108">
        <v>1.2</v>
      </c>
      <c r="S767" s="108">
        <v>-1.14285714285714</v>
      </c>
      <c r="T767" s="108">
        <v>-2</v>
      </c>
      <c r="U767" s="108">
        <v>-0.666666666666667</v>
      </c>
      <c r="V767" s="108">
        <v>-1.6</v>
      </c>
      <c r="W767" s="108">
        <v>-1.71428571428571</v>
      </c>
    </row>
    <row r="768" spans="1:23">
      <c r="A768" s="109">
        <v>45044</v>
      </c>
      <c r="B768" s="104" t="s">
        <v>27</v>
      </c>
      <c r="C768" s="145">
        <v>1158</v>
      </c>
      <c r="D768" s="145"/>
      <c r="E768" s="104">
        <v>9</v>
      </c>
      <c r="F768" s="106">
        <v>0.0077720207253886</v>
      </c>
      <c r="G768" s="107">
        <v>0</v>
      </c>
      <c r="H768" s="106">
        <v>0</v>
      </c>
      <c r="I768" s="106"/>
      <c r="J768" s="106"/>
      <c r="K768" s="106"/>
      <c r="L768" s="213">
        <v>130</v>
      </c>
      <c r="M768" s="213">
        <v>474.666666666667</v>
      </c>
      <c r="N768" s="213">
        <v>588.4</v>
      </c>
      <c r="O768" s="213">
        <v>599.714285714286</v>
      </c>
      <c r="P768" s="108">
        <v>-2</v>
      </c>
      <c r="Q768" s="108">
        <v>0.333333333333334</v>
      </c>
      <c r="R768" s="108">
        <v>1.8</v>
      </c>
      <c r="S768" s="108">
        <v>2.28571428571429</v>
      </c>
      <c r="T768" s="108">
        <v>-5</v>
      </c>
      <c r="U768" s="108">
        <v>-2.66666666666667</v>
      </c>
      <c r="V768" s="108">
        <v>-2</v>
      </c>
      <c r="W768" s="108">
        <v>-2</v>
      </c>
    </row>
    <row r="769" spans="1:23">
      <c r="A769" s="109">
        <v>45044</v>
      </c>
      <c r="B769" s="104" t="s">
        <v>28</v>
      </c>
      <c r="C769" s="145">
        <v>0</v>
      </c>
      <c r="D769" s="145"/>
      <c r="E769" s="104">
        <v>0</v>
      </c>
      <c r="F769" s="106">
        <v>0</v>
      </c>
      <c r="G769" s="107">
        <v>0</v>
      </c>
      <c r="H769" s="106">
        <v>0</v>
      </c>
      <c r="I769" s="106"/>
      <c r="J769" s="106"/>
      <c r="K769" s="106"/>
      <c r="L769" s="213">
        <v>0</v>
      </c>
      <c r="M769" s="213">
        <v>0</v>
      </c>
      <c r="N769" s="213">
        <v>0</v>
      </c>
      <c r="O769" s="213">
        <v>0</v>
      </c>
      <c r="P769" s="108">
        <v>0</v>
      </c>
      <c r="Q769" s="108">
        <v>-0.333333333333333</v>
      </c>
      <c r="R769" s="108">
        <v>-0.2</v>
      </c>
      <c r="S769" s="108">
        <v>-0.285714285714286</v>
      </c>
      <c r="T769" s="108">
        <v>0</v>
      </c>
      <c r="U769" s="108">
        <v>0</v>
      </c>
      <c r="V769" s="108">
        <v>0</v>
      </c>
      <c r="W769" s="108">
        <v>0</v>
      </c>
    </row>
    <row r="770" spans="1:23">
      <c r="A770" s="109">
        <v>45044</v>
      </c>
      <c r="B770" s="104" t="s">
        <v>29</v>
      </c>
      <c r="C770" s="145">
        <v>0</v>
      </c>
      <c r="D770" s="145"/>
      <c r="E770" s="104">
        <v>0</v>
      </c>
      <c r="F770" s="106">
        <v>0</v>
      </c>
      <c r="G770" s="107">
        <v>0</v>
      </c>
      <c r="H770" s="106">
        <v>0</v>
      </c>
      <c r="I770" s="106"/>
      <c r="J770" s="106"/>
      <c r="K770" s="106"/>
      <c r="L770" s="213">
        <v>-1</v>
      </c>
      <c r="M770" s="213">
        <v>-0.333333333333333</v>
      </c>
      <c r="N770" s="213">
        <v>-0.2</v>
      </c>
      <c r="O770" s="213">
        <v>-0.142857142857143</v>
      </c>
      <c r="P770" s="108">
        <v>0</v>
      </c>
      <c r="Q770" s="108">
        <v>0</v>
      </c>
      <c r="R770" s="108">
        <v>-0.2</v>
      </c>
      <c r="S770" s="108">
        <v>-0.428571428571429</v>
      </c>
      <c r="T770" s="108">
        <v>0</v>
      </c>
      <c r="U770" s="108">
        <v>0</v>
      </c>
      <c r="V770" s="108">
        <v>0</v>
      </c>
      <c r="W770" s="108">
        <v>0</v>
      </c>
    </row>
    <row r="771" spans="1:23">
      <c r="A771" s="109">
        <v>45044</v>
      </c>
      <c r="B771" s="104" t="s">
        <v>30</v>
      </c>
      <c r="C771" s="145">
        <v>0</v>
      </c>
      <c r="D771" s="145"/>
      <c r="E771" s="104">
        <v>0</v>
      </c>
      <c r="F771" s="106">
        <v>0</v>
      </c>
      <c r="G771" s="107">
        <v>0</v>
      </c>
      <c r="H771" s="106">
        <v>0</v>
      </c>
      <c r="I771" s="106"/>
      <c r="J771" s="106"/>
      <c r="K771" s="106"/>
      <c r="L771" s="213">
        <v>0</v>
      </c>
      <c r="M771" s="213">
        <v>0</v>
      </c>
      <c r="N771" s="213">
        <v>0</v>
      </c>
      <c r="O771" s="213">
        <v>0</v>
      </c>
      <c r="P771" s="108">
        <v>0</v>
      </c>
      <c r="Q771" s="108">
        <v>0</v>
      </c>
      <c r="R771" s="108">
        <v>0</v>
      </c>
      <c r="S771" s="108">
        <v>0</v>
      </c>
      <c r="T771" s="108">
        <v>0</v>
      </c>
      <c r="U771" s="108">
        <v>0</v>
      </c>
      <c r="V771" s="108">
        <v>0</v>
      </c>
      <c r="W771" s="108">
        <v>0</v>
      </c>
    </row>
    <row r="772" spans="1:23">
      <c r="A772" s="109">
        <v>45044</v>
      </c>
      <c r="B772" s="104" t="s">
        <v>31</v>
      </c>
      <c r="C772" s="145">
        <v>0</v>
      </c>
      <c r="D772" s="145"/>
      <c r="E772" s="104">
        <v>1</v>
      </c>
      <c r="F772" s="106">
        <v>1</v>
      </c>
      <c r="G772" s="107">
        <v>0</v>
      </c>
      <c r="H772" s="106">
        <v>0</v>
      </c>
      <c r="I772" s="106"/>
      <c r="J772" s="106"/>
      <c r="K772" s="106"/>
      <c r="L772" s="213">
        <v>0</v>
      </c>
      <c r="M772" s="213">
        <v>0</v>
      </c>
      <c r="N772" s="213">
        <v>0</v>
      </c>
      <c r="O772" s="213">
        <v>0</v>
      </c>
      <c r="P772" s="108">
        <v>1</v>
      </c>
      <c r="Q772" s="108">
        <v>1</v>
      </c>
      <c r="R772" s="108">
        <v>0.8</v>
      </c>
      <c r="S772" s="108">
        <v>0.857142857142857</v>
      </c>
      <c r="T772" s="108">
        <v>0</v>
      </c>
      <c r="U772" s="108">
        <v>0</v>
      </c>
      <c r="V772" s="108">
        <v>0</v>
      </c>
      <c r="W772" s="108">
        <v>-0.142857142857143</v>
      </c>
    </row>
    <row r="773" spans="1:23">
      <c r="A773" s="109">
        <v>45044</v>
      </c>
      <c r="B773" s="104" t="s">
        <v>32</v>
      </c>
      <c r="C773" s="145">
        <v>0</v>
      </c>
      <c r="D773" s="145"/>
      <c r="E773" s="104">
        <v>0</v>
      </c>
      <c r="F773" s="106">
        <v>0</v>
      </c>
      <c r="G773" s="107">
        <v>0</v>
      </c>
      <c r="H773" s="106">
        <v>0</v>
      </c>
      <c r="I773" s="106"/>
      <c r="J773" s="106"/>
      <c r="K773" s="106"/>
      <c r="L773" s="213">
        <v>0</v>
      </c>
      <c r="M773" s="213">
        <v>0</v>
      </c>
      <c r="N773" s="213">
        <v>0</v>
      </c>
      <c r="O773" s="213">
        <v>0</v>
      </c>
      <c r="P773" s="108">
        <v>0</v>
      </c>
      <c r="Q773" s="108">
        <v>0</v>
      </c>
      <c r="R773" s="108">
        <v>0</v>
      </c>
      <c r="S773" s="108">
        <v>0</v>
      </c>
      <c r="T773" s="108">
        <v>0</v>
      </c>
      <c r="U773" s="108">
        <v>0</v>
      </c>
      <c r="V773" s="108">
        <v>0</v>
      </c>
      <c r="W773" s="108">
        <v>0</v>
      </c>
    </row>
    <row r="774" spans="1:23">
      <c r="A774" s="109">
        <v>45044</v>
      </c>
      <c r="B774" s="104" t="s">
        <v>33</v>
      </c>
      <c r="C774" s="145">
        <v>0</v>
      </c>
      <c r="D774" s="145"/>
      <c r="E774" s="104">
        <v>1</v>
      </c>
      <c r="F774" s="106">
        <v>1</v>
      </c>
      <c r="G774" s="107">
        <v>0</v>
      </c>
      <c r="H774" s="106">
        <v>0</v>
      </c>
      <c r="I774" s="106"/>
      <c r="J774" s="106"/>
      <c r="K774" s="106"/>
      <c r="L774" s="213">
        <v>0</v>
      </c>
      <c r="M774" s="213">
        <v>0</v>
      </c>
      <c r="N774" s="213">
        <v>0</v>
      </c>
      <c r="O774" s="213">
        <v>0</v>
      </c>
      <c r="P774" s="108">
        <v>1</v>
      </c>
      <c r="Q774" s="108">
        <v>1</v>
      </c>
      <c r="R774" s="108">
        <v>1</v>
      </c>
      <c r="S774" s="108">
        <v>1</v>
      </c>
      <c r="T774" s="108">
        <v>0</v>
      </c>
      <c r="U774" s="108">
        <v>0</v>
      </c>
      <c r="V774" s="108">
        <v>0</v>
      </c>
      <c r="W774" s="108">
        <v>0</v>
      </c>
    </row>
    <row r="775" spans="1:23">
      <c r="A775" s="109">
        <v>45044</v>
      </c>
      <c r="B775" s="104" t="s">
        <v>34</v>
      </c>
      <c r="C775" s="145">
        <v>0</v>
      </c>
      <c r="D775" s="145"/>
      <c r="E775" s="104">
        <v>0</v>
      </c>
      <c r="F775" s="106">
        <v>0</v>
      </c>
      <c r="G775" s="107">
        <v>0</v>
      </c>
      <c r="H775" s="106">
        <v>0</v>
      </c>
      <c r="I775" s="106"/>
      <c r="J775" s="106"/>
      <c r="K775" s="106"/>
      <c r="L775" s="213">
        <v>0</v>
      </c>
      <c r="M775" s="213">
        <v>0</v>
      </c>
      <c r="N775" s="213">
        <v>0</v>
      </c>
      <c r="O775" s="213">
        <v>0</v>
      </c>
      <c r="P775" s="108">
        <v>0</v>
      </c>
      <c r="Q775" s="108">
        <v>0</v>
      </c>
      <c r="R775" s="108">
        <v>0</v>
      </c>
      <c r="S775" s="108">
        <v>0</v>
      </c>
      <c r="T775" s="108">
        <v>0</v>
      </c>
      <c r="U775" s="108">
        <v>0</v>
      </c>
      <c r="V775" s="108">
        <v>0</v>
      </c>
      <c r="W775" s="108">
        <v>0</v>
      </c>
    </row>
    <row r="776" spans="1:23">
      <c r="A776" s="109">
        <v>45044</v>
      </c>
      <c r="B776" s="104" t="s">
        <v>35</v>
      </c>
      <c r="C776" s="145">
        <v>0</v>
      </c>
      <c r="D776" s="145"/>
      <c r="E776" s="104">
        <v>0</v>
      </c>
      <c r="F776" s="106">
        <v>0</v>
      </c>
      <c r="G776" s="107">
        <v>0</v>
      </c>
      <c r="H776" s="106">
        <v>0</v>
      </c>
      <c r="I776" s="106"/>
      <c r="J776" s="106"/>
      <c r="K776" s="106"/>
      <c r="L776" s="213">
        <v>0</v>
      </c>
      <c r="M776" s="213">
        <v>0</v>
      </c>
      <c r="N776" s="213">
        <v>0</v>
      </c>
      <c r="O776" s="213">
        <v>0</v>
      </c>
      <c r="P776" s="108">
        <v>0</v>
      </c>
      <c r="Q776" s="108">
        <v>0</v>
      </c>
      <c r="R776" s="108">
        <v>0</v>
      </c>
      <c r="S776" s="108">
        <v>0</v>
      </c>
      <c r="T776" s="108">
        <v>0</v>
      </c>
      <c r="U776" s="108">
        <v>0</v>
      </c>
      <c r="V776" s="108">
        <v>0</v>
      </c>
      <c r="W776" s="108">
        <v>0</v>
      </c>
    </row>
    <row r="777" spans="1:23">
      <c r="A777" s="109">
        <v>45044</v>
      </c>
      <c r="B777" s="104" t="s">
        <v>36</v>
      </c>
      <c r="C777" s="145">
        <v>0</v>
      </c>
      <c r="D777" s="145"/>
      <c r="E777" s="104">
        <v>0</v>
      </c>
      <c r="F777" s="106">
        <v>0</v>
      </c>
      <c r="G777" s="107">
        <v>0</v>
      </c>
      <c r="H777" s="106">
        <v>0</v>
      </c>
      <c r="I777" s="106"/>
      <c r="J777" s="106"/>
      <c r="K777" s="106"/>
      <c r="L777" s="213">
        <v>0</v>
      </c>
      <c r="M777" s="213">
        <v>0</v>
      </c>
      <c r="N777" s="213">
        <v>0</v>
      </c>
      <c r="O777" s="213">
        <v>0</v>
      </c>
      <c r="P777" s="108">
        <v>0</v>
      </c>
      <c r="Q777" s="108">
        <v>0</v>
      </c>
      <c r="R777" s="108">
        <v>0</v>
      </c>
      <c r="S777" s="108">
        <v>0</v>
      </c>
      <c r="T777" s="108">
        <v>0</v>
      </c>
      <c r="U777" s="108">
        <v>0</v>
      </c>
      <c r="V777" s="108">
        <v>0</v>
      </c>
      <c r="W777" s="108">
        <v>0</v>
      </c>
    </row>
    <row r="778" spans="1:23">
      <c r="A778" s="109">
        <v>45044</v>
      </c>
      <c r="B778" s="104" t="s">
        <v>37</v>
      </c>
      <c r="C778" s="145">
        <v>0</v>
      </c>
      <c r="D778" s="145"/>
      <c r="E778" s="104">
        <v>0</v>
      </c>
      <c r="F778" s="106">
        <v>0</v>
      </c>
      <c r="G778" s="107">
        <v>0</v>
      </c>
      <c r="H778" s="106">
        <v>0</v>
      </c>
      <c r="I778" s="106"/>
      <c r="J778" s="106"/>
      <c r="K778" s="106"/>
      <c r="L778" s="213">
        <v>0</v>
      </c>
      <c r="M778" s="213">
        <v>0</v>
      </c>
      <c r="N778" s="213">
        <v>0</v>
      </c>
      <c r="O778" s="213">
        <v>0</v>
      </c>
      <c r="P778" s="108">
        <v>0</v>
      </c>
      <c r="Q778" s="108">
        <v>0</v>
      </c>
      <c r="R778" s="108">
        <v>0</v>
      </c>
      <c r="S778" s="108">
        <v>0</v>
      </c>
      <c r="T778" s="108">
        <v>0</v>
      </c>
      <c r="U778" s="108">
        <v>0</v>
      </c>
      <c r="V778" s="108">
        <v>0</v>
      </c>
      <c r="W778" s="108">
        <v>0</v>
      </c>
    </row>
    <row r="779" spans="1:23">
      <c r="A779" s="109">
        <v>45044</v>
      </c>
      <c r="B779" s="104" t="s">
        <v>38</v>
      </c>
      <c r="C779" s="145">
        <v>0</v>
      </c>
      <c r="D779" s="145"/>
      <c r="E779" s="104">
        <v>0</v>
      </c>
      <c r="F779" s="106">
        <v>0</v>
      </c>
      <c r="G779" s="107">
        <v>0</v>
      </c>
      <c r="H779" s="106">
        <v>0</v>
      </c>
      <c r="I779" s="106"/>
      <c r="J779" s="106"/>
      <c r="K779" s="106"/>
      <c r="L779" s="213">
        <v>0</v>
      </c>
      <c r="M779" s="213">
        <v>0</v>
      </c>
      <c r="N779" s="213">
        <v>0</v>
      </c>
      <c r="O779" s="213">
        <v>0</v>
      </c>
      <c r="P779" s="108">
        <v>0</v>
      </c>
      <c r="Q779" s="108">
        <v>0</v>
      </c>
      <c r="R779" s="108">
        <v>0</v>
      </c>
      <c r="S779" s="108">
        <v>0</v>
      </c>
      <c r="T779" s="108">
        <v>0</v>
      </c>
      <c r="U779" s="108">
        <v>0</v>
      </c>
      <c r="V779" s="108">
        <v>0</v>
      </c>
      <c r="W779" s="108">
        <v>0</v>
      </c>
    </row>
    <row r="780" spans="1:23">
      <c r="A780" s="110">
        <v>45044</v>
      </c>
      <c r="B780" s="111" t="s">
        <v>39</v>
      </c>
      <c r="C780" s="112">
        <v>28071</v>
      </c>
      <c r="D780" s="112"/>
      <c r="E780" s="112">
        <v>269</v>
      </c>
      <c r="F780" s="113">
        <v>0.00958284350397207</v>
      </c>
      <c r="G780" s="112">
        <v>91</v>
      </c>
      <c r="H780" s="113">
        <v>0.338289962825279</v>
      </c>
      <c r="I780" s="113"/>
      <c r="J780" s="113"/>
      <c r="K780" s="113"/>
      <c r="L780" s="213"/>
      <c r="M780" s="213"/>
      <c r="N780" s="213"/>
      <c r="O780" s="213"/>
      <c r="P780" s="108"/>
      <c r="Q780" s="108"/>
      <c r="R780" s="108"/>
      <c r="S780" s="108"/>
      <c r="T780" s="108"/>
      <c r="U780" s="108"/>
      <c r="V780" s="108"/>
      <c r="W780" s="108"/>
    </row>
    <row r="781" spans="1:23">
      <c r="A781" s="103">
        <v>45045</v>
      </c>
      <c r="B781" s="104" t="s">
        <v>17</v>
      </c>
      <c r="C781" s="105">
        <v>688</v>
      </c>
      <c r="D781" s="105"/>
      <c r="E781" s="104">
        <v>52</v>
      </c>
      <c r="F781" s="106">
        <v>0.0755813953488372</v>
      </c>
      <c r="G781" s="107">
        <v>6</v>
      </c>
      <c r="H781" s="106">
        <v>0.115384615384615</v>
      </c>
      <c r="I781" s="106"/>
      <c r="J781" s="106"/>
      <c r="K781" s="106"/>
      <c r="L781" s="213">
        <v>118</v>
      </c>
      <c r="M781" s="213">
        <v>63.6666666666666</v>
      </c>
      <c r="N781" s="213">
        <v>94.2</v>
      </c>
      <c r="O781" s="213">
        <v>92.7142857142857</v>
      </c>
      <c r="P781" s="108">
        <v>13</v>
      </c>
      <c r="Q781" s="108">
        <v>9.33333333333334</v>
      </c>
      <c r="R781" s="108">
        <v>11.4</v>
      </c>
      <c r="S781" s="108">
        <v>15.1428571428571</v>
      </c>
      <c r="T781" s="108">
        <v>2</v>
      </c>
      <c r="U781" s="108">
        <v>-1.33333333333333</v>
      </c>
      <c r="V781" s="108">
        <v>-1.6</v>
      </c>
      <c r="W781" s="108">
        <v>-0.857142857142857</v>
      </c>
    </row>
    <row r="782" spans="1:23">
      <c r="A782" s="103">
        <v>45045</v>
      </c>
      <c r="B782" s="104" t="s">
        <v>19</v>
      </c>
      <c r="C782" s="107">
        <v>966</v>
      </c>
      <c r="D782" s="107"/>
      <c r="E782" s="104">
        <v>21</v>
      </c>
      <c r="F782" s="106">
        <v>0.0217391304347826</v>
      </c>
      <c r="G782" s="107">
        <v>8</v>
      </c>
      <c r="H782" s="106">
        <v>0.380952380952381</v>
      </c>
      <c r="I782" s="106"/>
      <c r="J782" s="106"/>
      <c r="K782" s="106"/>
      <c r="L782" s="213">
        <v>414</v>
      </c>
      <c r="M782" s="213">
        <v>198</v>
      </c>
      <c r="N782" s="213">
        <v>-874</v>
      </c>
      <c r="O782" s="213">
        <v>-1301.71428571429</v>
      </c>
      <c r="P782" s="108">
        <v>7</v>
      </c>
      <c r="Q782" s="108">
        <v>4.66666666666667</v>
      </c>
      <c r="R782" s="108">
        <v>-10.2</v>
      </c>
      <c r="S782" s="108">
        <v>-14</v>
      </c>
      <c r="T782" s="108">
        <v>3</v>
      </c>
      <c r="U782" s="108">
        <v>-0.333333333333334</v>
      </c>
      <c r="V782" s="108">
        <v>-5.4</v>
      </c>
      <c r="W782" s="115">
        <v>-6.14285714285714</v>
      </c>
    </row>
    <row r="783" spans="1:23">
      <c r="A783" s="103">
        <v>45045</v>
      </c>
      <c r="B783" s="104" t="s">
        <v>21</v>
      </c>
      <c r="C783" s="145">
        <v>591</v>
      </c>
      <c r="D783" s="145"/>
      <c r="E783" s="104">
        <v>34</v>
      </c>
      <c r="F783" s="106">
        <v>0.0575296108291032</v>
      </c>
      <c r="G783" s="107">
        <v>12</v>
      </c>
      <c r="H783" s="106">
        <v>0.352941176470588</v>
      </c>
      <c r="I783" s="106"/>
      <c r="J783" s="106"/>
      <c r="K783" s="106"/>
      <c r="L783" s="213">
        <v>5</v>
      </c>
      <c r="M783" s="213">
        <v>-12.3333333333334</v>
      </c>
      <c r="N783" s="213">
        <v>7.39999999999998</v>
      </c>
      <c r="O783" s="213">
        <v>-5.85714285714289</v>
      </c>
      <c r="P783" s="108">
        <v>7</v>
      </c>
      <c r="Q783" s="108">
        <v>3.33333333333333</v>
      </c>
      <c r="R783" s="108">
        <v>6</v>
      </c>
      <c r="S783" s="108">
        <v>5.57142857142857</v>
      </c>
      <c r="T783" s="108">
        <v>6</v>
      </c>
      <c r="U783" s="108">
        <v>4</v>
      </c>
      <c r="V783" s="108">
        <v>4</v>
      </c>
      <c r="W783" s="108">
        <v>3.57142857142857</v>
      </c>
    </row>
    <row r="784" spans="1:23">
      <c r="A784" s="103">
        <v>45045</v>
      </c>
      <c r="B784" s="104" t="s">
        <v>22</v>
      </c>
      <c r="C784" s="145">
        <v>2903</v>
      </c>
      <c r="D784" s="145"/>
      <c r="E784" s="104">
        <v>45</v>
      </c>
      <c r="F784" s="106">
        <v>0.0155012056493283</v>
      </c>
      <c r="G784" s="107">
        <v>17</v>
      </c>
      <c r="H784" s="106">
        <v>0.377777777777778</v>
      </c>
      <c r="I784" s="106"/>
      <c r="J784" s="106"/>
      <c r="K784" s="106"/>
      <c r="L784" s="213">
        <v>-461</v>
      </c>
      <c r="M784" s="213">
        <v>-620</v>
      </c>
      <c r="N784" s="213">
        <v>-637.8</v>
      </c>
      <c r="O784" s="213">
        <v>-671.857142857143</v>
      </c>
      <c r="P784" s="108">
        <v>-16</v>
      </c>
      <c r="Q784" s="108">
        <v>-22.3333333333333</v>
      </c>
      <c r="R784" s="108">
        <v>-22</v>
      </c>
      <c r="S784" s="115">
        <v>-20.1428571428571</v>
      </c>
      <c r="T784" s="108">
        <v>-9</v>
      </c>
      <c r="U784" s="108">
        <v>-9.33333333333333</v>
      </c>
      <c r="V784" s="108">
        <v>-9</v>
      </c>
      <c r="W784" s="117">
        <v>-7.28571428571428</v>
      </c>
    </row>
    <row r="785" spans="1:23">
      <c r="A785" s="103">
        <v>45045</v>
      </c>
      <c r="B785" s="104" t="s">
        <v>23</v>
      </c>
      <c r="C785" s="145">
        <v>2696</v>
      </c>
      <c r="D785" s="145"/>
      <c r="E785" s="104">
        <v>16</v>
      </c>
      <c r="F785" s="106">
        <v>0.00593471810089021</v>
      </c>
      <c r="G785" s="107">
        <v>5</v>
      </c>
      <c r="H785" s="106">
        <v>0.3125</v>
      </c>
      <c r="I785" s="106"/>
      <c r="J785" s="106"/>
      <c r="K785" s="106"/>
      <c r="L785" s="213">
        <v>66</v>
      </c>
      <c r="M785" s="213">
        <v>22</v>
      </c>
      <c r="N785" s="213">
        <v>79</v>
      </c>
      <c r="O785" s="213">
        <v>104.142857142857</v>
      </c>
      <c r="P785" s="108">
        <v>-3</v>
      </c>
      <c r="Q785" s="108">
        <v>-11</v>
      </c>
      <c r="R785" s="108">
        <v>-10</v>
      </c>
      <c r="S785" s="108">
        <v>-7.71428571428572</v>
      </c>
      <c r="T785" s="108">
        <v>-5</v>
      </c>
      <c r="U785" s="116">
        <v>-2.33333333333333</v>
      </c>
      <c r="V785" s="108">
        <v>-1.8</v>
      </c>
      <c r="W785" s="108">
        <v>-1.14285714285714</v>
      </c>
    </row>
    <row r="786" spans="1:23">
      <c r="A786" s="103">
        <v>45045</v>
      </c>
      <c r="B786" s="104" t="s">
        <v>24</v>
      </c>
      <c r="C786" s="145">
        <v>550</v>
      </c>
      <c r="D786" s="145"/>
      <c r="E786" s="104">
        <v>2</v>
      </c>
      <c r="F786" s="106">
        <v>0.00363636363636364</v>
      </c>
      <c r="G786" s="107">
        <v>0</v>
      </c>
      <c r="H786" s="106">
        <v>0</v>
      </c>
      <c r="I786" s="106"/>
      <c r="J786" s="106"/>
      <c r="K786" s="106"/>
      <c r="L786" s="213">
        <v>251</v>
      </c>
      <c r="M786" s="213">
        <v>312.666666666667</v>
      </c>
      <c r="N786" s="213">
        <v>295</v>
      </c>
      <c r="O786" s="213">
        <v>256</v>
      </c>
      <c r="P786" s="115">
        <v>1</v>
      </c>
      <c r="Q786" s="115">
        <v>0.666666666666667</v>
      </c>
      <c r="R786" s="117">
        <v>0.6</v>
      </c>
      <c r="S786" s="117">
        <v>0.428571428571429</v>
      </c>
      <c r="T786" s="115">
        <v>-1</v>
      </c>
      <c r="U786" s="115">
        <v>-0.666666666666667</v>
      </c>
      <c r="V786" s="115">
        <v>-0.4</v>
      </c>
      <c r="W786" s="115">
        <v>-0.714285714285714</v>
      </c>
    </row>
    <row r="787" spans="1:23">
      <c r="A787" s="103">
        <v>45045</v>
      </c>
      <c r="B787" s="104" t="s">
        <v>25</v>
      </c>
      <c r="C787" s="145">
        <v>15810</v>
      </c>
      <c r="D787" s="145"/>
      <c r="E787" s="104">
        <v>46</v>
      </c>
      <c r="F787" s="106">
        <v>0.00290955091714105</v>
      </c>
      <c r="G787" s="107">
        <v>17</v>
      </c>
      <c r="H787" s="106">
        <v>0.369565217391304</v>
      </c>
      <c r="I787" s="106"/>
      <c r="J787" s="106"/>
      <c r="K787" s="106"/>
      <c r="L787" s="213">
        <v>-726</v>
      </c>
      <c r="M787" s="213">
        <v>-208.666666666666</v>
      </c>
      <c r="N787" s="213">
        <v>502.799999999999</v>
      </c>
      <c r="O787" s="213">
        <v>506</v>
      </c>
      <c r="P787" s="116">
        <v>-33</v>
      </c>
      <c r="Q787" s="115">
        <v>-19.6666666666667</v>
      </c>
      <c r="R787" s="115">
        <v>-6.6</v>
      </c>
      <c r="S787" s="115">
        <v>-3.71428571428572</v>
      </c>
      <c r="T787" s="108">
        <v>-16</v>
      </c>
      <c r="U787" s="108">
        <v>-9</v>
      </c>
      <c r="V787" s="108">
        <v>-3.2</v>
      </c>
      <c r="W787" s="108">
        <v>-2.28571428571428</v>
      </c>
    </row>
    <row r="788" spans="1:23">
      <c r="A788" s="103">
        <v>45045</v>
      </c>
      <c r="B788" s="104" t="s">
        <v>26</v>
      </c>
      <c r="C788" s="145">
        <v>2570</v>
      </c>
      <c r="D788" s="145"/>
      <c r="E788" s="104">
        <v>22</v>
      </c>
      <c r="F788" s="106">
        <v>0.00856031128404669</v>
      </c>
      <c r="G788" s="107">
        <v>7</v>
      </c>
      <c r="H788" s="106">
        <v>0.318181818181818</v>
      </c>
      <c r="I788" s="106"/>
      <c r="J788" s="106"/>
      <c r="K788" s="106"/>
      <c r="L788" s="213">
        <v>194</v>
      </c>
      <c r="M788" s="213">
        <v>-72.6666666666665</v>
      </c>
      <c r="N788" s="213">
        <v>69.5999999999999</v>
      </c>
      <c r="O788" s="213">
        <v>173.714285714286</v>
      </c>
      <c r="P788" s="108">
        <v>4</v>
      </c>
      <c r="Q788" s="108">
        <v>6.33333333333333</v>
      </c>
      <c r="R788" s="108">
        <v>6.4</v>
      </c>
      <c r="S788" s="108">
        <v>4.28571428571428</v>
      </c>
      <c r="T788" s="108">
        <v>1</v>
      </c>
      <c r="U788" s="108">
        <v>1.33333333333333</v>
      </c>
      <c r="V788" s="108">
        <v>-0.2</v>
      </c>
      <c r="W788" s="108">
        <v>-0.428571428571429</v>
      </c>
    </row>
    <row r="789" spans="1:23">
      <c r="A789" s="103">
        <v>45045</v>
      </c>
      <c r="B789" s="104" t="s">
        <v>27</v>
      </c>
      <c r="C789" s="145">
        <v>1238</v>
      </c>
      <c r="D789" s="145"/>
      <c r="E789" s="104">
        <v>17</v>
      </c>
      <c r="F789" s="106">
        <v>0.0137318255250404</v>
      </c>
      <c r="G789" s="107">
        <v>5</v>
      </c>
      <c r="H789" s="106">
        <v>0.294117647058824</v>
      </c>
      <c r="I789" s="106"/>
      <c r="J789" s="106"/>
      <c r="K789" s="106"/>
      <c r="L789" s="213">
        <v>80</v>
      </c>
      <c r="M789" s="213">
        <v>309.333333333333</v>
      </c>
      <c r="N789" s="213">
        <v>523.6</v>
      </c>
      <c r="O789" s="213">
        <v>587.428571428571</v>
      </c>
      <c r="P789" s="108">
        <v>8</v>
      </c>
      <c r="Q789" s="108">
        <v>7</v>
      </c>
      <c r="R789" s="108">
        <v>9.6</v>
      </c>
      <c r="S789" s="108">
        <v>9.57142857142857</v>
      </c>
      <c r="T789" s="108">
        <v>5</v>
      </c>
      <c r="U789" s="108">
        <v>2.66666666666667</v>
      </c>
      <c r="V789" s="108">
        <v>3.4</v>
      </c>
      <c r="W789" s="108">
        <v>3.28571428571429</v>
      </c>
    </row>
    <row r="790" spans="1:23">
      <c r="A790" s="103">
        <v>45045</v>
      </c>
      <c r="B790" s="104" t="s">
        <v>28</v>
      </c>
      <c r="C790" s="145">
        <v>0</v>
      </c>
      <c r="D790" s="145"/>
      <c r="E790" s="104">
        <v>0</v>
      </c>
      <c r="F790" s="106">
        <v>0</v>
      </c>
      <c r="G790" s="107">
        <v>0</v>
      </c>
      <c r="H790" s="106">
        <v>0</v>
      </c>
      <c r="I790" s="106"/>
      <c r="J790" s="106"/>
      <c r="K790" s="106"/>
      <c r="L790" s="213">
        <v>0</v>
      </c>
      <c r="M790" s="213">
        <v>0</v>
      </c>
      <c r="N790" s="213">
        <v>0</v>
      </c>
      <c r="O790" s="213">
        <v>0</v>
      </c>
      <c r="P790" s="108">
        <v>0</v>
      </c>
      <c r="Q790" s="108">
        <v>0</v>
      </c>
      <c r="R790" s="108">
        <v>-0.2</v>
      </c>
      <c r="S790" s="108">
        <v>-0.142857142857143</v>
      </c>
      <c r="T790" s="108">
        <v>0</v>
      </c>
      <c r="U790" s="108">
        <v>0</v>
      </c>
      <c r="V790" s="108">
        <v>0</v>
      </c>
      <c r="W790" s="108">
        <v>0</v>
      </c>
    </row>
    <row r="791" spans="1:23">
      <c r="A791" s="103">
        <v>45045</v>
      </c>
      <c r="B791" s="104" t="s">
        <v>29</v>
      </c>
      <c r="C791" s="145">
        <v>0</v>
      </c>
      <c r="D791" s="145"/>
      <c r="E791" s="104">
        <v>0</v>
      </c>
      <c r="F791" s="106">
        <v>0</v>
      </c>
      <c r="G791" s="107">
        <v>0</v>
      </c>
      <c r="H791" s="106">
        <v>0</v>
      </c>
      <c r="I791" s="106"/>
      <c r="J791" s="106"/>
      <c r="K791" s="106"/>
      <c r="L791" s="213">
        <v>0</v>
      </c>
      <c r="M791" s="213">
        <v>-0.333333333333333</v>
      </c>
      <c r="N791" s="213">
        <v>-0.2</v>
      </c>
      <c r="O791" s="213">
        <v>-0.142857142857143</v>
      </c>
      <c r="P791" s="108">
        <v>0</v>
      </c>
      <c r="Q791" s="108">
        <v>0</v>
      </c>
      <c r="R791" s="108">
        <v>-0.2</v>
      </c>
      <c r="S791" s="108">
        <v>-0.285714285714286</v>
      </c>
      <c r="T791" s="108">
        <v>0</v>
      </c>
      <c r="U791" s="108">
        <v>0</v>
      </c>
      <c r="V791" s="108">
        <v>0</v>
      </c>
      <c r="W791" s="108">
        <v>0</v>
      </c>
    </row>
    <row r="792" spans="1:23">
      <c r="A792" s="103">
        <v>45045</v>
      </c>
      <c r="B792" s="104" t="s">
        <v>30</v>
      </c>
      <c r="C792" s="145">
        <v>0</v>
      </c>
      <c r="D792" s="145"/>
      <c r="E792" s="104">
        <v>0</v>
      </c>
      <c r="F792" s="106">
        <v>0</v>
      </c>
      <c r="G792" s="107">
        <v>0</v>
      </c>
      <c r="H792" s="106">
        <v>0</v>
      </c>
      <c r="I792" s="106"/>
      <c r="J792" s="106"/>
      <c r="K792" s="106"/>
      <c r="L792" s="213">
        <v>0</v>
      </c>
      <c r="M792" s="213">
        <v>0</v>
      </c>
      <c r="N792" s="213">
        <v>0</v>
      </c>
      <c r="O792" s="213">
        <v>0</v>
      </c>
      <c r="P792" s="108">
        <v>0</v>
      </c>
      <c r="Q792" s="108">
        <v>0</v>
      </c>
      <c r="R792" s="108">
        <v>0</v>
      </c>
      <c r="S792" s="108">
        <v>0</v>
      </c>
      <c r="T792" s="108">
        <v>0</v>
      </c>
      <c r="U792" s="108">
        <v>0</v>
      </c>
      <c r="V792" s="108">
        <v>0</v>
      </c>
      <c r="W792" s="108">
        <v>0</v>
      </c>
    </row>
    <row r="793" spans="1:23">
      <c r="A793" s="103">
        <v>45045</v>
      </c>
      <c r="B793" s="104" t="s">
        <v>31</v>
      </c>
      <c r="C793" s="145">
        <v>0</v>
      </c>
      <c r="D793" s="145"/>
      <c r="E793" s="104">
        <v>0</v>
      </c>
      <c r="F793" s="106">
        <v>0</v>
      </c>
      <c r="G793" s="107">
        <v>0</v>
      </c>
      <c r="H793" s="106">
        <v>0</v>
      </c>
      <c r="I793" s="106"/>
      <c r="J793" s="106"/>
      <c r="K793" s="106"/>
      <c r="L793" s="213">
        <v>0</v>
      </c>
      <c r="M793" s="213">
        <v>0</v>
      </c>
      <c r="N793" s="213">
        <v>0</v>
      </c>
      <c r="O793" s="213">
        <v>0</v>
      </c>
      <c r="P793" s="108">
        <v>-1</v>
      </c>
      <c r="Q793" s="108">
        <v>-0.333333333333333</v>
      </c>
      <c r="R793" s="108">
        <v>-0.2</v>
      </c>
      <c r="S793" s="108">
        <v>-0.285714285714286</v>
      </c>
      <c r="T793" s="108">
        <v>0</v>
      </c>
      <c r="U793" s="108">
        <v>0</v>
      </c>
      <c r="V793" s="108">
        <v>0</v>
      </c>
      <c r="W793" s="108">
        <v>-0.142857142857143</v>
      </c>
    </row>
    <row r="794" spans="1:23">
      <c r="A794" s="103">
        <v>45045</v>
      </c>
      <c r="B794" s="104" t="s">
        <v>32</v>
      </c>
      <c r="C794" s="145">
        <v>0</v>
      </c>
      <c r="D794" s="145"/>
      <c r="E794" s="104">
        <v>0</v>
      </c>
      <c r="F794" s="106">
        <v>0</v>
      </c>
      <c r="G794" s="107">
        <v>0</v>
      </c>
      <c r="H794" s="106">
        <v>0</v>
      </c>
      <c r="I794" s="106"/>
      <c r="J794" s="106"/>
      <c r="K794" s="106"/>
      <c r="L794" s="213">
        <v>0</v>
      </c>
      <c r="M794" s="213">
        <v>0</v>
      </c>
      <c r="N794" s="213">
        <v>0</v>
      </c>
      <c r="O794" s="213">
        <v>0</v>
      </c>
      <c r="P794" s="108">
        <v>0</v>
      </c>
      <c r="Q794" s="108">
        <v>0</v>
      </c>
      <c r="R794" s="108">
        <v>0</v>
      </c>
      <c r="S794" s="108">
        <v>0</v>
      </c>
      <c r="T794" s="108">
        <v>0</v>
      </c>
      <c r="U794" s="108">
        <v>0</v>
      </c>
      <c r="V794" s="108">
        <v>0</v>
      </c>
      <c r="W794" s="108">
        <v>0</v>
      </c>
    </row>
    <row r="795" spans="1:23">
      <c r="A795" s="103">
        <v>45045</v>
      </c>
      <c r="B795" s="104" t="s">
        <v>33</v>
      </c>
      <c r="C795" s="145">
        <v>0</v>
      </c>
      <c r="D795" s="145"/>
      <c r="E795" s="104">
        <v>0</v>
      </c>
      <c r="F795" s="106">
        <v>0</v>
      </c>
      <c r="G795" s="107">
        <v>0</v>
      </c>
      <c r="H795" s="106">
        <v>0</v>
      </c>
      <c r="I795" s="106"/>
      <c r="J795" s="106"/>
      <c r="K795" s="106"/>
      <c r="L795" s="213">
        <v>0</v>
      </c>
      <c r="M795" s="213">
        <v>0</v>
      </c>
      <c r="N795" s="213">
        <v>0</v>
      </c>
      <c r="O795" s="213">
        <v>0</v>
      </c>
      <c r="P795" s="108">
        <v>-1</v>
      </c>
      <c r="Q795" s="108">
        <v>-0.333333333333333</v>
      </c>
      <c r="R795" s="108">
        <v>-0.2</v>
      </c>
      <c r="S795" s="108">
        <v>-0.142857142857143</v>
      </c>
      <c r="T795" s="108">
        <v>0</v>
      </c>
      <c r="U795" s="108">
        <v>0</v>
      </c>
      <c r="V795" s="108">
        <v>0</v>
      </c>
      <c r="W795" s="108">
        <v>0</v>
      </c>
    </row>
    <row r="796" spans="1:23">
      <c r="A796" s="103">
        <v>45045</v>
      </c>
      <c r="B796" s="104" t="s">
        <v>34</v>
      </c>
      <c r="C796" s="145">
        <v>0</v>
      </c>
      <c r="D796" s="145"/>
      <c r="E796" s="104">
        <v>0</v>
      </c>
      <c r="F796" s="106">
        <v>0</v>
      </c>
      <c r="G796" s="107">
        <v>0</v>
      </c>
      <c r="H796" s="106">
        <v>0</v>
      </c>
      <c r="I796" s="106"/>
      <c r="J796" s="106"/>
      <c r="K796" s="106"/>
      <c r="L796" s="213">
        <v>0</v>
      </c>
      <c r="M796" s="213">
        <v>0</v>
      </c>
      <c r="N796" s="213">
        <v>0</v>
      </c>
      <c r="O796" s="213">
        <v>0</v>
      </c>
      <c r="P796" s="108">
        <v>0</v>
      </c>
      <c r="Q796" s="108">
        <v>0</v>
      </c>
      <c r="R796" s="108">
        <v>0</v>
      </c>
      <c r="S796" s="108">
        <v>0</v>
      </c>
      <c r="T796" s="108">
        <v>0</v>
      </c>
      <c r="U796" s="108">
        <v>0</v>
      </c>
      <c r="V796" s="108">
        <v>0</v>
      </c>
      <c r="W796" s="108">
        <v>0</v>
      </c>
    </row>
    <row r="797" spans="1:23">
      <c r="A797" s="103">
        <v>45045</v>
      </c>
      <c r="B797" s="104" t="s">
        <v>35</v>
      </c>
      <c r="C797" s="145">
        <v>0</v>
      </c>
      <c r="D797" s="145"/>
      <c r="E797" s="104">
        <v>0</v>
      </c>
      <c r="F797" s="106">
        <v>0</v>
      </c>
      <c r="G797" s="107">
        <v>0</v>
      </c>
      <c r="H797" s="106">
        <v>0</v>
      </c>
      <c r="I797" s="106"/>
      <c r="J797" s="106"/>
      <c r="K797" s="106"/>
      <c r="L797" s="213">
        <v>0</v>
      </c>
      <c r="M797" s="213">
        <v>0</v>
      </c>
      <c r="N797" s="213">
        <v>0</v>
      </c>
      <c r="O797" s="213">
        <v>0</v>
      </c>
      <c r="P797" s="108">
        <v>0</v>
      </c>
      <c r="Q797" s="108">
        <v>0</v>
      </c>
      <c r="R797" s="108">
        <v>0</v>
      </c>
      <c r="S797" s="108">
        <v>0</v>
      </c>
      <c r="T797" s="108">
        <v>0</v>
      </c>
      <c r="U797" s="108">
        <v>0</v>
      </c>
      <c r="V797" s="108">
        <v>0</v>
      </c>
      <c r="W797" s="108">
        <v>0</v>
      </c>
    </row>
    <row r="798" spans="1:23">
      <c r="A798" s="103">
        <v>45045</v>
      </c>
      <c r="B798" s="104" t="s">
        <v>36</v>
      </c>
      <c r="C798" s="145">
        <v>0</v>
      </c>
      <c r="D798" s="145"/>
      <c r="E798" s="104">
        <v>0</v>
      </c>
      <c r="F798" s="106">
        <v>0</v>
      </c>
      <c r="G798" s="107">
        <v>0</v>
      </c>
      <c r="H798" s="106">
        <v>0</v>
      </c>
      <c r="I798" s="106"/>
      <c r="J798" s="106"/>
      <c r="K798" s="106"/>
      <c r="L798" s="213">
        <v>0</v>
      </c>
      <c r="M798" s="213">
        <v>0</v>
      </c>
      <c r="N798" s="213">
        <v>0</v>
      </c>
      <c r="O798" s="213">
        <v>0</v>
      </c>
      <c r="P798" s="108">
        <v>0</v>
      </c>
      <c r="Q798" s="108">
        <v>0</v>
      </c>
      <c r="R798" s="108">
        <v>0</v>
      </c>
      <c r="S798" s="108">
        <v>0</v>
      </c>
      <c r="T798" s="108">
        <v>0</v>
      </c>
      <c r="U798" s="108">
        <v>0</v>
      </c>
      <c r="V798" s="108">
        <v>0</v>
      </c>
      <c r="W798" s="108">
        <v>0</v>
      </c>
    </row>
    <row r="799" spans="1:23">
      <c r="A799" s="103">
        <v>45045</v>
      </c>
      <c r="B799" s="104" t="s">
        <v>37</v>
      </c>
      <c r="C799" s="145">
        <v>0</v>
      </c>
      <c r="D799" s="145"/>
      <c r="E799" s="104">
        <v>0</v>
      </c>
      <c r="F799" s="106">
        <v>0</v>
      </c>
      <c r="G799" s="107">
        <v>0</v>
      </c>
      <c r="H799" s="106">
        <v>0</v>
      </c>
      <c r="I799" s="106"/>
      <c r="J799" s="106"/>
      <c r="K799" s="106"/>
      <c r="L799" s="213">
        <v>0</v>
      </c>
      <c r="M799" s="213">
        <v>0</v>
      </c>
      <c r="N799" s="213">
        <v>0</v>
      </c>
      <c r="O799" s="213">
        <v>0</v>
      </c>
      <c r="P799" s="108">
        <v>0</v>
      </c>
      <c r="Q799" s="108">
        <v>0</v>
      </c>
      <c r="R799" s="108">
        <v>0</v>
      </c>
      <c r="S799" s="108">
        <v>0</v>
      </c>
      <c r="T799" s="108">
        <v>0</v>
      </c>
      <c r="U799" s="108">
        <v>0</v>
      </c>
      <c r="V799" s="108">
        <v>0</v>
      </c>
      <c r="W799" s="108">
        <v>0</v>
      </c>
    </row>
    <row r="800" spans="1:23">
      <c r="A800" s="103">
        <v>45045</v>
      </c>
      <c r="B800" s="104" t="s">
        <v>38</v>
      </c>
      <c r="C800" s="145">
        <v>0</v>
      </c>
      <c r="D800" s="145"/>
      <c r="E800" s="104">
        <v>0</v>
      </c>
      <c r="F800" s="106">
        <v>0</v>
      </c>
      <c r="G800" s="107">
        <v>0</v>
      </c>
      <c r="H800" s="106">
        <v>0</v>
      </c>
      <c r="I800" s="106"/>
      <c r="J800" s="106"/>
      <c r="K800" s="106"/>
      <c r="L800" s="213">
        <v>0</v>
      </c>
      <c r="M800" s="213">
        <v>0</v>
      </c>
      <c r="N800" s="213">
        <v>0</v>
      </c>
      <c r="O800" s="213">
        <v>0</v>
      </c>
      <c r="P800" s="108">
        <v>0</v>
      </c>
      <c r="Q800" s="108">
        <v>0</v>
      </c>
      <c r="R800" s="108">
        <v>0</v>
      </c>
      <c r="S800" s="108">
        <v>0</v>
      </c>
      <c r="T800" s="108">
        <v>0</v>
      </c>
      <c r="U800" s="108">
        <v>0</v>
      </c>
      <c r="V800" s="108">
        <v>0</v>
      </c>
      <c r="W800" s="108">
        <v>0</v>
      </c>
    </row>
    <row r="801" spans="1:23">
      <c r="A801" s="103">
        <v>45045</v>
      </c>
      <c r="B801" s="111" t="s">
        <v>39</v>
      </c>
      <c r="C801" s="112">
        <v>28012</v>
      </c>
      <c r="D801" s="112"/>
      <c r="E801" s="112">
        <v>255</v>
      </c>
      <c r="F801" s="113">
        <v>0.00910324146794231</v>
      </c>
      <c r="G801" s="112">
        <v>77</v>
      </c>
      <c r="H801" s="113">
        <v>0.301960784313725</v>
      </c>
      <c r="I801" s="113"/>
      <c r="J801" s="113"/>
      <c r="K801" s="113"/>
      <c r="L801" s="213"/>
      <c r="M801" s="213"/>
      <c r="N801" s="213"/>
      <c r="O801" s="213"/>
      <c r="P801" s="108"/>
      <c r="Q801" s="108"/>
      <c r="R801" s="108"/>
      <c r="S801" s="108"/>
      <c r="T801" s="108"/>
      <c r="U801" s="108"/>
      <c r="V801" s="108"/>
      <c r="W801" s="108"/>
    </row>
    <row r="802" spans="1:23">
      <c r="A802" s="103">
        <v>45046</v>
      </c>
      <c r="B802" s="104" t="s">
        <v>17</v>
      </c>
      <c r="C802" s="105">
        <v>668</v>
      </c>
      <c r="D802" s="105"/>
      <c r="E802" s="104">
        <v>44</v>
      </c>
      <c r="F802" s="106">
        <v>0.0658682634730539</v>
      </c>
      <c r="G802" s="107">
        <v>11</v>
      </c>
      <c r="H802" s="106">
        <v>0.25</v>
      </c>
      <c r="I802" s="106"/>
      <c r="J802" s="106"/>
      <c r="K802" s="106"/>
      <c r="L802" s="213">
        <v>-20</v>
      </c>
      <c r="M802" s="213">
        <v>19.6666666666666</v>
      </c>
      <c r="N802" s="213">
        <v>41.6</v>
      </c>
      <c r="O802" s="213">
        <v>65.2857142857143</v>
      </c>
      <c r="P802" s="108">
        <v>-8</v>
      </c>
      <c r="Q802" s="108">
        <v>-4</v>
      </c>
      <c r="R802" s="108">
        <v>-0.399999999999999</v>
      </c>
      <c r="S802" s="108">
        <v>2.42857142857143</v>
      </c>
      <c r="T802" s="108">
        <v>5</v>
      </c>
      <c r="U802" s="108">
        <v>5.33333333333333</v>
      </c>
      <c r="V802" s="108">
        <v>3.2</v>
      </c>
      <c r="W802" s="108">
        <v>3.71428571428571</v>
      </c>
    </row>
    <row r="803" spans="1:23">
      <c r="A803" s="103">
        <v>45046</v>
      </c>
      <c r="B803" s="104" t="s">
        <v>19</v>
      </c>
      <c r="C803" s="107">
        <v>1180</v>
      </c>
      <c r="D803" s="107"/>
      <c r="E803" s="104">
        <v>24</v>
      </c>
      <c r="F803" s="106">
        <v>0.0203389830508475</v>
      </c>
      <c r="G803" s="107">
        <v>8</v>
      </c>
      <c r="H803" s="106">
        <v>0.333333333333333</v>
      </c>
      <c r="I803" s="106"/>
      <c r="J803" s="106"/>
      <c r="K803" s="106"/>
      <c r="L803" s="213">
        <v>214</v>
      </c>
      <c r="M803" s="213">
        <v>437.333333333333</v>
      </c>
      <c r="N803" s="213">
        <v>-147.6</v>
      </c>
      <c r="O803" s="213">
        <v>-744.857142857143</v>
      </c>
      <c r="P803" s="108">
        <v>3</v>
      </c>
      <c r="Q803" s="108">
        <v>8.66666666666667</v>
      </c>
      <c r="R803" s="108">
        <v>-0.600000000000001</v>
      </c>
      <c r="S803" s="108">
        <v>-9</v>
      </c>
      <c r="T803" s="108">
        <v>0</v>
      </c>
      <c r="U803" s="108">
        <v>1.66666666666667</v>
      </c>
      <c r="V803" s="108">
        <v>-2.4</v>
      </c>
      <c r="W803" s="115">
        <v>-5.85714285714286</v>
      </c>
    </row>
    <row r="804" spans="1:23">
      <c r="A804" s="103">
        <v>45046</v>
      </c>
      <c r="B804" s="104" t="s">
        <v>21</v>
      </c>
      <c r="C804" s="145">
        <v>548</v>
      </c>
      <c r="D804" s="145"/>
      <c r="E804" s="104">
        <v>26</v>
      </c>
      <c r="F804" s="106">
        <v>0.0474452554744526</v>
      </c>
      <c r="G804" s="107">
        <v>11</v>
      </c>
      <c r="H804" s="106">
        <v>0.423076923076923</v>
      </c>
      <c r="I804" s="106"/>
      <c r="J804" s="106"/>
      <c r="K804" s="106"/>
      <c r="L804" s="213">
        <v>-43</v>
      </c>
      <c r="M804" s="213">
        <v>-45.3333333333334</v>
      </c>
      <c r="N804" s="213">
        <v>-42</v>
      </c>
      <c r="O804" s="213">
        <v>-43.1428571428571</v>
      </c>
      <c r="P804" s="108">
        <v>-8</v>
      </c>
      <c r="Q804" s="108">
        <v>-6.66666666666666</v>
      </c>
      <c r="R804" s="108">
        <v>-3.8</v>
      </c>
      <c r="S804" s="108">
        <v>-3.71428571428572</v>
      </c>
      <c r="T804" s="108">
        <v>-1</v>
      </c>
      <c r="U804" s="108">
        <v>2</v>
      </c>
      <c r="V804" s="108">
        <v>1.8</v>
      </c>
      <c r="W804" s="108">
        <v>2.28571428571429</v>
      </c>
    </row>
    <row r="805" spans="1:23">
      <c r="A805" s="103">
        <v>45046</v>
      </c>
      <c r="B805" s="104" t="s">
        <v>22</v>
      </c>
      <c r="C805" s="145">
        <v>2782</v>
      </c>
      <c r="D805" s="145"/>
      <c r="E805" s="104">
        <v>49</v>
      </c>
      <c r="F805" s="106">
        <v>0.0176132278936017</v>
      </c>
      <c r="G805" s="107">
        <v>13</v>
      </c>
      <c r="H805" s="106">
        <v>0.26530612244898</v>
      </c>
      <c r="I805" s="106"/>
      <c r="J805" s="106"/>
      <c r="K805" s="106"/>
      <c r="L805" s="213">
        <v>-121</v>
      </c>
      <c r="M805" s="213">
        <v>-488</v>
      </c>
      <c r="N805" s="213">
        <v>-621.2</v>
      </c>
      <c r="O805" s="213">
        <v>-688.285714285714</v>
      </c>
      <c r="P805" s="108">
        <v>4</v>
      </c>
      <c r="Q805" s="108">
        <v>-8.33333333333334</v>
      </c>
      <c r="R805" s="108">
        <v>-12</v>
      </c>
      <c r="S805" s="115">
        <v>-15.1428571428571</v>
      </c>
      <c r="T805" s="108">
        <v>-4</v>
      </c>
      <c r="U805" s="108">
        <v>-9</v>
      </c>
      <c r="V805" s="108">
        <v>-11</v>
      </c>
      <c r="W805" s="117">
        <v>-10.5714285714286</v>
      </c>
    </row>
    <row r="806" spans="1:23">
      <c r="A806" s="103">
        <v>45046</v>
      </c>
      <c r="B806" s="104" t="s">
        <v>23</v>
      </c>
      <c r="C806" s="145">
        <v>2673</v>
      </c>
      <c r="D806" s="145"/>
      <c r="E806" s="104">
        <v>20</v>
      </c>
      <c r="F806" s="106">
        <v>0.00748222970445193</v>
      </c>
      <c r="G806" s="107">
        <v>5</v>
      </c>
      <c r="H806" s="106">
        <v>0.25</v>
      </c>
      <c r="I806" s="106"/>
      <c r="J806" s="106"/>
      <c r="K806" s="106"/>
      <c r="L806" s="213">
        <v>-23</v>
      </c>
      <c r="M806" s="213">
        <v>9.66666666666652</v>
      </c>
      <c r="N806" s="213">
        <v>8.40000000000009</v>
      </c>
      <c r="O806" s="213">
        <v>66.2857142857142</v>
      </c>
      <c r="P806" s="108">
        <v>4</v>
      </c>
      <c r="Q806" s="108">
        <v>-1.33333333333333</v>
      </c>
      <c r="R806" s="108">
        <v>-4.4</v>
      </c>
      <c r="S806" s="108">
        <v>-2.85714285714286</v>
      </c>
      <c r="T806" s="108">
        <v>0</v>
      </c>
      <c r="U806" s="116">
        <v>-1</v>
      </c>
      <c r="V806" s="108">
        <v>-1.2</v>
      </c>
      <c r="W806" s="108">
        <v>-0.857142857142857</v>
      </c>
    </row>
    <row r="807" spans="1:23">
      <c r="A807" s="103">
        <v>45046</v>
      </c>
      <c r="B807" s="104" t="s">
        <v>24</v>
      </c>
      <c r="C807" s="145">
        <v>446</v>
      </c>
      <c r="D807" s="145"/>
      <c r="E807" s="104">
        <v>4</v>
      </c>
      <c r="F807" s="106">
        <v>0.00896860986547085</v>
      </c>
      <c r="G807" s="107">
        <v>0</v>
      </c>
      <c r="H807" s="106">
        <v>0</v>
      </c>
      <c r="I807" s="106"/>
      <c r="J807" s="106"/>
      <c r="K807" s="106"/>
      <c r="L807" s="213">
        <v>-104</v>
      </c>
      <c r="M807" s="213">
        <v>89.6666666666667</v>
      </c>
      <c r="N807" s="213">
        <v>140</v>
      </c>
      <c r="O807" s="213">
        <v>135.142857142857</v>
      </c>
      <c r="P807" s="115">
        <v>2</v>
      </c>
      <c r="Q807" s="115">
        <v>2</v>
      </c>
      <c r="R807" s="117">
        <v>2.6</v>
      </c>
      <c r="S807" s="117">
        <v>2.28571428571429</v>
      </c>
      <c r="T807" s="115">
        <v>0</v>
      </c>
      <c r="U807" s="115">
        <v>-0.333333333333333</v>
      </c>
      <c r="V807" s="115">
        <v>-0.4</v>
      </c>
      <c r="W807" s="115">
        <v>-0.571428571428571</v>
      </c>
    </row>
    <row r="808" spans="1:23">
      <c r="A808" s="103">
        <v>45046</v>
      </c>
      <c r="B808" s="104" t="s">
        <v>25</v>
      </c>
      <c r="C808" s="145">
        <v>10650</v>
      </c>
      <c r="D808" s="145"/>
      <c r="E808" s="104">
        <v>50</v>
      </c>
      <c r="F808" s="106">
        <v>0.00469483568075117</v>
      </c>
      <c r="G808" s="107">
        <v>17</v>
      </c>
      <c r="H808" s="106">
        <v>0.34</v>
      </c>
      <c r="I808" s="106"/>
      <c r="J808" s="106"/>
      <c r="K808" s="106"/>
      <c r="L808" s="213">
        <v>-5160</v>
      </c>
      <c r="M808" s="213">
        <v>-5114.66666666667</v>
      </c>
      <c r="N808" s="213">
        <v>-5201.6</v>
      </c>
      <c r="O808" s="213">
        <v>-4663.71428571429</v>
      </c>
      <c r="P808" s="116">
        <v>4</v>
      </c>
      <c r="Q808" s="115">
        <v>-13.3333333333333</v>
      </c>
      <c r="R808" s="115">
        <v>-4.6</v>
      </c>
      <c r="S808" s="115">
        <v>-0.142857142857146</v>
      </c>
      <c r="T808" s="108">
        <v>0</v>
      </c>
      <c r="U808" s="108">
        <v>-6</v>
      </c>
      <c r="V808" s="108">
        <v>-4.6</v>
      </c>
      <c r="W808" s="108">
        <v>-2</v>
      </c>
    </row>
    <row r="809" spans="1:23">
      <c r="A809" s="103">
        <v>45046</v>
      </c>
      <c r="B809" s="104" t="s">
        <v>26</v>
      </c>
      <c r="C809" s="145">
        <v>2612</v>
      </c>
      <c r="D809" s="145"/>
      <c r="E809" s="104">
        <v>21</v>
      </c>
      <c r="F809" s="106">
        <v>0.00803981623277182</v>
      </c>
      <c r="G809" s="107">
        <v>5</v>
      </c>
      <c r="H809" s="106">
        <v>0.238095238095238</v>
      </c>
      <c r="I809" s="106"/>
      <c r="J809" s="106"/>
      <c r="K809" s="106"/>
      <c r="L809" s="213">
        <v>42</v>
      </c>
      <c r="M809" s="213">
        <v>100.666666666667</v>
      </c>
      <c r="N809" s="213">
        <v>32</v>
      </c>
      <c r="O809" s="213">
        <v>162.285714285714</v>
      </c>
      <c r="P809" s="108">
        <v>-1</v>
      </c>
      <c r="Q809" s="108">
        <v>2.33333333333333</v>
      </c>
      <c r="R809" s="108">
        <v>3.2</v>
      </c>
      <c r="S809" s="108">
        <v>3.28571428571428</v>
      </c>
      <c r="T809" s="108">
        <v>-2</v>
      </c>
      <c r="U809" s="108">
        <v>-2</v>
      </c>
      <c r="V809" s="108">
        <v>-1.6</v>
      </c>
      <c r="W809" s="108">
        <v>-2.28571428571429</v>
      </c>
    </row>
    <row r="810" spans="1:23">
      <c r="A810" s="103">
        <v>45046</v>
      </c>
      <c r="B810" s="104" t="s">
        <v>27</v>
      </c>
      <c r="C810" s="145">
        <v>1728</v>
      </c>
      <c r="D810" s="145"/>
      <c r="E810" s="104">
        <v>9</v>
      </c>
      <c r="F810" s="106">
        <v>0.00520833333333333</v>
      </c>
      <c r="G810" s="107">
        <v>3</v>
      </c>
      <c r="H810" s="106">
        <v>0.333333333333333</v>
      </c>
      <c r="I810" s="106"/>
      <c r="J810" s="106"/>
      <c r="K810" s="106"/>
      <c r="L810" s="213">
        <v>490</v>
      </c>
      <c r="M810" s="213">
        <v>586.666666666667</v>
      </c>
      <c r="N810" s="213">
        <v>838.8</v>
      </c>
      <c r="O810" s="213">
        <v>978.857142857143</v>
      </c>
      <c r="P810" s="108">
        <v>-8</v>
      </c>
      <c r="Q810" s="108">
        <v>-3.33333333333333</v>
      </c>
      <c r="R810" s="108">
        <v>-1.4</v>
      </c>
      <c r="S810" s="108">
        <v>0.142857142857142</v>
      </c>
      <c r="T810" s="108">
        <v>-2</v>
      </c>
      <c r="U810" s="108">
        <v>-0.333333333333333</v>
      </c>
      <c r="V810" s="108">
        <v>0.4</v>
      </c>
      <c r="W810" s="108">
        <v>0.857142857142857</v>
      </c>
    </row>
    <row r="811" spans="1:23">
      <c r="A811" s="103">
        <v>45046</v>
      </c>
      <c r="B811" s="104" t="s">
        <v>28</v>
      </c>
      <c r="C811" s="145">
        <v>0</v>
      </c>
      <c r="D811" s="145"/>
      <c r="E811" s="104">
        <v>0</v>
      </c>
      <c r="F811" s="106">
        <v>0</v>
      </c>
      <c r="G811" s="107">
        <v>0</v>
      </c>
      <c r="H811" s="106">
        <v>0</v>
      </c>
      <c r="I811" s="106"/>
      <c r="J811" s="106"/>
      <c r="K811" s="106"/>
      <c r="L811" s="213">
        <v>0</v>
      </c>
      <c r="M811" s="213">
        <v>0</v>
      </c>
      <c r="N811" s="213">
        <v>0</v>
      </c>
      <c r="O811" s="213">
        <v>0</v>
      </c>
      <c r="P811" s="108">
        <v>0</v>
      </c>
      <c r="Q811" s="108">
        <v>0</v>
      </c>
      <c r="R811" s="108">
        <v>-0.2</v>
      </c>
      <c r="S811" s="108">
        <v>-0.142857142857143</v>
      </c>
      <c r="T811" s="108">
        <v>0</v>
      </c>
      <c r="U811" s="108">
        <v>0</v>
      </c>
      <c r="V811" s="108">
        <v>0</v>
      </c>
      <c r="W811" s="108">
        <v>0</v>
      </c>
    </row>
    <row r="812" spans="1:23">
      <c r="A812" s="103">
        <v>45046</v>
      </c>
      <c r="B812" s="104" t="s">
        <v>29</v>
      </c>
      <c r="C812" s="145">
        <v>0</v>
      </c>
      <c r="D812" s="145"/>
      <c r="E812" s="104">
        <v>0</v>
      </c>
      <c r="F812" s="106">
        <v>0</v>
      </c>
      <c r="G812" s="107">
        <v>0</v>
      </c>
      <c r="H812" s="106">
        <v>0</v>
      </c>
      <c r="I812" s="106"/>
      <c r="J812" s="106"/>
      <c r="K812" s="106"/>
      <c r="L812" s="213">
        <v>0</v>
      </c>
      <c r="M812" s="213">
        <v>-0.333333333333333</v>
      </c>
      <c r="N812" s="213">
        <v>-0.2</v>
      </c>
      <c r="O812" s="213">
        <v>-0.142857142857143</v>
      </c>
      <c r="P812" s="108">
        <v>0</v>
      </c>
      <c r="Q812" s="108">
        <v>0</v>
      </c>
      <c r="R812" s="108">
        <v>0</v>
      </c>
      <c r="S812" s="108">
        <v>-0.142857142857143</v>
      </c>
      <c r="T812" s="108">
        <v>0</v>
      </c>
      <c r="U812" s="108">
        <v>0</v>
      </c>
      <c r="V812" s="108">
        <v>0</v>
      </c>
      <c r="W812" s="108">
        <v>0</v>
      </c>
    </row>
    <row r="813" spans="1:23">
      <c r="A813" s="103">
        <v>45046</v>
      </c>
      <c r="B813" s="104" t="s">
        <v>30</v>
      </c>
      <c r="C813" s="145">
        <v>0</v>
      </c>
      <c r="D813" s="145"/>
      <c r="E813" s="104">
        <v>0</v>
      </c>
      <c r="F813" s="106">
        <v>0</v>
      </c>
      <c r="G813" s="107">
        <v>0</v>
      </c>
      <c r="H813" s="106">
        <v>0</v>
      </c>
      <c r="I813" s="106"/>
      <c r="J813" s="106"/>
      <c r="K813" s="106"/>
      <c r="L813" s="213">
        <v>0</v>
      </c>
      <c r="M813" s="213">
        <v>0</v>
      </c>
      <c r="N813" s="213">
        <v>0</v>
      </c>
      <c r="O813" s="213">
        <v>0</v>
      </c>
      <c r="P813" s="108">
        <v>0</v>
      </c>
      <c r="Q813" s="108">
        <v>0</v>
      </c>
      <c r="R813" s="108">
        <v>0</v>
      </c>
      <c r="S813" s="108">
        <v>0</v>
      </c>
      <c r="T813" s="108">
        <v>0</v>
      </c>
      <c r="U813" s="108">
        <v>0</v>
      </c>
      <c r="V813" s="108">
        <v>0</v>
      </c>
      <c r="W813" s="108">
        <v>0</v>
      </c>
    </row>
    <row r="814" spans="1:23">
      <c r="A814" s="103">
        <v>45046</v>
      </c>
      <c r="B814" s="104" t="s">
        <v>31</v>
      </c>
      <c r="C814" s="145">
        <v>0</v>
      </c>
      <c r="D814" s="145"/>
      <c r="E814" s="104">
        <v>0</v>
      </c>
      <c r="F814" s="106">
        <v>0</v>
      </c>
      <c r="G814" s="107">
        <v>0</v>
      </c>
      <c r="H814" s="106">
        <v>0</v>
      </c>
      <c r="I814" s="106"/>
      <c r="J814" s="106"/>
      <c r="K814" s="106"/>
      <c r="L814" s="213">
        <v>0</v>
      </c>
      <c r="M814" s="213">
        <v>0</v>
      </c>
      <c r="N814" s="213">
        <v>0</v>
      </c>
      <c r="O814" s="213">
        <v>0</v>
      </c>
      <c r="P814" s="108">
        <v>0</v>
      </c>
      <c r="Q814" s="108">
        <v>-0.333333333333333</v>
      </c>
      <c r="R814" s="108">
        <v>-0.2</v>
      </c>
      <c r="S814" s="108">
        <v>-0.285714285714286</v>
      </c>
      <c r="T814" s="108">
        <v>0</v>
      </c>
      <c r="U814" s="108">
        <v>0</v>
      </c>
      <c r="V814" s="108">
        <v>0</v>
      </c>
      <c r="W814" s="108">
        <v>0</v>
      </c>
    </row>
    <row r="815" spans="1:23">
      <c r="A815" s="103">
        <v>45046</v>
      </c>
      <c r="B815" s="104" t="s">
        <v>32</v>
      </c>
      <c r="C815" s="145">
        <v>0</v>
      </c>
      <c r="D815" s="145"/>
      <c r="E815" s="104">
        <v>0</v>
      </c>
      <c r="F815" s="106">
        <v>0</v>
      </c>
      <c r="G815" s="107">
        <v>0</v>
      </c>
      <c r="H815" s="106">
        <v>0</v>
      </c>
      <c r="I815" s="106"/>
      <c r="J815" s="106"/>
      <c r="K815" s="106"/>
      <c r="L815" s="213">
        <v>0</v>
      </c>
      <c r="M815" s="213">
        <v>0</v>
      </c>
      <c r="N815" s="213">
        <v>0</v>
      </c>
      <c r="O815" s="213">
        <v>0</v>
      </c>
      <c r="P815" s="108">
        <v>0</v>
      </c>
      <c r="Q815" s="108">
        <v>0</v>
      </c>
      <c r="R815" s="108">
        <v>0</v>
      </c>
      <c r="S815" s="108">
        <v>0</v>
      </c>
      <c r="T815" s="108">
        <v>0</v>
      </c>
      <c r="U815" s="108">
        <v>0</v>
      </c>
      <c r="V815" s="108">
        <v>0</v>
      </c>
      <c r="W815" s="108">
        <v>0</v>
      </c>
    </row>
    <row r="816" spans="1:23">
      <c r="A816" s="103">
        <v>45046</v>
      </c>
      <c r="B816" s="104" t="s">
        <v>33</v>
      </c>
      <c r="C816" s="145">
        <v>0</v>
      </c>
      <c r="D816" s="145"/>
      <c r="E816" s="104">
        <v>1</v>
      </c>
      <c r="F816" s="106">
        <v>1</v>
      </c>
      <c r="G816" s="107">
        <v>0</v>
      </c>
      <c r="H816" s="106">
        <v>0</v>
      </c>
      <c r="I816" s="106"/>
      <c r="J816" s="106"/>
      <c r="K816" s="106"/>
      <c r="L816" s="213">
        <v>0</v>
      </c>
      <c r="M816" s="213">
        <v>0</v>
      </c>
      <c r="N816" s="213">
        <v>0</v>
      </c>
      <c r="O816" s="213">
        <v>0</v>
      </c>
      <c r="P816" s="108">
        <v>1</v>
      </c>
      <c r="Q816" s="108">
        <v>0.666666666666667</v>
      </c>
      <c r="R816" s="108">
        <v>0.8</v>
      </c>
      <c r="S816" s="108">
        <v>0.857142857142857</v>
      </c>
      <c r="T816" s="108">
        <v>0</v>
      </c>
      <c r="U816" s="108">
        <v>0</v>
      </c>
      <c r="V816" s="108">
        <v>0</v>
      </c>
      <c r="W816" s="108">
        <v>0</v>
      </c>
    </row>
    <row r="817" spans="1:23">
      <c r="A817" s="103">
        <v>45046</v>
      </c>
      <c r="B817" s="104" t="s">
        <v>34</v>
      </c>
      <c r="C817" s="145">
        <v>0</v>
      </c>
      <c r="D817" s="145"/>
      <c r="E817" s="104">
        <v>0</v>
      </c>
      <c r="F817" s="106">
        <v>0</v>
      </c>
      <c r="G817" s="107">
        <v>0</v>
      </c>
      <c r="H817" s="106">
        <v>0</v>
      </c>
      <c r="I817" s="106"/>
      <c r="J817" s="106"/>
      <c r="K817" s="106"/>
      <c r="L817" s="213">
        <v>0</v>
      </c>
      <c r="M817" s="213">
        <v>0</v>
      </c>
      <c r="N817" s="213">
        <v>0</v>
      </c>
      <c r="O817" s="213">
        <v>0</v>
      </c>
      <c r="P817" s="108">
        <v>0</v>
      </c>
      <c r="Q817" s="108">
        <v>0</v>
      </c>
      <c r="R817" s="108">
        <v>0</v>
      </c>
      <c r="S817" s="108">
        <v>0</v>
      </c>
      <c r="T817" s="108">
        <v>0</v>
      </c>
      <c r="U817" s="108">
        <v>0</v>
      </c>
      <c r="V817" s="108">
        <v>0</v>
      </c>
      <c r="W817" s="108">
        <v>0</v>
      </c>
    </row>
    <row r="818" spans="1:23">
      <c r="A818" s="103">
        <v>45046</v>
      </c>
      <c r="B818" s="104" t="s">
        <v>35</v>
      </c>
      <c r="C818" s="145">
        <v>0</v>
      </c>
      <c r="D818" s="145"/>
      <c r="E818" s="104">
        <v>0</v>
      </c>
      <c r="F818" s="106">
        <v>0</v>
      </c>
      <c r="G818" s="107">
        <v>0</v>
      </c>
      <c r="H818" s="106">
        <v>0</v>
      </c>
      <c r="I818" s="106"/>
      <c r="J818" s="106"/>
      <c r="K818" s="106"/>
      <c r="L818" s="213">
        <v>0</v>
      </c>
      <c r="M818" s="213">
        <v>0</v>
      </c>
      <c r="N818" s="213">
        <v>0</v>
      </c>
      <c r="O818" s="213">
        <v>0</v>
      </c>
      <c r="P818" s="108">
        <v>0</v>
      </c>
      <c r="Q818" s="108">
        <v>0</v>
      </c>
      <c r="R818" s="108">
        <v>0</v>
      </c>
      <c r="S818" s="108">
        <v>0</v>
      </c>
      <c r="T818" s="108">
        <v>0</v>
      </c>
      <c r="U818" s="108">
        <v>0</v>
      </c>
      <c r="V818" s="108">
        <v>0</v>
      </c>
      <c r="W818" s="108">
        <v>0</v>
      </c>
    </row>
    <row r="819" spans="1:23">
      <c r="A819" s="103">
        <v>45046</v>
      </c>
      <c r="B819" s="104" t="s">
        <v>36</v>
      </c>
      <c r="C819" s="145">
        <v>0</v>
      </c>
      <c r="D819" s="145"/>
      <c r="E819" s="104">
        <v>0</v>
      </c>
      <c r="F819" s="106">
        <v>0</v>
      </c>
      <c r="G819" s="107">
        <v>0</v>
      </c>
      <c r="H819" s="106">
        <v>0</v>
      </c>
      <c r="I819" s="106"/>
      <c r="J819" s="106"/>
      <c r="K819" s="106"/>
      <c r="L819" s="213">
        <v>0</v>
      </c>
      <c r="M819" s="213">
        <v>0</v>
      </c>
      <c r="N819" s="213">
        <v>0</v>
      </c>
      <c r="O819" s="213">
        <v>0</v>
      </c>
      <c r="P819" s="108">
        <v>0</v>
      </c>
      <c r="Q819" s="108">
        <v>0</v>
      </c>
      <c r="R819" s="108">
        <v>0</v>
      </c>
      <c r="S819" s="108">
        <v>0</v>
      </c>
      <c r="T819" s="108">
        <v>0</v>
      </c>
      <c r="U819" s="108">
        <v>0</v>
      </c>
      <c r="V819" s="108">
        <v>0</v>
      </c>
      <c r="W819" s="108">
        <v>0</v>
      </c>
    </row>
    <row r="820" spans="1:23">
      <c r="A820" s="103">
        <v>45046</v>
      </c>
      <c r="B820" s="104" t="s">
        <v>37</v>
      </c>
      <c r="C820" s="145">
        <v>0</v>
      </c>
      <c r="D820" s="145"/>
      <c r="E820" s="104">
        <v>0</v>
      </c>
      <c r="F820" s="106">
        <v>0</v>
      </c>
      <c r="G820" s="107">
        <v>0</v>
      </c>
      <c r="H820" s="106">
        <v>0</v>
      </c>
      <c r="I820" s="106"/>
      <c r="J820" s="106"/>
      <c r="K820" s="106"/>
      <c r="L820" s="213">
        <v>0</v>
      </c>
      <c r="M820" s="213">
        <v>0</v>
      </c>
      <c r="N820" s="213">
        <v>0</v>
      </c>
      <c r="O820" s="213">
        <v>0</v>
      </c>
      <c r="P820" s="108">
        <v>0</v>
      </c>
      <c r="Q820" s="108">
        <v>0</v>
      </c>
      <c r="R820" s="108">
        <v>0</v>
      </c>
      <c r="S820" s="108">
        <v>0</v>
      </c>
      <c r="T820" s="108">
        <v>0</v>
      </c>
      <c r="U820" s="108">
        <v>0</v>
      </c>
      <c r="V820" s="108">
        <v>0</v>
      </c>
      <c r="W820" s="108">
        <v>0</v>
      </c>
    </row>
    <row r="821" spans="1:23">
      <c r="A821" s="103">
        <v>45046</v>
      </c>
      <c r="B821" s="104" t="s">
        <v>38</v>
      </c>
      <c r="C821" s="145">
        <v>0</v>
      </c>
      <c r="D821" s="145"/>
      <c r="E821" s="104">
        <v>0</v>
      </c>
      <c r="F821" s="106">
        <v>0</v>
      </c>
      <c r="G821" s="107">
        <v>0</v>
      </c>
      <c r="H821" s="106">
        <v>0</v>
      </c>
      <c r="I821" s="106"/>
      <c r="J821" s="106"/>
      <c r="K821" s="106"/>
      <c r="L821" s="213">
        <v>0</v>
      </c>
      <c r="M821" s="213">
        <v>0</v>
      </c>
      <c r="N821" s="213">
        <v>0</v>
      </c>
      <c r="O821" s="213">
        <v>0</v>
      </c>
      <c r="P821" s="108">
        <v>0</v>
      </c>
      <c r="Q821" s="108">
        <v>0</v>
      </c>
      <c r="R821" s="108">
        <v>0</v>
      </c>
      <c r="S821" s="108">
        <v>0</v>
      </c>
      <c r="T821" s="108">
        <v>0</v>
      </c>
      <c r="U821" s="108">
        <v>0</v>
      </c>
      <c r="V821" s="108">
        <v>0</v>
      </c>
      <c r="W821" s="108">
        <v>0</v>
      </c>
    </row>
    <row r="822" spans="1:23">
      <c r="A822" s="103">
        <v>45046</v>
      </c>
      <c r="B822" s="111" t="s">
        <v>39</v>
      </c>
      <c r="C822" s="112">
        <v>23287</v>
      </c>
      <c r="D822" s="112"/>
      <c r="E822" s="112">
        <v>248</v>
      </c>
      <c r="F822" s="113">
        <v>0.0106497187271868</v>
      </c>
      <c r="G822" s="112">
        <v>73</v>
      </c>
      <c r="H822" s="113">
        <v>0.294354838709677</v>
      </c>
      <c r="I822" s="113"/>
      <c r="J822" s="113"/>
      <c r="K822" s="113"/>
      <c r="L822" s="213"/>
      <c r="M822" s="213"/>
      <c r="N822" s="213"/>
      <c r="O822" s="213"/>
      <c r="P822" s="108"/>
      <c r="Q822" s="108"/>
      <c r="R822" s="108"/>
      <c r="S822" s="108"/>
      <c r="T822" s="108"/>
      <c r="U822" s="108"/>
      <c r="V822" s="108"/>
      <c r="W822" s="108"/>
    </row>
    <row r="823" spans="1:23">
      <c r="A823" s="103">
        <v>45047</v>
      </c>
      <c r="B823" s="104" t="s">
        <v>17</v>
      </c>
      <c r="C823" s="105">
        <v>639</v>
      </c>
      <c r="D823" s="105"/>
      <c r="E823" s="104">
        <v>38</v>
      </c>
      <c r="F823" s="106">
        <f>E823/C823</f>
        <v>0.0594679186228482</v>
      </c>
      <c r="G823" s="107">
        <v>7</v>
      </c>
      <c r="H823" s="106">
        <v>0.184210526315789</v>
      </c>
      <c r="I823" s="106"/>
      <c r="J823" s="106"/>
      <c r="K823" s="106"/>
      <c r="L823" s="213">
        <v>-29</v>
      </c>
      <c r="M823" s="213">
        <v>-3</v>
      </c>
      <c r="N823" s="213">
        <v>-6.79999999999995</v>
      </c>
      <c r="O823" s="213">
        <v>21.1428571428571</v>
      </c>
      <c r="P823" s="108">
        <v>-6</v>
      </c>
      <c r="Q823" s="108">
        <v>-7</v>
      </c>
      <c r="R823" s="108">
        <v>-6.8</v>
      </c>
      <c r="S823" s="108">
        <v>-4.71428571428572</v>
      </c>
      <c r="T823" s="108">
        <v>-4</v>
      </c>
      <c r="U823" s="108">
        <v>0</v>
      </c>
      <c r="V823" s="108">
        <v>-0.8</v>
      </c>
      <c r="W823" s="108">
        <v>-0.857142857142857</v>
      </c>
    </row>
    <row r="824" spans="1:23">
      <c r="A824" s="103">
        <v>45047</v>
      </c>
      <c r="B824" s="104" t="s">
        <v>19</v>
      </c>
      <c r="C824" s="107">
        <v>623</v>
      </c>
      <c r="D824" s="107"/>
      <c r="E824" s="104">
        <v>27</v>
      </c>
      <c r="F824" s="106">
        <f t="shared" ref="F824:F831" si="0">E824/C824</f>
        <v>0.043338683788122</v>
      </c>
      <c r="G824" s="107">
        <v>11</v>
      </c>
      <c r="H824" s="106">
        <v>0.407407407407407</v>
      </c>
      <c r="I824" s="106"/>
      <c r="J824" s="106"/>
      <c r="K824" s="106"/>
      <c r="L824" s="213">
        <v>66</v>
      </c>
      <c r="M824" s="213">
        <v>346.666666666667</v>
      </c>
      <c r="N824" s="213">
        <v>356</v>
      </c>
      <c r="O824" s="213">
        <v>-374.857142857143</v>
      </c>
      <c r="P824" s="108">
        <v>3</v>
      </c>
      <c r="Q824" s="108">
        <v>7.33333333333333</v>
      </c>
      <c r="R824" s="108">
        <v>8.2</v>
      </c>
      <c r="S824" s="108">
        <v>-1.71428571428572</v>
      </c>
      <c r="T824" s="108">
        <v>3</v>
      </c>
      <c r="U824" s="108">
        <v>4</v>
      </c>
      <c r="V824" s="108">
        <v>2.8</v>
      </c>
      <c r="W824" s="115">
        <v>-0.857142857142858</v>
      </c>
    </row>
    <row r="825" spans="1:23">
      <c r="A825" s="103">
        <v>45047</v>
      </c>
      <c r="B825" s="104" t="s">
        <v>21</v>
      </c>
      <c r="C825" s="145">
        <v>504</v>
      </c>
      <c r="D825" s="145"/>
      <c r="E825" s="104">
        <v>29</v>
      </c>
      <c r="F825" s="106">
        <f t="shared" si="0"/>
        <v>0.0575396825396825</v>
      </c>
      <c r="G825" s="107">
        <v>5</v>
      </c>
      <c r="H825" s="106">
        <v>0.172413793103448</v>
      </c>
      <c r="I825" s="106"/>
      <c r="J825" s="106"/>
      <c r="K825" s="106"/>
      <c r="L825" s="213">
        <v>-44</v>
      </c>
      <c r="M825" s="213">
        <v>-71</v>
      </c>
      <c r="N825" s="213">
        <v>-85.8</v>
      </c>
      <c r="O825" s="213">
        <v>-75.5714285714286</v>
      </c>
      <c r="P825" s="108">
        <v>3</v>
      </c>
      <c r="Q825" s="108">
        <v>0</v>
      </c>
      <c r="R825" s="108">
        <v>-1.4</v>
      </c>
      <c r="S825" s="108">
        <v>0.428571428571427</v>
      </c>
      <c r="T825" s="108">
        <v>-6</v>
      </c>
      <c r="U825" s="108">
        <v>-4.66666666666667</v>
      </c>
      <c r="V825" s="108">
        <v>-4.4</v>
      </c>
      <c r="W825" s="108">
        <v>-4</v>
      </c>
    </row>
    <row r="826" spans="1:23">
      <c r="A826" s="103">
        <v>45047</v>
      </c>
      <c r="B826" s="104" t="s">
        <v>22</v>
      </c>
      <c r="C826" s="145">
        <v>2838</v>
      </c>
      <c r="D826" s="145"/>
      <c r="E826" s="104">
        <v>29</v>
      </c>
      <c r="F826" s="106">
        <f t="shared" si="0"/>
        <v>0.0102184637068358</v>
      </c>
      <c r="G826" s="107">
        <v>7</v>
      </c>
      <c r="H826" s="106">
        <v>0.241379310344828</v>
      </c>
      <c r="I826" s="106"/>
      <c r="J826" s="106"/>
      <c r="K826" s="106"/>
      <c r="L826" s="213">
        <v>56</v>
      </c>
      <c r="M826" s="213">
        <v>-178.333333333333</v>
      </c>
      <c r="N826" s="213">
        <v>-412.8</v>
      </c>
      <c r="O826" s="213">
        <v>-503.285714285714</v>
      </c>
      <c r="P826" s="108">
        <v>-20</v>
      </c>
      <c r="Q826" s="108">
        <v>-22.6666666666667</v>
      </c>
      <c r="R826" s="108">
        <v>-30.2</v>
      </c>
      <c r="S826" s="115">
        <v>-32.2857142857143</v>
      </c>
      <c r="T826" s="108">
        <v>-6</v>
      </c>
      <c r="U826" s="108">
        <v>-11.6666666666667</v>
      </c>
      <c r="V826" s="108">
        <v>-14.8</v>
      </c>
      <c r="W826" s="117">
        <v>-15.8571428571429</v>
      </c>
    </row>
    <row r="827" spans="1:23">
      <c r="A827" s="103">
        <v>45047</v>
      </c>
      <c r="B827" s="104" t="s">
        <v>23</v>
      </c>
      <c r="C827" s="145">
        <v>2639</v>
      </c>
      <c r="D827" s="145"/>
      <c r="E827" s="104">
        <v>21</v>
      </c>
      <c r="F827" s="106">
        <f t="shared" si="0"/>
        <v>0.00795755968169761</v>
      </c>
      <c r="G827" s="107">
        <v>8</v>
      </c>
      <c r="H827" s="106">
        <v>0.380952380952381</v>
      </c>
      <c r="I827" s="106"/>
      <c r="J827" s="106"/>
      <c r="K827" s="106"/>
      <c r="L827" s="213">
        <v>-34</v>
      </c>
      <c r="M827" s="213">
        <v>-27.3333333333335</v>
      </c>
      <c r="N827" s="213">
        <v>-39.1999999999998</v>
      </c>
      <c r="O827" s="213">
        <v>2.71428571428578</v>
      </c>
      <c r="P827" s="108">
        <v>1</v>
      </c>
      <c r="Q827" s="108">
        <v>2.66666666666667</v>
      </c>
      <c r="R827" s="108">
        <v>-2.4</v>
      </c>
      <c r="S827" s="108">
        <v>-2.71428571428572</v>
      </c>
      <c r="T827" s="108">
        <v>3</v>
      </c>
      <c r="U827" s="116">
        <v>1.33333333333333</v>
      </c>
      <c r="V827" s="108">
        <v>1.6</v>
      </c>
      <c r="W827" s="108">
        <v>1.71428571428571</v>
      </c>
    </row>
    <row r="828" spans="1:23">
      <c r="A828" s="103">
        <v>45047</v>
      </c>
      <c r="B828" s="104" t="s">
        <v>24</v>
      </c>
      <c r="C828" s="145">
        <v>2130</v>
      </c>
      <c r="D828" s="145"/>
      <c r="E828" s="104">
        <v>5</v>
      </c>
      <c r="F828" s="106">
        <f t="shared" si="0"/>
        <v>0.00234741784037559</v>
      </c>
      <c r="G828" s="107">
        <v>1</v>
      </c>
      <c r="H828" s="106">
        <v>0.2</v>
      </c>
      <c r="I828" s="106"/>
      <c r="J828" s="106"/>
      <c r="K828" s="106"/>
      <c r="L828" s="213">
        <v>1684</v>
      </c>
      <c r="M828" s="213">
        <v>1698.33333333333</v>
      </c>
      <c r="N828" s="213">
        <v>1788.4</v>
      </c>
      <c r="O828" s="213">
        <v>1805.57142857143</v>
      </c>
      <c r="P828" s="115">
        <v>1</v>
      </c>
      <c r="Q828" s="115">
        <v>2.66666666666667</v>
      </c>
      <c r="R828" s="117">
        <v>3</v>
      </c>
      <c r="S828" s="117">
        <v>3.14285714285714</v>
      </c>
      <c r="T828" s="115">
        <v>1</v>
      </c>
      <c r="U828" s="115">
        <v>0.666666666666667</v>
      </c>
      <c r="V828" s="115">
        <v>0.6</v>
      </c>
      <c r="W828" s="115">
        <v>0.714285714285714</v>
      </c>
    </row>
    <row r="829" spans="1:23">
      <c r="A829" s="103">
        <v>45047</v>
      </c>
      <c r="B829" s="104" t="s">
        <v>25</v>
      </c>
      <c r="C829" s="145">
        <v>6096</v>
      </c>
      <c r="D829" s="145"/>
      <c r="E829" s="104">
        <v>36</v>
      </c>
      <c r="F829" s="106">
        <f t="shared" si="0"/>
        <v>0.00590551181102362</v>
      </c>
      <c r="G829" s="107">
        <v>21</v>
      </c>
      <c r="H829" s="106">
        <v>0.583333333333333</v>
      </c>
      <c r="I829" s="106"/>
      <c r="J829" s="106"/>
      <c r="K829" s="106"/>
      <c r="L829" s="213">
        <v>1542</v>
      </c>
      <c r="M829" s="213">
        <v>-2140</v>
      </c>
      <c r="N829" s="213">
        <v>-2711.2</v>
      </c>
      <c r="O829" s="213">
        <v>-2521.71428571429</v>
      </c>
      <c r="P829" s="116">
        <v>-14</v>
      </c>
      <c r="Q829" s="115">
        <v>-22.3333333333333</v>
      </c>
      <c r="R829" s="115">
        <v>-22.6</v>
      </c>
      <c r="S829" s="115">
        <v>-15.2857142857143</v>
      </c>
      <c r="T829" s="108">
        <v>4</v>
      </c>
      <c r="U829" s="108">
        <v>-1.33333333333333</v>
      </c>
      <c r="V829" s="108">
        <v>-1.4</v>
      </c>
      <c r="W829" s="108">
        <v>1.71428571428572</v>
      </c>
    </row>
    <row r="830" spans="1:23">
      <c r="A830" s="103">
        <v>45047</v>
      </c>
      <c r="B830" s="104" t="s">
        <v>26</v>
      </c>
      <c r="C830" s="145">
        <v>1298</v>
      </c>
      <c r="D830" s="145"/>
      <c r="E830" s="104">
        <v>16</v>
      </c>
      <c r="F830" s="106">
        <f t="shared" si="0"/>
        <v>0.012326656394453</v>
      </c>
      <c r="G830" s="107">
        <v>5</v>
      </c>
      <c r="H830" s="106">
        <v>0.3125</v>
      </c>
      <c r="I830" s="106"/>
      <c r="J830" s="106"/>
      <c r="K830" s="106"/>
      <c r="L830" s="213">
        <v>-16</v>
      </c>
      <c r="M830" s="213">
        <v>76.6666666666665</v>
      </c>
      <c r="N830" s="213">
        <v>-26</v>
      </c>
      <c r="O830" s="213">
        <v>69.7142857142858</v>
      </c>
      <c r="P830" s="108">
        <v>-5</v>
      </c>
      <c r="Q830" s="108">
        <v>-4.33333333333333</v>
      </c>
      <c r="R830" s="108">
        <v>-2</v>
      </c>
      <c r="S830" s="108">
        <v>-1.28571428571428</v>
      </c>
      <c r="T830" s="108">
        <v>0</v>
      </c>
      <c r="U830" s="108">
        <v>-1</v>
      </c>
      <c r="V830" s="108">
        <v>-0.8</v>
      </c>
      <c r="W830" s="108">
        <v>-1.85714285714286</v>
      </c>
    </row>
    <row r="831" spans="1:23">
      <c r="A831" s="103">
        <v>45047</v>
      </c>
      <c r="B831" s="104" t="s">
        <v>27</v>
      </c>
      <c r="C831" s="145">
        <v>1333</v>
      </c>
      <c r="D831" s="145"/>
      <c r="E831" s="104">
        <v>27</v>
      </c>
      <c r="F831" s="106">
        <f t="shared" si="0"/>
        <v>0.0202550637659415</v>
      </c>
      <c r="G831" s="107">
        <v>12</v>
      </c>
      <c r="H831" s="106">
        <v>0.444444444444444</v>
      </c>
      <c r="I831" s="106"/>
      <c r="J831" s="106"/>
      <c r="K831" s="106"/>
      <c r="L831" s="213">
        <v>938</v>
      </c>
      <c r="M831" s="213">
        <v>1291.33333333333</v>
      </c>
      <c r="N831" s="213">
        <v>1515.6</v>
      </c>
      <c r="O831" s="213">
        <v>1732</v>
      </c>
      <c r="P831" s="108">
        <v>18</v>
      </c>
      <c r="Q831" s="108">
        <v>15.3333333333333</v>
      </c>
      <c r="R831" s="108">
        <v>15.8</v>
      </c>
      <c r="S831" s="108">
        <v>18</v>
      </c>
      <c r="T831" s="108">
        <v>9</v>
      </c>
      <c r="U831" s="108">
        <v>9.33333333333333</v>
      </c>
      <c r="V831" s="108">
        <v>9</v>
      </c>
      <c r="W831" s="108">
        <v>9.71428571428572</v>
      </c>
    </row>
    <row r="832" spans="1:23">
      <c r="A832" s="103">
        <v>45047</v>
      </c>
      <c r="B832" s="104" t="s">
        <v>28</v>
      </c>
      <c r="C832" s="145">
        <v>0</v>
      </c>
      <c r="D832" s="145"/>
      <c r="E832" s="104">
        <v>0</v>
      </c>
      <c r="F832" s="106">
        <v>0</v>
      </c>
      <c r="G832" s="107">
        <v>0</v>
      </c>
      <c r="H832" s="106">
        <v>0</v>
      </c>
      <c r="I832" s="106"/>
      <c r="J832" s="106"/>
      <c r="K832" s="106"/>
      <c r="L832" s="213">
        <v>0</v>
      </c>
      <c r="M832" s="213">
        <v>0</v>
      </c>
      <c r="N832" s="213">
        <v>0</v>
      </c>
      <c r="O832" s="213">
        <v>0</v>
      </c>
      <c r="P832" s="108">
        <v>0</v>
      </c>
      <c r="Q832" s="108">
        <v>0</v>
      </c>
      <c r="R832" s="108">
        <v>0</v>
      </c>
      <c r="S832" s="108">
        <v>-0.142857142857143</v>
      </c>
      <c r="T832" s="108">
        <v>0</v>
      </c>
      <c r="U832" s="108">
        <v>0</v>
      </c>
      <c r="V832" s="108">
        <v>0</v>
      </c>
      <c r="W832" s="108">
        <v>0</v>
      </c>
    </row>
    <row r="833" spans="1:23">
      <c r="A833" s="103">
        <v>45047</v>
      </c>
      <c r="B833" s="104" t="s">
        <v>29</v>
      </c>
      <c r="C833" s="145">
        <v>0</v>
      </c>
      <c r="D833" s="145"/>
      <c r="E833" s="104">
        <v>0</v>
      </c>
      <c r="F833" s="106">
        <v>0</v>
      </c>
      <c r="G833" s="107">
        <v>0</v>
      </c>
      <c r="H833" s="106">
        <v>0</v>
      </c>
      <c r="I833" s="106"/>
      <c r="J833" s="106"/>
      <c r="K833" s="106"/>
      <c r="L833" s="213">
        <v>0</v>
      </c>
      <c r="M833" s="213">
        <v>0</v>
      </c>
      <c r="N833" s="213">
        <v>-0.2</v>
      </c>
      <c r="O833" s="213">
        <v>-0.142857142857143</v>
      </c>
      <c r="P833" s="108">
        <v>0</v>
      </c>
      <c r="Q833" s="108">
        <v>0</v>
      </c>
      <c r="R833" s="108">
        <v>0</v>
      </c>
      <c r="S833" s="108">
        <v>-0.142857142857143</v>
      </c>
      <c r="T833" s="108">
        <v>0</v>
      </c>
      <c r="U833" s="108">
        <v>0</v>
      </c>
      <c r="V833" s="108">
        <v>0</v>
      </c>
      <c r="W833" s="108">
        <v>0</v>
      </c>
    </row>
    <row r="834" spans="1:23">
      <c r="A834" s="103">
        <v>45047</v>
      </c>
      <c r="B834" s="104" t="s">
        <v>30</v>
      </c>
      <c r="C834" s="145">
        <v>0</v>
      </c>
      <c r="D834" s="145"/>
      <c r="E834" s="104">
        <v>0</v>
      </c>
      <c r="F834" s="106">
        <v>0</v>
      </c>
      <c r="G834" s="107">
        <v>0</v>
      </c>
      <c r="H834" s="106">
        <v>0</v>
      </c>
      <c r="I834" s="106"/>
      <c r="J834" s="106"/>
      <c r="K834" s="106"/>
      <c r="L834" s="213">
        <v>0</v>
      </c>
      <c r="M834" s="213">
        <v>0</v>
      </c>
      <c r="N834" s="213">
        <v>0</v>
      </c>
      <c r="O834" s="213">
        <v>0</v>
      </c>
      <c r="P834" s="108">
        <v>0</v>
      </c>
      <c r="Q834" s="108">
        <v>0</v>
      </c>
      <c r="R834" s="108">
        <v>0</v>
      </c>
      <c r="S834" s="108">
        <v>0</v>
      </c>
      <c r="T834" s="108">
        <v>0</v>
      </c>
      <c r="U834" s="108">
        <v>0</v>
      </c>
      <c r="V834" s="108">
        <v>0</v>
      </c>
      <c r="W834" s="108">
        <v>0</v>
      </c>
    </row>
    <row r="835" spans="1:23">
      <c r="A835" s="103">
        <v>45047</v>
      </c>
      <c r="B835" s="104" t="s">
        <v>31</v>
      </c>
      <c r="C835" s="145">
        <v>0</v>
      </c>
      <c r="D835" s="145"/>
      <c r="E835" s="104">
        <v>0</v>
      </c>
      <c r="F835" s="106">
        <v>0</v>
      </c>
      <c r="G835" s="107">
        <v>0</v>
      </c>
      <c r="H835" s="106">
        <v>0</v>
      </c>
      <c r="I835" s="106"/>
      <c r="J835" s="106"/>
      <c r="K835" s="106"/>
      <c r="L835" s="213">
        <v>0</v>
      </c>
      <c r="M835" s="213">
        <v>0</v>
      </c>
      <c r="N835" s="213">
        <v>0</v>
      </c>
      <c r="O835" s="213">
        <v>0</v>
      </c>
      <c r="P835" s="108">
        <v>0</v>
      </c>
      <c r="Q835" s="108">
        <v>-0.333333333333333</v>
      </c>
      <c r="R835" s="108">
        <v>-0.2</v>
      </c>
      <c r="S835" s="108">
        <v>-0.142857142857143</v>
      </c>
      <c r="T835" s="108">
        <v>0</v>
      </c>
      <c r="U835" s="108">
        <v>0</v>
      </c>
      <c r="V835" s="108">
        <v>0</v>
      </c>
      <c r="W835" s="108">
        <v>0</v>
      </c>
    </row>
    <row r="836" spans="1:23">
      <c r="A836" s="103">
        <v>45047</v>
      </c>
      <c r="B836" s="104" t="s">
        <v>32</v>
      </c>
      <c r="C836" s="145">
        <v>0</v>
      </c>
      <c r="D836" s="145"/>
      <c r="E836" s="104">
        <v>0</v>
      </c>
      <c r="F836" s="106">
        <v>0</v>
      </c>
      <c r="G836" s="107">
        <v>0</v>
      </c>
      <c r="H836" s="106">
        <v>0</v>
      </c>
      <c r="I836" s="106"/>
      <c r="J836" s="106"/>
      <c r="K836" s="106"/>
      <c r="L836" s="213">
        <v>0</v>
      </c>
      <c r="M836" s="213">
        <v>0</v>
      </c>
      <c r="N836" s="213">
        <v>0</v>
      </c>
      <c r="O836" s="213">
        <v>0</v>
      </c>
      <c r="P836" s="108">
        <v>0</v>
      </c>
      <c r="Q836" s="108">
        <v>0</v>
      </c>
      <c r="R836" s="108">
        <v>0</v>
      </c>
      <c r="S836" s="108">
        <v>0</v>
      </c>
      <c r="T836" s="108">
        <v>0</v>
      </c>
      <c r="U836" s="108">
        <v>0</v>
      </c>
      <c r="V836" s="108">
        <v>0</v>
      </c>
      <c r="W836" s="108">
        <v>0</v>
      </c>
    </row>
    <row r="837" spans="1:23">
      <c r="A837" s="103">
        <v>45047</v>
      </c>
      <c r="B837" s="104" t="s">
        <v>33</v>
      </c>
      <c r="C837" s="145">
        <v>0</v>
      </c>
      <c r="D837" s="145"/>
      <c r="E837" s="104">
        <v>0</v>
      </c>
      <c r="F837" s="106">
        <v>0</v>
      </c>
      <c r="G837" s="107">
        <v>0</v>
      </c>
      <c r="H837" s="106">
        <v>0</v>
      </c>
      <c r="I837" s="106"/>
      <c r="J837" s="106"/>
      <c r="K837" s="106"/>
      <c r="L837" s="213">
        <v>0</v>
      </c>
      <c r="M837" s="213">
        <v>0</v>
      </c>
      <c r="N837" s="213">
        <v>0</v>
      </c>
      <c r="O837" s="213">
        <v>0</v>
      </c>
      <c r="P837" s="108">
        <v>-1</v>
      </c>
      <c r="Q837" s="108">
        <v>-0.666666666666667</v>
      </c>
      <c r="R837" s="108">
        <v>-0.4</v>
      </c>
      <c r="S837" s="108">
        <v>-0.285714285714286</v>
      </c>
      <c r="T837" s="108">
        <v>0</v>
      </c>
      <c r="U837" s="108">
        <v>0</v>
      </c>
      <c r="V837" s="108">
        <v>0</v>
      </c>
      <c r="W837" s="108">
        <v>0</v>
      </c>
    </row>
    <row r="838" spans="1:23">
      <c r="A838" s="103">
        <v>45047</v>
      </c>
      <c r="B838" s="104" t="s">
        <v>34</v>
      </c>
      <c r="C838" s="145">
        <v>0</v>
      </c>
      <c r="D838" s="145"/>
      <c r="E838" s="104">
        <v>0</v>
      </c>
      <c r="F838" s="106">
        <v>0</v>
      </c>
      <c r="G838" s="107">
        <v>0</v>
      </c>
      <c r="H838" s="106">
        <v>0</v>
      </c>
      <c r="I838" s="106"/>
      <c r="J838" s="106"/>
      <c r="K838" s="106"/>
      <c r="L838" s="213">
        <v>0</v>
      </c>
      <c r="M838" s="213">
        <v>0</v>
      </c>
      <c r="N838" s="213">
        <v>0</v>
      </c>
      <c r="O838" s="213">
        <v>0</v>
      </c>
      <c r="P838" s="108">
        <v>0</v>
      </c>
      <c r="Q838" s="108">
        <v>0</v>
      </c>
      <c r="R838" s="108">
        <v>0</v>
      </c>
      <c r="S838" s="108">
        <v>0</v>
      </c>
      <c r="T838" s="108">
        <v>0</v>
      </c>
      <c r="U838" s="108">
        <v>0</v>
      </c>
      <c r="V838" s="108">
        <v>0</v>
      </c>
      <c r="W838" s="108">
        <v>0</v>
      </c>
    </row>
    <row r="839" spans="1:23">
      <c r="A839" s="103">
        <v>45047</v>
      </c>
      <c r="B839" s="104" t="s">
        <v>35</v>
      </c>
      <c r="C839" s="145">
        <v>0</v>
      </c>
      <c r="D839" s="145"/>
      <c r="E839" s="104">
        <v>0</v>
      </c>
      <c r="F839" s="106">
        <v>0</v>
      </c>
      <c r="G839" s="107">
        <v>0</v>
      </c>
      <c r="H839" s="106">
        <v>0</v>
      </c>
      <c r="I839" s="106"/>
      <c r="J839" s="106"/>
      <c r="K839" s="106"/>
      <c r="L839" s="213">
        <v>0</v>
      </c>
      <c r="M839" s="213">
        <v>0</v>
      </c>
      <c r="N839" s="213">
        <v>0</v>
      </c>
      <c r="O839" s="213">
        <v>0</v>
      </c>
      <c r="P839" s="108">
        <v>0</v>
      </c>
      <c r="Q839" s="108">
        <v>0</v>
      </c>
      <c r="R839" s="108">
        <v>0</v>
      </c>
      <c r="S839" s="108">
        <v>0</v>
      </c>
      <c r="T839" s="108">
        <v>0</v>
      </c>
      <c r="U839" s="108">
        <v>0</v>
      </c>
      <c r="V839" s="108">
        <v>0</v>
      </c>
      <c r="W839" s="108">
        <v>0</v>
      </c>
    </row>
    <row r="840" spans="1:23">
      <c r="A840" s="103">
        <v>45047</v>
      </c>
      <c r="B840" s="104" t="s">
        <v>36</v>
      </c>
      <c r="C840" s="145">
        <v>0</v>
      </c>
      <c r="D840" s="145"/>
      <c r="E840" s="104">
        <v>0</v>
      </c>
      <c r="F840" s="106">
        <v>0</v>
      </c>
      <c r="G840" s="107">
        <v>0</v>
      </c>
      <c r="H840" s="106">
        <v>0</v>
      </c>
      <c r="I840" s="106"/>
      <c r="J840" s="106"/>
      <c r="K840" s="106"/>
      <c r="L840" s="213">
        <v>0</v>
      </c>
      <c r="M840" s="213">
        <v>0</v>
      </c>
      <c r="N840" s="213">
        <v>0</v>
      </c>
      <c r="O840" s="213">
        <v>0</v>
      </c>
      <c r="P840" s="108">
        <v>0</v>
      </c>
      <c r="Q840" s="108">
        <v>0</v>
      </c>
      <c r="R840" s="108">
        <v>0</v>
      </c>
      <c r="S840" s="108">
        <v>0</v>
      </c>
      <c r="T840" s="108">
        <v>0</v>
      </c>
      <c r="U840" s="108">
        <v>0</v>
      </c>
      <c r="V840" s="108">
        <v>0</v>
      </c>
      <c r="W840" s="108">
        <v>0</v>
      </c>
    </row>
    <row r="841" spans="1:23">
      <c r="A841" s="103">
        <v>45047</v>
      </c>
      <c r="B841" s="104" t="s">
        <v>37</v>
      </c>
      <c r="C841" s="145">
        <v>0</v>
      </c>
      <c r="D841" s="145"/>
      <c r="E841" s="104">
        <v>1</v>
      </c>
      <c r="F841" s="106">
        <v>1</v>
      </c>
      <c r="G841" s="107">
        <v>0</v>
      </c>
      <c r="H841" s="106">
        <v>0</v>
      </c>
      <c r="I841" s="106"/>
      <c r="J841" s="106"/>
      <c r="K841" s="106"/>
      <c r="L841" s="213">
        <v>0</v>
      </c>
      <c r="M841" s="213">
        <v>0</v>
      </c>
      <c r="N841" s="213">
        <v>0</v>
      </c>
      <c r="O841" s="213">
        <v>0</v>
      </c>
      <c r="P841" s="108">
        <v>1</v>
      </c>
      <c r="Q841" s="108">
        <v>1</v>
      </c>
      <c r="R841" s="108">
        <v>1</v>
      </c>
      <c r="S841" s="108">
        <v>1</v>
      </c>
      <c r="T841" s="108">
        <v>0</v>
      </c>
      <c r="U841" s="108">
        <v>0</v>
      </c>
      <c r="V841" s="108">
        <v>0</v>
      </c>
      <c r="W841" s="108">
        <v>0</v>
      </c>
    </row>
    <row r="842" spans="1:23">
      <c r="A842" s="103">
        <v>45047</v>
      </c>
      <c r="B842" s="104" t="s">
        <v>38</v>
      </c>
      <c r="C842" s="145">
        <v>0</v>
      </c>
      <c r="D842" s="145"/>
      <c r="E842" s="104">
        <v>0</v>
      </c>
      <c r="F842" s="106">
        <v>0</v>
      </c>
      <c r="G842" s="107">
        <v>0</v>
      </c>
      <c r="H842" s="106">
        <v>0</v>
      </c>
      <c r="I842" s="106"/>
      <c r="J842" s="106"/>
      <c r="K842" s="106"/>
      <c r="L842" s="213">
        <v>0</v>
      </c>
      <c r="M842" s="213">
        <v>0</v>
      </c>
      <c r="N842" s="213">
        <v>0</v>
      </c>
      <c r="O842" s="213">
        <v>0</v>
      </c>
      <c r="P842" s="108">
        <v>0</v>
      </c>
      <c r="Q842" s="108">
        <v>0</v>
      </c>
      <c r="R842" s="108">
        <v>0</v>
      </c>
      <c r="S842" s="108">
        <v>0</v>
      </c>
      <c r="T842" s="108">
        <v>0</v>
      </c>
      <c r="U842" s="108">
        <v>0</v>
      </c>
      <c r="V842" s="108">
        <v>0</v>
      </c>
      <c r="W842" s="108">
        <v>0</v>
      </c>
    </row>
    <row r="843" spans="1:23">
      <c r="A843" s="103">
        <v>45047</v>
      </c>
      <c r="B843" s="111" t="s">
        <v>39</v>
      </c>
      <c r="C843" s="112">
        <v>27450</v>
      </c>
      <c r="D843" s="112"/>
      <c r="E843" s="112">
        <v>229</v>
      </c>
      <c r="F843" s="113">
        <v>0.0083424408014572</v>
      </c>
      <c r="G843" s="112">
        <v>77</v>
      </c>
      <c r="H843" s="113">
        <v>0.336244541484716</v>
      </c>
      <c r="I843" s="113"/>
      <c r="J843" s="113"/>
      <c r="K843" s="113"/>
      <c r="L843" s="213"/>
      <c r="M843" s="213"/>
      <c r="N843" s="213"/>
      <c r="O843" s="213"/>
      <c r="P843" s="108"/>
      <c r="Q843" s="108"/>
      <c r="R843" s="108"/>
      <c r="S843" s="108"/>
      <c r="T843" s="108"/>
      <c r="U843" s="108"/>
      <c r="V843" s="108"/>
      <c r="W843" s="108"/>
    </row>
    <row r="844" spans="1:23">
      <c r="A844" s="103">
        <v>45048</v>
      </c>
      <c r="B844" s="104" t="s">
        <v>17</v>
      </c>
      <c r="C844" s="105">
        <v>539</v>
      </c>
      <c r="D844" s="105"/>
      <c r="E844" s="104">
        <v>31</v>
      </c>
      <c r="F844" s="106">
        <f>E844/C844</f>
        <v>0.0575139146567718</v>
      </c>
      <c r="G844" s="107">
        <v>11</v>
      </c>
      <c r="H844" s="106">
        <v>0.354838709677419</v>
      </c>
      <c r="I844" s="106"/>
      <c r="J844" s="106"/>
      <c r="K844" s="106"/>
      <c r="L844" s="213">
        <v>-100</v>
      </c>
      <c r="M844" s="213">
        <v>-126</v>
      </c>
      <c r="N844" s="213">
        <v>-111.4</v>
      </c>
      <c r="O844" s="213">
        <v>-95.1428571428571</v>
      </c>
      <c r="P844" s="108">
        <v>-7</v>
      </c>
      <c r="Q844" s="108">
        <v>-13.6666666666667</v>
      </c>
      <c r="R844" s="108">
        <v>-14.2</v>
      </c>
      <c r="S844" s="108">
        <v>-12.4285714285714</v>
      </c>
      <c r="T844" s="108">
        <v>4</v>
      </c>
      <c r="U844" s="108">
        <v>3</v>
      </c>
      <c r="V844" s="108">
        <v>4</v>
      </c>
      <c r="W844" s="108">
        <v>2.85714285714286</v>
      </c>
    </row>
    <row r="845" spans="1:23">
      <c r="A845" s="103">
        <v>45048</v>
      </c>
      <c r="B845" s="104" t="s">
        <v>19</v>
      </c>
      <c r="C845" s="107">
        <v>553</v>
      </c>
      <c r="D845" s="107"/>
      <c r="E845" s="104">
        <v>10</v>
      </c>
      <c r="F845" s="106">
        <f t="shared" ref="F845:F852" si="1">E845/C845</f>
        <v>0.0180831826401447</v>
      </c>
      <c r="G845" s="107">
        <v>5</v>
      </c>
      <c r="H845" s="106">
        <v>0.5</v>
      </c>
      <c r="I845" s="106"/>
      <c r="J845" s="106"/>
      <c r="K845" s="106"/>
      <c r="L845" s="213">
        <v>-140</v>
      </c>
      <c r="M845" s="213">
        <v>-24.6666666666667</v>
      </c>
      <c r="N845" s="213">
        <v>175.2</v>
      </c>
      <c r="O845" s="213">
        <v>-188.857142857143</v>
      </c>
      <c r="P845" s="108">
        <v>-17</v>
      </c>
      <c r="Q845" s="108">
        <v>-14</v>
      </c>
      <c r="R845" s="108">
        <v>-9.4</v>
      </c>
      <c r="S845" s="108">
        <v>-14.8571428571429</v>
      </c>
      <c r="T845" s="108">
        <v>-6</v>
      </c>
      <c r="U845" s="108">
        <v>-4</v>
      </c>
      <c r="V845" s="108">
        <v>-2.6</v>
      </c>
      <c r="W845" s="115">
        <v>-5.14285714285714</v>
      </c>
    </row>
    <row r="846" spans="1:23">
      <c r="A846" s="103">
        <v>45048</v>
      </c>
      <c r="B846" s="104" t="s">
        <v>21</v>
      </c>
      <c r="C846" s="145">
        <v>561</v>
      </c>
      <c r="D846" s="145"/>
      <c r="E846" s="104">
        <v>28</v>
      </c>
      <c r="F846" s="106">
        <f t="shared" si="1"/>
        <v>0.0499108734402852</v>
      </c>
      <c r="G846" s="107">
        <v>7</v>
      </c>
      <c r="H846" s="106">
        <v>0.25</v>
      </c>
      <c r="I846" s="106"/>
      <c r="J846" s="106"/>
      <c r="K846" s="106"/>
      <c r="L846" s="213">
        <v>57</v>
      </c>
      <c r="M846" s="213">
        <v>13.3333333333334</v>
      </c>
      <c r="N846" s="213">
        <v>-5.39999999999998</v>
      </c>
      <c r="O846" s="213">
        <v>-10.7142857142857</v>
      </c>
      <c r="P846" s="108">
        <v>-1</v>
      </c>
      <c r="Q846" s="108">
        <v>-1.66666666666667</v>
      </c>
      <c r="R846" s="108">
        <v>-2.6</v>
      </c>
      <c r="S846" s="108">
        <v>-1.14285714285714</v>
      </c>
      <c r="T846" s="108">
        <v>2</v>
      </c>
      <c r="U846" s="108">
        <v>-2.33333333333333</v>
      </c>
      <c r="V846" s="108">
        <v>-1.6</v>
      </c>
      <c r="W846" s="108">
        <v>-1.85714285714286</v>
      </c>
    </row>
    <row r="847" spans="1:23">
      <c r="A847" s="103">
        <v>45048</v>
      </c>
      <c r="B847" s="104" t="s">
        <v>22</v>
      </c>
      <c r="C847" s="145">
        <v>1616</v>
      </c>
      <c r="D847" s="145"/>
      <c r="E847" s="104">
        <v>40</v>
      </c>
      <c r="F847" s="106">
        <f t="shared" si="1"/>
        <v>0.0247524752475248</v>
      </c>
      <c r="G847" s="107">
        <v>11</v>
      </c>
      <c r="H847" s="106">
        <v>0.275</v>
      </c>
      <c r="I847" s="106"/>
      <c r="J847" s="106"/>
      <c r="K847" s="106"/>
      <c r="L847" s="213">
        <v>-1222</v>
      </c>
      <c r="M847" s="213">
        <v>-1225</v>
      </c>
      <c r="N847" s="213">
        <v>-1470</v>
      </c>
      <c r="O847" s="213">
        <v>-1617.71428571429</v>
      </c>
      <c r="P847" s="108">
        <v>11</v>
      </c>
      <c r="Q847" s="108">
        <v>-1</v>
      </c>
      <c r="R847" s="108">
        <v>-10</v>
      </c>
      <c r="S847" s="115">
        <v>-14.7142857142857</v>
      </c>
      <c r="T847" s="108">
        <v>4</v>
      </c>
      <c r="U847" s="108">
        <v>-1.33333333333333</v>
      </c>
      <c r="V847" s="108">
        <v>-6.2</v>
      </c>
      <c r="W847" s="117">
        <v>-9</v>
      </c>
    </row>
    <row r="848" spans="1:23">
      <c r="A848" s="103">
        <v>45048</v>
      </c>
      <c r="B848" s="104" t="s">
        <v>23</v>
      </c>
      <c r="C848" s="145">
        <v>2472</v>
      </c>
      <c r="D848" s="145"/>
      <c r="E848" s="104">
        <v>19</v>
      </c>
      <c r="F848" s="106">
        <f t="shared" si="1"/>
        <v>0.00768608414239482</v>
      </c>
      <c r="G848" s="107">
        <v>7</v>
      </c>
      <c r="H848" s="106">
        <v>0.368421052631579</v>
      </c>
      <c r="I848" s="106"/>
      <c r="J848" s="106"/>
      <c r="K848" s="106"/>
      <c r="L848" s="213">
        <v>-167</v>
      </c>
      <c r="M848" s="213">
        <v>-197.333333333333</v>
      </c>
      <c r="N848" s="213">
        <v>-188.4</v>
      </c>
      <c r="O848" s="213">
        <v>-190.142857142857</v>
      </c>
      <c r="P848" s="108">
        <v>-2</v>
      </c>
      <c r="Q848" s="108">
        <v>0</v>
      </c>
      <c r="R848" s="108">
        <v>-2</v>
      </c>
      <c r="S848" s="108">
        <v>-4.28571428571428</v>
      </c>
      <c r="T848" s="108">
        <v>-1</v>
      </c>
      <c r="U848" s="116">
        <v>1</v>
      </c>
      <c r="V848" s="108">
        <v>0.8</v>
      </c>
      <c r="W848" s="108">
        <v>0.714285714285714</v>
      </c>
    </row>
    <row r="849" spans="1:23">
      <c r="A849" s="103">
        <v>45048</v>
      </c>
      <c r="B849" s="104" t="s">
        <v>24</v>
      </c>
      <c r="C849" s="145">
        <v>2813</v>
      </c>
      <c r="D849" s="145"/>
      <c r="E849" s="104">
        <v>20</v>
      </c>
      <c r="F849" s="106">
        <f t="shared" si="1"/>
        <v>0.00710984713828653</v>
      </c>
      <c r="G849" s="107">
        <v>5</v>
      </c>
      <c r="H849" s="106">
        <v>0.25</v>
      </c>
      <c r="I849" s="106"/>
      <c r="J849" s="106"/>
      <c r="K849" s="106"/>
      <c r="L849" s="213">
        <v>683</v>
      </c>
      <c r="M849" s="213">
        <v>1771</v>
      </c>
      <c r="N849" s="213">
        <v>2084</v>
      </c>
      <c r="O849" s="213">
        <v>2226.42857142857</v>
      </c>
      <c r="P849" s="115">
        <v>15</v>
      </c>
      <c r="Q849" s="115">
        <v>16.3333333333333</v>
      </c>
      <c r="R849" s="117">
        <v>17</v>
      </c>
      <c r="S849" s="117">
        <v>17.7142857142857</v>
      </c>
      <c r="T849" s="115">
        <v>4</v>
      </c>
      <c r="U849" s="115">
        <v>4.66666666666667</v>
      </c>
      <c r="V849" s="115">
        <v>4.6</v>
      </c>
      <c r="W849" s="115">
        <v>4.57142857142857</v>
      </c>
    </row>
    <row r="850" spans="1:23">
      <c r="A850" s="103">
        <v>45048</v>
      </c>
      <c r="B850" s="104" t="s">
        <v>25</v>
      </c>
      <c r="C850" s="145">
        <v>4699</v>
      </c>
      <c r="D850" s="145"/>
      <c r="E850" s="104">
        <v>52</v>
      </c>
      <c r="F850" s="106">
        <f t="shared" si="1"/>
        <v>0.0110661842945308</v>
      </c>
      <c r="G850" s="107">
        <v>23</v>
      </c>
      <c r="H850" s="106">
        <v>0.442307692307692</v>
      </c>
      <c r="I850" s="106"/>
      <c r="J850" s="106"/>
      <c r="K850" s="106"/>
      <c r="L850" s="213">
        <v>-2794</v>
      </c>
      <c r="M850" s="213">
        <v>-3486</v>
      </c>
      <c r="N850" s="213">
        <v>-4629.2</v>
      </c>
      <c r="O850" s="213">
        <v>-5187.71428571429</v>
      </c>
      <c r="P850" s="116">
        <v>16</v>
      </c>
      <c r="Q850" s="115">
        <v>8</v>
      </c>
      <c r="R850" s="115">
        <v>-3.2</v>
      </c>
      <c r="S850" s="115">
        <v>0.714285714285715</v>
      </c>
      <c r="T850" s="108">
        <v>2</v>
      </c>
      <c r="U850" s="108">
        <v>4.66666666666667</v>
      </c>
      <c r="V850" s="108">
        <v>1.6</v>
      </c>
      <c r="W850" s="108">
        <v>2.14285714285714</v>
      </c>
    </row>
    <row r="851" spans="1:23">
      <c r="A851" s="103">
        <v>45048</v>
      </c>
      <c r="B851" s="104" t="s">
        <v>26</v>
      </c>
      <c r="C851" s="145">
        <v>1360</v>
      </c>
      <c r="D851" s="145"/>
      <c r="E851" s="104">
        <v>21</v>
      </c>
      <c r="F851" s="106">
        <f t="shared" si="1"/>
        <v>0.0154411764705882</v>
      </c>
      <c r="G851" s="107">
        <v>7</v>
      </c>
      <c r="H851" s="106">
        <v>0.333333333333333</v>
      </c>
      <c r="I851" s="106"/>
      <c r="J851" s="106"/>
      <c r="K851" s="106"/>
      <c r="L851" s="213">
        <v>124</v>
      </c>
      <c r="M851" s="213">
        <v>127.333333333333</v>
      </c>
      <c r="N851" s="213">
        <v>171.6</v>
      </c>
      <c r="O851" s="213">
        <v>133.142857142857</v>
      </c>
      <c r="P851" s="108">
        <v>5</v>
      </c>
      <c r="Q851" s="108">
        <v>1.33333333333333</v>
      </c>
      <c r="R851" s="108">
        <v>2.4</v>
      </c>
      <c r="S851" s="108">
        <v>3</v>
      </c>
      <c r="T851" s="108">
        <v>2</v>
      </c>
      <c r="U851" s="108">
        <v>1.33333333333333</v>
      </c>
      <c r="V851" s="108">
        <v>0.8</v>
      </c>
      <c r="W851" s="108">
        <v>0.857142857142857</v>
      </c>
    </row>
    <row r="852" spans="1:23">
      <c r="A852" s="103">
        <v>45048</v>
      </c>
      <c r="B852" s="104" t="s">
        <v>27</v>
      </c>
      <c r="C852" s="145">
        <v>1444</v>
      </c>
      <c r="D852" s="145"/>
      <c r="E852" s="104">
        <v>26</v>
      </c>
      <c r="F852" s="106">
        <f t="shared" si="1"/>
        <v>0.018005540166205</v>
      </c>
      <c r="G852" s="107">
        <v>5</v>
      </c>
      <c r="H852" s="106">
        <v>0.192307692307692</v>
      </c>
      <c r="I852" s="106"/>
      <c r="J852" s="106"/>
      <c r="K852" s="106"/>
      <c r="L852" s="213">
        <v>222</v>
      </c>
      <c r="M852" s="213">
        <v>1010.66666666667</v>
      </c>
      <c r="N852" s="213">
        <v>1324.4</v>
      </c>
      <c r="O852" s="213">
        <v>1625.14285714286</v>
      </c>
      <c r="P852" s="108">
        <v>-1</v>
      </c>
      <c r="Q852" s="108">
        <v>8.33333333333333</v>
      </c>
      <c r="R852" s="108">
        <v>11.4</v>
      </c>
      <c r="S852" s="108">
        <v>13.4285714285714</v>
      </c>
      <c r="T852" s="108">
        <v>-7</v>
      </c>
      <c r="U852" s="108">
        <v>-1.66666666666667</v>
      </c>
      <c r="V852" s="108">
        <v>0</v>
      </c>
      <c r="W852" s="108">
        <v>1</v>
      </c>
    </row>
    <row r="853" spans="1:23">
      <c r="A853" s="103">
        <v>45048</v>
      </c>
      <c r="B853" s="104" t="s">
        <v>28</v>
      </c>
      <c r="C853" s="145">
        <v>0</v>
      </c>
      <c r="D853" s="145"/>
      <c r="E853" s="104">
        <v>0</v>
      </c>
      <c r="F853" s="106">
        <v>0</v>
      </c>
      <c r="G853" s="107">
        <v>0</v>
      </c>
      <c r="H853" s="106">
        <v>0</v>
      </c>
      <c r="I853" s="106"/>
      <c r="J853" s="106"/>
      <c r="K853" s="106"/>
      <c r="L853" s="213">
        <v>0</v>
      </c>
      <c r="M853" s="213">
        <v>0</v>
      </c>
      <c r="N853" s="213">
        <v>0</v>
      </c>
      <c r="O853" s="213">
        <v>0</v>
      </c>
      <c r="P853" s="108">
        <v>0</v>
      </c>
      <c r="Q853" s="108">
        <v>0</v>
      </c>
      <c r="R853" s="108">
        <v>0</v>
      </c>
      <c r="S853" s="108">
        <v>-0.142857142857143</v>
      </c>
      <c r="T853" s="108">
        <v>0</v>
      </c>
      <c r="U853" s="108">
        <v>0</v>
      </c>
      <c r="V853" s="108">
        <v>0</v>
      </c>
      <c r="W853" s="108">
        <v>0</v>
      </c>
    </row>
    <row r="854" spans="1:23">
      <c r="A854" s="103">
        <v>45048</v>
      </c>
      <c r="B854" s="104" t="s">
        <v>29</v>
      </c>
      <c r="C854" s="145">
        <v>1</v>
      </c>
      <c r="D854" s="145"/>
      <c r="E854" s="104">
        <v>0</v>
      </c>
      <c r="F854" s="106">
        <v>0</v>
      </c>
      <c r="G854" s="107">
        <v>0</v>
      </c>
      <c r="H854" s="106">
        <v>0</v>
      </c>
      <c r="I854" s="106"/>
      <c r="J854" s="106"/>
      <c r="K854" s="106"/>
      <c r="L854" s="213">
        <v>1</v>
      </c>
      <c r="M854" s="213">
        <v>1</v>
      </c>
      <c r="N854" s="213">
        <v>0.8</v>
      </c>
      <c r="O854" s="213">
        <v>0.857142857142857</v>
      </c>
      <c r="P854" s="108">
        <v>0</v>
      </c>
      <c r="Q854" s="108">
        <v>0</v>
      </c>
      <c r="R854" s="108">
        <v>0</v>
      </c>
      <c r="S854" s="108">
        <v>0</v>
      </c>
      <c r="T854" s="108">
        <v>0</v>
      </c>
      <c r="U854" s="108">
        <v>0</v>
      </c>
      <c r="V854" s="108">
        <v>0</v>
      </c>
      <c r="W854" s="108">
        <v>0</v>
      </c>
    </row>
    <row r="855" spans="1:23">
      <c r="A855" s="103">
        <v>45048</v>
      </c>
      <c r="B855" s="104" t="s">
        <v>30</v>
      </c>
      <c r="C855" s="145">
        <v>0</v>
      </c>
      <c r="D855" s="145"/>
      <c r="E855" s="104">
        <v>0</v>
      </c>
      <c r="F855" s="106">
        <v>0</v>
      </c>
      <c r="G855" s="107">
        <v>0</v>
      </c>
      <c r="H855" s="106">
        <v>0</v>
      </c>
      <c r="I855" s="106"/>
      <c r="J855" s="106"/>
      <c r="K855" s="106"/>
      <c r="L855" s="213">
        <v>0</v>
      </c>
      <c r="M855" s="213">
        <v>0</v>
      </c>
      <c r="N855" s="213">
        <v>0</v>
      </c>
      <c r="O855" s="213">
        <v>0</v>
      </c>
      <c r="P855" s="108">
        <v>0</v>
      </c>
      <c r="Q855" s="108">
        <v>0</v>
      </c>
      <c r="R855" s="108">
        <v>0</v>
      </c>
      <c r="S855" s="108">
        <v>0</v>
      </c>
      <c r="T855" s="108">
        <v>0</v>
      </c>
      <c r="U855" s="108">
        <v>0</v>
      </c>
      <c r="V855" s="108">
        <v>0</v>
      </c>
      <c r="W855" s="108">
        <v>0</v>
      </c>
    </row>
    <row r="856" spans="1:23">
      <c r="A856" s="103">
        <v>45048</v>
      </c>
      <c r="B856" s="104" t="s">
        <v>31</v>
      </c>
      <c r="C856" s="145">
        <v>0</v>
      </c>
      <c r="D856" s="145"/>
      <c r="E856" s="104">
        <v>0</v>
      </c>
      <c r="F856" s="106">
        <v>0</v>
      </c>
      <c r="G856" s="107">
        <v>0</v>
      </c>
      <c r="H856" s="106">
        <v>0</v>
      </c>
      <c r="I856" s="106"/>
      <c r="J856" s="106"/>
      <c r="K856" s="106"/>
      <c r="L856" s="213">
        <v>0</v>
      </c>
      <c r="M856" s="213">
        <v>0</v>
      </c>
      <c r="N856" s="213">
        <v>0</v>
      </c>
      <c r="O856" s="213">
        <v>0</v>
      </c>
      <c r="P856" s="108">
        <v>0</v>
      </c>
      <c r="Q856" s="108">
        <v>0</v>
      </c>
      <c r="R856" s="108">
        <v>-0.2</v>
      </c>
      <c r="S856" s="108">
        <v>-0.142857142857143</v>
      </c>
      <c r="T856" s="108">
        <v>0</v>
      </c>
      <c r="U856" s="108">
        <v>0</v>
      </c>
      <c r="V856" s="108">
        <v>0</v>
      </c>
      <c r="W856" s="108">
        <v>0</v>
      </c>
    </row>
    <row r="857" spans="1:23">
      <c r="A857" s="103">
        <v>45048</v>
      </c>
      <c r="B857" s="104" t="s">
        <v>32</v>
      </c>
      <c r="C857" s="145">
        <v>0</v>
      </c>
      <c r="D857" s="145"/>
      <c r="E857" s="104">
        <v>0</v>
      </c>
      <c r="F857" s="106">
        <v>0</v>
      </c>
      <c r="G857" s="107">
        <v>0</v>
      </c>
      <c r="H857" s="106">
        <v>0</v>
      </c>
      <c r="I857" s="106"/>
      <c r="J857" s="106"/>
      <c r="K857" s="106"/>
      <c r="L857" s="213">
        <v>0</v>
      </c>
      <c r="M857" s="213">
        <v>0</v>
      </c>
      <c r="N857" s="213">
        <v>0</v>
      </c>
      <c r="O857" s="213">
        <v>0</v>
      </c>
      <c r="P857" s="108">
        <v>0</v>
      </c>
      <c r="Q857" s="108">
        <v>0</v>
      </c>
      <c r="R857" s="108">
        <v>0</v>
      </c>
      <c r="S857" s="108">
        <v>0</v>
      </c>
      <c r="T857" s="108">
        <v>0</v>
      </c>
      <c r="U857" s="108">
        <v>0</v>
      </c>
      <c r="V857" s="108">
        <v>0</v>
      </c>
      <c r="W857" s="108">
        <v>0</v>
      </c>
    </row>
    <row r="858" spans="1:23">
      <c r="A858" s="103">
        <v>45048</v>
      </c>
      <c r="B858" s="104" t="s">
        <v>33</v>
      </c>
      <c r="C858" s="145">
        <v>0</v>
      </c>
      <c r="D858" s="145"/>
      <c r="E858" s="104">
        <v>0</v>
      </c>
      <c r="F858" s="106">
        <v>0</v>
      </c>
      <c r="G858" s="107">
        <v>0</v>
      </c>
      <c r="H858" s="106">
        <v>0</v>
      </c>
      <c r="I858" s="106"/>
      <c r="J858" s="106"/>
      <c r="K858" s="106"/>
      <c r="L858" s="213">
        <v>0</v>
      </c>
      <c r="M858" s="213">
        <v>0</v>
      </c>
      <c r="N858" s="213">
        <v>0</v>
      </c>
      <c r="O858" s="213">
        <v>0</v>
      </c>
      <c r="P858" s="108">
        <v>0</v>
      </c>
      <c r="Q858" s="108">
        <v>-0.333333333333333</v>
      </c>
      <c r="R858" s="108">
        <v>-0.4</v>
      </c>
      <c r="S858" s="108">
        <v>-0.285714285714286</v>
      </c>
      <c r="T858" s="108">
        <v>0</v>
      </c>
      <c r="U858" s="108">
        <v>0</v>
      </c>
      <c r="V858" s="108">
        <v>0</v>
      </c>
      <c r="W858" s="108">
        <v>0</v>
      </c>
    </row>
    <row r="859" spans="1:23">
      <c r="A859" s="103">
        <v>45048</v>
      </c>
      <c r="B859" s="104" t="s">
        <v>34</v>
      </c>
      <c r="C859" s="145">
        <v>0</v>
      </c>
      <c r="D859" s="145"/>
      <c r="E859" s="104">
        <v>0</v>
      </c>
      <c r="F859" s="106">
        <v>0</v>
      </c>
      <c r="G859" s="107">
        <v>0</v>
      </c>
      <c r="H859" s="106">
        <v>0</v>
      </c>
      <c r="I859" s="106"/>
      <c r="J859" s="106"/>
      <c r="K859" s="106"/>
      <c r="L859" s="213">
        <v>0</v>
      </c>
      <c r="M859" s="213">
        <v>0</v>
      </c>
      <c r="N859" s="213">
        <v>0</v>
      </c>
      <c r="O859" s="213">
        <v>0</v>
      </c>
      <c r="P859" s="108">
        <v>0</v>
      </c>
      <c r="Q859" s="108">
        <v>0</v>
      </c>
      <c r="R859" s="108">
        <v>0</v>
      </c>
      <c r="S859" s="108">
        <v>0</v>
      </c>
      <c r="T859" s="108">
        <v>0</v>
      </c>
      <c r="U859" s="108">
        <v>0</v>
      </c>
      <c r="V859" s="108">
        <v>0</v>
      </c>
      <c r="W859" s="108">
        <v>0</v>
      </c>
    </row>
    <row r="860" spans="1:23">
      <c r="A860" s="103">
        <v>45048</v>
      </c>
      <c r="B860" s="104" t="s">
        <v>35</v>
      </c>
      <c r="C860" s="145">
        <v>0</v>
      </c>
      <c r="D860" s="145"/>
      <c r="E860" s="104">
        <v>0</v>
      </c>
      <c r="F860" s="106">
        <v>0</v>
      </c>
      <c r="G860" s="107">
        <v>0</v>
      </c>
      <c r="H860" s="106">
        <v>0</v>
      </c>
      <c r="I860" s="106"/>
      <c r="J860" s="106"/>
      <c r="K860" s="106"/>
      <c r="L860" s="213">
        <v>0</v>
      </c>
      <c r="M860" s="213">
        <v>0</v>
      </c>
      <c r="N860" s="213">
        <v>0</v>
      </c>
      <c r="O860" s="213">
        <v>0</v>
      </c>
      <c r="P860" s="108">
        <v>0</v>
      </c>
      <c r="Q860" s="108">
        <v>0</v>
      </c>
      <c r="R860" s="108">
        <v>0</v>
      </c>
      <c r="S860" s="108">
        <v>0</v>
      </c>
      <c r="T860" s="108">
        <v>0</v>
      </c>
      <c r="U860" s="108">
        <v>0</v>
      </c>
      <c r="V860" s="108">
        <v>0</v>
      </c>
      <c r="W860" s="108">
        <v>0</v>
      </c>
    </row>
    <row r="861" spans="1:23">
      <c r="A861" s="103">
        <v>45048</v>
      </c>
      <c r="B861" s="104" t="s">
        <v>36</v>
      </c>
      <c r="C861" s="145">
        <v>0</v>
      </c>
      <c r="D861" s="145"/>
      <c r="E861" s="104">
        <v>0</v>
      </c>
      <c r="F861" s="106">
        <v>0</v>
      </c>
      <c r="G861" s="107">
        <v>0</v>
      </c>
      <c r="H861" s="106">
        <v>0</v>
      </c>
      <c r="I861" s="106"/>
      <c r="J861" s="106"/>
      <c r="K861" s="106"/>
      <c r="L861" s="213">
        <v>0</v>
      </c>
      <c r="M861" s="213">
        <v>0</v>
      </c>
      <c r="N861" s="213">
        <v>0</v>
      </c>
      <c r="O861" s="213">
        <v>0</v>
      </c>
      <c r="P861" s="108">
        <v>0</v>
      </c>
      <c r="Q861" s="108">
        <v>0</v>
      </c>
      <c r="R861" s="108">
        <v>0</v>
      </c>
      <c r="S861" s="108">
        <v>0</v>
      </c>
      <c r="T861" s="108">
        <v>0</v>
      </c>
      <c r="U861" s="108">
        <v>0</v>
      </c>
      <c r="V861" s="108">
        <v>0</v>
      </c>
      <c r="W861" s="108">
        <v>0</v>
      </c>
    </row>
    <row r="862" spans="1:23">
      <c r="A862" s="103">
        <v>45048</v>
      </c>
      <c r="B862" s="104" t="s">
        <v>37</v>
      </c>
      <c r="C862" s="145">
        <v>0</v>
      </c>
      <c r="D862" s="145"/>
      <c r="E862" s="104">
        <v>0</v>
      </c>
      <c r="F862" s="106">
        <v>0</v>
      </c>
      <c r="G862" s="107">
        <v>0</v>
      </c>
      <c r="H862" s="106">
        <v>0</v>
      </c>
      <c r="I862" s="106"/>
      <c r="J862" s="106"/>
      <c r="K862" s="106"/>
      <c r="L862" s="213">
        <v>0</v>
      </c>
      <c r="M862" s="213">
        <v>0</v>
      </c>
      <c r="N862" s="213">
        <v>0</v>
      </c>
      <c r="O862" s="213">
        <v>0</v>
      </c>
      <c r="P862" s="108">
        <v>-1</v>
      </c>
      <c r="Q862" s="108">
        <v>-0.333333333333333</v>
      </c>
      <c r="R862" s="108">
        <v>-0.2</v>
      </c>
      <c r="S862" s="108">
        <v>-0.142857142857143</v>
      </c>
      <c r="T862" s="108">
        <v>0</v>
      </c>
      <c r="U862" s="108">
        <v>0</v>
      </c>
      <c r="V862" s="108">
        <v>0</v>
      </c>
      <c r="W862" s="108">
        <v>0</v>
      </c>
    </row>
    <row r="863" spans="1:23">
      <c r="A863" s="103">
        <v>45048</v>
      </c>
      <c r="B863" s="104" t="s">
        <v>38</v>
      </c>
      <c r="C863" s="145">
        <v>0</v>
      </c>
      <c r="D863" s="145"/>
      <c r="E863" s="104">
        <v>0</v>
      </c>
      <c r="F863" s="106">
        <v>0</v>
      </c>
      <c r="G863" s="107">
        <v>0</v>
      </c>
      <c r="H863" s="106">
        <v>0</v>
      </c>
      <c r="I863" s="106"/>
      <c r="J863" s="106"/>
      <c r="K863" s="106"/>
      <c r="L863" s="213">
        <v>0</v>
      </c>
      <c r="M863" s="213">
        <v>0</v>
      </c>
      <c r="N863" s="213">
        <v>0</v>
      </c>
      <c r="O863" s="213">
        <v>0</v>
      </c>
      <c r="P863" s="108">
        <v>0</v>
      </c>
      <c r="Q863" s="108">
        <v>0</v>
      </c>
      <c r="R863" s="108">
        <v>0</v>
      </c>
      <c r="S863" s="108">
        <v>0</v>
      </c>
      <c r="T863" s="108">
        <v>0</v>
      </c>
      <c r="U863" s="108">
        <v>0</v>
      </c>
      <c r="V863" s="108">
        <v>0</v>
      </c>
      <c r="W863" s="108">
        <v>0</v>
      </c>
    </row>
    <row r="864" spans="1:23">
      <c r="A864" s="103">
        <v>45048</v>
      </c>
      <c r="B864" s="111" t="s">
        <v>39</v>
      </c>
      <c r="C864" s="112">
        <v>24114</v>
      </c>
      <c r="D864" s="112"/>
      <c r="E864" s="112">
        <v>247</v>
      </c>
      <c r="F864" s="113">
        <v>0.0102430123579663</v>
      </c>
      <c r="G864" s="112">
        <v>81</v>
      </c>
      <c r="H864" s="113">
        <v>0.327935222672065</v>
      </c>
      <c r="I864" s="113"/>
      <c r="J864" s="113"/>
      <c r="K864" s="113"/>
      <c r="L864" s="213"/>
      <c r="M864" s="213"/>
      <c r="N864" s="213"/>
      <c r="O864" s="213"/>
      <c r="P864" s="108"/>
      <c r="Q864" s="108"/>
      <c r="R864" s="108"/>
      <c r="S864" s="108"/>
      <c r="T864" s="108"/>
      <c r="U864" s="108"/>
      <c r="V864" s="108"/>
      <c r="W864" s="108"/>
    </row>
    <row r="865" spans="1:23">
      <c r="A865" s="103">
        <v>45049</v>
      </c>
      <c r="B865" s="104" t="s">
        <v>17</v>
      </c>
      <c r="C865" s="105">
        <v>668</v>
      </c>
      <c r="D865" s="105"/>
      <c r="E865" s="104">
        <v>44</v>
      </c>
      <c r="F865" s="106">
        <f>E865/C865</f>
        <v>0.0658682634730539</v>
      </c>
      <c r="G865" s="107">
        <v>4</v>
      </c>
      <c r="H865" s="106">
        <v>0.0909090909090909</v>
      </c>
      <c r="I865" s="106"/>
      <c r="J865" s="106"/>
      <c r="K865" s="106"/>
      <c r="L865" s="213">
        <v>129</v>
      </c>
      <c r="M865" s="213">
        <v>52.6666666666666</v>
      </c>
      <c r="N865" s="213">
        <v>47.2</v>
      </c>
      <c r="O865" s="213">
        <v>38.4285714285714</v>
      </c>
      <c r="P865" s="108">
        <v>13</v>
      </c>
      <c r="Q865" s="108">
        <v>6.33333333333334</v>
      </c>
      <c r="R865" s="108">
        <v>3.2</v>
      </c>
      <c r="S865" s="108">
        <v>2.14285714285715</v>
      </c>
      <c r="T865" s="108">
        <v>-7</v>
      </c>
      <c r="U865" s="108">
        <v>-5.66666666666667</v>
      </c>
      <c r="V865" s="108">
        <v>-3.8</v>
      </c>
      <c r="W865" s="108">
        <v>-4.14285714285714</v>
      </c>
    </row>
    <row r="866" spans="1:23">
      <c r="A866" s="103">
        <v>45049</v>
      </c>
      <c r="B866" s="104" t="s">
        <v>19</v>
      </c>
      <c r="C866" s="107">
        <v>552</v>
      </c>
      <c r="D866" s="107"/>
      <c r="E866" s="104">
        <v>21</v>
      </c>
      <c r="F866" s="106">
        <f t="shared" ref="F866:F873" si="2">E866/C866</f>
        <v>0.0380434782608696</v>
      </c>
      <c r="G866" s="107">
        <v>9</v>
      </c>
      <c r="H866" s="106">
        <v>0.428571428571429</v>
      </c>
      <c r="I866" s="106"/>
      <c r="J866" s="106"/>
      <c r="K866" s="106"/>
      <c r="L866" s="213">
        <v>-2</v>
      </c>
      <c r="M866" s="213">
        <v>-73.3333333333333</v>
      </c>
      <c r="N866" s="213">
        <v>94</v>
      </c>
      <c r="O866" s="213">
        <v>132.285714285714</v>
      </c>
      <c r="P866" s="108">
        <v>11</v>
      </c>
      <c r="Q866" s="108">
        <v>0.666666666666668</v>
      </c>
      <c r="R866" s="108">
        <v>1.8</v>
      </c>
      <c r="S866" s="108">
        <v>2.28571428571428</v>
      </c>
      <c r="T866" s="108">
        <v>4</v>
      </c>
      <c r="U866" s="108">
        <v>1</v>
      </c>
      <c r="V866" s="108">
        <v>1.6</v>
      </c>
      <c r="W866" s="115">
        <v>0.857142857142858</v>
      </c>
    </row>
    <row r="867" spans="1:23">
      <c r="A867" s="103">
        <v>45049</v>
      </c>
      <c r="B867" s="104" t="s">
        <v>21</v>
      </c>
      <c r="C867" s="145">
        <v>506</v>
      </c>
      <c r="D867" s="145"/>
      <c r="E867" s="104">
        <v>26</v>
      </c>
      <c r="F867" s="106">
        <f t="shared" si="2"/>
        <v>0.0513833992094862</v>
      </c>
      <c r="G867" s="107">
        <v>12</v>
      </c>
      <c r="H867" s="106">
        <v>0.461538461538462</v>
      </c>
      <c r="I867" s="106"/>
      <c r="J867" s="106"/>
      <c r="K867" s="106"/>
      <c r="L867" s="213">
        <v>-55</v>
      </c>
      <c r="M867" s="213">
        <v>-31.6666666666666</v>
      </c>
      <c r="N867" s="213">
        <v>-52</v>
      </c>
      <c r="O867" s="213">
        <v>-67.4285714285714</v>
      </c>
      <c r="P867" s="108">
        <v>-2</v>
      </c>
      <c r="Q867" s="108">
        <v>-1.66666666666667</v>
      </c>
      <c r="R867" s="108">
        <v>-2.8</v>
      </c>
      <c r="S867" s="108">
        <v>-3.85714285714286</v>
      </c>
      <c r="T867" s="108">
        <v>5</v>
      </c>
      <c r="U867" s="108">
        <v>4.33333333333333</v>
      </c>
      <c r="V867" s="108">
        <v>3.8</v>
      </c>
      <c r="W867" s="108">
        <v>3.57142857142857</v>
      </c>
    </row>
    <row r="868" spans="1:23">
      <c r="A868" s="103">
        <v>45049</v>
      </c>
      <c r="B868" s="104" t="s">
        <v>22</v>
      </c>
      <c r="C868" s="145">
        <v>1583</v>
      </c>
      <c r="D868" s="145"/>
      <c r="E868" s="104">
        <v>45</v>
      </c>
      <c r="F868" s="106">
        <f t="shared" si="2"/>
        <v>0.0284270372710044</v>
      </c>
      <c r="G868" s="107">
        <v>9</v>
      </c>
      <c r="H868" s="106">
        <v>0.2</v>
      </c>
      <c r="I868" s="106"/>
      <c r="J868" s="106"/>
      <c r="K868" s="106"/>
      <c r="L868" s="213">
        <v>-33</v>
      </c>
      <c r="M868" s="213">
        <v>-829</v>
      </c>
      <c r="N868" s="213">
        <v>-1117.6</v>
      </c>
      <c r="O868" s="213">
        <v>-1375.28571428571</v>
      </c>
      <c r="P868" s="108">
        <v>5</v>
      </c>
      <c r="Q868" s="108">
        <v>5.66666666666666</v>
      </c>
      <c r="R868" s="108">
        <v>0.200000000000003</v>
      </c>
      <c r="S868" s="115">
        <v>-7.14285714285715</v>
      </c>
      <c r="T868" s="108">
        <v>-2</v>
      </c>
      <c r="U868" s="108">
        <v>-1.33333333333333</v>
      </c>
      <c r="V868" s="108">
        <v>-5.8</v>
      </c>
      <c r="W868" s="117">
        <v>-9.14285714285714</v>
      </c>
    </row>
    <row r="869" spans="1:23">
      <c r="A869" s="103">
        <v>45049</v>
      </c>
      <c r="B869" s="104" t="s">
        <v>23</v>
      </c>
      <c r="C869" s="145">
        <v>2416</v>
      </c>
      <c r="D869" s="145"/>
      <c r="E869" s="104">
        <v>18</v>
      </c>
      <c r="F869" s="106">
        <f t="shared" si="2"/>
        <v>0.00745033112582781</v>
      </c>
      <c r="G869" s="107">
        <v>7</v>
      </c>
      <c r="H869" s="106">
        <v>0.388888888888889</v>
      </c>
      <c r="I869" s="106"/>
      <c r="J869" s="106"/>
      <c r="K869" s="106"/>
      <c r="L869" s="213">
        <v>-56</v>
      </c>
      <c r="M869" s="213">
        <v>-178.666666666667</v>
      </c>
      <c r="N869" s="213">
        <v>-206</v>
      </c>
      <c r="O869" s="213">
        <v>-227.142857142857</v>
      </c>
      <c r="P869" s="108">
        <v>-1</v>
      </c>
      <c r="Q869" s="108">
        <v>-2</v>
      </c>
      <c r="R869" s="108">
        <v>-1</v>
      </c>
      <c r="S869" s="108">
        <v>-4.42857142857143</v>
      </c>
      <c r="T869" s="108">
        <v>0</v>
      </c>
      <c r="U869" s="116">
        <v>0.333333333333333</v>
      </c>
      <c r="V869" s="108">
        <v>0</v>
      </c>
      <c r="W869" s="108">
        <v>0.285714285714286</v>
      </c>
    </row>
    <row r="870" spans="1:23">
      <c r="A870" s="103">
        <v>45049</v>
      </c>
      <c r="B870" s="104" t="s">
        <v>24</v>
      </c>
      <c r="C870" s="145">
        <v>3933</v>
      </c>
      <c r="D870" s="145"/>
      <c r="E870" s="104">
        <v>49</v>
      </c>
      <c r="F870" s="106">
        <f t="shared" si="2"/>
        <v>0.0124586829392321</v>
      </c>
      <c r="G870" s="107">
        <v>10</v>
      </c>
      <c r="H870" s="106">
        <v>0.204081632653061</v>
      </c>
      <c r="I870" s="106"/>
      <c r="J870" s="106"/>
      <c r="K870" s="106"/>
      <c r="L870" s="213">
        <v>1120</v>
      </c>
      <c r="M870" s="213">
        <v>2136.66666666667</v>
      </c>
      <c r="N870" s="213">
        <v>2685.4</v>
      </c>
      <c r="O870" s="213">
        <v>2982.85714285714</v>
      </c>
      <c r="P870" s="115">
        <v>29</v>
      </c>
      <c r="Q870" s="115">
        <v>39.3333333333333</v>
      </c>
      <c r="R870" s="115">
        <v>42.6</v>
      </c>
      <c r="S870" s="115">
        <v>44</v>
      </c>
      <c r="T870" s="115">
        <v>5</v>
      </c>
      <c r="U870" s="115">
        <v>8</v>
      </c>
      <c r="V870" s="115">
        <v>8.6</v>
      </c>
      <c r="W870" s="115">
        <v>8.85714285714286</v>
      </c>
    </row>
    <row r="871" spans="1:23">
      <c r="A871" s="103">
        <v>45049</v>
      </c>
      <c r="B871" s="104" t="s">
        <v>25</v>
      </c>
      <c r="C871" s="145">
        <v>6995</v>
      </c>
      <c r="D871" s="145"/>
      <c r="E871" s="104">
        <v>54</v>
      </c>
      <c r="F871" s="106">
        <f t="shared" si="2"/>
        <v>0.00771979985704074</v>
      </c>
      <c r="G871" s="107">
        <v>19</v>
      </c>
      <c r="H871" s="106">
        <v>0.351851851851852</v>
      </c>
      <c r="I871" s="106"/>
      <c r="J871" s="106"/>
      <c r="K871" s="106"/>
      <c r="L871" s="213">
        <v>4592</v>
      </c>
      <c r="M871" s="213">
        <v>3243.33333333333</v>
      </c>
      <c r="N871" s="213">
        <v>1072.8</v>
      </c>
      <c r="O871" s="213">
        <v>260.571428571429</v>
      </c>
      <c r="P871" s="116">
        <v>2</v>
      </c>
      <c r="Q871" s="115">
        <v>8</v>
      </c>
      <c r="R871" s="115">
        <v>1.4</v>
      </c>
      <c r="S871" s="115">
        <v>-0.428571428571431</v>
      </c>
      <c r="T871" s="108">
        <v>-4</v>
      </c>
      <c r="U871" s="108">
        <v>-1.33333333333333</v>
      </c>
      <c r="V871" s="108">
        <v>-3.2</v>
      </c>
      <c r="W871" s="108">
        <v>-3.28571428571428</v>
      </c>
    </row>
    <row r="872" spans="1:23">
      <c r="A872" s="103">
        <v>45049</v>
      </c>
      <c r="B872" s="104" t="s">
        <v>26</v>
      </c>
      <c r="C872" s="145">
        <v>1235</v>
      </c>
      <c r="D872" s="145"/>
      <c r="E872" s="104">
        <v>19</v>
      </c>
      <c r="F872" s="106">
        <f t="shared" si="2"/>
        <v>0.0153846153846154</v>
      </c>
      <c r="G872" s="107">
        <v>1</v>
      </c>
      <c r="H872" s="106">
        <v>0.0526315789473684</v>
      </c>
      <c r="I872" s="106"/>
      <c r="J872" s="106"/>
      <c r="K872" s="106"/>
      <c r="L872" s="213">
        <v>-250</v>
      </c>
      <c r="M872" s="213">
        <v>-172.666666666667</v>
      </c>
      <c r="N872" s="213">
        <v>-104.8</v>
      </c>
      <c r="O872" s="213">
        <v>-162.285714285714</v>
      </c>
      <c r="P872" s="108">
        <v>-2</v>
      </c>
      <c r="Q872" s="108">
        <v>-0.333333333333332</v>
      </c>
      <c r="R872" s="108">
        <v>-0.600000000000001</v>
      </c>
      <c r="S872" s="108">
        <v>0.857142857142858</v>
      </c>
      <c r="T872" s="108">
        <v>-6</v>
      </c>
      <c r="U872" s="108">
        <v>-4.66666666666667</v>
      </c>
      <c r="V872" s="108">
        <v>-5</v>
      </c>
      <c r="W872" s="108">
        <v>-4.85714285714286</v>
      </c>
    </row>
    <row r="873" spans="1:23">
      <c r="A873" s="103">
        <v>45049</v>
      </c>
      <c r="B873" s="104" t="s">
        <v>27</v>
      </c>
      <c r="C873" s="145">
        <v>1513</v>
      </c>
      <c r="D873" s="145"/>
      <c r="E873" s="104">
        <v>26</v>
      </c>
      <c r="F873" s="106">
        <f t="shared" si="2"/>
        <v>0.0171844018506279</v>
      </c>
      <c r="G873" s="107">
        <v>11</v>
      </c>
      <c r="H873" s="106">
        <v>0.423076923076923</v>
      </c>
      <c r="I873" s="106"/>
      <c r="J873" s="106"/>
      <c r="K873" s="106"/>
      <c r="L873" s="213">
        <v>138</v>
      </c>
      <c r="M873" s="213">
        <v>598.666666666667</v>
      </c>
      <c r="N873" s="213">
        <v>1090.4</v>
      </c>
      <c r="O873" s="213">
        <v>1410.85714285714</v>
      </c>
      <c r="P873" s="108">
        <v>0</v>
      </c>
      <c r="Q873" s="108">
        <v>5.33333333333333</v>
      </c>
      <c r="R873" s="108">
        <v>8.4</v>
      </c>
      <c r="S873" s="108">
        <v>10.4285714285714</v>
      </c>
      <c r="T873" s="108">
        <v>6</v>
      </c>
      <c r="U873" s="108">
        <v>4.33333333333333</v>
      </c>
      <c r="V873" s="108">
        <v>6</v>
      </c>
      <c r="W873" s="108">
        <v>6.42857142857143</v>
      </c>
    </row>
    <row r="874" spans="1:23">
      <c r="A874" s="103">
        <v>45049</v>
      </c>
      <c r="B874" s="104" t="s">
        <v>28</v>
      </c>
      <c r="C874" s="145">
        <v>0</v>
      </c>
      <c r="D874" s="145"/>
      <c r="E874" s="104">
        <v>0</v>
      </c>
      <c r="F874" s="106">
        <v>0</v>
      </c>
      <c r="G874" s="107">
        <v>0</v>
      </c>
      <c r="H874" s="106">
        <v>0</v>
      </c>
      <c r="I874" s="106"/>
      <c r="J874" s="106"/>
      <c r="K874" s="106"/>
      <c r="L874" s="213">
        <v>0</v>
      </c>
      <c r="M874" s="213">
        <v>0</v>
      </c>
      <c r="N874" s="213">
        <v>0</v>
      </c>
      <c r="O874" s="213">
        <v>0</v>
      </c>
      <c r="P874" s="108">
        <v>0</v>
      </c>
      <c r="Q874" s="108">
        <v>0</v>
      </c>
      <c r="R874" s="108">
        <v>0</v>
      </c>
      <c r="S874" s="108">
        <v>0</v>
      </c>
      <c r="T874" s="108">
        <v>0</v>
      </c>
      <c r="U874" s="108">
        <v>0</v>
      </c>
      <c r="V874" s="108">
        <v>0</v>
      </c>
      <c r="W874" s="108">
        <v>0</v>
      </c>
    </row>
    <row r="875" spans="1:23">
      <c r="A875" s="103">
        <v>45049</v>
      </c>
      <c r="B875" s="104" t="s">
        <v>29</v>
      </c>
      <c r="C875" s="145">
        <v>0</v>
      </c>
      <c r="D875" s="145"/>
      <c r="E875" s="104">
        <v>1</v>
      </c>
      <c r="F875" s="106">
        <v>1</v>
      </c>
      <c r="G875" s="107">
        <v>0</v>
      </c>
      <c r="H875" s="106">
        <v>0</v>
      </c>
      <c r="I875" s="106"/>
      <c r="J875" s="106"/>
      <c r="K875" s="106"/>
      <c r="L875" s="213">
        <v>-1</v>
      </c>
      <c r="M875" s="213">
        <v>-0.333333333333333</v>
      </c>
      <c r="N875" s="213">
        <v>-0.2</v>
      </c>
      <c r="O875" s="213">
        <v>-0.285714285714286</v>
      </c>
      <c r="P875" s="108">
        <v>1</v>
      </c>
      <c r="Q875" s="108">
        <v>1</v>
      </c>
      <c r="R875" s="108">
        <v>1</v>
      </c>
      <c r="S875" s="108">
        <v>1</v>
      </c>
      <c r="T875" s="108">
        <v>0</v>
      </c>
      <c r="U875" s="108">
        <v>0</v>
      </c>
      <c r="V875" s="108">
        <v>0</v>
      </c>
      <c r="W875" s="108">
        <v>0</v>
      </c>
    </row>
    <row r="876" spans="1:23">
      <c r="A876" s="103">
        <v>45049</v>
      </c>
      <c r="B876" s="104" t="s">
        <v>30</v>
      </c>
      <c r="C876" s="145">
        <v>0</v>
      </c>
      <c r="D876" s="145"/>
      <c r="E876" s="104">
        <v>0</v>
      </c>
      <c r="F876" s="106">
        <v>0</v>
      </c>
      <c r="G876" s="107">
        <v>0</v>
      </c>
      <c r="H876" s="106">
        <v>0</v>
      </c>
      <c r="I876" s="106"/>
      <c r="J876" s="106"/>
      <c r="K876" s="106"/>
      <c r="L876" s="213">
        <v>0</v>
      </c>
      <c r="M876" s="213">
        <v>0</v>
      </c>
      <c r="N876" s="213">
        <v>0</v>
      </c>
      <c r="O876" s="213">
        <v>0</v>
      </c>
      <c r="P876" s="108">
        <v>0</v>
      </c>
      <c r="Q876" s="108">
        <v>0</v>
      </c>
      <c r="R876" s="108">
        <v>0</v>
      </c>
      <c r="S876" s="108">
        <v>0</v>
      </c>
      <c r="T876" s="108">
        <v>0</v>
      </c>
      <c r="U876" s="108">
        <v>0</v>
      </c>
      <c r="V876" s="108">
        <v>0</v>
      </c>
      <c r="W876" s="108">
        <v>0</v>
      </c>
    </row>
    <row r="877" spans="1:23">
      <c r="A877" s="103">
        <v>45049</v>
      </c>
      <c r="B877" s="104" t="s">
        <v>31</v>
      </c>
      <c r="C877" s="145">
        <v>0</v>
      </c>
      <c r="D877" s="145"/>
      <c r="E877" s="104">
        <v>0</v>
      </c>
      <c r="F877" s="106">
        <v>0</v>
      </c>
      <c r="G877" s="107">
        <v>0</v>
      </c>
      <c r="H877" s="106">
        <v>0</v>
      </c>
      <c r="I877" s="106"/>
      <c r="J877" s="106"/>
      <c r="K877" s="106"/>
      <c r="L877" s="213">
        <v>0</v>
      </c>
      <c r="M877" s="213">
        <v>0</v>
      </c>
      <c r="N877" s="213">
        <v>0</v>
      </c>
      <c r="O877" s="213">
        <v>0</v>
      </c>
      <c r="P877" s="108">
        <v>0</v>
      </c>
      <c r="Q877" s="108">
        <v>0</v>
      </c>
      <c r="R877" s="108">
        <v>-0.2</v>
      </c>
      <c r="S877" s="108">
        <v>-0.142857142857143</v>
      </c>
      <c r="T877" s="108">
        <v>0</v>
      </c>
      <c r="U877" s="108">
        <v>0</v>
      </c>
      <c r="V877" s="108">
        <v>0</v>
      </c>
      <c r="W877" s="108">
        <v>0</v>
      </c>
    </row>
    <row r="878" spans="1:23">
      <c r="A878" s="103">
        <v>45049</v>
      </c>
      <c r="B878" s="104" t="s">
        <v>32</v>
      </c>
      <c r="C878" s="145">
        <v>0</v>
      </c>
      <c r="D878" s="145"/>
      <c r="E878" s="104">
        <v>0</v>
      </c>
      <c r="F878" s="106">
        <v>0</v>
      </c>
      <c r="G878" s="107">
        <v>0</v>
      </c>
      <c r="H878" s="106">
        <v>0</v>
      </c>
      <c r="I878" s="106"/>
      <c r="J878" s="106"/>
      <c r="K878" s="106"/>
      <c r="L878" s="213">
        <v>0</v>
      </c>
      <c r="M878" s="213">
        <v>0</v>
      </c>
      <c r="N878" s="213">
        <v>0</v>
      </c>
      <c r="O878" s="213">
        <v>0</v>
      </c>
      <c r="P878" s="108">
        <v>0</v>
      </c>
      <c r="Q878" s="108">
        <v>0</v>
      </c>
      <c r="R878" s="108">
        <v>0</v>
      </c>
      <c r="S878" s="108">
        <v>0</v>
      </c>
      <c r="T878" s="108">
        <v>0</v>
      </c>
      <c r="U878" s="108">
        <v>0</v>
      </c>
      <c r="V878" s="108">
        <v>0</v>
      </c>
      <c r="W878" s="108">
        <v>0</v>
      </c>
    </row>
    <row r="879" spans="1:23">
      <c r="A879" s="103">
        <v>45049</v>
      </c>
      <c r="B879" s="104" t="s">
        <v>33</v>
      </c>
      <c r="C879" s="145">
        <v>0</v>
      </c>
      <c r="D879" s="145"/>
      <c r="E879" s="104">
        <v>0</v>
      </c>
      <c r="F879" s="106">
        <v>0</v>
      </c>
      <c r="G879" s="107">
        <v>0</v>
      </c>
      <c r="H879" s="106">
        <v>0</v>
      </c>
      <c r="I879" s="106"/>
      <c r="J879" s="106"/>
      <c r="K879" s="106"/>
      <c r="L879" s="213">
        <v>0</v>
      </c>
      <c r="M879" s="213">
        <v>0</v>
      </c>
      <c r="N879" s="213">
        <v>0</v>
      </c>
      <c r="O879" s="213">
        <v>0</v>
      </c>
      <c r="P879" s="108">
        <v>0</v>
      </c>
      <c r="Q879" s="108">
        <v>-0.333333333333333</v>
      </c>
      <c r="R879" s="108">
        <v>-0.4</v>
      </c>
      <c r="S879" s="108">
        <v>-0.285714285714286</v>
      </c>
      <c r="T879" s="108">
        <v>0</v>
      </c>
      <c r="U879" s="108">
        <v>0</v>
      </c>
      <c r="V879" s="108">
        <v>0</v>
      </c>
      <c r="W879" s="108">
        <v>0</v>
      </c>
    </row>
    <row r="880" spans="1:23">
      <c r="A880" s="103">
        <v>45049</v>
      </c>
      <c r="B880" s="104" t="s">
        <v>34</v>
      </c>
      <c r="C880" s="145">
        <v>0</v>
      </c>
      <c r="D880" s="145"/>
      <c r="E880" s="104">
        <v>0</v>
      </c>
      <c r="F880" s="106">
        <v>0</v>
      </c>
      <c r="G880" s="107">
        <v>0</v>
      </c>
      <c r="H880" s="106">
        <v>0</v>
      </c>
      <c r="I880" s="106"/>
      <c r="J880" s="106"/>
      <c r="K880" s="106"/>
      <c r="L880" s="213">
        <v>0</v>
      </c>
      <c r="M880" s="213">
        <v>0</v>
      </c>
      <c r="N880" s="213">
        <v>0</v>
      </c>
      <c r="O880" s="213">
        <v>0</v>
      </c>
      <c r="P880" s="108">
        <v>0</v>
      </c>
      <c r="Q880" s="108">
        <v>0</v>
      </c>
      <c r="R880" s="108">
        <v>0</v>
      </c>
      <c r="S880" s="108">
        <v>0</v>
      </c>
      <c r="T880" s="108">
        <v>0</v>
      </c>
      <c r="U880" s="108">
        <v>0</v>
      </c>
      <c r="V880" s="108">
        <v>0</v>
      </c>
      <c r="W880" s="108">
        <v>0</v>
      </c>
    </row>
    <row r="881" spans="1:23">
      <c r="A881" s="103">
        <v>45049</v>
      </c>
      <c r="B881" s="104" t="s">
        <v>35</v>
      </c>
      <c r="C881" s="145">
        <v>0</v>
      </c>
      <c r="D881" s="145"/>
      <c r="E881" s="104">
        <v>0</v>
      </c>
      <c r="F881" s="106">
        <v>0</v>
      </c>
      <c r="G881" s="107">
        <v>0</v>
      </c>
      <c r="H881" s="106">
        <v>0</v>
      </c>
      <c r="I881" s="106"/>
      <c r="J881" s="106"/>
      <c r="K881" s="106"/>
      <c r="L881" s="213">
        <v>0</v>
      </c>
      <c r="M881" s="213">
        <v>0</v>
      </c>
      <c r="N881" s="213">
        <v>0</v>
      </c>
      <c r="O881" s="213">
        <v>0</v>
      </c>
      <c r="P881" s="108">
        <v>0</v>
      </c>
      <c r="Q881" s="108">
        <v>0</v>
      </c>
      <c r="R881" s="108">
        <v>0</v>
      </c>
      <c r="S881" s="108">
        <v>0</v>
      </c>
      <c r="T881" s="108">
        <v>0</v>
      </c>
      <c r="U881" s="108">
        <v>0</v>
      </c>
      <c r="V881" s="108">
        <v>0</v>
      </c>
      <c r="W881" s="108">
        <v>0</v>
      </c>
    </row>
    <row r="882" spans="1:23">
      <c r="A882" s="103">
        <v>45049</v>
      </c>
      <c r="B882" s="104" t="s">
        <v>36</v>
      </c>
      <c r="C882" s="145">
        <v>0</v>
      </c>
      <c r="D882" s="145"/>
      <c r="E882" s="104">
        <v>0</v>
      </c>
      <c r="F882" s="106">
        <v>0</v>
      </c>
      <c r="G882" s="107">
        <v>0</v>
      </c>
      <c r="H882" s="106">
        <v>0</v>
      </c>
      <c r="I882" s="106"/>
      <c r="J882" s="106"/>
      <c r="K882" s="106"/>
      <c r="L882" s="213">
        <v>0</v>
      </c>
      <c r="M882" s="213">
        <v>0</v>
      </c>
      <c r="N882" s="213">
        <v>0</v>
      </c>
      <c r="O882" s="213">
        <v>0</v>
      </c>
      <c r="P882" s="108">
        <v>0</v>
      </c>
      <c r="Q882" s="108">
        <v>0</v>
      </c>
      <c r="R882" s="108">
        <v>0</v>
      </c>
      <c r="S882" s="108">
        <v>0</v>
      </c>
      <c r="T882" s="108">
        <v>0</v>
      </c>
      <c r="U882" s="108">
        <v>0</v>
      </c>
      <c r="V882" s="108">
        <v>0</v>
      </c>
      <c r="W882" s="108">
        <v>0</v>
      </c>
    </row>
    <row r="883" spans="1:23">
      <c r="A883" s="103">
        <v>45049</v>
      </c>
      <c r="B883" s="104" t="s">
        <v>37</v>
      </c>
      <c r="C883" s="145">
        <v>0</v>
      </c>
      <c r="D883" s="145"/>
      <c r="E883" s="104">
        <v>0</v>
      </c>
      <c r="F883" s="106">
        <v>0</v>
      </c>
      <c r="G883" s="107">
        <v>0</v>
      </c>
      <c r="H883" s="106">
        <v>0</v>
      </c>
      <c r="I883" s="106"/>
      <c r="J883" s="106"/>
      <c r="K883" s="106"/>
      <c r="L883" s="213">
        <v>0</v>
      </c>
      <c r="M883" s="213">
        <v>0</v>
      </c>
      <c r="N883" s="213">
        <v>0</v>
      </c>
      <c r="O883" s="213">
        <v>0</v>
      </c>
      <c r="P883" s="108">
        <v>0</v>
      </c>
      <c r="Q883" s="108">
        <v>-0.333333333333333</v>
      </c>
      <c r="R883" s="108">
        <v>-0.2</v>
      </c>
      <c r="S883" s="108">
        <v>-0.142857142857143</v>
      </c>
      <c r="T883" s="108">
        <v>0</v>
      </c>
      <c r="U883" s="108">
        <v>0</v>
      </c>
      <c r="V883" s="108">
        <v>0</v>
      </c>
      <c r="W883" s="108">
        <v>0</v>
      </c>
    </row>
    <row r="884" spans="1:23">
      <c r="A884" s="103">
        <v>45049</v>
      </c>
      <c r="B884" s="104" t="s">
        <v>38</v>
      </c>
      <c r="C884" s="145">
        <v>0</v>
      </c>
      <c r="D884" s="145"/>
      <c r="E884" s="104">
        <v>0</v>
      </c>
      <c r="F884" s="106">
        <v>0</v>
      </c>
      <c r="G884" s="107">
        <v>0</v>
      </c>
      <c r="H884" s="106">
        <v>0</v>
      </c>
      <c r="I884" s="106"/>
      <c r="J884" s="106"/>
      <c r="K884" s="106"/>
      <c r="L884" s="213">
        <v>0</v>
      </c>
      <c r="M884" s="213">
        <v>0</v>
      </c>
      <c r="N884" s="213">
        <v>0</v>
      </c>
      <c r="O884" s="213">
        <v>0</v>
      </c>
      <c r="P884" s="108">
        <v>0</v>
      </c>
      <c r="Q884" s="108">
        <v>0</v>
      </c>
      <c r="R884" s="108">
        <v>0</v>
      </c>
      <c r="S884" s="108">
        <v>0</v>
      </c>
      <c r="T884" s="108">
        <v>0</v>
      </c>
      <c r="U884" s="108">
        <v>0</v>
      </c>
      <c r="V884" s="108">
        <v>0</v>
      </c>
      <c r="W884" s="108">
        <v>0</v>
      </c>
    </row>
    <row r="885" spans="1:23">
      <c r="A885" s="103">
        <v>45049</v>
      </c>
      <c r="B885" s="111" t="s">
        <v>39</v>
      </c>
      <c r="C885" s="112">
        <v>29696</v>
      </c>
      <c r="D885" s="112"/>
      <c r="E885" s="112">
        <v>303</v>
      </c>
      <c r="F885" s="113">
        <v>0.0102033943965517</v>
      </c>
      <c r="G885" s="112">
        <v>82</v>
      </c>
      <c r="H885" s="113">
        <v>0.270627062706271</v>
      </c>
      <c r="I885" s="113"/>
      <c r="J885" s="113"/>
      <c r="K885" s="113"/>
      <c r="L885" s="213"/>
      <c r="M885" s="213"/>
      <c r="N885" s="213"/>
      <c r="O885" s="213"/>
      <c r="P885" s="108"/>
      <c r="Q885" s="108"/>
      <c r="R885" s="108"/>
      <c r="S885" s="108"/>
      <c r="T885" s="108"/>
      <c r="U885" s="108"/>
      <c r="V885" s="108"/>
      <c r="W885" s="108"/>
    </row>
    <row r="886" spans="1:23">
      <c r="A886" s="103">
        <v>45050</v>
      </c>
      <c r="B886" s="104" t="s">
        <v>17</v>
      </c>
      <c r="C886" s="105">
        <v>522</v>
      </c>
      <c r="D886" s="105"/>
      <c r="E886" s="104">
        <v>41</v>
      </c>
      <c r="F886" s="106">
        <f>E886/C886</f>
        <v>0.078544061302682</v>
      </c>
      <c r="G886" s="107">
        <v>13</v>
      </c>
      <c r="H886" s="106">
        <v>0.317073170731707</v>
      </c>
      <c r="I886" s="106"/>
      <c r="J886" s="106"/>
      <c r="K886" s="106"/>
      <c r="L886" s="213">
        <v>-146</v>
      </c>
      <c r="M886" s="213">
        <v>-93.3333333333334</v>
      </c>
      <c r="N886" s="213">
        <v>-118.4</v>
      </c>
      <c r="O886" s="213">
        <v>-115</v>
      </c>
      <c r="P886" s="108">
        <v>-3</v>
      </c>
      <c r="Q886" s="108">
        <v>3.33333333333334</v>
      </c>
      <c r="R886" s="108">
        <v>-0.799999999999997</v>
      </c>
      <c r="S886" s="108">
        <v>-2</v>
      </c>
      <c r="T886" s="108">
        <v>9</v>
      </c>
      <c r="U886" s="108">
        <v>5.66666666666667</v>
      </c>
      <c r="V886" s="108">
        <v>5.2</v>
      </c>
      <c r="W886" s="108">
        <v>5.85714285714286</v>
      </c>
    </row>
    <row r="887" spans="1:23">
      <c r="A887" s="103">
        <v>45050</v>
      </c>
      <c r="B887" s="104" t="s">
        <v>19</v>
      </c>
      <c r="C887" s="107">
        <v>373</v>
      </c>
      <c r="D887" s="107"/>
      <c r="E887" s="104">
        <v>20</v>
      </c>
      <c r="F887" s="106">
        <f t="shared" ref="F887:F894" si="3">E887/C887</f>
        <v>0.0536193029490617</v>
      </c>
      <c r="G887" s="107">
        <v>4</v>
      </c>
      <c r="H887" s="106">
        <v>0.2</v>
      </c>
      <c r="I887" s="106"/>
      <c r="J887" s="106"/>
      <c r="K887" s="106"/>
      <c r="L887" s="213">
        <v>-358</v>
      </c>
      <c r="M887" s="213">
        <v>-406</v>
      </c>
      <c r="N887" s="213">
        <v>-374.4</v>
      </c>
      <c r="O887" s="213">
        <v>-234.571428571429</v>
      </c>
      <c r="P887" s="108">
        <v>-1</v>
      </c>
      <c r="Q887" s="108">
        <v>0.666666666666668</v>
      </c>
      <c r="R887" s="108">
        <v>-0.600000000000001</v>
      </c>
      <c r="S887" s="108">
        <v>1.71428571428572</v>
      </c>
      <c r="T887" s="108">
        <v>-5</v>
      </c>
      <c r="U887" s="108">
        <v>-4.33333333333333</v>
      </c>
      <c r="V887" s="108">
        <v>-4.2</v>
      </c>
      <c r="W887" s="115">
        <v>-3.42857142857143</v>
      </c>
    </row>
    <row r="888" spans="1:23">
      <c r="A888" s="103">
        <v>45050</v>
      </c>
      <c r="B888" s="104" t="s">
        <v>21</v>
      </c>
      <c r="C888" s="145">
        <v>587</v>
      </c>
      <c r="D888" s="145"/>
      <c r="E888" s="104">
        <v>22</v>
      </c>
      <c r="F888" s="106">
        <f t="shared" si="3"/>
        <v>0.0374787052810903</v>
      </c>
      <c r="G888" s="107">
        <v>6</v>
      </c>
      <c r="H888" s="106">
        <v>0.272727272727273</v>
      </c>
      <c r="I888" s="106"/>
      <c r="J888" s="106"/>
      <c r="K888" s="106"/>
      <c r="L888" s="213">
        <v>81</v>
      </c>
      <c r="M888" s="213">
        <v>63.3333333333334</v>
      </c>
      <c r="N888" s="213">
        <v>45</v>
      </c>
      <c r="O888" s="213">
        <v>30</v>
      </c>
      <c r="P888" s="108">
        <v>-4</v>
      </c>
      <c r="Q888" s="108">
        <v>-5.66666666666667</v>
      </c>
      <c r="R888" s="108">
        <v>-6.6</v>
      </c>
      <c r="S888" s="108">
        <v>-7.57142857142857</v>
      </c>
      <c r="T888" s="108">
        <v>-6</v>
      </c>
      <c r="U888" s="108">
        <v>-2</v>
      </c>
      <c r="V888" s="108">
        <v>-3.4</v>
      </c>
      <c r="W888" s="108">
        <v>-2.85714285714286</v>
      </c>
    </row>
    <row r="889" spans="1:23">
      <c r="A889" s="103">
        <v>45050</v>
      </c>
      <c r="B889" s="104" t="s">
        <v>22</v>
      </c>
      <c r="C889" s="145">
        <v>1475</v>
      </c>
      <c r="D889" s="145"/>
      <c r="E889" s="104">
        <v>31</v>
      </c>
      <c r="F889" s="106">
        <f t="shared" si="3"/>
        <v>0.0210169491525424</v>
      </c>
      <c r="G889" s="107">
        <v>14</v>
      </c>
      <c r="H889" s="106">
        <v>0.451612903225806</v>
      </c>
      <c r="I889" s="106"/>
      <c r="J889" s="106"/>
      <c r="K889" s="106"/>
      <c r="L889" s="213">
        <v>-108</v>
      </c>
      <c r="M889" s="213">
        <v>-537.333333333333</v>
      </c>
      <c r="N889" s="213">
        <v>-869.4</v>
      </c>
      <c r="O889" s="213">
        <v>-1186.28571428571</v>
      </c>
      <c r="P889" s="108">
        <v>-14</v>
      </c>
      <c r="Q889" s="108">
        <v>-7</v>
      </c>
      <c r="R889" s="108">
        <v>-10.6</v>
      </c>
      <c r="S889" s="115">
        <v>-16.8571428571429</v>
      </c>
      <c r="T889" s="108">
        <v>5</v>
      </c>
      <c r="U889" s="108">
        <v>5</v>
      </c>
      <c r="V889" s="108">
        <v>2.6</v>
      </c>
      <c r="W889" s="117">
        <v>-1.14285714285714</v>
      </c>
    </row>
    <row r="890" spans="1:23">
      <c r="A890" s="103">
        <v>45050</v>
      </c>
      <c r="B890" s="104" t="s">
        <v>23</v>
      </c>
      <c r="C890" s="145">
        <v>2207</v>
      </c>
      <c r="D890" s="145"/>
      <c r="E890" s="104">
        <v>17</v>
      </c>
      <c r="F890" s="106">
        <f t="shared" si="3"/>
        <v>0.00770276393294064</v>
      </c>
      <c r="G890" s="107">
        <v>7</v>
      </c>
      <c r="H890" s="106">
        <v>0.411764705882353</v>
      </c>
      <c r="I890" s="106"/>
      <c r="J890" s="106"/>
      <c r="K890" s="106"/>
      <c r="L890" s="213">
        <v>-209</v>
      </c>
      <c r="M890" s="213">
        <v>-302</v>
      </c>
      <c r="N890" s="213">
        <v>-372.2</v>
      </c>
      <c r="O890" s="213">
        <v>-391.571428571428</v>
      </c>
      <c r="P890" s="108">
        <v>-1</v>
      </c>
      <c r="Q890" s="108">
        <v>-2.33333333333333</v>
      </c>
      <c r="R890" s="108">
        <v>-1.8</v>
      </c>
      <c r="S890" s="108">
        <v>-3.28571428571428</v>
      </c>
      <c r="T890" s="108">
        <v>0</v>
      </c>
      <c r="U890" s="116">
        <v>-0.333333333333333</v>
      </c>
      <c r="V890" s="108">
        <v>0.6</v>
      </c>
      <c r="W890" s="108">
        <v>0.571428571428571</v>
      </c>
    </row>
    <row r="891" spans="1:23">
      <c r="A891" s="103">
        <v>45050</v>
      </c>
      <c r="B891" s="104" t="s">
        <v>24</v>
      </c>
      <c r="C891" s="145">
        <v>3261</v>
      </c>
      <c r="D891" s="145"/>
      <c r="E891" s="104">
        <v>77</v>
      </c>
      <c r="F891" s="106">
        <f t="shared" si="3"/>
        <v>0.0236123888377798</v>
      </c>
      <c r="G891" s="107">
        <v>13</v>
      </c>
      <c r="H891" s="106">
        <v>0.168831168831169</v>
      </c>
      <c r="I891" s="106"/>
      <c r="J891" s="106"/>
      <c r="K891" s="106"/>
      <c r="L891" s="213">
        <v>-672</v>
      </c>
      <c r="M891" s="213">
        <v>302.333333333333</v>
      </c>
      <c r="N891" s="213">
        <v>1286.6</v>
      </c>
      <c r="O891" s="213">
        <v>1776.57142857143</v>
      </c>
      <c r="P891" s="115">
        <v>28</v>
      </c>
      <c r="Q891" s="115">
        <v>52.3333333333333</v>
      </c>
      <c r="R891" s="115">
        <v>61</v>
      </c>
      <c r="S891" s="115">
        <v>65</v>
      </c>
      <c r="T891" s="115">
        <v>3</v>
      </c>
      <c r="U891" s="115">
        <v>7.66666666666667</v>
      </c>
      <c r="V891" s="115">
        <v>9.8</v>
      </c>
      <c r="W891" s="115">
        <v>10.5714285714286</v>
      </c>
    </row>
    <row r="892" spans="1:23">
      <c r="A892" s="103">
        <v>45050</v>
      </c>
      <c r="B892" s="104" t="s">
        <v>25</v>
      </c>
      <c r="C892" s="145">
        <v>6012</v>
      </c>
      <c r="D892" s="145"/>
      <c r="E892" s="104">
        <v>40</v>
      </c>
      <c r="F892" s="106">
        <f t="shared" si="3"/>
        <v>0.00665335994677312</v>
      </c>
      <c r="G892" s="107">
        <v>10</v>
      </c>
      <c r="H892" s="106">
        <v>0.25</v>
      </c>
      <c r="I892" s="106"/>
      <c r="J892" s="106"/>
      <c r="K892" s="106"/>
      <c r="L892" s="213">
        <v>-1966</v>
      </c>
      <c r="M892" s="213">
        <v>164</v>
      </c>
      <c r="N892" s="213">
        <v>-384</v>
      </c>
      <c r="O892" s="213">
        <v>-1336.57142857143</v>
      </c>
      <c r="P892" s="116">
        <v>-14</v>
      </c>
      <c r="Q892" s="115">
        <v>-7.33333333333334</v>
      </c>
      <c r="R892" s="115">
        <v>-7.6</v>
      </c>
      <c r="S892" s="115">
        <v>-14.5714285714286</v>
      </c>
      <c r="T892" s="108">
        <v>-9</v>
      </c>
      <c r="U892" s="108">
        <v>-11</v>
      </c>
      <c r="V892" s="108">
        <v>-9.4</v>
      </c>
      <c r="W892" s="108">
        <v>-11.2857142857143</v>
      </c>
    </row>
    <row r="893" spans="1:23">
      <c r="A893" s="103">
        <v>45050</v>
      </c>
      <c r="B893" s="104" t="s">
        <v>26</v>
      </c>
      <c r="C893" s="145">
        <v>1214</v>
      </c>
      <c r="D893" s="145"/>
      <c r="E893" s="104">
        <v>17</v>
      </c>
      <c r="F893" s="106">
        <f t="shared" si="3"/>
        <v>0.014003294892916</v>
      </c>
      <c r="G893" s="107">
        <v>4</v>
      </c>
      <c r="H893" s="106">
        <v>0.235294117647059</v>
      </c>
      <c r="I893" s="106"/>
      <c r="J893" s="106"/>
      <c r="K893" s="106"/>
      <c r="L893" s="213">
        <v>-42</v>
      </c>
      <c r="M893" s="213">
        <v>-167.333333333333</v>
      </c>
      <c r="N893" s="213">
        <v>-165.6</v>
      </c>
      <c r="O893" s="213">
        <v>-133.714285714286</v>
      </c>
      <c r="P893" s="108">
        <v>-2</v>
      </c>
      <c r="Q893" s="108">
        <v>-1.66666666666667</v>
      </c>
      <c r="R893" s="108">
        <v>-2.8</v>
      </c>
      <c r="S893" s="108">
        <v>-2</v>
      </c>
      <c r="T893" s="108">
        <v>3</v>
      </c>
      <c r="U893" s="108">
        <v>-0.333333333333333</v>
      </c>
      <c r="V893" s="108">
        <v>-1</v>
      </c>
      <c r="W893" s="108">
        <v>-1.57142857142857</v>
      </c>
    </row>
    <row r="894" spans="1:23">
      <c r="A894" s="103">
        <v>45050</v>
      </c>
      <c r="B894" s="104" t="s">
        <v>27</v>
      </c>
      <c r="C894" s="145">
        <v>1719</v>
      </c>
      <c r="D894" s="145"/>
      <c r="E894" s="104">
        <v>34</v>
      </c>
      <c r="F894" s="106">
        <f t="shared" si="3"/>
        <v>0.0197789412449098</v>
      </c>
      <c r="G894" s="107">
        <v>7</v>
      </c>
      <c r="H894" s="106">
        <v>0.205882352941176</v>
      </c>
      <c r="I894" s="106"/>
      <c r="J894" s="106"/>
      <c r="K894" s="106"/>
      <c r="L894" s="213">
        <v>412</v>
      </c>
      <c r="M894" s="213">
        <v>578</v>
      </c>
      <c r="N894" s="213">
        <v>1128.8</v>
      </c>
      <c r="O894" s="213">
        <v>1476.28571428571</v>
      </c>
      <c r="P894" s="108">
        <v>8</v>
      </c>
      <c r="Q894" s="108">
        <v>7.66666666666667</v>
      </c>
      <c r="R894" s="108">
        <v>13</v>
      </c>
      <c r="S894" s="108">
        <v>16.1428571428571</v>
      </c>
      <c r="T894" s="108">
        <v>-4</v>
      </c>
      <c r="U894" s="108">
        <v>-2.33333333333333</v>
      </c>
      <c r="V894" s="108">
        <v>-0.2</v>
      </c>
      <c r="W894" s="108">
        <v>1.14285714285714</v>
      </c>
    </row>
    <row r="895" spans="1:23">
      <c r="A895" s="103">
        <v>45050</v>
      </c>
      <c r="B895" s="104" t="s">
        <v>28</v>
      </c>
      <c r="C895" s="145">
        <v>0</v>
      </c>
      <c r="D895" s="145"/>
      <c r="E895" s="104">
        <v>0</v>
      </c>
      <c r="F895" s="106">
        <v>0</v>
      </c>
      <c r="G895" s="107">
        <v>0</v>
      </c>
      <c r="H895" s="106">
        <v>0</v>
      </c>
      <c r="I895" s="106"/>
      <c r="J895" s="106"/>
      <c r="K895" s="106"/>
      <c r="L895" s="213">
        <v>0</v>
      </c>
      <c r="M895" s="213">
        <v>0</v>
      </c>
      <c r="N895" s="213">
        <v>0</v>
      </c>
      <c r="O895" s="213">
        <v>0</v>
      </c>
      <c r="P895" s="108">
        <v>0</v>
      </c>
      <c r="Q895" s="108">
        <v>0</v>
      </c>
      <c r="R895" s="108">
        <v>0</v>
      </c>
      <c r="S895" s="108">
        <v>0</v>
      </c>
      <c r="T895" s="108">
        <v>0</v>
      </c>
      <c r="U895" s="108">
        <v>0</v>
      </c>
      <c r="V895" s="108">
        <v>0</v>
      </c>
      <c r="W895" s="108">
        <v>0</v>
      </c>
    </row>
    <row r="896" spans="1:23">
      <c r="A896" s="103">
        <v>45050</v>
      </c>
      <c r="B896" s="104" t="s">
        <v>29</v>
      </c>
      <c r="C896" s="145">
        <v>0</v>
      </c>
      <c r="D896" s="145"/>
      <c r="E896" s="104">
        <v>0</v>
      </c>
      <c r="F896" s="106">
        <v>0</v>
      </c>
      <c r="G896" s="107">
        <v>0</v>
      </c>
      <c r="H896" s="106">
        <v>0</v>
      </c>
      <c r="I896" s="106"/>
      <c r="J896" s="106"/>
      <c r="K896" s="106"/>
      <c r="L896" s="213">
        <v>0</v>
      </c>
      <c r="M896" s="213">
        <v>-0.333333333333333</v>
      </c>
      <c r="N896" s="213">
        <v>-0.2</v>
      </c>
      <c r="O896" s="213">
        <v>-0.285714285714286</v>
      </c>
      <c r="P896" s="108">
        <v>-1</v>
      </c>
      <c r="Q896" s="108">
        <v>-0.333333333333333</v>
      </c>
      <c r="R896" s="108">
        <v>-0.2</v>
      </c>
      <c r="S896" s="108">
        <v>-0.142857142857143</v>
      </c>
      <c r="T896" s="108">
        <v>0</v>
      </c>
      <c r="U896" s="108">
        <v>0</v>
      </c>
      <c r="V896" s="108">
        <v>0</v>
      </c>
      <c r="W896" s="108">
        <v>0</v>
      </c>
    </row>
    <row r="897" spans="1:23">
      <c r="A897" s="103">
        <v>45050</v>
      </c>
      <c r="B897" s="104" t="s">
        <v>30</v>
      </c>
      <c r="C897" s="145">
        <v>0</v>
      </c>
      <c r="D897" s="145"/>
      <c r="E897" s="104">
        <v>0</v>
      </c>
      <c r="F897" s="106">
        <v>0</v>
      </c>
      <c r="G897" s="107">
        <v>0</v>
      </c>
      <c r="H897" s="106">
        <v>0</v>
      </c>
      <c r="I897" s="106"/>
      <c r="J897" s="106"/>
      <c r="K897" s="106"/>
      <c r="L897" s="213">
        <v>0</v>
      </c>
      <c r="M897" s="213">
        <v>0</v>
      </c>
      <c r="N897" s="213">
        <v>0</v>
      </c>
      <c r="O897" s="213">
        <v>0</v>
      </c>
      <c r="P897" s="108">
        <v>0</v>
      </c>
      <c r="Q897" s="108">
        <v>0</v>
      </c>
      <c r="R897" s="108">
        <v>0</v>
      </c>
      <c r="S897" s="108">
        <v>0</v>
      </c>
      <c r="T897" s="108">
        <v>0</v>
      </c>
      <c r="U897" s="108">
        <v>0</v>
      </c>
      <c r="V897" s="108">
        <v>0</v>
      </c>
      <c r="W897" s="108">
        <v>0</v>
      </c>
    </row>
    <row r="898" spans="1:23">
      <c r="A898" s="103">
        <v>45050</v>
      </c>
      <c r="B898" s="104" t="s">
        <v>31</v>
      </c>
      <c r="C898" s="145">
        <v>0</v>
      </c>
      <c r="D898" s="145"/>
      <c r="E898" s="104">
        <v>0</v>
      </c>
      <c r="F898" s="106">
        <v>0</v>
      </c>
      <c r="G898" s="107">
        <v>0</v>
      </c>
      <c r="H898" s="106">
        <v>0</v>
      </c>
      <c r="I898" s="106"/>
      <c r="J898" s="106"/>
      <c r="K898" s="106"/>
      <c r="L898" s="213">
        <v>0</v>
      </c>
      <c r="M898" s="213">
        <v>0</v>
      </c>
      <c r="N898" s="213">
        <v>0</v>
      </c>
      <c r="O898" s="213">
        <v>0</v>
      </c>
      <c r="P898" s="108">
        <v>0</v>
      </c>
      <c r="Q898" s="108">
        <v>0</v>
      </c>
      <c r="R898" s="108">
        <v>0</v>
      </c>
      <c r="S898" s="108">
        <v>-0.142857142857143</v>
      </c>
      <c r="T898" s="108">
        <v>0</v>
      </c>
      <c r="U898" s="108">
        <v>0</v>
      </c>
      <c r="V898" s="108">
        <v>0</v>
      </c>
      <c r="W898" s="108">
        <v>0</v>
      </c>
    </row>
    <row r="899" spans="1:23">
      <c r="A899" s="103">
        <v>45050</v>
      </c>
      <c r="B899" s="104" t="s">
        <v>32</v>
      </c>
      <c r="C899" s="145">
        <v>0</v>
      </c>
      <c r="D899" s="145"/>
      <c r="E899" s="104">
        <v>0</v>
      </c>
      <c r="F899" s="106">
        <v>0</v>
      </c>
      <c r="G899" s="107">
        <v>0</v>
      </c>
      <c r="H899" s="106">
        <v>0</v>
      </c>
      <c r="I899" s="106"/>
      <c r="J899" s="106"/>
      <c r="K899" s="106"/>
      <c r="L899" s="213">
        <v>0</v>
      </c>
      <c r="M899" s="213">
        <v>0</v>
      </c>
      <c r="N899" s="213">
        <v>0</v>
      </c>
      <c r="O899" s="213">
        <v>0</v>
      </c>
      <c r="P899" s="108">
        <v>0</v>
      </c>
      <c r="Q899" s="108">
        <v>0</v>
      </c>
      <c r="R899" s="108">
        <v>0</v>
      </c>
      <c r="S899" s="108">
        <v>0</v>
      </c>
      <c r="T899" s="108">
        <v>0</v>
      </c>
      <c r="U899" s="108">
        <v>0</v>
      </c>
      <c r="V899" s="108">
        <v>0</v>
      </c>
      <c r="W899" s="108">
        <v>0</v>
      </c>
    </row>
    <row r="900" spans="1:23">
      <c r="A900" s="103">
        <v>45050</v>
      </c>
      <c r="B900" s="104" t="s">
        <v>33</v>
      </c>
      <c r="C900" s="145">
        <v>0</v>
      </c>
      <c r="D900" s="145"/>
      <c r="E900" s="104">
        <v>0</v>
      </c>
      <c r="F900" s="106">
        <v>0</v>
      </c>
      <c r="G900" s="107">
        <v>0</v>
      </c>
      <c r="H900" s="106">
        <v>0</v>
      </c>
      <c r="I900" s="106"/>
      <c r="J900" s="106"/>
      <c r="K900" s="106"/>
      <c r="L900" s="213">
        <v>0</v>
      </c>
      <c r="M900" s="213">
        <v>0</v>
      </c>
      <c r="N900" s="213">
        <v>0</v>
      </c>
      <c r="O900" s="213">
        <v>0</v>
      </c>
      <c r="P900" s="108">
        <v>0</v>
      </c>
      <c r="Q900" s="108">
        <v>0</v>
      </c>
      <c r="R900" s="108">
        <v>-0.2</v>
      </c>
      <c r="S900" s="108">
        <v>-0.285714285714286</v>
      </c>
      <c r="T900" s="108">
        <v>0</v>
      </c>
      <c r="U900" s="108">
        <v>0</v>
      </c>
      <c r="V900" s="108">
        <v>0</v>
      </c>
      <c r="W900" s="108">
        <v>0</v>
      </c>
    </row>
    <row r="901" spans="1:23">
      <c r="A901" s="103">
        <v>45050</v>
      </c>
      <c r="B901" s="104" t="s">
        <v>34</v>
      </c>
      <c r="C901" s="145">
        <v>0</v>
      </c>
      <c r="D901" s="145"/>
      <c r="E901" s="104">
        <v>0</v>
      </c>
      <c r="F901" s="106">
        <v>0</v>
      </c>
      <c r="G901" s="107">
        <v>0</v>
      </c>
      <c r="H901" s="106">
        <v>0</v>
      </c>
      <c r="I901" s="106"/>
      <c r="J901" s="106"/>
      <c r="K901" s="106"/>
      <c r="L901" s="213">
        <v>0</v>
      </c>
      <c r="M901" s="213">
        <v>0</v>
      </c>
      <c r="N901" s="213">
        <v>0</v>
      </c>
      <c r="O901" s="213">
        <v>0</v>
      </c>
      <c r="P901" s="108">
        <v>0</v>
      </c>
      <c r="Q901" s="108">
        <v>0</v>
      </c>
      <c r="R901" s="108">
        <v>0</v>
      </c>
      <c r="S901" s="108">
        <v>0</v>
      </c>
      <c r="T901" s="108">
        <v>0</v>
      </c>
      <c r="U901" s="108">
        <v>0</v>
      </c>
      <c r="V901" s="108">
        <v>0</v>
      </c>
      <c r="W901" s="108">
        <v>0</v>
      </c>
    </row>
    <row r="902" spans="1:23">
      <c r="A902" s="103">
        <v>45050</v>
      </c>
      <c r="B902" s="104" t="s">
        <v>35</v>
      </c>
      <c r="C902" s="145">
        <v>0</v>
      </c>
      <c r="D902" s="145"/>
      <c r="E902" s="104">
        <v>0</v>
      </c>
      <c r="F902" s="106">
        <v>0</v>
      </c>
      <c r="G902" s="107">
        <v>0</v>
      </c>
      <c r="H902" s="106">
        <v>0</v>
      </c>
      <c r="I902" s="106"/>
      <c r="J902" s="106"/>
      <c r="K902" s="106"/>
      <c r="L902" s="213">
        <v>0</v>
      </c>
      <c r="M902" s="213">
        <v>0</v>
      </c>
      <c r="N902" s="213">
        <v>0</v>
      </c>
      <c r="O902" s="213">
        <v>0</v>
      </c>
      <c r="P902" s="108">
        <v>0</v>
      </c>
      <c r="Q902" s="108">
        <v>0</v>
      </c>
      <c r="R902" s="108">
        <v>0</v>
      </c>
      <c r="S902" s="108">
        <v>0</v>
      </c>
      <c r="T902" s="108">
        <v>0</v>
      </c>
      <c r="U902" s="108">
        <v>0</v>
      </c>
      <c r="V902" s="108">
        <v>0</v>
      </c>
      <c r="W902" s="108">
        <v>0</v>
      </c>
    </row>
    <row r="903" spans="1:23">
      <c r="A903" s="103">
        <v>45050</v>
      </c>
      <c r="B903" s="104" t="s">
        <v>36</v>
      </c>
      <c r="C903" s="145">
        <v>0</v>
      </c>
      <c r="D903" s="145"/>
      <c r="E903" s="104">
        <v>0</v>
      </c>
      <c r="F903" s="106">
        <v>0</v>
      </c>
      <c r="G903" s="107">
        <v>0</v>
      </c>
      <c r="H903" s="106">
        <v>0</v>
      </c>
      <c r="I903" s="106"/>
      <c r="J903" s="106"/>
      <c r="K903" s="106"/>
      <c r="L903" s="213">
        <v>0</v>
      </c>
      <c r="M903" s="213">
        <v>0</v>
      </c>
      <c r="N903" s="213">
        <v>0</v>
      </c>
      <c r="O903" s="213">
        <v>0</v>
      </c>
      <c r="P903" s="108">
        <v>0</v>
      </c>
      <c r="Q903" s="108">
        <v>0</v>
      </c>
      <c r="R903" s="108">
        <v>0</v>
      </c>
      <c r="S903" s="108">
        <v>0</v>
      </c>
      <c r="T903" s="108">
        <v>0</v>
      </c>
      <c r="U903" s="108">
        <v>0</v>
      </c>
      <c r="V903" s="108">
        <v>0</v>
      </c>
      <c r="W903" s="108">
        <v>0</v>
      </c>
    </row>
    <row r="904" spans="1:23">
      <c r="A904" s="103">
        <v>45050</v>
      </c>
      <c r="B904" s="104" t="s">
        <v>37</v>
      </c>
      <c r="C904" s="145">
        <v>0</v>
      </c>
      <c r="D904" s="145"/>
      <c r="E904" s="104">
        <v>1</v>
      </c>
      <c r="F904" s="106">
        <v>1</v>
      </c>
      <c r="G904" s="107">
        <v>0</v>
      </c>
      <c r="H904" s="106">
        <v>0</v>
      </c>
      <c r="I904" s="106"/>
      <c r="J904" s="106"/>
      <c r="K904" s="106"/>
      <c r="L904" s="213">
        <v>0</v>
      </c>
      <c r="M904" s="213">
        <v>0</v>
      </c>
      <c r="N904" s="213">
        <v>0</v>
      </c>
      <c r="O904" s="213">
        <v>0</v>
      </c>
      <c r="P904" s="108">
        <v>1</v>
      </c>
      <c r="Q904" s="108">
        <v>0.666666666666667</v>
      </c>
      <c r="R904" s="108">
        <v>0.8</v>
      </c>
      <c r="S904" s="108">
        <v>0.857142857142857</v>
      </c>
      <c r="T904" s="108">
        <v>0</v>
      </c>
      <c r="U904" s="108">
        <v>0</v>
      </c>
      <c r="V904" s="108">
        <v>0</v>
      </c>
      <c r="W904" s="108">
        <v>0</v>
      </c>
    </row>
    <row r="905" spans="1:23">
      <c r="A905" s="103">
        <v>45050</v>
      </c>
      <c r="B905" s="104" t="s">
        <v>38</v>
      </c>
      <c r="C905" s="145">
        <v>0</v>
      </c>
      <c r="D905" s="145"/>
      <c r="E905" s="104">
        <v>0</v>
      </c>
      <c r="F905" s="106">
        <v>0</v>
      </c>
      <c r="G905" s="107">
        <v>0</v>
      </c>
      <c r="H905" s="106">
        <v>0</v>
      </c>
      <c r="I905" s="106"/>
      <c r="J905" s="106"/>
      <c r="K905" s="106"/>
      <c r="L905" s="213">
        <v>0</v>
      </c>
      <c r="M905" s="213">
        <v>0</v>
      </c>
      <c r="N905" s="213">
        <v>0</v>
      </c>
      <c r="O905" s="213">
        <v>0</v>
      </c>
      <c r="P905" s="108">
        <v>0</v>
      </c>
      <c r="Q905" s="108">
        <v>0</v>
      </c>
      <c r="R905" s="108">
        <v>0</v>
      </c>
      <c r="S905" s="108">
        <v>0</v>
      </c>
      <c r="T905" s="108">
        <v>0</v>
      </c>
      <c r="U905" s="108">
        <v>0</v>
      </c>
      <c r="V905" s="108">
        <v>0</v>
      </c>
      <c r="W905" s="108">
        <v>0</v>
      </c>
    </row>
    <row r="906" spans="1:23">
      <c r="A906" s="103">
        <v>45050</v>
      </c>
      <c r="B906" s="111" t="s">
        <v>39</v>
      </c>
      <c r="C906" s="112">
        <v>26688</v>
      </c>
      <c r="D906" s="112"/>
      <c r="E906" s="112">
        <v>300</v>
      </c>
      <c r="F906" s="113">
        <v>0.0112410071942446</v>
      </c>
      <c r="G906" s="112">
        <v>78</v>
      </c>
      <c r="H906" s="113">
        <v>0.26</v>
      </c>
      <c r="I906" s="113"/>
      <c r="J906" s="113"/>
      <c r="K906" s="113"/>
      <c r="L906" s="213"/>
      <c r="M906" s="213"/>
      <c r="N906" s="213"/>
      <c r="O906" s="213"/>
      <c r="P906" s="108"/>
      <c r="Q906" s="108"/>
      <c r="R906" s="108"/>
      <c r="S906" s="108"/>
      <c r="T906" s="108"/>
      <c r="U906" s="108"/>
      <c r="V906" s="108"/>
      <c r="W906" s="108"/>
    </row>
    <row r="907" spans="1:23">
      <c r="A907" s="103">
        <v>45051</v>
      </c>
      <c r="B907" s="104" t="s">
        <v>17</v>
      </c>
      <c r="C907" s="105">
        <v>694</v>
      </c>
      <c r="D907" s="105"/>
      <c r="E907" s="104">
        <v>54</v>
      </c>
      <c r="F907" s="106">
        <f>E907/C907</f>
        <v>0.0778097982708934</v>
      </c>
      <c r="G907" s="107">
        <v>9</v>
      </c>
      <c r="H907" s="106">
        <v>0.166666666666667</v>
      </c>
      <c r="I907" s="106"/>
      <c r="J907" s="106"/>
      <c r="K907" s="106"/>
      <c r="L907" s="213">
        <v>172</v>
      </c>
      <c r="M907" s="213">
        <v>117.666666666667</v>
      </c>
      <c r="N907" s="213">
        <v>86.8</v>
      </c>
      <c r="O907" s="213">
        <v>80.5714285714286</v>
      </c>
      <c r="P907" s="108">
        <v>13</v>
      </c>
      <c r="Q907" s="108">
        <v>15.3333333333333</v>
      </c>
      <c r="R907" s="108">
        <v>14.4</v>
      </c>
      <c r="S907" s="108">
        <v>12.7142857142857</v>
      </c>
      <c r="T907" s="108">
        <v>-4</v>
      </c>
      <c r="U907" s="108">
        <v>-0.333333333333334</v>
      </c>
      <c r="V907" s="108">
        <v>-0.199999999999999</v>
      </c>
      <c r="W907" s="108">
        <v>1</v>
      </c>
    </row>
    <row r="908" spans="1:23">
      <c r="A908" s="103">
        <v>45051</v>
      </c>
      <c r="B908" s="104" t="s">
        <v>19</v>
      </c>
      <c r="C908" s="107">
        <v>345</v>
      </c>
      <c r="D908" s="107"/>
      <c r="E908" s="104">
        <v>37</v>
      </c>
      <c r="F908" s="106">
        <f t="shared" ref="F908:F915" si="4">E908/C908</f>
        <v>0.107246376811594</v>
      </c>
      <c r="G908" s="107">
        <v>5</v>
      </c>
      <c r="H908" s="106">
        <v>0.135135135135135</v>
      </c>
      <c r="I908" s="106"/>
      <c r="J908" s="106"/>
      <c r="K908" s="106"/>
      <c r="L908" s="213">
        <v>-56</v>
      </c>
      <c r="M908" s="213">
        <v>-295.333333333333</v>
      </c>
      <c r="N908" s="213">
        <v>-386.4</v>
      </c>
      <c r="O908" s="213">
        <v>-295.714285714286</v>
      </c>
      <c r="P908" s="108">
        <v>17</v>
      </c>
      <c r="Q908" s="108">
        <v>20</v>
      </c>
      <c r="R908" s="108">
        <v>16.6</v>
      </c>
      <c r="S908" s="108">
        <v>17.4285714285714</v>
      </c>
      <c r="T908" s="108">
        <v>1</v>
      </c>
      <c r="U908" s="108">
        <v>-1</v>
      </c>
      <c r="V908" s="108">
        <v>-2.4</v>
      </c>
      <c r="W908" s="115">
        <v>-2.14285714285714</v>
      </c>
    </row>
    <row r="909" spans="1:23">
      <c r="A909" s="103">
        <v>45051</v>
      </c>
      <c r="B909" s="104" t="s">
        <v>21</v>
      </c>
      <c r="C909" s="145">
        <v>535</v>
      </c>
      <c r="D909" s="145"/>
      <c r="E909" s="104">
        <v>60</v>
      </c>
      <c r="F909" s="106">
        <f t="shared" si="4"/>
        <v>0.11214953271028</v>
      </c>
      <c r="G909" s="107">
        <v>8</v>
      </c>
      <c r="H909" s="106">
        <v>0.133333333333333</v>
      </c>
      <c r="I909" s="106"/>
      <c r="J909" s="106"/>
      <c r="K909" s="106"/>
      <c r="L909" s="213">
        <v>-52</v>
      </c>
      <c r="M909" s="213">
        <v>-16.3333333333334</v>
      </c>
      <c r="N909" s="213">
        <v>-6.20000000000005</v>
      </c>
      <c r="O909" s="213">
        <v>-19.7142857142857</v>
      </c>
      <c r="P909" s="108">
        <v>38</v>
      </c>
      <c r="Q909" s="108">
        <v>34.6666666666667</v>
      </c>
      <c r="R909" s="108">
        <v>33.8</v>
      </c>
      <c r="S909" s="108">
        <v>32.5714285714286</v>
      </c>
      <c r="T909" s="108">
        <v>2</v>
      </c>
      <c r="U909" s="108">
        <v>-0.333333333333334</v>
      </c>
      <c r="V909" s="108">
        <v>-0.199999999999999</v>
      </c>
      <c r="W909" s="108">
        <v>-0.428571428571429</v>
      </c>
    </row>
    <row r="910" spans="1:23">
      <c r="A910" s="103">
        <v>45051</v>
      </c>
      <c r="B910" s="104" t="s">
        <v>22</v>
      </c>
      <c r="C910" s="145">
        <v>1642</v>
      </c>
      <c r="D910" s="145"/>
      <c r="E910" s="104">
        <v>55</v>
      </c>
      <c r="F910" s="106">
        <f t="shared" si="4"/>
        <v>0.0334957369062119</v>
      </c>
      <c r="G910" s="107">
        <v>19</v>
      </c>
      <c r="H910" s="106">
        <v>0.345454545454545</v>
      </c>
      <c r="I910" s="106"/>
      <c r="J910" s="106"/>
      <c r="K910" s="106"/>
      <c r="L910" s="213">
        <v>167</v>
      </c>
      <c r="M910" s="213">
        <v>84</v>
      </c>
      <c r="N910" s="213">
        <v>-416.8</v>
      </c>
      <c r="O910" s="213">
        <v>-723.857142857143</v>
      </c>
      <c r="P910" s="108">
        <v>24</v>
      </c>
      <c r="Q910" s="108">
        <v>16.3333333333333</v>
      </c>
      <c r="R910" s="108">
        <v>16.2</v>
      </c>
      <c r="S910" s="115">
        <v>12.1428571428571</v>
      </c>
      <c r="T910" s="108">
        <v>5</v>
      </c>
      <c r="U910" s="108">
        <v>7.66666666666667</v>
      </c>
      <c r="V910" s="108">
        <v>8.2</v>
      </c>
      <c r="W910" s="117">
        <v>5.14285714285714</v>
      </c>
    </row>
    <row r="911" spans="1:23">
      <c r="A911" s="103">
        <v>45051</v>
      </c>
      <c r="B911" s="104" t="s">
        <v>23</v>
      </c>
      <c r="C911" s="145">
        <v>2187</v>
      </c>
      <c r="D911" s="145"/>
      <c r="E911" s="104">
        <v>35</v>
      </c>
      <c r="F911" s="106">
        <f t="shared" si="4"/>
        <v>0.0160036579789666</v>
      </c>
      <c r="G911" s="107">
        <v>6</v>
      </c>
      <c r="H911" s="106">
        <v>0.171428571428571</v>
      </c>
      <c r="I911" s="106"/>
      <c r="J911" s="106"/>
      <c r="K911" s="106"/>
      <c r="L911" s="213">
        <v>-20</v>
      </c>
      <c r="M911" s="213">
        <v>-178</v>
      </c>
      <c r="N911" s="213">
        <v>-294.4</v>
      </c>
      <c r="O911" s="213">
        <v>-346.285714285714</v>
      </c>
      <c r="P911" s="108">
        <v>18</v>
      </c>
      <c r="Q911" s="108">
        <v>17</v>
      </c>
      <c r="R911" s="108">
        <v>16</v>
      </c>
      <c r="S911" s="108">
        <v>16.4285714285714</v>
      </c>
      <c r="T911" s="108">
        <v>-1</v>
      </c>
      <c r="U911" s="116">
        <v>-1</v>
      </c>
      <c r="V911" s="108">
        <v>-0.8</v>
      </c>
      <c r="W911" s="108">
        <v>-1</v>
      </c>
    </row>
    <row r="912" spans="1:23">
      <c r="A912" s="103">
        <v>45051</v>
      </c>
      <c r="B912" s="104" t="s">
        <v>24</v>
      </c>
      <c r="C912" s="145">
        <v>3581</v>
      </c>
      <c r="D912" s="145"/>
      <c r="E912" s="104">
        <v>92</v>
      </c>
      <c r="F912" s="106">
        <f t="shared" si="4"/>
        <v>0.0256911477240994</v>
      </c>
      <c r="G912" s="107">
        <v>14</v>
      </c>
      <c r="H912" s="106">
        <v>0.152173913043478</v>
      </c>
      <c r="I912" s="106"/>
      <c r="J912" s="106"/>
      <c r="K912" s="106"/>
      <c r="L912" s="213">
        <v>320</v>
      </c>
      <c r="M912" s="213">
        <v>245.333333333333</v>
      </c>
      <c r="N912" s="213">
        <v>1064.4</v>
      </c>
      <c r="O912" s="213">
        <v>1662.14285714286</v>
      </c>
      <c r="P912" s="115">
        <v>15</v>
      </c>
      <c r="Q912" s="115">
        <v>43.3333333333333</v>
      </c>
      <c r="R912" s="115">
        <v>61</v>
      </c>
      <c r="S912" s="115">
        <v>69.4285714285714</v>
      </c>
      <c r="T912" s="115">
        <v>1</v>
      </c>
      <c r="U912" s="115">
        <v>4.66666666666667</v>
      </c>
      <c r="V912" s="115">
        <v>8.2</v>
      </c>
      <c r="W912" s="115">
        <v>9.71428571428572</v>
      </c>
    </row>
    <row r="913" spans="1:23">
      <c r="A913" s="103">
        <v>45051</v>
      </c>
      <c r="B913" s="104" t="s">
        <v>25</v>
      </c>
      <c r="C913" s="145">
        <v>6308</v>
      </c>
      <c r="D913" s="145"/>
      <c r="E913" s="104">
        <v>36</v>
      </c>
      <c r="F913" s="106">
        <f t="shared" si="4"/>
        <v>0.00570703868103995</v>
      </c>
      <c r="G913" s="107">
        <v>11</v>
      </c>
      <c r="H913" s="106">
        <v>0.305555555555556</v>
      </c>
      <c r="I913" s="106"/>
      <c r="J913" s="106"/>
      <c r="K913" s="106"/>
      <c r="L913" s="213">
        <v>592</v>
      </c>
      <c r="M913" s="213">
        <v>812</v>
      </c>
      <c r="N913" s="213">
        <v>965.200000000001</v>
      </c>
      <c r="O913" s="213">
        <v>-326.857142857143</v>
      </c>
      <c r="P913" s="116">
        <v>-4</v>
      </c>
      <c r="Q913" s="115">
        <v>-12.6666666666667</v>
      </c>
      <c r="R913" s="115">
        <v>-10.4</v>
      </c>
      <c r="S913" s="115">
        <v>-15</v>
      </c>
      <c r="T913" s="108">
        <v>1</v>
      </c>
      <c r="U913" s="108">
        <v>-6.33333333333333</v>
      </c>
      <c r="V913" s="108">
        <v>-7</v>
      </c>
      <c r="W913" s="108">
        <v>-9</v>
      </c>
    </row>
    <row r="914" spans="1:23">
      <c r="A914" s="103">
        <v>45051</v>
      </c>
      <c r="B914" s="104" t="s">
        <v>26</v>
      </c>
      <c r="C914" s="145">
        <v>1833</v>
      </c>
      <c r="D914" s="145"/>
      <c r="E914" s="104">
        <v>40</v>
      </c>
      <c r="F914" s="106">
        <f t="shared" si="4"/>
        <v>0.021822149481724</v>
      </c>
      <c r="G914" s="107">
        <v>7</v>
      </c>
      <c r="H914" s="106">
        <v>0.175</v>
      </c>
      <c r="I914" s="106"/>
      <c r="J914" s="106"/>
      <c r="K914" s="106"/>
      <c r="L914" s="213">
        <v>1238</v>
      </c>
      <c r="M914" s="213">
        <v>1126.66666666667</v>
      </c>
      <c r="N914" s="213">
        <v>1100.8</v>
      </c>
      <c r="O914" s="213">
        <v>1127.14285714286</v>
      </c>
      <c r="P914" s="108">
        <v>23</v>
      </c>
      <c r="Q914" s="108">
        <v>21</v>
      </c>
      <c r="R914" s="108">
        <v>21.2</v>
      </c>
      <c r="S914" s="108">
        <v>20.8571428571429</v>
      </c>
      <c r="T914" s="108">
        <v>3</v>
      </c>
      <c r="U914" s="108">
        <v>3</v>
      </c>
      <c r="V914" s="108">
        <v>2.6</v>
      </c>
      <c r="W914" s="108">
        <v>2</v>
      </c>
    </row>
    <row r="915" spans="1:23">
      <c r="A915" s="103">
        <v>45051</v>
      </c>
      <c r="B915" s="104" t="s">
        <v>27</v>
      </c>
      <c r="C915" s="145">
        <v>1811</v>
      </c>
      <c r="D915" s="145"/>
      <c r="E915" s="104">
        <v>104</v>
      </c>
      <c r="F915" s="106">
        <f t="shared" si="4"/>
        <v>0.0574268360022087</v>
      </c>
      <c r="G915" s="107">
        <v>10</v>
      </c>
      <c r="H915" s="106">
        <v>0.0961538461538462</v>
      </c>
      <c r="I915" s="106"/>
      <c r="J915" s="106"/>
      <c r="K915" s="106"/>
      <c r="L915" s="213">
        <v>184</v>
      </c>
      <c r="M915" s="213">
        <v>504.666666666667</v>
      </c>
      <c r="N915" s="213">
        <v>872.8</v>
      </c>
      <c r="O915" s="213">
        <v>1316</v>
      </c>
      <c r="P915" s="108">
        <v>70</v>
      </c>
      <c r="Q915" s="108">
        <v>75.3333333333333</v>
      </c>
      <c r="R915" s="108">
        <v>79.6</v>
      </c>
      <c r="S915" s="108">
        <v>82.8571428571429</v>
      </c>
      <c r="T915" s="108">
        <v>3</v>
      </c>
      <c r="U915" s="108">
        <v>2.33333333333333</v>
      </c>
      <c r="V915" s="108">
        <v>2.4</v>
      </c>
      <c r="W915" s="108">
        <v>3.85714285714286</v>
      </c>
    </row>
    <row r="916" spans="1:23">
      <c r="A916" s="103">
        <v>45051</v>
      </c>
      <c r="B916" s="104" t="s">
        <v>28</v>
      </c>
      <c r="C916" s="145">
        <v>0</v>
      </c>
      <c r="D916" s="145"/>
      <c r="E916" s="104">
        <v>0</v>
      </c>
      <c r="F916" s="106">
        <v>0</v>
      </c>
      <c r="G916" s="107">
        <v>0</v>
      </c>
      <c r="H916" s="106">
        <v>0</v>
      </c>
      <c r="I916" s="106"/>
      <c r="J916" s="106"/>
      <c r="K916" s="106"/>
      <c r="L916" s="213">
        <v>0</v>
      </c>
      <c r="M916" s="213">
        <v>0</v>
      </c>
      <c r="N916" s="213">
        <v>0</v>
      </c>
      <c r="O916" s="213">
        <v>0</v>
      </c>
      <c r="P916" s="108">
        <v>0</v>
      </c>
      <c r="Q916" s="108">
        <v>0</v>
      </c>
      <c r="R916" s="108">
        <v>0</v>
      </c>
      <c r="S916" s="108">
        <v>0</v>
      </c>
      <c r="T916" s="108">
        <v>0</v>
      </c>
      <c r="U916" s="108">
        <v>0</v>
      </c>
      <c r="V916" s="108">
        <v>0</v>
      </c>
      <c r="W916" s="108">
        <v>0</v>
      </c>
    </row>
    <row r="917" spans="1:23">
      <c r="A917" s="103">
        <v>45051</v>
      </c>
      <c r="B917" s="104" t="s">
        <v>29</v>
      </c>
      <c r="C917" s="145">
        <v>1</v>
      </c>
      <c r="D917" s="145"/>
      <c r="E917" s="104">
        <v>0</v>
      </c>
      <c r="F917" s="106">
        <v>0</v>
      </c>
      <c r="G917" s="107">
        <v>0</v>
      </c>
      <c r="H917" s="106">
        <v>0</v>
      </c>
      <c r="I917" s="106"/>
      <c r="J917" s="106"/>
      <c r="K917" s="106"/>
      <c r="L917" s="213">
        <v>1</v>
      </c>
      <c r="M917" s="213">
        <v>0.666666666666667</v>
      </c>
      <c r="N917" s="213">
        <v>0.8</v>
      </c>
      <c r="O917" s="213">
        <v>0.857142857142857</v>
      </c>
      <c r="P917" s="108">
        <v>0</v>
      </c>
      <c r="Q917" s="108">
        <v>-0.333333333333333</v>
      </c>
      <c r="R917" s="108">
        <v>-0.2</v>
      </c>
      <c r="S917" s="108">
        <v>-0.142857142857143</v>
      </c>
      <c r="T917" s="108">
        <v>0</v>
      </c>
      <c r="U917" s="108">
        <v>0</v>
      </c>
      <c r="V917" s="108">
        <v>0</v>
      </c>
      <c r="W917" s="108">
        <v>0</v>
      </c>
    </row>
    <row r="918" spans="1:23">
      <c r="A918" s="103">
        <v>45051</v>
      </c>
      <c r="B918" s="104" t="s">
        <v>30</v>
      </c>
      <c r="C918" s="145">
        <v>0</v>
      </c>
      <c r="D918" s="145"/>
      <c r="E918" s="104">
        <v>0</v>
      </c>
      <c r="F918" s="106">
        <v>0</v>
      </c>
      <c r="G918" s="107">
        <v>0</v>
      </c>
      <c r="H918" s="106">
        <v>0</v>
      </c>
      <c r="I918" s="106"/>
      <c r="J918" s="106"/>
      <c r="K918" s="106"/>
      <c r="L918" s="213">
        <v>0</v>
      </c>
      <c r="M918" s="213">
        <v>0</v>
      </c>
      <c r="N918" s="213">
        <v>0</v>
      </c>
      <c r="O918" s="213">
        <v>0</v>
      </c>
      <c r="P918" s="108">
        <v>0</v>
      </c>
      <c r="Q918" s="108">
        <v>0</v>
      </c>
      <c r="R918" s="108">
        <v>0</v>
      </c>
      <c r="S918" s="108">
        <v>0</v>
      </c>
      <c r="T918" s="108">
        <v>0</v>
      </c>
      <c r="U918" s="108">
        <v>0</v>
      </c>
      <c r="V918" s="108">
        <v>0</v>
      </c>
      <c r="W918" s="108">
        <v>0</v>
      </c>
    </row>
    <row r="919" spans="1:23">
      <c r="A919" s="103">
        <v>45051</v>
      </c>
      <c r="B919" s="104" t="s">
        <v>31</v>
      </c>
      <c r="C919" s="145">
        <v>0</v>
      </c>
      <c r="D919" s="145"/>
      <c r="E919" s="104">
        <v>1</v>
      </c>
      <c r="F919" s="106">
        <v>1</v>
      </c>
      <c r="G919" s="107">
        <v>0</v>
      </c>
      <c r="H919" s="106">
        <v>0</v>
      </c>
      <c r="I919" s="106"/>
      <c r="J919" s="106"/>
      <c r="K919" s="106"/>
      <c r="L919" s="213">
        <v>0</v>
      </c>
      <c r="M919" s="213">
        <v>0</v>
      </c>
      <c r="N919" s="213">
        <v>0</v>
      </c>
      <c r="O919" s="213">
        <v>0</v>
      </c>
      <c r="P919" s="108">
        <v>1</v>
      </c>
      <c r="Q919" s="108">
        <v>1</v>
      </c>
      <c r="R919" s="108">
        <v>1</v>
      </c>
      <c r="S919" s="108">
        <v>0.857142857142857</v>
      </c>
      <c r="T919" s="108">
        <v>0</v>
      </c>
      <c r="U919" s="108">
        <v>0</v>
      </c>
      <c r="V919" s="108">
        <v>0</v>
      </c>
      <c r="W919" s="108">
        <v>0</v>
      </c>
    </row>
    <row r="920" spans="1:23">
      <c r="A920" s="103">
        <v>45051</v>
      </c>
      <c r="B920" s="104" t="s">
        <v>32</v>
      </c>
      <c r="C920" s="145">
        <v>0</v>
      </c>
      <c r="D920" s="145"/>
      <c r="E920" s="104">
        <v>0</v>
      </c>
      <c r="F920" s="106">
        <v>0</v>
      </c>
      <c r="G920" s="107">
        <v>0</v>
      </c>
      <c r="H920" s="106">
        <v>0</v>
      </c>
      <c r="I920" s="106"/>
      <c r="J920" s="106"/>
      <c r="K920" s="106"/>
      <c r="L920" s="213">
        <v>0</v>
      </c>
      <c r="M920" s="213">
        <v>0</v>
      </c>
      <c r="N920" s="213">
        <v>0</v>
      </c>
      <c r="O920" s="213">
        <v>0</v>
      </c>
      <c r="P920" s="108">
        <v>0</v>
      </c>
      <c r="Q920" s="108">
        <v>0</v>
      </c>
      <c r="R920" s="108">
        <v>0</v>
      </c>
      <c r="S920" s="108">
        <v>0</v>
      </c>
      <c r="T920" s="108">
        <v>0</v>
      </c>
      <c r="U920" s="108">
        <v>0</v>
      </c>
      <c r="V920" s="108">
        <v>0</v>
      </c>
      <c r="W920" s="108">
        <v>0</v>
      </c>
    </row>
    <row r="921" spans="1:23">
      <c r="A921" s="103">
        <v>45051</v>
      </c>
      <c r="B921" s="104" t="s">
        <v>33</v>
      </c>
      <c r="C921" s="145">
        <v>0</v>
      </c>
      <c r="D921" s="145"/>
      <c r="E921" s="104">
        <v>0</v>
      </c>
      <c r="F921" s="106">
        <v>0</v>
      </c>
      <c r="G921" s="107">
        <v>0</v>
      </c>
      <c r="H921" s="106">
        <v>0</v>
      </c>
      <c r="I921" s="106"/>
      <c r="J921" s="106"/>
      <c r="K921" s="106"/>
      <c r="L921" s="213">
        <v>0</v>
      </c>
      <c r="M921" s="213">
        <v>0</v>
      </c>
      <c r="N921" s="213">
        <v>0</v>
      </c>
      <c r="O921" s="213">
        <v>0</v>
      </c>
      <c r="P921" s="108">
        <v>0</v>
      </c>
      <c r="Q921" s="108">
        <v>0</v>
      </c>
      <c r="R921" s="108">
        <v>-0.2</v>
      </c>
      <c r="S921" s="108">
        <v>-0.285714285714286</v>
      </c>
      <c r="T921" s="108">
        <v>0</v>
      </c>
      <c r="U921" s="108">
        <v>0</v>
      </c>
      <c r="V921" s="108">
        <v>0</v>
      </c>
      <c r="W921" s="108">
        <v>0</v>
      </c>
    </row>
    <row r="922" spans="1:23">
      <c r="A922" s="103">
        <v>45051</v>
      </c>
      <c r="B922" s="104" t="s">
        <v>34</v>
      </c>
      <c r="C922" s="145">
        <v>0</v>
      </c>
      <c r="D922" s="145"/>
      <c r="E922" s="104">
        <v>0</v>
      </c>
      <c r="F922" s="106">
        <v>0</v>
      </c>
      <c r="G922" s="107">
        <v>0</v>
      </c>
      <c r="H922" s="106">
        <v>0</v>
      </c>
      <c r="I922" s="106"/>
      <c r="J922" s="106"/>
      <c r="K922" s="106"/>
      <c r="L922" s="213">
        <v>0</v>
      </c>
      <c r="M922" s="213">
        <v>0</v>
      </c>
      <c r="N922" s="213">
        <v>0</v>
      </c>
      <c r="O922" s="213">
        <v>0</v>
      </c>
      <c r="P922" s="108">
        <v>0</v>
      </c>
      <c r="Q922" s="108">
        <v>0</v>
      </c>
      <c r="R922" s="108">
        <v>0</v>
      </c>
      <c r="S922" s="108">
        <v>0</v>
      </c>
      <c r="T922" s="108">
        <v>0</v>
      </c>
      <c r="U922" s="108">
        <v>0</v>
      </c>
      <c r="V922" s="108">
        <v>0</v>
      </c>
      <c r="W922" s="108">
        <v>0</v>
      </c>
    </row>
    <row r="923" spans="1:23">
      <c r="A923" s="103">
        <v>45051</v>
      </c>
      <c r="B923" s="104" t="s">
        <v>35</v>
      </c>
      <c r="C923" s="145">
        <v>0</v>
      </c>
      <c r="D923" s="145"/>
      <c r="E923" s="104">
        <v>0</v>
      </c>
      <c r="F923" s="106">
        <v>0</v>
      </c>
      <c r="G923" s="107">
        <v>0</v>
      </c>
      <c r="H923" s="106">
        <v>0</v>
      </c>
      <c r="I923" s="106"/>
      <c r="J923" s="106"/>
      <c r="K923" s="106"/>
      <c r="L923" s="213">
        <v>0</v>
      </c>
      <c r="M923" s="213">
        <v>0</v>
      </c>
      <c r="N923" s="213">
        <v>0</v>
      </c>
      <c r="O923" s="213">
        <v>0</v>
      </c>
      <c r="P923" s="108">
        <v>0</v>
      </c>
      <c r="Q923" s="108">
        <v>0</v>
      </c>
      <c r="R923" s="108">
        <v>0</v>
      </c>
      <c r="S923" s="108">
        <v>0</v>
      </c>
      <c r="T923" s="108">
        <v>0</v>
      </c>
      <c r="U923" s="108">
        <v>0</v>
      </c>
      <c r="V923" s="108">
        <v>0</v>
      </c>
      <c r="W923" s="108">
        <v>0</v>
      </c>
    </row>
    <row r="924" spans="1:23">
      <c r="A924" s="103">
        <v>45051</v>
      </c>
      <c r="B924" s="104" t="s">
        <v>36</v>
      </c>
      <c r="C924" s="145">
        <v>0</v>
      </c>
      <c r="D924" s="145"/>
      <c r="E924" s="104">
        <v>0</v>
      </c>
      <c r="F924" s="106">
        <v>0</v>
      </c>
      <c r="G924" s="107">
        <v>0</v>
      </c>
      <c r="H924" s="106">
        <v>0</v>
      </c>
      <c r="I924" s="106"/>
      <c r="J924" s="106"/>
      <c r="K924" s="106"/>
      <c r="L924" s="213">
        <v>0</v>
      </c>
      <c r="M924" s="213">
        <v>0</v>
      </c>
      <c r="N924" s="213">
        <v>0</v>
      </c>
      <c r="O924" s="213">
        <v>0</v>
      </c>
      <c r="P924" s="108">
        <v>0</v>
      </c>
      <c r="Q924" s="108">
        <v>0</v>
      </c>
      <c r="R924" s="108">
        <v>0</v>
      </c>
      <c r="S924" s="108">
        <v>0</v>
      </c>
      <c r="T924" s="108">
        <v>0</v>
      </c>
      <c r="U924" s="108">
        <v>0</v>
      </c>
      <c r="V924" s="108">
        <v>0</v>
      </c>
      <c r="W924" s="108">
        <v>0</v>
      </c>
    </row>
    <row r="925" spans="1:23">
      <c r="A925" s="103">
        <v>45051</v>
      </c>
      <c r="B925" s="104" t="s">
        <v>37</v>
      </c>
      <c r="C925" s="145">
        <v>0</v>
      </c>
      <c r="D925" s="145"/>
      <c r="E925" s="104">
        <v>0</v>
      </c>
      <c r="F925" s="106">
        <v>0</v>
      </c>
      <c r="G925" s="107">
        <v>0</v>
      </c>
      <c r="H925" s="106">
        <v>0</v>
      </c>
      <c r="I925" s="106"/>
      <c r="J925" s="106"/>
      <c r="K925" s="106"/>
      <c r="L925" s="213">
        <v>0</v>
      </c>
      <c r="M925" s="213">
        <v>0</v>
      </c>
      <c r="N925" s="213">
        <v>0</v>
      </c>
      <c r="O925" s="213">
        <v>0</v>
      </c>
      <c r="P925" s="108">
        <v>-1</v>
      </c>
      <c r="Q925" s="108">
        <v>-0.333333333333333</v>
      </c>
      <c r="R925" s="108">
        <v>-0.4</v>
      </c>
      <c r="S925" s="108">
        <v>-0.285714285714286</v>
      </c>
      <c r="T925" s="108">
        <v>0</v>
      </c>
      <c r="U925" s="108">
        <v>0</v>
      </c>
      <c r="V925" s="108">
        <v>0</v>
      </c>
      <c r="W925" s="108">
        <v>0</v>
      </c>
    </row>
    <row r="926" spans="1:23">
      <c r="A926" s="103">
        <v>45051</v>
      </c>
      <c r="B926" s="104" t="s">
        <v>38</v>
      </c>
      <c r="C926" s="145">
        <v>0</v>
      </c>
      <c r="D926" s="145"/>
      <c r="E926" s="104">
        <v>0</v>
      </c>
      <c r="F926" s="106">
        <v>0</v>
      </c>
      <c r="G926" s="107">
        <v>0</v>
      </c>
      <c r="H926" s="106">
        <v>0</v>
      </c>
      <c r="I926" s="106"/>
      <c r="J926" s="106"/>
      <c r="K926" s="106"/>
      <c r="L926" s="213">
        <v>0</v>
      </c>
      <c r="M926" s="213">
        <v>0</v>
      </c>
      <c r="N926" s="213">
        <v>0</v>
      </c>
      <c r="O926" s="213">
        <v>0</v>
      </c>
      <c r="P926" s="108">
        <v>0</v>
      </c>
      <c r="Q926" s="108">
        <v>0</v>
      </c>
      <c r="R926" s="108">
        <v>0</v>
      </c>
      <c r="S926" s="108">
        <v>0</v>
      </c>
      <c r="T926" s="108">
        <v>0</v>
      </c>
      <c r="U926" s="108">
        <v>0</v>
      </c>
      <c r="V926" s="108">
        <v>0</v>
      </c>
      <c r="W926" s="108">
        <v>0</v>
      </c>
    </row>
    <row r="927" spans="1:23">
      <c r="A927" s="103">
        <v>45051</v>
      </c>
      <c r="B927" s="111" t="s">
        <v>39</v>
      </c>
      <c r="C927" s="112">
        <v>29234</v>
      </c>
      <c r="D927" s="112"/>
      <c r="E927" s="112">
        <v>514</v>
      </c>
      <c r="F927" s="113">
        <v>0.0175822672230964</v>
      </c>
      <c r="G927" s="112">
        <v>89</v>
      </c>
      <c r="H927" s="113">
        <v>0.173151750972763</v>
      </c>
      <c r="I927" s="113"/>
      <c r="J927" s="113"/>
      <c r="K927" s="113"/>
      <c r="L927" s="213"/>
      <c r="M927" s="213"/>
      <c r="N927" s="213"/>
      <c r="O927" s="213"/>
      <c r="P927" s="108"/>
      <c r="Q927" s="108"/>
      <c r="R927" s="108"/>
      <c r="S927" s="108"/>
      <c r="T927" s="108"/>
      <c r="U927" s="108"/>
      <c r="V927" s="108"/>
      <c r="W927" s="108"/>
    </row>
    <row r="928" spans="1:23">
      <c r="A928" s="103">
        <v>45052</v>
      </c>
      <c r="B928" s="104" t="s">
        <v>17</v>
      </c>
      <c r="C928" s="105">
        <v>366</v>
      </c>
      <c r="D928" s="105"/>
      <c r="E928" s="104">
        <v>35</v>
      </c>
      <c r="F928" s="106">
        <f>E928/C928</f>
        <v>0.0956284153005464</v>
      </c>
      <c r="G928" s="107">
        <v>11</v>
      </c>
      <c r="H928" s="106">
        <v>0.314285714285714</v>
      </c>
      <c r="I928" s="106"/>
      <c r="J928" s="106"/>
      <c r="K928" s="106"/>
      <c r="L928" s="213">
        <v>-328</v>
      </c>
      <c r="M928" s="213">
        <v>-262</v>
      </c>
      <c r="N928" s="213">
        <v>-246.4</v>
      </c>
      <c r="O928" s="213">
        <v>-265.142857142857</v>
      </c>
      <c r="P928" s="108">
        <v>-19</v>
      </c>
      <c r="Q928" s="108">
        <v>-11.3333333333333</v>
      </c>
      <c r="R928" s="108">
        <v>-6.6</v>
      </c>
      <c r="S928" s="108">
        <v>-8.42857142857143</v>
      </c>
      <c r="T928" s="108">
        <v>2</v>
      </c>
      <c r="U928" s="108">
        <v>2.33333333333333</v>
      </c>
      <c r="V928" s="108">
        <v>2.2</v>
      </c>
      <c r="W928" s="108">
        <v>2.28571428571429</v>
      </c>
    </row>
    <row r="929" spans="1:23">
      <c r="A929" s="103">
        <v>45052</v>
      </c>
      <c r="B929" s="104" t="s">
        <v>19</v>
      </c>
      <c r="C929" s="107">
        <v>217</v>
      </c>
      <c r="D929" s="107"/>
      <c r="E929" s="104">
        <v>13</v>
      </c>
      <c r="F929" s="106">
        <f t="shared" ref="F929:F936" si="5">E929/C929</f>
        <v>0.0599078341013825</v>
      </c>
      <c r="G929" s="107">
        <v>4</v>
      </c>
      <c r="H929" s="106">
        <v>0.307692307692308</v>
      </c>
      <c r="I929" s="106"/>
      <c r="J929" s="106"/>
      <c r="K929" s="106"/>
      <c r="L929" s="213">
        <v>-256</v>
      </c>
      <c r="M929" s="213">
        <v>-412.666666666667</v>
      </c>
      <c r="N929" s="213">
        <v>-544.4</v>
      </c>
      <c r="O929" s="213">
        <v>-571.428571428571</v>
      </c>
      <c r="P929" s="108">
        <v>-24</v>
      </c>
      <c r="Q929" s="108">
        <v>-13</v>
      </c>
      <c r="R929" s="108">
        <v>-10</v>
      </c>
      <c r="S929" s="108">
        <v>-9.85714285714286</v>
      </c>
      <c r="T929" s="108">
        <v>-1</v>
      </c>
      <c r="U929" s="108">
        <v>-2</v>
      </c>
      <c r="V929" s="108">
        <v>-2.8</v>
      </c>
      <c r="W929" s="115">
        <v>-3.14285714285714</v>
      </c>
    </row>
    <row r="930" spans="1:23">
      <c r="A930" s="103">
        <v>45052</v>
      </c>
      <c r="B930" s="104" t="s">
        <v>21</v>
      </c>
      <c r="C930" s="145">
        <v>531</v>
      </c>
      <c r="D930" s="145"/>
      <c r="E930" s="104">
        <v>25</v>
      </c>
      <c r="F930" s="106">
        <f t="shared" si="5"/>
        <v>0.0470809792843691</v>
      </c>
      <c r="G930" s="107">
        <v>12</v>
      </c>
      <c r="H930" s="106">
        <v>0.48</v>
      </c>
      <c r="I930" s="106"/>
      <c r="J930" s="106"/>
      <c r="K930" s="106"/>
      <c r="L930" s="213">
        <v>-4</v>
      </c>
      <c r="M930" s="213">
        <v>-11.6666666666666</v>
      </c>
      <c r="N930" s="213">
        <v>-7.60000000000002</v>
      </c>
      <c r="O930" s="213">
        <v>-16.4285714285714</v>
      </c>
      <c r="P930" s="108">
        <v>-35</v>
      </c>
      <c r="Q930" s="108">
        <v>-11</v>
      </c>
      <c r="R930" s="108">
        <v>-8</v>
      </c>
      <c r="S930" s="108">
        <v>-7.14285714285715</v>
      </c>
      <c r="T930" s="108">
        <v>4</v>
      </c>
      <c r="U930" s="108">
        <v>3.33333333333333</v>
      </c>
      <c r="V930" s="108">
        <v>4.4</v>
      </c>
      <c r="W930" s="108">
        <v>3.28571428571429</v>
      </c>
    </row>
    <row r="931" spans="1:23">
      <c r="A931" s="103">
        <v>45052</v>
      </c>
      <c r="B931" s="104" t="s">
        <v>22</v>
      </c>
      <c r="C931" s="145">
        <v>1909</v>
      </c>
      <c r="D931" s="145"/>
      <c r="E931" s="104">
        <v>58</v>
      </c>
      <c r="F931" s="106">
        <f t="shared" si="5"/>
        <v>0.0303823991618649</v>
      </c>
      <c r="G931" s="107">
        <v>16</v>
      </c>
      <c r="H931" s="106">
        <v>0.275862068965517</v>
      </c>
      <c r="I931" s="106"/>
      <c r="J931" s="106"/>
      <c r="K931" s="106"/>
      <c r="L931" s="213">
        <v>267</v>
      </c>
      <c r="M931" s="213">
        <v>342.333333333333</v>
      </c>
      <c r="N931" s="213">
        <v>78.2</v>
      </c>
      <c r="O931" s="213">
        <v>-210.857142857143</v>
      </c>
      <c r="P931" s="108">
        <v>3</v>
      </c>
      <c r="Q931" s="108">
        <v>14.3333333333333</v>
      </c>
      <c r="R931" s="108">
        <v>18</v>
      </c>
      <c r="S931" s="115">
        <v>16</v>
      </c>
      <c r="T931" s="108">
        <v>-3</v>
      </c>
      <c r="U931" s="108">
        <v>2</v>
      </c>
      <c r="V931" s="108">
        <v>4</v>
      </c>
      <c r="W931" s="117">
        <v>3.14285714285714</v>
      </c>
    </row>
    <row r="932" spans="1:23">
      <c r="A932" s="103">
        <v>45052</v>
      </c>
      <c r="B932" s="104" t="s">
        <v>23</v>
      </c>
      <c r="C932" s="145">
        <v>2358</v>
      </c>
      <c r="D932" s="145"/>
      <c r="E932" s="104">
        <v>18</v>
      </c>
      <c r="F932" s="106">
        <f t="shared" si="5"/>
        <v>0.00763358778625954</v>
      </c>
      <c r="G932" s="107">
        <v>4</v>
      </c>
      <c r="H932" s="106">
        <v>0.222222222222222</v>
      </c>
      <c r="I932" s="106"/>
      <c r="J932" s="106"/>
      <c r="K932" s="106"/>
      <c r="L932" s="213">
        <v>171</v>
      </c>
      <c r="M932" s="213">
        <v>88</v>
      </c>
      <c r="N932" s="213">
        <v>-26.1999999999998</v>
      </c>
      <c r="O932" s="213">
        <v>-112</v>
      </c>
      <c r="P932" s="108">
        <v>-17</v>
      </c>
      <c r="Q932" s="108">
        <v>-5.33333333333333</v>
      </c>
      <c r="R932" s="108">
        <v>-4</v>
      </c>
      <c r="S932" s="108">
        <v>-2.85714285714286</v>
      </c>
      <c r="T932" s="108">
        <v>-2</v>
      </c>
      <c r="U932" s="116">
        <v>-2.66666666666667</v>
      </c>
      <c r="V932" s="108">
        <v>-3</v>
      </c>
      <c r="W932" s="108">
        <v>-2.42857142857143</v>
      </c>
    </row>
    <row r="933" spans="1:23">
      <c r="A933" s="103">
        <v>45052</v>
      </c>
      <c r="B933" s="104" t="s">
        <v>24</v>
      </c>
      <c r="C933" s="145">
        <v>2872</v>
      </c>
      <c r="D933" s="145"/>
      <c r="E933" s="104">
        <v>67</v>
      </c>
      <c r="F933" s="106">
        <f t="shared" si="5"/>
        <v>0.0233286908077994</v>
      </c>
      <c r="G933" s="107">
        <v>26</v>
      </c>
      <c r="H933" s="106">
        <v>0.388059701492537</v>
      </c>
      <c r="I933" s="106"/>
      <c r="J933" s="106"/>
      <c r="K933" s="106"/>
      <c r="L933" s="213">
        <v>-709</v>
      </c>
      <c r="M933" s="213">
        <v>-719.666666666667</v>
      </c>
      <c r="N933" s="213">
        <v>-271.6</v>
      </c>
      <c r="O933" s="213">
        <v>484.285714285714</v>
      </c>
      <c r="P933" s="115">
        <v>-25</v>
      </c>
      <c r="Q933" s="115">
        <v>-5.66666666666667</v>
      </c>
      <c r="R933" s="115">
        <v>18.4</v>
      </c>
      <c r="S933" s="115">
        <v>31.4285714285714</v>
      </c>
      <c r="T933" s="115">
        <v>12</v>
      </c>
      <c r="U933" s="115">
        <v>13.6666666666667</v>
      </c>
      <c r="V933" s="115">
        <v>17.4</v>
      </c>
      <c r="W933" s="115">
        <v>19.8571428571429</v>
      </c>
    </row>
    <row r="934" spans="1:23">
      <c r="A934" s="103">
        <v>45052</v>
      </c>
      <c r="B934" s="104" t="s">
        <v>25</v>
      </c>
      <c r="C934" s="145">
        <v>5131</v>
      </c>
      <c r="D934" s="145"/>
      <c r="E934" s="104">
        <v>26</v>
      </c>
      <c r="F934" s="106">
        <f t="shared" si="5"/>
        <v>0.00506723835509647</v>
      </c>
      <c r="G934" s="107">
        <v>14</v>
      </c>
      <c r="H934" s="106">
        <v>0.538461538461538</v>
      </c>
      <c r="I934" s="106"/>
      <c r="J934" s="106"/>
      <c r="K934" s="106"/>
      <c r="L934" s="213">
        <v>-2354</v>
      </c>
      <c r="M934" s="213">
        <v>-2614.66666666667</v>
      </c>
      <c r="N934" s="213">
        <v>-1782</v>
      </c>
      <c r="O934" s="213">
        <v>-2120.85714285714</v>
      </c>
      <c r="P934" s="116">
        <v>-10</v>
      </c>
      <c r="Q934" s="115">
        <v>-17.3333333333333</v>
      </c>
      <c r="R934" s="115">
        <v>-17.6</v>
      </c>
      <c r="S934" s="115">
        <v>-18.8571428571429</v>
      </c>
      <c r="T934" s="108">
        <v>3</v>
      </c>
      <c r="U934" s="108">
        <v>0.666666666666666</v>
      </c>
      <c r="V934" s="108">
        <v>-2.8</v>
      </c>
      <c r="W934" s="108">
        <v>-2.85714285714286</v>
      </c>
    </row>
    <row r="935" spans="1:23">
      <c r="A935" s="103">
        <v>45052</v>
      </c>
      <c r="B935" s="104" t="s">
        <v>26</v>
      </c>
      <c r="C935" s="145">
        <v>2078</v>
      </c>
      <c r="D935" s="145"/>
      <c r="E935" s="104">
        <v>13</v>
      </c>
      <c r="F935" s="106">
        <f t="shared" si="5"/>
        <v>0.00625601539942252</v>
      </c>
      <c r="G935" s="107">
        <v>3</v>
      </c>
      <c r="H935" s="106">
        <v>0.230769230769231</v>
      </c>
      <c r="I935" s="106"/>
      <c r="J935" s="106"/>
      <c r="K935" s="106"/>
      <c r="L935" s="213">
        <v>490</v>
      </c>
      <c r="M935" s="213">
        <v>1301.33333333333</v>
      </c>
      <c r="N935" s="213">
        <v>1380</v>
      </c>
      <c r="O935" s="213">
        <v>1432.85714285714</v>
      </c>
      <c r="P935" s="108">
        <v>-27</v>
      </c>
      <c r="Q935" s="108">
        <v>-12.3333333333333</v>
      </c>
      <c r="R935" s="108">
        <v>-9.6</v>
      </c>
      <c r="S935" s="108">
        <v>-9.28571428571428</v>
      </c>
      <c r="T935" s="108">
        <v>-4</v>
      </c>
      <c r="U935" s="108">
        <v>-1</v>
      </c>
      <c r="V935" s="108">
        <v>-1.8</v>
      </c>
      <c r="W935" s="108">
        <v>-2.14285714285714</v>
      </c>
    </row>
    <row r="936" spans="1:23">
      <c r="A936" s="103">
        <v>45052</v>
      </c>
      <c r="B936" s="104" t="s">
        <v>27</v>
      </c>
      <c r="C936" s="145">
        <v>1964</v>
      </c>
      <c r="D936" s="145"/>
      <c r="E936" s="104">
        <v>43</v>
      </c>
      <c r="F936" s="106">
        <f t="shared" si="5"/>
        <v>0.0218940936863544</v>
      </c>
      <c r="G936" s="107">
        <v>12</v>
      </c>
      <c r="H936" s="106">
        <v>0.27906976744186</v>
      </c>
      <c r="I936" s="106"/>
      <c r="J936" s="106"/>
      <c r="K936" s="106"/>
      <c r="L936" s="213">
        <v>306</v>
      </c>
      <c r="M936" s="213">
        <v>566</v>
      </c>
      <c r="N936" s="213">
        <v>800</v>
      </c>
      <c r="O936" s="213">
        <v>1270</v>
      </c>
      <c r="P936" s="108">
        <v>-61</v>
      </c>
      <c r="Q936" s="108">
        <v>-11.6666666666667</v>
      </c>
      <c r="R936" s="108">
        <v>-0.399999999999999</v>
      </c>
      <c r="S936" s="108">
        <v>8.28571428571428</v>
      </c>
      <c r="T936" s="108">
        <v>2</v>
      </c>
      <c r="U936" s="108">
        <v>2.66666666666667</v>
      </c>
      <c r="V936" s="108">
        <v>3</v>
      </c>
      <c r="W936" s="108">
        <v>4.42857142857143</v>
      </c>
    </row>
    <row r="937" spans="1:23">
      <c r="A937" s="103">
        <v>45052</v>
      </c>
      <c r="B937" s="104" t="s">
        <v>28</v>
      </c>
      <c r="C937" s="145">
        <v>0</v>
      </c>
      <c r="D937" s="145"/>
      <c r="E937" s="104">
        <v>0</v>
      </c>
      <c r="F937" s="106">
        <v>0</v>
      </c>
      <c r="G937" s="107">
        <v>0</v>
      </c>
      <c r="H937" s="106">
        <v>0</v>
      </c>
      <c r="I937" s="106"/>
      <c r="J937" s="106"/>
      <c r="K937" s="106"/>
      <c r="L937" s="213">
        <v>0</v>
      </c>
      <c r="M937" s="213">
        <v>0</v>
      </c>
      <c r="N937" s="213">
        <v>0</v>
      </c>
      <c r="O937" s="213">
        <v>0</v>
      </c>
      <c r="P937" s="108">
        <v>0</v>
      </c>
      <c r="Q937" s="108">
        <v>0</v>
      </c>
      <c r="R937" s="108">
        <v>0</v>
      </c>
      <c r="S937" s="108">
        <v>0</v>
      </c>
      <c r="T937" s="108">
        <v>0</v>
      </c>
      <c r="U937" s="108">
        <v>0</v>
      </c>
      <c r="V937" s="108">
        <v>0</v>
      </c>
      <c r="W937" s="108">
        <v>0</v>
      </c>
    </row>
    <row r="938" spans="1:23">
      <c r="A938" s="103">
        <v>45052</v>
      </c>
      <c r="B938" s="104" t="s">
        <v>29</v>
      </c>
      <c r="C938" s="145">
        <v>0</v>
      </c>
      <c r="D938" s="145"/>
      <c r="E938" s="104">
        <v>0</v>
      </c>
      <c r="F938" s="106">
        <v>0</v>
      </c>
      <c r="G938" s="107">
        <v>0</v>
      </c>
      <c r="H938" s="106">
        <v>0</v>
      </c>
      <c r="I938" s="106"/>
      <c r="J938" s="106"/>
      <c r="K938" s="106"/>
      <c r="L938" s="213">
        <v>-1</v>
      </c>
      <c r="M938" s="213">
        <v>-0.333333333333333</v>
      </c>
      <c r="N938" s="213">
        <v>-0.4</v>
      </c>
      <c r="O938" s="213">
        <v>-0.285714285714286</v>
      </c>
      <c r="P938" s="108">
        <v>0</v>
      </c>
      <c r="Q938" s="108">
        <v>-0.333333333333333</v>
      </c>
      <c r="R938" s="108">
        <v>-0.2</v>
      </c>
      <c r="S938" s="108">
        <v>-0.142857142857143</v>
      </c>
      <c r="T938" s="108">
        <v>0</v>
      </c>
      <c r="U938" s="108">
        <v>0</v>
      </c>
      <c r="V938" s="108">
        <v>0</v>
      </c>
      <c r="W938" s="108">
        <v>0</v>
      </c>
    </row>
    <row r="939" spans="1:23">
      <c r="A939" s="103">
        <v>45052</v>
      </c>
      <c r="B939" s="104" t="s">
        <v>30</v>
      </c>
      <c r="C939" s="145">
        <v>0</v>
      </c>
      <c r="D939" s="145"/>
      <c r="E939" s="104">
        <v>0</v>
      </c>
      <c r="F939" s="106">
        <v>0</v>
      </c>
      <c r="G939" s="107">
        <v>0</v>
      </c>
      <c r="H939" s="106">
        <v>0</v>
      </c>
      <c r="I939" s="106"/>
      <c r="J939" s="106"/>
      <c r="K939" s="106"/>
      <c r="L939" s="213">
        <v>0</v>
      </c>
      <c r="M939" s="213">
        <v>0</v>
      </c>
      <c r="N939" s="213">
        <v>0</v>
      </c>
      <c r="O939" s="213">
        <v>0</v>
      </c>
      <c r="P939" s="108">
        <v>0</v>
      </c>
      <c r="Q939" s="108">
        <v>0</v>
      </c>
      <c r="R939" s="108">
        <v>0</v>
      </c>
      <c r="S939" s="108">
        <v>0</v>
      </c>
      <c r="T939" s="108">
        <v>0</v>
      </c>
      <c r="U939" s="108">
        <v>0</v>
      </c>
      <c r="V939" s="108">
        <v>0</v>
      </c>
      <c r="W939" s="108">
        <v>0</v>
      </c>
    </row>
    <row r="940" spans="1:23">
      <c r="A940" s="103">
        <v>45052</v>
      </c>
      <c r="B940" s="104" t="s">
        <v>31</v>
      </c>
      <c r="C940" s="145">
        <v>0</v>
      </c>
      <c r="D940" s="145"/>
      <c r="E940" s="104">
        <v>0</v>
      </c>
      <c r="F940" s="106">
        <v>0</v>
      </c>
      <c r="G940" s="107">
        <v>0</v>
      </c>
      <c r="H940" s="106">
        <v>0</v>
      </c>
      <c r="I940" s="106"/>
      <c r="J940" s="106"/>
      <c r="K940" s="106"/>
      <c r="L940" s="213">
        <v>0</v>
      </c>
      <c r="M940" s="213">
        <v>0</v>
      </c>
      <c r="N940" s="213">
        <v>0</v>
      </c>
      <c r="O940" s="213">
        <v>0</v>
      </c>
      <c r="P940" s="108">
        <v>-1</v>
      </c>
      <c r="Q940" s="108">
        <v>-0.333333333333333</v>
      </c>
      <c r="R940" s="108">
        <v>-0.2</v>
      </c>
      <c r="S940" s="108">
        <v>-0.142857142857143</v>
      </c>
      <c r="T940" s="108">
        <v>0</v>
      </c>
      <c r="U940" s="108">
        <v>0</v>
      </c>
      <c r="V940" s="108">
        <v>0</v>
      </c>
      <c r="W940" s="108">
        <v>0</v>
      </c>
    </row>
    <row r="941" spans="1:23">
      <c r="A941" s="103">
        <v>45052</v>
      </c>
      <c r="B941" s="104" t="s">
        <v>32</v>
      </c>
      <c r="C941" s="145">
        <v>0</v>
      </c>
      <c r="D941" s="145"/>
      <c r="E941" s="104">
        <v>0</v>
      </c>
      <c r="F941" s="106">
        <v>0</v>
      </c>
      <c r="G941" s="107">
        <v>0</v>
      </c>
      <c r="H941" s="106">
        <v>0</v>
      </c>
      <c r="I941" s="106"/>
      <c r="J941" s="106"/>
      <c r="K941" s="106"/>
      <c r="L941" s="213">
        <v>0</v>
      </c>
      <c r="M941" s="213">
        <v>0</v>
      </c>
      <c r="N941" s="213">
        <v>0</v>
      </c>
      <c r="O941" s="213">
        <v>0</v>
      </c>
      <c r="P941" s="108">
        <v>0</v>
      </c>
      <c r="Q941" s="108">
        <v>0</v>
      </c>
      <c r="R941" s="108">
        <v>0</v>
      </c>
      <c r="S941" s="108">
        <v>0</v>
      </c>
      <c r="T941" s="108">
        <v>0</v>
      </c>
      <c r="U941" s="108">
        <v>0</v>
      </c>
      <c r="V941" s="108">
        <v>0</v>
      </c>
      <c r="W941" s="108">
        <v>0</v>
      </c>
    </row>
    <row r="942" spans="1:23">
      <c r="A942" s="103">
        <v>45052</v>
      </c>
      <c r="B942" s="104" t="s">
        <v>33</v>
      </c>
      <c r="C942" s="145">
        <v>0</v>
      </c>
      <c r="D942" s="145"/>
      <c r="E942" s="104">
        <v>0</v>
      </c>
      <c r="F942" s="106">
        <v>0</v>
      </c>
      <c r="G942" s="107">
        <v>0</v>
      </c>
      <c r="H942" s="106">
        <v>0</v>
      </c>
      <c r="I942" s="106"/>
      <c r="J942" s="106"/>
      <c r="K942" s="106"/>
      <c r="L942" s="213">
        <v>0</v>
      </c>
      <c r="M942" s="213">
        <v>0</v>
      </c>
      <c r="N942" s="213">
        <v>0</v>
      </c>
      <c r="O942" s="213">
        <v>0</v>
      </c>
      <c r="P942" s="108">
        <v>0</v>
      </c>
      <c r="Q942" s="108">
        <v>0</v>
      </c>
      <c r="R942" s="108">
        <v>0</v>
      </c>
      <c r="S942" s="108">
        <v>-0.142857142857143</v>
      </c>
      <c r="T942" s="108">
        <v>0</v>
      </c>
      <c r="U942" s="108">
        <v>0</v>
      </c>
      <c r="V942" s="108">
        <v>0</v>
      </c>
      <c r="W942" s="108">
        <v>0</v>
      </c>
    </row>
    <row r="943" spans="1:23">
      <c r="A943" s="103">
        <v>45052</v>
      </c>
      <c r="B943" s="104" t="s">
        <v>34</v>
      </c>
      <c r="C943" s="145">
        <v>0</v>
      </c>
      <c r="D943" s="145"/>
      <c r="E943" s="104">
        <v>0</v>
      </c>
      <c r="F943" s="106">
        <v>0</v>
      </c>
      <c r="G943" s="107">
        <v>0</v>
      </c>
      <c r="H943" s="106">
        <v>0</v>
      </c>
      <c r="I943" s="106"/>
      <c r="J943" s="106"/>
      <c r="K943" s="106"/>
      <c r="L943" s="213">
        <v>0</v>
      </c>
      <c r="M943" s="213">
        <v>0</v>
      </c>
      <c r="N943" s="213">
        <v>0</v>
      </c>
      <c r="O943" s="213">
        <v>0</v>
      </c>
      <c r="P943" s="108">
        <v>0</v>
      </c>
      <c r="Q943" s="108">
        <v>0</v>
      </c>
      <c r="R943" s="108">
        <v>0</v>
      </c>
      <c r="S943" s="108">
        <v>0</v>
      </c>
      <c r="T943" s="108">
        <v>0</v>
      </c>
      <c r="U943" s="108">
        <v>0</v>
      </c>
      <c r="V943" s="108">
        <v>0</v>
      </c>
      <c r="W943" s="108">
        <v>0</v>
      </c>
    </row>
    <row r="944" spans="1:23">
      <c r="A944" s="103">
        <v>45052</v>
      </c>
      <c r="B944" s="104" t="s">
        <v>35</v>
      </c>
      <c r="C944" s="145">
        <v>0</v>
      </c>
      <c r="D944" s="145"/>
      <c r="E944" s="104">
        <v>0</v>
      </c>
      <c r="F944" s="106">
        <v>0</v>
      </c>
      <c r="G944" s="107">
        <v>0</v>
      </c>
      <c r="H944" s="106">
        <v>0</v>
      </c>
      <c r="I944" s="106"/>
      <c r="J944" s="106"/>
      <c r="K944" s="106"/>
      <c r="L944" s="213">
        <v>0</v>
      </c>
      <c r="M944" s="213">
        <v>0</v>
      </c>
      <c r="N944" s="213">
        <v>0</v>
      </c>
      <c r="O944" s="213">
        <v>0</v>
      </c>
      <c r="P944" s="108">
        <v>0</v>
      </c>
      <c r="Q944" s="108">
        <v>0</v>
      </c>
      <c r="R944" s="108">
        <v>0</v>
      </c>
      <c r="S944" s="108">
        <v>0</v>
      </c>
      <c r="T944" s="108">
        <v>0</v>
      </c>
      <c r="U944" s="108">
        <v>0</v>
      </c>
      <c r="V944" s="108">
        <v>0</v>
      </c>
      <c r="W944" s="108">
        <v>0</v>
      </c>
    </row>
    <row r="945" spans="1:23">
      <c r="A945" s="103">
        <v>45052</v>
      </c>
      <c r="B945" s="104" t="s">
        <v>36</v>
      </c>
      <c r="C945" s="145">
        <v>0</v>
      </c>
      <c r="D945" s="145"/>
      <c r="E945" s="104">
        <v>0</v>
      </c>
      <c r="F945" s="106">
        <v>0</v>
      </c>
      <c r="G945" s="107">
        <v>0</v>
      </c>
      <c r="H945" s="106">
        <v>0</v>
      </c>
      <c r="I945" s="106"/>
      <c r="J945" s="106"/>
      <c r="K945" s="106"/>
      <c r="L945" s="213">
        <v>0</v>
      </c>
      <c r="M945" s="213">
        <v>0</v>
      </c>
      <c r="N945" s="213">
        <v>0</v>
      </c>
      <c r="O945" s="213">
        <v>0</v>
      </c>
      <c r="P945" s="108">
        <v>0</v>
      </c>
      <c r="Q945" s="108">
        <v>0</v>
      </c>
      <c r="R945" s="108">
        <v>0</v>
      </c>
      <c r="S945" s="108">
        <v>0</v>
      </c>
      <c r="T945" s="108">
        <v>0</v>
      </c>
      <c r="U945" s="108">
        <v>0</v>
      </c>
      <c r="V945" s="108">
        <v>0</v>
      </c>
      <c r="W945" s="108">
        <v>0</v>
      </c>
    </row>
    <row r="946" spans="1:23">
      <c r="A946" s="103">
        <v>45052</v>
      </c>
      <c r="B946" s="104" t="s">
        <v>37</v>
      </c>
      <c r="C946" s="145">
        <v>0</v>
      </c>
      <c r="D946" s="145"/>
      <c r="E946" s="104">
        <v>1</v>
      </c>
      <c r="F946" s="106">
        <v>1</v>
      </c>
      <c r="G946" s="107">
        <v>0</v>
      </c>
      <c r="H946" s="106">
        <v>0</v>
      </c>
      <c r="I946" s="106"/>
      <c r="J946" s="106"/>
      <c r="K946" s="106"/>
      <c r="L946" s="213">
        <v>0</v>
      </c>
      <c r="M946" s="213">
        <v>0</v>
      </c>
      <c r="N946" s="213">
        <v>0</v>
      </c>
      <c r="O946" s="213">
        <v>0</v>
      </c>
      <c r="P946" s="108">
        <v>1</v>
      </c>
      <c r="Q946" s="108">
        <v>0.666666666666667</v>
      </c>
      <c r="R946" s="108">
        <v>0.6</v>
      </c>
      <c r="S946" s="108">
        <v>0.714285714285714</v>
      </c>
      <c r="T946" s="108">
        <v>0</v>
      </c>
      <c r="U946" s="108">
        <v>0</v>
      </c>
      <c r="V946" s="108">
        <v>0</v>
      </c>
      <c r="W946" s="108">
        <v>0</v>
      </c>
    </row>
    <row r="947" spans="1:23">
      <c r="A947" s="103">
        <v>45052</v>
      </c>
      <c r="B947" s="104" t="s">
        <v>38</v>
      </c>
      <c r="C947" s="145">
        <v>0</v>
      </c>
      <c r="D947" s="145"/>
      <c r="E947" s="104">
        <v>0</v>
      </c>
      <c r="F947" s="106">
        <v>0</v>
      </c>
      <c r="G947" s="107">
        <v>0</v>
      </c>
      <c r="H947" s="106">
        <v>0</v>
      </c>
      <c r="I947" s="106"/>
      <c r="J947" s="106"/>
      <c r="K947" s="106"/>
      <c r="L947" s="213">
        <v>0</v>
      </c>
      <c r="M947" s="213">
        <v>0</v>
      </c>
      <c r="N947" s="213">
        <v>0</v>
      </c>
      <c r="O947" s="213">
        <v>0</v>
      </c>
      <c r="P947" s="108">
        <v>0</v>
      </c>
      <c r="Q947" s="108">
        <v>0</v>
      </c>
      <c r="R947" s="108">
        <v>0</v>
      </c>
      <c r="S947" s="108">
        <v>0</v>
      </c>
      <c r="T947" s="108">
        <v>0</v>
      </c>
      <c r="U947" s="108">
        <v>0</v>
      </c>
      <c r="V947" s="108">
        <v>0</v>
      </c>
      <c r="W947" s="108">
        <v>0</v>
      </c>
    </row>
    <row r="948" spans="1:23">
      <c r="A948" s="103">
        <v>45052</v>
      </c>
      <c r="B948" s="111" t="s">
        <v>39</v>
      </c>
      <c r="C948" s="112">
        <v>26816</v>
      </c>
      <c r="D948" s="112"/>
      <c r="E948" s="112">
        <v>299</v>
      </c>
      <c r="F948" s="113">
        <v>0.0111500596658711</v>
      </c>
      <c r="G948" s="112">
        <v>102</v>
      </c>
      <c r="H948" s="113">
        <v>0.341137123745819</v>
      </c>
      <c r="I948" s="113"/>
      <c r="J948" s="113"/>
      <c r="K948" s="113"/>
      <c r="L948" s="213"/>
      <c r="M948" s="213"/>
      <c r="N948" s="213"/>
      <c r="O948" s="213"/>
      <c r="P948" s="108"/>
      <c r="Q948" s="108"/>
      <c r="R948" s="108"/>
      <c r="S948" s="108"/>
      <c r="T948" s="108"/>
      <c r="U948" s="108"/>
      <c r="V948" s="108"/>
      <c r="W948" s="108"/>
    </row>
    <row r="949" spans="1:23">
      <c r="A949" s="103">
        <v>45053</v>
      </c>
      <c r="B949" s="104" t="s">
        <v>17</v>
      </c>
      <c r="C949" s="105">
        <v>1</v>
      </c>
      <c r="D949" s="105"/>
      <c r="E949" s="104">
        <v>47</v>
      </c>
      <c r="F949" s="106">
        <f>E949/C949</f>
        <v>47</v>
      </c>
      <c r="G949" s="107">
        <v>15</v>
      </c>
      <c r="H949" s="106">
        <v>0.319148936170213</v>
      </c>
      <c r="I949" s="106"/>
      <c r="J949" s="106"/>
      <c r="K949" s="106"/>
      <c r="L949" s="213">
        <v>-365</v>
      </c>
      <c r="M949" s="213">
        <v>-526.333333333333</v>
      </c>
      <c r="N949" s="213">
        <v>-556.8</v>
      </c>
      <c r="O949" s="213">
        <v>-584.142857142857</v>
      </c>
      <c r="P949" s="108">
        <v>12</v>
      </c>
      <c r="Q949" s="108">
        <v>3.66666666666666</v>
      </c>
      <c r="R949" s="108">
        <v>6</v>
      </c>
      <c r="S949" s="108">
        <v>6</v>
      </c>
      <c r="T949" s="108">
        <v>4</v>
      </c>
      <c r="U949" s="108">
        <v>4</v>
      </c>
      <c r="V949" s="108">
        <v>5.4</v>
      </c>
      <c r="W949" s="108">
        <v>5.57142857142857</v>
      </c>
    </row>
    <row r="950" spans="1:23">
      <c r="A950" s="103">
        <v>45053</v>
      </c>
      <c r="B950" s="104" t="s">
        <v>19</v>
      </c>
      <c r="C950" s="107">
        <v>223</v>
      </c>
      <c r="D950" s="107"/>
      <c r="E950" s="104">
        <v>8</v>
      </c>
      <c r="F950" s="106">
        <f t="shared" ref="F950:F957" si="6">E950/C950</f>
        <v>0.0358744394618834</v>
      </c>
      <c r="G950" s="107">
        <v>12</v>
      </c>
      <c r="H950" s="106">
        <v>1.5</v>
      </c>
      <c r="I950" s="106"/>
      <c r="J950" s="106"/>
      <c r="K950" s="106"/>
      <c r="L950" s="213">
        <v>12</v>
      </c>
      <c r="M950" s="213">
        <v>-177.333333333333</v>
      </c>
      <c r="N950" s="213">
        <v>-370</v>
      </c>
      <c r="O950" s="213">
        <v>-483.428571428571</v>
      </c>
      <c r="P950" s="108">
        <v>-5</v>
      </c>
      <c r="Q950" s="108">
        <v>-15.3333333333333</v>
      </c>
      <c r="R950" s="108">
        <v>-12.2</v>
      </c>
      <c r="S950" s="108">
        <v>-13.7142857142857</v>
      </c>
      <c r="T950" s="108">
        <v>8</v>
      </c>
      <c r="U950" s="108">
        <v>7.66666666666667</v>
      </c>
      <c r="V950" s="108">
        <v>6.6</v>
      </c>
      <c r="W950" s="115">
        <v>5.42857142857143</v>
      </c>
    </row>
    <row r="951" spans="1:23">
      <c r="A951" s="103">
        <v>45053</v>
      </c>
      <c r="B951" s="104" t="s">
        <v>21</v>
      </c>
      <c r="C951" s="145">
        <v>567</v>
      </c>
      <c r="D951" s="145"/>
      <c r="E951" s="104">
        <v>27</v>
      </c>
      <c r="F951" s="106">
        <f t="shared" si="6"/>
        <v>0.0476190476190476</v>
      </c>
      <c r="G951" s="107">
        <v>9</v>
      </c>
      <c r="H951" s="106">
        <v>0.333333333333333</v>
      </c>
      <c r="I951" s="106"/>
      <c r="J951" s="106"/>
      <c r="K951" s="106"/>
      <c r="L951" s="213">
        <v>36</v>
      </c>
      <c r="M951" s="213">
        <v>16</v>
      </c>
      <c r="N951" s="213">
        <v>23</v>
      </c>
      <c r="O951" s="213">
        <v>28.1428571428571</v>
      </c>
      <c r="P951" s="108">
        <v>2</v>
      </c>
      <c r="Q951" s="108">
        <v>-8.66666666666666</v>
      </c>
      <c r="R951" s="108">
        <v>-5.2</v>
      </c>
      <c r="S951" s="108">
        <v>-3.85714285714286</v>
      </c>
      <c r="T951" s="108">
        <v>-3</v>
      </c>
      <c r="U951" s="108">
        <v>0.333333333333334</v>
      </c>
      <c r="V951" s="108">
        <v>0</v>
      </c>
      <c r="W951" s="108">
        <v>0.285714285714286</v>
      </c>
    </row>
    <row r="952" spans="1:23">
      <c r="A952" s="103">
        <v>45053</v>
      </c>
      <c r="B952" s="104" t="s">
        <v>22</v>
      </c>
      <c r="C952" s="145">
        <v>2073</v>
      </c>
      <c r="D952" s="145"/>
      <c r="E952" s="104">
        <v>60</v>
      </c>
      <c r="F952" s="106">
        <f t="shared" si="6"/>
        <v>0.0289435600578871</v>
      </c>
      <c r="G952" s="107">
        <v>25</v>
      </c>
      <c r="H952" s="106">
        <v>0.416666666666667</v>
      </c>
      <c r="I952" s="106"/>
      <c r="J952" s="106"/>
      <c r="K952" s="106"/>
      <c r="L952" s="213">
        <v>164</v>
      </c>
      <c r="M952" s="213">
        <v>397.666666666667</v>
      </c>
      <c r="N952" s="213">
        <v>428</v>
      </c>
      <c r="O952" s="213">
        <v>95.1428571428571</v>
      </c>
      <c r="P952" s="108">
        <v>2</v>
      </c>
      <c r="Q952" s="108">
        <v>12</v>
      </c>
      <c r="R952" s="108">
        <v>14.2</v>
      </c>
      <c r="S952" s="115">
        <v>16.1428571428571</v>
      </c>
      <c r="T952" s="108">
        <v>9</v>
      </c>
      <c r="U952" s="108">
        <v>8.66666666666667</v>
      </c>
      <c r="V952" s="108">
        <v>11.2</v>
      </c>
      <c r="W952" s="117">
        <v>12.2857142857143</v>
      </c>
    </row>
    <row r="953" spans="1:23">
      <c r="A953" s="103">
        <v>45053</v>
      </c>
      <c r="B953" s="104" t="s">
        <v>23</v>
      </c>
      <c r="C953" s="145">
        <v>2151</v>
      </c>
      <c r="D953" s="145"/>
      <c r="E953" s="104">
        <v>12</v>
      </c>
      <c r="F953" s="106">
        <f t="shared" si="6"/>
        <v>0.00557880055788006</v>
      </c>
      <c r="G953" s="107">
        <v>3</v>
      </c>
      <c r="H953" s="106">
        <v>0.25</v>
      </c>
      <c r="I953" s="106"/>
      <c r="J953" s="106"/>
      <c r="K953" s="106"/>
      <c r="L953" s="213">
        <v>-207</v>
      </c>
      <c r="M953" s="213">
        <v>-99.6666666666665</v>
      </c>
      <c r="N953" s="213">
        <v>-177</v>
      </c>
      <c r="O953" s="213">
        <v>-270.714285714286</v>
      </c>
      <c r="P953" s="108">
        <v>-6</v>
      </c>
      <c r="Q953" s="108">
        <v>-11.3333333333333</v>
      </c>
      <c r="R953" s="108">
        <v>-9.4</v>
      </c>
      <c r="S953" s="108">
        <v>-9.14285714285714</v>
      </c>
      <c r="T953" s="108">
        <v>-1</v>
      </c>
      <c r="U953" s="116">
        <v>-2.66666666666667</v>
      </c>
      <c r="V953" s="108">
        <v>-3.2</v>
      </c>
      <c r="W953" s="108">
        <v>-3.28571428571429</v>
      </c>
    </row>
    <row r="954" spans="1:23">
      <c r="A954" s="103">
        <v>45053</v>
      </c>
      <c r="B954" s="104" t="s">
        <v>24</v>
      </c>
      <c r="C954" s="145">
        <v>3024</v>
      </c>
      <c r="D954" s="145"/>
      <c r="E954" s="104">
        <v>96</v>
      </c>
      <c r="F954" s="106">
        <f t="shared" si="6"/>
        <v>0.0317460317460317</v>
      </c>
      <c r="G954" s="107">
        <v>28</v>
      </c>
      <c r="H954" s="106">
        <v>0.291666666666667</v>
      </c>
      <c r="I954" s="106"/>
      <c r="J954" s="106"/>
      <c r="K954" s="106"/>
      <c r="L954" s="213">
        <v>152</v>
      </c>
      <c r="M954" s="213">
        <v>-214</v>
      </c>
      <c r="N954" s="213">
        <v>-268</v>
      </c>
      <c r="O954" s="213">
        <v>304.571428571428</v>
      </c>
      <c r="P954" s="115">
        <v>29</v>
      </c>
      <c r="Q954" s="115">
        <v>17.3333333333333</v>
      </c>
      <c r="R954" s="115">
        <v>35</v>
      </c>
      <c r="S954" s="115">
        <v>51.1428571428571</v>
      </c>
      <c r="T954" s="115">
        <v>2</v>
      </c>
      <c r="U954" s="115">
        <v>10.3333333333333</v>
      </c>
      <c r="V954" s="115">
        <v>14.4</v>
      </c>
      <c r="W954" s="115">
        <v>18.1428571428571</v>
      </c>
    </row>
    <row r="955" spans="1:23">
      <c r="A955" s="103">
        <v>45053</v>
      </c>
      <c r="B955" s="104" t="s">
        <v>25</v>
      </c>
      <c r="C955" s="145">
        <v>3305</v>
      </c>
      <c r="D955" s="145"/>
      <c r="E955" s="104">
        <v>25</v>
      </c>
      <c r="F955" s="106">
        <f t="shared" si="6"/>
        <v>0.0075642965204236</v>
      </c>
      <c r="G955" s="107">
        <v>13</v>
      </c>
      <c r="H955" s="106">
        <v>0.52</v>
      </c>
      <c r="I955" s="106"/>
      <c r="J955" s="106"/>
      <c r="K955" s="106"/>
      <c r="L955" s="213">
        <v>-3652</v>
      </c>
      <c r="M955" s="213">
        <v>-5024</v>
      </c>
      <c r="N955" s="213">
        <v>-5048</v>
      </c>
      <c r="O955" s="213">
        <v>-4980.28571428571</v>
      </c>
      <c r="P955" s="116">
        <v>-1</v>
      </c>
      <c r="Q955" s="115">
        <v>-9</v>
      </c>
      <c r="R955" s="115">
        <v>-16.6</v>
      </c>
      <c r="S955" s="115">
        <v>-17</v>
      </c>
      <c r="T955" s="108">
        <v>-1</v>
      </c>
      <c r="U955" s="108">
        <v>1.33333333333333</v>
      </c>
      <c r="V955" s="108">
        <v>-2.4</v>
      </c>
      <c r="W955" s="108">
        <v>-3.42857142857143</v>
      </c>
    </row>
    <row r="956" spans="1:23">
      <c r="A956" s="103">
        <v>45053</v>
      </c>
      <c r="B956" s="104" t="s">
        <v>26</v>
      </c>
      <c r="C956" s="145">
        <v>2153</v>
      </c>
      <c r="D956" s="145"/>
      <c r="E956" s="104">
        <v>24</v>
      </c>
      <c r="F956" s="106">
        <f t="shared" si="6"/>
        <v>0.0111472364143056</v>
      </c>
      <c r="G956" s="107">
        <v>8</v>
      </c>
      <c r="H956" s="106">
        <v>0.333333333333333</v>
      </c>
      <c r="I956" s="106"/>
      <c r="J956" s="106"/>
      <c r="K956" s="106"/>
      <c r="L956" s="213">
        <v>150</v>
      </c>
      <c r="M956" s="213">
        <v>889.333333333333</v>
      </c>
      <c r="N956" s="213">
        <v>1218</v>
      </c>
      <c r="O956" s="213">
        <v>1356.28571428571</v>
      </c>
      <c r="P956" s="108">
        <v>11</v>
      </c>
      <c r="Q956" s="108">
        <v>0.666666666666668</v>
      </c>
      <c r="R956" s="108">
        <v>2</v>
      </c>
      <c r="S956" s="108">
        <v>3</v>
      </c>
      <c r="T956" s="108">
        <v>5</v>
      </c>
      <c r="U956" s="108">
        <v>3.33333333333333</v>
      </c>
      <c r="V956" s="108">
        <v>3.6</v>
      </c>
      <c r="W956" s="108">
        <v>3.42857142857143</v>
      </c>
    </row>
    <row r="957" spans="1:23">
      <c r="A957" s="103">
        <v>45053</v>
      </c>
      <c r="B957" s="104" t="s">
        <v>27</v>
      </c>
      <c r="C957" s="145">
        <v>2199</v>
      </c>
      <c r="D957" s="145"/>
      <c r="E957" s="104">
        <v>49</v>
      </c>
      <c r="F957" s="106">
        <f t="shared" si="6"/>
        <v>0.0222828558435653</v>
      </c>
      <c r="G957" s="107">
        <v>16</v>
      </c>
      <c r="H957" s="106">
        <v>0.326530612244898</v>
      </c>
      <c r="I957" s="106"/>
      <c r="J957" s="106"/>
      <c r="K957" s="106"/>
      <c r="L957" s="213">
        <v>470</v>
      </c>
      <c r="M957" s="213">
        <v>735.333333333333</v>
      </c>
      <c r="N957" s="213">
        <v>1017.6</v>
      </c>
      <c r="O957" s="213">
        <v>1355.71428571429</v>
      </c>
      <c r="P957" s="108">
        <v>6</v>
      </c>
      <c r="Q957" s="108">
        <v>-11.3333333333333</v>
      </c>
      <c r="R957" s="108">
        <v>2.4</v>
      </c>
      <c r="S957" s="108">
        <v>10.5714285714286</v>
      </c>
      <c r="T957" s="108">
        <v>4</v>
      </c>
      <c r="U957" s="108">
        <v>6.33333333333333</v>
      </c>
      <c r="V957" s="108">
        <v>7</v>
      </c>
      <c r="W957" s="108">
        <v>7.42857142857143</v>
      </c>
    </row>
    <row r="958" spans="1:23">
      <c r="A958" s="103">
        <v>45053</v>
      </c>
      <c r="B958" s="104" t="s">
        <v>28</v>
      </c>
      <c r="C958" s="145">
        <v>0</v>
      </c>
      <c r="D958" s="145"/>
      <c r="E958" s="104">
        <v>0</v>
      </c>
      <c r="F958" s="106">
        <v>0</v>
      </c>
      <c r="G958" s="107">
        <v>0</v>
      </c>
      <c r="H958" s="106">
        <v>0</v>
      </c>
      <c r="I958" s="106"/>
      <c r="J958" s="106"/>
      <c r="K958" s="106"/>
      <c r="L958" s="213">
        <v>0</v>
      </c>
      <c r="M958" s="213">
        <v>0</v>
      </c>
      <c r="N958" s="213">
        <v>0</v>
      </c>
      <c r="O958" s="213">
        <v>0</v>
      </c>
      <c r="P958" s="108">
        <v>0</v>
      </c>
      <c r="Q958" s="108">
        <v>0</v>
      </c>
      <c r="R958" s="108">
        <v>0</v>
      </c>
      <c r="S958" s="108">
        <v>0</v>
      </c>
      <c r="T958" s="108">
        <v>0</v>
      </c>
      <c r="U958" s="108">
        <v>0</v>
      </c>
      <c r="V958" s="108">
        <v>0</v>
      </c>
      <c r="W958" s="108">
        <v>0</v>
      </c>
    </row>
    <row r="959" spans="1:23">
      <c r="A959" s="103">
        <v>45053</v>
      </c>
      <c r="B959" s="104" t="s">
        <v>29</v>
      </c>
      <c r="C959" s="145">
        <v>0</v>
      </c>
      <c r="D959" s="145"/>
      <c r="E959" s="104">
        <v>0</v>
      </c>
      <c r="F959" s="106">
        <v>0</v>
      </c>
      <c r="G959" s="107">
        <v>0</v>
      </c>
      <c r="H959" s="106">
        <v>0</v>
      </c>
      <c r="I959" s="106"/>
      <c r="J959" s="106"/>
      <c r="K959" s="106"/>
      <c r="L959" s="213">
        <v>0</v>
      </c>
      <c r="M959" s="213">
        <v>-0.333333333333333</v>
      </c>
      <c r="N959" s="213">
        <v>-0.4</v>
      </c>
      <c r="O959" s="213">
        <v>-0.285714285714286</v>
      </c>
      <c r="P959" s="108">
        <v>0</v>
      </c>
      <c r="Q959" s="108">
        <v>0</v>
      </c>
      <c r="R959" s="108">
        <v>-0.2</v>
      </c>
      <c r="S959" s="108">
        <v>-0.142857142857143</v>
      </c>
      <c r="T959" s="108">
        <v>0</v>
      </c>
      <c r="U959" s="108">
        <v>0</v>
      </c>
      <c r="V959" s="108">
        <v>0</v>
      </c>
      <c r="W959" s="108">
        <v>0</v>
      </c>
    </row>
    <row r="960" spans="1:23">
      <c r="A960" s="103">
        <v>45053</v>
      </c>
      <c r="B960" s="104" t="s">
        <v>30</v>
      </c>
      <c r="C960" s="145">
        <v>0</v>
      </c>
      <c r="D960" s="145"/>
      <c r="E960" s="104">
        <v>0</v>
      </c>
      <c r="F960" s="106">
        <v>0</v>
      </c>
      <c r="G960" s="107">
        <v>0</v>
      </c>
      <c r="H960" s="106">
        <v>0</v>
      </c>
      <c r="I960" s="106"/>
      <c r="J960" s="106"/>
      <c r="K960" s="106"/>
      <c r="L960" s="213">
        <v>0</v>
      </c>
      <c r="M960" s="213">
        <v>0</v>
      </c>
      <c r="N960" s="213">
        <v>0</v>
      </c>
      <c r="O960" s="213">
        <v>0</v>
      </c>
      <c r="P960" s="108">
        <v>0</v>
      </c>
      <c r="Q960" s="108">
        <v>0</v>
      </c>
      <c r="R960" s="108">
        <v>0</v>
      </c>
      <c r="S960" s="108">
        <v>0</v>
      </c>
      <c r="T960" s="108">
        <v>0</v>
      </c>
      <c r="U960" s="108">
        <v>0</v>
      </c>
      <c r="V960" s="108">
        <v>0</v>
      </c>
      <c r="W960" s="108">
        <v>0</v>
      </c>
    </row>
    <row r="961" spans="1:23">
      <c r="A961" s="103">
        <v>45053</v>
      </c>
      <c r="B961" s="104" t="s">
        <v>31</v>
      </c>
      <c r="C961" s="145">
        <v>0</v>
      </c>
      <c r="D961" s="145"/>
      <c r="E961" s="104">
        <v>0</v>
      </c>
      <c r="F961" s="106">
        <v>0</v>
      </c>
      <c r="G961" s="107">
        <v>0</v>
      </c>
      <c r="H961" s="106">
        <v>0</v>
      </c>
      <c r="I961" s="106"/>
      <c r="J961" s="106"/>
      <c r="K961" s="106"/>
      <c r="L961" s="213">
        <v>0</v>
      </c>
      <c r="M961" s="213">
        <v>0</v>
      </c>
      <c r="N961" s="213">
        <v>0</v>
      </c>
      <c r="O961" s="213">
        <v>0</v>
      </c>
      <c r="P961" s="108">
        <v>0</v>
      </c>
      <c r="Q961" s="108">
        <v>-0.333333333333333</v>
      </c>
      <c r="R961" s="108">
        <v>-0.2</v>
      </c>
      <c r="S961" s="108">
        <v>-0.142857142857143</v>
      </c>
      <c r="T961" s="108">
        <v>0</v>
      </c>
      <c r="U961" s="108">
        <v>0</v>
      </c>
      <c r="V961" s="108">
        <v>0</v>
      </c>
      <c r="W961" s="108">
        <v>0</v>
      </c>
    </row>
    <row r="962" spans="1:23">
      <c r="A962" s="103">
        <v>45053</v>
      </c>
      <c r="B962" s="104" t="s">
        <v>32</v>
      </c>
      <c r="C962" s="145">
        <v>0</v>
      </c>
      <c r="D962" s="145"/>
      <c r="E962" s="104">
        <v>0</v>
      </c>
      <c r="F962" s="106">
        <v>0</v>
      </c>
      <c r="G962" s="107">
        <v>0</v>
      </c>
      <c r="H962" s="106">
        <v>0</v>
      </c>
      <c r="I962" s="106"/>
      <c r="J962" s="106"/>
      <c r="K962" s="106"/>
      <c r="L962" s="213">
        <v>0</v>
      </c>
      <c r="M962" s="213">
        <v>0</v>
      </c>
      <c r="N962" s="213">
        <v>0</v>
      </c>
      <c r="O962" s="213">
        <v>0</v>
      </c>
      <c r="P962" s="108">
        <v>0</v>
      </c>
      <c r="Q962" s="108">
        <v>0</v>
      </c>
      <c r="R962" s="108">
        <v>0</v>
      </c>
      <c r="S962" s="108">
        <v>0</v>
      </c>
      <c r="T962" s="108">
        <v>0</v>
      </c>
      <c r="U962" s="108">
        <v>0</v>
      </c>
      <c r="V962" s="108">
        <v>0</v>
      </c>
      <c r="W962" s="108">
        <v>0</v>
      </c>
    </row>
    <row r="963" spans="1:23">
      <c r="A963" s="103">
        <v>45053</v>
      </c>
      <c r="B963" s="104" t="s">
        <v>33</v>
      </c>
      <c r="C963" s="145">
        <v>0</v>
      </c>
      <c r="D963" s="145"/>
      <c r="E963" s="104">
        <v>0</v>
      </c>
      <c r="F963" s="106">
        <v>0</v>
      </c>
      <c r="G963" s="107">
        <v>0</v>
      </c>
      <c r="H963" s="106">
        <v>0</v>
      </c>
      <c r="I963" s="106"/>
      <c r="J963" s="106"/>
      <c r="K963" s="106"/>
      <c r="L963" s="213">
        <v>0</v>
      </c>
      <c r="M963" s="213">
        <v>0</v>
      </c>
      <c r="N963" s="213">
        <v>0</v>
      </c>
      <c r="O963" s="213">
        <v>0</v>
      </c>
      <c r="P963" s="108">
        <v>0</v>
      </c>
      <c r="Q963" s="108">
        <v>0</v>
      </c>
      <c r="R963" s="108">
        <v>0</v>
      </c>
      <c r="S963" s="108">
        <v>-0.142857142857143</v>
      </c>
      <c r="T963" s="108">
        <v>0</v>
      </c>
      <c r="U963" s="108">
        <v>0</v>
      </c>
      <c r="V963" s="108">
        <v>0</v>
      </c>
      <c r="W963" s="108">
        <v>0</v>
      </c>
    </row>
    <row r="964" spans="1:23">
      <c r="A964" s="103">
        <v>45053</v>
      </c>
      <c r="B964" s="104" t="s">
        <v>34</v>
      </c>
      <c r="C964" s="145">
        <v>0</v>
      </c>
      <c r="D964" s="145"/>
      <c r="E964" s="104">
        <v>0</v>
      </c>
      <c r="F964" s="106">
        <v>0</v>
      </c>
      <c r="G964" s="107">
        <v>0</v>
      </c>
      <c r="H964" s="106">
        <v>0</v>
      </c>
      <c r="I964" s="106"/>
      <c r="J964" s="106"/>
      <c r="K964" s="106"/>
      <c r="L964" s="213">
        <v>0</v>
      </c>
      <c r="M964" s="213">
        <v>0</v>
      </c>
      <c r="N964" s="213">
        <v>0</v>
      </c>
      <c r="O964" s="213">
        <v>0</v>
      </c>
      <c r="P964" s="108">
        <v>0</v>
      </c>
      <c r="Q964" s="108">
        <v>0</v>
      </c>
      <c r="R964" s="108">
        <v>0</v>
      </c>
      <c r="S964" s="108">
        <v>0</v>
      </c>
      <c r="T964" s="108">
        <v>0</v>
      </c>
      <c r="U964" s="108">
        <v>0</v>
      </c>
      <c r="V964" s="108">
        <v>0</v>
      </c>
      <c r="W964" s="108">
        <v>0</v>
      </c>
    </row>
    <row r="965" spans="1:23">
      <c r="A965" s="103">
        <v>45053</v>
      </c>
      <c r="B965" s="104" t="s">
        <v>35</v>
      </c>
      <c r="C965" s="145">
        <v>0</v>
      </c>
      <c r="D965" s="145"/>
      <c r="E965" s="104">
        <v>0</v>
      </c>
      <c r="F965" s="106">
        <v>0</v>
      </c>
      <c r="G965" s="107">
        <v>0</v>
      </c>
      <c r="H965" s="106">
        <v>0</v>
      </c>
      <c r="I965" s="106"/>
      <c r="J965" s="106"/>
      <c r="K965" s="106"/>
      <c r="L965" s="213">
        <v>0</v>
      </c>
      <c r="M965" s="213">
        <v>0</v>
      </c>
      <c r="N965" s="213">
        <v>0</v>
      </c>
      <c r="O965" s="213">
        <v>0</v>
      </c>
      <c r="P965" s="108">
        <v>0</v>
      </c>
      <c r="Q965" s="108">
        <v>0</v>
      </c>
      <c r="R965" s="108">
        <v>0</v>
      </c>
      <c r="S965" s="108">
        <v>0</v>
      </c>
      <c r="T965" s="108">
        <v>0</v>
      </c>
      <c r="U965" s="108">
        <v>0</v>
      </c>
      <c r="V965" s="108">
        <v>0</v>
      </c>
      <c r="W965" s="108">
        <v>0</v>
      </c>
    </row>
    <row r="966" spans="1:23">
      <c r="A966" s="103">
        <v>45053</v>
      </c>
      <c r="B966" s="104" t="s">
        <v>36</v>
      </c>
      <c r="C966" s="145">
        <v>0</v>
      </c>
      <c r="D966" s="145"/>
      <c r="E966" s="104">
        <v>0</v>
      </c>
      <c r="F966" s="106">
        <v>0</v>
      </c>
      <c r="G966" s="107">
        <v>0</v>
      </c>
      <c r="H966" s="106">
        <v>0</v>
      </c>
      <c r="I966" s="106"/>
      <c r="J966" s="106"/>
      <c r="K966" s="106"/>
      <c r="L966" s="213">
        <v>0</v>
      </c>
      <c r="M966" s="213">
        <v>0</v>
      </c>
      <c r="N966" s="213">
        <v>0</v>
      </c>
      <c r="O966" s="213">
        <v>0</v>
      </c>
      <c r="P966" s="108">
        <v>0</v>
      </c>
      <c r="Q966" s="108">
        <v>0</v>
      </c>
      <c r="R966" s="108">
        <v>0</v>
      </c>
      <c r="S966" s="108">
        <v>0</v>
      </c>
      <c r="T966" s="108">
        <v>0</v>
      </c>
      <c r="U966" s="108">
        <v>0</v>
      </c>
      <c r="V966" s="108">
        <v>0</v>
      </c>
      <c r="W966" s="108">
        <v>0</v>
      </c>
    </row>
    <row r="967" spans="1:23">
      <c r="A967" s="103">
        <v>45053</v>
      </c>
      <c r="B967" s="104" t="s">
        <v>37</v>
      </c>
      <c r="C967" s="145">
        <v>0</v>
      </c>
      <c r="D967" s="145"/>
      <c r="E967" s="104">
        <v>2</v>
      </c>
      <c r="F967" s="106">
        <v>2</v>
      </c>
      <c r="G967" s="107">
        <v>0</v>
      </c>
      <c r="H967" s="106">
        <v>0</v>
      </c>
      <c r="I967" s="106"/>
      <c r="J967" s="106"/>
      <c r="K967" s="106"/>
      <c r="L967" s="213">
        <v>0</v>
      </c>
      <c r="M967" s="213">
        <v>0</v>
      </c>
      <c r="N967" s="213">
        <v>0</v>
      </c>
      <c r="O967" s="213">
        <v>0</v>
      </c>
      <c r="P967" s="108">
        <v>1</v>
      </c>
      <c r="Q967" s="108">
        <v>1.33333333333333</v>
      </c>
      <c r="R967" s="108">
        <v>1.6</v>
      </c>
      <c r="S967" s="108">
        <v>1.57142857142857</v>
      </c>
      <c r="T967" s="108">
        <v>0</v>
      </c>
      <c r="U967" s="108">
        <v>0</v>
      </c>
      <c r="V967" s="108">
        <v>0</v>
      </c>
      <c r="W967" s="108">
        <v>0</v>
      </c>
    </row>
    <row r="968" spans="1:23">
      <c r="A968" s="103">
        <v>45053</v>
      </c>
      <c r="B968" s="104" t="s">
        <v>38</v>
      </c>
      <c r="C968" s="145">
        <v>0</v>
      </c>
      <c r="D968" s="145"/>
      <c r="E968" s="104">
        <v>0</v>
      </c>
      <c r="F968" s="106">
        <v>0</v>
      </c>
      <c r="G968" s="107">
        <v>0</v>
      </c>
      <c r="H968" s="106">
        <v>0</v>
      </c>
      <c r="I968" s="106"/>
      <c r="J968" s="106"/>
      <c r="K968" s="106"/>
      <c r="L968" s="213">
        <v>0</v>
      </c>
      <c r="M968" s="213">
        <v>0</v>
      </c>
      <c r="N968" s="213">
        <v>0</v>
      </c>
      <c r="O968" s="213">
        <v>0</v>
      </c>
      <c r="P968" s="108">
        <v>0</v>
      </c>
      <c r="Q968" s="108">
        <v>0</v>
      </c>
      <c r="R968" s="108">
        <v>0</v>
      </c>
      <c r="S968" s="108">
        <v>0</v>
      </c>
      <c r="T968" s="108">
        <v>0</v>
      </c>
      <c r="U968" s="108">
        <v>0</v>
      </c>
      <c r="V968" s="108">
        <v>0</v>
      </c>
      <c r="W968" s="108">
        <v>0</v>
      </c>
    </row>
    <row r="969" spans="1:23">
      <c r="A969" s="103">
        <v>45053</v>
      </c>
      <c r="B969" s="111" t="s">
        <v>39</v>
      </c>
      <c r="C969" s="112">
        <v>23576</v>
      </c>
      <c r="D969" s="112"/>
      <c r="E969" s="112">
        <v>350</v>
      </c>
      <c r="F969" s="113">
        <v>0.0148456057007126</v>
      </c>
      <c r="G969" s="112">
        <v>129</v>
      </c>
      <c r="H969" s="113">
        <v>0.368571428571429</v>
      </c>
      <c r="I969" s="113"/>
      <c r="J969" s="113"/>
      <c r="K969" s="113"/>
      <c r="L969" s="213"/>
      <c r="M969" s="213"/>
      <c r="N969" s="213"/>
      <c r="O969" s="213"/>
      <c r="P969" s="108"/>
      <c r="Q969" s="108"/>
      <c r="R969" s="108"/>
      <c r="S969" s="108"/>
      <c r="T969" s="108"/>
      <c r="U969" s="108"/>
      <c r="V969" s="108"/>
      <c r="W969" s="108"/>
    </row>
    <row r="970" spans="1:23">
      <c r="A970" s="103">
        <v>45054</v>
      </c>
      <c r="B970" s="104" t="s">
        <v>17</v>
      </c>
      <c r="C970" s="105">
        <v>2</v>
      </c>
      <c r="D970" s="105"/>
      <c r="E970" s="104">
        <v>34</v>
      </c>
      <c r="F970" s="106">
        <f>E970/C970</f>
        <v>17</v>
      </c>
      <c r="G970" s="107">
        <v>7</v>
      </c>
      <c r="H970" s="106">
        <v>0.205882352941176</v>
      </c>
      <c r="I970" s="106"/>
      <c r="J970" s="106"/>
      <c r="K970" s="106"/>
      <c r="L970" s="213">
        <v>1</v>
      </c>
      <c r="M970" s="213">
        <v>-351.666666666667</v>
      </c>
      <c r="N970" s="213">
        <v>-448.2</v>
      </c>
      <c r="O970" s="213">
        <v>-487.857142857143</v>
      </c>
      <c r="P970" s="108">
        <v>-13</v>
      </c>
      <c r="Q970" s="108">
        <v>-11.3333333333333</v>
      </c>
      <c r="R970" s="108">
        <v>-10.2</v>
      </c>
      <c r="S970" s="108">
        <v>-7.42857142857143</v>
      </c>
      <c r="T970" s="108">
        <v>-8</v>
      </c>
      <c r="U970" s="108">
        <v>-4.66666666666667</v>
      </c>
      <c r="V970" s="108">
        <v>-3.4</v>
      </c>
      <c r="W970" s="108">
        <v>-3</v>
      </c>
    </row>
    <row r="971" spans="1:23">
      <c r="A971" s="103">
        <v>45054</v>
      </c>
      <c r="B971" s="104" t="s">
        <v>19</v>
      </c>
      <c r="C971" s="107">
        <v>170</v>
      </c>
      <c r="D971" s="107"/>
      <c r="E971" s="104">
        <v>8</v>
      </c>
      <c r="F971" s="106">
        <f t="shared" ref="F971:F978" si="7">E971/C971</f>
        <v>0.0470588235294118</v>
      </c>
      <c r="G971" s="107">
        <v>4</v>
      </c>
      <c r="H971" s="106">
        <v>0.5</v>
      </c>
      <c r="I971" s="106"/>
      <c r="J971" s="106"/>
      <c r="K971" s="106"/>
      <c r="L971" s="213">
        <v>-106</v>
      </c>
      <c r="M971" s="213">
        <v>-183.333333333333</v>
      </c>
      <c r="N971" s="213">
        <v>-344</v>
      </c>
      <c r="O971" s="213">
        <v>-484.571428571429</v>
      </c>
      <c r="P971" s="108">
        <v>0</v>
      </c>
      <c r="Q971" s="108">
        <v>-11.3333333333333</v>
      </c>
      <c r="R971" s="108">
        <v>-11.8</v>
      </c>
      <c r="S971" s="108">
        <v>-11.4285714285714</v>
      </c>
      <c r="T971" s="108">
        <v>-8</v>
      </c>
      <c r="U971" s="108">
        <v>-3</v>
      </c>
      <c r="V971" s="108">
        <v>-2.8</v>
      </c>
      <c r="W971" s="115">
        <v>-3.14285714285714</v>
      </c>
    </row>
    <row r="972" spans="1:23">
      <c r="A972" s="103">
        <v>45054</v>
      </c>
      <c r="B972" s="104" t="s">
        <v>21</v>
      </c>
      <c r="C972" s="145">
        <v>551</v>
      </c>
      <c r="D972" s="145"/>
      <c r="E972" s="104">
        <v>25</v>
      </c>
      <c r="F972" s="106">
        <f t="shared" si="7"/>
        <v>0.0453720508166969</v>
      </c>
      <c r="G972" s="107">
        <v>6</v>
      </c>
      <c r="H972" s="106">
        <v>0.24</v>
      </c>
      <c r="I972" s="106"/>
      <c r="J972" s="106"/>
      <c r="K972" s="106"/>
      <c r="L972" s="213">
        <v>-16</v>
      </c>
      <c r="M972" s="213">
        <v>6.66666666666663</v>
      </c>
      <c r="N972" s="213">
        <v>5.79999999999995</v>
      </c>
      <c r="O972" s="213">
        <v>9.42857142857144</v>
      </c>
      <c r="P972" s="108">
        <v>-2</v>
      </c>
      <c r="Q972" s="108">
        <v>-12.3333333333333</v>
      </c>
      <c r="R972" s="108">
        <v>-7</v>
      </c>
      <c r="S972" s="108">
        <v>-6</v>
      </c>
      <c r="T972" s="108">
        <v>-3</v>
      </c>
      <c r="U972" s="108">
        <v>-3.66666666666667</v>
      </c>
      <c r="V972" s="108">
        <v>-3.4</v>
      </c>
      <c r="W972" s="108">
        <v>-2.42857142857143</v>
      </c>
    </row>
    <row r="973" spans="1:23">
      <c r="A973" s="103">
        <v>45054</v>
      </c>
      <c r="B973" s="104" t="s">
        <v>22</v>
      </c>
      <c r="C973" s="145">
        <v>2049</v>
      </c>
      <c r="D973" s="145"/>
      <c r="E973" s="104">
        <v>60</v>
      </c>
      <c r="F973" s="106">
        <f t="shared" si="7"/>
        <v>0.0292825768667643</v>
      </c>
      <c r="G973" s="107">
        <v>20</v>
      </c>
      <c r="H973" s="106">
        <v>0.333333333333333</v>
      </c>
      <c r="I973" s="106"/>
      <c r="J973" s="106"/>
      <c r="K973" s="106"/>
      <c r="L973" s="213">
        <v>-24</v>
      </c>
      <c r="M973" s="213">
        <v>174.333333333333</v>
      </c>
      <c r="N973" s="213">
        <v>312.6</v>
      </c>
      <c r="O973" s="213">
        <v>172.428571428571</v>
      </c>
      <c r="P973" s="108">
        <v>0</v>
      </c>
      <c r="Q973" s="108">
        <v>2.33333333333334</v>
      </c>
      <c r="R973" s="108">
        <v>10.2</v>
      </c>
      <c r="S973" s="115">
        <v>14.5714285714286</v>
      </c>
      <c r="T973" s="108">
        <v>-5</v>
      </c>
      <c r="U973" s="108">
        <v>0</v>
      </c>
      <c r="V973" s="108">
        <v>3.4</v>
      </c>
      <c r="W973" s="117">
        <v>5.57142857142857</v>
      </c>
    </row>
    <row r="974" spans="1:23">
      <c r="A974" s="103">
        <v>45054</v>
      </c>
      <c r="B974" s="104" t="s">
        <v>23</v>
      </c>
      <c r="C974" s="145">
        <v>2192</v>
      </c>
      <c r="D974" s="145"/>
      <c r="E974" s="104">
        <v>15</v>
      </c>
      <c r="F974" s="106">
        <f t="shared" si="7"/>
        <v>0.00684306569343066</v>
      </c>
      <c r="G974" s="107">
        <v>2</v>
      </c>
      <c r="H974" s="106">
        <v>0.133333333333333</v>
      </c>
      <c r="I974" s="106"/>
      <c r="J974" s="106"/>
      <c r="K974" s="106"/>
      <c r="L974" s="213">
        <v>41</v>
      </c>
      <c r="M974" s="213">
        <v>-40</v>
      </c>
      <c r="N974" s="213">
        <v>-71.8000000000002</v>
      </c>
      <c r="O974" s="213">
        <v>-155.142857142857</v>
      </c>
      <c r="P974" s="108">
        <v>3</v>
      </c>
      <c r="Q974" s="108">
        <v>-6.66666666666667</v>
      </c>
      <c r="R974" s="108">
        <v>-5</v>
      </c>
      <c r="S974" s="108">
        <v>-5</v>
      </c>
      <c r="T974" s="108">
        <v>-1</v>
      </c>
      <c r="U974" s="116">
        <v>-2.33333333333333</v>
      </c>
      <c r="V974" s="108">
        <v>-3.4</v>
      </c>
      <c r="W974" s="108">
        <v>-4</v>
      </c>
    </row>
    <row r="975" spans="1:23">
      <c r="A975" s="103">
        <v>45054</v>
      </c>
      <c r="B975" s="104" t="s">
        <v>24</v>
      </c>
      <c r="C975" s="145">
        <v>2785</v>
      </c>
      <c r="D975" s="145"/>
      <c r="E975" s="104">
        <v>78</v>
      </c>
      <c r="F975" s="106">
        <f t="shared" si="7"/>
        <v>0.0280071813285458</v>
      </c>
      <c r="G975" s="107">
        <v>24</v>
      </c>
      <c r="H975" s="106">
        <v>0.307692307692308</v>
      </c>
      <c r="I975" s="106"/>
      <c r="J975" s="106"/>
      <c r="K975" s="106"/>
      <c r="L975" s="213">
        <v>-239</v>
      </c>
      <c r="M975" s="213">
        <v>-374</v>
      </c>
      <c r="N975" s="213">
        <v>-549.2</v>
      </c>
      <c r="O975" s="213">
        <v>-302.714285714286</v>
      </c>
      <c r="P975" s="115">
        <v>-18</v>
      </c>
      <c r="Q975" s="115">
        <v>-7</v>
      </c>
      <c r="R975" s="115">
        <v>1.8</v>
      </c>
      <c r="S975" s="115">
        <v>20</v>
      </c>
      <c r="T975" s="115">
        <v>-4</v>
      </c>
      <c r="U975" s="115">
        <v>1.33333333333333</v>
      </c>
      <c r="V975" s="115">
        <v>5.8</v>
      </c>
      <c r="W975" s="115">
        <v>10.1428571428571</v>
      </c>
    </row>
    <row r="976" spans="1:23">
      <c r="A976" s="103">
        <v>45054</v>
      </c>
      <c r="B976" s="104" t="s">
        <v>25</v>
      </c>
      <c r="C976" s="145">
        <v>3664</v>
      </c>
      <c r="D976" s="145"/>
      <c r="E976" s="104">
        <v>15</v>
      </c>
      <c r="F976" s="106">
        <f t="shared" si="7"/>
        <v>0.0040938864628821</v>
      </c>
      <c r="G976" s="107">
        <v>6</v>
      </c>
      <c r="H976" s="106">
        <v>0.4</v>
      </c>
      <c r="I976" s="106"/>
      <c r="J976" s="106"/>
      <c r="K976" s="106"/>
      <c r="L976" s="213">
        <v>718</v>
      </c>
      <c r="M976" s="213">
        <v>-2501.33333333333</v>
      </c>
      <c r="N976" s="213">
        <v>-3772.4</v>
      </c>
      <c r="O976" s="213">
        <v>-3685.14285714286</v>
      </c>
      <c r="P976" s="116">
        <v>-10</v>
      </c>
      <c r="Q976" s="115">
        <v>-14</v>
      </c>
      <c r="R976" s="115">
        <v>-21.2</v>
      </c>
      <c r="S976" s="115">
        <v>-23.4285714285714</v>
      </c>
      <c r="T976" s="108">
        <v>-7</v>
      </c>
      <c r="U976" s="108">
        <v>-6.66666666666667</v>
      </c>
      <c r="V976" s="108">
        <v>-7.4</v>
      </c>
      <c r="W976" s="108">
        <v>-9.85714285714286</v>
      </c>
    </row>
    <row r="977" spans="1:23">
      <c r="A977" s="103">
        <v>45054</v>
      </c>
      <c r="B977" s="104" t="s">
        <v>26</v>
      </c>
      <c r="C977" s="145">
        <v>2087</v>
      </c>
      <c r="D977" s="145"/>
      <c r="E977" s="104">
        <v>15</v>
      </c>
      <c r="F977" s="106">
        <f t="shared" si="7"/>
        <v>0.00718735026353618</v>
      </c>
      <c r="G977" s="107">
        <v>5</v>
      </c>
      <c r="H977" s="106">
        <v>0.333333333333333</v>
      </c>
      <c r="I977" s="106"/>
      <c r="J977" s="106"/>
      <c r="K977" s="106"/>
      <c r="L977" s="213">
        <v>-132</v>
      </c>
      <c r="M977" s="213">
        <v>131.333333333333</v>
      </c>
      <c r="N977" s="213">
        <v>768.8</v>
      </c>
      <c r="O977" s="213">
        <v>982.285714285714</v>
      </c>
      <c r="P977" s="108">
        <v>-9</v>
      </c>
      <c r="Q977" s="108">
        <v>-10.6666666666667</v>
      </c>
      <c r="R977" s="108">
        <v>-7.6</v>
      </c>
      <c r="S977" s="108">
        <v>-6.42857142857143</v>
      </c>
      <c r="T977" s="108">
        <v>-3</v>
      </c>
      <c r="U977" s="108">
        <v>-1</v>
      </c>
      <c r="V977" s="108">
        <v>0.4</v>
      </c>
      <c r="W977" s="108">
        <v>0</v>
      </c>
    </row>
    <row r="978" spans="1:23">
      <c r="A978" s="103">
        <v>45054</v>
      </c>
      <c r="B978" s="104" t="s">
        <v>27</v>
      </c>
      <c r="C978" s="145">
        <v>2248</v>
      </c>
      <c r="D978" s="145"/>
      <c r="E978" s="104">
        <v>43</v>
      </c>
      <c r="F978" s="106">
        <f t="shared" si="7"/>
        <v>0.0191281138790036</v>
      </c>
      <c r="G978" s="107">
        <v>13</v>
      </c>
      <c r="H978" s="106">
        <v>0.302325581395349</v>
      </c>
      <c r="I978" s="106"/>
      <c r="J978" s="106"/>
      <c r="K978" s="106"/>
      <c r="L978" s="213">
        <v>98</v>
      </c>
      <c r="M978" s="213">
        <v>513.333333333333</v>
      </c>
      <c r="N978" s="213">
        <v>813.6</v>
      </c>
      <c r="O978" s="213">
        <v>1072.28571428571</v>
      </c>
      <c r="P978" s="108">
        <v>-6</v>
      </c>
      <c r="Q978" s="108">
        <v>-22.3333333333333</v>
      </c>
      <c r="R978" s="108">
        <v>-8.2</v>
      </c>
      <c r="S978" s="108">
        <v>-1.14285714285715</v>
      </c>
      <c r="T978" s="108">
        <v>-3</v>
      </c>
      <c r="U978" s="108">
        <v>0.333333333333334</v>
      </c>
      <c r="V978" s="108">
        <v>1.8</v>
      </c>
      <c r="W978" s="108">
        <v>2.57142857142857</v>
      </c>
    </row>
    <row r="979" spans="1:23">
      <c r="A979" s="103">
        <v>45054</v>
      </c>
      <c r="B979" s="104" t="s">
        <v>28</v>
      </c>
      <c r="C979" s="145">
        <v>0</v>
      </c>
      <c r="D979" s="145"/>
      <c r="E979" s="104">
        <v>0</v>
      </c>
      <c r="F979" s="106">
        <v>0</v>
      </c>
      <c r="G979" s="107">
        <v>0</v>
      </c>
      <c r="H979" s="106">
        <v>0</v>
      </c>
      <c r="I979" s="106"/>
      <c r="J979" s="106"/>
      <c r="K979" s="106"/>
      <c r="L979" s="213">
        <v>0</v>
      </c>
      <c r="M979" s="213">
        <v>0</v>
      </c>
      <c r="N979" s="213">
        <v>0</v>
      </c>
      <c r="O979" s="213">
        <v>0</v>
      </c>
      <c r="P979" s="108">
        <v>0</v>
      </c>
      <c r="Q979" s="108">
        <v>0</v>
      </c>
      <c r="R979" s="108">
        <v>0</v>
      </c>
      <c r="S979" s="108">
        <v>0</v>
      </c>
      <c r="T979" s="108">
        <v>0</v>
      </c>
      <c r="U979" s="108">
        <v>0</v>
      </c>
      <c r="V979" s="108">
        <v>0</v>
      </c>
      <c r="W979" s="108">
        <v>0</v>
      </c>
    </row>
    <row r="980" spans="1:23">
      <c r="A980" s="103">
        <v>45054</v>
      </c>
      <c r="B980" s="104" t="s">
        <v>29</v>
      </c>
      <c r="C980" s="145">
        <v>1</v>
      </c>
      <c r="D980" s="145"/>
      <c r="E980" s="104">
        <v>0</v>
      </c>
      <c r="F980" s="106">
        <v>0</v>
      </c>
      <c r="G980" s="107">
        <v>0</v>
      </c>
      <c r="H980" s="106">
        <v>0</v>
      </c>
      <c r="I980" s="106"/>
      <c r="J980" s="106"/>
      <c r="K980" s="106"/>
      <c r="L980" s="213">
        <v>1</v>
      </c>
      <c r="M980" s="213">
        <v>0.666666666666667</v>
      </c>
      <c r="N980" s="213">
        <v>0.8</v>
      </c>
      <c r="O980" s="213">
        <v>0.714285714285714</v>
      </c>
      <c r="P980" s="108">
        <v>0</v>
      </c>
      <c r="Q980" s="108">
        <v>0</v>
      </c>
      <c r="R980" s="108">
        <v>-0.2</v>
      </c>
      <c r="S980" s="108">
        <v>-0.142857142857143</v>
      </c>
      <c r="T980" s="108">
        <v>0</v>
      </c>
      <c r="U980" s="108">
        <v>0</v>
      </c>
      <c r="V980" s="108">
        <v>0</v>
      </c>
      <c r="W980" s="108">
        <v>0</v>
      </c>
    </row>
    <row r="981" spans="1:23">
      <c r="A981" s="103">
        <v>45054</v>
      </c>
      <c r="B981" s="104" t="s">
        <v>30</v>
      </c>
      <c r="C981" s="145">
        <v>0</v>
      </c>
      <c r="D981" s="145"/>
      <c r="E981" s="104">
        <v>0</v>
      </c>
      <c r="F981" s="106">
        <v>0</v>
      </c>
      <c r="G981" s="107">
        <v>0</v>
      </c>
      <c r="H981" s="106">
        <v>0</v>
      </c>
      <c r="I981" s="106"/>
      <c r="J981" s="106"/>
      <c r="K981" s="106"/>
      <c r="L981" s="213">
        <v>0</v>
      </c>
      <c r="M981" s="213">
        <v>0</v>
      </c>
      <c r="N981" s="213">
        <v>0</v>
      </c>
      <c r="O981" s="213">
        <v>0</v>
      </c>
      <c r="P981" s="108">
        <v>0</v>
      </c>
      <c r="Q981" s="108">
        <v>0</v>
      </c>
      <c r="R981" s="108">
        <v>0</v>
      </c>
      <c r="S981" s="108">
        <v>0</v>
      </c>
      <c r="T981" s="108">
        <v>0</v>
      </c>
      <c r="U981" s="108">
        <v>0</v>
      </c>
      <c r="V981" s="108">
        <v>0</v>
      </c>
      <c r="W981" s="108">
        <v>0</v>
      </c>
    </row>
    <row r="982" spans="1:23">
      <c r="A982" s="103">
        <v>45054</v>
      </c>
      <c r="B982" s="104" t="s">
        <v>31</v>
      </c>
      <c r="C982" s="145">
        <v>0</v>
      </c>
      <c r="D982" s="145"/>
      <c r="E982" s="104">
        <v>0</v>
      </c>
      <c r="F982" s="106">
        <v>0</v>
      </c>
      <c r="G982" s="107">
        <v>0</v>
      </c>
      <c r="H982" s="106">
        <v>0</v>
      </c>
      <c r="I982" s="106"/>
      <c r="J982" s="106"/>
      <c r="K982" s="106"/>
      <c r="L982" s="213">
        <v>0</v>
      </c>
      <c r="M982" s="213">
        <v>0</v>
      </c>
      <c r="N982" s="213">
        <v>0</v>
      </c>
      <c r="O982" s="213">
        <v>0</v>
      </c>
      <c r="P982" s="108">
        <v>0</v>
      </c>
      <c r="Q982" s="108">
        <v>-0.333333333333333</v>
      </c>
      <c r="R982" s="108">
        <v>-0.2</v>
      </c>
      <c r="S982" s="108">
        <v>-0.142857142857143</v>
      </c>
      <c r="T982" s="108">
        <v>0</v>
      </c>
      <c r="U982" s="108">
        <v>0</v>
      </c>
      <c r="V982" s="108">
        <v>0</v>
      </c>
      <c r="W982" s="108">
        <v>0</v>
      </c>
    </row>
    <row r="983" spans="1:23">
      <c r="A983" s="103">
        <v>45054</v>
      </c>
      <c r="B983" s="104" t="s">
        <v>32</v>
      </c>
      <c r="C983" s="145">
        <v>0</v>
      </c>
      <c r="D983" s="145"/>
      <c r="E983" s="104">
        <v>0</v>
      </c>
      <c r="F983" s="106">
        <v>0</v>
      </c>
      <c r="G983" s="107">
        <v>0</v>
      </c>
      <c r="H983" s="106">
        <v>0</v>
      </c>
      <c r="I983" s="106"/>
      <c r="J983" s="106"/>
      <c r="K983" s="106"/>
      <c r="L983" s="213">
        <v>0</v>
      </c>
      <c r="M983" s="213">
        <v>0</v>
      </c>
      <c r="N983" s="213">
        <v>0</v>
      </c>
      <c r="O983" s="213">
        <v>0</v>
      </c>
      <c r="P983" s="108">
        <v>0</v>
      </c>
      <c r="Q983" s="108">
        <v>0</v>
      </c>
      <c r="R983" s="108">
        <v>0</v>
      </c>
      <c r="S983" s="108">
        <v>0</v>
      </c>
      <c r="T983" s="108">
        <v>0</v>
      </c>
      <c r="U983" s="108">
        <v>0</v>
      </c>
      <c r="V983" s="108">
        <v>0</v>
      </c>
      <c r="W983" s="108">
        <v>0</v>
      </c>
    </row>
    <row r="984" spans="1:23">
      <c r="A984" s="103">
        <v>45054</v>
      </c>
      <c r="B984" s="104" t="s">
        <v>33</v>
      </c>
      <c r="C984" s="145">
        <v>0</v>
      </c>
      <c r="D984" s="145"/>
      <c r="E984" s="104">
        <v>1</v>
      </c>
      <c r="F984" s="106">
        <v>1</v>
      </c>
      <c r="G984" s="107">
        <v>0</v>
      </c>
      <c r="H984" s="106">
        <v>0</v>
      </c>
      <c r="I984" s="106"/>
      <c r="J984" s="106"/>
      <c r="K984" s="106"/>
      <c r="L984" s="213">
        <v>0</v>
      </c>
      <c r="M984" s="213">
        <v>0</v>
      </c>
      <c r="N984" s="213">
        <v>0</v>
      </c>
      <c r="O984" s="213">
        <v>0</v>
      </c>
      <c r="P984" s="108">
        <v>1</v>
      </c>
      <c r="Q984" s="108">
        <v>1</v>
      </c>
      <c r="R984" s="108">
        <v>1</v>
      </c>
      <c r="S984" s="108">
        <v>1</v>
      </c>
      <c r="T984" s="108">
        <v>0</v>
      </c>
      <c r="U984" s="108">
        <v>0</v>
      </c>
      <c r="V984" s="108">
        <v>0</v>
      </c>
      <c r="W984" s="108">
        <v>0</v>
      </c>
    </row>
    <row r="985" spans="1:23">
      <c r="A985" s="103">
        <v>45054</v>
      </c>
      <c r="B985" s="104" t="s">
        <v>34</v>
      </c>
      <c r="C985" s="145">
        <v>0</v>
      </c>
      <c r="D985" s="145"/>
      <c r="E985" s="104">
        <v>0</v>
      </c>
      <c r="F985" s="106">
        <v>0</v>
      </c>
      <c r="G985" s="107">
        <v>0</v>
      </c>
      <c r="H985" s="106">
        <v>0</v>
      </c>
      <c r="I985" s="106"/>
      <c r="J985" s="106"/>
      <c r="K985" s="106"/>
      <c r="L985" s="213">
        <v>0</v>
      </c>
      <c r="M985" s="213">
        <v>0</v>
      </c>
      <c r="N985" s="213">
        <v>0</v>
      </c>
      <c r="O985" s="213">
        <v>0</v>
      </c>
      <c r="P985" s="108">
        <v>0</v>
      </c>
      <c r="Q985" s="108">
        <v>0</v>
      </c>
      <c r="R985" s="108">
        <v>0</v>
      </c>
      <c r="S985" s="108">
        <v>0</v>
      </c>
      <c r="T985" s="108">
        <v>0</v>
      </c>
      <c r="U985" s="108">
        <v>0</v>
      </c>
      <c r="V985" s="108">
        <v>0</v>
      </c>
      <c r="W985" s="108">
        <v>0</v>
      </c>
    </row>
    <row r="986" spans="1:23">
      <c r="A986" s="103">
        <v>45054</v>
      </c>
      <c r="B986" s="104" t="s">
        <v>35</v>
      </c>
      <c r="C986" s="145">
        <v>0</v>
      </c>
      <c r="D986" s="145"/>
      <c r="E986" s="104">
        <v>0</v>
      </c>
      <c r="F986" s="106">
        <v>0</v>
      </c>
      <c r="G986" s="107">
        <v>0</v>
      </c>
      <c r="H986" s="106">
        <v>0</v>
      </c>
      <c r="I986" s="106"/>
      <c r="J986" s="106"/>
      <c r="K986" s="106"/>
      <c r="L986" s="213">
        <v>0</v>
      </c>
      <c r="M986" s="213">
        <v>0</v>
      </c>
      <c r="N986" s="213">
        <v>0</v>
      </c>
      <c r="O986" s="213">
        <v>0</v>
      </c>
      <c r="P986" s="108">
        <v>0</v>
      </c>
      <c r="Q986" s="108">
        <v>0</v>
      </c>
      <c r="R986" s="108">
        <v>0</v>
      </c>
      <c r="S986" s="108">
        <v>0</v>
      </c>
      <c r="T986" s="108">
        <v>0</v>
      </c>
      <c r="U986" s="108">
        <v>0</v>
      </c>
      <c r="V986" s="108">
        <v>0</v>
      </c>
      <c r="W986" s="108">
        <v>0</v>
      </c>
    </row>
    <row r="987" spans="1:23">
      <c r="A987" s="103">
        <v>45054</v>
      </c>
      <c r="B987" s="104" t="s">
        <v>36</v>
      </c>
      <c r="C987" s="145">
        <v>0</v>
      </c>
      <c r="D987" s="145"/>
      <c r="E987" s="104">
        <v>0</v>
      </c>
      <c r="F987" s="106">
        <v>0</v>
      </c>
      <c r="G987" s="107">
        <v>0</v>
      </c>
      <c r="H987" s="106">
        <v>0</v>
      </c>
      <c r="I987" s="106"/>
      <c r="J987" s="106"/>
      <c r="K987" s="106"/>
      <c r="L987" s="213">
        <v>0</v>
      </c>
      <c r="M987" s="213">
        <v>0</v>
      </c>
      <c r="N987" s="213">
        <v>0</v>
      </c>
      <c r="O987" s="213">
        <v>0</v>
      </c>
      <c r="P987" s="108">
        <v>0</v>
      </c>
      <c r="Q987" s="108">
        <v>0</v>
      </c>
      <c r="R987" s="108">
        <v>0</v>
      </c>
      <c r="S987" s="108">
        <v>0</v>
      </c>
      <c r="T987" s="108">
        <v>0</v>
      </c>
      <c r="U987" s="108">
        <v>0</v>
      </c>
      <c r="V987" s="108">
        <v>0</v>
      </c>
      <c r="W987" s="108">
        <v>0</v>
      </c>
    </row>
    <row r="988" spans="1:23">
      <c r="A988" s="103">
        <v>45054</v>
      </c>
      <c r="B988" s="104" t="s">
        <v>37</v>
      </c>
      <c r="C988" s="145">
        <v>0</v>
      </c>
      <c r="D988" s="145"/>
      <c r="E988" s="104">
        <v>0</v>
      </c>
      <c r="F988" s="106">
        <v>0</v>
      </c>
      <c r="G988" s="107">
        <v>0</v>
      </c>
      <c r="H988" s="106">
        <v>0</v>
      </c>
      <c r="I988" s="106"/>
      <c r="J988" s="106"/>
      <c r="K988" s="106"/>
      <c r="L988" s="213">
        <v>0</v>
      </c>
      <c r="M988" s="213">
        <v>0</v>
      </c>
      <c r="N988" s="213">
        <v>0</v>
      </c>
      <c r="O988" s="213">
        <v>0</v>
      </c>
      <c r="P988" s="108">
        <v>-2</v>
      </c>
      <c r="Q988" s="108">
        <v>-1</v>
      </c>
      <c r="R988" s="108">
        <v>-0.8</v>
      </c>
      <c r="S988" s="108">
        <v>-0.714285714285714</v>
      </c>
      <c r="T988" s="108">
        <v>0</v>
      </c>
      <c r="U988" s="108">
        <v>0</v>
      </c>
      <c r="V988" s="108">
        <v>0</v>
      </c>
      <c r="W988" s="108">
        <v>0</v>
      </c>
    </row>
    <row r="989" spans="1:23">
      <c r="A989" s="103">
        <v>45054</v>
      </c>
      <c r="B989" s="104" t="s">
        <v>38</v>
      </c>
      <c r="C989" s="145">
        <v>0</v>
      </c>
      <c r="D989" s="145"/>
      <c r="E989" s="104">
        <v>0</v>
      </c>
      <c r="F989" s="106">
        <v>0</v>
      </c>
      <c r="G989" s="107">
        <v>0</v>
      </c>
      <c r="H989" s="106">
        <v>0</v>
      </c>
      <c r="I989" s="106"/>
      <c r="J989" s="106"/>
      <c r="K989" s="106"/>
      <c r="L989" s="213">
        <v>0</v>
      </c>
      <c r="M989" s="213">
        <v>0</v>
      </c>
      <c r="N989" s="213">
        <v>0</v>
      </c>
      <c r="O989" s="213">
        <v>0</v>
      </c>
      <c r="P989" s="108">
        <v>0</v>
      </c>
      <c r="Q989" s="108">
        <v>0</v>
      </c>
      <c r="R989" s="108">
        <v>0</v>
      </c>
      <c r="S989" s="108">
        <v>0</v>
      </c>
      <c r="T989" s="108">
        <v>0</v>
      </c>
      <c r="U989" s="108">
        <v>0</v>
      </c>
      <c r="V989" s="108">
        <v>0</v>
      </c>
      <c r="W989" s="108">
        <v>0</v>
      </c>
    </row>
    <row r="990" spans="1:23">
      <c r="A990" s="103">
        <v>45054</v>
      </c>
      <c r="B990" s="111" t="s">
        <v>39</v>
      </c>
      <c r="C990" s="112">
        <v>23918</v>
      </c>
      <c r="D990" s="112"/>
      <c r="E990" s="112">
        <v>294</v>
      </c>
      <c r="F990" s="113">
        <v>0.0122919976586671</v>
      </c>
      <c r="G990" s="112">
        <v>87</v>
      </c>
      <c r="H990" s="113">
        <v>0.295918367346939</v>
      </c>
      <c r="I990" s="113"/>
      <c r="J990" s="113"/>
      <c r="K990" s="113"/>
      <c r="L990" s="213"/>
      <c r="M990" s="213"/>
      <c r="N990" s="213"/>
      <c r="O990" s="213"/>
      <c r="P990" s="108"/>
      <c r="Q990" s="108"/>
      <c r="R990" s="108"/>
      <c r="S990" s="108"/>
      <c r="T990" s="108"/>
      <c r="U990" s="108"/>
      <c r="V990" s="108"/>
      <c r="W990" s="108"/>
    </row>
    <row r="991" spans="1:23">
      <c r="A991" s="103">
        <v>45055</v>
      </c>
      <c r="B991" s="104" t="s">
        <v>17</v>
      </c>
      <c r="C991" s="105">
        <v>1</v>
      </c>
      <c r="D991" s="105"/>
      <c r="E991" s="104">
        <v>41</v>
      </c>
      <c r="F991" s="106">
        <v>41</v>
      </c>
      <c r="G991" s="107">
        <v>8</v>
      </c>
      <c r="H991" s="106">
        <v>0.195121951219512</v>
      </c>
      <c r="I991" s="106"/>
      <c r="J991" s="106"/>
      <c r="K991" s="106"/>
      <c r="L991" s="213">
        <v>-1</v>
      </c>
      <c r="M991" s="213">
        <v>-122</v>
      </c>
      <c r="N991" s="213">
        <v>-316</v>
      </c>
      <c r="O991" s="213">
        <v>-397.857142857143</v>
      </c>
      <c r="P991" s="108">
        <v>7</v>
      </c>
      <c r="Q991" s="108">
        <v>2.33333333333334</v>
      </c>
      <c r="R991" s="108">
        <v>-1.2</v>
      </c>
      <c r="S991" s="108">
        <v>0.142857142857146</v>
      </c>
      <c r="T991" s="108">
        <v>1</v>
      </c>
      <c r="U991" s="108">
        <v>-3</v>
      </c>
      <c r="V991" s="108">
        <v>-3</v>
      </c>
      <c r="W991" s="108">
        <v>-2</v>
      </c>
    </row>
    <row r="992" spans="1:23">
      <c r="A992" s="103">
        <v>45055</v>
      </c>
      <c r="B992" s="104" t="s">
        <v>19</v>
      </c>
      <c r="C992" s="107">
        <v>418</v>
      </c>
      <c r="D992" s="107"/>
      <c r="E992" s="104">
        <v>9</v>
      </c>
      <c r="F992" s="106">
        <v>0.0215311004784689</v>
      </c>
      <c r="G992" s="107">
        <v>3</v>
      </c>
      <c r="H992" s="106">
        <v>0.333333333333333</v>
      </c>
      <c r="I992" s="106"/>
      <c r="J992" s="106"/>
      <c r="K992" s="106"/>
      <c r="L992" s="213">
        <v>248</v>
      </c>
      <c r="M992" s="213">
        <v>214.666666666667</v>
      </c>
      <c r="N992" s="213">
        <v>152.4</v>
      </c>
      <c r="O992" s="213">
        <v>70.4285714285714</v>
      </c>
      <c r="P992" s="108">
        <v>1</v>
      </c>
      <c r="Q992" s="108">
        <v>-0.666666666666666</v>
      </c>
      <c r="R992" s="108">
        <v>-8.2</v>
      </c>
      <c r="S992" s="108">
        <v>-7.71428571428572</v>
      </c>
      <c r="T992" s="108">
        <v>-1</v>
      </c>
      <c r="U992" s="108">
        <v>-3.66666666666667</v>
      </c>
      <c r="V992" s="108">
        <v>-2.8</v>
      </c>
      <c r="W992" s="115">
        <v>-3.14285714285714</v>
      </c>
    </row>
    <row r="993" spans="1:23">
      <c r="A993" s="103">
        <v>45055</v>
      </c>
      <c r="B993" s="104" t="s">
        <v>21</v>
      </c>
      <c r="C993" s="145">
        <v>569</v>
      </c>
      <c r="D993" s="145"/>
      <c r="E993" s="104">
        <v>23</v>
      </c>
      <c r="F993" s="106">
        <v>0.0404217926186292</v>
      </c>
      <c r="G993" s="107">
        <v>9</v>
      </c>
      <c r="H993" s="106">
        <v>0.391304347826087</v>
      </c>
      <c r="I993" s="106"/>
      <c r="J993" s="106"/>
      <c r="K993" s="106"/>
      <c r="L993" s="213">
        <v>18</v>
      </c>
      <c r="M993" s="213">
        <v>19.3333333333334</v>
      </c>
      <c r="N993" s="213">
        <v>14.8</v>
      </c>
      <c r="O993" s="213">
        <v>20.7142857142857</v>
      </c>
      <c r="P993" s="108">
        <v>-2</v>
      </c>
      <c r="Q993" s="108">
        <v>-2.66666666666667</v>
      </c>
      <c r="R993" s="108">
        <v>-8.8</v>
      </c>
      <c r="S993" s="108">
        <v>-7.42857142857143</v>
      </c>
      <c r="T993" s="108">
        <v>3</v>
      </c>
      <c r="U993" s="108">
        <v>0</v>
      </c>
      <c r="V993" s="108">
        <v>0.800000000000001</v>
      </c>
      <c r="W993" s="108">
        <v>0.428571428571429</v>
      </c>
    </row>
    <row r="994" spans="1:23">
      <c r="A994" s="103">
        <v>45055</v>
      </c>
      <c r="B994" s="104" t="s">
        <v>22</v>
      </c>
      <c r="C994" s="145">
        <v>2384</v>
      </c>
      <c r="D994" s="145"/>
      <c r="E994" s="104">
        <v>64</v>
      </c>
      <c r="F994" s="106">
        <v>0.0268456375838926</v>
      </c>
      <c r="G994" s="107">
        <v>18</v>
      </c>
      <c r="H994" s="106">
        <v>0.28125</v>
      </c>
      <c r="I994" s="106"/>
      <c r="J994" s="106"/>
      <c r="K994" s="106"/>
      <c r="L994" s="213">
        <v>335</v>
      </c>
      <c r="M994" s="213">
        <v>373.666666666667</v>
      </c>
      <c r="N994" s="213">
        <v>554.4</v>
      </c>
      <c r="O994" s="213">
        <v>620.142857142857</v>
      </c>
      <c r="P994" s="108">
        <v>4</v>
      </c>
      <c r="Q994" s="108">
        <v>4.66666666666666</v>
      </c>
      <c r="R994" s="108">
        <v>11.2</v>
      </c>
      <c r="S994" s="115">
        <v>14.1428571428571</v>
      </c>
      <c r="T994" s="108">
        <v>-2</v>
      </c>
      <c r="U994" s="108">
        <v>-2.33333333333333</v>
      </c>
      <c r="V994" s="108">
        <v>-0.800000000000001</v>
      </c>
      <c r="W994" s="117">
        <v>1.71428571428572</v>
      </c>
    </row>
    <row r="995" spans="1:23">
      <c r="A995" s="103">
        <v>45055</v>
      </c>
      <c r="B995" s="104" t="s">
        <v>23</v>
      </c>
      <c r="C995" s="145">
        <v>2194</v>
      </c>
      <c r="D995" s="145"/>
      <c r="E995" s="104">
        <v>10</v>
      </c>
      <c r="F995" s="106">
        <v>0.00455788514129444</v>
      </c>
      <c r="G995" s="107">
        <v>2</v>
      </c>
      <c r="H995" s="106">
        <v>0.2</v>
      </c>
      <c r="I995" s="106"/>
      <c r="J995" s="106"/>
      <c r="K995" s="106"/>
      <c r="L995" s="213">
        <v>2</v>
      </c>
      <c r="M995" s="213">
        <v>-39.6666666666665</v>
      </c>
      <c r="N995" s="213">
        <v>-25</v>
      </c>
      <c r="O995" s="213">
        <v>-89.2857142857142</v>
      </c>
      <c r="P995" s="108">
        <v>-5</v>
      </c>
      <c r="Q995" s="108">
        <v>-5</v>
      </c>
      <c r="R995" s="108">
        <v>-9.4</v>
      </c>
      <c r="S995" s="108">
        <v>-9.14285714285714</v>
      </c>
      <c r="T995" s="108">
        <v>0</v>
      </c>
      <c r="U995" s="116">
        <v>-1</v>
      </c>
      <c r="V995" s="108">
        <v>-2.4</v>
      </c>
      <c r="W995" s="108">
        <v>-3.14285714285714</v>
      </c>
    </row>
    <row r="996" spans="1:23">
      <c r="A996" s="103">
        <v>45055</v>
      </c>
      <c r="B996" s="104" t="s">
        <v>24</v>
      </c>
      <c r="C996" s="145">
        <v>3042</v>
      </c>
      <c r="D996" s="145"/>
      <c r="E996" s="104">
        <v>104</v>
      </c>
      <c r="F996" s="106">
        <v>0.0341880341880342</v>
      </c>
      <c r="G996" s="107">
        <v>30</v>
      </c>
      <c r="H996" s="106">
        <v>0.288461538461538</v>
      </c>
      <c r="I996" s="106"/>
      <c r="J996" s="106"/>
      <c r="K996" s="106"/>
      <c r="L996" s="213">
        <v>257</v>
      </c>
      <c r="M996" s="213">
        <v>148.333333333333</v>
      </c>
      <c r="N996" s="213">
        <v>-62.5999999999999</v>
      </c>
      <c r="O996" s="213">
        <v>-139.285714285714</v>
      </c>
      <c r="P996" s="115">
        <v>26</v>
      </c>
      <c r="Q996" s="115">
        <v>23.6666666666667</v>
      </c>
      <c r="R996" s="115">
        <v>22</v>
      </c>
      <c r="S996" s="115">
        <v>35.5714285714286</v>
      </c>
      <c r="T996" s="115">
        <v>6</v>
      </c>
      <c r="U996" s="115">
        <v>4</v>
      </c>
      <c r="V996" s="115">
        <v>9</v>
      </c>
      <c r="W996" s="115">
        <v>12.8571428571429</v>
      </c>
    </row>
    <row r="997" spans="1:23">
      <c r="A997" s="103">
        <v>45055</v>
      </c>
      <c r="B997" s="104" t="s">
        <v>25</v>
      </c>
      <c r="C997" s="145">
        <v>6198</v>
      </c>
      <c r="D997" s="145"/>
      <c r="E997" s="104">
        <v>20</v>
      </c>
      <c r="F997" s="106">
        <v>0.00322684737011939</v>
      </c>
      <c r="G997" s="107">
        <v>12</v>
      </c>
      <c r="H997" s="106">
        <v>0.6</v>
      </c>
      <c r="I997" s="106"/>
      <c r="J997" s="106"/>
      <c r="K997" s="106"/>
      <c r="L997" s="213">
        <v>2534</v>
      </c>
      <c r="M997" s="213">
        <v>2164.66666666667</v>
      </c>
      <c r="N997" s="213">
        <v>1314</v>
      </c>
      <c r="O997" s="213">
        <v>1038.85714285714</v>
      </c>
      <c r="P997" s="116">
        <v>5</v>
      </c>
      <c r="Q997" s="115">
        <v>-2</v>
      </c>
      <c r="R997" s="115">
        <v>-8.4</v>
      </c>
      <c r="S997" s="115">
        <v>-15.4285714285714</v>
      </c>
      <c r="T997" s="108">
        <v>6</v>
      </c>
      <c r="U997" s="108">
        <v>1</v>
      </c>
      <c r="V997" s="108">
        <v>1.2</v>
      </c>
      <c r="W997" s="108">
        <v>-1.71428571428571</v>
      </c>
    </row>
    <row r="998" spans="1:23">
      <c r="A998" s="103">
        <v>45055</v>
      </c>
      <c r="B998" s="104" t="s">
        <v>26</v>
      </c>
      <c r="C998" s="145">
        <v>4088</v>
      </c>
      <c r="D998" s="145"/>
      <c r="E998" s="104">
        <v>20</v>
      </c>
      <c r="F998" s="106">
        <v>0.00489236790606654</v>
      </c>
      <c r="G998" s="107">
        <v>5</v>
      </c>
      <c r="H998" s="106">
        <v>0.25</v>
      </c>
      <c r="I998" s="106"/>
      <c r="J998" s="106"/>
      <c r="K998" s="106"/>
      <c r="L998" s="213">
        <v>2001</v>
      </c>
      <c r="M998" s="213">
        <v>1982</v>
      </c>
      <c r="N998" s="213">
        <v>2215</v>
      </c>
      <c r="O998" s="213">
        <v>2379.42857142857</v>
      </c>
      <c r="P998" s="108">
        <v>5</v>
      </c>
      <c r="Q998" s="108">
        <v>2.66666666666667</v>
      </c>
      <c r="R998" s="108">
        <v>-1.8</v>
      </c>
      <c r="S998" s="108">
        <v>-1.28571428571428</v>
      </c>
      <c r="T998" s="108">
        <v>0</v>
      </c>
      <c r="U998" s="108">
        <v>-0.333333333333333</v>
      </c>
      <c r="V998" s="108">
        <v>-0.4</v>
      </c>
      <c r="W998" s="108">
        <v>0</v>
      </c>
    </row>
    <row r="999" spans="1:23">
      <c r="A999" s="103">
        <v>45055</v>
      </c>
      <c r="B999" s="104" t="s">
        <v>27</v>
      </c>
      <c r="C999" s="145">
        <v>4986</v>
      </c>
      <c r="D999" s="145"/>
      <c r="E999" s="104">
        <v>62</v>
      </c>
      <c r="F999" s="106">
        <v>0.0124348174889691</v>
      </c>
      <c r="G999" s="107">
        <v>14</v>
      </c>
      <c r="H999" s="106">
        <v>0.225806451612903</v>
      </c>
      <c r="I999" s="106"/>
      <c r="J999" s="106"/>
      <c r="K999" s="106"/>
      <c r="L999" s="213">
        <v>2738</v>
      </c>
      <c r="M999" s="213">
        <v>2849</v>
      </c>
      <c r="N999" s="213">
        <v>2997.8</v>
      </c>
      <c r="O999" s="213">
        <v>3143.42857142857</v>
      </c>
      <c r="P999" s="108">
        <v>19</v>
      </c>
      <c r="Q999" s="108">
        <v>17</v>
      </c>
      <c r="R999" s="108">
        <v>7.4</v>
      </c>
      <c r="S999" s="108">
        <v>15.5714285714286</v>
      </c>
      <c r="T999" s="108">
        <v>1</v>
      </c>
      <c r="U999" s="108">
        <v>0.333333333333334</v>
      </c>
      <c r="V999" s="108">
        <v>2.4</v>
      </c>
      <c r="W999" s="108">
        <v>3.42857142857143</v>
      </c>
    </row>
    <row r="1000" spans="1:23">
      <c r="A1000" s="103">
        <v>45055</v>
      </c>
      <c r="B1000" s="104" t="s">
        <v>28</v>
      </c>
      <c r="C1000" s="145">
        <v>0</v>
      </c>
      <c r="D1000" s="145"/>
      <c r="E1000" s="104">
        <v>0</v>
      </c>
      <c r="F1000" s="106">
        <v>0</v>
      </c>
      <c r="G1000" s="107">
        <v>0</v>
      </c>
      <c r="H1000" s="106">
        <v>0</v>
      </c>
      <c r="I1000" s="106"/>
      <c r="J1000" s="106"/>
      <c r="K1000" s="106"/>
      <c r="L1000" s="213">
        <v>0</v>
      </c>
      <c r="M1000" s="213">
        <v>0</v>
      </c>
      <c r="N1000" s="213">
        <v>0</v>
      </c>
      <c r="O1000" s="213">
        <v>0</v>
      </c>
      <c r="P1000" s="108">
        <v>0</v>
      </c>
      <c r="Q1000" s="108">
        <v>0</v>
      </c>
      <c r="R1000" s="108">
        <v>0</v>
      </c>
      <c r="S1000" s="108">
        <v>0</v>
      </c>
      <c r="T1000" s="108">
        <v>0</v>
      </c>
      <c r="U1000" s="108">
        <v>0</v>
      </c>
      <c r="V1000" s="108">
        <v>0</v>
      </c>
      <c r="W1000" s="108">
        <v>0</v>
      </c>
    </row>
    <row r="1001" spans="1:23">
      <c r="A1001" s="103">
        <v>45055</v>
      </c>
      <c r="B1001" s="104" t="s">
        <v>29</v>
      </c>
      <c r="C1001" s="145">
        <v>1</v>
      </c>
      <c r="D1001" s="145"/>
      <c r="E1001" s="104">
        <v>0</v>
      </c>
      <c r="F1001" s="106">
        <v>0</v>
      </c>
      <c r="G1001" s="107">
        <v>0</v>
      </c>
      <c r="H1001" s="106">
        <v>0</v>
      </c>
      <c r="I1001" s="106"/>
      <c r="J1001" s="106"/>
      <c r="K1001" s="106"/>
      <c r="L1001" s="213">
        <v>0</v>
      </c>
      <c r="M1001" s="213">
        <v>0.666666666666667</v>
      </c>
      <c r="N1001" s="213">
        <v>0.6</v>
      </c>
      <c r="O1001" s="213">
        <v>0.571428571428571</v>
      </c>
      <c r="P1001" s="108">
        <v>0</v>
      </c>
      <c r="Q1001" s="108">
        <v>0</v>
      </c>
      <c r="R1001" s="108">
        <v>0</v>
      </c>
      <c r="S1001" s="108">
        <v>-0.142857142857143</v>
      </c>
      <c r="T1001" s="108">
        <v>0</v>
      </c>
      <c r="U1001" s="108">
        <v>0</v>
      </c>
      <c r="V1001" s="108">
        <v>0</v>
      </c>
      <c r="W1001" s="108">
        <v>0</v>
      </c>
    </row>
    <row r="1002" spans="1:23">
      <c r="A1002" s="103">
        <v>45055</v>
      </c>
      <c r="B1002" s="104" t="s">
        <v>30</v>
      </c>
      <c r="C1002" s="145">
        <v>0</v>
      </c>
      <c r="D1002" s="145"/>
      <c r="E1002" s="104">
        <v>0</v>
      </c>
      <c r="F1002" s="106">
        <v>0</v>
      </c>
      <c r="G1002" s="107">
        <v>0</v>
      </c>
      <c r="H1002" s="106">
        <v>0</v>
      </c>
      <c r="I1002" s="106"/>
      <c r="J1002" s="106"/>
      <c r="K1002" s="106"/>
      <c r="L1002" s="213">
        <v>0</v>
      </c>
      <c r="M1002" s="213">
        <v>0</v>
      </c>
      <c r="N1002" s="213">
        <v>0</v>
      </c>
      <c r="O1002" s="213">
        <v>0</v>
      </c>
      <c r="P1002" s="108">
        <v>0</v>
      </c>
      <c r="Q1002" s="108">
        <v>0</v>
      </c>
      <c r="R1002" s="108">
        <v>0</v>
      </c>
      <c r="S1002" s="108">
        <v>0</v>
      </c>
      <c r="T1002" s="108">
        <v>0</v>
      </c>
      <c r="U1002" s="108">
        <v>0</v>
      </c>
      <c r="V1002" s="108">
        <v>0</v>
      </c>
      <c r="W1002" s="108">
        <v>0</v>
      </c>
    </row>
    <row r="1003" spans="1:23">
      <c r="A1003" s="103">
        <v>45055</v>
      </c>
      <c r="B1003" s="104" t="s">
        <v>31</v>
      </c>
      <c r="C1003" s="145">
        <v>0</v>
      </c>
      <c r="D1003" s="145"/>
      <c r="E1003" s="104">
        <v>0</v>
      </c>
      <c r="F1003" s="106">
        <v>0</v>
      </c>
      <c r="G1003" s="107">
        <v>0</v>
      </c>
      <c r="H1003" s="106">
        <v>0</v>
      </c>
      <c r="I1003" s="106"/>
      <c r="J1003" s="106"/>
      <c r="K1003" s="106"/>
      <c r="L1003" s="213">
        <v>0</v>
      </c>
      <c r="M1003" s="213">
        <v>0</v>
      </c>
      <c r="N1003" s="213">
        <v>0</v>
      </c>
      <c r="O1003" s="213">
        <v>0</v>
      </c>
      <c r="P1003" s="108">
        <v>0</v>
      </c>
      <c r="Q1003" s="108">
        <v>0</v>
      </c>
      <c r="R1003" s="108">
        <v>-0.2</v>
      </c>
      <c r="S1003" s="108">
        <v>-0.142857142857143</v>
      </c>
      <c r="T1003" s="108">
        <v>0</v>
      </c>
      <c r="U1003" s="108">
        <v>0</v>
      </c>
      <c r="V1003" s="108">
        <v>0</v>
      </c>
      <c r="W1003" s="108">
        <v>0</v>
      </c>
    </row>
    <row r="1004" spans="1:23">
      <c r="A1004" s="103">
        <v>45055</v>
      </c>
      <c r="B1004" s="104" t="s">
        <v>32</v>
      </c>
      <c r="C1004" s="145">
        <v>0</v>
      </c>
      <c r="D1004" s="145"/>
      <c r="E1004" s="104">
        <v>0</v>
      </c>
      <c r="F1004" s="106">
        <v>0</v>
      </c>
      <c r="G1004" s="107">
        <v>0</v>
      </c>
      <c r="H1004" s="106">
        <v>0</v>
      </c>
      <c r="I1004" s="106"/>
      <c r="J1004" s="106"/>
      <c r="K1004" s="106"/>
      <c r="L1004" s="213">
        <v>0</v>
      </c>
      <c r="M1004" s="213">
        <v>0</v>
      </c>
      <c r="N1004" s="213">
        <v>0</v>
      </c>
      <c r="O1004" s="213">
        <v>0</v>
      </c>
      <c r="P1004" s="108">
        <v>0</v>
      </c>
      <c r="Q1004" s="108">
        <v>0</v>
      </c>
      <c r="R1004" s="108">
        <v>0</v>
      </c>
      <c r="S1004" s="108">
        <v>0</v>
      </c>
      <c r="T1004" s="108">
        <v>0</v>
      </c>
      <c r="U1004" s="108">
        <v>0</v>
      </c>
      <c r="V1004" s="108">
        <v>0</v>
      </c>
      <c r="W1004" s="108">
        <v>0</v>
      </c>
    </row>
    <row r="1005" spans="1:23">
      <c r="A1005" s="103">
        <v>45055</v>
      </c>
      <c r="B1005" s="104" t="s">
        <v>33</v>
      </c>
      <c r="C1005" s="145">
        <v>0</v>
      </c>
      <c r="D1005" s="145"/>
      <c r="E1005" s="104">
        <v>0</v>
      </c>
      <c r="F1005" s="106">
        <v>0</v>
      </c>
      <c r="G1005" s="107">
        <v>0</v>
      </c>
      <c r="H1005" s="106">
        <v>0</v>
      </c>
      <c r="I1005" s="106"/>
      <c r="J1005" s="106"/>
      <c r="K1005" s="106"/>
      <c r="L1005" s="213">
        <v>0</v>
      </c>
      <c r="M1005" s="213">
        <v>0</v>
      </c>
      <c r="N1005" s="213">
        <v>0</v>
      </c>
      <c r="O1005" s="213">
        <v>0</v>
      </c>
      <c r="P1005" s="108">
        <v>-1</v>
      </c>
      <c r="Q1005" s="108">
        <v>-0.333333333333333</v>
      </c>
      <c r="R1005" s="108">
        <v>-0.2</v>
      </c>
      <c r="S1005" s="108">
        <v>-0.142857142857143</v>
      </c>
      <c r="T1005" s="108">
        <v>0</v>
      </c>
      <c r="U1005" s="108">
        <v>0</v>
      </c>
      <c r="V1005" s="108">
        <v>0</v>
      </c>
      <c r="W1005" s="108">
        <v>0</v>
      </c>
    </row>
    <row r="1006" spans="1:23">
      <c r="A1006" s="103">
        <v>45055</v>
      </c>
      <c r="B1006" s="104" t="s">
        <v>34</v>
      </c>
      <c r="C1006" s="145">
        <v>0</v>
      </c>
      <c r="D1006" s="145"/>
      <c r="E1006" s="104">
        <v>0</v>
      </c>
      <c r="F1006" s="106">
        <v>0</v>
      </c>
      <c r="G1006" s="107">
        <v>0</v>
      </c>
      <c r="H1006" s="106">
        <v>0</v>
      </c>
      <c r="I1006" s="106"/>
      <c r="J1006" s="106"/>
      <c r="K1006" s="106"/>
      <c r="L1006" s="213">
        <v>0</v>
      </c>
      <c r="M1006" s="213">
        <v>0</v>
      </c>
      <c r="N1006" s="213">
        <v>0</v>
      </c>
      <c r="O1006" s="213">
        <v>0</v>
      </c>
      <c r="P1006" s="108">
        <v>0</v>
      </c>
      <c r="Q1006" s="108">
        <v>0</v>
      </c>
      <c r="R1006" s="108">
        <v>0</v>
      </c>
      <c r="S1006" s="108">
        <v>0</v>
      </c>
      <c r="T1006" s="108">
        <v>0</v>
      </c>
      <c r="U1006" s="108">
        <v>0</v>
      </c>
      <c r="V1006" s="108">
        <v>0</v>
      </c>
      <c r="W1006" s="108">
        <v>0</v>
      </c>
    </row>
    <row r="1007" spans="1:23">
      <c r="A1007" s="103">
        <v>45055</v>
      </c>
      <c r="B1007" s="104" t="s">
        <v>35</v>
      </c>
      <c r="C1007" s="145">
        <v>0</v>
      </c>
      <c r="D1007" s="145"/>
      <c r="E1007" s="104">
        <v>0</v>
      </c>
      <c r="F1007" s="106">
        <v>0</v>
      </c>
      <c r="G1007" s="107">
        <v>0</v>
      </c>
      <c r="H1007" s="106">
        <v>0</v>
      </c>
      <c r="I1007" s="106"/>
      <c r="J1007" s="106"/>
      <c r="K1007" s="106"/>
      <c r="L1007" s="213">
        <v>0</v>
      </c>
      <c r="M1007" s="213">
        <v>0</v>
      </c>
      <c r="N1007" s="213">
        <v>0</v>
      </c>
      <c r="O1007" s="213">
        <v>0</v>
      </c>
      <c r="P1007" s="108">
        <v>0</v>
      </c>
      <c r="Q1007" s="108">
        <v>0</v>
      </c>
      <c r="R1007" s="108">
        <v>0</v>
      </c>
      <c r="S1007" s="108">
        <v>0</v>
      </c>
      <c r="T1007" s="108">
        <v>0</v>
      </c>
      <c r="U1007" s="108">
        <v>0</v>
      </c>
      <c r="V1007" s="108">
        <v>0</v>
      </c>
      <c r="W1007" s="108">
        <v>0</v>
      </c>
    </row>
    <row r="1008" spans="1:23">
      <c r="A1008" s="103">
        <v>45055</v>
      </c>
      <c r="B1008" s="104" t="s">
        <v>36</v>
      </c>
      <c r="C1008" s="145">
        <v>0</v>
      </c>
      <c r="D1008" s="145"/>
      <c r="E1008" s="104">
        <v>0</v>
      </c>
      <c r="F1008" s="106">
        <v>0</v>
      </c>
      <c r="G1008" s="107">
        <v>0</v>
      </c>
      <c r="H1008" s="106">
        <v>0</v>
      </c>
      <c r="I1008" s="106"/>
      <c r="J1008" s="106"/>
      <c r="K1008" s="106"/>
      <c r="L1008" s="213">
        <v>0</v>
      </c>
      <c r="M1008" s="213">
        <v>0</v>
      </c>
      <c r="N1008" s="213">
        <v>0</v>
      </c>
      <c r="O1008" s="213">
        <v>0</v>
      </c>
      <c r="P1008" s="108">
        <v>0</v>
      </c>
      <c r="Q1008" s="108">
        <v>0</v>
      </c>
      <c r="R1008" s="108">
        <v>0</v>
      </c>
      <c r="S1008" s="108">
        <v>0</v>
      </c>
      <c r="T1008" s="108">
        <v>0</v>
      </c>
      <c r="U1008" s="108">
        <v>0</v>
      </c>
      <c r="V1008" s="108">
        <v>0</v>
      </c>
      <c r="W1008" s="108">
        <v>0</v>
      </c>
    </row>
    <row r="1009" spans="1:23">
      <c r="A1009" s="103">
        <v>45055</v>
      </c>
      <c r="B1009" s="104" t="s">
        <v>37</v>
      </c>
      <c r="C1009" s="145">
        <v>0</v>
      </c>
      <c r="D1009" s="145"/>
      <c r="E1009" s="104">
        <v>0</v>
      </c>
      <c r="F1009" s="106">
        <v>0</v>
      </c>
      <c r="G1009" s="107">
        <v>0</v>
      </c>
      <c r="H1009" s="106">
        <v>0</v>
      </c>
      <c r="I1009" s="106"/>
      <c r="J1009" s="106"/>
      <c r="K1009" s="106"/>
      <c r="L1009" s="213">
        <v>0</v>
      </c>
      <c r="M1009" s="213">
        <v>0</v>
      </c>
      <c r="N1009" s="213">
        <v>0</v>
      </c>
      <c r="O1009" s="213">
        <v>0</v>
      </c>
      <c r="P1009" s="108">
        <v>0</v>
      </c>
      <c r="Q1009" s="108">
        <v>-1</v>
      </c>
      <c r="R1009" s="108">
        <v>-0.8</v>
      </c>
      <c r="S1009" s="108">
        <v>-0.571428571428571</v>
      </c>
      <c r="T1009" s="108">
        <v>0</v>
      </c>
      <c r="U1009" s="108">
        <v>0</v>
      </c>
      <c r="V1009" s="108">
        <v>0</v>
      </c>
      <c r="W1009" s="108">
        <v>0</v>
      </c>
    </row>
    <row r="1010" spans="1:23">
      <c r="A1010" s="103">
        <v>45055</v>
      </c>
      <c r="B1010" s="104" t="s">
        <v>38</v>
      </c>
      <c r="C1010" s="145">
        <v>0</v>
      </c>
      <c r="D1010" s="145"/>
      <c r="E1010" s="104">
        <v>0</v>
      </c>
      <c r="F1010" s="106">
        <v>0</v>
      </c>
      <c r="G1010" s="107">
        <v>0</v>
      </c>
      <c r="H1010" s="106">
        <v>0</v>
      </c>
      <c r="I1010" s="106"/>
      <c r="J1010" s="106"/>
      <c r="K1010" s="106"/>
      <c r="L1010" s="213">
        <v>0</v>
      </c>
      <c r="M1010" s="213">
        <v>0</v>
      </c>
      <c r="N1010" s="213">
        <v>0</v>
      </c>
      <c r="O1010" s="213">
        <v>0</v>
      </c>
      <c r="P1010" s="108">
        <v>0</v>
      </c>
      <c r="Q1010" s="108">
        <v>0</v>
      </c>
      <c r="R1010" s="108">
        <v>0</v>
      </c>
      <c r="S1010" s="108">
        <v>0</v>
      </c>
      <c r="T1010" s="108">
        <v>0</v>
      </c>
      <c r="U1010" s="108">
        <v>0</v>
      </c>
      <c r="V1010" s="108">
        <v>0</v>
      </c>
      <c r="W1010" s="108">
        <v>0</v>
      </c>
    </row>
    <row r="1011" spans="1:23">
      <c r="A1011" s="103">
        <v>45055</v>
      </c>
      <c r="B1011" s="111" t="s">
        <v>39</v>
      </c>
      <c r="C1011" s="112">
        <v>23881</v>
      </c>
      <c r="D1011" s="112"/>
      <c r="E1011" s="112">
        <v>353</v>
      </c>
      <c r="F1011" s="113">
        <v>0.0147816255600687</v>
      </c>
      <c r="G1011" s="112">
        <v>101</v>
      </c>
      <c r="H1011" s="113">
        <v>0.286118980169972</v>
      </c>
      <c r="I1011" s="113"/>
      <c r="J1011" s="113"/>
      <c r="K1011" s="113"/>
      <c r="L1011" s="213"/>
      <c r="M1011" s="213"/>
      <c r="N1011" s="213"/>
      <c r="O1011" s="213"/>
      <c r="P1011" s="108"/>
      <c r="Q1011" s="108"/>
      <c r="R1011" s="108"/>
      <c r="S1011" s="108"/>
      <c r="T1011" s="108"/>
      <c r="U1011" s="108"/>
      <c r="V1011" s="108"/>
      <c r="W1011" s="108"/>
    </row>
    <row r="1012" spans="1:23">
      <c r="A1012" s="103">
        <v>45056</v>
      </c>
      <c r="B1012" s="104" t="s">
        <v>17</v>
      </c>
      <c r="C1012" s="105">
        <v>0</v>
      </c>
      <c r="D1012" s="105"/>
      <c r="E1012" s="104">
        <v>31</v>
      </c>
      <c r="F1012" s="106">
        <v>31</v>
      </c>
      <c r="G1012" s="107">
        <v>5</v>
      </c>
      <c r="H1012" s="106">
        <v>0.161290322580645</v>
      </c>
      <c r="I1012" s="106"/>
      <c r="J1012" s="106"/>
      <c r="K1012" s="106"/>
      <c r="L1012" s="213">
        <v>-1</v>
      </c>
      <c r="M1012" s="213">
        <v>-1.33333333333333</v>
      </c>
      <c r="N1012" s="213">
        <v>-212.8</v>
      </c>
      <c r="O1012" s="213">
        <v>-322</v>
      </c>
      <c r="P1012" s="108">
        <v>-10</v>
      </c>
      <c r="Q1012" s="108">
        <v>-9.66666666666666</v>
      </c>
      <c r="R1012" s="108">
        <v>-11.2</v>
      </c>
      <c r="S1012" s="108">
        <v>-11.2857142857143</v>
      </c>
      <c r="T1012" s="108">
        <v>-3</v>
      </c>
      <c r="U1012" s="108">
        <v>-5</v>
      </c>
      <c r="V1012" s="108">
        <v>-5</v>
      </c>
      <c r="W1012" s="108">
        <v>-4.57142857142857</v>
      </c>
    </row>
    <row r="1013" spans="1:23">
      <c r="A1013" s="103">
        <v>45056</v>
      </c>
      <c r="B1013" s="104" t="s">
        <v>19</v>
      </c>
      <c r="C1013" s="107">
        <v>446</v>
      </c>
      <c r="D1013" s="107"/>
      <c r="E1013" s="104">
        <v>7</v>
      </c>
      <c r="F1013" s="106">
        <v>0.015695067264574</v>
      </c>
      <c r="G1013" s="107">
        <v>3</v>
      </c>
      <c r="H1013" s="106">
        <v>0.428571428571429</v>
      </c>
      <c r="I1013" s="106"/>
      <c r="J1013" s="106"/>
      <c r="K1013" s="106"/>
      <c r="L1013" s="213">
        <v>28</v>
      </c>
      <c r="M1013" s="213">
        <v>175.666666666667</v>
      </c>
      <c r="N1013" s="213">
        <v>171.4</v>
      </c>
      <c r="O1013" s="213">
        <v>117.714285714286</v>
      </c>
      <c r="P1013" s="108">
        <v>-2</v>
      </c>
      <c r="Q1013" s="108">
        <v>-1.33333333333333</v>
      </c>
      <c r="R1013" s="108">
        <v>-8</v>
      </c>
      <c r="S1013" s="108">
        <v>-9.57142857142857</v>
      </c>
      <c r="T1013" s="108">
        <v>0</v>
      </c>
      <c r="U1013" s="108">
        <v>-3.33333333333333</v>
      </c>
      <c r="V1013" s="108">
        <v>-2.6</v>
      </c>
      <c r="W1013" s="115">
        <v>-2.85714285714286</v>
      </c>
    </row>
    <row r="1014" spans="1:23">
      <c r="A1014" s="103">
        <v>45056</v>
      </c>
      <c r="B1014" s="104" t="s">
        <v>21</v>
      </c>
      <c r="C1014" s="145">
        <v>620</v>
      </c>
      <c r="D1014" s="145"/>
      <c r="E1014" s="104">
        <v>26</v>
      </c>
      <c r="F1014" s="106">
        <v>0.0419354838709677</v>
      </c>
      <c r="G1014" s="107">
        <v>11</v>
      </c>
      <c r="H1014" s="106">
        <v>0.423076923076923</v>
      </c>
      <c r="I1014" s="106"/>
      <c r="J1014" s="106"/>
      <c r="K1014" s="106"/>
      <c r="L1014" s="213">
        <v>51</v>
      </c>
      <c r="M1014" s="213">
        <v>57.6666666666666</v>
      </c>
      <c r="N1014" s="213">
        <v>69.4</v>
      </c>
      <c r="O1014" s="213">
        <v>70.5714285714286</v>
      </c>
      <c r="P1014" s="108">
        <v>3</v>
      </c>
      <c r="Q1014" s="108">
        <v>1</v>
      </c>
      <c r="R1014" s="108">
        <v>-6</v>
      </c>
      <c r="S1014" s="108">
        <v>-3.71428571428572</v>
      </c>
      <c r="T1014" s="108">
        <v>2</v>
      </c>
      <c r="U1014" s="108">
        <v>3</v>
      </c>
      <c r="V1014" s="108">
        <v>2.2</v>
      </c>
      <c r="W1014" s="108">
        <v>2.14285714285714</v>
      </c>
    </row>
    <row r="1015" spans="1:23">
      <c r="A1015" s="103">
        <v>45056</v>
      </c>
      <c r="B1015" s="104" t="s">
        <v>22</v>
      </c>
      <c r="C1015" s="145">
        <v>2114</v>
      </c>
      <c r="D1015" s="145"/>
      <c r="E1015" s="104">
        <v>71</v>
      </c>
      <c r="F1015" s="106">
        <v>0.0335856196783349</v>
      </c>
      <c r="G1015" s="107">
        <v>24</v>
      </c>
      <c r="H1015" s="106">
        <v>0.338028169014085</v>
      </c>
      <c r="I1015" s="106"/>
      <c r="J1015" s="106"/>
      <c r="K1015" s="106"/>
      <c r="L1015" s="213">
        <v>-270</v>
      </c>
      <c r="M1015" s="213">
        <v>-54.6666666666665</v>
      </c>
      <c r="N1015" s="213">
        <v>102.6</v>
      </c>
      <c r="O1015" s="213">
        <v>240.428571428571</v>
      </c>
      <c r="P1015" s="108">
        <v>7</v>
      </c>
      <c r="Q1015" s="108">
        <v>9.66666666666666</v>
      </c>
      <c r="R1015" s="108">
        <v>11.6</v>
      </c>
      <c r="S1015" s="115">
        <v>17.7142857142857</v>
      </c>
      <c r="T1015" s="108">
        <v>6</v>
      </c>
      <c r="U1015" s="108">
        <v>3</v>
      </c>
      <c r="V1015" s="108">
        <v>4.4</v>
      </c>
      <c r="W1015" s="117">
        <v>6.71428571428572</v>
      </c>
    </row>
    <row r="1016" spans="1:23">
      <c r="A1016" s="103">
        <v>45056</v>
      </c>
      <c r="B1016" s="104" t="s">
        <v>23</v>
      </c>
      <c r="C1016" s="145">
        <v>2209</v>
      </c>
      <c r="D1016" s="145"/>
      <c r="E1016" s="104">
        <v>11</v>
      </c>
      <c r="F1016" s="106">
        <v>0.00497962879130828</v>
      </c>
      <c r="G1016" s="107">
        <v>8</v>
      </c>
      <c r="H1016" s="106">
        <v>0.727272727272727</v>
      </c>
      <c r="I1016" s="106"/>
      <c r="J1016" s="106"/>
      <c r="K1016" s="106"/>
      <c r="L1016" s="213">
        <v>15</v>
      </c>
      <c r="M1016" s="213">
        <v>30</v>
      </c>
      <c r="N1016" s="213">
        <v>-7.40000000000009</v>
      </c>
      <c r="O1016" s="213">
        <v>-34.5714285714284</v>
      </c>
      <c r="P1016" s="108">
        <v>1</v>
      </c>
      <c r="Q1016" s="108">
        <v>-1.33333333333333</v>
      </c>
      <c r="R1016" s="108">
        <v>-7</v>
      </c>
      <c r="S1016" s="108">
        <v>-6.85714285714286</v>
      </c>
      <c r="T1016" s="108">
        <v>6</v>
      </c>
      <c r="U1016" s="116">
        <v>5.66666666666667</v>
      </c>
      <c r="V1016" s="108">
        <v>4.6</v>
      </c>
      <c r="W1016" s="108">
        <v>3.57142857142857</v>
      </c>
    </row>
    <row r="1017" spans="1:23">
      <c r="A1017" s="103">
        <v>45056</v>
      </c>
      <c r="B1017" s="104" t="s">
        <v>24</v>
      </c>
      <c r="C1017" s="145">
        <v>2886</v>
      </c>
      <c r="D1017" s="145"/>
      <c r="E1017" s="104">
        <v>91</v>
      </c>
      <c r="F1017" s="106">
        <v>0.0315315315315315</v>
      </c>
      <c r="G1017" s="107">
        <v>22</v>
      </c>
      <c r="H1017" s="106">
        <v>0.241758241758242</v>
      </c>
      <c r="I1017" s="106"/>
      <c r="J1017" s="106"/>
      <c r="K1017" s="106"/>
      <c r="L1017" s="213">
        <v>-156</v>
      </c>
      <c r="M1017" s="213">
        <v>-64.3333333333335</v>
      </c>
      <c r="N1017" s="213">
        <v>-174.8</v>
      </c>
      <c r="O1017" s="213">
        <v>-328</v>
      </c>
      <c r="P1017" s="115">
        <v>-13</v>
      </c>
      <c r="Q1017" s="115">
        <v>-1.66666666666667</v>
      </c>
      <c r="R1017" s="115">
        <v>3.59999999999999</v>
      </c>
      <c r="S1017" s="115">
        <v>10.5714285714286</v>
      </c>
      <c r="T1017" s="115">
        <v>-8</v>
      </c>
      <c r="U1017" s="115">
        <v>-5.33333333333333</v>
      </c>
      <c r="V1017" s="115">
        <v>-2.4</v>
      </c>
      <c r="W1017" s="115">
        <v>1.28571428571428</v>
      </c>
    </row>
    <row r="1018" spans="1:23">
      <c r="A1018" s="103">
        <v>45056</v>
      </c>
      <c r="B1018" s="104" t="s">
        <v>25</v>
      </c>
      <c r="C1018" s="145">
        <v>10878</v>
      </c>
      <c r="D1018" s="145"/>
      <c r="E1018" s="104">
        <v>32</v>
      </c>
      <c r="F1018" s="106">
        <v>0.00294171722743151</v>
      </c>
      <c r="G1018" s="107">
        <v>14</v>
      </c>
      <c r="H1018" s="106">
        <v>0.4375</v>
      </c>
      <c r="I1018" s="106"/>
      <c r="J1018" s="106"/>
      <c r="K1018" s="106"/>
      <c r="L1018" s="213">
        <v>4680</v>
      </c>
      <c r="M1018" s="213">
        <v>6489</v>
      </c>
      <c r="N1018" s="213">
        <v>5956.8</v>
      </c>
      <c r="O1018" s="213">
        <v>5504.71428571429</v>
      </c>
      <c r="P1018" s="116">
        <v>12</v>
      </c>
      <c r="Q1018" s="115">
        <v>12</v>
      </c>
      <c r="R1018" s="115">
        <v>7.6</v>
      </c>
      <c r="S1018" s="115">
        <v>1.14285714285714</v>
      </c>
      <c r="T1018" s="108">
        <v>2</v>
      </c>
      <c r="U1018" s="108">
        <v>3.66666666666667</v>
      </c>
      <c r="V1018" s="108">
        <v>2.8</v>
      </c>
      <c r="W1018" s="108">
        <v>1.85714285714286</v>
      </c>
    </row>
    <row r="1019" spans="1:23">
      <c r="A1019" s="103">
        <v>45056</v>
      </c>
      <c r="B1019" s="104" t="s">
        <v>26</v>
      </c>
      <c r="C1019" s="145">
        <v>3702</v>
      </c>
      <c r="D1019" s="145"/>
      <c r="E1019" s="104">
        <v>19</v>
      </c>
      <c r="F1019" s="106">
        <v>0.00513236088600756</v>
      </c>
      <c r="G1019" s="107">
        <v>6</v>
      </c>
      <c r="H1019" s="106">
        <v>0.315789473684211</v>
      </c>
      <c r="I1019" s="106"/>
      <c r="J1019" s="106"/>
      <c r="K1019" s="106"/>
      <c r="L1019" s="213">
        <v>-386</v>
      </c>
      <c r="M1019" s="213">
        <v>926</v>
      </c>
      <c r="N1019" s="213">
        <v>1254.2</v>
      </c>
      <c r="O1019" s="213">
        <v>1603.71428571429</v>
      </c>
      <c r="P1019" s="108">
        <v>-1</v>
      </c>
      <c r="Q1019" s="108">
        <v>-0.666666666666668</v>
      </c>
      <c r="R1019" s="108">
        <v>-3.4</v>
      </c>
      <c r="S1019" s="108">
        <v>-2.14285714285714</v>
      </c>
      <c r="T1019" s="108">
        <v>1</v>
      </c>
      <c r="U1019" s="108">
        <v>0</v>
      </c>
      <c r="V1019" s="108">
        <v>0.4</v>
      </c>
      <c r="W1019" s="108">
        <v>1.28571428571429</v>
      </c>
    </row>
    <row r="1020" spans="1:23">
      <c r="A1020" s="103">
        <v>45056</v>
      </c>
      <c r="B1020" s="104" t="s">
        <v>27</v>
      </c>
      <c r="C1020" s="145">
        <v>5462</v>
      </c>
      <c r="D1020" s="145"/>
      <c r="E1020" s="104">
        <v>71</v>
      </c>
      <c r="F1020" s="106">
        <v>0.0129989015012816</v>
      </c>
      <c r="G1020" s="107">
        <v>14</v>
      </c>
      <c r="H1020" s="106">
        <v>0.197183098591549</v>
      </c>
      <c r="I1020" s="106"/>
      <c r="J1020" s="106"/>
      <c r="K1020" s="106"/>
      <c r="L1020" s="213">
        <v>476</v>
      </c>
      <c r="M1020" s="213">
        <v>2317.66666666667</v>
      </c>
      <c r="N1020" s="213">
        <v>2820.4</v>
      </c>
      <c r="O1020" s="213">
        <v>3113.42857142857</v>
      </c>
      <c r="P1020" s="108">
        <v>9</v>
      </c>
      <c r="Q1020" s="108">
        <v>19.6666666666667</v>
      </c>
      <c r="R1020" s="108">
        <v>10.8</v>
      </c>
      <c r="S1020" s="108">
        <v>19.4285714285714</v>
      </c>
      <c r="T1020" s="108">
        <v>0</v>
      </c>
      <c r="U1020" s="108">
        <v>-0.333333333333334</v>
      </c>
      <c r="V1020" s="108">
        <v>1</v>
      </c>
      <c r="W1020" s="108">
        <v>2.14285714285714</v>
      </c>
    </row>
    <row r="1021" spans="1:23">
      <c r="A1021" s="103">
        <v>45056</v>
      </c>
      <c r="B1021" s="104" t="s">
        <v>28</v>
      </c>
      <c r="C1021" s="145">
        <v>0</v>
      </c>
      <c r="D1021" s="145"/>
      <c r="E1021" s="104">
        <v>0</v>
      </c>
      <c r="F1021" s="106">
        <v>0</v>
      </c>
      <c r="G1021" s="107">
        <v>0</v>
      </c>
      <c r="H1021" s="106">
        <v>0</v>
      </c>
      <c r="I1021" s="106"/>
      <c r="J1021" s="106"/>
      <c r="K1021" s="106"/>
      <c r="L1021" s="213">
        <v>0</v>
      </c>
      <c r="M1021" s="213">
        <v>0</v>
      </c>
      <c r="N1021" s="213">
        <v>0</v>
      </c>
      <c r="O1021" s="213">
        <v>0</v>
      </c>
      <c r="P1021" s="108">
        <v>0</v>
      </c>
      <c r="Q1021" s="108">
        <v>0</v>
      </c>
      <c r="R1021" s="108">
        <v>0</v>
      </c>
      <c r="S1021" s="108">
        <v>0</v>
      </c>
      <c r="T1021" s="108">
        <v>0</v>
      </c>
      <c r="U1021" s="108">
        <v>0</v>
      </c>
      <c r="V1021" s="108">
        <v>0</v>
      </c>
      <c r="W1021" s="108">
        <v>0</v>
      </c>
    </row>
    <row r="1022" spans="1:23">
      <c r="A1022" s="103">
        <v>45056</v>
      </c>
      <c r="B1022" s="104" t="s">
        <v>29</v>
      </c>
      <c r="C1022" s="145">
        <v>0</v>
      </c>
      <c r="D1022" s="145"/>
      <c r="E1022" s="104">
        <v>0</v>
      </c>
      <c r="F1022" s="106">
        <v>0</v>
      </c>
      <c r="G1022" s="107">
        <v>0</v>
      </c>
      <c r="H1022" s="106">
        <v>0</v>
      </c>
      <c r="I1022" s="106"/>
      <c r="J1022" s="106"/>
      <c r="K1022" s="106"/>
      <c r="L1022" s="213">
        <v>-1</v>
      </c>
      <c r="M1022" s="213">
        <v>-0.666666666666667</v>
      </c>
      <c r="N1022" s="213">
        <v>-0.6</v>
      </c>
      <c r="O1022" s="213">
        <v>-0.428571428571429</v>
      </c>
      <c r="P1022" s="108">
        <v>0</v>
      </c>
      <c r="Q1022" s="108">
        <v>0</v>
      </c>
      <c r="R1022" s="108">
        <v>0</v>
      </c>
      <c r="S1022" s="108">
        <v>-0.142857142857143</v>
      </c>
      <c r="T1022" s="108">
        <v>0</v>
      </c>
      <c r="U1022" s="108">
        <v>0</v>
      </c>
      <c r="V1022" s="108">
        <v>0</v>
      </c>
      <c r="W1022" s="108">
        <v>0</v>
      </c>
    </row>
    <row r="1023" spans="1:23">
      <c r="A1023" s="103">
        <v>45056</v>
      </c>
      <c r="B1023" s="104" t="s">
        <v>30</v>
      </c>
      <c r="C1023" s="145">
        <v>0</v>
      </c>
      <c r="D1023" s="145"/>
      <c r="E1023" s="104">
        <v>0</v>
      </c>
      <c r="F1023" s="106">
        <v>0</v>
      </c>
      <c r="G1023" s="107">
        <v>0</v>
      </c>
      <c r="H1023" s="106">
        <v>0</v>
      </c>
      <c r="I1023" s="106"/>
      <c r="J1023" s="106"/>
      <c r="K1023" s="106"/>
      <c r="L1023" s="213">
        <v>0</v>
      </c>
      <c r="M1023" s="213">
        <v>0</v>
      </c>
      <c r="N1023" s="213">
        <v>0</v>
      </c>
      <c r="O1023" s="213">
        <v>0</v>
      </c>
      <c r="P1023" s="108">
        <v>0</v>
      </c>
      <c r="Q1023" s="108">
        <v>0</v>
      </c>
      <c r="R1023" s="108">
        <v>0</v>
      </c>
      <c r="S1023" s="108">
        <v>0</v>
      </c>
      <c r="T1023" s="108">
        <v>0</v>
      </c>
      <c r="U1023" s="108">
        <v>0</v>
      </c>
      <c r="V1023" s="108">
        <v>0</v>
      </c>
      <c r="W1023" s="108">
        <v>0</v>
      </c>
    </row>
    <row r="1024" spans="1:23">
      <c r="A1024" s="103">
        <v>45056</v>
      </c>
      <c r="B1024" s="104" t="s">
        <v>31</v>
      </c>
      <c r="C1024" s="145">
        <v>0</v>
      </c>
      <c r="D1024" s="145"/>
      <c r="E1024" s="104">
        <v>0</v>
      </c>
      <c r="F1024" s="106">
        <v>0</v>
      </c>
      <c r="G1024" s="107">
        <v>0</v>
      </c>
      <c r="H1024" s="106">
        <v>0</v>
      </c>
      <c r="I1024" s="106"/>
      <c r="J1024" s="106"/>
      <c r="K1024" s="106"/>
      <c r="L1024" s="213">
        <v>0</v>
      </c>
      <c r="M1024" s="213">
        <v>0</v>
      </c>
      <c r="N1024" s="213">
        <v>0</v>
      </c>
      <c r="O1024" s="213">
        <v>0</v>
      </c>
      <c r="P1024" s="108">
        <v>0</v>
      </c>
      <c r="Q1024" s="108">
        <v>0</v>
      </c>
      <c r="R1024" s="108">
        <v>-0.2</v>
      </c>
      <c r="S1024" s="108">
        <v>-0.142857142857143</v>
      </c>
      <c r="T1024" s="108">
        <v>0</v>
      </c>
      <c r="U1024" s="108">
        <v>0</v>
      </c>
      <c r="V1024" s="108">
        <v>0</v>
      </c>
      <c r="W1024" s="108">
        <v>0</v>
      </c>
    </row>
    <row r="1025" spans="1:23">
      <c r="A1025" s="103">
        <v>45056</v>
      </c>
      <c r="B1025" s="104" t="s">
        <v>32</v>
      </c>
      <c r="C1025" s="145">
        <v>0</v>
      </c>
      <c r="D1025" s="145"/>
      <c r="E1025" s="104">
        <v>0</v>
      </c>
      <c r="F1025" s="106">
        <v>0</v>
      </c>
      <c r="G1025" s="107">
        <v>0</v>
      </c>
      <c r="H1025" s="106">
        <v>0</v>
      </c>
      <c r="I1025" s="106"/>
      <c r="J1025" s="106"/>
      <c r="K1025" s="106"/>
      <c r="L1025" s="213">
        <v>0</v>
      </c>
      <c r="M1025" s="213">
        <v>0</v>
      </c>
      <c r="N1025" s="213">
        <v>0</v>
      </c>
      <c r="O1025" s="213">
        <v>0</v>
      </c>
      <c r="P1025" s="108">
        <v>0</v>
      </c>
      <c r="Q1025" s="108">
        <v>0</v>
      </c>
      <c r="R1025" s="108">
        <v>0</v>
      </c>
      <c r="S1025" s="108">
        <v>0</v>
      </c>
      <c r="T1025" s="108">
        <v>0</v>
      </c>
      <c r="U1025" s="108">
        <v>0</v>
      </c>
      <c r="V1025" s="108">
        <v>0</v>
      </c>
      <c r="W1025" s="108">
        <v>0</v>
      </c>
    </row>
    <row r="1026" spans="1:23">
      <c r="A1026" s="103">
        <v>45056</v>
      </c>
      <c r="B1026" s="104" t="s">
        <v>33</v>
      </c>
      <c r="C1026" s="145">
        <v>0</v>
      </c>
      <c r="D1026" s="145"/>
      <c r="E1026" s="104">
        <v>0</v>
      </c>
      <c r="F1026" s="106">
        <v>0</v>
      </c>
      <c r="G1026" s="107">
        <v>0</v>
      </c>
      <c r="H1026" s="106">
        <v>0</v>
      </c>
      <c r="I1026" s="106"/>
      <c r="J1026" s="106"/>
      <c r="K1026" s="106"/>
      <c r="L1026" s="213">
        <v>0</v>
      </c>
      <c r="M1026" s="213">
        <v>0</v>
      </c>
      <c r="N1026" s="213">
        <v>0</v>
      </c>
      <c r="O1026" s="213">
        <v>0</v>
      </c>
      <c r="P1026" s="108">
        <v>0</v>
      </c>
      <c r="Q1026" s="108">
        <v>-0.333333333333333</v>
      </c>
      <c r="R1026" s="108">
        <v>-0.2</v>
      </c>
      <c r="S1026" s="108">
        <v>-0.142857142857143</v>
      </c>
      <c r="T1026" s="108">
        <v>0</v>
      </c>
      <c r="U1026" s="108">
        <v>0</v>
      </c>
      <c r="V1026" s="108">
        <v>0</v>
      </c>
      <c r="W1026" s="108">
        <v>0</v>
      </c>
    </row>
    <row r="1027" spans="1:23">
      <c r="A1027" s="103">
        <v>45056</v>
      </c>
      <c r="B1027" s="104" t="s">
        <v>34</v>
      </c>
      <c r="C1027" s="145">
        <v>0</v>
      </c>
      <c r="D1027" s="145"/>
      <c r="E1027" s="104">
        <v>0</v>
      </c>
      <c r="F1027" s="106">
        <v>0</v>
      </c>
      <c r="G1027" s="107">
        <v>0</v>
      </c>
      <c r="H1027" s="106">
        <v>0</v>
      </c>
      <c r="I1027" s="106"/>
      <c r="J1027" s="106"/>
      <c r="K1027" s="106"/>
      <c r="L1027" s="213">
        <v>0</v>
      </c>
      <c r="M1027" s="213">
        <v>0</v>
      </c>
      <c r="N1027" s="213">
        <v>0</v>
      </c>
      <c r="O1027" s="213">
        <v>0</v>
      </c>
      <c r="P1027" s="108">
        <v>0</v>
      </c>
      <c r="Q1027" s="108">
        <v>0</v>
      </c>
      <c r="R1027" s="108">
        <v>0</v>
      </c>
      <c r="S1027" s="108">
        <v>0</v>
      </c>
      <c r="T1027" s="108">
        <v>0</v>
      </c>
      <c r="U1027" s="108">
        <v>0</v>
      </c>
      <c r="V1027" s="108">
        <v>0</v>
      </c>
      <c r="W1027" s="108">
        <v>0</v>
      </c>
    </row>
    <row r="1028" spans="1:23">
      <c r="A1028" s="103">
        <v>45056</v>
      </c>
      <c r="B1028" s="104" t="s">
        <v>35</v>
      </c>
      <c r="C1028" s="145">
        <v>0</v>
      </c>
      <c r="D1028" s="145"/>
      <c r="E1028" s="104">
        <v>0</v>
      </c>
      <c r="F1028" s="106">
        <v>0</v>
      </c>
      <c r="G1028" s="107">
        <v>0</v>
      </c>
      <c r="H1028" s="106">
        <v>0</v>
      </c>
      <c r="I1028" s="106"/>
      <c r="J1028" s="106"/>
      <c r="K1028" s="106"/>
      <c r="L1028" s="213">
        <v>0</v>
      </c>
      <c r="M1028" s="213">
        <v>0</v>
      </c>
      <c r="N1028" s="213">
        <v>0</v>
      </c>
      <c r="O1028" s="213">
        <v>0</v>
      </c>
      <c r="P1028" s="108">
        <v>0</v>
      </c>
      <c r="Q1028" s="108">
        <v>0</v>
      </c>
      <c r="R1028" s="108">
        <v>0</v>
      </c>
      <c r="S1028" s="108">
        <v>0</v>
      </c>
      <c r="T1028" s="108">
        <v>0</v>
      </c>
      <c r="U1028" s="108">
        <v>0</v>
      </c>
      <c r="V1028" s="108">
        <v>0</v>
      </c>
      <c r="W1028" s="108">
        <v>0</v>
      </c>
    </row>
    <row r="1029" spans="1:23">
      <c r="A1029" s="103">
        <v>45056</v>
      </c>
      <c r="B1029" s="104" t="s">
        <v>36</v>
      </c>
      <c r="C1029" s="145">
        <v>0</v>
      </c>
      <c r="D1029" s="145"/>
      <c r="E1029" s="104">
        <v>0</v>
      </c>
      <c r="F1029" s="106">
        <v>0</v>
      </c>
      <c r="G1029" s="107">
        <v>0</v>
      </c>
      <c r="H1029" s="106">
        <v>0</v>
      </c>
      <c r="I1029" s="106"/>
      <c r="J1029" s="106"/>
      <c r="K1029" s="106"/>
      <c r="L1029" s="213">
        <v>0</v>
      </c>
      <c r="M1029" s="213">
        <v>0</v>
      </c>
      <c r="N1029" s="213">
        <v>0</v>
      </c>
      <c r="O1029" s="213">
        <v>0</v>
      </c>
      <c r="P1029" s="108">
        <v>0</v>
      </c>
      <c r="Q1029" s="108">
        <v>0</v>
      </c>
      <c r="R1029" s="108">
        <v>0</v>
      </c>
      <c r="S1029" s="108">
        <v>0</v>
      </c>
      <c r="T1029" s="108">
        <v>0</v>
      </c>
      <c r="U1029" s="108">
        <v>0</v>
      </c>
      <c r="V1029" s="108">
        <v>0</v>
      </c>
      <c r="W1029" s="108">
        <v>0</v>
      </c>
    </row>
    <row r="1030" spans="1:23">
      <c r="A1030" s="103">
        <v>45056</v>
      </c>
      <c r="B1030" s="104" t="s">
        <v>37</v>
      </c>
      <c r="C1030" s="145">
        <v>0</v>
      </c>
      <c r="D1030" s="145"/>
      <c r="E1030" s="104">
        <v>2</v>
      </c>
      <c r="F1030" s="106">
        <v>2</v>
      </c>
      <c r="G1030" s="107">
        <v>0</v>
      </c>
      <c r="H1030" s="106">
        <v>0</v>
      </c>
      <c r="I1030" s="106"/>
      <c r="J1030" s="106"/>
      <c r="K1030" s="106"/>
      <c r="L1030" s="213">
        <v>0</v>
      </c>
      <c r="M1030" s="213">
        <v>0</v>
      </c>
      <c r="N1030" s="213">
        <v>0</v>
      </c>
      <c r="O1030" s="213">
        <v>0</v>
      </c>
      <c r="P1030" s="108">
        <v>2</v>
      </c>
      <c r="Q1030" s="108">
        <v>1.33333333333333</v>
      </c>
      <c r="R1030" s="108">
        <v>1.4</v>
      </c>
      <c r="S1030" s="108">
        <v>1.42857142857143</v>
      </c>
      <c r="T1030" s="108">
        <v>0</v>
      </c>
      <c r="U1030" s="108">
        <v>0</v>
      </c>
      <c r="V1030" s="108">
        <v>0</v>
      </c>
      <c r="W1030" s="108">
        <v>0</v>
      </c>
    </row>
    <row r="1031" spans="1:23">
      <c r="A1031" s="103">
        <v>45056</v>
      </c>
      <c r="B1031" s="104" t="s">
        <v>38</v>
      </c>
      <c r="C1031" s="145">
        <v>0</v>
      </c>
      <c r="D1031" s="145"/>
      <c r="E1031" s="104">
        <v>0</v>
      </c>
      <c r="F1031" s="106">
        <v>0</v>
      </c>
      <c r="G1031" s="107">
        <v>0</v>
      </c>
      <c r="H1031" s="106">
        <v>0</v>
      </c>
      <c r="I1031" s="106"/>
      <c r="J1031" s="106"/>
      <c r="K1031" s="106"/>
      <c r="L1031" s="213">
        <v>0</v>
      </c>
      <c r="M1031" s="213">
        <v>0</v>
      </c>
      <c r="N1031" s="213">
        <v>0</v>
      </c>
      <c r="O1031" s="213">
        <v>0</v>
      </c>
      <c r="P1031" s="108">
        <v>0</v>
      </c>
      <c r="Q1031" s="108">
        <v>0</v>
      </c>
      <c r="R1031" s="108">
        <v>0</v>
      </c>
      <c r="S1031" s="108">
        <v>0</v>
      </c>
      <c r="T1031" s="108">
        <v>0</v>
      </c>
      <c r="U1031" s="108">
        <v>0</v>
      </c>
      <c r="V1031" s="108">
        <v>0</v>
      </c>
      <c r="W1031" s="108">
        <v>0</v>
      </c>
    </row>
    <row r="1032" spans="1:23">
      <c r="A1032" s="103">
        <v>45056</v>
      </c>
      <c r="B1032" s="111" t="s">
        <v>39</v>
      </c>
      <c r="C1032" s="112">
        <v>28317</v>
      </c>
      <c r="D1032" s="112"/>
      <c r="E1032" s="112">
        <v>361</v>
      </c>
      <c r="F1032" s="113">
        <v>0.0127485256206519</v>
      </c>
      <c r="G1032" s="112">
        <v>107</v>
      </c>
      <c r="H1032" s="113">
        <v>0.296398891966759</v>
      </c>
      <c r="I1032" s="113"/>
      <c r="J1032" s="113"/>
      <c r="K1032" s="113"/>
      <c r="L1032" s="213"/>
      <c r="M1032" s="213"/>
      <c r="N1032" s="213"/>
      <c r="O1032" s="213"/>
      <c r="P1032" s="108"/>
      <c r="Q1032" s="108"/>
      <c r="R1032" s="108"/>
      <c r="S1032" s="108"/>
      <c r="T1032" s="108"/>
      <c r="U1032" s="108"/>
      <c r="V1032" s="108"/>
      <c r="W1032" s="108"/>
    </row>
    <row r="1033" spans="1:23">
      <c r="A1033" s="103">
        <v>45057</v>
      </c>
      <c r="B1033" s="104" t="s">
        <v>17</v>
      </c>
      <c r="C1033" s="105">
        <v>0</v>
      </c>
      <c r="D1033" s="105"/>
      <c r="E1033" s="104">
        <v>31</v>
      </c>
      <c r="F1033" s="106">
        <v>31</v>
      </c>
      <c r="G1033" s="107">
        <v>5</v>
      </c>
      <c r="H1033" s="106">
        <v>0.161290322580645</v>
      </c>
      <c r="I1033" s="106"/>
      <c r="J1033" s="106"/>
      <c r="K1033" s="106"/>
      <c r="L1033" s="213">
        <v>0</v>
      </c>
      <c r="M1033" s="213">
        <v>-1</v>
      </c>
      <c r="N1033" s="213">
        <v>-74</v>
      </c>
      <c r="O1033" s="213">
        <v>-226.571428571429</v>
      </c>
      <c r="P1033" s="108">
        <v>0</v>
      </c>
      <c r="Q1033" s="108">
        <v>-4.33333333333334</v>
      </c>
      <c r="R1033" s="108">
        <v>-6.6</v>
      </c>
      <c r="S1033" s="108">
        <v>-9.42857142857143</v>
      </c>
      <c r="T1033" s="108">
        <v>0</v>
      </c>
      <c r="U1033" s="108">
        <v>-1.66666666666667</v>
      </c>
      <c r="V1033" s="108">
        <v>-4.2</v>
      </c>
      <c r="W1033" s="108">
        <v>-4.71428571428571</v>
      </c>
    </row>
    <row r="1034" spans="1:23">
      <c r="A1034" s="103">
        <v>45057</v>
      </c>
      <c r="B1034" s="104" t="s">
        <v>19</v>
      </c>
      <c r="C1034" s="107">
        <v>336</v>
      </c>
      <c r="D1034" s="107"/>
      <c r="E1034" s="104">
        <v>11</v>
      </c>
      <c r="F1034" s="106">
        <v>0.0327380952380952</v>
      </c>
      <c r="G1034" s="107">
        <v>7</v>
      </c>
      <c r="H1034" s="106">
        <v>0.636363636363636</v>
      </c>
      <c r="I1034" s="106"/>
      <c r="J1034" s="106"/>
      <c r="K1034" s="106"/>
      <c r="L1034" s="213">
        <v>-110</v>
      </c>
      <c r="M1034" s="213">
        <v>-8.66666666666669</v>
      </c>
      <c r="N1034" s="213">
        <v>41.2</v>
      </c>
      <c r="O1034" s="213">
        <v>22.8571428571428</v>
      </c>
      <c r="P1034" s="108">
        <v>4</v>
      </c>
      <c r="Q1034" s="108">
        <v>3</v>
      </c>
      <c r="R1034" s="108">
        <v>2</v>
      </c>
      <c r="S1034" s="108">
        <v>-3.57142857142857</v>
      </c>
      <c r="T1034" s="108">
        <v>4</v>
      </c>
      <c r="U1034" s="108">
        <v>3.66666666666667</v>
      </c>
      <c r="V1034" s="108">
        <v>1.8</v>
      </c>
      <c r="W1034" s="115">
        <v>2</v>
      </c>
    </row>
    <row r="1035" spans="1:23">
      <c r="A1035" s="103">
        <v>45057</v>
      </c>
      <c r="B1035" s="104" t="s">
        <v>21</v>
      </c>
      <c r="C1035" s="145">
        <v>695</v>
      </c>
      <c r="D1035" s="145"/>
      <c r="E1035" s="104">
        <v>26</v>
      </c>
      <c r="F1035" s="106">
        <v>0.037410071942446</v>
      </c>
      <c r="G1035" s="107">
        <v>14</v>
      </c>
      <c r="H1035" s="106">
        <v>0.538461538461538</v>
      </c>
      <c r="I1035" s="106"/>
      <c r="J1035" s="106"/>
      <c r="K1035" s="106"/>
      <c r="L1035" s="213">
        <v>75</v>
      </c>
      <c r="M1035" s="213">
        <v>115</v>
      </c>
      <c r="N1035" s="213">
        <v>127.4</v>
      </c>
      <c r="O1035" s="213">
        <v>129.285714285714</v>
      </c>
      <c r="P1035" s="108">
        <v>0</v>
      </c>
      <c r="Q1035" s="108">
        <v>1.33333333333333</v>
      </c>
      <c r="R1035" s="108">
        <v>0.800000000000001</v>
      </c>
      <c r="S1035" s="108">
        <v>-3.71428571428572</v>
      </c>
      <c r="T1035" s="108">
        <v>3</v>
      </c>
      <c r="U1035" s="108">
        <v>5.33333333333333</v>
      </c>
      <c r="V1035" s="108">
        <v>4.6</v>
      </c>
      <c r="W1035" s="108">
        <v>5.28571428571429</v>
      </c>
    </row>
    <row r="1036" spans="1:23">
      <c r="A1036" s="103">
        <v>45057</v>
      </c>
      <c r="B1036" s="104" t="s">
        <v>22</v>
      </c>
      <c r="C1036" s="145">
        <v>2391</v>
      </c>
      <c r="D1036" s="145"/>
      <c r="E1036" s="104">
        <v>64</v>
      </c>
      <c r="F1036" s="106">
        <v>0.02676704307821</v>
      </c>
      <c r="G1036" s="107">
        <v>27</v>
      </c>
      <c r="H1036" s="106">
        <v>0.421875</v>
      </c>
      <c r="I1036" s="106"/>
      <c r="J1036" s="106"/>
      <c r="K1036" s="106"/>
      <c r="L1036" s="213">
        <v>277</v>
      </c>
      <c r="M1036" s="213">
        <v>208.666666666667</v>
      </c>
      <c r="N1036" s="213">
        <v>285.2</v>
      </c>
      <c r="O1036" s="213">
        <v>441.571428571429</v>
      </c>
      <c r="P1036" s="108">
        <v>-7</v>
      </c>
      <c r="Q1036" s="108">
        <v>-1</v>
      </c>
      <c r="R1036" s="108">
        <v>1.4</v>
      </c>
      <c r="S1036" s="115">
        <v>7</v>
      </c>
      <c r="T1036" s="108">
        <v>3</v>
      </c>
      <c r="U1036" s="108">
        <v>6.33333333333333</v>
      </c>
      <c r="V1036" s="108">
        <v>6.4</v>
      </c>
      <c r="W1036" s="117">
        <v>7.57142857142857</v>
      </c>
    </row>
    <row r="1037" spans="1:23">
      <c r="A1037" s="103">
        <v>45057</v>
      </c>
      <c r="B1037" s="104" t="s">
        <v>23</v>
      </c>
      <c r="C1037" s="145">
        <v>2165</v>
      </c>
      <c r="D1037" s="145"/>
      <c r="E1037" s="104">
        <v>12</v>
      </c>
      <c r="F1037" s="106">
        <v>0.00554272517321016</v>
      </c>
      <c r="G1037" s="107">
        <v>5</v>
      </c>
      <c r="H1037" s="106">
        <v>0.416666666666667</v>
      </c>
      <c r="I1037" s="106"/>
      <c r="J1037" s="106"/>
      <c r="K1037" s="106"/>
      <c r="L1037" s="213">
        <v>-44</v>
      </c>
      <c r="M1037" s="213">
        <v>-33.3333333333335</v>
      </c>
      <c r="N1037" s="213">
        <v>-55.8000000000002</v>
      </c>
      <c r="O1037" s="213">
        <v>-49</v>
      </c>
      <c r="P1037" s="108">
        <v>1</v>
      </c>
      <c r="Q1037" s="108">
        <v>0</v>
      </c>
      <c r="R1037" s="108">
        <v>-1.2</v>
      </c>
      <c r="S1037" s="108">
        <v>-4.85714285714286</v>
      </c>
      <c r="T1037" s="108">
        <v>-3</v>
      </c>
      <c r="U1037" s="116">
        <v>1</v>
      </c>
      <c r="V1037" s="108">
        <v>1.2</v>
      </c>
      <c r="W1037" s="108">
        <v>0.428571428571429</v>
      </c>
    </row>
    <row r="1038" spans="1:23">
      <c r="A1038" s="103">
        <v>45057</v>
      </c>
      <c r="B1038" s="104" t="s">
        <v>24</v>
      </c>
      <c r="C1038" s="145">
        <v>2716</v>
      </c>
      <c r="D1038" s="145"/>
      <c r="E1038" s="104">
        <v>90</v>
      </c>
      <c r="F1038" s="106">
        <v>0.0331369661266568</v>
      </c>
      <c r="G1038" s="107">
        <v>24</v>
      </c>
      <c r="H1038" s="106">
        <v>0.266666666666667</v>
      </c>
      <c r="I1038" s="106"/>
      <c r="J1038" s="106"/>
      <c r="K1038" s="106"/>
      <c r="L1038" s="213">
        <v>-170</v>
      </c>
      <c r="M1038" s="213">
        <v>-188.333333333333</v>
      </c>
      <c r="N1038" s="213">
        <v>-205.8</v>
      </c>
      <c r="O1038" s="213">
        <v>-348.428571428572</v>
      </c>
      <c r="P1038" s="115">
        <v>-1</v>
      </c>
      <c r="Q1038" s="115">
        <v>-1</v>
      </c>
      <c r="R1038" s="115">
        <v>2.8</v>
      </c>
      <c r="S1038" s="115">
        <v>3.57142857142857</v>
      </c>
      <c r="T1038" s="115">
        <v>2</v>
      </c>
      <c r="U1038" s="115">
        <v>-1.33333333333333</v>
      </c>
      <c r="V1038" s="115">
        <v>-2</v>
      </c>
      <c r="W1038" s="115">
        <v>1.57142857142857</v>
      </c>
    </row>
    <row r="1039" spans="1:23">
      <c r="A1039" s="103">
        <v>45057</v>
      </c>
      <c r="B1039" s="104" t="s">
        <v>25</v>
      </c>
      <c r="C1039" s="145">
        <v>10062</v>
      </c>
      <c r="D1039" s="145"/>
      <c r="E1039" s="104">
        <v>25</v>
      </c>
      <c r="F1039" s="106">
        <v>0.00248459550785132</v>
      </c>
      <c r="G1039" s="107">
        <v>9</v>
      </c>
      <c r="H1039" s="106">
        <v>0.36</v>
      </c>
      <c r="I1039" s="106"/>
      <c r="J1039" s="106"/>
      <c r="K1039" s="106"/>
      <c r="L1039" s="213">
        <v>-816</v>
      </c>
      <c r="M1039" s="213">
        <v>3148.66666666667</v>
      </c>
      <c r="N1039" s="213">
        <v>4226.8</v>
      </c>
      <c r="O1039" s="213">
        <v>4134</v>
      </c>
      <c r="P1039" s="116">
        <v>-7</v>
      </c>
      <c r="Q1039" s="115">
        <v>2.66666666666667</v>
      </c>
      <c r="R1039" s="115">
        <v>1.4</v>
      </c>
      <c r="S1039" s="115">
        <v>-2.71428571428572</v>
      </c>
      <c r="T1039" s="108">
        <v>-5</v>
      </c>
      <c r="U1039" s="108">
        <v>-1.66666666666667</v>
      </c>
      <c r="V1039" s="108">
        <v>-2.8</v>
      </c>
      <c r="W1039" s="108">
        <v>-2.42857142857143</v>
      </c>
    </row>
    <row r="1040" spans="1:23">
      <c r="A1040" s="103">
        <v>45057</v>
      </c>
      <c r="B1040" s="104" t="s">
        <v>26</v>
      </c>
      <c r="C1040" s="145">
        <v>3768</v>
      </c>
      <c r="D1040" s="145"/>
      <c r="E1040" s="104">
        <v>12</v>
      </c>
      <c r="F1040" s="106">
        <v>0.00318471337579618</v>
      </c>
      <c r="G1040" s="107">
        <v>7</v>
      </c>
      <c r="H1040" s="106">
        <v>0.583333333333333</v>
      </c>
      <c r="I1040" s="106"/>
      <c r="J1040" s="106"/>
      <c r="K1040" s="106"/>
      <c r="L1040" s="213">
        <v>66</v>
      </c>
      <c r="M1040" s="213">
        <v>475.666666666667</v>
      </c>
      <c r="N1040" s="213">
        <v>946.4</v>
      </c>
      <c r="O1040" s="213">
        <v>1317.28571428571</v>
      </c>
      <c r="P1040" s="108">
        <v>-7</v>
      </c>
      <c r="Q1040" s="108">
        <v>-6</v>
      </c>
      <c r="R1040" s="108">
        <v>-6.2</v>
      </c>
      <c r="S1040" s="108">
        <v>-9.14285714285714</v>
      </c>
      <c r="T1040" s="108">
        <v>1</v>
      </c>
      <c r="U1040" s="108">
        <v>1.66666666666667</v>
      </c>
      <c r="V1040" s="108">
        <v>1.6</v>
      </c>
      <c r="W1040" s="108">
        <v>1.57142857142857</v>
      </c>
    </row>
    <row r="1041" spans="1:23">
      <c r="A1041" s="103">
        <v>45057</v>
      </c>
      <c r="B1041" s="104" t="s">
        <v>27</v>
      </c>
      <c r="C1041" s="145">
        <v>5344</v>
      </c>
      <c r="D1041" s="145"/>
      <c r="E1041" s="104">
        <v>55</v>
      </c>
      <c r="F1041" s="106">
        <v>0.0102919161676647</v>
      </c>
      <c r="G1041" s="107">
        <v>14</v>
      </c>
      <c r="H1041" s="106">
        <v>0.254545454545455</v>
      </c>
      <c r="I1041" s="106"/>
      <c r="J1041" s="106"/>
      <c r="K1041" s="106"/>
      <c r="L1041" s="213">
        <v>-118</v>
      </c>
      <c r="M1041" s="213">
        <v>1112</v>
      </c>
      <c r="N1041" s="213">
        <v>1972.2</v>
      </c>
      <c r="O1041" s="213">
        <v>2431.28571428571</v>
      </c>
      <c r="P1041" s="108">
        <v>-16</v>
      </c>
      <c r="Q1041" s="108">
        <v>-3.66666666666666</v>
      </c>
      <c r="R1041" s="108">
        <v>1.4</v>
      </c>
      <c r="S1041" s="108">
        <v>-3</v>
      </c>
      <c r="T1041" s="108">
        <v>0</v>
      </c>
      <c r="U1041" s="108">
        <v>0.333333333333334</v>
      </c>
      <c r="V1041" s="108">
        <v>0.199999999999999</v>
      </c>
      <c r="W1041" s="108">
        <v>1.71428571428571</v>
      </c>
    </row>
    <row r="1042" spans="1:23">
      <c r="A1042" s="103">
        <v>45057</v>
      </c>
      <c r="B1042" s="104" t="s">
        <v>28</v>
      </c>
      <c r="C1042" s="145">
        <v>0</v>
      </c>
      <c r="D1042" s="145"/>
      <c r="E1042" s="104">
        <v>0</v>
      </c>
      <c r="F1042" s="106">
        <v>0</v>
      </c>
      <c r="G1042" s="107">
        <v>0</v>
      </c>
      <c r="H1042" s="106">
        <v>0</v>
      </c>
      <c r="I1042" s="106"/>
      <c r="J1042" s="106"/>
      <c r="K1042" s="106"/>
      <c r="L1042" s="213">
        <v>0</v>
      </c>
      <c r="M1042" s="213">
        <v>0</v>
      </c>
      <c r="N1042" s="213">
        <v>0</v>
      </c>
      <c r="O1042" s="213">
        <v>0</v>
      </c>
      <c r="P1042" s="108">
        <v>0</v>
      </c>
      <c r="Q1042" s="108">
        <v>0</v>
      </c>
      <c r="R1042" s="108">
        <v>0</v>
      </c>
      <c r="S1042" s="108">
        <v>0</v>
      </c>
      <c r="T1042" s="108">
        <v>0</v>
      </c>
      <c r="U1042" s="108">
        <v>0</v>
      </c>
      <c r="V1042" s="108">
        <v>0</v>
      </c>
      <c r="W1042" s="108">
        <v>0</v>
      </c>
    </row>
    <row r="1043" spans="1:23">
      <c r="A1043" s="103">
        <v>45057</v>
      </c>
      <c r="B1043" s="104" t="s">
        <v>29</v>
      </c>
      <c r="C1043" s="145">
        <v>1</v>
      </c>
      <c r="D1043" s="145"/>
      <c r="E1043" s="104">
        <v>0</v>
      </c>
      <c r="F1043" s="106">
        <v>0</v>
      </c>
      <c r="G1043" s="107">
        <v>0</v>
      </c>
      <c r="H1043" s="106">
        <v>0</v>
      </c>
      <c r="I1043" s="106"/>
      <c r="J1043" s="106"/>
      <c r="K1043" s="106"/>
      <c r="L1043" s="213">
        <v>1</v>
      </c>
      <c r="M1043" s="213">
        <v>0.333333333333333</v>
      </c>
      <c r="N1043" s="213">
        <v>0.6</v>
      </c>
      <c r="O1043" s="213">
        <v>0.571428571428571</v>
      </c>
      <c r="P1043" s="108">
        <v>0</v>
      </c>
      <c r="Q1043" s="108">
        <v>0</v>
      </c>
      <c r="R1043" s="108">
        <v>0</v>
      </c>
      <c r="S1043" s="108">
        <v>0</v>
      </c>
      <c r="T1043" s="108">
        <v>0</v>
      </c>
      <c r="U1043" s="108">
        <v>0</v>
      </c>
      <c r="V1043" s="108">
        <v>0</v>
      </c>
      <c r="W1043" s="108">
        <v>0</v>
      </c>
    </row>
    <row r="1044" spans="1:23">
      <c r="A1044" s="103">
        <v>45057</v>
      </c>
      <c r="B1044" s="104" t="s">
        <v>30</v>
      </c>
      <c r="C1044" s="145">
        <v>0</v>
      </c>
      <c r="D1044" s="145"/>
      <c r="E1044" s="104">
        <v>0</v>
      </c>
      <c r="F1044" s="106">
        <v>0</v>
      </c>
      <c r="G1044" s="107">
        <v>0</v>
      </c>
      <c r="H1044" s="106">
        <v>0</v>
      </c>
      <c r="I1044" s="106"/>
      <c r="J1044" s="106"/>
      <c r="K1044" s="106"/>
      <c r="L1044" s="213">
        <v>0</v>
      </c>
      <c r="M1044" s="213">
        <v>0</v>
      </c>
      <c r="N1044" s="213">
        <v>0</v>
      </c>
      <c r="O1044" s="213">
        <v>0</v>
      </c>
      <c r="P1044" s="108">
        <v>0</v>
      </c>
      <c r="Q1044" s="108">
        <v>0</v>
      </c>
      <c r="R1044" s="108">
        <v>0</v>
      </c>
      <c r="S1044" s="108">
        <v>0</v>
      </c>
      <c r="T1044" s="108">
        <v>0</v>
      </c>
      <c r="U1044" s="108">
        <v>0</v>
      </c>
      <c r="V1044" s="108">
        <v>0</v>
      </c>
      <c r="W1044" s="108">
        <v>0</v>
      </c>
    </row>
    <row r="1045" spans="1:23">
      <c r="A1045" s="103">
        <v>45057</v>
      </c>
      <c r="B1045" s="104" t="s">
        <v>31</v>
      </c>
      <c r="C1045" s="145">
        <v>0</v>
      </c>
      <c r="D1045" s="145"/>
      <c r="E1045" s="104">
        <v>0</v>
      </c>
      <c r="F1045" s="106">
        <v>0</v>
      </c>
      <c r="G1045" s="107">
        <v>0</v>
      </c>
      <c r="H1045" s="106">
        <v>0</v>
      </c>
      <c r="I1045" s="106"/>
      <c r="J1045" s="106"/>
      <c r="K1045" s="106"/>
      <c r="L1045" s="213">
        <v>0</v>
      </c>
      <c r="M1045" s="213">
        <v>0</v>
      </c>
      <c r="N1045" s="213">
        <v>0</v>
      </c>
      <c r="O1045" s="213">
        <v>0</v>
      </c>
      <c r="P1045" s="108">
        <v>0</v>
      </c>
      <c r="Q1045" s="108">
        <v>0</v>
      </c>
      <c r="R1045" s="108">
        <v>0</v>
      </c>
      <c r="S1045" s="108">
        <v>-0.142857142857143</v>
      </c>
      <c r="T1045" s="108">
        <v>0</v>
      </c>
      <c r="U1045" s="108">
        <v>0</v>
      </c>
      <c r="V1045" s="108">
        <v>0</v>
      </c>
      <c r="W1045" s="108">
        <v>0</v>
      </c>
    </row>
    <row r="1046" spans="1:23">
      <c r="A1046" s="103">
        <v>45057</v>
      </c>
      <c r="B1046" s="104" t="s">
        <v>32</v>
      </c>
      <c r="C1046" s="145">
        <v>0</v>
      </c>
      <c r="D1046" s="145"/>
      <c r="E1046" s="104">
        <v>0</v>
      </c>
      <c r="F1046" s="106">
        <v>0</v>
      </c>
      <c r="G1046" s="107">
        <v>0</v>
      </c>
      <c r="H1046" s="106">
        <v>0</v>
      </c>
      <c r="I1046" s="106"/>
      <c r="J1046" s="106"/>
      <c r="K1046" s="106"/>
      <c r="L1046" s="213">
        <v>0</v>
      </c>
      <c r="M1046" s="213">
        <v>0</v>
      </c>
      <c r="N1046" s="213">
        <v>0</v>
      </c>
      <c r="O1046" s="213">
        <v>0</v>
      </c>
      <c r="P1046" s="108">
        <v>0</v>
      </c>
      <c r="Q1046" s="108">
        <v>0</v>
      </c>
      <c r="R1046" s="108">
        <v>0</v>
      </c>
      <c r="S1046" s="108">
        <v>0</v>
      </c>
      <c r="T1046" s="108">
        <v>0</v>
      </c>
      <c r="U1046" s="108">
        <v>0</v>
      </c>
      <c r="V1046" s="108">
        <v>0</v>
      </c>
      <c r="W1046" s="108">
        <v>0</v>
      </c>
    </row>
    <row r="1047" spans="1:23">
      <c r="A1047" s="103">
        <v>45057</v>
      </c>
      <c r="B1047" s="104" t="s">
        <v>33</v>
      </c>
      <c r="C1047" s="145">
        <v>0</v>
      </c>
      <c r="D1047" s="145"/>
      <c r="E1047" s="104">
        <v>0</v>
      </c>
      <c r="F1047" s="106">
        <v>0</v>
      </c>
      <c r="G1047" s="107">
        <v>0</v>
      </c>
      <c r="H1047" s="106">
        <v>0</v>
      </c>
      <c r="I1047" s="106"/>
      <c r="J1047" s="106"/>
      <c r="K1047" s="106"/>
      <c r="L1047" s="213">
        <v>0</v>
      </c>
      <c r="M1047" s="213">
        <v>0</v>
      </c>
      <c r="N1047" s="213">
        <v>0</v>
      </c>
      <c r="O1047" s="213">
        <v>0</v>
      </c>
      <c r="P1047" s="108">
        <v>0</v>
      </c>
      <c r="Q1047" s="108">
        <v>-0.333333333333333</v>
      </c>
      <c r="R1047" s="108">
        <v>-0.2</v>
      </c>
      <c r="S1047" s="108">
        <v>-0.142857142857143</v>
      </c>
      <c r="T1047" s="108">
        <v>0</v>
      </c>
      <c r="U1047" s="108">
        <v>0</v>
      </c>
      <c r="V1047" s="108">
        <v>0</v>
      </c>
      <c r="W1047" s="108">
        <v>0</v>
      </c>
    </row>
    <row r="1048" spans="1:23">
      <c r="A1048" s="103">
        <v>45057</v>
      </c>
      <c r="B1048" s="104" t="s">
        <v>34</v>
      </c>
      <c r="C1048" s="145">
        <v>0</v>
      </c>
      <c r="D1048" s="145"/>
      <c r="E1048" s="104">
        <v>0</v>
      </c>
      <c r="F1048" s="106">
        <v>0</v>
      </c>
      <c r="G1048" s="107">
        <v>0</v>
      </c>
      <c r="H1048" s="106">
        <v>0</v>
      </c>
      <c r="I1048" s="106"/>
      <c r="J1048" s="106"/>
      <c r="K1048" s="106"/>
      <c r="L1048" s="213">
        <v>0</v>
      </c>
      <c r="M1048" s="213">
        <v>0</v>
      </c>
      <c r="N1048" s="213">
        <v>0</v>
      </c>
      <c r="O1048" s="213">
        <v>0</v>
      </c>
      <c r="P1048" s="108">
        <v>0</v>
      </c>
      <c r="Q1048" s="108">
        <v>0</v>
      </c>
      <c r="R1048" s="108">
        <v>0</v>
      </c>
      <c r="S1048" s="108">
        <v>0</v>
      </c>
      <c r="T1048" s="108">
        <v>0</v>
      </c>
      <c r="U1048" s="108">
        <v>0</v>
      </c>
      <c r="V1048" s="108">
        <v>0</v>
      </c>
      <c r="W1048" s="108">
        <v>0</v>
      </c>
    </row>
    <row r="1049" spans="1:23">
      <c r="A1049" s="103">
        <v>45057</v>
      </c>
      <c r="B1049" s="104" t="s">
        <v>35</v>
      </c>
      <c r="C1049" s="145">
        <v>0</v>
      </c>
      <c r="D1049" s="145"/>
      <c r="E1049" s="104">
        <v>0</v>
      </c>
      <c r="F1049" s="106">
        <v>0</v>
      </c>
      <c r="G1049" s="107">
        <v>0</v>
      </c>
      <c r="H1049" s="106">
        <v>0</v>
      </c>
      <c r="I1049" s="106"/>
      <c r="J1049" s="106"/>
      <c r="K1049" s="106"/>
      <c r="L1049" s="213">
        <v>0</v>
      </c>
      <c r="M1049" s="213">
        <v>0</v>
      </c>
      <c r="N1049" s="213">
        <v>0</v>
      </c>
      <c r="O1049" s="213">
        <v>0</v>
      </c>
      <c r="P1049" s="108">
        <v>0</v>
      </c>
      <c r="Q1049" s="108">
        <v>0</v>
      </c>
      <c r="R1049" s="108">
        <v>0</v>
      </c>
      <c r="S1049" s="108">
        <v>0</v>
      </c>
      <c r="T1049" s="108">
        <v>0</v>
      </c>
      <c r="U1049" s="108">
        <v>0</v>
      </c>
      <c r="V1049" s="108">
        <v>0</v>
      </c>
      <c r="W1049" s="108">
        <v>0</v>
      </c>
    </row>
    <row r="1050" spans="1:23">
      <c r="A1050" s="103">
        <v>45057</v>
      </c>
      <c r="B1050" s="104" t="s">
        <v>36</v>
      </c>
      <c r="C1050" s="145">
        <v>0</v>
      </c>
      <c r="D1050" s="145"/>
      <c r="E1050" s="104">
        <v>0</v>
      </c>
      <c r="F1050" s="106">
        <v>0</v>
      </c>
      <c r="G1050" s="107">
        <v>0</v>
      </c>
      <c r="H1050" s="106">
        <v>0</v>
      </c>
      <c r="I1050" s="106"/>
      <c r="J1050" s="106"/>
      <c r="K1050" s="106"/>
      <c r="L1050" s="213">
        <v>0</v>
      </c>
      <c r="M1050" s="213">
        <v>0</v>
      </c>
      <c r="N1050" s="213">
        <v>0</v>
      </c>
      <c r="O1050" s="213">
        <v>0</v>
      </c>
      <c r="P1050" s="108">
        <v>0</v>
      </c>
      <c r="Q1050" s="108">
        <v>0</v>
      </c>
      <c r="R1050" s="108">
        <v>0</v>
      </c>
      <c r="S1050" s="108">
        <v>0</v>
      </c>
      <c r="T1050" s="108">
        <v>0</v>
      </c>
      <c r="U1050" s="108">
        <v>0</v>
      </c>
      <c r="V1050" s="108">
        <v>0</v>
      </c>
      <c r="W1050" s="108">
        <v>0</v>
      </c>
    </row>
    <row r="1051" spans="1:23">
      <c r="A1051" s="103">
        <v>45057</v>
      </c>
      <c r="B1051" s="104" t="s">
        <v>37</v>
      </c>
      <c r="C1051" s="145">
        <v>0</v>
      </c>
      <c r="D1051" s="145"/>
      <c r="E1051" s="104">
        <v>1</v>
      </c>
      <c r="F1051" s="106">
        <v>1</v>
      </c>
      <c r="G1051" s="107">
        <v>0</v>
      </c>
      <c r="H1051" s="106">
        <v>0</v>
      </c>
      <c r="I1051" s="106"/>
      <c r="J1051" s="106"/>
      <c r="K1051" s="106"/>
      <c r="L1051" s="213">
        <v>0</v>
      </c>
      <c r="M1051" s="213">
        <v>0</v>
      </c>
      <c r="N1051" s="213">
        <v>0</v>
      </c>
      <c r="O1051" s="213">
        <v>0</v>
      </c>
      <c r="P1051" s="108">
        <v>-1</v>
      </c>
      <c r="Q1051" s="108">
        <v>0.333333333333333</v>
      </c>
      <c r="R1051" s="108">
        <v>0</v>
      </c>
      <c r="S1051" s="108">
        <v>0.142857142857143</v>
      </c>
      <c r="T1051" s="108">
        <v>0</v>
      </c>
      <c r="U1051" s="108">
        <v>0</v>
      </c>
      <c r="V1051" s="108">
        <v>0</v>
      </c>
      <c r="W1051" s="108">
        <v>0</v>
      </c>
    </row>
    <row r="1052" spans="1:23">
      <c r="A1052" s="103">
        <v>45057</v>
      </c>
      <c r="B1052" s="104" t="s">
        <v>38</v>
      </c>
      <c r="C1052" s="145">
        <v>0</v>
      </c>
      <c r="D1052" s="145"/>
      <c r="E1052" s="104">
        <v>0</v>
      </c>
      <c r="F1052" s="106">
        <v>0</v>
      </c>
      <c r="G1052" s="107">
        <v>0</v>
      </c>
      <c r="H1052" s="106">
        <v>0</v>
      </c>
      <c r="I1052" s="106"/>
      <c r="J1052" s="106"/>
      <c r="K1052" s="106"/>
      <c r="L1052" s="213">
        <v>0</v>
      </c>
      <c r="M1052" s="213">
        <v>0</v>
      </c>
      <c r="N1052" s="213">
        <v>0</v>
      </c>
      <c r="O1052" s="213">
        <v>0</v>
      </c>
      <c r="P1052" s="108">
        <v>0</v>
      </c>
      <c r="Q1052" s="108">
        <v>0</v>
      </c>
      <c r="R1052" s="108">
        <v>0</v>
      </c>
      <c r="S1052" s="108">
        <v>0</v>
      </c>
      <c r="T1052" s="108">
        <v>0</v>
      </c>
      <c r="U1052" s="108">
        <v>0</v>
      </c>
      <c r="V1052" s="108">
        <v>0</v>
      </c>
      <c r="W1052" s="108">
        <v>0</v>
      </c>
    </row>
    <row r="1053" spans="1:23">
      <c r="A1053" s="103">
        <v>45057</v>
      </c>
      <c r="B1053" s="111" t="s">
        <v>39</v>
      </c>
      <c r="C1053" s="112">
        <v>27478</v>
      </c>
      <c r="D1053" s="112"/>
      <c r="E1053" s="112">
        <v>327</v>
      </c>
      <c r="F1053" s="113">
        <v>0.0119004294344567</v>
      </c>
      <c r="G1053" s="112">
        <v>112</v>
      </c>
      <c r="H1053" s="113">
        <v>0.342507645259939</v>
      </c>
      <c r="I1053" s="113"/>
      <c r="J1053" s="113"/>
      <c r="K1053" s="113"/>
      <c r="L1053" s="213"/>
      <c r="M1053" s="213"/>
      <c r="N1053" s="213"/>
      <c r="O1053" s="213"/>
      <c r="P1053" s="108"/>
      <c r="Q1053" s="108"/>
      <c r="R1053" s="108"/>
      <c r="S1053" s="108"/>
      <c r="T1053" s="108"/>
      <c r="U1053" s="108"/>
      <c r="V1053" s="108"/>
      <c r="W1053" s="108"/>
    </row>
    <row r="1054" spans="1:23">
      <c r="A1054" s="103">
        <v>45058</v>
      </c>
      <c r="B1054" s="104" t="s">
        <v>17</v>
      </c>
      <c r="C1054" s="105">
        <v>2</v>
      </c>
      <c r="D1054" s="105"/>
      <c r="E1054" s="104">
        <v>26</v>
      </c>
      <c r="F1054" s="106">
        <v>13</v>
      </c>
      <c r="G1054" s="107">
        <v>8</v>
      </c>
      <c r="H1054" s="106">
        <v>0.307692307692308</v>
      </c>
      <c r="I1054" s="106"/>
      <c r="J1054" s="106"/>
      <c r="K1054" s="106"/>
      <c r="L1054" s="213">
        <v>2</v>
      </c>
      <c r="M1054" s="213">
        <v>1.66666666666667</v>
      </c>
      <c r="N1054" s="213">
        <v>1.2</v>
      </c>
      <c r="O1054" s="213">
        <v>-150</v>
      </c>
      <c r="P1054" s="108">
        <v>-5</v>
      </c>
      <c r="Q1054" s="108">
        <v>-8.33333333333334</v>
      </c>
      <c r="R1054" s="108">
        <v>-10.8</v>
      </c>
      <c r="S1054" s="108">
        <v>-13</v>
      </c>
      <c r="T1054" s="108">
        <v>3</v>
      </c>
      <c r="U1054" s="108">
        <v>2</v>
      </c>
      <c r="V1054" s="108">
        <v>0</v>
      </c>
      <c r="W1054" s="108">
        <v>-0.571428571428571</v>
      </c>
    </row>
    <row r="1055" spans="1:23">
      <c r="A1055" s="103">
        <v>45058</v>
      </c>
      <c r="B1055" s="104" t="s">
        <v>19</v>
      </c>
      <c r="C1055" s="107">
        <v>356</v>
      </c>
      <c r="D1055" s="107"/>
      <c r="E1055" s="104">
        <v>9</v>
      </c>
      <c r="F1055" s="106">
        <v>0.0252808988764045</v>
      </c>
      <c r="G1055" s="107">
        <v>3</v>
      </c>
      <c r="H1055" s="106">
        <v>0.333333333333333</v>
      </c>
      <c r="I1055" s="106"/>
      <c r="J1055" s="106"/>
      <c r="K1055" s="106"/>
      <c r="L1055" s="213">
        <v>20</v>
      </c>
      <c r="M1055" s="213">
        <v>-44</v>
      </c>
      <c r="N1055" s="213">
        <v>37.4</v>
      </c>
      <c r="O1055" s="213">
        <v>48.1428571428572</v>
      </c>
      <c r="P1055" s="108">
        <v>-2</v>
      </c>
      <c r="Q1055" s="108">
        <v>0</v>
      </c>
      <c r="R1055" s="108">
        <v>0.4</v>
      </c>
      <c r="S1055" s="108">
        <v>-4.28571428571429</v>
      </c>
      <c r="T1055" s="108">
        <v>-4</v>
      </c>
      <c r="U1055" s="108">
        <v>-1.33333333333333</v>
      </c>
      <c r="V1055" s="108">
        <v>-2.8</v>
      </c>
      <c r="W1055" s="115">
        <v>-2.42857142857143</v>
      </c>
    </row>
    <row r="1056" spans="1:23">
      <c r="A1056" s="103">
        <v>45058</v>
      </c>
      <c r="B1056" s="104" t="s">
        <v>21</v>
      </c>
      <c r="C1056" s="145">
        <v>785</v>
      </c>
      <c r="D1056" s="145"/>
      <c r="E1056" s="104">
        <v>26</v>
      </c>
      <c r="F1056" s="106">
        <v>0.0331210191082803</v>
      </c>
      <c r="G1056" s="107">
        <v>8</v>
      </c>
      <c r="H1056" s="106">
        <v>0.307692307692308</v>
      </c>
      <c r="I1056" s="106"/>
      <c r="J1056" s="106"/>
      <c r="K1056" s="106"/>
      <c r="L1056" s="213">
        <v>90</v>
      </c>
      <c r="M1056" s="213">
        <v>157</v>
      </c>
      <c r="N1056" s="213">
        <v>184.6</v>
      </c>
      <c r="O1056" s="213">
        <v>203.857142857143</v>
      </c>
      <c r="P1056" s="108">
        <v>0</v>
      </c>
      <c r="Q1056" s="108">
        <v>1</v>
      </c>
      <c r="R1056" s="108">
        <v>0.600000000000001</v>
      </c>
      <c r="S1056" s="108">
        <v>-4.28571428571428</v>
      </c>
      <c r="T1056" s="108">
        <v>-6</v>
      </c>
      <c r="U1056" s="108">
        <v>-3.33333333333333</v>
      </c>
      <c r="V1056" s="108">
        <v>-1.8</v>
      </c>
      <c r="W1056" s="108">
        <v>-1.85714285714286</v>
      </c>
    </row>
    <row r="1057" spans="1:23">
      <c r="A1057" s="103">
        <v>45058</v>
      </c>
      <c r="B1057" s="104" t="s">
        <v>22</v>
      </c>
      <c r="C1057" s="145">
        <v>2585</v>
      </c>
      <c r="D1057" s="145"/>
      <c r="E1057" s="104">
        <v>81</v>
      </c>
      <c r="F1057" s="106">
        <v>0.0313346228239845</v>
      </c>
      <c r="G1057" s="107">
        <v>28</v>
      </c>
      <c r="H1057" s="106">
        <v>0.345679012345679</v>
      </c>
      <c r="I1057" s="106"/>
      <c r="J1057" s="106"/>
      <c r="K1057" s="106"/>
      <c r="L1057" s="213">
        <v>194</v>
      </c>
      <c r="M1057" s="213">
        <v>288.666666666667</v>
      </c>
      <c r="N1057" s="213">
        <v>382.8</v>
      </c>
      <c r="O1057" s="213">
        <v>504.714285714286</v>
      </c>
      <c r="P1057" s="108">
        <v>17</v>
      </c>
      <c r="Q1057" s="108">
        <v>14.6666666666667</v>
      </c>
      <c r="R1057" s="108">
        <v>17.2</v>
      </c>
      <c r="S1057" s="115">
        <v>19.2857142857143</v>
      </c>
      <c r="T1057" s="108">
        <v>1</v>
      </c>
      <c r="U1057" s="108">
        <v>5</v>
      </c>
      <c r="V1057" s="108">
        <v>5.2</v>
      </c>
      <c r="W1057" s="117">
        <v>6.71428571428572</v>
      </c>
    </row>
    <row r="1058" spans="1:23">
      <c r="A1058" s="103">
        <v>45058</v>
      </c>
      <c r="B1058" s="104" t="s">
        <v>23</v>
      </c>
      <c r="C1058" s="145">
        <v>2091</v>
      </c>
      <c r="D1058" s="145"/>
      <c r="E1058" s="104">
        <v>10</v>
      </c>
      <c r="F1058" s="106">
        <v>0.00478240076518412</v>
      </c>
      <c r="G1058" s="107">
        <v>4</v>
      </c>
      <c r="H1058" s="106">
        <v>0.4</v>
      </c>
      <c r="I1058" s="106"/>
      <c r="J1058" s="106"/>
      <c r="K1058" s="106"/>
      <c r="L1058" s="213">
        <v>-74</v>
      </c>
      <c r="M1058" s="213">
        <v>-98.3333333333335</v>
      </c>
      <c r="N1058" s="213">
        <v>-91.1999999999998</v>
      </c>
      <c r="O1058" s="213">
        <v>-117</v>
      </c>
      <c r="P1058" s="108">
        <v>-2</v>
      </c>
      <c r="Q1058" s="108">
        <v>-1</v>
      </c>
      <c r="R1058" s="108">
        <v>-2</v>
      </c>
      <c r="S1058" s="108">
        <v>-6.14285714285714</v>
      </c>
      <c r="T1058" s="108">
        <v>-1</v>
      </c>
      <c r="U1058" s="116">
        <v>-1</v>
      </c>
      <c r="V1058" s="108">
        <v>0</v>
      </c>
      <c r="W1058" s="108">
        <v>-0.285714285714286</v>
      </c>
    </row>
    <row r="1059" spans="1:23">
      <c r="A1059" s="103">
        <v>45058</v>
      </c>
      <c r="B1059" s="104" t="s">
        <v>24</v>
      </c>
      <c r="C1059" s="145">
        <v>3019</v>
      </c>
      <c r="D1059" s="145"/>
      <c r="E1059" s="104">
        <v>83</v>
      </c>
      <c r="F1059" s="106">
        <v>0.02749254720106</v>
      </c>
      <c r="G1059" s="107">
        <v>19</v>
      </c>
      <c r="H1059" s="106">
        <v>0.228915662650602</v>
      </c>
      <c r="I1059" s="106"/>
      <c r="J1059" s="106"/>
      <c r="K1059" s="106"/>
      <c r="L1059" s="213">
        <v>303</v>
      </c>
      <c r="M1059" s="213">
        <v>137.666666666667</v>
      </c>
      <c r="N1059" s="213">
        <v>128.4</v>
      </c>
      <c r="O1059" s="213">
        <v>32.4285714285716</v>
      </c>
      <c r="P1059" s="115">
        <v>-7</v>
      </c>
      <c r="Q1059" s="115">
        <v>-12</v>
      </c>
      <c r="R1059" s="115">
        <v>-8.8</v>
      </c>
      <c r="S1059" s="115">
        <v>-5.28571428571429</v>
      </c>
      <c r="T1059" s="115">
        <v>-5</v>
      </c>
      <c r="U1059" s="115">
        <v>-6.33333333333333</v>
      </c>
      <c r="V1059" s="115">
        <v>-6.6</v>
      </c>
      <c r="W1059" s="115">
        <v>-5</v>
      </c>
    </row>
    <row r="1060" spans="1:23">
      <c r="A1060" s="103">
        <v>45058</v>
      </c>
      <c r="B1060" s="104" t="s">
        <v>25</v>
      </c>
      <c r="C1060" s="145">
        <v>5224</v>
      </c>
      <c r="D1060" s="145"/>
      <c r="E1060" s="104">
        <v>18</v>
      </c>
      <c r="F1060" s="106">
        <v>0.00344563552833078</v>
      </c>
      <c r="G1060" s="107">
        <v>11</v>
      </c>
      <c r="H1060" s="106">
        <v>0.611111111111111</v>
      </c>
      <c r="I1060" s="106"/>
      <c r="J1060" s="106"/>
      <c r="K1060" s="106"/>
      <c r="L1060" s="213">
        <v>-4838</v>
      </c>
      <c r="M1060" s="213">
        <v>-3822</v>
      </c>
      <c r="N1060" s="213">
        <v>-1597.4</v>
      </c>
      <c r="O1060" s="213">
        <v>-1282.57142857143</v>
      </c>
      <c r="P1060" s="116">
        <v>-7</v>
      </c>
      <c r="Q1060" s="115">
        <v>-7.66666666666667</v>
      </c>
      <c r="R1060" s="115">
        <v>-5.4</v>
      </c>
      <c r="S1060" s="115">
        <v>-7.57142857142857</v>
      </c>
      <c r="T1060" s="108">
        <v>2</v>
      </c>
      <c r="U1060" s="108">
        <v>-0.666666666666666</v>
      </c>
      <c r="V1060" s="108">
        <v>0.199999999999999</v>
      </c>
      <c r="W1060" s="108">
        <v>-0.285714285714286</v>
      </c>
    </row>
    <row r="1061" spans="1:23">
      <c r="A1061" s="103">
        <v>45058</v>
      </c>
      <c r="B1061" s="104" t="s">
        <v>26</v>
      </c>
      <c r="C1061" s="145">
        <v>3872</v>
      </c>
      <c r="D1061" s="145"/>
      <c r="E1061" s="104">
        <v>12</v>
      </c>
      <c r="F1061" s="106">
        <v>0.00309917355371901</v>
      </c>
      <c r="G1061" s="107">
        <v>8</v>
      </c>
      <c r="H1061" s="106">
        <v>0.666666666666667</v>
      </c>
      <c r="I1061" s="106"/>
      <c r="J1061" s="106"/>
      <c r="K1061" s="106"/>
      <c r="L1061" s="213">
        <v>104</v>
      </c>
      <c r="M1061" s="213">
        <v>19.3333333333335</v>
      </c>
      <c r="N1061" s="213">
        <v>712.4</v>
      </c>
      <c r="O1061" s="213">
        <v>1056.42857142857</v>
      </c>
      <c r="P1061" s="108">
        <v>0</v>
      </c>
      <c r="Q1061" s="108">
        <v>-5</v>
      </c>
      <c r="R1061" s="108">
        <v>-6</v>
      </c>
      <c r="S1061" s="108">
        <v>-8.42857142857143</v>
      </c>
      <c r="T1061" s="108">
        <v>1</v>
      </c>
      <c r="U1061" s="108">
        <v>2</v>
      </c>
      <c r="V1061" s="108">
        <v>1.8</v>
      </c>
      <c r="W1061" s="108">
        <v>2.14285714285714</v>
      </c>
    </row>
    <row r="1062" spans="1:23">
      <c r="A1062" s="103">
        <v>45058</v>
      </c>
      <c r="B1062" s="104" t="s">
        <v>27</v>
      </c>
      <c r="C1062" s="145">
        <v>5010</v>
      </c>
      <c r="D1062" s="145"/>
      <c r="E1062" s="104">
        <v>77</v>
      </c>
      <c r="F1062" s="106">
        <v>0.0153692614770459</v>
      </c>
      <c r="G1062" s="107">
        <v>27</v>
      </c>
      <c r="H1062" s="106">
        <v>0.350649350649351</v>
      </c>
      <c r="I1062" s="106"/>
      <c r="J1062" s="106"/>
      <c r="K1062" s="106"/>
      <c r="L1062" s="213">
        <v>-334</v>
      </c>
      <c r="M1062" s="213">
        <v>-254</v>
      </c>
      <c r="N1062" s="213">
        <v>962.2</v>
      </c>
      <c r="O1062" s="213">
        <v>1579.42857142857</v>
      </c>
      <c r="P1062" s="108">
        <v>22</v>
      </c>
      <c r="Q1062" s="108">
        <v>14.3333333333333</v>
      </c>
      <c r="R1062" s="108">
        <v>21</v>
      </c>
      <c r="S1062" s="108">
        <v>16</v>
      </c>
      <c r="T1062" s="108">
        <v>13</v>
      </c>
      <c r="U1062" s="108">
        <v>13</v>
      </c>
      <c r="V1062" s="108">
        <v>12.8</v>
      </c>
      <c r="W1062" s="108">
        <v>13.7142857142857</v>
      </c>
    </row>
    <row r="1063" spans="1:23">
      <c r="A1063" s="103">
        <v>45058</v>
      </c>
      <c r="B1063" s="104" t="s">
        <v>28</v>
      </c>
      <c r="C1063" s="145">
        <v>0</v>
      </c>
      <c r="D1063" s="145"/>
      <c r="E1063" s="104">
        <v>0</v>
      </c>
      <c r="F1063" s="106">
        <v>0</v>
      </c>
      <c r="G1063" s="107">
        <v>0</v>
      </c>
      <c r="H1063" s="106">
        <v>0</v>
      </c>
      <c r="I1063" s="106"/>
      <c r="J1063" s="106"/>
      <c r="K1063" s="106"/>
      <c r="L1063" s="213">
        <v>0</v>
      </c>
      <c r="M1063" s="213">
        <v>0</v>
      </c>
      <c r="N1063" s="213">
        <v>0</v>
      </c>
      <c r="O1063" s="213">
        <v>0</v>
      </c>
      <c r="P1063" s="108">
        <v>0</v>
      </c>
      <c r="Q1063" s="108">
        <v>0</v>
      </c>
      <c r="R1063" s="108">
        <v>0</v>
      </c>
      <c r="S1063" s="108">
        <v>0</v>
      </c>
      <c r="T1063" s="108">
        <v>0</v>
      </c>
      <c r="U1063" s="108">
        <v>0</v>
      </c>
      <c r="V1063" s="108">
        <v>0</v>
      </c>
      <c r="W1063" s="108">
        <v>0</v>
      </c>
    </row>
    <row r="1064" spans="1:23">
      <c r="A1064" s="103">
        <v>45058</v>
      </c>
      <c r="B1064" s="104" t="s">
        <v>29</v>
      </c>
      <c r="C1064" s="145">
        <v>1</v>
      </c>
      <c r="D1064" s="145"/>
      <c r="E1064" s="104">
        <v>0</v>
      </c>
      <c r="F1064" s="106">
        <v>0</v>
      </c>
      <c r="G1064" s="107">
        <v>0</v>
      </c>
      <c r="H1064" s="106">
        <v>0</v>
      </c>
      <c r="I1064" s="106"/>
      <c r="J1064" s="106"/>
      <c r="K1064" s="106"/>
      <c r="L1064" s="213">
        <v>0</v>
      </c>
      <c r="M1064" s="213">
        <v>0.333333333333333</v>
      </c>
      <c r="N1064" s="213">
        <v>0.4</v>
      </c>
      <c r="O1064" s="213">
        <v>0.428571428571429</v>
      </c>
      <c r="P1064" s="108">
        <v>0</v>
      </c>
      <c r="Q1064" s="108">
        <v>0</v>
      </c>
      <c r="R1064" s="108">
        <v>0</v>
      </c>
      <c r="S1064" s="108">
        <v>0</v>
      </c>
      <c r="T1064" s="108">
        <v>0</v>
      </c>
      <c r="U1064" s="108">
        <v>0</v>
      </c>
      <c r="V1064" s="108">
        <v>0</v>
      </c>
      <c r="W1064" s="108">
        <v>0</v>
      </c>
    </row>
    <row r="1065" spans="1:23">
      <c r="A1065" s="103">
        <v>45058</v>
      </c>
      <c r="B1065" s="104" t="s">
        <v>30</v>
      </c>
      <c r="C1065" s="145">
        <v>0</v>
      </c>
      <c r="D1065" s="145"/>
      <c r="E1065" s="104">
        <v>0</v>
      </c>
      <c r="F1065" s="106">
        <v>0</v>
      </c>
      <c r="G1065" s="107">
        <v>0</v>
      </c>
      <c r="H1065" s="106">
        <v>0</v>
      </c>
      <c r="I1065" s="106"/>
      <c r="J1065" s="106"/>
      <c r="K1065" s="106"/>
      <c r="L1065" s="213">
        <v>0</v>
      </c>
      <c r="M1065" s="213">
        <v>0</v>
      </c>
      <c r="N1065" s="213">
        <v>0</v>
      </c>
      <c r="O1065" s="213">
        <v>0</v>
      </c>
      <c r="P1065" s="108">
        <v>0</v>
      </c>
      <c r="Q1065" s="108">
        <v>0</v>
      </c>
      <c r="R1065" s="108">
        <v>0</v>
      </c>
      <c r="S1065" s="108">
        <v>0</v>
      </c>
      <c r="T1065" s="108">
        <v>0</v>
      </c>
      <c r="U1065" s="108">
        <v>0</v>
      </c>
      <c r="V1065" s="108">
        <v>0</v>
      </c>
      <c r="W1065" s="108">
        <v>0</v>
      </c>
    </row>
    <row r="1066" spans="1:23">
      <c r="A1066" s="103">
        <v>45058</v>
      </c>
      <c r="B1066" s="104" t="s">
        <v>31</v>
      </c>
      <c r="C1066" s="145">
        <v>0</v>
      </c>
      <c r="D1066" s="145"/>
      <c r="E1066" s="104">
        <v>1</v>
      </c>
      <c r="F1066" s="106">
        <v>1</v>
      </c>
      <c r="G1066" s="107">
        <v>0</v>
      </c>
      <c r="H1066" s="106">
        <v>0</v>
      </c>
      <c r="I1066" s="106"/>
      <c r="J1066" s="106"/>
      <c r="K1066" s="106"/>
      <c r="L1066" s="213">
        <v>0</v>
      </c>
      <c r="M1066" s="213">
        <v>0</v>
      </c>
      <c r="N1066" s="213">
        <v>0</v>
      </c>
      <c r="O1066" s="213">
        <v>0</v>
      </c>
      <c r="P1066" s="108">
        <v>1</v>
      </c>
      <c r="Q1066" s="108">
        <v>1</v>
      </c>
      <c r="R1066" s="108">
        <v>1</v>
      </c>
      <c r="S1066" s="108">
        <v>0.857142857142857</v>
      </c>
      <c r="T1066" s="108">
        <v>0</v>
      </c>
      <c r="U1066" s="108">
        <v>0</v>
      </c>
      <c r="V1066" s="108">
        <v>0</v>
      </c>
      <c r="W1066" s="108">
        <v>0</v>
      </c>
    </row>
    <row r="1067" spans="1:23">
      <c r="A1067" s="103">
        <v>45058</v>
      </c>
      <c r="B1067" s="104" t="s">
        <v>32</v>
      </c>
      <c r="C1067" s="145">
        <v>0</v>
      </c>
      <c r="D1067" s="145"/>
      <c r="E1067" s="104">
        <v>0</v>
      </c>
      <c r="F1067" s="106">
        <v>0</v>
      </c>
      <c r="G1067" s="107">
        <v>0</v>
      </c>
      <c r="H1067" s="106">
        <v>0</v>
      </c>
      <c r="I1067" s="106"/>
      <c r="J1067" s="106"/>
      <c r="K1067" s="106"/>
      <c r="L1067" s="213">
        <v>0</v>
      </c>
      <c r="M1067" s="213">
        <v>0</v>
      </c>
      <c r="N1067" s="213">
        <v>0</v>
      </c>
      <c r="O1067" s="213">
        <v>0</v>
      </c>
      <c r="P1067" s="108">
        <v>0</v>
      </c>
      <c r="Q1067" s="108">
        <v>0</v>
      </c>
      <c r="R1067" s="108">
        <v>0</v>
      </c>
      <c r="S1067" s="108">
        <v>0</v>
      </c>
      <c r="T1067" s="108">
        <v>0</v>
      </c>
      <c r="U1067" s="108">
        <v>0</v>
      </c>
      <c r="V1067" s="108">
        <v>0</v>
      </c>
      <c r="W1067" s="108">
        <v>0</v>
      </c>
    </row>
    <row r="1068" spans="1:23">
      <c r="A1068" s="103">
        <v>45058</v>
      </c>
      <c r="B1068" s="104" t="s">
        <v>33</v>
      </c>
      <c r="C1068" s="145">
        <v>0</v>
      </c>
      <c r="D1068" s="145"/>
      <c r="E1068" s="104">
        <v>0</v>
      </c>
      <c r="F1068" s="106">
        <v>0</v>
      </c>
      <c r="G1068" s="107">
        <v>0</v>
      </c>
      <c r="H1068" s="106">
        <v>0</v>
      </c>
      <c r="I1068" s="106"/>
      <c r="J1068" s="106"/>
      <c r="K1068" s="106"/>
      <c r="L1068" s="213">
        <v>0</v>
      </c>
      <c r="M1068" s="213">
        <v>0</v>
      </c>
      <c r="N1068" s="213">
        <v>0</v>
      </c>
      <c r="O1068" s="213">
        <v>0</v>
      </c>
      <c r="P1068" s="108">
        <v>0</v>
      </c>
      <c r="Q1068" s="108">
        <v>0</v>
      </c>
      <c r="R1068" s="108">
        <v>-0.2</v>
      </c>
      <c r="S1068" s="108">
        <v>-0.142857142857143</v>
      </c>
      <c r="T1068" s="108">
        <v>0</v>
      </c>
      <c r="U1068" s="108">
        <v>0</v>
      </c>
      <c r="V1068" s="108">
        <v>0</v>
      </c>
      <c r="W1068" s="108">
        <v>0</v>
      </c>
    </row>
    <row r="1069" spans="1:23">
      <c r="A1069" s="103">
        <v>45058</v>
      </c>
      <c r="B1069" s="104" t="s">
        <v>34</v>
      </c>
      <c r="C1069" s="145">
        <v>0</v>
      </c>
      <c r="D1069" s="145"/>
      <c r="E1069" s="104">
        <v>0</v>
      </c>
      <c r="F1069" s="106">
        <v>0</v>
      </c>
      <c r="G1069" s="107">
        <v>0</v>
      </c>
      <c r="H1069" s="106">
        <v>0</v>
      </c>
      <c r="I1069" s="106"/>
      <c r="J1069" s="106"/>
      <c r="K1069" s="106"/>
      <c r="L1069" s="213">
        <v>0</v>
      </c>
      <c r="M1069" s="213">
        <v>0</v>
      </c>
      <c r="N1069" s="213">
        <v>0</v>
      </c>
      <c r="O1069" s="213">
        <v>0</v>
      </c>
      <c r="P1069" s="108">
        <v>0</v>
      </c>
      <c r="Q1069" s="108">
        <v>0</v>
      </c>
      <c r="R1069" s="108">
        <v>0</v>
      </c>
      <c r="S1069" s="108">
        <v>0</v>
      </c>
      <c r="T1069" s="108">
        <v>0</v>
      </c>
      <c r="U1069" s="108">
        <v>0</v>
      </c>
      <c r="V1069" s="108">
        <v>0</v>
      </c>
      <c r="W1069" s="108">
        <v>0</v>
      </c>
    </row>
    <row r="1070" spans="1:23">
      <c r="A1070" s="103">
        <v>45058</v>
      </c>
      <c r="B1070" s="104" t="s">
        <v>35</v>
      </c>
      <c r="C1070" s="145">
        <v>0</v>
      </c>
      <c r="D1070" s="145"/>
      <c r="E1070" s="104">
        <v>0</v>
      </c>
      <c r="F1070" s="106">
        <v>0</v>
      </c>
      <c r="G1070" s="107">
        <v>0</v>
      </c>
      <c r="H1070" s="106">
        <v>0</v>
      </c>
      <c r="I1070" s="106"/>
      <c r="J1070" s="106"/>
      <c r="K1070" s="106"/>
      <c r="L1070" s="213">
        <v>0</v>
      </c>
      <c r="M1070" s="213">
        <v>0</v>
      </c>
      <c r="N1070" s="213">
        <v>0</v>
      </c>
      <c r="O1070" s="213">
        <v>0</v>
      </c>
      <c r="P1070" s="108">
        <v>0</v>
      </c>
      <c r="Q1070" s="108">
        <v>0</v>
      </c>
      <c r="R1070" s="108">
        <v>0</v>
      </c>
      <c r="S1070" s="108">
        <v>0</v>
      </c>
      <c r="T1070" s="108">
        <v>0</v>
      </c>
      <c r="U1070" s="108">
        <v>0</v>
      </c>
      <c r="V1070" s="108">
        <v>0</v>
      </c>
      <c r="W1070" s="108">
        <v>0</v>
      </c>
    </row>
    <row r="1071" spans="1:23">
      <c r="A1071" s="103">
        <v>45058</v>
      </c>
      <c r="B1071" s="104" t="s">
        <v>36</v>
      </c>
      <c r="C1071" s="145">
        <v>0</v>
      </c>
      <c r="D1071" s="145"/>
      <c r="E1071" s="104">
        <v>0</v>
      </c>
      <c r="F1071" s="106">
        <v>0</v>
      </c>
      <c r="G1071" s="107">
        <v>0</v>
      </c>
      <c r="H1071" s="106">
        <v>0</v>
      </c>
      <c r="I1071" s="106"/>
      <c r="J1071" s="106"/>
      <c r="K1071" s="106"/>
      <c r="L1071" s="213">
        <v>0</v>
      </c>
      <c r="M1071" s="213">
        <v>0</v>
      </c>
      <c r="N1071" s="213">
        <v>0</v>
      </c>
      <c r="O1071" s="213">
        <v>0</v>
      </c>
      <c r="P1071" s="108">
        <v>0</v>
      </c>
      <c r="Q1071" s="108">
        <v>0</v>
      </c>
      <c r="R1071" s="108">
        <v>0</v>
      </c>
      <c r="S1071" s="108">
        <v>0</v>
      </c>
      <c r="T1071" s="108">
        <v>0</v>
      </c>
      <c r="U1071" s="108">
        <v>0</v>
      </c>
      <c r="V1071" s="108">
        <v>0</v>
      </c>
      <c r="W1071" s="108">
        <v>0</v>
      </c>
    </row>
    <row r="1072" spans="1:23">
      <c r="A1072" s="103">
        <v>45058</v>
      </c>
      <c r="B1072" s="104" t="s">
        <v>37</v>
      </c>
      <c r="C1072" s="145">
        <v>0</v>
      </c>
      <c r="D1072" s="145"/>
      <c r="E1072" s="104">
        <v>1</v>
      </c>
      <c r="F1072" s="106">
        <v>1</v>
      </c>
      <c r="G1072" s="107">
        <v>0</v>
      </c>
      <c r="H1072" s="106">
        <v>0</v>
      </c>
      <c r="I1072" s="106"/>
      <c r="J1072" s="106"/>
      <c r="K1072" s="106"/>
      <c r="L1072" s="213">
        <v>0</v>
      </c>
      <c r="M1072" s="213">
        <v>0</v>
      </c>
      <c r="N1072" s="213">
        <v>0</v>
      </c>
      <c r="O1072" s="213">
        <v>0</v>
      </c>
      <c r="P1072" s="108">
        <v>0</v>
      </c>
      <c r="Q1072" s="108">
        <v>0</v>
      </c>
      <c r="R1072" s="108">
        <v>0</v>
      </c>
      <c r="S1072" s="108">
        <v>0.142857142857143</v>
      </c>
      <c r="T1072" s="108">
        <v>0</v>
      </c>
      <c r="U1072" s="108">
        <v>0</v>
      </c>
      <c r="V1072" s="108">
        <v>0</v>
      </c>
      <c r="W1072" s="108">
        <v>0</v>
      </c>
    </row>
    <row r="1073" spans="1:23">
      <c r="A1073" s="103">
        <v>45058</v>
      </c>
      <c r="B1073" s="104" t="s">
        <v>38</v>
      </c>
      <c r="C1073" s="145">
        <v>0</v>
      </c>
      <c r="D1073" s="145"/>
      <c r="E1073" s="104">
        <v>0</v>
      </c>
      <c r="F1073" s="106">
        <v>0</v>
      </c>
      <c r="G1073" s="107">
        <v>0</v>
      </c>
      <c r="H1073" s="106">
        <v>0</v>
      </c>
      <c r="I1073" s="106"/>
      <c r="J1073" s="106"/>
      <c r="K1073" s="106"/>
      <c r="L1073" s="213">
        <v>0</v>
      </c>
      <c r="M1073" s="213">
        <v>0</v>
      </c>
      <c r="N1073" s="213">
        <v>0</v>
      </c>
      <c r="O1073" s="213">
        <v>0</v>
      </c>
      <c r="P1073" s="108">
        <v>0</v>
      </c>
      <c r="Q1073" s="108">
        <v>0</v>
      </c>
      <c r="R1073" s="108">
        <v>0</v>
      </c>
      <c r="S1073" s="108">
        <v>0</v>
      </c>
      <c r="T1073" s="108">
        <v>0</v>
      </c>
      <c r="U1073" s="108">
        <v>0</v>
      </c>
      <c r="V1073" s="108">
        <v>0</v>
      </c>
      <c r="W1073" s="108">
        <v>0</v>
      </c>
    </row>
    <row r="1074" spans="1:23">
      <c r="A1074" s="103">
        <v>45058</v>
      </c>
      <c r="B1074" s="111" t="s">
        <v>39</v>
      </c>
      <c r="C1074" s="112">
        <v>22945</v>
      </c>
      <c r="D1074" s="112"/>
      <c r="E1074" s="112">
        <v>344</v>
      </c>
      <c r="F1074" s="113">
        <v>0.0149923730660275</v>
      </c>
      <c r="G1074" s="112">
        <v>116</v>
      </c>
      <c r="H1074" s="113">
        <v>0.337209302325581</v>
      </c>
      <c r="I1074" s="113"/>
      <c r="J1074" s="113"/>
      <c r="K1074" s="113"/>
      <c r="L1074" s="213"/>
      <c r="M1074" s="213"/>
      <c r="N1074" s="213"/>
      <c r="O1074" s="213"/>
      <c r="P1074" s="108"/>
      <c r="Q1074" s="108"/>
      <c r="R1074" s="108"/>
      <c r="S1074" s="108"/>
      <c r="T1074" s="108"/>
      <c r="U1074" s="108"/>
      <c r="V1074" s="108"/>
      <c r="W1074" s="108"/>
    </row>
    <row r="1075" spans="1:23">
      <c r="A1075" s="214">
        <v>45059</v>
      </c>
      <c r="B1075" s="104" t="s">
        <v>17</v>
      </c>
      <c r="C1075" s="105">
        <v>0</v>
      </c>
      <c r="D1075" s="105"/>
      <c r="E1075" s="104">
        <v>29</v>
      </c>
      <c r="F1075" s="106">
        <v>29</v>
      </c>
      <c r="G1075" s="107">
        <v>6</v>
      </c>
      <c r="H1075" s="106">
        <v>0.206896551724138</v>
      </c>
      <c r="I1075" s="106"/>
      <c r="J1075" s="106"/>
      <c r="K1075" s="106"/>
      <c r="L1075" s="213">
        <v>-2</v>
      </c>
      <c r="M1075" s="213">
        <v>-0.666666666666667</v>
      </c>
      <c r="N1075" s="213">
        <v>-1</v>
      </c>
      <c r="O1075" s="213">
        <v>-53.1428571428571</v>
      </c>
      <c r="P1075" s="108">
        <v>3</v>
      </c>
      <c r="Q1075" s="108">
        <v>-0.333333333333332</v>
      </c>
      <c r="R1075" s="108">
        <v>-3.6</v>
      </c>
      <c r="S1075" s="108">
        <v>-6</v>
      </c>
      <c r="T1075" s="108">
        <v>-2</v>
      </c>
      <c r="U1075" s="108">
        <v>0</v>
      </c>
      <c r="V1075" s="108">
        <v>-0.6</v>
      </c>
      <c r="W1075" s="108">
        <v>-2.42857142857143</v>
      </c>
    </row>
    <row r="1076" spans="1:23">
      <c r="A1076" s="214">
        <v>45059</v>
      </c>
      <c r="B1076" s="104" t="s">
        <v>19</v>
      </c>
      <c r="C1076" s="107">
        <v>400</v>
      </c>
      <c r="D1076" s="107"/>
      <c r="E1076" s="104">
        <v>13</v>
      </c>
      <c r="F1076" s="106">
        <v>0.0325</v>
      </c>
      <c r="G1076" s="107">
        <v>6</v>
      </c>
      <c r="H1076" s="106">
        <v>0.461538461538462</v>
      </c>
      <c r="I1076" s="106"/>
      <c r="J1076" s="106"/>
      <c r="K1076" s="106"/>
      <c r="L1076" s="213">
        <v>44</v>
      </c>
      <c r="M1076" s="213">
        <v>20.6666666666667</v>
      </c>
      <c r="N1076" s="213">
        <v>54.8</v>
      </c>
      <c r="O1076" s="213">
        <v>90.5714285714286</v>
      </c>
      <c r="P1076" s="108">
        <v>4</v>
      </c>
      <c r="Q1076" s="108">
        <v>4</v>
      </c>
      <c r="R1076" s="108">
        <v>4.2</v>
      </c>
      <c r="S1076" s="108">
        <v>3.71428571428571</v>
      </c>
      <c r="T1076" s="108">
        <v>3</v>
      </c>
      <c r="U1076" s="108">
        <v>1.66666666666667</v>
      </c>
      <c r="V1076" s="108">
        <v>2</v>
      </c>
      <c r="W1076" s="115">
        <v>0.857142857142857</v>
      </c>
    </row>
    <row r="1077" spans="1:23">
      <c r="A1077" s="214">
        <v>45059</v>
      </c>
      <c r="B1077" s="104" t="s">
        <v>21</v>
      </c>
      <c r="C1077" s="145">
        <v>905</v>
      </c>
      <c r="D1077" s="145"/>
      <c r="E1077" s="104">
        <v>33</v>
      </c>
      <c r="F1077" s="106">
        <v>0.0364640883977901</v>
      </c>
      <c r="G1077" s="107">
        <v>8</v>
      </c>
      <c r="H1077" s="106">
        <v>0.242424242424242</v>
      </c>
      <c r="I1077" s="106"/>
      <c r="J1077" s="106"/>
      <c r="K1077" s="106"/>
      <c r="L1077" s="213">
        <v>120</v>
      </c>
      <c r="M1077" s="213">
        <v>205</v>
      </c>
      <c r="N1077" s="213">
        <v>261</v>
      </c>
      <c r="O1077" s="213">
        <v>288.142857142857</v>
      </c>
      <c r="P1077" s="108">
        <v>7</v>
      </c>
      <c r="Q1077" s="108">
        <v>7</v>
      </c>
      <c r="R1077" s="108">
        <v>7.8</v>
      </c>
      <c r="S1077" s="108">
        <v>7.57142857142857</v>
      </c>
      <c r="T1077" s="108">
        <v>0</v>
      </c>
      <c r="U1077" s="108">
        <v>-3</v>
      </c>
      <c r="V1077" s="108">
        <v>-1.6</v>
      </c>
      <c r="W1077" s="108">
        <v>-1.85714285714286</v>
      </c>
    </row>
    <row r="1078" spans="1:23">
      <c r="A1078" s="214">
        <v>45059</v>
      </c>
      <c r="B1078" s="104" t="s">
        <v>22</v>
      </c>
      <c r="C1078" s="145">
        <v>2844</v>
      </c>
      <c r="D1078" s="145"/>
      <c r="E1078" s="104">
        <v>93</v>
      </c>
      <c r="F1078" s="106">
        <v>0.0327004219409283</v>
      </c>
      <c r="G1078" s="107">
        <v>26</v>
      </c>
      <c r="H1078" s="106">
        <v>0.279569892473118</v>
      </c>
      <c r="I1078" s="106"/>
      <c r="J1078" s="106"/>
      <c r="K1078" s="106"/>
      <c r="L1078" s="213">
        <v>259</v>
      </c>
      <c r="M1078" s="213">
        <v>480.666666666667</v>
      </c>
      <c r="N1078" s="213">
        <v>539.4</v>
      </c>
      <c r="O1078" s="213">
        <v>629</v>
      </c>
      <c r="P1078" s="108">
        <v>12</v>
      </c>
      <c r="Q1078" s="108">
        <v>21</v>
      </c>
      <c r="R1078" s="108">
        <v>25</v>
      </c>
      <c r="S1078" s="115">
        <v>27.5714285714286</v>
      </c>
      <c r="T1078" s="108">
        <v>-2</v>
      </c>
      <c r="U1078" s="108">
        <v>-0.333333333333332</v>
      </c>
      <c r="V1078" s="108">
        <v>2.6</v>
      </c>
      <c r="W1078" s="117">
        <v>3.42857142857143</v>
      </c>
    </row>
    <row r="1079" spans="1:23">
      <c r="A1079" s="214">
        <v>45059</v>
      </c>
      <c r="B1079" s="104" t="s">
        <v>23</v>
      </c>
      <c r="C1079" s="145">
        <v>2303</v>
      </c>
      <c r="D1079" s="145"/>
      <c r="E1079" s="104">
        <v>16</v>
      </c>
      <c r="F1079" s="106">
        <v>0.00694745983499783</v>
      </c>
      <c r="G1079" s="107">
        <v>7</v>
      </c>
      <c r="H1079" s="106">
        <v>0.4375</v>
      </c>
      <c r="I1079" s="106"/>
      <c r="J1079" s="106"/>
      <c r="K1079" s="106"/>
      <c r="L1079" s="213">
        <v>212</v>
      </c>
      <c r="M1079" s="213">
        <v>148</v>
      </c>
      <c r="N1079" s="213">
        <v>132.8</v>
      </c>
      <c r="O1079" s="213">
        <v>108.714285714286</v>
      </c>
      <c r="P1079" s="108">
        <v>6</v>
      </c>
      <c r="Q1079" s="108">
        <v>5</v>
      </c>
      <c r="R1079" s="108">
        <v>4.4</v>
      </c>
      <c r="S1079" s="108">
        <v>3.42857142857143</v>
      </c>
      <c r="T1079" s="108">
        <v>3</v>
      </c>
      <c r="U1079" s="116">
        <v>1.33333333333333</v>
      </c>
      <c r="V1079" s="108">
        <v>2.8</v>
      </c>
      <c r="W1079" s="108">
        <v>3</v>
      </c>
    </row>
    <row r="1080" spans="1:23">
      <c r="A1080" s="214">
        <v>45059</v>
      </c>
      <c r="B1080" s="104" t="s">
        <v>24</v>
      </c>
      <c r="C1080" s="145">
        <v>3298</v>
      </c>
      <c r="D1080" s="145"/>
      <c r="E1080" s="104">
        <v>80</v>
      </c>
      <c r="F1080" s="106">
        <v>0.0242571255306246</v>
      </c>
      <c r="G1080" s="107">
        <v>19</v>
      </c>
      <c r="H1080" s="106">
        <v>0.2375</v>
      </c>
      <c r="I1080" s="106"/>
      <c r="J1080" s="106"/>
      <c r="K1080" s="106"/>
      <c r="L1080" s="213">
        <v>279</v>
      </c>
      <c r="M1080" s="213">
        <v>424.333333333333</v>
      </c>
      <c r="N1080" s="213">
        <v>408.4</v>
      </c>
      <c r="O1080" s="213">
        <v>391.714285714286</v>
      </c>
      <c r="P1080" s="115">
        <v>-3</v>
      </c>
      <c r="Q1080" s="115">
        <v>-8</v>
      </c>
      <c r="R1080" s="115">
        <v>-9.2</v>
      </c>
      <c r="S1080" s="115">
        <v>-7</v>
      </c>
      <c r="T1080" s="115">
        <v>0</v>
      </c>
      <c r="U1080" s="115">
        <v>-2.66666666666667</v>
      </c>
      <c r="V1080" s="115">
        <v>-4.8</v>
      </c>
      <c r="W1080" s="115">
        <v>-5.71428571428572</v>
      </c>
    </row>
    <row r="1081" spans="1:23">
      <c r="A1081" s="214">
        <v>45059</v>
      </c>
      <c r="B1081" s="104" t="s">
        <v>25</v>
      </c>
      <c r="C1081" s="145">
        <v>11052</v>
      </c>
      <c r="D1081" s="145"/>
      <c r="E1081" s="104">
        <v>23</v>
      </c>
      <c r="F1081" s="106">
        <v>0.00208107129931234</v>
      </c>
      <c r="G1081" s="107">
        <v>13</v>
      </c>
      <c r="H1081" s="106">
        <v>0.565217391304348</v>
      </c>
      <c r="I1081" s="106"/>
      <c r="J1081" s="106"/>
      <c r="K1081" s="106"/>
      <c r="L1081" s="213">
        <v>5828</v>
      </c>
      <c r="M1081" s="213">
        <v>2330.66666666667</v>
      </c>
      <c r="N1081" s="213">
        <v>3846.8</v>
      </c>
      <c r="O1081" s="213">
        <v>4700.28571428571</v>
      </c>
      <c r="P1081" s="116">
        <v>5</v>
      </c>
      <c r="Q1081" s="115">
        <v>-2</v>
      </c>
      <c r="R1081" s="115">
        <v>1</v>
      </c>
      <c r="S1081" s="115">
        <v>0</v>
      </c>
      <c r="T1081" s="108">
        <v>2</v>
      </c>
      <c r="U1081" s="108">
        <v>1.66666666666667</v>
      </c>
      <c r="V1081" s="108">
        <v>2.6</v>
      </c>
      <c r="W1081" s="108">
        <v>1.71428571428571</v>
      </c>
    </row>
    <row r="1082" spans="1:23">
      <c r="A1082" s="214">
        <v>45059</v>
      </c>
      <c r="B1082" s="104" t="s">
        <v>26</v>
      </c>
      <c r="C1082" s="145">
        <v>4080</v>
      </c>
      <c r="D1082" s="145"/>
      <c r="E1082" s="104">
        <v>15</v>
      </c>
      <c r="F1082" s="106">
        <v>0.00367647058823529</v>
      </c>
      <c r="G1082" s="107">
        <v>9</v>
      </c>
      <c r="H1082" s="106">
        <v>0.6</v>
      </c>
      <c r="I1082" s="106"/>
      <c r="J1082" s="106"/>
      <c r="K1082" s="106"/>
      <c r="L1082" s="213">
        <v>208</v>
      </c>
      <c r="M1082" s="213">
        <v>299.333333333333</v>
      </c>
      <c r="N1082" s="213">
        <v>576.6</v>
      </c>
      <c r="O1082" s="213">
        <v>973.142857142857</v>
      </c>
      <c r="P1082" s="108">
        <v>3</v>
      </c>
      <c r="Q1082" s="108">
        <v>0.666666666666666</v>
      </c>
      <c r="R1082" s="108">
        <v>-0.6</v>
      </c>
      <c r="S1082" s="108">
        <v>-1.42857142857143</v>
      </c>
      <c r="T1082" s="108">
        <v>1</v>
      </c>
      <c r="U1082" s="108">
        <v>2</v>
      </c>
      <c r="V1082" s="108">
        <v>2.8</v>
      </c>
      <c r="W1082" s="108">
        <v>3</v>
      </c>
    </row>
    <row r="1083" spans="1:23">
      <c r="A1083" s="214">
        <v>45059</v>
      </c>
      <c r="B1083" s="104" t="s">
        <v>27</v>
      </c>
      <c r="C1083" s="145">
        <v>5440</v>
      </c>
      <c r="D1083" s="145"/>
      <c r="E1083" s="104">
        <v>101</v>
      </c>
      <c r="F1083" s="106">
        <v>0.0185661764705882</v>
      </c>
      <c r="G1083" s="107">
        <v>32</v>
      </c>
      <c r="H1083" s="106">
        <v>0.316831683168317</v>
      </c>
      <c r="I1083" s="106"/>
      <c r="J1083" s="106"/>
      <c r="K1083" s="106"/>
      <c r="L1083" s="213">
        <v>430</v>
      </c>
      <c r="M1083" s="213">
        <v>168</v>
      </c>
      <c r="N1083" s="213">
        <v>830</v>
      </c>
      <c r="O1083" s="213">
        <v>1552.42857142857</v>
      </c>
      <c r="P1083" s="108">
        <v>24</v>
      </c>
      <c r="Q1083" s="108">
        <v>33.3333333333333</v>
      </c>
      <c r="R1083" s="108">
        <v>39.4</v>
      </c>
      <c r="S1083" s="108">
        <v>43.8571428571429</v>
      </c>
      <c r="T1083" s="108">
        <v>5</v>
      </c>
      <c r="U1083" s="108">
        <v>13.6666666666667</v>
      </c>
      <c r="V1083" s="108">
        <v>15.6</v>
      </c>
      <c r="W1083" s="108">
        <v>16.2857142857143</v>
      </c>
    </row>
    <row r="1084" spans="1:23">
      <c r="A1084" s="214">
        <v>45059</v>
      </c>
      <c r="B1084" s="104" t="s">
        <v>28</v>
      </c>
      <c r="C1084" s="145">
        <v>0</v>
      </c>
      <c r="D1084" s="145"/>
      <c r="E1084" s="104">
        <v>0</v>
      </c>
      <c r="F1084" s="106">
        <v>0</v>
      </c>
      <c r="G1084" s="107">
        <v>0</v>
      </c>
      <c r="H1084" s="106">
        <v>0</v>
      </c>
      <c r="I1084" s="106"/>
      <c r="J1084" s="106"/>
      <c r="K1084" s="106"/>
      <c r="L1084" s="213">
        <v>0</v>
      </c>
      <c r="M1084" s="213">
        <v>0</v>
      </c>
      <c r="N1084" s="213">
        <v>0</v>
      </c>
      <c r="O1084" s="213">
        <v>0</v>
      </c>
      <c r="P1084" s="108">
        <v>0</v>
      </c>
      <c r="Q1084" s="108">
        <v>0</v>
      </c>
      <c r="R1084" s="108">
        <v>0</v>
      </c>
      <c r="S1084" s="108">
        <v>0</v>
      </c>
      <c r="T1084" s="108">
        <v>0</v>
      </c>
      <c r="U1084" s="108">
        <v>0</v>
      </c>
      <c r="V1084" s="108">
        <v>0</v>
      </c>
      <c r="W1084" s="108">
        <v>0</v>
      </c>
    </row>
    <row r="1085" spans="1:23">
      <c r="A1085" s="214">
        <v>45059</v>
      </c>
      <c r="B1085" s="104" t="s">
        <v>29</v>
      </c>
      <c r="C1085" s="145">
        <v>0</v>
      </c>
      <c r="D1085" s="145"/>
      <c r="E1085" s="104">
        <v>1</v>
      </c>
      <c r="F1085" s="106">
        <v>1</v>
      </c>
      <c r="G1085" s="107">
        <v>0</v>
      </c>
      <c r="H1085" s="106">
        <v>0</v>
      </c>
      <c r="I1085" s="106"/>
      <c r="J1085" s="106"/>
      <c r="K1085" s="106"/>
      <c r="L1085" s="213">
        <v>-1</v>
      </c>
      <c r="M1085" s="213">
        <v>-0.666666666666667</v>
      </c>
      <c r="N1085" s="213">
        <v>-0.8</v>
      </c>
      <c r="O1085" s="213">
        <v>-0.571428571428571</v>
      </c>
      <c r="P1085" s="108">
        <v>1</v>
      </c>
      <c r="Q1085" s="108">
        <v>1</v>
      </c>
      <c r="R1085" s="108">
        <v>1</v>
      </c>
      <c r="S1085" s="108">
        <v>1</v>
      </c>
      <c r="T1085" s="108">
        <v>0</v>
      </c>
      <c r="U1085" s="108">
        <v>0</v>
      </c>
      <c r="V1085" s="108">
        <v>0</v>
      </c>
      <c r="W1085" s="108">
        <v>0</v>
      </c>
    </row>
    <row r="1086" spans="1:23">
      <c r="A1086" s="214">
        <v>45059</v>
      </c>
      <c r="B1086" s="104" t="s">
        <v>30</v>
      </c>
      <c r="C1086" s="145">
        <v>0</v>
      </c>
      <c r="D1086" s="145"/>
      <c r="E1086" s="104">
        <v>0</v>
      </c>
      <c r="F1086" s="106">
        <v>0</v>
      </c>
      <c r="G1086" s="107">
        <v>0</v>
      </c>
      <c r="H1086" s="106">
        <v>0</v>
      </c>
      <c r="I1086" s="106"/>
      <c r="J1086" s="106"/>
      <c r="K1086" s="106"/>
      <c r="L1086" s="213">
        <v>0</v>
      </c>
      <c r="M1086" s="213">
        <v>0</v>
      </c>
      <c r="N1086" s="213">
        <v>0</v>
      </c>
      <c r="O1086" s="213">
        <v>0</v>
      </c>
      <c r="P1086" s="108">
        <v>0</v>
      </c>
      <c r="Q1086" s="108">
        <v>0</v>
      </c>
      <c r="R1086" s="108">
        <v>0</v>
      </c>
      <c r="S1086" s="108">
        <v>0</v>
      </c>
      <c r="T1086" s="108">
        <v>0</v>
      </c>
      <c r="U1086" s="108">
        <v>0</v>
      </c>
      <c r="V1086" s="108">
        <v>0</v>
      </c>
      <c r="W1086" s="108">
        <v>0</v>
      </c>
    </row>
    <row r="1087" spans="1:23">
      <c r="A1087" s="214">
        <v>45059</v>
      </c>
      <c r="B1087" s="104" t="s">
        <v>31</v>
      </c>
      <c r="C1087" s="145">
        <v>0</v>
      </c>
      <c r="D1087" s="145"/>
      <c r="E1087" s="104">
        <v>0</v>
      </c>
      <c r="F1087" s="106">
        <v>0</v>
      </c>
      <c r="G1087" s="107">
        <v>0</v>
      </c>
      <c r="H1087" s="106">
        <v>0</v>
      </c>
      <c r="I1087" s="106"/>
      <c r="J1087" s="106"/>
      <c r="K1087" s="106"/>
      <c r="L1087" s="213">
        <v>0</v>
      </c>
      <c r="M1087" s="213">
        <v>0</v>
      </c>
      <c r="N1087" s="213">
        <v>0</v>
      </c>
      <c r="O1087" s="213">
        <v>0</v>
      </c>
      <c r="P1087" s="108">
        <v>-1</v>
      </c>
      <c r="Q1087" s="108">
        <v>-0.333333333333333</v>
      </c>
      <c r="R1087" s="108">
        <v>-0.2</v>
      </c>
      <c r="S1087" s="108">
        <v>-0.142857142857143</v>
      </c>
      <c r="T1087" s="108">
        <v>0</v>
      </c>
      <c r="U1087" s="108">
        <v>0</v>
      </c>
      <c r="V1087" s="108">
        <v>0</v>
      </c>
      <c r="W1087" s="108">
        <v>0</v>
      </c>
    </row>
    <row r="1088" spans="1:23">
      <c r="A1088" s="214">
        <v>45059</v>
      </c>
      <c r="B1088" s="104" t="s">
        <v>32</v>
      </c>
      <c r="C1088" s="145">
        <v>0</v>
      </c>
      <c r="D1088" s="145"/>
      <c r="E1088" s="104">
        <v>0</v>
      </c>
      <c r="F1088" s="106">
        <v>0</v>
      </c>
      <c r="G1088" s="107">
        <v>0</v>
      </c>
      <c r="H1088" s="106">
        <v>0</v>
      </c>
      <c r="I1088" s="106"/>
      <c r="J1088" s="106"/>
      <c r="K1088" s="106"/>
      <c r="L1088" s="213">
        <v>0</v>
      </c>
      <c r="M1088" s="213">
        <v>0</v>
      </c>
      <c r="N1088" s="213">
        <v>0</v>
      </c>
      <c r="O1088" s="213">
        <v>0</v>
      </c>
      <c r="P1088" s="108">
        <v>0</v>
      </c>
      <c r="Q1088" s="108">
        <v>0</v>
      </c>
      <c r="R1088" s="108">
        <v>0</v>
      </c>
      <c r="S1088" s="108">
        <v>0</v>
      </c>
      <c r="T1088" s="108">
        <v>0</v>
      </c>
      <c r="U1088" s="108">
        <v>0</v>
      </c>
      <c r="V1088" s="108">
        <v>0</v>
      </c>
      <c r="W1088" s="108">
        <v>0</v>
      </c>
    </row>
    <row r="1089" spans="1:23">
      <c r="A1089" s="214">
        <v>45059</v>
      </c>
      <c r="B1089" s="104" t="s">
        <v>33</v>
      </c>
      <c r="C1089" s="145">
        <v>0</v>
      </c>
      <c r="D1089" s="145"/>
      <c r="E1089" s="104">
        <v>0</v>
      </c>
      <c r="F1089" s="106">
        <v>0</v>
      </c>
      <c r="G1089" s="107">
        <v>0</v>
      </c>
      <c r="H1089" s="106">
        <v>0</v>
      </c>
      <c r="I1089" s="106"/>
      <c r="J1089" s="106"/>
      <c r="K1089" s="106"/>
      <c r="L1089" s="213">
        <v>0</v>
      </c>
      <c r="M1089" s="213">
        <v>0</v>
      </c>
      <c r="N1089" s="213">
        <v>0</v>
      </c>
      <c r="O1089" s="213">
        <v>0</v>
      </c>
      <c r="P1089" s="108">
        <v>0</v>
      </c>
      <c r="Q1089" s="108">
        <v>0</v>
      </c>
      <c r="R1089" s="108">
        <v>-0.2</v>
      </c>
      <c r="S1089" s="108">
        <v>-0.142857142857143</v>
      </c>
      <c r="T1089" s="108">
        <v>0</v>
      </c>
      <c r="U1089" s="108">
        <v>0</v>
      </c>
      <c r="V1089" s="108">
        <v>0</v>
      </c>
      <c r="W1089" s="108">
        <v>0</v>
      </c>
    </row>
    <row r="1090" spans="1:23">
      <c r="A1090" s="214">
        <v>45059</v>
      </c>
      <c r="B1090" s="104" t="s">
        <v>34</v>
      </c>
      <c r="C1090" s="145">
        <v>0</v>
      </c>
      <c r="D1090" s="145"/>
      <c r="E1090" s="104">
        <v>0</v>
      </c>
      <c r="F1090" s="106">
        <v>0</v>
      </c>
      <c r="G1090" s="107">
        <v>0</v>
      </c>
      <c r="H1090" s="106">
        <v>0</v>
      </c>
      <c r="I1090" s="106"/>
      <c r="J1090" s="106"/>
      <c r="K1090" s="106"/>
      <c r="L1090" s="213">
        <v>0</v>
      </c>
      <c r="M1090" s="213">
        <v>0</v>
      </c>
      <c r="N1090" s="213">
        <v>0</v>
      </c>
      <c r="O1090" s="213">
        <v>0</v>
      </c>
      <c r="P1090" s="108">
        <v>0</v>
      </c>
      <c r="Q1090" s="108">
        <v>0</v>
      </c>
      <c r="R1090" s="108">
        <v>0</v>
      </c>
      <c r="S1090" s="108">
        <v>0</v>
      </c>
      <c r="T1090" s="108">
        <v>0</v>
      </c>
      <c r="U1090" s="108">
        <v>0</v>
      </c>
      <c r="V1090" s="108">
        <v>0</v>
      </c>
      <c r="W1090" s="108">
        <v>0</v>
      </c>
    </row>
    <row r="1091" spans="1:23">
      <c r="A1091" s="214">
        <v>45059</v>
      </c>
      <c r="B1091" s="104" t="s">
        <v>35</v>
      </c>
      <c r="C1091" s="145">
        <v>0</v>
      </c>
      <c r="D1091" s="145"/>
      <c r="E1091" s="104">
        <v>0</v>
      </c>
      <c r="F1091" s="106">
        <v>0</v>
      </c>
      <c r="G1091" s="107">
        <v>0</v>
      </c>
      <c r="H1091" s="106">
        <v>0</v>
      </c>
      <c r="I1091" s="106"/>
      <c r="J1091" s="106"/>
      <c r="K1091" s="106"/>
      <c r="L1091" s="213">
        <v>0</v>
      </c>
      <c r="M1091" s="213">
        <v>0</v>
      </c>
      <c r="N1091" s="213">
        <v>0</v>
      </c>
      <c r="O1091" s="213">
        <v>0</v>
      </c>
      <c r="P1091" s="108">
        <v>0</v>
      </c>
      <c r="Q1091" s="108">
        <v>0</v>
      </c>
      <c r="R1091" s="108">
        <v>0</v>
      </c>
      <c r="S1091" s="108">
        <v>0</v>
      </c>
      <c r="T1091" s="108">
        <v>0</v>
      </c>
      <c r="U1091" s="108">
        <v>0</v>
      </c>
      <c r="V1091" s="108">
        <v>0</v>
      </c>
      <c r="W1091" s="108">
        <v>0</v>
      </c>
    </row>
    <row r="1092" spans="1:23">
      <c r="A1092" s="214">
        <v>45059</v>
      </c>
      <c r="B1092" s="104" t="s">
        <v>36</v>
      </c>
      <c r="C1092" s="145">
        <v>0</v>
      </c>
      <c r="D1092" s="145"/>
      <c r="E1092" s="104">
        <v>0</v>
      </c>
      <c r="F1092" s="106">
        <v>0</v>
      </c>
      <c r="G1092" s="107">
        <v>0</v>
      </c>
      <c r="H1092" s="106">
        <v>0</v>
      </c>
      <c r="I1092" s="106"/>
      <c r="J1092" s="106"/>
      <c r="K1092" s="106"/>
      <c r="L1092" s="213">
        <v>0</v>
      </c>
      <c r="M1092" s="213">
        <v>0</v>
      </c>
      <c r="N1092" s="213">
        <v>0</v>
      </c>
      <c r="O1092" s="213">
        <v>0</v>
      </c>
      <c r="P1092" s="108">
        <v>0</v>
      </c>
      <c r="Q1092" s="108">
        <v>0</v>
      </c>
      <c r="R1092" s="108">
        <v>0</v>
      </c>
      <c r="S1092" s="108">
        <v>0</v>
      </c>
      <c r="T1092" s="108">
        <v>0</v>
      </c>
      <c r="U1092" s="108">
        <v>0</v>
      </c>
      <c r="V1092" s="108">
        <v>0</v>
      </c>
      <c r="W1092" s="108">
        <v>0</v>
      </c>
    </row>
    <row r="1093" spans="1:23">
      <c r="A1093" s="214">
        <v>45059</v>
      </c>
      <c r="B1093" s="104" t="s">
        <v>37</v>
      </c>
      <c r="C1093" s="145">
        <v>0</v>
      </c>
      <c r="D1093" s="145"/>
      <c r="E1093" s="104">
        <v>0</v>
      </c>
      <c r="F1093" s="106">
        <v>0</v>
      </c>
      <c r="G1093" s="107">
        <v>0</v>
      </c>
      <c r="H1093" s="106">
        <v>0</v>
      </c>
      <c r="I1093" s="106"/>
      <c r="J1093" s="106"/>
      <c r="K1093" s="106"/>
      <c r="L1093" s="213">
        <v>0</v>
      </c>
      <c r="M1093" s="213">
        <v>0</v>
      </c>
      <c r="N1093" s="213">
        <v>0</v>
      </c>
      <c r="O1093" s="213">
        <v>0</v>
      </c>
      <c r="P1093" s="108">
        <v>-1</v>
      </c>
      <c r="Q1093" s="108">
        <v>-1.33333333333333</v>
      </c>
      <c r="R1093" s="108">
        <v>-0.8</v>
      </c>
      <c r="S1093" s="108">
        <v>-1</v>
      </c>
      <c r="T1093" s="108">
        <v>0</v>
      </c>
      <c r="U1093" s="108">
        <v>0</v>
      </c>
      <c r="V1093" s="108">
        <v>0</v>
      </c>
      <c r="W1093" s="108">
        <v>0</v>
      </c>
    </row>
    <row r="1094" spans="1:23">
      <c r="A1094" s="214">
        <v>45059</v>
      </c>
      <c r="B1094" s="104" t="s">
        <v>38</v>
      </c>
      <c r="C1094" s="145">
        <v>0</v>
      </c>
      <c r="D1094" s="145"/>
      <c r="E1094" s="104">
        <v>0</v>
      </c>
      <c r="F1094" s="106">
        <v>0</v>
      </c>
      <c r="G1094" s="107">
        <v>0</v>
      </c>
      <c r="H1094" s="106">
        <v>0</v>
      </c>
      <c r="I1094" s="106"/>
      <c r="J1094" s="106"/>
      <c r="K1094" s="106"/>
      <c r="L1094" s="213">
        <v>0</v>
      </c>
      <c r="M1094" s="213">
        <v>0</v>
      </c>
      <c r="N1094" s="213">
        <v>0</v>
      </c>
      <c r="O1094" s="213">
        <v>0</v>
      </c>
      <c r="P1094" s="108">
        <v>0</v>
      </c>
      <c r="Q1094" s="108">
        <v>0</v>
      </c>
      <c r="R1094" s="108">
        <v>0</v>
      </c>
      <c r="S1094" s="108">
        <v>0</v>
      </c>
      <c r="T1094" s="108">
        <v>0</v>
      </c>
      <c r="U1094" s="108">
        <v>0</v>
      </c>
      <c r="V1094" s="108">
        <v>0</v>
      </c>
      <c r="W1094" s="108">
        <v>0</v>
      </c>
    </row>
    <row r="1095" spans="1:23">
      <c r="A1095" s="214">
        <v>45059</v>
      </c>
      <c r="B1095" s="111" t="s">
        <v>39</v>
      </c>
      <c r="C1095" s="112">
        <v>30322</v>
      </c>
      <c r="D1095" s="112"/>
      <c r="E1095" s="112">
        <v>404</v>
      </c>
      <c r="F1095" s="113">
        <v>0.0133236593892223</v>
      </c>
      <c r="G1095" s="112">
        <v>126</v>
      </c>
      <c r="H1095" s="113">
        <v>0.311881188118812</v>
      </c>
      <c r="I1095" s="113"/>
      <c r="J1095" s="113"/>
      <c r="K1095" s="113"/>
      <c r="L1095" s="213"/>
      <c r="M1095" s="213"/>
      <c r="N1095" s="213"/>
      <c r="O1095" s="213"/>
      <c r="P1095" s="108"/>
      <c r="Q1095" s="108"/>
      <c r="R1095" s="108"/>
      <c r="S1095" s="108"/>
      <c r="T1095" s="108"/>
      <c r="U1095" s="108"/>
      <c r="V1095" s="108"/>
      <c r="W1095" s="108"/>
    </row>
    <row r="1096" spans="1:23">
      <c r="A1096" s="214">
        <v>45060</v>
      </c>
      <c r="B1096" s="104" t="s">
        <v>17</v>
      </c>
      <c r="C1096" s="105">
        <v>2</v>
      </c>
      <c r="D1096" s="105"/>
      <c r="E1096" s="104">
        <v>22</v>
      </c>
      <c r="F1096" s="106">
        <v>11</v>
      </c>
      <c r="G1096" s="107">
        <v>6</v>
      </c>
      <c r="H1096" s="106">
        <v>0.272727272727273</v>
      </c>
      <c r="I1096" s="106"/>
      <c r="J1096" s="106"/>
      <c r="K1096" s="106"/>
      <c r="L1096" s="213">
        <v>2</v>
      </c>
      <c r="M1096" s="213">
        <v>1.33333333333333</v>
      </c>
      <c r="N1096" s="213">
        <v>1.4</v>
      </c>
      <c r="O1096" s="213">
        <v>1.14285714285714</v>
      </c>
      <c r="P1096" s="108">
        <v>-7</v>
      </c>
      <c r="Q1096" s="108">
        <v>-6.66666666666667</v>
      </c>
      <c r="R1096" s="108">
        <v>-9.6</v>
      </c>
      <c r="S1096" s="108">
        <v>-12.1428571428571</v>
      </c>
      <c r="T1096" s="108">
        <v>0</v>
      </c>
      <c r="U1096" s="108">
        <v>-0.333333333333333</v>
      </c>
      <c r="V1096" s="108">
        <v>-0.4</v>
      </c>
      <c r="W1096" s="108">
        <v>-1.71428571428571</v>
      </c>
    </row>
    <row r="1097" spans="1:23">
      <c r="A1097" s="214">
        <v>45060</v>
      </c>
      <c r="B1097" s="104" t="s">
        <v>19</v>
      </c>
      <c r="C1097" s="107">
        <v>322</v>
      </c>
      <c r="D1097" s="107"/>
      <c r="E1097" s="104">
        <v>12</v>
      </c>
      <c r="F1097" s="106">
        <v>0.0372670807453416</v>
      </c>
      <c r="G1097" s="107">
        <v>1</v>
      </c>
      <c r="H1097" s="106">
        <v>0.0833333333333333</v>
      </c>
      <c r="I1097" s="106"/>
      <c r="J1097" s="106"/>
      <c r="K1097" s="106"/>
      <c r="L1097" s="213">
        <v>-78</v>
      </c>
      <c r="M1097" s="213">
        <v>-42</v>
      </c>
      <c r="N1097" s="213">
        <v>-69.2</v>
      </c>
      <c r="O1097" s="213">
        <v>-13.5714285714286</v>
      </c>
      <c r="P1097" s="108">
        <v>-1</v>
      </c>
      <c r="Q1097" s="108">
        <v>1</v>
      </c>
      <c r="R1097" s="108">
        <v>2.2</v>
      </c>
      <c r="S1097" s="108">
        <v>2.71428571428571</v>
      </c>
      <c r="T1097" s="108">
        <v>-5</v>
      </c>
      <c r="U1097" s="108">
        <v>-4.33333333333333</v>
      </c>
      <c r="V1097" s="108">
        <v>-3.4</v>
      </c>
      <c r="W1097" s="115">
        <v>-4.42857142857143</v>
      </c>
    </row>
    <row r="1098" spans="1:23">
      <c r="A1098" s="214">
        <v>45060</v>
      </c>
      <c r="B1098" s="104" t="s">
        <v>21</v>
      </c>
      <c r="C1098" s="145">
        <v>805</v>
      </c>
      <c r="D1098" s="145"/>
      <c r="E1098" s="104">
        <v>34</v>
      </c>
      <c r="F1098" s="106">
        <v>0.0422360248447205</v>
      </c>
      <c r="G1098" s="107">
        <v>7</v>
      </c>
      <c r="H1098" s="106">
        <v>0.205882352941176</v>
      </c>
      <c r="I1098" s="106"/>
      <c r="J1098" s="106"/>
      <c r="K1098" s="106"/>
      <c r="L1098" s="213">
        <v>-100</v>
      </c>
      <c r="M1098" s="213">
        <v>10</v>
      </c>
      <c r="N1098" s="213">
        <v>90.2</v>
      </c>
      <c r="O1098" s="213">
        <v>134.714285714286</v>
      </c>
      <c r="P1098" s="108">
        <v>1</v>
      </c>
      <c r="Q1098" s="108">
        <v>5.66666666666667</v>
      </c>
      <c r="R1098" s="108">
        <v>7.2</v>
      </c>
      <c r="S1098" s="108">
        <v>7.42857142857143</v>
      </c>
      <c r="T1098" s="108">
        <v>-1</v>
      </c>
      <c r="U1098" s="108">
        <v>-3</v>
      </c>
      <c r="V1098" s="108">
        <v>-3</v>
      </c>
      <c r="W1098" s="108">
        <v>-2.28571428571429</v>
      </c>
    </row>
    <row r="1099" spans="1:23">
      <c r="A1099" s="214">
        <v>45060</v>
      </c>
      <c r="B1099" s="104" t="s">
        <v>22</v>
      </c>
      <c r="C1099" s="145">
        <v>2734</v>
      </c>
      <c r="D1099" s="145"/>
      <c r="E1099" s="104">
        <v>103</v>
      </c>
      <c r="F1099" s="106">
        <v>0.0376737381126555</v>
      </c>
      <c r="G1099" s="107">
        <v>29</v>
      </c>
      <c r="H1099" s="106">
        <v>0.281553398058252</v>
      </c>
      <c r="I1099" s="106"/>
      <c r="J1099" s="106"/>
      <c r="K1099" s="106"/>
      <c r="L1099" s="213">
        <v>-110</v>
      </c>
      <c r="M1099" s="213">
        <v>127.333333333333</v>
      </c>
      <c r="N1099" s="213">
        <v>270.4</v>
      </c>
      <c r="O1099" s="213">
        <v>385.428571428572</v>
      </c>
      <c r="P1099" s="108">
        <v>10</v>
      </c>
      <c r="Q1099" s="108">
        <v>23.6666666666667</v>
      </c>
      <c r="R1099" s="108">
        <v>28.4</v>
      </c>
      <c r="S1099" s="115">
        <v>32.5714285714286</v>
      </c>
      <c r="T1099" s="108">
        <v>3</v>
      </c>
      <c r="U1099" s="108">
        <v>2</v>
      </c>
      <c r="V1099" s="108">
        <v>4.4</v>
      </c>
      <c r="W1099" s="117">
        <v>5</v>
      </c>
    </row>
    <row r="1100" spans="1:23">
      <c r="A1100" s="214">
        <v>45060</v>
      </c>
      <c r="B1100" s="104" t="s">
        <v>23</v>
      </c>
      <c r="C1100" s="145">
        <v>2259</v>
      </c>
      <c r="D1100" s="145"/>
      <c r="E1100" s="104">
        <v>15</v>
      </c>
      <c r="F1100" s="106">
        <v>0.00664010624169987</v>
      </c>
      <c r="G1100" s="107">
        <v>6</v>
      </c>
      <c r="H1100" s="106">
        <v>0.4</v>
      </c>
      <c r="I1100" s="106"/>
      <c r="J1100" s="106"/>
      <c r="K1100" s="106"/>
      <c r="L1100" s="213">
        <v>-44</v>
      </c>
      <c r="M1100" s="213">
        <v>72.6666666666665</v>
      </c>
      <c r="N1100" s="213">
        <v>66.5999999999999</v>
      </c>
      <c r="O1100" s="213">
        <v>72.5714285714284</v>
      </c>
      <c r="P1100" s="108">
        <v>-1</v>
      </c>
      <c r="Q1100" s="108">
        <v>2.33333333333333</v>
      </c>
      <c r="R1100" s="108">
        <v>3.2</v>
      </c>
      <c r="S1100" s="108">
        <v>2.71428571428571</v>
      </c>
      <c r="T1100" s="108">
        <v>-1</v>
      </c>
      <c r="U1100" s="116">
        <v>0.666666666666667</v>
      </c>
      <c r="V1100" s="108">
        <v>0.8</v>
      </c>
      <c r="W1100" s="108">
        <v>1.57142857142857</v>
      </c>
    </row>
    <row r="1101" spans="1:23">
      <c r="A1101" s="214">
        <v>45060</v>
      </c>
      <c r="B1101" s="104" t="s">
        <v>24</v>
      </c>
      <c r="C1101" s="145">
        <v>2910</v>
      </c>
      <c r="D1101" s="145"/>
      <c r="E1101" s="104">
        <v>120</v>
      </c>
      <c r="F1101" s="106">
        <v>0.0412371134020619</v>
      </c>
      <c r="G1101" s="107">
        <v>30</v>
      </c>
      <c r="H1101" s="106">
        <v>0.25</v>
      </c>
      <c r="I1101" s="106"/>
      <c r="J1101" s="106"/>
      <c r="K1101" s="106"/>
      <c r="L1101" s="213">
        <v>-388</v>
      </c>
      <c r="M1101" s="213">
        <v>-101</v>
      </c>
      <c r="N1101" s="213">
        <v>-82.1999999999998</v>
      </c>
      <c r="O1101" s="213">
        <v>-57.1428571428573</v>
      </c>
      <c r="P1101" s="115">
        <v>40</v>
      </c>
      <c r="Q1101" s="115">
        <v>35.6666666666667</v>
      </c>
      <c r="R1101" s="115">
        <v>30.4</v>
      </c>
      <c r="S1101" s="115">
        <v>31.1428571428571</v>
      </c>
      <c r="T1101" s="115">
        <v>11</v>
      </c>
      <c r="U1101" s="115">
        <v>9.33333333333333</v>
      </c>
      <c r="V1101" s="115">
        <v>7.2</v>
      </c>
      <c r="W1101" s="115">
        <v>6.28571428571428</v>
      </c>
    </row>
    <row r="1102" spans="1:23">
      <c r="A1102" s="214">
        <v>45060</v>
      </c>
      <c r="B1102" s="104" t="s">
        <v>25</v>
      </c>
      <c r="C1102" s="145">
        <v>10140</v>
      </c>
      <c r="D1102" s="145"/>
      <c r="E1102" s="104">
        <v>15</v>
      </c>
      <c r="F1102" s="106">
        <v>0.0014792899408284</v>
      </c>
      <c r="G1102" s="107">
        <v>7</v>
      </c>
      <c r="H1102" s="106">
        <v>0.466666666666667</v>
      </c>
      <c r="I1102" s="106"/>
      <c r="J1102" s="106"/>
      <c r="K1102" s="106"/>
      <c r="L1102" s="213">
        <v>-912</v>
      </c>
      <c r="M1102" s="213">
        <v>1360.66666666667</v>
      </c>
      <c r="N1102" s="213">
        <v>1457.2</v>
      </c>
      <c r="O1102" s="213">
        <v>2942.42857142857</v>
      </c>
      <c r="P1102" s="116">
        <v>-8</v>
      </c>
      <c r="Q1102" s="115">
        <v>-7</v>
      </c>
      <c r="R1102" s="115">
        <v>-8.6</v>
      </c>
      <c r="S1102" s="115">
        <v>-7.57142857142857</v>
      </c>
      <c r="T1102" s="108">
        <v>-6</v>
      </c>
      <c r="U1102" s="108">
        <v>-4</v>
      </c>
      <c r="V1102" s="108">
        <v>-4.8</v>
      </c>
      <c r="W1102" s="108">
        <v>-4.14285714285714</v>
      </c>
    </row>
    <row r="1103" spans="1:23">
      <c r="A1103" s="214">
        <v>45060</v>
      </c>
      <c r="B1103" s="104" t="s">
        <v>26</v>
      </c>
      <c r="C1103" s="145">
        <v>3934</v>
      </c>
      <c r="D1103" s="145"/>
      <c r="E1103" s="104">
        <v>20</v>
      </c>
      <c r="F1103" s="106">
        <v>0.00508388408744281</v>
      </c>
      <c r="G1103" s="107">
        <v>5</v>
      </c>
      <c r="H1103" s="106">
        <v>0.25</v>
      </c>
      <c r="I1103" s="106"/>
      <c r="J1103" s="106"/>
      <c r="K1103" s="106"/>
      <c r="L1103" s="213">
        <v>-146</v>
      </c>
      <c r="M1103" s="213">
        <v>27.3333333333335</v>
      </c>
      <c r="N1103" s="213">
        <v>32</v>
      </c>
      <c r="O1103" s="213">
        <v>541.142857142857</v>
      </c>
      <c r="P1103" s="108">
        <v>5</v>
      </c>
      <c r="Q1103" s="108">
        <v>7</v>
      </c>
      <c r="R1103" s="108">
        <v>4.4</v>
      </c>
      <c r="S1103" s="108">
        <v>3.28571428571428</v>
      </c>
      <c r="T1103" s="108">
        <v>-4</v>
      </c>
      <c r="U1103" s="108">
        <v>-3</v>
      </c>
      <c r="V1103" s="108">
        <v>-2</v>
      </c>
      <c r="W1103" s="108">
        <v>-1.85714285714286</v>
      </c>
    </row>
    <row r="1104" spans="1:23">
      <c r="A1104" s="214">
        <v>45060</v>
      </c>
      <c r="B1104" s="104" t="s">
        <v>27</v>
      </c>
      <c r="C1104" s="145">
        <v>5770</v>
      </c>
      <c r="D1104" s="145"/>
      <c r="E1104" s="104">
        <v>81</v>
      </c>
      <c r="F1104" s="106">
        <v>0.0140381282495667</v>
      </c>
      <c r="G1104" s="107">
        <v>24</v>
      </c>
      <c r="H1104" s="106">
        <v>0.296296296296296</v>
      </c>
      <c r="I1104" s="106"/>
      <c r="J1104" s="106"/>
      <c r="K1104" s="106"/>
      <c r="L1104" s="213">
        <v>330</v>
      </c>
      <c r="M1104" s="213">
        <v>505.333333333333</v>
      </c>
      <c r="N1104" s="213">
        <v>521.6</v>
      </c>
      <c r="O1104" s="213">
        <v>1385.85714285714</v>
      </c>
      <c r="P1104" s="108">
        <v>-20</v>
      </c>
      <c r="Q1104" s="108">
        <v>3.33333333333333</v>
      </c>
      <c r="R1104" s="108">
        <v>7.8</v>
      </c>
      <c r="S1104" s="108">
        <v>15.5714285714286</v>
      </c>
      <c r="T1104" s="108">
        <v>-8</v>
      </c>
      <c r="U1104" s="108">
        <v>-0.333333333333332</v>
      </c>
      <c r="V1104" s="108">
        <v>3.8</v>
      </c>
      <c r="W1104" s="108">
        <v>5.42857142857143</v>
      </c>
    </row>
    <row r="1105" spans="1:23">
      <c r="A1105" s="214">
        <v>45060</v>
      </c>
      <c r="B1105" s="104" t="s">
        <v>28</v>
      </c>
      <c r="C1105" s="145">
        <v>0</v>
      </c>
      <c r="D1105" s="145"/>
      <c r="E1105" s="104">
        <v>0</v>
      </c>
      <c r="F1105" s="106">
        <v>0</v>
      </c>
      <c r="G1105" s="107">
        <v>0</v>
      </c>
      <c r="H1105" s="106">
        <v>0</v>
      </c>
      <c r="I1105" s="106"/>
      <c r="J1105" s="106"/>
      <c r="K1105" s="106"/>
      <c r="L1105" s="213">
        <v>0</v>
      </c>
      <c r="M1105" s="213">
        <v>0</v>
      </c>
      <c r="N1105" s="213">
        <v>0</v>
      </c>
      <c r="O1105" s="213">
        <v>0</v>
      </c>
      <c r="P1105" s="108">
        <v>0</v>
      </c>
      <c r="Q1105" s="108">
        <v>0</v>
      </c>
      <c r="R1105" s="108">
        <v>0</v>
      </c>
      <c r="S1105" s="108">
        <v>0</v>
      </c>
      <c r="T1105" s="108">
        <v>0</v>
      </c>
      <c r="U1105" s="108">
        <v>0</v>
      </c>
      <c r="V1105" s="108">
        <v>0</v>
      </c>
      <c r="W1105" s="108">
        <v>0</v>
      </c>
    </row>
    <row r="1106" spans="1:23">
      <c r="A1106" s="214">
        <v>45060</v>
      </c>
      <c r="B1106" s="104" t="s">
        <v>29</v>
      </c>
      <c r="C1106" s="145">
        <v>0</v>
      </c>
      <c r="D1106" s="145"/>
      <c r="E1106" s="104">
        <v>0</v>
      </c>
      <c r="F1106" s="106">
        <v>0</v>
      </c>
      <c r="G1106" s="107">
        <v>0</v>
      </c>
      <c r="H1106" s="106">
        <v>0</v>
      </c>
      <c r="I1106" s="106"/>
      <c r="J1106" s="106"/>
      <c r="K1106" s="106"/>
      <c r="L1106" s="213">
        <v>0</v>
      </c>
      <c r="M1106" s="213">
        <v>-0.666666666666667</v>
      </c>
      <c r="N1106" s="213">
        <v>-0.6</v>
      </c>
      <c r="O1106" s="213">
        <v>-0.571428571428571</v>
      </c>
      <c r="P1106" s="108">
        <v>-1</v>
      </c>
      <c r="Q1106" s="108">
        <v>-0.333333333333333</v>
      </c>
      <c r="R1106" s="108">
        <v>-0.2</v>
      </c>
      <c r="S1106" s="108">
        <v>-0.142857142857143</v>
      </c>
      <c r="T1106" s="108">
        <v>0</v>
      </c>
      <c r="U1106" s="108">
        <v>0</v>
      </c>
      <c r="V1106" s="108">
        <v>0</v>
      </c>
      <c r="W1106" s="108">
        <v>0</v>
      </c>
    </row>
    <row r="1107" spans="1:23">
      <c r="A1107" s="214">
        <v>45060</v>
      </c>
      <c r="B1107" s="104" t="s">
        <v>30</v>
      </c>
      <c r="C1107" s="145">
        <v>0</v>
      </c>
      <c r="D1107" s="145"/>
      <c r="E1107" s="104">
        <v>0</v>
      </c>
      <c r="F1107" s="106">
        <v>0</v>
      </c>
      <c r="G1107" s="107">
        <v>0</v>
      </c>
      <c r="H1107" s="106">
        <v>0</v>
      </c>
      <c r="I1107" s="106"/>
      <c r="J1107" s="106"/>
      <c r="K1107" s="106"/>
      <c r="L1107" s="213">
        <v>0</v>
      </c>
      <c r="M1107" s="213">
        <v>0</v>
      </c>
      <c r="N1107" s="213">
        <v>0</v>
      </c>
      <c r="O1107" s="213">
        <v>0</v>
      </c>
      <c r="P1107" s="108">
        <v>0</v>
      </c>
      <c r="Q1107" s="108">
        <v>0</v>
      </c>
      <c r="R1107" s="108">
        <v>0</v>
      </c>
      <c r="S1107" s="108">
        <v>0</v>
      </c>
      <c r="T1107" s="108">
        <v>0</v>
      </c>
      <c r="U1107" s="108">
        <v>0</v>
      </c>
      <c r="V1107" s="108">
        <v>0</v>
      </c>
      <c r="W1107" s="108">
        <v>0</v>
      </c>
    </row>
    <row r="1108" spans="1:23">
      <c r="A1108" s="214">
        <v>45060</v>
      </c>
      <c r="B1108" s="104" t="s">
        <v>31</v>
      </c>
      <c r="C1108" s="145">
        <v>0</v>
      </c>
      <c r="D1108" s="145"/>
      <c r="E1108" s="104">
        <v>0</v>
      </c>
      <c r="F1108" s="106">
        <v>0</v>
      </c>
      <c r="G1108" s="107">
        <v>0</v>
      </c>
      <c r="H1108" s="106">
        <v>0</v>
      </c>
      <c r="I1108" s="106"/>
      <c r="J1108" s="106"/>
      <c r="K1108" s="106"/>
      <c r="L1108" s="213">
        <v>0</v>
      </c>
      <c r="M1108" s="213">
        <v>0</v>
      </c>
      <c r="N1108" s="213">
        <v>0</v>
      </c>
      <c r="O1108" s="213">
        <v>0</v>
      </c>
      <c r="P1108" s="108">
        <v>0</v>
      </c>
      <c r="Q1108" s="108">
        <v>-0.333333333333333</v>
      </c>
      <c r="R1108" s="108">
        <v>-0.2</v>
      </c>
      <c r="S1108" s="108">
        <v>-0.142857142857143</v>
      </c>
      <c r="T1108" s="108">
        <v>0</v>
      </c>
      <c r="U1108" s="108">
        <v>0</v>
      </c>
      <c r="V1108" s="108">
        <v>0</v>
      </c>
      <c r="W1108" s="108">
        <v>0</v>
      </c>
    </row>
    <row r="1109" spans="1:23">
      <c r="A1109" s="214">
        <v>45060</v>
      </c>
      <c r="B1109" s="104" t="s">
        <v>32</v>
      </c>
      <c r="C1109" s="145">
        <v>0</v>
      </c>
      <c r="D1109" s="145"/>
      <c r="E1109" s="104">
        <v>0</v>
      </c>
      <c r="F1109" s="106">
        <v>0</v>
      </c>
      <c r="G1109" s="107">
        <v>0</v>
      </c>
      <c r="H1109" s="106">
        <v>0</v>
      </c>
      <c r="I1109" s="106"/>
      <c r="J1109" s="106"/>
      <c r="K1109" s="106"/>
      <c r="L1109" s="213">
        <v>0</v>
      </c>
      <c r="M1109" s="213">
        <v>0</v>
      </c>
      <c r="N1109" s="213">
        <v>0</v>
      </c>
      <c r="O1109" s="213">
        <v>0</v>
      </c>
      <c r="P1109" s="108">
        <v>0</v>
      </c>
      <c r="Q1109" s="108">
        <v>0</v>
      </c>
      <c r="R1109" s="108">
        <v>0</v>
      </c>
      <c r="S1109" s="108">
        <v>0</v>
      </c>
      <c r="T1109" s="108">
        <v>0</v>
      </c>
      <c r="U1109" s="108">
        <v>0</v>
      </c>
      <c r="V1109" s="108">
        <v>0</v>
      </c>
      <c r="W1109" s="108">
        <v>0</v>
      </c>
    </row>
    <row r="1110" spans="1:23">
      <c r="A1110" s="214">
        <v>45060</v>
      </c>
      <c r="B1110" s="104" t="s">
        <v>33</v>
      </c>
      <c r="C1110" s="145">
        <v>0</v>
      </c>
      <c r="D1110" s="145"/>
      <c r="E1110" s="104">
        <v>0</v>
      </c>
      <c r="F1110" s="106">
        <v>0</v>
      </c>
      <c r="G1110" s="107">
        <v>0</v>
      </c>
      <c r="H1110" s="106">
        <v>0</v>
      </c>
      <c r="I1110" s="106"/>
      <c r="J1110" s="106"/>
      <c r="K1110" s="106"/>
      <c r="L1110" s="213">
        <v>0</v>
      </c>
      <c r="M1110" s="213">
        <v>0</v>
      </c>
      <c r="N1110" s="213">
        <v>0</v>
      </c>
      <c r="O1110" s="213">
        <v>0</v>
      </c>
      <c r="P1110" s="108">
        <v>0</v>
      </c>
      <c r="Q1110" s="108">
        <v>0</v>
      </c>
      <c r="R1110" s="108">
        <v>0</v>
      </c>
      <c r="S1110" s="108">
        <v>-0.142857142857143</v>
      </c>
      <c r="T1110" s="108">
        <v>0</v>
      </c>
      <c r="U1110" s="108">
        <v>0</v>
      </c>
      <c r="V1110" s="108">
        <v>0</v>
      </c>
      <c r="W1110" s="108">
        <v>0</v>
      </c>
    </row>
    <row r="1111" spans="1:23">
      <c r="A1111" s="214">
        <v>45060</v>
      </c>
      <c r="B1111" s="104" t="s">
        <v>34</v>
      </c>
      <c r="C1111" s="145">
        <v>0</v>
      </c>
      <c r="D1111" s="145"/>
      <c r="E1111" s="104">
        <v>0</v>
      </c>
      <c r="F1111" s="106">
        <v>0</v>
      </c>
      <c r="G1111" s="107">
        <v>0</v>
      </c>
      <c r="H1111" s="106">
        <v>0</v>
      </c>
      <c r="I1111" s="106"/>
      <c r="J1111" s="106"/>
      <c r="K1111" s="106"/>
      <c r="L1111" s="213">
        <v>0</v>
      </c>
      <c r="M1111" s="213">
        <v>0</v>
      </c>
      <c r="N1111" s="213">
        <v>0</v>
      </c>
      <c r="O1111" s="213">
        <v>0</v>
      </c>
      <c r="P1111" s="108">
        <v>0</v>
      </c>
      <c r="Q1111" s="108">
        <v>0</v>
      </c>
      <c r="R1111" s="108">
        <v>0</v>
      </c>
      <c r="S1111" s="108">
        <v>0</v>
      </c>
      <c r="T1111" s="108">
        <v>0</v>
      </c>
      <c r="U1111" s="108">
        <v>0</v>
      </c>
      <c r="V1111" s="108">
        <v>0</v>
      </c>
      <c r="W1111" s="108">
        <v>0</v>
      </c>
    </row>
    <row r="1112" spans="1:23">
      <c r="A1112" s="214">
        <v>45060</v>
      </c>
      <c r="B1112" s="104" t="s">
        <v>35</v>
      </c>
      <c r="C1112" s="145">
        <v>0</v>
      </c>
      <c r="D1112" s="145"/>
      <c r="E1112" s="104">
        <v>0</v>
      </c>
      <c r="F1112" s="106">
        <v>0</v>
      </c>
      <c r="G1112" s="107">
        <v>0</v>
      </c>
      <c r="H1112" s="106">
        <v>0</v>
      </c>
      <c r="I1112" s="106"/>
      <c r="J1112" s="106"/>
      <c r="K1112" s="106"/>
      <c r="L1112" s="213">
        <v>0</v>
      </c>
      <c r="M1112" s="213">
        <v>0</v>
      </c>
      <c r="N1112" s="213">
        <v>0</v>
      </c>
      <c r="O1112" s="213">
        <v>0</v>
      </c>
      <c r="P1112" s="108">
        <v>0</v>
      </c>
      <c r="Q1112" s="108">
        <v>0</v>
      </c>
      <c r="R1112" s="108">
        <v>0</v>
      </c>
      <c r="S1112" s="108">
        <v>0</v>
      </c>
      <c r="T1112" s="108">
        <v>0</v>
      </c>
      <c r="U1112" s="108">
        <v>0</v>
      </c>
      <c r="V1112" s="108">
        <v>0</v>
      </c>
      <c r="W1112" s="108">
        <v>0</v>
      </c>
    </row>
    <row r="1113" spans="1:23">
      <c r="A1113" s="214">
        <v>45060</v>
      </c>
      <c r="B1113" s="104" t="s">
        <v>36</v>
      </c>
      <c r="C1113" s="145">
        <v>0</v>
      </c>
      <c r="D1113" s="145"/>
      <c r="E1113" s="104">
        <v>0</v>
      </c>
      <c r="F1113" s="106">
        <v>0</v>
      </c>
      <c r="G1113" s="107">
        <v>0</v>
      </c>
      <c r="H1113" s="106">
        <v>0</v>
      </c>
      <c r="I1113" s="106"/>
      <c r="J1113" s="106"/>
      <c r="K1113" s="106"/>
      <c r="L1113" s="213">
        <v>0</v>
      </c>
      <c r="M1113" s="213">
        <v>0</v>
      </c>
      <c r="N1113" s="213">
        <v>0</v>
      </c>
      <c r="O1113" s="213">
        <v>0</v>
      </c>
      <c r="P1113" s="108">
        <v>0</v>
      </c>
      <c r="Q1113" s="108">
        <v>0</v>
      </c>
      <c r="R1113" s="108">
        <v>0</v>
      </c>
      <c r="S1113" s="108">
        <v>0</v>
      </c>
      <c r="T1113" s="108">
        <v>0</v>
      </c>
      <c r="U1113" s="108">
        <v>0</v>
      </c>
      <c r="V1113" s="108">
        <v>0</v>
      </c>
      <c r="W1113" s="108">
        <v>0</v>
      </c>
    </row>
    <row r="1114" spans="1:23">
      <c r="A1114" s="214">
        <v>45060</v>
      </c>
      <c r="B1114" s="104" t="s">
        <v>37</v>
      </c>
      <c r="C1114" s="145">
        <v>0</v>
      </c>
      <c r="D1114" s="145"/>
      <c r="E1114" s="104">
        <v>0</v>
      </c>
      <c r="F1114" s="106">
        <v>0</v>
      </c>
      <c r="G1114" s="107">
        <v>0</v>
      </c>
      <c r="H1114" s="106">
        <v>0</v>
      </c>
      <c r="I1114" s="106"/>
      <c r="J1114" s="106"/>
      <c r="K1114" s="106"/>
      <c r="L1114" s="213">
        <v>0</v>
      </c>
      <c r="M1114" s="213">
        <v>0</v>
      </c>
      <c r="N1114" s="213">
        <v>0</v>
      </c>
      <c r="O1114" s="213">
        <v>0</v>
      </c>
      <c r="P1114" s="108">
        <v>0</v>
      </c>
      <c r="Q1114" s="108">
        <v>-0.666666666666667</v>
      </c>
      <c r="R1114" s="108">
        <v>-0.8</v>
      </c>
      <c r="S1114" s="108">
        <v>-0.857142857142857</v>
      </c>
      <c r="T1114" s="108">
        <v>0</v>
      </c>
      <c r="U1114" s="108">
        <v>0</v>
      </c>
      <c r="V1114" s="108">
        <v>0</v>
      </c>
      <c r="W1114" s="108">
        <v>0</v>
      </c>
    </row>
    <row r="1115" spans="1:23">
      <c r="A1115" s="214">
        <v>45060</v>
      </c>
      <c r="B1115" s="104" t="s">
        <v>38</v>
      </c>
      <c r="C1115" s="145">
        <v>0</v>
      </c>
      <c r="D1115" s="145"/>
      <c r="E1115" s="104">
        <v>0</v>
      </c>
      <c r="F1115" s="106">
        <v>0</v>
      </c>
      <c r="G1115" s="107">
        <v>0</v>
      </c>
      <c r="H1115" s="106">
        <v>0</v>
      </c>
      <c r="I1115" s="106"/>
      <c r="J1115" s="106"/>
      <c r="K1115" s="106"/>
      <c r="L1115" s="213">
        <v>0</v>
      </c>
      <c r="M1115" s="213">
        <v>0</v>
      </c>
      <c r="N1115" s="213">
        <v>0</v>
      </c>
      <c r="O1115" s="213">
        <v>0</v>
      </c>
      <c r="P1115" s="108">
        <v>0</v>
      </c>
      <c r="Q1115" s="108">
        <v>0</v>
      </c>
      <c r="R1115" s="108">
        <v>0</v>
      </c>
      <c r="S1115" s="108">
        <v>0</v>
      </c>
      <c r="T1115" s="108">
        <v>0</v>
      </c>
      <c r="U1115" s="108">
        <v>0</v>
      </c>
      <c r="V1115" s="108">
        <v>0</v>
      </c>
      <c r="W1115" s="108">
        <v>0</v>
      </c>
    </row>
    <row r="1116" spans="1:23">
      <c r="A1116" s="214">
        <v>45060</v>
      </c>
      <c r="B1116" s="111" t="s">
        <v>39</v>
      </c>
      <c r="C1116" s="112">
        <v>28876</v>
      </c>
      <c r="D1116" s="112"/>
      <c r="E1116" s="112">
        <v>422</v>
      </c>
      <c r="F1116" s="113">
        <v>0.0146142124948054</v>
      </c>
      <c r="G1116" s="112">
        <v>115</v>
      </c>
      <c r="H1116" s="113">
        <v>0.272511848341232</v>
      </c>
      <c r="I1116" s="113"/>
      <c r="J1116" s="113"/>
      <c r="K1116" s="113"/>
      <c r="L1116" s="213"/>
      <c r="M1116" s="213"/>
      <c r="N1116" s="213"/>
      <c r="O1116" s="213"/>
      <c r="P1116" s="108"/>
      <c r="Q1116" s="108"/>
      <c r="R1116" s="108"/>
      <c r="S1116" s="108"/>
      <c r="T1116" s="108"/>
      <c r="U1116" s="108"/>
      <c r="V1116" s="108"/>
      <c r="W1116" s="108"/>
    </row>
    <row r="1117" spans="1:23">
      <c r="A1117" s="103">
        <v>45061</v>
      </c>
      <c r="B1117" s="104" t="s">
        <v>17</v>
      </c>
      <c r="C1117" s="105">
        <v>0</v>
      </c>
      <c r="D1117" s="105"/>
      <c r="E1117" s="104">
        <v>16</v>
      </c>
      <c r="F1117" s="106">
        <v>16</v>
      </c>
      <c r="G1117" s="107">
        <v>3</v>
      </c>
      <c r="H1117" s="106">
        <v>0.1875</v>
      </c>
      <c r="I1117" s="106"/>
      <c r="J1117" s="106"/>
      <c r="K1117" s="106"/>
      <c r="L1117" s="213">
        <v>-2</v>
      </c>
      <c r="M1117" s="213">
        <v>-1.33333333333333</v>
      </c>
      <c r="N1117" s="213">
        <v>-0.8</v>
      </c>
      <c r="O1117" s="213">
        <v>-1</v>
      </c>
      <c r="P1117" s="108">
        <v>-6</v>
      </c>
      <c r="Q1117" s="108">
        <v>-9.66666666666667</v>
      </c>
      <c r="R1117" s="108">
        <v>-11.8</v>
      </c>
      <c r="S1117" s="108">
        <v>-14.5714285714286</v>
      </c>
      <c r="T1117" s="108">
        <v>-3</v>
      </c>
      <c r="U1117" s="108">
        <v>-3.66666666666667</v>
      </c>
      <c r="V1117" s="108">
        <v>-3</v>
      </c>
      <c r="W1117" s="108">
        <v>-3.42857142857143</v>
      </c>
    </row>
    <row r="1118" spans="1:23">
      <c r="A1118" s="103">
        <v>45061</v>
      </c>
      <c r="B1118" s="104" t="s">
        <v>19</v>
      </c>
      <c r="C1118" s="107">
        <v>414</v>
      </c>
      <c r="D1118" s="107"/>
      <c r="E1118" s="104">
        <v>18</v>
      </c>
      <c r="F1118" s="106">
        <v>0.0434782608695652</v>
      </c>
      <c r="G1118" s="107">
        <v>6</v>
      </c>
      <c r="H1118" s="106">
        <v>0.333333333333333</v>
      </c>
      <c r="I1118" s="106"/>
      <c r="J1118" s="106"/>
      <c r="K1118" s="106"/>
      <c r="L1118" s="213">
        <v>92</v>
      </c>
      <c r="M1118" s="213">
        <v>54.6666666666667</v>
      </c>
      <c r="N1118" s="213">
        <v>42</v>
      </c>
      <c r="O1118" s="213">
        <v>64.2857142857143</v>
      </c>
      <c r="P1118" s="108">
        <v>6</v>
      </c>
      <c r="Q1118" s="108">
        <v>6.66666666666667</v>
      </c>
      <c r="R1118" s="108">
        <v>7.6</v>
      </c>
      <c r="S1118" s="108">
        <v>8.14285714285714</v>
      </c>
      <c r="T1118" s="108">
        <v>5</v>
      </c>
      <c r="U1118" s="108">
        <v>2.66666666666667</v>
      </c>
      <c r="V1118" s="108">
        <v>2</v>
      </c>
      <c r="W1118" s="115">
        <v>2.14285714285714</v>
      </c>
    </row>
    <row r="1119" spans="1:23">
      <c r="A1119" s="103">
        <v>45061</v>
      </c>
      <c r="B1119" s="104" t="s">
        <v>21</v>
      </c>
      <c r="C1119" s="145">
        <v>705</v>
      </c>
      <c r="D1119" s="145"/>
      <c r="E1119" s="104">
        <v>32</v>
      </c>
      <c r="F1119" s="106">
        <v>0.0453900709219858</v>
      </c>
      <c r="G1119" s="107">
        <v>13</v>
      </c>
      <c r="H1119" s="106">
        <v>0.40625</v>
      </c>
      <c r="I1119" s="106"/>
      <c r="J1119" s="106"/>
      <c r="K1119" s="106"/>
      <c r="L1119" s="213">
        <v>-100</v>
      </c>
      <c r="M1119" s="213">
        <v>-126.666666666667</v>
      </c>
      <c r="N1119" s="213">
        <v>-57</v>
      </c>
      <c r="O1119" s="213">
        <v>0.714285714285666</v>
      </c>
      <c r="P1119" s="108">
        <v>-2</v>
      </c>
      <c r="Q1119" s="108">
        <v>1</v>
      </c>
      <c r="R1119" s="108">
        <v>3</v>
      </c>
      <c r="S1119" s="108">
        <v>4.42857142857143</v>
      </c>
      <c r="T1119" s="108">
        <v>6</v>
      </c>
      <c r="U1119" s="108">
        <v>5.33333333333333</v>
      </c>
      <c r="V1119" s="108">
        <v>3.4</v>
      </c>
      <c r="W1119" s="108">
        <v>4</v>
      </c>
    </row>
    <row r="1120" spans="1:23">
      <c r="A1120" s="103">
        <v>45061</v>
      </c>
      <c r="B1120" s="104" t="s">
        <v>22</v>
      </c>
      <c r="C1120" s="145">
        <v>3115</v>
      </c>
      <c r="D1120" s="145"/>
      <c r="E1120" s="104">
        <v>104</v>
      </c>
      <c r="F1120" s="106">
        <v>0.0333868378812199</v>
      </c>
      <c r="G1120" s="107">
        <v>30</v>
      </c>
      <c r="H1120" s="106">
        <v>0.288461538461538</v>
      </c>
      <c r="I1120" s="106"/>
      <c r="J1120" s="106"/>
      <c r="K1120" s="106"/>
      <c r="L1120" s="213">
        <v>381</v>
      </c>
      <c r="M1120" s="213">
        <v>394</v>
      </c>
      <c r="N1120" s="213">
        <v>581.4</v>
      </c>
      <c r="O1120" s="213">
        <v>672</v>
      </c>
      <c r="P1120" s="108">
        <v>1</v>
      </c>
      <c r="Q1120" s="108">
        <v>11.6666666666667</v>
      </c>
      <c r="R1120" s="108">
        <v>21.6</v>
      </c>
      <c r="S1120" s="115">
        <v>27.4285714285714</v>
      </c>
      <c r="T1120" s="108">
        <v>1</v>
      </c>
      <c r="U1120" s="108">
        <v>2.33333333333333</v>
      </c>
      <c r="V1120" s="108">
        <v>3.2</v>
      </c>
      <c r="W1120" s="117">
        <v>5.42857142857143</v>
      </c>
    </row>
    <row r="1121" spans="1:23">
      <c r="A1121" s="103">
        <v>45061</v>
      </c>
      <c r="B1121" s="104" t="s">
        <v>23</v>
      </c>
      <c r="C1121" s="145">
        <v>2216</v>
      </c>
      <c r="D1121" s="145"/>
      <c r="E1121" s="104">
        <v>12</v>
      </c>
      <c r="F1121" s="106">
        <v>0.00541516245487365</v>
      </c>
      <c r="G1121" s="107">
        <v>4</v>
      </c>
      <c r="H1121" s="106">
        <v>0.333333333333333</v>
      </c>
      <c r="I1121" s="106"/>
      <c r="J1121" s="106"/>
      <c r="K1121" s="106"/>
      <c r="L1121" s="213">
        <v>-43</v>
      </c>
      <c r="M1121" s="213">
        <v>-1.66666666666652</v>
      </c>
      <c r="N1121" s="213">
        <v>10.5999999999999</v>
      </c>
      <c r="O1121" s="213">
        <v>14.1428571428573</v>
      </c>
      <c r="P1121" s="108">
        <v>-3</v>
      </c>
      <c r="Q1121" s="108">
        <v>-1.66666666666667</v>
      </c>
      <c r="R1121" s="108">
        <v>-0.800000000000001</v>
      </c>
      <c r="S1121" s="108">
        <v>-0.714285714285714</v>
      </c>
      <c r="T1121" s="108">
        <v>-2</v>
      </c>
      <c r="U1121" s="116">
        <v>-1.66666666666667</v>
      </c>
      <c r="V1121" s="108">
        <v>-2</v>
      </c>
      <c r="W1121" s="108">
        <v>-0.857142857142857</v>
      </c>
    </row>
    <row r="1122" spans="1:23">
      <c r="A1122" s="103">
        <v>45061</v>
      </c>
      <c r="B1122" s="104" t="s">
        <v>24</v>
      </c>
      <c r="C1122" s="145">
        <v>2219</v>
      </c>
      <c r="D1122" s="145"/>
      <c r="E1122" s="104">
        <v>171</v>
      </c>
      <c r="F1122" s="106">
        <v>0.0770617395223073</v>
      </c>
      <c r="G1122" s="107">
        <v>44</v>
      </c>
      <c r="H1122" s="106">
        <v>0.257309941520468</v>
      </c>
      <c r="I1122" s="106"/>
      <c r="J1122" s="106"/>
      <c r="K1122" s="106"/>
      <c r="L1122" s="213">
        <v>-691</v>
      </c>
      <c r="M1122" s="213">
        <v>-856.666666666667</v>
      </c>
      <c r="N1122" s="213">
        <v>-746.8</v>
      </c>
      <c r="O1122" s="213">
        <v>-731.857142857143</v>
      </c>
      <c r="P1122" s="115">
        <v>51</v>
      </c>
      <c r="Q1122" s="115">
        <v>76.6666666666667</v>
      </c>
      <c r="R1122" s="115">
        <v>78.2</v>
      </c>
      <c r="S1122" s="115">
        <v>78.7142857142857</v>
      </c>
      <c r="T1122" s="115">
        <v>14</v>
      </c>
      <c r="U1122" s="115">
        <v>21.3333333333333</v>
      </c>
      <c r="V1122" s="115">
        <v>21.2</v>
      </c>
      <c r="W1122" s="115">
        <v>20</v>
      </c>
    </row>
    <row r="1123" spans="1:23">
      <c r="A1123" s="103">
        <v>45061</v>
      </c>
      <c r="B1123" s="104" t="s">
        <v>25</v>
      </c>
      <c r="C1123" s="145">
        <v>12744</v>
      </c>
      <c r="D1123" s="145"/>
      <c r="E1123" s="104">
        <v>26</v>
      </c>
      <c r="F1123" s="106">
        <v>0.00204017576898933</v>
      </c>
      <c r="G1123" s="107">
        <v>11</v>
      </c>
      <c r="H1123" s="106">
        <v>0.423076923076923</v>
      </c>
      <c r="I1123" s="106"/>
      <c r="J1123" s="106"/>
      <c r="K1123" s="106"/>
      <c r="L1123" s="213">
        <v>2604</v>
      </c>
      <c r="M1123" s="213">
        <v>3938.66666666667</v>
      </c>
      <c r="N1123" s="213">
        <v>3272.8</v>
      </c>
      <c r="O1123" s="213">
        <v>4570</v>
      </c>
      <c r="P1123" s="116">
        <v>11</v>
      </c>
      <c r="Q1123" s="115">
        <v>7.33333333333333</v>
      </c>
      <c r="R1123" s="115">
        <v>3.4</v>
      </c>
      <c r="S1123" s="115">
        <v>4.85714285714286</v>
      </c>
      <c r="T1123" s="108">
        <v>4</v>
      </c>
      <c r="U1123" s="108">
        <v>0.666666666666666</v>
      </c>
      <c r="V1123" s="108">
        <v>0.199999999999999</v>
      </c>
      <c r="W1123" s="108">
        <v>0.714285714285714</v>
      </c>
    </row>
    <row r="1124" spans="1:23">
      <c r="A1124" s="103">
        <v>45061</v>
      </c>
      <c r="B1124" s="104" t="s">
        <v>26</v>
      </c>
      <c r="C1124" s="145">
        <v>4012</v>
      </c>
      <c r="D1124" s="145"/>
      <c r="E1124" s="104">
        <v>15</v>
      </c>
      <c r="F1124" s="106">
        <v>0.00373878364905284</v>
      </c>
      <c r="G1124" s="107">
        <v>6</v>
      </c>
      <c r="H1124" s="106">
        <v>0.4</v>
      </c>
      <c r="I1124" s="106"/>
      <c r="J1124" s="106"/>
      <c r="K1124" s="106"/>
      <c r="L1124" s="213">
        <v>78</v>
      </c>
      <c r="M1124" s="213">
        <v>50</v>
      </c>
      <c r="N1124" s="213">
        <v>140.8</v>
      </c>
      <c r="O1124" s="213">
        <v>364.714285714286</v>
      </c>
      <c r="P1124" s="108">
        <v>-5</v>
      </c>
      <c r="Q1124" s="108">
        <v>-0.666666666666666</v>
      </c>
      <c r="R1124" s="108">
        <v>-0.6</v>
      </c>
      <c r="S1124" s="108">
        <v>-1.14285714285714</v>
      </c>
      <c r="T1124" s="108">
        <v>1</v>
      </c>
      <c r="U1124" s="108">
        <v>-1.33333333333333</v>
      </c>
      <c r="V1124" s="108">
        <v>-1</v>
      </c>
      <c r="W1124" s="108">
        <v>-0.428571428571429</v>
      </c>
    </row>
    <row r="1125" spans="1:23">
      <c r="A1125" s="103">
        <v>45061</v>
      </c>
      <c r="B1125" s="104" t="s">
        <v>27</v>
      </c>
      <c r="C1125" s="145">
        <v>4794</v>
      </c>
      <c r="D1125" s="145"/>
      <c r="E1125" s="104">
        <v>84</v>
      </c>
      <c r="F1125" s="106">
        <v>0.0175219023779725</v>
      </c>
      <c r="G1125" s="107">
        <v>28</v>
      </c>
      <c r="H1125" s="106">
        <v>0.333333333333333</v>
      </c>
      <c r="I1125" s="106"/>
      <c r="J1125" s="106"/>
      <c r="K1125" s="106"/>
      <c r="L1125" s="213">
        <v>-976</v>
      </c>
      <c r="M1125" s="213">
        <v>-612.666666666667</v>
      </c>
      <c r="N1125" s="213">
        <v>-611.2</v>
      </c>
      <c r="O1125" s="213">
        <v>-100.285714285715</v>
      </c>
      <c r="P1125" s="108">
        <v>3</v>
      </c>
      <c r="Q1125" s="108">
        <v>-2.33333333333333</v>
      </c>
      <c r="R1125" s="108">
        <v>7</v>
      </c>
      <c r="S1125" s="108">
        <v>14</v>
      </c>
      <c r="T1125" s="108">
        <v>4</v>
      </c>
      <c r="U1125" s="108">
        <v>0.333333333333332</v>
      </c>
      <c r="V1125" s="108">
        <v>5.8</v>
      </c>
      <c r="W1125" s="108">
        <v>8.28571428571428</v>
      </c>
    </row>
    <row r="1126" spans="1:23">
      <c r="A1126" s="103">
        <v>45061</v>
      </c>
      <c r="B1126" s="104" t="s">
        <v>28</v>
      </c>
      <c r="C1126" s="145">
        <v>0</v>
      </c>
      <c r="D1126" s="145"/>
      <c r="E1126" s="104">
        <v>0</v>
      </c>
      <c r="F1126" s="106">
        <v>0</v>
      </c>
      <c r="G1126" s="107">
        <v>0</v>
      </c>
      <c r="H1126" s="106">
        <v>0</v>
      </c>
      <c r="I1126" s="106"/>
      <c r="J1126" s="106"/>
      <c r="K1126" s="106"/>
      <c r="L1126" s="213">
        <v>0</v>
      </c>
      <c r="M1126" s="213">
        <v>0</v>
      </c>
      <c r="N1126" s="213">
        <v>0</v>
      </c>
      <c r="O1126" s="213">
        <v>0</v>
      </c>
      <c r="P1126" s="108">
        <v>0</v>
      </c>
      <c r="Q1126" s="108">
        <v>0</v>
      </c>
      <c r="R1126" s="108">
        <v>0</v>
      </c>
      <c r="S1126" s="108">
        <v>0</v>
      </c>
      <c r="T1126" s="108">
        <v>0</v>
      </c>
      <c r="U1126" s="108">
        <v>0</v>
      </c>
      <c r="V1126" s="108">
        <v>0</v>
      </c>
      <c r="W1126" s="108">
        <v>0</v>
      </c>
    </row>
    <row r="1127" spans="1:23">
      <c r="A1127" s="103">
        <v>45061</v>
      </c>
      <c r="B1127" s="104" t="s">
        <v>29</v>
      </c>
      <c r="C1127" s="145">
        <v>0</v>
      </c>
      <c r="D1127" s="145"/>
      <c r="E1127" s="104">
        <v>0</v>
      </c>
      <c r="F1127" s="106">
        <v>0</v>
      </c>
      <c r="G1127" s="107">
        <v>0</v>
      </c>
      <c r="H1127" s="106">
        <v>0</v>
      </c>
      <c r="I1127" s="106"/>
      <c r="J1127" s="106"/>
      <c r="K1127" s="106"/>
      <c r="L1127" s="213">
        <v>0</v>
      </c>
      <c r="M1127" s="213">
        <v>-0.333333333333333</v>
      </c>
      <c r="N1127" s="213">
        <v>-0.4</v>
      </c>
      <c r="O1127" s="213">
        <v>-0.571428571428571</v>
      </c>
      <c r="P1127" s="108">
        <v>0</v>
      </c>
      <c r="Q1127" s="108">
        <v>-0.333333333333333</v>
      </c>
      <c r="R1127" s="108">
        <v>-0.2</v>
      </c>
      <c r="S1127" s="108">
        <v>-0.142857142857143</v>
      </c>
      <c r="T1127" s="108">
        <v>0</v>
      </c>
      <c r="U1127" s="108">
        <v>0</v>
      </c>
      <c r="V1127" s="108">
        <v>0</v>
      </c>
      <c r="W1127" s="108">
        <v>0</v>
      </c>
    </row>
    <row r="1128" spans="1:23">
      <c r="A1128" s="103">
        <v>45061</v>
      </c>
      <c r="B1128" s="104" t="s">
        <v>30</v>
      </c>
      <c r="C1128" s="145">
        <v>0</v>
      </c>
      <c r="D1128" s="145"/>
      <c r="E1128" s="104">
        <v>0</v>
      </c>
      <c r="F1128" s="106">
        <v>0</v>
      </c>
      <c r="G1128" s="107">
        <v>0</v>
      </c>
      <c r="H1128" s="106">
        <v>0</v>
      </c>
      <c r="I1128" s="106"/>
      <c r="J1128" s="106"/>
      <c r="K1128" s="106"/>
      <c r="L1128" s="213">
        <v>0</v>
      </c>
      <c r="M1128" s="213">
        <v>0</v>
      </c>
      <c r="N1128" s="213">
        <v>0</v>
      </c>
      <c r="O1128" s="213">
        <v>0</v>
      </c>
      <c r="P1128" s="108">
        <v>0</v>
      </c>
      <c r="Q1128" s="108">
        <v>0</v>
      </c>
      <c r="R1128" s="108">
        <v>0</v>
      </c>
      <c r="S1128" s="108">
        <v>0</v>
      </c>
      <c r="T1128" s="108">
        <v>0</v>
      </c>
      <c r="U1128" s="108">
        <v>0</v>
      </c>
      <c r="V1128" s="108">
        <v>0</v>
      </c>
      <c r="W1128" s="108">
        <v>0</v>
      </c>
    </row>
    <row r="1129" spans="1:23">
      <c r="A1129" s="103">
        <v>45061</v>
      </c>
      <c r="B1129" s="104" t="s">
        <v>31</v>
      </c>
      <c r="C1129" s="145">
        <v>0</v>
      </c>
      <c r="D1129" s="145"/>
      <c r="E1129" s="104">
        <v>0</v>
      </c>
      <c r="F1129" s="106">
        <v>0</v>
      </c>
      <c r="G1129" s="107">
        <v>0</v>
      </c>
      <c r="H1129" s="106">
        <v>0</v>
      </c>
      <c r="I1129" s="106"/>
      <c r="J1129" s="106"/>
      <c r="K1129" s="106"/>
      <c r="L1129" s="213">
        <v>0</v>
      </c>
      <c r="M1129" s="213">
        <v>0</v>
      </c>
      <c r="N1129" s="213">
        <v>0</v>
      </c>
      <c r="O1129" s="213">
        <v>0</v>
      </c>
      <c r="P1129" s="108">
        <v>0</v>
      </c>
      <c r="Q1129" s="108">
        <v>-0.333333333333333</v>
      </c>
      <c r="R1129" s="108">
        <v>-0.2</v>
      </c>
      <c r="S1129" s="108">
        <v>-0.142857142857143</v>
      </c>
      <c r="T1129" s="108">
        <v>0</v>
      </c>
      <c r="U1129" s="108">
        <v>0</v>
      </c>
      <c r="V1129" s="108">
        <v>0</v>
      </c>
      <c r="W1129" s="108">
        <v>0</v>
      </c>
    </row>
    <row r="1130" spans="1:23">
      <c r="A1130" s="103">
        <v>45061</v>
      </c>
      <c r="B1130" s="104" t="s">
        <v>32</v>
      </c>
      <c r="C1130" s="145">
        <v>0</v>
      </c>
      <c r="D1130" s="145"/>
      <c r="E1130" s="104">
        <v>0</v>
      </c>
      <c r="F1130" s="106">
        <v>0</v>
      </c>
      <c r="G1130" s="107">
        <v>0</v>
      </c>
      <c r="H1130" s="106">
        <v>0</v>
      </c>
      <c r="I1130" s="106"/>
      <c r="J1130" s="106"/>
      <c r="K1130" s="106"/>
      <c r="L1130" s="213">
        <v>0</v>
      </c>
      <c r="M1130" s="213">
        <v>0</v>
      </c>
      <c r="N1130" s="213">
        <v>0</v>
      </c>
      <c r="O1130" s="213">
        <v>0</v>
      </c>
      <c r="P1130" s="108">
        <v>0</v>
      </c>
      <c r="Q1130" s="108">
        <v>0</v>
      </c>
      <c r="R1130" s="108">
        <v>0</v>
      </c>
      <c r="S1130" s="108">
        <v>0</v>
      </c>
      <c r="T1130" s="108">
        <v>0</v>
      </c>
      <c r="U1130" s="108">
        <v>0</v>
      </c>
      <c r="V1130" s="108">
        <v>0</v>
      </c>
      <c r="W1130" s="108">
        <v>0</v>
      </c>
    </row>
    <row r="1131" spans="1:23">
      <c r="A1131" s="103">
        <v>45061</v>
      </c>
      <c r="B1131" s="104" t="s">
        <v>33</v>
      </c>
      <c r="C1131" s="145">
        <v>0</v>
      </c>
      <c r="D1131" s="145"/>
      <c r="E1131" s="104">
        <v>0</v>
      </c>
      <c r="F1131" s="106">
        <v>0</v>
      </c>
      <c r="G1131" s="107">
        <v>0</v>
      </c>
      <c r="H1131" s="106">
        <v>0</v>
      </c>
      <c r="I1131" s="106"/>
      <c r="J1131" s="106"/>
      <c r="K1131" s="106"/>
      <c r="L1131" s="213">
        <v>0</v>
      </c>
      <c r="M1131" s="213">
        <v>0</v>
      </c>
      <c r="N1131" s="213">
        <v>0</v>
      </c>
      <c r="O1131" s="213">
        <v>0</v>
      </c>
      <c r="P1131" s="108">
        <v>0</v>
      </c>
      <c r="Q1131" s="108">
        <v>0</v>
      </c>
      <c r="R1131" s="108">
        <v>0</v>
      </c>
      <c r="S1131" s="108">
        <v>-0.142857142857143</v>
      </c>
      <c r="T1131" s="108">
        <v>0</v>
      </c>
      <c r="U1131" s="108">
        <v>0</v>
      </c>
      <c r="V1131" s="108">
        <v>0</v>
      </c>
      <c r="W1131" s="108">
        <v>0</v>
      </c>
    </row>
    <row r="1132" spans="1:23">
      <c r="A1132" s="103">
        <v>45061</v>
      </c>
      <c r="B1132" s="104" t="s">
        <v>34</v>
      </c>
      <c r="C1132" s="145">
        <v>0</v>
      </c>
      <c r="D1132" s="145"/>
      <c r="E1132" s="104">
        <v>0</v>
      </c>
      <c r="F1132" s="106">
        <v>0</v>
      </c>
      <c r="G1132" s="107">
        <v>0</v>
      </c>
      <c r="H1132" s="106">
        <v>0</v>
      </c>
      <c r="I1132" s="106"/>
      <c r="J1132" s="106"/>
      <c r="K1132" s="106"/>
      <c r="L1132" s="213">
        <v>0</v>
      </c>
      <c r="M1132" s="213">
        <v>0</v>
      </c>
      <c r="N1132" s="213">
        <v>0</v>
      </c>
      <c r="O1132" s="213">
        <v>0</v>
      </c>
      <c r="P1132" s="108">
        <v>0</v>
      </c>
      <c r="Q1132" s="108">
        <v>0</v>
      </c>
      <c r="R1132" s="108">
        <v>0</v>
      </c>
      <c r="S1132" s="108">
        <v>0</v>
      </c>
      <c r="T1132" s="108">
        <v>0</v>
      </c>
      <c r="U1132" s="108">
        <v>0</v>
      </c>
      <c r="V1132" s="108">
        <v>0</v>
      </c>
      <c r="W1132" s="108">
        <v>0</v>
      </c>
    </row>
    <row r="1133" spans="1:23">
      <c r="A1133" s="103">
        <v>45061</v>
      </c>
      <c r="B1133" s="104" t="s">
        <v>35</v>
      </c>
      <c r="C1133" s="145">
        <v>0</v>
      </c>
      <c r="D1133" s="145"/>
      <c r="E1133" s="104">
        <v>0</v>
      </c>
      <c r="F1133" s="106">
        <v>0</v>
      </c>
      <c r="G1133" s="107">
        <v>0</v>
      </c>
      <c r="H1133" s="106">
        <v>0</v>
      </c>
      <c r="I1133" s="106"/>
      <c r="J1133" s="106"/>
      <c r="K1133" s="106"/>
      <c r="L1133" s="213">
        <v>0</v>
      </c>
      <c r="M1133" s="213">
        <v>0</v>
      </c>
      <c r="N1133" s="213">
        <v>0</v>
      </c>
      <c r="O1133" s="213">
        <v>0</v>
      </c>
      <c r="P1133" s="108">
        <v>0</v>
      </c>
      <c r="Q1133" s="108">
        <v>0</v>
      </c>
      <c r="R1133" s="108">
        <v>0</v>
      </c>
      <c r="S1133" s="108">
        <v>0</v>
      </c>
      <c r="T1133" s="108">
        <v>0</v>
      </c>
      <c r="U1133" s="108">
        <v>0</v>
      </c>
      <c r="V1133" s="108">
        <v>0</v>
      </c>
      <c r="W1133" s="108">
        <v>0</v>
      </c>
    </row>
    <row r="1134" spans="1:23">
      <c r="A1134" s="103">
        <v>45061</v>
      </c>
      <c r="B1134" s="104" t="s">
        <v>36</v>
      </c>
      <c r="C1134" s="145">
        <v>0</v>
      </c>
      <c r="D1134" s="145"/>
      <c r="E1134" s="104">
        <v>0</v>
      </c>
      <c r="F1134" s="106">
        <v>0</v>
      </c>
      <c r="G1134" s="107">
        <v>0</v>
      </c>
      <c r="H1134" s="106">
        <v>0</v>
      </c>
      <c r="I1134" s="106"/>
      <c r="J1134" s="106"/>
      <c r="K1134" s="106"/>
      <c r="L1134" s="213">
        <v>0</v>
      </c>
      <c r="M1134" s="213">
        <v>0</v>
      </c>
      <c r="N1134" s="213">
        <v>0</v>
      </c>
      <c r="O1134" s="213">
        <v>0</v>
      </c>
      <c r="P1134" s="108">
        <v>0</v>
      </c>
      <c r="Q1134" s="108">
        <v>0</v>
      </c>
      <c r="R1134" s="108">
        <v>0</v>
      </c>
      <c r="S1134" s="108">
        <v>0</v>
      </c>
      <c r="T1134" s="108">
        <v>0</v>
      </c>
      <c r="U1134" s="108">
        <v>0</v>
      </c>
      <c r="V1134" s="108">
        <v>0</v>
      </c>
      <c r="W1134" s="108">
        <v>0</v>
      </c>
    </row>
    <row r="1135" spans="1:23">
      <c r="A1135" s="103">
        <v>45061</v>
      </c>
      <c r="B1135" s="104" t="s">
        <v>37</v>
      </c>
      <c r="C1135" s="145">
        <v>0</v>
      </c>
      <c r="D1135" s="145"/>
      <c r="E1135" s="104">
        <v>1</v>
      </c>
      <c r="F1135" s="106">
        <v>1</v>
      </c>
      <c r="G1135" s="107">
        <v>0</v>
      </c>
      <c r="H1135" s="106">
        <v>0</v>
      </c>
      <c r="I1135" s="106"/>
      <c r="J1135" s="106"/>
      <c r="K1135" s="106"/>
      <c r="L1135" s="213">
        <v>0</v>
      </c>
      <c r="M1135" s="213">
        <v>0</v>
      </c>
      <c r="N1135" s="213">
        <v>0</v>
      </c>
      <c r="O1135" s="213">
        <v>0</v>
      </c>
      <c r="P1135" s="108">
        <v>1</v>
      </c>
      <c r="Q1135" s="108">
        <v>0.666666666666667</v>
      </c>
      <c r="R1135" s="108">
        <v>0.2</v>
      </c>
      <c r="S1135" s="108">
        <v>0.428571428571429</v>
      </c>
      <c r="T1135" s="108">
        <v>0</v>
      </c>
      <c r="U1135" s="108">
        <v>0</v>
      </c>
      <c r="V1135" s="108">
        <v>0</v>
      </c>
      <c r="W1135" s="108">
        <v>0</v>
      </c>
    </row>
    <row r="1136" spans="1:23">
      <c r="A1136" s="103">
        <v>45061</v>
      </c>
      <c r="B1136" s="104" t="s">
        <v>38</v>
      </c>
      <c r="C1136" s="145">
        <v>0</v>
      </c>
      <c r="D1136" s="145"/>
      <c r="E1136" s="104">
        <v>0</v>
      </c>
      <c r="F1136" s="106">
        <v>0</v>
      </c>
      <c r="G1136" s="107">
        <v>0</v>
      </c>
      <c r="H1136" s="106">
        <v>0</v>
      </c>
      <c r="I1136" s="106"/>
      <c r="J1136" s="106"/>
      <c r="K1136" s="106"/>
      <c r="L1136" s="213">
        <v>0</v>
      </c>
      <c r="M1136" s="213">
        <v>0</v>
      </c>
      <c r="N1136" s="213">
        <v>0</v>
      </c>
      <c r="O1136" s="213">
        <v>0</v>
      </c>
      <c r="P1136" s="108">
        <v>0</v>
      </c>
      <c r="Q1136" s="108">
        <v>0</v>
      </c>
      <c r="R1136" s="108">
        <v>0</v>
      </c>
      <c r="S1136" s="108">
        <v>0</v>
      </c>
      <c r="T1136" s="108">
        <v>0</v>
      </c>
      <c r="U1136" s="108">
        <v>0</v>
      </c>
      <c r="V1136" s="108">
        <v>0</v>
      </c>
      <c r="W1136" s="108">
        <v>0</v>
      </c>
    </row>
    <row r="1137" spans="1:23">
      <c r="A1137" s="103">
        <v>45061</v>
      </c>
      <c r="B1137" s="111" t="s">
        <v>39</v>
      </c>
      <c r="C1137" s="112">
        <v>30219</v>
      </c>
      <c r="D1137" s="112"/>
      <c r="E1137" s="112">
        <v>479</v>
      </c>
      <c r="F1137" s="113">
        <v>0.0158509546973758</v>
      </c>
      <c r="G1137" s="112">
        <v>145</v>
      </c>
      <c r="H1137" s="113">
        <v>0.302713987473904</v>
      </c>
      <c r="I1137" s="113"/>
      <c r="J1137" s="113"/>
      <c r="K1137" s="113"/>
      <c r="L1137" s="213"/>
      <c r="M1137" s="213"/>
      <c r="N1137" s="213"/>
      <c r="O1137" s="213"/>
      <c r="P1137" s="108"/>
      <c r="Q1137" s="108"/>
      <c r="R1137" s="108"/>
      <c r="S1137" s="108"/>
      <c r="T1137" s="108"/>
      <c r="U1137" s="108"/>
      <c r="V1137" s="108"/>
      <c r="W1137" s="108"/>
    </row>
    <row r="1138" spans="1:23">
      <c r="A1138" s="103">
        <v>45062</v>
      </c>
      <c r="B1138" s="104" t="s">
        <v>17</v>
      </c>
      <c r="C1138" s="105">
        <v>2</v>
      </c>
      <c r="D1138" s="105"/>
      <c r="E1138" s="104">
        <v>18</v>
      </c>
      <c r="F1138" s="106">
        <v>9</v>
      </c>
      <c r="G1138" s="107">
        <v>5</v>
      </c>
      <c r="H1138" s="106">
        <v>0.277777777777778</v>
      </c>
      <c r="I1138" s="106"/>
      <c r="J1138" s="106"/>
      <c r="K1138" s="106"/>
      <c r="L1138" s="213">
        <v>2</v>
      </c>
      <c r="M1138" s="213">
        <v>1.33333333333333</v>
      </c>
      <c r="N1138" s="213">
        <v>1.2</v>
      </c>
      <c r="O1138" s="213">
        <v>1.28571428571429</v>
      </c>
      <c r="P1138" s="108">
        <v>2</v>
      </c>
      <c r="Q1138" s="108">
        <v>-4.33333333333333</v>
      </c>
      <c r="R1138" s="108">
        <v>-6.8</v>
      </c>
      <c r="S1138" s="108">
        <v>-10</v>
      </c>
      <c r="T1138" s="108">
        <v>2</v>
      </c>
      <c r="U1138" s="108">
        <v>0</v>
      </c>
      <c r="V1138" s="108">
        <v>-0.6</v>
      </c>
      <c r="W1138" s="108">
        <v>-0.857142857142857</v>
      </c>
    </row>
    <row r="1139" spans="1:23">
      <c r="A1139" s="103">
        <v>45062</v>
      </c>
      <c r="B1139" s="104" t="s">
        <v>19</v>
      </c>
      <c r="C1139" s="107">
        <v>147</v>
      </c>
      <c r="D1139" s="107"/>
      <c r="E1139" s="104">
        <v>9</v>
      </c>
      <c r="F1139" s="106">
        <v>0.0306122448979592</v>
      </c>
      <c r="G1139" s="107">
        <v>6</v>
      </c>
      <c r="H1139" s="106">
        <v>0.666666666666667</v>
      </c>
      <c r="I1139" s="106"/>
      <c r="J1139" s="106"/>
      <c r="K1139" s="106"/>
      <c r="L1139" s="213">
        <v>-120</v>
      </c>
      <c r="M1139" s="213">
        <v>-84.6666666666667</v>
      </c>
      <c r="N1139" s="213">
        <v>-71.6</v>
      </c>
      <c r="O1139" s="213">
        <v>-90.5714285714286</v>
      </c>
      <c r="P1139" s="108">
        <v>-9</v>
      </c>
      <c r="Q1139" s="108">
        <v>-5.33333333333333</v>
      </c>
      <c r="R1139" s="108">
        <v>-3.6</v>
      </c>
      <c r="S1139" s="108">
        <v>-2.28571428571429</v>
      </c>
      <c r="T1139" s="108">
        <v>0</v>
      </c>
      <c r="U1139" s="108">
        <v>1.66666666666667</v>
      </c>
      <c r="V1139" s="108">
        <v>1.4</v>
      </c>
      <c r="W1139" s="115">
        <v>1.85714285714286</v>
      </c>
    </row>
    <row r="1140" spans="1:23">
      <c r="A1140" s="103">
        <v>45062</v>
      </c>
      <c r="B1140" s="104" t="s">
        <v>21</v>
      </c>
      <c r="C1140" s="145">
        <v>586</v>
      </c>
      <c r="D1140" s="145"/>
      <c r="E1140" s="104">
        <v>26</v>
      </c>
      <c r="F1140" s="106">
        <v>0.0443686006825939</v>
      </c>
      <c r="G1140" s="107">
        <v>9</v>
      </c>
      <c r="H1140" s="106">
        <v>0.346153846153846</v>
      </c>
      <c r="I1140" s="106"/>
      <c r="J1140" s="106"/>
      <c r="K1140" s="106"/>
      <c r="L1140" s="213">
        <v>-119</v>
      </c>
      <c r="M1140" s="213">
        <v>-219</v>
      </c>
      <c r="N1140" s="213">
        <v>-193</v>
      </c>
      <c r="O1140" s="213">
        <v>-140.285714285714</v>
      </c>
      <c r="P1140" s="108">
        <v>-6</v>
      </c>
      <c r="Q1140" s="108">
        <v>-7</v>
      </c>
      <c r="R1140" s="108">
        <v>-4.2</v>
      </c>
      <c r="S1140" s="108">
        <v>-2.57142857142857</v>
      </c>
      <c r="T1140" s="108">
        <v>-4</v>
      </c>
      <c r="U1140" s="108">
        <v>-0.333333333333334</v>
      </c>
      <c r="V1140" s="108">
        <v>-1</v>
      </c>
      <c r="W1140" s="108">
        <v>-1</v>
      </c>
    </row>
    <row r="1141" spans="1:23">
      <c r="A1141" s="103">
        <v>45062</v>
      </c>
      <c r="B1141" s="104" t="s">
        <v>22</v>
      </c>
      <c r="C1141" s="145">
        <v>3302</v>
      </c>
      <c r="D1141" s="145"/>
      <c r="E1141" s="104">
        <v>104</v>
      </c>
      <c r="F1141" s="106">
        <v>0.031496062992126</v>
      </c>
      <c r="G1141" s="107">
        <v>37</v>
      </c>
      <c r="H1141" s="106">
        <v>0.355769230769231</v>
      </c>
      <c r="I1141" s="106"/>
      <c r="J1141" s="106"/>
      <c r="K1141" s="106"/>
      <c r="L1141" s="213">
        <v>187</v>
      </c>
      <c r="M1141" s="213">
        <v>404.333333333333</v>
      </c>
      <c r="N1141" s="213">
        <v>568.2</v>
      </c>
      <c r="O1141" s="213">
        <v>706.714285714286</v>
      </c>
      <c r="P1141" s="108">
        <v>0</v>
      </c>
      <c r="Q1141" s="108">
        <v>4</v>
      </c>
      <c r="R1141" s="108">
        <v>15</v>
      </c>
      <c r="S1141" s="115">
        <v>21.1428571428571</v>
      </c>
      <c r="T1141" s="108">
        <v>7</v>
      </c>
      <c r="U1141" s="108">
        <v>8.66666666666667</v>
      </c>
      <c r="V1141" s="108">
        <v>9</v>
      </c>
      <c r="W1141" s="117">
        <v>11</v>
      </c>
    </row>
    <row r="1142" spans="1:23">
      <c r="A1142" s="103">
        <v>45062</v>
      </c>
      <c r="B1142" s="104" t="s">
        <v>23</v>
      </c>
      <c r="C1142" s="145">
        <v>2295</v>
      </c>
      <c r="D1142" s="145"/>
      <c r="E1142" s="104">
        <v>14</v>
      </c>
      <c r="F1142" s="106">
        <v>0.00610021786492375</v>
      </c>
      <c r="G1142" s="107">
        <v>4</v>
      </c>
      <c r="H1142" s="106">
        <v>0.285714285714286</v>
      </c>
      <c r="I1142" s="106"/>
      <c r="J1142" s="106"/>
      <c r="K1142" s="106"/>
      <c r="L1142" s="213">
        <v>79</v>
      </c>
      <c r="M1142" s="213">
        <v>35.6666666666665</v>
      </c>
      <c r="N1142" s="213">
        <v>88.1999999999998</v>
      </c>
      <c r="O1142" s="213">
        <v>89.7142857142858</v>
      </c>
      <c r="P1142" s="108">
        <v>2</v>
      </c>
      <c r="Q1142" s="108">
        <v>-0.333333333333334</v>
      </c>
      <c r="R1142" s="108">
        <v>1</v>
      </c>
      <c r="S1142" s="108">
        <v>1.71428571428571</v>
      </c>
      <c r="T1142" s="108">
        <v>0</v>
      </c>
      <c r="U1142" s="116">
        <v>-1.66666666666667</v>
      </c>
      <c r="V1142" s="108">
        <v>-1.2</v>
      </c>
      <c r="W1142" s="108">
        <v>-1.14285714285714</v>
      </c>
    </row>
    <row r="1143" spans="1:23">
      <c r="A1143" s="103">
        <v>45062</v>
      </c>
      <c r="B1143" s="104" t="s">
        <v>24</v>
      </c>
      <c r="C1143" s="145">
        <v>1952</v>
      </c>
      <c r="D1143" s="145"/>
      <c r="E1143" s="104">
        <v>111</v>
      </c>
      <c r="F1143" s="106">
        <v>0.0568647540983607</v>
      </c>
      <c r="G1143" s="107">
        <v>34</v>
      </c>
      <c r="H1143" s="106">
        <v>0.306306306306306</v>
      </c>
      <c r="I1143" s="106"/>
      <c r="J1143" s="106"/>
      <c r="K1143" s="106"/>
      <c r="L1143" s="213">
        <v>-267</v>
      </c>
      <c r="M1143" s="213">
        <v>-857</v>
      </c>
      <c r="N1143" s="213">
        <v>-880.4</v>
      </c>
      <c r="O1143" s="213">
        <v>-918</v>
      </c>
      <c r="P1143" s="115">
        <v>-60</v>
      </c>
      <c r="Q1143" s="115">
        <v>-12.6666666666667</v>
      </c>
      <c r="R1143" s="115">
        <v>2.2</v>
      </c>
      <c r="S1143" s="115">
        <v>5.42857142857143</v>
      </c>
      <c r="T1143" s="115">
        <v>-10</v>
      </c>
      <c r="U1143" s="115">
        <v>3</v>
      </c>
      <c r="V1143" s="115">
        <v>6.8</v>
      </c>
      <c r="W1143" s="115">
        <v>7.14285714285714</v>
      </c>
    </row>
    <row r="1144" spans="1:23">
      <c r="A1144" s="103">
        <v>45062</v>
      </c>
      <c r="B1144" s="104" t="s">
        <v>25</v>
      </c>
      <c r="C1144" s="145">
        <v>1966</v>
      </c>
      <c r="D1144" s="145"/>
      <c r="E1144" s="104">
        <v>19</v>
      </c>
      <c r="F1144" s="106">
        <v>0.00483214649033571</v>
      </c>
      <c r="G1144" s="107">
        <v>10</v>
      </c>
      <c r="H1144" s="106">
        <v>0.526315789473684</v>
      </c>
      <c r="I1144" s="106"/>
      <c r="J1144" s="106"/>
      <c r="K1144" s="106"/>
      <c r="L1144" s="213">
        <v>-8812</v>
      </c>
      <c r="M1144" s="213">
        <v>-7380</v>
      </c>
      <c r="N1144" s="213">
        <v>-5912.4</v>
      </c>
      <c r="O1144" s="213">
        <v>-5539.14285714286</v>
      </c>
      <c r="P1144" s="116">
        <v>-7</v>
      </c>
      <c r="Q1144" s="115">
        <v>-2.33333333333333</v>
      </c>
      <c r="R1144" s="115">
        <v>-2.4</v>
      </c>
      <c r="S1144" s="115">
        <v>-3.71428571428572</v>
      </c>
      <c r="T1144" s="108">
        <v>-1</v>
      </c>
      <c r="U1144" s="108">
        <v>-0.333333333333334</v>
      </c>
      <c r="V1144" s="108">
        <v>-0.199999999999999</v>
      </c>
      <c r="W1144" s="108">
        <v>-1</v>
      </c>
    </row>
    <row r="1145" spans="1:23">
      <c r="A1145" s="103">
        <v>45062</v>
      </c>
      <c r="B1145" s="104" t="s">
        <v>26</v>
      </c>
      <c r="C1145" s="145">
        <v>2126</v>
      </c>
      <c r="D1145" s="145"/>
      <c r="E1145" s="104">
        <v>16</v>
      </c>
      <c r="F1145" s="106">
        <v>0.00376293508936971</v>
      </c>
      <c r="G1145" s="107">
        <v>6</v>
      </c>
      <c r="H1145" s="106">
        <v>0.375</v>
      </c>
      <c r="I1145" s="106"/>
      <c r="J1145" s="106"/>
      <c r="K1145" s="106"/>
      <c r="L1145" s="213">
        <v>240</v>
      </c>
      <c r="M1145" s="213">
        <v>243.333333333333</v>
      </c>
      <c r="N1145" s="213">
        <v>318.8</v>
      </c>
      <c r="O1145" s="213">
        <v>329.714285714286</v>
      </c>
      <c r="P1145" s="108">
        <v>1</v>
      </c>
      <c r="Q1145" s="108">
        <v>-0.666666666666668</v>
      </c>
      <c r="R1145" s="108">
        <v>1.2</v>
      </c>
      <c r="S1145" s="108">
        <v>-0.142857142857142</v>
      </c>
      <c r="T1145" s="108">
        <v>0</v>
      </c>
      <c r="U1145" s="108">
        <v>-0.666666666666667</v>
      </c>
      <c r="V1145" s="108">
        <v>-1</v>
      </c>
      <c r="W1145" s="108">
        <v>-0.571428571428571</v>
      </c>
    </row>
    <row r="1146" spans="1:23">
      <c r="A1146" s="103">
        <v>45062</v>
      </c>
      <c r="B1146" s="104" t="s">
        <v>27</v>
      </c>
      <c r="C1146" s="145">
        <v>1209</v>
      </c>
      <c r="D1146" s="145"/>
      <c r="E1146" s="104">
        <v>28</v>
      </c>
      <c r="F1146" s="106">
        <v>0.0115798180314309</v>
      </c>
      <c r="G1146" s="107">
        <v>9</v>
      </c>
      <c r="H1146" s="106">
        <v>0.321428571428571</v>
      </c>
      <c r="I1146" s="106"/>
      <c r="J1146" s="106"/>
      <c r="K1146" s="106"/>
      <c r="L1146" s="213">
        <v>-2376</v>
      </c>
      <c r="M1146" s="213">
        <v>-2916.66666666667</v>
      </c>
      <c r="N1146" s="213">
        <v>-2853.6</v>
      </c>
      <c r="O1146" s="213">
        <v>-2840</v>
      </c>
      <c r="P1146" s="108">
        <v>-56</v>
      </c>
      <c r="Q1146" s="108">
        <v>-60.6666666666667</v>
      </c>
      <c r="R1146" s="108">
        <v>-51.6</v>
      </c>
      <c r="S1146" s="108">
        <v>-47.8571428571429</v>
      </c>
      <c r="T1146" s="108">
        <v>-19</v>
      </c>
      <c r="U1146" s="108">
        <v>-19</v>
      </c>
      <c r="V1146" s="108">
        <v>-16</v>
      </c>
      <c r="W1146" s="108">
        <v>-12.8571428571429</v>
      </c>
    </row>
    <row r="1147" spans="1:23">
      <c r="A1147" s="103">
        <v>45062</v>
      </c>
      <c r="B1147" s="104" t="s">
        <v>28</v>
      </c>
      <c r="C1147" s="145">
        <v>0</v>
      </c>
      <c r="D1147" s="145"/>
      <c r="E1147" s="104">
        <v>0</v>
      </c>
      <c r="F1147" s="106">
        <v>0</v>
      </c>
      <c r="G1147" s="107">
        <v>0</v>
      </c>
      <c r="H1147" s="106">
        <v>0</v>
      </c>
      <c r="I1147" s="106"/>
      <c r="J1147" s="106"/>
      <c r="K1147" s="106"/>
      <c r="L1147" s="213">
        <v>0</v>
      </c>
      <c r="M1147" s="213">
        <v>0</v>
      </c>
      <c r="N1147" s="213">
        <v>0</v>
      </c>
      <c r="O1147" s="213">
        <v>0</v>
      </c>
      <c r="P1147" s="108">
        <v>0</v>
      </c>
      <c r="Q1147" s="108">
        <v>0</v>
      </c>
      <c r="R1147" s="108">
        <v>0</v>
      </c>
      <c r="S1147" s="108">
        <v>0</v>
      </c>
      <c r="T1147" s="108">
        <v>0</v>
      </c>
      <c r="U1147" s="108">
        <v>0</v>
      </c>
      <c r="V1147" s="108">
        <v>0</v>
      </c>
      <c r="W1147" s="108">
        <v>0</v>
      </c>
    </row>
    <row r="1148" spans="1:23">
      <c r="A1148" s="103">
        <v>45062</v>
      </c>
      <c r="B1148" s="104" t="s">
        <v>29</v>
      </c>
      <c r="C1148" s="145">
        <v>0</v>
      </c>
      <c r="D1148" s="145"/>
      <c r="E1148" s="104">
        <v>0</v>
      </c>
      <c r="F1148" s="106">
        <v>0</v>
      </c>
      <c r="G1148" s="107">
        <v>0</v>
      </c>
      <c r="H1148" s="106">
        <v>0</v>
      </c>
      <c r="I1148" s="106"/>
      <c r="J1148" s="106"/>
      <c r="K1148" s="106"/>
      <c r="L1148" s="213">
        <v>0</v>
      </c>
      <c r="M1148" s="213">
        <v>0</v>
      </c>
      <c r="N1148" s="213">
        <v>-0.4</v>
      </c>
      <c r="O1148" s="213">
        <v>-0.428571428571429</v>
      </c>
      <c r="P1148" s="108">
        <v>0</v>
      </c>
      <c r="Q1148" s="108">
        <v>-0.333333333333333</v>
      </c>
      <c r="R1148" s="108">
        <v>-0.2</v>
      </c>
      <c r="S1148" s="108">
        <v>-0.142857142857143</v>
      </c>
      <c r="T1148" s="108">
        <v>0</v>
      </c>
      <c r="U1148" s="108">
        <v>0</v>
      </c>
      <c r="V1148" s="108">
        <v>0</v>
      </c>
      <c r="W1148" s="108">
        <v>0</v>
      </c>
    </row>
    <row r="1149" spans="1:23">
      <c r="A1149" s="103">
        <v>45062</v>
      </c>
      <c r="B1149" s="104" t="s">
        <v>30</v>
      </c>
      <c r="C1149" s="145">
        <v>0</v>
      </c>
      <c r="D1149" s="145"/>
      <c r="E1149" s="104">
        <v>0</v>
      </c>
      <c r="F1149" s="106">
        <v>0</v>
      </c>
      <c r="G1149" s="107">
        <v>0</v>
      </c>
      <c r="H1149" s="106">
        <v>0</v>
      </c>
      <c r="I1149" s="106"/>
      <c r="J1149" s="106"/>
      <c r="K1149" s="106"/>
      <c r="L1149" s="213">
        <v>0</v>
      </c>
      <c r="M1149" s="213">
        <v>0</v>
      </c>
      <c r="N1149" s="213">
        <v>0</v>
      </c>
      <c r="O1149" s="213">
        <v>0</v>
      </c>
      <c r="P1149" s="108">
        <v>0</v>
      </c>
      <c r="Q1149" s="108">
        <v>0</v>
      </c>
      <c r="R1149" s="108">
        <v>0</v>
      </c>
      <c r="S1149" s="108">
        <v>0</v>
      </c>
      <c r="T1149" s="108">
        <v>0</v>
      </c>
      <c r="U1149" s="108">
        <v>0</v>
      </c>
      <c r="V1149" s="108">
        <v>0</v>
      </c>
      <c r="W1149" s="108">
        <v>0</v>
      </c>
    </row>
    <row r="1150" spans="1:23">
      <c r="A1150" s="103">
        <v>45062</v>
      </c>
      <c r="B1150" s="104" t="s">
        <v>31</v>
      </c>
      <c r="C1150" s="145">
        <v>0</v>
      </c>
      <c r="D1150" s="145"/>
      <c r="E1150" s="104">
        <v>0</v>
      </c>
      <c r="F1150" s="106">
        <v>0</v>
      </c>
      <c r="G1150" s="107">
        <v>0</v>
      </c>
      <c r="H1150" s="106">
        <v>0</v>
      </c>
      <c r="I1150" s="106"/>
      <c r="J1150" s="106"/>
      <c r="K1150" s="106"/>
      <c r="L1150" s="213">
        <v>0</v>
      </c>
      <c r="M1150" s="213">
        <v>0</v>
      </c>
      <c r="N1150" s="213">
        <v>0</v>
      </c>
      <c r="O1150" s="213">
        <v>0</v>
      </c>
      <c r="P1150" s="108">
        <v>0</v>
      </c>
      <c r="Q1150" s="108">
        <v>0</v>
      </c>
      <c r="R1150" s="108">
        <v>-0.2</v>
      </c>
      <c r="S1150" s="108">
        <v>-0.142857142857143</v>
      </c>
      <c r="T1150" s="108">
        <v>0</v>
      </c>
      <c r="U1150" s="108">
        <v>0</v>
      </c>
      <c r="V1150" s="108">
        <v>0</v>
      </c>
      <c r="W1150" s="108">
        <v>0</v>
      </c>
    </row>
    <row r="1151" spans="1:23">
      <c r="A1151" s="103">
        <v>45062</v>
      </c>
      <c r="B1151" s="104" t="s">
        <v>32</v>
      </c>
      <c r="C1151" s="145">
        <v>0</v>
      </c>
      <c r="D1151" s="145"/>
      <c r="E1151" s="104">
        <v>0</v>
      </c>
      <c r="F1151" s="106">
        <v>0</v>
      </c>
      <c r="G1151" s="107">
        <v>0</v>
      </c>
      <c r="H1151" s="106">
        <v>0</v>
      </c>
      <c r="I1151" s="106"/>
      <c r="J1151" s="106"/>
      <c r="K1151" s="106"/>
      <c r="L1151" s="213">
        <v>0</v>
      </c>
      <c r="M1151" s="213">
        <v>0</v>
      </c>
      <c r="N1151" s="213">
        <v>0</v>
      </c>
      <c r="O1151" s="213">
        <v>0</v>
      </c>
      <c r="P1151" s="108">
        <v>0</v>
      </c>
      <c r="Q1151" s="108">
        <v>0</v>
      </c>
      <c r="R1151" s="108">
        <v>0</v>
      </c>
      <c r="S1151" s="108">
        <v>0</v>
      </c>
      <c r="T1151" s="108">
        <v>0</v>
      </c>
      <c r="U1151" s="108">
        <v>0</v>
      </c>
      <c r="V1151" s="108">
        <v>0</v>
      </c>
      <c r="W1151" s="108">
        <v>0</v>
      </c>
    </row>
    <row r="1152" spans="1:23">
      <c r="A1152" s="103">
        <v>45062</v>
      </c>
      <c r="B1152" s="104" t="s">
        <v>33</v>
      </c>
      <c r="C1152" s="145">
        <v>0</v>
      </c>
      <c r="D1152" s="145"/>
      <c r="E1152" s="104">
        <v>0</v>
      </c>
      <c r="F1152" s="106">
        <v>0</v>
      </c>
      <c r="G1152" s="107">
        <v>0</v>
      </c>
      <c r="H1152" s="106">
        <v>0</v>
      </c>
      <c r="I1152" s="106"/>
      <c r="J1152" s="106"/>
      <c r="K1152" s="106"/>
      <c r="L1152" s="213">
        <v>0</v>
      </c>
      <c r="M1152" s="213">
        <v>0</v>
      </c>
      <c r="N1152" s="213">
        <v>0</v>
      </c>
      <c r="O1152" s="213">
        <v>0</v>
      </c>
      <c r="P1152" s="108">
        <v>0</v>
      </c>
      <c r="Q1152" s="108">
        <v>0</v>
      </c>
      <c r="R1152" s="108">
        <v>0</v>
      </c>
      <c r="S1152" s="108">
        <v>0</v>
      </c>
      <c r="T1152" s="108">
        <v>0</v>
      </c>
      <c r="U1152" s="108">
        <v>0</v>
      </c>
      <c r="V1152" s="108">
        <v>0</v>
      </c>
      <c r="W1152" s="108">
        <v>0</v>
      </c>
    </row>
    <row r="1153" spans="1:23">
      <c r="A1153" s="103">
        <v>45062</v>
      </c>
      <c r="B1153" s="104" t="s">
        <v>34</v>
      </c>
      <c r="C1153" s="145">
        <v>0</v>
      </c>
      <c r="D1153" s="145"/>
      <c r="E1153" s="104">
        <v>0</v>
      </c>
      <c r="F1153" s="106">
        <v>0</v>
      </c>
      <c r="G1153" s="107">
        <v>0</v>
      </c>
      <c r="H1153" s="106">
        <v>0</v>
      </c>
      <c r="I1153" s="106"/>
      <c r="J1153" s="106"/>
      <c r="K1153" s="106"/>
      <c r="L1153" s="213">
        <v>0</v>
      </c>
      <c r="M1153" s="213">
        <v>0</v>
      </c>
      <c r="N1153" s="213">
        <v>0</v>
      </c>
      <c r="O1153" s="213">
        <v>0</v>
      </c>
      <c r="P1153" s="108">
        <v>0</v>
      </c>
      <c r="Q1153" s="108">
        <v>0</v>
      </c>
      <c r="R1153" s="108">
        <v>0</v>
      </c>
      <c r="S1153" s="108">
        <v>0</v>
      </c>
      <c r="T1153" s="108">
        <v>0</v>
      </c>
      <c r="U1153" s="108">
        <v>0</v>
      </c>
      <c r="V1153" s="108">
        <v>0</v>
      </c>
      <c r="W1153" s="108">
        <v>0</v>
      </c>
    </row>
    <row r="1154" spans="1:23">
      <c r="A1154" s="103">
        <v>45062</v>
      </c>
      <c r="B1154" s="104" t="s">
        <v>35</v>
      </c>
      <c r="C1154" s="145">
        <v>0</v>
      </c>
      <c r="D1154" s="145"/>
      <c r="E1154" s="104">
        <v>0</v>
      </c>
      <c r="F1154" s="106">
        <v>0</v>
      </c>
      <c r="G1154" s="107">
        <v>0</v>
      </c>
      <c r="H1154" s="106">
        <v>0</v>
      </c>
      <c r="I1154" s="106"/>
      <c r="J1154" s="106"/>
      <c r="K1154" s="106"/>
      <c r="L1154" s="213">
        <v>0</v>
      </c>
      <c r="M1154" s="213">
        <v>0</v>
      </c>
      <c r="N1154" s="213">
        <v>0</v>
      </c>
      <c r="O1154" s="213">
        <v>0</v>
      </c>
      <c r="P1154" s="108">
        <v>0</v>
      </c>
      <c r="Q1154" s="108">
        <v>0</v>
      </c>
      <c r="R1154" s="108">
        <v>0</v>
      </c>
      <c r="S1154" s="108">
        <v>0</v>
      </c>
      <c r="T1154" s="108">
        <v>0</v>
      </c>
      <c r="U1154" s="108">
        <v>0</v>
      </c>
      <c r="V1154" s="108">
        <v>0</v>
      </c>
      <c r="W1154" s="108">
        <v>0</v>
      </c>
    </row>
    <row r="1155" spans="1:23">
      <c r="A1155" s="103">
        <v>45062</v>
      </c>
      <c r="B1155" s="104" t="s">
        <v>36</v>
      </c>
      <c r="C1155" s="145">
        <v>0</v>
      </c>
      <c r="D1155" s="145"/>
      <c r="E1155" s="104">
        <v>0</v>
      </c>
      <c r="F1155" s="106">
        <v>0</v>
      </c>
      <c r="G1155" s="107">
        <v>0</v>
      </c>
      <c r="H1155" s="106">
        <v>0</v>
      </c>
      <c r="I1155" s="106"/>
      <c r="J1155" s="106"/>
      <c r="K1155" s="106"/>
      <c r="L1155" s="213">
        <v>0</v>
      </c>
      <c r="M1155" s="213">
        <v>0</v>
      </c>
      <c r="N1155" s="213">
        <v>0</v>
      </c>
      <c r="O1155" s="213">
        <v>0</v>
      </c>
      <c r="P1155" s="108">
        <v>0</v>
      </c>
      <c r="Q1155" s="108">
        <v>0</v>
      </c>
      <c r="R1155" s="108">
        <v>0</v>
      </c>
      <c r="S1155" s="108">
        <v>0</v>
      </c>
      <c r="T1155" s="108">
        <v>0</v>
      </c>
      <c r="U1155" s="108">
        <v>0</v>
      </c>
      <c r="V1155" s="108">
        <v>0</v>
      </c>
      <c r="W1155" s="108">
        <v>0</v>
      </c>
    </row>
    <row r="1156" spans="1:23">
      <c r="A1156" s="103">
        <v>45062</v>
      </c>
      <c r="B1156" s="104" t="s">
        <v>37</v>
      </c>
      <c r="C1156" s="145">
        <v>0</v>
      </c>
      <c r="D1156" s="145"/>
      <c r="E1156" s="104">
        <v>0</v>
      </c>
      <c r="F1156" s="106">
        <v>0</v>
      </c>
      <c r="G1156" s="107">
        <v>0</v>
      </c>
      <c r="H1156" s="106">
        <v>0</v>
      </c>
      <c r="I1156" s="106"/>
      <c r="J1156" s="106"/>
      <c r="K1156" s="106"/>
      <c r="L1156" s="213">
        <v>0</v>
      </c>
      <c r="M1156" s="213">
        <v>0</v>
      </c>
      <c r="N1156" s="213">
        <v>0</v>
      </c>
      <c r="O1156" s="213">
        <v>0</v>
      </c>
      <c r="P1156" s="108">
        <v>-1</v>
      </c>
      <c r="Q1156" s="108">
        <v>-0.333333333333333</v>
      </c>
      <c r="R1156" s="108">
        <v>-0.6</v>
      </c>
      <c r="S1156" s="108">
        <v>-0.714285714285714</v>
      </c>
      <c r="T1156" s="108">
        <v>0</v>
      </c>
      <c r="U1156" s="108">
        <v>0</v>
      </c>
      <c r="V1156" s="108">
        <v>0</v>
      </c>
      <c r="W1156" s="108">
        <v>0</v>
      </c>
    </row>
    <row r="1157" spans="1:23">
      <c r="A1157" s="103">
        <v>45062</v>
      </c>
      <c r="B1157" s="104" t="s">
        <v>38</v>
      </c>
      <c r="C1157" s="145">
        <v>0</v>
      </c>
      <c r="D1157" s="145"/>
      <c r="E1157" s="104">
        <v>0</v>
      </c>
      <c r="F1157" s="106">
        <v>0</v>
      </c>
      <c r="G1157" s="107">
        <v>0</v>
      </c>
      <c r="H1157" s="106">
        <v>0</v>
      </c>
      <c r="I1157" s="106"/>
      <c r="J1157" s="106"/>
      <c r="K1157" s="106"/>
      <c r="L1157" s="213">
        <v>0</v>
      </c>
      <c r="M1157" s="213">
        <v>0</v>
      </c>
      <c r="N1157" s="213">
        <v>0</v>
      </c>
      <c r="O1157" s="213">
        <v>0</v>
      </c>
      <c r="P1157" s="108">
        <v>0</v>
      </c>
      <c r="Q1157" s="108">
        <v>0</v>
      </c>
      <c r="R1157" s="108">
        <v>0</v>
      </c>
      <c r="S1157" s="108">
        <v>0</v>
      </c>
      <c r="T1157" s="108">
        <v>0</v>
      </c>
      <c r="U1157" s="108">
        <v>0</v>
      </c>
      <c r="V1157" s="108">
        <v>0</v>
      </c>
      <c r="W1157" s="108">
        <v>0</v>
      </c>
    </row>
    <row r="1158" spans="1:23">
      <c r="A1158" s="103">
        <v>45062</v>
      </c>
      <c r="B1158" s="111" t="s">
        <v>39</v>
      </c>
      <c r="C1158" s="112">
        <v>19033</v>
      </c>
      <c r="D1158" s="112"/>
      <c r="E1158" s="112">
        <v>345</v>
      </c>
      <c r="F1158" s="113">
        <v>0.0181264120212263</v>
      </c>
      <c r="G1158" s="112">
        <v>120</v>
      </c>
      <c r="H1158" s="113">
        <v>0.347826086956522</v>
      </c>
      <c r="I1158" s="113"/>
      <c r="J1158" s="113"/>
      <c r="K1158" s="113"/>
      <c r="L1158" s="213"/>
      <c r="M1158" s="213"/>
      <c r="N1158" s="213"/>
      <c r="O1158" s="213"/>
      <c r="P1158" s="108"/>
      <c r="Q1158" s="108"/>
      <c r="R1158" s="108"/>
      <c r="S1158" s="108"/>
      <c r="T1158" s="108"/>
      <c r="U1158" s="108"/>
      <c r="V1158" s="108"/>
      <c r="W1158" s="108"/>
    </row>
    <row r="1159" spans="1:23">
      <c r="A1159" s="103">
        <v>45063</v>
      </c>
      <c r="B1159" s="104" t="s">
        <v>17</v>
      </c>
      <c r="C1159" s="105">
        <v>3</v>
      </c>
      <c r="D1159" s="105"/>
      <c r="E1159" s="104">
        <v>16</v>
      </c>
      <c r="F1159" s="106">
        <v>5.33333333333333</v>
      </c>
      <c r="G1159" s="107">
        <v>8</v>
      </c>
      <c r="H1159" s="106">
        <v>0.5</v>
      </c>
      <c r="I1159" s="106"/>
      <c r="J1159" s="106"/>
      <c r="K1159" s="106"/>
      <c r="L1159" s="213">
        <v>1</v>
      </c>
      <c r="M1159" s="213">
        <v>1.66666666666667</v>
      </c>
      <c r="N1159" s="213">
        <v>1.8</v>
      </c>
      <c r="O1159" s="213">
        <v>2.14285714285714</v>
      </c>
      <c r="P1159" s="108">
        <v>-2</v>
      </c>
      <c r="Q1159" s="108">
        <v>-2.66666666666667</v>
      </c>
      <c r="R1159" s="108">
        <v>-6.2</v>
      </c>
      <c r="S1159" s="108">
        <v>-8.71428571428572</v>
      </c>
      <c r="T1159" s="108">
        <v>3</v>
      </c>
      <c r="U1159" s="108">
        <v>3.33333333333333</v>
      </c>
      <c r="V1159" s="108">
        <v>2.4</v>
      </c>
      <c r="W1159" s="108">
        <v>2.57142857142857</v>
      </c>
    </row>
    <row r="1160" spans="1:23">
      <c r="A1160" s="103">
        <v>45063</v>
      </c>
      <c r="B1160" s="104" t="s">
        <v>19</v>
      </c>
      <c r="C1160" s="107">
        <v>226</v>
      </c>
      <c r="D1160" s="107"/>
      <c r="E1160" s="104">
        <v>5</v>
      </c>
      <c r="F1160" s="106">
        <v>0.0110619469026549</v>
      </c>
      <c r="G1160" s="107">
        <v>3</v>
      </c>
      <c r="H1160" s="106">
        <v>0.6</v>
      </c>
      <c r="I1160" s="106"/>
      <c r="J1160" s="106"/>
      <c r="K1160" s="106"/>
      <c r="L1160" s="213">
        <v>158</v>
      </c>
      <c r="M1160" s="213">
        <v>108.666666666667</v>
      </c>
      <c r="N1160" s="213">
        <v>94.8</v>
      </c>
      <c r="O1160" s="213">
        <v>85.1428571428572</v>
      </c>
      <c r="P1160" s="108">
        <v>-4</v>
      </c>
      <c r="Q1160" s="108">
        <v>-8</v>
      </c>
      <c r="R1160" s="108">
        <v>-7.2</v>
      </c>
      <c r="S1160" s="108">
        <v>-6.28571428571429</v>
      </c>
      <c r="T1160" s="108">
        <v>-3</v>
      </c>
      <c r="U1160" s="108">
        <v>-1.33333333333333</v>
      </c>
      <c r="V1160" s="108">
        <v>-1.4</v>
      </c>
      <c r="W1160" s="115">
        <v>-1.57142857142857</v>
      </c>
    </row>
    <row r="1161" spans="1:23">
      <c r="A1161" s="103">
        <v>45063</v>
      </c>
      <c r="B1161" s="104" t="s">
        <v>21</v>
      </c>
      <c r="C1161" s="105">
        <v>586</v>
      </c>
      <c r="D1161" s="105"/>
      <c r="E1161" s="104">
        <v>30</v>
      </c>
      <c r="F1161" s="106">
        <v>0.0511945392491468</v>
      </c>
      <c r="G1161" s="107">
        <v>13</v>
      </c>
      <c r="H1161" s="106">
        <v>0.433333333333333</v>
      </c>
      <c r="I1161" s="106"/>
      <c r="J1161" s="106"/>
      <c r="K1161" s="106"/>
      <c r="L1161" s="213">
        <v>0</v>
      </c>
      <c r="M1161" s="213">
        <v>-112.666666666667</v>
      </c>
      <c r="N1161" s="213">
        <v>-171.2</v>
      </c>
      <c r="O1161" s="213">
        <v>-142.714285714286</v>
      </c>
      <c r="P1161" s="108">
        <v>4</v>
      </c>
      <c r="Q1161" s="108">
        <v>-0.666666666666668</v>
      </c>
      <c r="R1161" s="108">
        <v>-0.199999999999999</v>
      </c>
      <c r="S1161" s="108">
        <v>1</v>
      </c>
      <c r="T1161" s="108">
        <v>4</v>
      </c>
      <c r="U1161" s="108">
        <v>3.33333333333333</v>
      </c>
      <c r="V1161" s="108">
        <v>4</v>
      </c>
      <c r="W1161" s="108">
        <v>3</v>
      </c>
    </row>
    <row r="1162" spans="1:23">
      <c r="A1162" s="103">
        <v>45063</v>
      </c>
      <c r="B1162" s="104" t="s">
        <v>22</v>
      </c>
      <c r="C1162" s="105">
        <v>3614</v>
      </c>
      <c r="D1162" s="105"/>
      <c r="E1162" s="104">
        <v>133</v>
      </c>
      <c r="F1162" s="106">
        <v>0.0368013281682346</v>
      </c>
      <c r="G1162" s="107">
        <v>51</v>
      </c>
      <c r="H1162" s="106">
        <v>0.383458646616541</v>
      </c>
      <c r="I1162" s="106"/>
      <c r="J1162" s="106"/>
      <c r="K1162" s="106"/>
      <c r="L1162" s="213">
        <v>312</v>
      </c>
      <c r="M1162" s="213">
        <v>563.666666666667</v>
      </c>
      <c r="N1162" s="213">
        <v>698</v>
      </c>
      <c r="O1162" s="213">
        <v>887.571428571428</v>
      </c>
      <c r="P1162" s="108">
        <v>29</v>
      </c>
      <c r="Q1162" s="108">
        <v>29.3333333333333</v>
      </c>
      <c r="R1162" s="108">
        <v>36</v>
      </c>
      <c r="S1162" s="115">
        <v>44.4285714285714</v>
      </c>
      <c r="T1162" s="108">
        <v>14</v>
      </c>
      <c r="U1162" s="108">
        <v>19</v>
      </c>
      <c r="V1162" s="108">
        <v>21</v>
      </c>
      <c r="W1162" s="117">
        <v>22.2857142857143</v>
      </c>
    </row>
    <row r="1163" spans="1:23">
      <c r="A1163" s="103">
        <v>45063</v>
      </c>
      <c r="B1163" s="104" t="s">
        <v>23</v>
      </c>
      <c r="C1163" s="105">
        <v>2136</v>
      </c>
      <c r="D1163" s="105"/>
      <c r="E1163" s="104">
        <v>17</v>
      </c>
      <c r="F1163" s="106">
        <v>0.00795880149812734</v>
      </c>
      <c r="G1163" s="107">
        <v>4</v>
      </c>
      <c r="H1163" s="106">
        <v>0.235294117647059</v>
      </c>
      <c r="I1163" s="106"/>
      <c r="J1163" s="106"/>
      <c r="K1163" s="106"/>
      <c r="L1163" s="213">
        <v>-159</v>
      </c>
      <c r="M1163" s="213">
        <v>-120.666666666667</v>
      </c>
      <c r="N1163" s="213">
        <v>-96.8000000000002</v>
      </c>
      <c r="O1163" s="213">
        <v>-83.7142857142858</v>
      </c>
      <c r="P1163" s="108">
        <v>3</v>
      </c>
      <c r="Q1163" s="108">
        <v>3.33333333333333</v>
      </c>
      <c r="R1163" s="108">
        <v>3.6</v>
      </c>
      <c r="S1163" s="108">
        <v>4.14285714285714</v>
      </c>
      <c r="T1163" s="108">
        <v>0</v>
      </c>
      <c r="U1163" s="116">
        <v>-0.666666666666667</v>
      </c>
      <c r="V1163" s="108">
        <v>-1</v>
      </c>
      <c r="W1163" s="108">
        <v>-1.42857142857143</v>
      </c>
    </row>
    <row r="1164" spans="1:23">
      <c r="A1164" s="103">
        <v>45063</v>
      </c>
      <c r="B1164" s="104" t="s">
        <v>24</v>
      </c>
      <c r="C1164" s="105">
        <v>2061</v>
      </c>
      <c r="D1164" s="105"/>
      <c r="E1164" s="104">
        <v>197</v>
      </c>
      <c r="F1164" s="106">
        <v>0.0955846676370694</v>
      </c>
      <c r="G1164" s="107">
        <v>55</v>
      </c>
      <c r="H1164" s="106">
        <v>0.279187817258883</v>
      </c>
      <c r="I1164" s="106"/>
      <c r="J1164" s="106"/>
      <c r="K1164" s="106"/>
      <c r="L1164" s="213">
        <v>109</v>
      </c>
      <c r="M1164" s="213">
        <v>-299.333333333333</v>
      </c>
      <c r="N1164" s="213">
        <v>-618.6</v>
      </c>
      <c r="O1164" s="213">
        <v>-653.285714285714</v>
      </c>
      <c r="P1164" s="115">
        <v>86</v>
      </c>
      <c r="Q1164" s="115">
        <v>63</v>
      </c>
      <c r="R1164" s="115">
        <v>84</v>
      </c>
      <c r="S1164" s="115">
        <v>90.4285714285714</v>
      </c>
      <c r="T1164" s="115">
        <v>21</v>
      </c>
      <c r="U1164" s="115">
        <v>19</v>
      </c>
      <c r="V1164" s="115">
        <v>25.8</v>
      </c>
      <c r="W1164" s="115">
        <v>27.5714285714286</v>
      </c>
    </row>
    <row r="1165" spans="1:23">
      <c r="A1165" s="103">
        <v>45063</v>
      </c>
      <c r="B1165" s="104" t="s">
        <v>25</v>
      </c>
      <c r="C1165" s="145">
        <v>6407</v>
      </c>
      <c r="D1165" s="145"/>
      <c r="E1165" s="104">
        <v>27</v>
      </c>
      <c r="F1165" s="106">
        <v>0.00210707039175901</v>
      </c>
      <c r="G1165" s="107">
        <v>12</v>
      </c>
      <c r="H1165" s="106">
        <v>0.444444444444444</v>
      </c>
      <c r="I1165" s="106"/>
      <c r="J1165" s="106"/>
      <c r="K1165" s="106"/>
      <c r="L1165" s="213">
        <v>8882</v>
      </c>
      <c r="M1165" s="213">
        <v>3875.33333333333</v>
      </c>
      <c r="N1165" s="213">
        <v>4195.6</v>
      </c>
      <c r="O1165" s="213">
        <v>3666.57142857143</v>
      </c>
      <c r="P1165" s="116">
        <v>8</v>
      </c>
      <c r="Q1165" s="115">
        <v>7</v>
      </c>
      <c r="R1165" s="115">
        <v>6.8</v>
      </c>
      <c r="S1165" s="115">
        <v>4.42857142857143</v>
      </c>
      <c r="T1165" s="108">
        <v>2</v>
      </c>
      <c r="U1165" s="108">
        <v>2.66666666666667</v>
      </c>
      <c r="V1165" s="108">
        <v>1.6</v>
      </c>
      <c r="W1165" s="108">
        <v>1.28571428571429</v>
      </c>
    </row>
    <row r="1166" spans="1:23">
      <c r="A1166" s="103">
        <v>45063</v>
      </c>
      <c r="B1166" s="104" t="s">
        <v>26</v>
      </c>
      <c r="C1166" s="145">
        <v>2183</v>
      </c>
      <c r="D1166" s="145"/>
      <c r="E1166" s="104">
        <v>26</v>
      </c>
      <c r="F1166" s="106">
        <v>0.0059551076500229</v>
      </c>
      <c r="G1166" s="107">
        <v>10</v>
      </c>
      <c r="H1166" s="106">
        <v>0.384615384615385</v>
      </c>
      <c r="I1166" s="106"/>
      <c r="J1166" s="106"/>
      <c r="K1166" s="106"/>
      <c r="L1166" s="213">
        <v>114</v>
      </c>
      <c r="M1166" s="213">
        <v>300</v>
      </c>
      <c r="N1166" s="213">
        <v>336</v>
      </c>
      <c r="O1166" s="213">
        <v>420.285714285714</v>
      </c>
      <c r="P1166" s="108">
        <v>10</v>
      </c>
      <c r="Q1166" s="108">
        <v>9</v>
      </c>
      <c r="R1166" s="108">
        <v>10.4</v>
      </c>
      <c r="S1166" s="108">
        <v>10.4285714285714</v>
      </c>
      <c r="T1166" s="108">
        <v>4</v>
      </c>
      <c r="U1166" s="108">
        <v>4.33333333333333</v>
      </c>
      <c r="V1166" s="108">
        <v>3.2</v>
      </c>
      <c r="W1166" s="108">
        <v>3.28571428571429</v>
      </c>
    </row>
    <row r="1167" spans="1:23">
      <c r="A1167" s="103">
        <v>45063</v>
      </c>
      <c r="B1167" s="104" t="s">
        <v>27</v>
      </c>
      <c r="C1167" s="145">
        <v>1092</v>
      </c>
      <c r="D1167" s="145"/>
      <c r="E1167" s="104">
        <v>36</v>
      </c>
      <c r="F1167" s="106">
        <v>0.0164835164835165</v>
      </c>
      <c r="G1167" s="107">
        <v>20</v>
      </c>
      <c r="H1167" s="106">
        <v>0.555555555555556</v>
      </c>
      <c r="I1167" s="106"/>
      <c r="J1167" s="106"/>
      <c r="K1167" s="106"/>
      <c r="L1167" s="213">
        <v>-234</v>
      </c>
      <c r="M1167" s="213">
        <v>-2143.33333333333</v>
      </c>
      <c r="N1167" s="213">
        <v>-2502.4</v>
      </c>
      <c r="O1167" s="213">
        <v>-2707.14285714286</v>
      </c>
      <c r="P1167" s="108">
        <v>8</v>
      </c>
      <c r="Q1167" s="108">
        <v>-28.3333333333333</v>
      </c>
      <c r="R1167" s="108">
        <v>-38.2</v>
      </c>
      <c r="S1167" s="108">
        <v>-35</v>
      </c>
      <c r="T1167" s="108">
        <v>11</v>
      </c>
      <c r="U1167" s="108">
        <v>-0.333333333333332</v>
      </c>
      <c r="V1167" s="108">
        <v>-4</v>
      </c>
      <c r="W1167" s="108">
        <v>-1.14285714285714</v>
      </c>
    </row>
    <row r="1168" spans="1:23">
      <c r="A1168" s="103">
        <v>45063</v>
      </c>
      <c r="B1168" s="104" t="s">
        <v>28</v>
      </c>
      <c r="C1168" s="145">
        <v>0</v>
      </c>
      <c r="D1168" s="145"/>
      <c r="E1168" s="104">
        <v>0</v>
      </c>
      <c r="F1168" s="106">
        <v>0</v>
      </c>
      <c r="G1168" s="107">
        <v>0</v>
      </c>
      <c r="H1168" s="106">
        <v>0</v>
      </c>
      <c r="I1168" s="106"/>
      <c r="J1168" s="106"/>
      <c r="K1168" s="106"/>
      <c r="L1168" s="213">
        <v>0</v>
      </c>
      <c r="M1168" s="213">
        <v>0</v>
      </c>
      <c r="N1168" s="213">
        <v>0</v>
      </c>
      <c r="O1168" s="213">
        <v>0</v>
      </c>
      <c r="P1168" s="108">
        <v>0</v>
      </c>
      <c r="Q1168" s="108">
        <v>0</v>
      </c>
      <c r="R1168" s="108">
        <v>0</v>
      </c>
      <c r="S1168" s="108">
        <v>0</v>
      </c>
      <c r="T1168" s="108">
        <v>0</v>
      </c>
      <c r="U1168" s="108">
        <v>0</v>
      </c>
      <c r="V1168" s="108">
        <v>0</v>
      </c>
      <c r="W1168" s="108">
        <v>0</v>
      </c>
    </row>
    <row r="1169" spans="1:23">
      <c r="A1169" s="103">
        <v>45063</v>
      </c>
      <c r="B1169" s="104" t="s">
        <v>29</v>
      </c>
      <c r="C1169" s="145">
        <v>1</v>
      </c>
      <c r="D1169" s="145"/>
      <c r="E1169" s="104">
        <v>0</v>
      </c>
      <c r="F1169" s="106">
        <v>0</v>
      </c>
      <c r="G1169" s="107">
        <v>0</v>
      </c>
      <c r="H1169" s="106">
        <v>0</v>
      </c>
      <c r="I1169" s="106"/>
      <c r="J1169" s="106"/>
      <c r="K1169" s="106"/>
      <c r="L1169" s="213">
        <v>1</v>
      </c>
      <c r="M1169" s="213">
        <v>1</v>
      </c>
      <c r="N1169" s="213">
        <v>0.8</v>
      </c>
      <c r="O1169" s="213">
        <v>0.714285714285714</v>
      </c>
      <c r="P1169" s="108">
        <v>0</v>
      </c>
      <c r="Q1169" s="108">
        <v>0</v>
      </c>
      <c r="R1169" s="108">
        <v>-0.2</v>
      </c>
      <c r="S1169" s="108">
        <v>-0.142857142857143</v>
      </c>
      <c r="T1169" s="108">
        <v>0</v>
      </c>
      <c r="U1169" s="108">
        <v>0</v>
      </c>
      <c r="V1169" s="108">
        <v>0</v>
      </c>
      <c r="W1169" s="108">
        <v>0</v>
      </c>
    </row>
    <row r="1170" spans="1:23">
      <c r="A1170" s="103">
        <v>45063</v>
      </c>
      <c r="B1170" s="104" t="s">
        <v>30</v>
      </c>
      <c r="C1170" s="145">
        <v>0</v>
      </c>
      <c r="D1170" s="145"/>
      <c r="E1170" s="104">
        <v>0</v>
      </c>
      <c r="F1170" s="106">
        <v>0</v>
      </c>
      <c r="G1170" s="107">
        <v>0</v>
      </c>
      <c r="H1170" s="106">
        <v>0</v>
      </c>
      <c r="I1170" s="106"/>
      <c r="J1170" s="106"/>
      <c r="K1170" s="106"/>
      <c r="L1170" s="213">
        <v>0</v>
      </c>
      <c r="M1170" s="213">
        <v>0</v>
      </c>
      <c r="N1170" s="213">
        <v>0</v>
      </c>
      <c r="O1170" s="213">
        <v>0</v>
      </c>
      <c r="P1170" s="108">
        <v>0</v>
      </c>
      <c r="Q1170" s="108">
        <v>0</v>
      </c>
      <c r="R1170" s="108">
        <v>0</v>
      </c>
      <c r="S1170" s="108">
        <v>0</v>
      </c>
      <c r="T1170" s="108">
        <v>0</v>
      </c>
      <c r="U1170" s="108">
        <v>0</v>
      </c>
      <c r="V1170" s="108">
        <v>0</v>
      </c>
      <c r="W1170" s="108">
        <v>0</v>
      </c>
    </row>
    <row r="1171" spans="1:23">
      <c r="A1171" s="103">
        <v>45063</v>
      </c>
      <c r="B1171" s="104" t="s">
        <v>31</v>
      </c>
      <c r="C1171" s="145">
        <v>0</v>
      </c>
      <c r="D1171" s="145"/>
      <c r="E1171" s="104">
        <v>0</v>
      </c>
      <c r="F1171" s="106">
        <v>0</v>
      </c>
      <c r="G1171" s="107">
        <v>0</v>
      </c>
      <c r="H1171" s="106">
        <v>0</v>
      </c>
      <c r="I1171" s="106"/>
      <c r="J1171" s="106"/>
      <c r="K1171" s="106"/>
      <c r="L1171" s="213">
        <v>0</v>
      </c>
      <c r="M1171" s="213">
        <v>0</v>
      </c>
      <c r="N1171" s="213">
        <v>0</v>
      </c>
      <c r="O1171" s="213">
        <v>0</v>
      </c>
      <c r="P1171" s="108">
        <v>0</v>
      </c>
      <c r="Q1171" s="108">
        <v>0</v>
      </c>
      <c r="R1171" s="108">
        <v>-0.2</v>
      </c>
      <c r="S1171" s="108">
        <v>-0.142857142857143</v>
      </c>
      <c r="T1171" s="108">
        <v>0</v>
      </c>
      <c r="U1171" s="108">
        <v>0</v>
      </c>
      <c r="V1171" s="108">
        <v>0</v>
      </c>
      <c r="W1171" s="108">
        <v>0</v>
      </c>
    </row>
    <row r="1172" spans="1:23">
      <c r="A1172" s="103">
        <v>45063</v>
      </c>
      <c r="B1172" s="104" t="s">
        <v>32</v>
      </c>
      <c r="C1172" s="145">
        <v>0</v>
      </c>
      <c r="D1172" s="145"/>
      <c r="E1172" s="104">
        <v>0</v>
      </c>
      <c r="F1172" s="106">
        <v>0</v>
      </c>
      <c r="G1172" s="107">
        <v>0</v>
      </c>
      <c r="H1172" s="106">
        <v>0</v>
      </c>
      <c r="I1172" s="106"/>
      <c r="J1172" s="106"/>
      <c r="K1172" s="106"/>
      <c r="L1172" s="213">
        <v>0</v>
      </c>
      <c r="M1172" s="213">
        <v>0</v>
      </c>
      <c r="N1172" s="213">
        <v>0</v>
      </c>
      <c r="O1172" s="213">
        <v>0</v>
      </c>
      <c r="P1172" s="108">
        <v>0</v>
      </c>
      <c r="Q1172" s="108">
        <v>0</v>
      </c>
      <c r="R1172" s="108">
        <v>0</v>
      </c>
      <c r="S1172" s="108">
        <v>0</v>
      </c>
      <c r="T1172" s="108">
        <v>0</v>
      </c>
      <c r="U1172" s="108">
        <v>0</v>
      </c>
      <c r="V1172" s="108">
        <v>0</v>
      </c>
      <c r="W1172" s="108">
        <v>0</v>
      </c>
    </row>
    <row r="1173" spans="1:23">
      <c r="A1173" s="103">
        <v>45063</v>
      </c>
      <c r="B1173" s="104" t="s">
        <v>33</v>
      </c>
      <c r="C1173" s="145">
        <v>0</v>
      </c>
      <c r="D1173" s="145"/>
      <c r="E1173" s="104">
        <v>0</v>
      </c>
      <c r="F1173" s="106">
        <v>0</v>
      </c>
      <c r="G1173" s="107">
        <v>0</v>
      </c>
      <c r="H1173" s="106">
        <v>0</v>
      </c>
      <c r="I1173" s="106"/>
      <c r="J1173" s="106"/>
      <c r="K1173" s="106"/>
      <c r="L1173" s="213">
        <v>0</v>
      </c>
      <c r="M1173" s="213">
        <v>0</v>
      </c>
      <c r="N1173" s="213">
        <v>0</v>
      </c>
      <c r="O1173" s="213">
        <v>0</v>
      </c>
      <c r="P1173" s="108">
        <v>0</v>
      </c>
      <c r="Q1173" s="108">
        <v>0</v>
      </c>
      <c r="R1173" s="108">
        <v>0</v>
      </c>
      <c r="S1173" s="108">
        <v>0</v>
      </c>
      <c r="T1173" s="108">
        <v>0</v>
      </c>
      <c r="U1173" s="108">
        <v>0</v>
      </c>
      <c r="V1173" s="108">
        <v>0</v>
      </c>
      <c r="W1173" s="108">
        <v>0</v>
      </c>
    </row>
    <row r="1174" spans="1:23">
      <c r="A1174" s="103">
        <v>45063</v>
      </c>
      <c r="B1174" s="104" t="s">
        <v>34</v>
      </c>
      <c r="C1174" s="145">
        <v>0</v>
      </c>
      <c r="D1174" s="145"/>
      <c r="E1174" s="104">
        <v>0</v>
      </c>
      <c r="F1174" s="106">
        <v>0</v>
      </c>
      <c r="G1174" s="107">
        <v>0</v>
      </c>
      <c r="H1174" s="106">
        <v>0</v>
      </c>
      <c r="I1174" s="106"/>
      <c r="J1174" s="106"/>
      <c r="K1174" s="106"/>
      <c r="L1174" s="213">
        <v>0</v>
      </c>
      <c r="M1174" s="213">
        <v>0</v>
      </c>
      <c r="N1174" s="213">
        <v>0</v>
      </c>
      <c r="O1174" s="213">
        <v>0</v>
      </c>
      <c r="P1174" s="108">
        <v>0</v>
      </c>
      <c r="Q1174" s="108">
        <v>0</v>
      </c>
      <c r="R1174" s="108">
        <v>0</v>
      </c>
      <c r="S1174" s="108">
        <v>0</v>
      </c>
      <c r="T1174" s="108">
        <v>0</v>
      </c>
      <c r="U1174" s="108">
        <v>0</v>
      </c>
      <c r="V1174" s="108">
        <v>0</v>
      </c>
      <c r="W1174" s="108">
        <v>0</v>
      </c>
    </row>
    <row r="1175" spans="1:23">
      <c r="A1175" s="103">
        <v>45063</v>
      </c>
      <c r="B1175" s="104" t="s">
        <v>35</v>
      </c>
      <c r="C1175" s="145">
        <v>0</v>
      </c>
      <c r="D1175" s="145"/>
      <c r="E1175" s="104">
        <v>0</v>
      </c>
      <c r="F1175" s="106">
        <v>0</v>
      </c>
      <c r="G1175" s="107">
        <v>0</v>
      </c>
      <c r="H1175" s="106">
        <v>0</v>
      </c>
      <c r="I1175" s="106"/>
      <c r="J1175" s="106"/>
      <c r="K1175" s="106"/>
      <c r="L1175" s="213">
        <v>0</v>
      </c>
      <c r="M1175" s="213">
        <v>0</v>
      </c>
      <c r="N1175" s="213">
        <v>0</v>
      </c>
      <c r="O1175" s="213">
        <v>0</v>
      </c>
      <c r="P1175" s="108">
        <v>0</v>
      </c>
      <c r="Q1175" s="108">
        <v>0</v>
      </c>
      <c r="R1175" s="108">
        <v>0</v>
      </c>
      <c r="S1175" s="108">
        <v>0</v>
      </c>
      <c r="T1175" s="108">
        <v>0</v>
      </c>
      <c r="U1175" s="108">
        <v>0</v>
      </c>
      <c r="V1175" s="108">
        <v>0</v>
      </c>
      <c r="W1175" s="108">
        <v>0</v>
      </c>
    </row>
    <row r="1176" spans="1:23">
      <c r="A1176" s="103">
        <v>45063</v>
      </c>
      <c r="B1176" s="104" t="s">
        <v>36</v>
      </c>
      <c r="C1176" s="145">
        <v>0</v>
      </c>
      <c r="D1176" s="145"/>
      <c r="E1176" s="104">
        <v>0</v>
      </c>
      <c r="F1176" s="106">
        <v>0</v>
      </c>
      <c r="G1176" s="107">
        <v>0</v>
      </c>
      <c r="H1176" s="106">
        <v>0</v>
      </c>
      <c r="I1176" s="106"/>
      <c r="J1176" s="106"/>
      <c r="K1176" s="106"/>
      <c r="L1176" s="213">
        <v>0</v>
      </c>
      <c r="M1176" s="213">
        <v>0</v>
      </c>
      <c r="N1176" s="213">
        <v>0</v>
      </c>
      <c r="O1176" s="213">
        <v>0</v>
      </c>
      <c r="P1176" s="108">
        <v>0</v>
      </c>
      <c r="Q1176" s="108">
        <v>0</v>
      </c>
      <c r="R1176" s="108">
        <v>0</v>
      </c>
      <c r="S1176" s="108">
        <v>0</v>
      </c>
      <c r="T1176" s="108">
        <v>0</v>
      </c>
      <c r="U1176" s="108">
        <v>0</v>
      </c>
      <c r="V1176" s="108">
        <v>0</v>
      </c>
      <c r="W1176" s="108">
        <v>0</v>
      </c>
    </row>
    <row r="1177" spans="1:23">
      <c r="A1177" s="103">
        <v>45063</v>
      </c>
      <c r="B1177" s="104" t="s">
        <v>37</v>
      </c>
      <c r="C1177" s="145">
        <v>0</v>
      </c>
      <c r="D1177" s="145"/>
      <c r="E1177" s="104">
        <v>1</v>
      </c>
      <c r="F1177" s="106">
        <v>1</v>
      </c>
      <c r="G1177" s="107">
        <v>0</v>
      </c>
      <c r="H1177" s="106">
        <v>0</v>
      </c>
      <c r="I1177" s="106"/>
      <c r="J1177" s="106"/>
      <c r="K1177" s="106"/>
      <c r="L1177" s="213">
        <v>0</v>
      </c>
      <c r="M1177" s="213">
        <v>0</v>
      </c>
      <c r="N1177" s="213">
        <v>0</v>
      </c>
      <c r="O1177" s="213">
        <v>0</v>
      </c>
      <c r="P1177" s="108">
        <v>1</v>
      </c>
      <c r="Q1177" s="108">
        <v>0.666666666666667</v>
      </c>
      <c r="R1177" s="108">
        <v>0.6</v>
      </c>
      <c r="S1177" s="108">
        <v>0.285714285714286</v>
      </c>
      <c r="T1177" s="108">
        <v>0</v>
      </c>
      <c r="U1177" s="108">
        <v>0</v>
      </c>
      <c r="V1177" s="108">
        <v>0</v>
      </c>
      <c r="W1177" s="108">
        <v>0</v>
      </c>
    </row>
    <row r="1178" spans="1:23">
      <c r="A1178" s="103">
        <v>45063</v>
      </c>
      <c r="B1178" s="104" t="s">
        <v>38</v>
      </c>
      <c r="C1178" s="145">
        <v>0</v>
      </c>
      <c r="D1178" s="145"/>
      <c r="E1178" s="104">
        <v>0</v>
      </c>
      <c r="F1178" s="106">
        <v>0</v>
      </c>
      <c r="G1178" s="107">
        <v>0</v>
      </c>
      <c r="H1178" s="106">
        <v>0</v>
      </c>
      <c r="I1178" s="106"/>
      <c r="J1178" s="106"/>
      <c r="K1178" s="106"/>
      <c r="L1178" s="213">
        <v>0</v>
      </c>
      <c r="M1178" s="213">
        <v>0</v>
      </c>
      <c r="N1178" s="213">
        <v>0</v>
      </c>
      <c r="O1178" s="213">
        <v>0</v>
      </c>
      <c r="P1178" s="108">
        <v>0</v>
      </c>
      <c r="Q1178" s="108">
        <v>0</v>
      </c>
      <c r="R1178" s="108">
        <v>0</v>
      </c>
      <c r="S1178" s="108">
        <v>0</v>
      </c>
      <c r="T1178" s="108">
        <v>0</v>
      </c>
      <c r="U1178" s="108">
        <v>0</v>
      </c>
      <c r="V1178" s="108">
        <v>0</v>
      </c>
      <c r="W1178" s="108">
        <v>0</v>
      </c>
    </row>
    <row r="1179" spans="1:23">
      <c r="A1179" s="103">
        <v>45063</v>
      </c>
      <c r="B1179" s="111" t="s">
        <v>39</v>
      </c>
      <c r="C1179" s="105">
        <v>28217</v>
      </c>
      <c r="D1179" s="105"/>
      <c r="E1179" s="112">
        <v>488</v>
      </c>
      <c r="F1179" s="113">
        <v>0.0172945387532339</v>
      </c>
      <c r="G1179" s="112">
        <v>176</v>
      </c>
      <c r="H1179" s="113">
        <v>0.360655737704918</v>
      </c>
      <c r="I1179" s="113"/>
      <c r="J1179" s="113"/>
      <c r="K1179" s="113"/>
      <c r="L1179" s="213"/>
      <c r="M1179" s="213"/>
      <c r="N1179" s="213"/>
      <c r="O1179" s="213"/>
      <c r="P1179" s="108"/>
      <c r="Q1179" s="108"/>
      <c r="R1179" s="108"/>
      <c r="S1179" s="108"/>
      <c r="T1179" s="108"/>
      <c r="U1179" s="108"/>
      <c r="V1179" s="108"/>
      <c r="W1179" s="108"/>
    </row>
    <row r="1180" spans="1:23">
      <c r="A1180" s="103">
        <v>45064</v>
      </c>
      <c r="B1180" s="104" t="s">
        <v>17</v>
      </c>
      <c r="C1180" s="105">
        <v>2</v>
      </c>
      <c r="D1180" s="105"/>
      <c r="E1180" s="104">
        <v>19</v>
      </c>
      <c r="F1180" s="106">
        <v>9.5</v>
      </c>
      <c r="G1180" s="107">
        <v>6</v>
      </c>
      <c r="H1180" s="106">
        <v>0.315789473684211</v>
      </c>
      <c r="I1180" s="106"/>
      <c r="J1180" s="106"/>
      <c r="K1180" s="106"/>
      <c r="L1180" s="213">
        <v>-1</v>
      </c>
      <c r="M1180" s="213">
        <v>0.333333333333333</v>
      </c>
      <c r="N1180" s="213">
        <v>0.6</v>
      </c>
      <c r="O1180" s="213">
        <v>0.714285714285714</v>
      </c>
      <c r="P1180" s="108">
        <v>3</v>
      </c>
      <c r="Q1180" s="108">
        <v>2.33333333333333</v>
      </c>
      <c r="R1180" s="108">
        <v>-1.2</v>
      </c>
      <c r="S1180" s="108">
        <v>-3.57142857142857</v>
      </c>
      <c r="T1180" s="108">
        <v>-2</v>
      </c>
      <c r="U1180" s="108">
        <v>0.666666666666667</v>
      </c>
      <c r="V1180" s="108">
        <v>0.4</v>
      </c>
      <c r="W1180" s="108">
        <v>0.142857142857143</v>
      </c>
    </row>
    <row r="1181" spans="1:23">
      <c r="A1181" s="103">
        <v>45064</v>
      </c>
      <c r="B1181" s="104" t="s">
        <v>19</v>
      </c>
      <c r="C1181" s="107">
        <v>269</v>
      </c>
      <c r="D1181" s="107"/>
      <c r="E1181" s="104">
        <v>11</v>
      </c>
      <c r="F1181" s="106">
        <v>0.0204460966542751</v>
      </c>
      <c r="G1181" s="107">
        <v>5</v>
      </c>
      <c r="H1181" s="106">
        <v>0.454545454545455</v>
      </c>
      <c r="I1181" s="106"/>
      <c r="J1181" s="106"/>
      <c r="K1181" s="106"/>
      <c r="L1181" s="213">
        <v>86</v>
      </c>
      <c r="M1181" s="213">
        <v>151.333333333333</v>
      </c>
      <c r="N1181" s="213">
        <v>161.6</v>
      </c>
      <c r="O1181" s="213">
        <v>170.285714285714</v>
      </c>
      <c r="P1181" s="108">
        <v>6</v>
      </c>
      <c r="Q1181" s="108">
        <v>0.333333333333334</v>
      </c>
      <c r="R1181" s="108">
        <v>-0.4</v>
      </c>
      <c r="S1181" s="108">
        <v>0</v>
      </c>
      <c r="T1181" s="108">
        <v>2</v>
      </c>
      <c r="U1181" s="108">
        <v>0</v>
      </c>
      <c r="V1181" s="108">
        <v>0.6</v>
      </c>
      <c r="W1181" s="115">
        <v>0.428571428571429</v>
      </c>
    </row>
    <row r="1182" spans="1:23">
      <c r="A1182" s="103">
        <v>45064</v>
      </c>
      <c r="B1182" s="104" t="s">
        <v>21</v>
      </c>
      <c r="C1182" s="105">
        <v>500</v>
      </c>
      <c r="D1182" s="105"/>
      <c r="E1182" s="104">
        <v>30</v>
      </c>
      <c r="F1182" s="106">
        <v>0.06</v>
      </c>
      <c r="G1182" s="107">
        <v>8</v>
      </c>
      <c r="H1182" s="106">
        <v>0.266666666666667</v>
      </c>
      <c r="I1182" s="106"/>
      <c r="J1182" s="106"/>
      <c r="K1182" s="106"/>
      <c r="L1182" s="213">
        <v>-86</v>
      </c>
      <c r="M1182" s="213">
        <v>-125.666666666667</v>
      </c>
      <c r="N1182" s="213">
        <v>-217.4</v>
      </c>
      <c r="O1182" s="213">
        <v>-223.857142857143</v>
      </c>
      <c r="P1182" s="108">
        <v>0</v>
      </c>
      <c r="Q1182" s="108">
        <v>0.666666666666668</v>
      </c>
      <c r="R1182" s="108">
        <v>-1</v>
      </c>
      <c r="S1182" s="108">
        <v>0.428571428571427</v>
      </c>
      <c r="T1182" s="108">
        <v>-5</v>
      </c>
      <c r="U1182" s="108">
        <v>-3.66666666666667</v>
      </c>
      <c r="V1182" s="108">
        <v>-2</v>
      </c>
      <c r="W1182" s="108">
        <v>-2.28571428571429</v>
      </c>
    </row>
    <row r="1183" spans="1:23">
      <c r="A1183" s="103">
        <v>45064</v>
      </c>
      <c r="B1183" s="104" t="s">
        <v>22</v>
      </c>
      <c r="C1183" s="105">
        <v>3601</v>
      </c>
      <c r="D1183" s="105"/>
      <c r="E1183" s="104">
        <v>134</v>
      </c>
      <c r="F1183" s="106">
        <v>0.0372118855873369</v>
      </c>
      <c r="G1183" s="107">
        <v>47</v>
      </c>
      <c r="H1183" s="106">
        <v>0.350746268656716</v>
      </c>
      <c r="I1183" s="106"/>
      <c r="J1183" s="106"/>
      <c r="K1183" s="106"/>
      <c r="L1183" s="213">
        <v>-13</v>
      </c>
      <c r="M1183" s="213">
        <v>257.333333333333</v>
      </c>
      <c r="N1183" s="213">
        <v>479.2</v>
      </c>
      <c r="O1183" s="213">
        <v>660.285714285714</v>
      </c>
      <c r="P1183" s="108">
        <v>1</v>
      </c>
      <c r="Q1183" s="108">
        <v>20.3333333333333</v>
      </c>
      <c r="R1183" s="108">
        <v>26.6</v>
      </c>
      <c r="S1183" s="115">
        <v>36.5714285714286</v>
      </c>
      <c r="T1183" s="108">
        <v>-4</v>
      </c>
      <c r="U1183" s="108">
        <v>7.66666666666666</v>
      </c>
      <c r="V1183" s="108">
        <v>12.4</v>
      </c>
      <c r="W1183" s="117">
        <v>14.4285714285714</v>
      </c>
    </row>
    <row r="1184" spans="1:23">
      <c r="A1184" s="103">
        <v>45064</v>
      </c>
      <c r="B1184" s="104" t="s">
        <v>23</v>
      </c>
      <c r="C1184" s="105">
        <v>1973</v>
      </c>
      <c r="D1184" s="105"/>
      <c r="E1184" s="104">
        <v>11</v>
      </c>
      <c r="F1184" s="106">
        <v>0.00557526609224531</v>
      </c>
      <c r="G1184" s="107">
        <v>6</v>
      </c>
      <c r="H1184" s="106">
        <v>0.545454545454545</v>
      </c>
      <c r="I1184" s="106"/>
      <c r="J1184" s="106"/>
      <c r="K1184" s="106"/>
      <c r="L1184" s="213">
        <v>-163</v>
      </c>
      <c r="M1184" s="213">
        <v>-242.666666666667</v>
      </c>
      <c r="N1184" s="213">
        <v>-268.8</v>
      </c>
      <c r="O1184" s="213">
        <v>-236.285714285714</v>
      </c>
      <c r="P1184" s="108">
        <v>-6</v>
      </c>
      <c r="Q1184" s="108">
        <v>-3.33333333333333</v>
      </c>
      <c r="R1184" s="108">
        <v>-3.8</v>
      </c>
      <c r="S1184" s="108">
        <v>-2.71428571428571</v>
      </c>
      <c r="T1184" s="108">
        <v>2</v>
      </c>
      <c r="U1184" s="116">
        <v>2</v>
      </c>
      <c r="V1184" s="108">
        <v>1</v>
      </c>
      <c r="W1184" s="108">
        <v>1.14285714285714</v>
      </c>
    </row>
    <row r="1185" spans="1:23">
      <c r="A1185" s="103">
        <v>45064</v>
      </c>
      <c r="B1185" s="104" t="s">
        <v>24</v>
      </c>
      <c r="C1185" s="105">
        <v>2143</v>
      </c>
      <c r="D1185" s="105"/>
      <c r="E1185" s="104">
        <v>166</v>
      </c>
      <c r="F1185" s="106">
        <v>0.0774615025664956</v>
      </c>
      <c r="G1185" s="107">
        <v>60</v>
      </c>
      <c r="H1185" s="106">
        <v>0.36144578313253</v>
      </c>
      <c r="I1185" s="106"/>
      <c r="J1185" s="106"/>
      <c r="K1185" s="106"/>
      <c r="L1185" s="213">
        <v>82</v>
      </c>
      <c r="M1185" s="213">
        <v>65.6666666666665</v>
      </c>
      <c r="N1185" s="213">
        <v>-345</v>
      </c>
      <c r="O1185" s="213">
        <v>-453.428571428572</v>
      </c>
      <c r="P1185" s="115">
        <v>-31</v>
      </c>
      <c r="Q1185" s="115">
        <v>6.33333333333334</v>
      </c>
      <c r="R1185" s="115">
        <v>30.2</v>
      </c>
      <c r="S1185" s="115">
        <v>44.2857142857143</v>
      </c>
      <c r="T1185" s="115">
        <v>5</v>
      </c>
      <c r="U1185" s="115">
        <v>15.6666666666667</v>
      </c>
      <c r="V1185" s="115">
        <v>23.6</v>
      </c>
      <c r="W1185" s="115">
        <v>27.8571428571429</v>
      </c>
    </row>
    <row r="1186" spans="1:23">
      <c r="A1186" s="103">
        <v>45064</v>
      </c>
      <c r="B1186" s="104" t="s">
        <v>25</v>
      </c>
      <c r="C1186" s="145">
        <v>4184</v>
      </c>
      <c r="D1186" s="145"/>
      <c r="E1186" s="104">
        <v>23</v>
      </c>
      <c r="F1186" s="106">
        <v>0.00274856596558317</v>
      </c>
      <c r="G1186" s="107">
        <v>13</v>
      </c>
      <c r="H1186" s="106">
        <v>0.565217391304348</v>
      </c>
      <c r="I1186" s="106"/>
      <c r="J1186" s="106"/>
      <c r="K1186" s="106"/>
      <c r="L1186" s="213">
        <v>-4446</v>
      </c>
      <c r="M1186" s="213">
        <v>-1462</v>
      </c>
      <c r="N1186" s="213">
        <v>-1768.4</v>
      </c>
      <c r="O1186" s="213">
        <v>-1056</v>
      </c>
      <c r="P1186" s="116">
        <v>-4</v>
      </c>
      <c r="Q1186" s="115">
        <v>-1</v>
      </c>
      <c r="R1186" s="115">
        <v>1</v>
      </c>
      <c r="S1186" s="115">
        <v>1.14285714285714</v>
      </c>
      <c r="T1186" s="108">
        <v>1</v>
      </c>
      <c r="U1186" s="108">
        <v>2</v>
      </c>
      <c r="V1186" s="108">
        <v>2.4</v>
      </c>
      <c r="W1186" s="108">
        <v>2.57142857142857</v>
      </c>
    </row>
    <row r="1187" spans="1:23">
      <c r="A1187" s="103">
        <v>45064</v>
      </c>
      <c r="B1187" s="104" t="s">
        <v>26</v>
      </c>
      <c r="C1187" s="145">
        <v>1069</v>
      </c>
      <c r="D1187" s="145"/>
      <c r="E1187" s="104">
        <v>16</v>
      </c>
      <c r="F1187" s="106">
        <v>0.00374181478016838</v>
      </c>
      <c r="G1187" s="107">
        <v>6</v>
      </c>
      <c r="H1187" s="106">
        <v>0.375</v>
      </c>
      <c r="I1187" s="106"/>
      <c r="J1187" s="106"/>
      <c r="K1187" s="106"/>
      <c r="L1187" s="213">
        <v>-90</v>
      </c>
      <c r="M1187" s="213">
        <v>66</v>
      </c>
      <c r="N1187" s="213">
        <v>147.2</v>
      </c>
      <c r="O1187" s="213">
        <v>235.428571428572</v>
      </c>
      <c r="P1187" s="108">
        <v>-10</v>
      </c>
      <c r="Q1187" s="108">
        <v>-3</v>
      </c>
      <c r="R1187" s="108">
        <v>-2.4</v>
      </c>
      <c r="S1187" s="108">
        <v>-0.571428571428573</v>
      </c>
      <c r="T1187" s="108">
        <v>-4</v>
      </c>
      <c r="U1187" s="108">
        <v>-1.33333333333333</v>
      </c>
      <c r="V1187" s="108">
        <v>-1.2</v>
      </c>
      <c r="W1187" s="108">
        <v>-1.28571428571429</v>
      </c>
    </row>
    <row r="1188" spans="1:23">
      <c r="A1188" s="103">
        <v>45064</v>
      </c>
      <c r="B1188" s="104" t="s">
        <v>27</v>
      </c>
      <c r="C1188" s="145">
        <v>1386</v>
      </c>
      <c r="D1188" s="145"/>
      <c r="E1188" s="104">
        <v>39</v>
      </c>
      <c r="F1188" s="106">
        <v>0.0140692640692641</v>
      </c>
      <c r="G1188" s="107">
        <v>9</v>
      </c>
      <c r="H1188" s="106">
        <v>0.230769230769231</v>
      </c>
      <c r="I1188" s="106"/>
      <c r="J1188" s="106"/>
      <c r="K1188" s="106"/>
      <c r="L1188" s="213">
        <v>588</v>
      </c>
      <c r="M1188" s="213">
        <v>-360</v>
      </c>
      <c r="N1188" s="213">
        <v>-1349.2</v>
      </c>
      <c r="O1188" s="213">
        <v>-1650.85714285714</v>
      </c>
      <c r="P1188" s="108">
        <v>3</v>
      </c>
      <c r="Q1188" s="108">
        <v>-10.3333333333333</v>
      </c>
      <c r="R1188" s="108">
        <v>-27</v>
      </c>
      <c r="S1188" s="108">
        <v>-27</v>
      </c>
      <c r="T1188" s="108">
        <v>-11</v>
      </c>
      <c r="U1188" s="108">
        <v>-10</v>
      </c>
      <c r="V1188" s="108">
        <v>-13.6</v>
      </c>
      <c r="W1188" s="108">
        <v>-13</v>
      </c>
    </row>
    <row r="1189" spans="1:23">
      <c r="A1189" s="103">
        <v>45064</v>
      </c>
      <c r="B1189" s="104" t="s">
        <v>28</v>
      </c>
      <c r="C1189" s="145">
        <v>0</v>
      </c>
      <c r="D1189" s="145"/>
      <c r="E1189" s="104">
        <v>0</v>
      </c>
      <c r="F1189" s="106">
        <v>0</v>
      </c>
      <c r="G1189" s="107">
        <v>0</v>
      </c>
      <c r="H1189" s="106">
        <v>0</v>
      </c>
      <c r="I1189" s="106"/>
      <c r="J1189" s="106"/>
      <c r="K1189" s="106"/>
      <c r="L1189" s="213">
        <v>0</v>
      </c>
      <c r="M1189" s="213">
        <v>0</v>
      </c>
      <c r="N1189" s="213">
        <v>0</v>
      </c>
      <c r="O1189" s="213">
        <v>0</v>
      </c>
      <c r="P1189" s="108">
        <v>0</v>
      </c>
      <c r="Q1189" s="108">
        <v>0</v>
      </c>
      <c r="R1189" s="108">
        <v>0</v>
      </c>
      <c r="S1189" s="108">
        <v>0</v>
      </c>
      <c r="T1189" s="108">
        <v>0</v>
      </c>
      <c r="U1189" s="108">
        <v>0</v>
      </c>
      <c r="V1189" s="108">
        <v>0</v>
      </c>
      <c r="W1189" s="108">
        <v>0</v>
      </c>
    </row>
    <row r="1190" spans="1:23">
      <c r="A1190" s="103">
        <v>45064</v>
      </c>
      <c r="B1190" s="104" t="s">
        <v>29</v>
      </c>
      <c r="C1190" s="145">
        <v>0</v>
      </c>
      <c r="D1190" s="145"/>
      <c r="E1190" s="104">
        <v>0</v>
      </c>
      <c r="F1190" s="106">
        <v>0</v>
      </c>
      <c r="G1190" s="107">
        <v>0</v>
      </c>
      <c r="H1190" s="106">
        <v>0</v>
      </c>
      <c r="I1190" s="106"/>
      <c r="J1190" s="106"/>
      <c r="K1190" s="106"/>
      <c r="L1190" s="213">
        <v>-1</v>
      </c>
      <c r="M1190" s="213">
        <v>-0.333333333333333</v>
      </c>
      <c r="N1190" s="213">
        <v>-0.2</v>
      </c>
      <c r="O1190" s="213">
        <v>-0.428571428571429</v>
      </c>
      <c r="P1190" s="108">
        <v>0</v>
      </c>
      <c r="Q1190" s="108">
        <v>0</v>
      </c>
      <c r="R1190" s="108">
        <v>-0.2</v>
      </c>
      <c r="S1190" s="108">
        <v>-0.142857142857143</v>
      </c>
      <c r="T1190" s="108">
        <v>0</v>
      </c>
      <c r="U1190" s="108">
        <v>0</v>
      </c>
      <c r="V1190" s="108">
        <v>0</v>
      </c>
      <c r="W1190" s="108">
        <v>0</v>
      </c>
    </row>
    <row r="1191" spans="1:23">
      <c r="A1191" s="103">
        <v>45064</v>
      </c>
      <c r="B1191" s="104" t="s">
        <v>30</v>
      </c>
      <c r="C1191" s="145">
        <v>0</v>
      </c>
      <c r="D1191" s="145"/>
      <c r="E1191" s="104">
        <v>0</v>
      </c>
      <c r="F1191" s="106">
        <v>0</v>
      </c>
      <c r="G1191" s="107">
        <v>0</v>
      </c>
      <c r="H1191" s="106">
        <v>0</v>
      </c>
      <c r="I1191" s="106"/>
      <c r="J1191" s="106"/>
      <c r="K1191" s="106"/>
      <c r="L1191" s="213">
        <v>0</v>
      </c>
      <c r="M1191" s="213">
        <v>0</v>
      </c>
      <c r="N1191" s="213">
        <v>0</v>
      </c>
      <c r="O1191" s="213">
        <v>0</v>
      </c>
      <c r="P1191" s="108">
        <v>0</v>
      </c>
      <c r="Q1191" s="108">
        <v>0</v>
      </c>
      <c r="R1191" s="108">
        <v>0</v>
      </c>
      <c r="S1191" s="108">
        <v>0</v>
      </c>
      <c r="T1191" s="108">
        <v>0</v>
      </c>
      <c r="U1191" s="108">
        <v>0</v>
      </c>
      <c r="V1191" s="108">
        <v>0</v>
      </c>
      <c r="W1191" s="108">
        <v>0</v>
      </c>
    </row>
    <row r="1192" spans="1:23">
      <c r="A1192" s="103">
        <v>45064</v>
      </c>
      <c r="B1192" s="104" t="s">
        <v>31</v>
      </c>
      <c r="C1192" s="145">
        <v>0</v>
      </c>
      <c r="D1192" s="145"/>
      <c r="E1192" s="104">
        <v>2</v>
      </c>
      <c r="F1192" s="106">
        <v>2</v>
      </c>
      <c r="G1192" s="107">
        <v>0</v>
      </c>
      <c r="H1192" s="106">
        <v>0</v>
      </c>
      <c r="I1192" s="106"/>
      <c r="J1192" s="106"/>
      <c r="K1192" s="106"/>
      <c r="L1192" s="213">
        <v>0</v>
      </c>
      <c r="M1192" s="213">
        <v>0</v>
      </c>
      <c r="N1192" s="213">
        <v>0</v>
      </c>
      <c r="O1192" s="213">
        <v>0</v>
      </c>
      <c r="P1192" s="108">
        <v>2</v>
      </c>
      <c r="Q1192" s="108">
        <v>2</v>
      </c>
      <c r="R1192" s="108">
        <v>2</v>
      </c>
      <c r="S1192" s="108">
        <v>1.85714285714286</v>
      </c>
      <c r="T1192" s="108">
        <v>0</v>
      </c>
      <c r="U1192" s="108">
        <v>0</v>
      </c>
      <c r="V1192" s="108">
        <v>0</v>
      </c>
      <c r="W1192" s="108">
        <v>0</v>
      </c>
    </row>
    <row r="1193" spans="1:23">
      <c r="A1193" s="103">
        <v>45064</v>
      </c>
      <c r="B1193" s="104" t="s">
        <v>32</v>
      </c>
      <c r="C1193" s="145">
        <v>0</v>
      </c>
      <c r="D1193" s="145"/>
      <c r="E1193" s="104">
        <v>0</v>
      </c>
      <c r="F1193" s="106">
        <v>0</v>
      </c>
      <c r="G1193" s="107">
        <v>0</v>
      </c>
      <c r="H1193" s="106">
        <v>0</v>
      </c>
      <c r="I1193" s="106"/>
      <c r="J1193" s="106"/>
      <c r="K1193" s="106"/>
      <c r="L1193" s="213">
        <v>0</v>
      </c>
      <c r="M1193" s="213">
        <v>0</v>
      </c>
      <c r="N1193" s="213">
        <v>0</v>
      </c>
      <c r="O1193" s="213">
        <v>0</v>
      </c>
      <c r="P1193" s="108">
        <v>0</v>
      </c>
      <c r="Q1193" s="108">
        <v>0</v>
      </c>
      <c r="R1193" s="108">
        <v>0</v>
      </c>
      <c r="S1193" s="108">
        <v>0</v>
      </c>
      <c r="T1193" s="108">
        <v>0</v>
      </c>
      <c r="U1193" s="108">
        <v>0</v>
      </c>
      <c r="V1193" s="108">
        <v>0</v>
      </c>
      <c r="W1193" s="108">
        <v>0</v>
      </c>
    </row>
    <row r="1194" spans="1:23">
      <c r="A1194" s="103">
        <v>45064</v>
      </c>
      <c r="B1194" s="104" t="s">
        <v>33</v>
      </c>
      <c r="C1194" s="145">
        <v>0</v>
      </c>
      <c r="D1194" s="145"/>
      <c r="E1194" s="104">
        <v>0</v>
      </c>
      <c r="F1194" s="106">
        <v>0</v>
      </c>
      <c r="G1194" s="107">
        <v>0</v>
      </c>
      <c r="H1194" s="106">
        <v>0</v>
      </c>
      <c r="I1194" s="106"/>
      <c r="J1194" s="106"/>
      <c r="K1194" s="106"/>
      <c r="L1194" s="213">
        <v>0</v>
      </c>
      <c r="M1194" s="213">
        <v>0</v>
      </c>
      <c r="N1194" s="213">
        <v>0</v>
      </c>
      <c r="O1194" s="213">
        <v>0</v>
      </c>
      <c r="P1194" s="108">
        <v>0</v>
      </c>
      <c r="Q1194" s="108">
        <v>0</v>
      </c>
      <c r="R1194" s="108">
        <v>0</v>
      </c>
      <c r="S1194" s="108">
        <v>0</v>
      </c>
      <c r="T1194" s="108">
        <v>0</v>
      </c>
      <c r="U1194" s="108">
        <v>0</v>
      </c>
      <c r="V1194" s="108">
        <v>0</v>
      </c>
      <c r="W1194" s="108">
        <v>0</v>
      </c>
    </row>
    <row r="1195" spans="1:23">
      <c r="A1195" s="103">
        <v>45064</v>
      </c>
      <c r="B1195" s="104" t="s">
        <v>34</v>
      </c>
      <c r="C1195" s="145">
        <v>0</v>
      </c>
      <c r="D1195" s="145"/>
      <c r="E1195" s="104">
        <v>0</v>
      </c>
      <c r="F1195" s="106">
        <v>0</v>
      </c>
      <c r="G1195" s="107">
        <v>0</v>
      </c>
      <c r="H1195" s="106">
        <v>0</v>
      </c>
      <c r="I1195" s="106"/>
      <c r="J1195" s="106"/>
      <c r="K1195" s="106"/>
      <c r="L1195" s="213">
        <v>0</v>
      </c>
      <c r="M1195" s="213">
        <v>0</v>
      </c>
      <c r="N1195" s="213">
        <v>0</v>
      </c>
      <c r="O1195" s="213">
        <v>0</v>
      </c>
      <c r="P1195" s="108">
        <v>0</v>
      </c>
      <c r="Q1195" s="108">
        <v>0</v>
      </c>
      <c r="R1195" s="108">
        <v>0</v>
      </c>
      <c r="S1195" s="108">
        <v>0</v>
      </c>
      <c r="T1195" s="108">
        <v>0</v>
      </c>
      <c r="U1195" s="108">
        <v>0</v>
      </c>
      <c r="V1195" s="108">
        <v>0</v>
      </c>
      <c r="W1195" s="108">
        <v>0</v>
      </c>
    </row>
    <row r="1196" spans="1:23">
      <c r="A1196" s="103">
        <v>45064</v>
      </c>
      <c r="B1196" s="104" t="s">
        <v>35</v>
      </c>
      <c r="C1196" s="145">
        <v>0</v>
      </c>
      <c r="D1196" s="145"/>
      <c r="E1196" s="104">
        <v>0</v>
      </c>
      <c r="F1196" s="106">
        <v>0</v>
      </c>
      <c r="G1196" s="107">
        <v>0</v>
      </c>
      <c r="H1196" s="106">
        <v>0</v>
      </c>
      <c r="I1196" s="106"/>
      <c r="J1196" s="106"/>
      <c r="K1196" s="106"/>
      <c r="L1196" s="213">
        <v>0</v>
      </c>
      <c r="M1196" s="213">
        <v>0</v>
      </c>
      <c r="N1196" s="213">
        <v>0</v>
      </c>
      <c r="O1196" s="213">
        <v>0</v>
      </c>
      <c r="P1196" s="108">
        <v>0</v>
      </c>
      <c r="Q1196" s="108">
        <v>0</v>
      </c>
      <c r="R1196" s="108">
        <v>0</v>
      </c>
      <c r="S1196" s="108">
        <v>0</v>
      </c>
      <c r="T1196" s="108">
        <v>0</v>
      </c>
      <c r="U1196" s="108">
        <v>0</v>
      </c>
      <c r="V1196" s="108">
        <v>0</v>
      </c>
      <c r="W1196" s="108">
        <v>0</v>
      </c>
    </row>
    <row r="1197" spans="1:23">
      <c r="A1197" s="103">
        <v>45064</v>
      </c>
      <c r="B1197" s="104" t="s">
        <v>36</v>
      </c>
      <c r="C1197" s="145">
        <v>0</v>
      </c>
      <c r="D1197" s="145"/>
      <c r="E1197" s="104">
        <v>0</v>
      </c>
      <c r="F1197" s="106">
        <v>0</v>
      </c>
      <c r="G1197" s="107">
        <v>0</v>
      </c>
      <c r="H1197" s="106">
        <v>0</v>
      </c>
      <c r="I1197" s="106"/>
      <c r="J1197" s="106"/>
      <c r="K1197" s="106"/>
      <c r="L1197" s="213">
        <v>0</v>
      </c>
      <c r="M1197" s="213">
        <v>0</v>
      </c>
      <c r="N1197" s="213">
        <v>0</v>
      </c>
      <c r="O1197" s="213">
        <v>0</v>
      </c>
      <c r="P1197" s="108">
        <v>0</v>
      </c>
      <c r="Q1197" s="108">
        <v>0</v>
      </c>
      <c r="R1197" s="108">
        <v>0</v>
      </c>
      <c r="S1197" s="108">
        <v>0</v>
      </c>
      <c r="T1197" s="108">
        <v>0</v>
      </c>
      <c r="U1197" s="108">
        <v>0</v>
      </c>
      <c r="V1197" s="108">
        <v>0</v>
      </c>
      <c r="W1197" s="108">
        <v>0</v>
      </c>
    </row>
    <row r="1198" spans="1:23">
      <c r="A1198" s="103">
        <v>45064</v>
      </c>
      <c r="B1198" s="104" t="s">
        <v>37</v>
      </c>
      <c r="C1198" s="145">
        <v>0</v>
      </c>
      <c r="D1198" s="145"/>
      <c r="E1198" s="104">
        <v>0</v>
      </c>
      <c r="F1198" s="106">
        <v>0</v>
      </c>
      <c r="G1198" s="107">
        <v>0</v>
      </c>
      <c r="H1198" s="106">
        <v>0</v>
      </c>
      <c r="I1198" s="106"/>
      <c r="J1198" s="106"/>
      <c r="K1198" s="106"/>
      <c r="L1198" s="213">
        <v>0</v>
      </c>
      <c r="M1198" s="213">
        <v>0</v>
      </c>
      <c r="N1198" s="213">
        <v>0</v>
      </c>
      <c r="O1198" s="213">
        <v>0</v>
      </c>
      <c r="P1198" s="108">
        <v>-1</v>
      </c>
      <c r="Q1198" s="108">
        <v>-0.666666666666667</v>
      </c>
      <c r="R1198" s="108">
        <v>-0.4</v>
      </c>
      <c r="S1198" s="108">
        <v>-0.571428571428571</v>
      </c>
      <c r="T1198" s="108">
        <v>0</v>
      </c>
      <c r="U1198" s="108">
        <v>0</v>
      </c>
      <c r="V1198" s="108">
        <v>0</v>
      </c>
      <c r="W1198" s="108">
        <v>0</v>
      </c>
    </row>
    <row r="1199" spans="1:23">
      <c r="A1199" s="103">
        <v>45064</v>
      </c>
      <c r="B1199" s="104" t="s">
        <v>38</v>
      </c>
      <c r="C1199" s="145">
        <v>0</v>
      </c>
      <c r="D1199" s="145"/>
      <c r="E1199" s="104">
        <v>0</v>
      </c>
      <c r="F1199" s="106">
        <v>0</v>
      </c>
      <c r="G1199" s="107">
        <v>0</v>
      </c>
      <c r="H1199" s="106">
        <v>0</v>
      </c>
      <c r="I1199" s="106"/>
      <c r="J1199" s="106"/>
      <c r="K1199" s="106"/>
      <c r="L1199" s="213">
        <v>0</v>
      </c>
      <c r="M1199" s="213">
        <v>0</v>
      </c>
      <c r="N1199" s="213">
        <v>0</v>
      </c>
      <c r="O1199" s="213">
        <v>0</v>
      </c>
      <c r="P1199" s="108">
        <v>0</v>
      </c>
      <c r="Q1199" s="108">
        <v>0</v>
      </c>
      <c r="R1199" s="108">
        <v>0</v>
      </c>
      <c r="S1199" s="108">
        <v>0</v>
      </c>
      <c r="T1199" s="108">
        <v>0</v>
      </c>
      <c r="U1199" s="108">
        <v>0</v>
      </c>
      <c r="V1199" s="108">
        <v>0</v>
      </c>
      <c r="W1199" s="108">
        <v>0</v>
      </c>
    </row>
    <row r="1200" spans="1:23">
      <c r="A1200" s="103">
        <v>45064</v>
      </c>
      <c r="B1200" s="111" t="s">
        <v>39</v>
      </c>
      <c r="C1200" s="105">
        <v>24173</v>
      </c>
      <c r="D1200" s="105"/>
      <c r="E1200" s="112">
        <v>451</v>
      </c>
      <c r="F1200" s="113">
        <v>0.0186571794977868</v>
      </c>
      <c r="G1200" s="112">
        <v>160</v>
      </c>
      <c r="H1200" s="113">
        <v>0.354767184035477</v>
      </c>
      <c r="I1200" s="113"/>
      <c r="J1200" s="113"/>
      <c r="K1200" s="113"/>
      <c r="L1200" s="213"/>
      <c r="M1200" s="213"/>
      <c r="N1200" s="213"/>
      <c r="O1200" s="213"/>
      <c r="P1200" s="108"/>
      <c r="Q1200" s="108"/>
      <c r="R1200" s="108"/>
      <c r="S1200" s="108"/>
      <c r="T1200" s="108"/>
      <c r="U1200" s="108"/>
      <c r="V1200" s="108"/>
      <c r="W1200" s="108"/>
    </row>
    <row r="1201" spans="1:23">
      <c r="A1201" s="103">
        <v>45065</v>
      </c>
      <c r="B1201" s="104" t="s">
        <v>17</v>
      </c>
      <c r="C1201" s="105">
        <v>1</v>
      </c>
      <c r="D1201" s="105"/>
      <c r="E1201" s="104">
        <v>18</v>
      </c>
      <c r="F1201" s="106">
        <v>9</v>
      </c>
      <c r="G1201" s="107">
        <v>7</v>
      </c>
      <c r="H1201" s="106">
        <v>0.388888888888889</v>
      </c>
      <c r="I1201" s="106"/>
      <c r="J1201" s="106"/>
      <c r="K1201" s="106"/>
      <c r="L1201" s="213">
        <v>0</v>
      </c>
      <c r="M1201" s="213">
        <v>-0.333333333333333</v>
      </c>
      <c r="N1201" s="213">
        <v>0.2</v>
      </c>
      <c r="O1201" s="213">
        <v>0.428571428571429</v>
      </c>
      <c r="P1201" s="108">
        <v>-1</v>
      </c>
      <c r="Q1201" s="108">
        <v>0.333333333333332</v>
      </c>
      <c r="R1201" s="108">
        <v>-0.199999999999999</v>
      </c>
      <c r="S1201" s="108">
        <v>-2.85714285714286</v>
      </c>
      <c r="T1201" s="108">
        <v>1</v>
      </c>
      <c r="U1201" s="108">
        <v>0.666666666666667</v>
      </c>
      <c r="V1201" s="108">
        <v>1.4</v>
      </c>
      <c r="W1201" s="108">
        <v>1</v>
      </c>
    </row>
    <row r="1202" spans="1:23">
      <c r="A1202" s="103">
        <v>45065</v>
      </c>
      <c r="B1202" s="104" t="s">
        <v>19</v>
      </c>
      <c r="C1202" s="107">
        <v>285</v>
      </c>
      <c r="D1202" s="107"/>
      <c r="E1202" s="104">
        <v>8</v>
      </c>
      <c r="F1202" s="106">
        <v>0.0140350877192982</v>
      </c>
      <c r="G1202" s="107">
        <v>4</v>
      </c>
      <c r="H1202" s="106">
        <v>0.5</v>
      </c>
      <c r="I1202" s="106"/>
      <c r="J1202" s="106"/>
      <c r="K1202" s="106"/>
      <c r="L1202" s="213">
        <v>32</v>
      </c>
      <c r="M1202" s="213">
        <v>142</v>
      </c>
      <c r="N1202" s="213">
        <v>166</v>
      </c>
      <c r="O1202" s="213">
        <v>173.428571428571</v>
      </c>
      <c r="P1202" s="108">
        <v>-3</v>
      </c>
      <c r="Q1202" s="108">
        <v>-0.333333333333334</v>
      </c>
      <c r="R1202" s="108">
        <v>-3</v>
      </c>
      <c r="S1202" s="108">
        <v>-3</v>
      </c>
      <c r="T1202" s="108">
        <v>-1</v>
      </c>
      <c r="U1202" s="108">
        <v>-0.666666666666667</v>
      </c>
      <c r="V1202" s="108">
        <v>-0.2</v>
      </c>
      <c r="W1202" s="115">
        <v>-0.285714285714286</v>
      </c>
    </row>
    <row r="1203" spans="1:23">
      <c r="A1203" s="103">
        <v>45065</v>
      </c>
      <c r="B1203" s="104" t="s">
        <v>21</v>
      </c>
      <c r="C1203" s="105">
        <v>531</v>
      </c>
      <c r="D1203" s="105"/>
      <c r="E1203" s="104">
        <v>25</v>
      </c>
      <c r="F1203" s="106">
        <v>0.0470809792843691</v>
      </c>
      <c r="G1203" s="107">
        <v>8</v>
      </c>
      <c r="H1203" s="106">
        <v>0.32</v>
      </c>
      <c r="I1203" s="106"/>
      <c r="J1203" s="106"/>
      <c r="K1203" s="106"/>
      <c r="L1203" s="213">
        <v>31</v>
      </c>
      <c r="M1203" s="213">
        <v>-26.3333333333334</v>
      </c>
      <c r="N1203" s="213">
        <v>-105.4</v>
      </c>
      <c r="O1203" s="213">
        <v>-165</v>
      </c>
      <c r="P1203" s="108">
        <v>-5</v>
      </c>
      <c r="Q1203" s="108">
        <v>-3.66666666666667</v>
      </c>
      <c r="R1203" s="108">
        <v>-5.4</v>
      </c>
      <c r="S1203" s="108">
        <v>-5.14285714285714</v>
      </c>
      <c r="T1203" s="108">
        <v>0</v>
      </c>
      <c r="U1203" s="108">
        <v>-2</v>
      </c>
      <c r="V1203" s="108">
        <v>-2</v>
      </c>
      <c r="W1203" s="108">
        <v>-1.42857142857143</v>
      </c>
    </row>
    <row r="1204" spans="1:23">
      <c r="A1204" s="103">
        <v>45065</v>
      </c>
      <c r="B1204" s="104" t="s">
        <v>22</v>
      </c>
      <c r="C1204" s="105">
        <v>3747</v>
      </c>
      <c r="D1204" s="105"/>
      <c r="E1204" s="104">
        <v>147</v>
      </c>
      <c r="F1204" s="106">
        <v>0.0392313851080865</v>
      </c>
      <c r="G1204" s="107">
        <v>50</v>
      </c>
      <c r="H1204" s="106">
        <v>0.340136054421769</v>
      </c>
      <c r="I1204" s="106"/>
      <c r="J1204" s="106"/>
      <c r="K1204" s="106"/>
      <c r="L1204" s="213">
        <v>146</v>
      </c>
      <c r="M1204" s="213">
        <v>241.333333333333</v>
      </c>
      <c r="N1204" s="213">
        <v>473.8</v>
      </c>
      <c r="O1204" s="213">
        <v>633.428571428572</v>
      </c>
      <c r="P1204" s="108">
        <v>13</v>
      </c>
      <c r="Q1204" s="108">
        <v>23.3333333333333</v>
      </c>
      <c r="R1204" s="108">
        <v>31.4</v>
      </c>
      <c r="S1204" s="115">
        <v>39.5714285714286</v>
      </c>
      <c r="T1204" s="108">
        <v>3</v>
      </c>
      <c r="U1204" s="108">
        <v>5</v>
      </c>
      <c r="V1204" s="108">
        <v>11.2</v>
      </c>
      <c r="W1204" s="117">
        <v>14.5714285714286</v>
      </c>
    </row>
    <row r="1205" spans="1:23">
      <c r="A1205" s="103">
        <v>45065</v>
      </c>
      <c r="B1205" s="104" t="s">
        <v>23</v>
      </c>
      <c r="C1205" s="105">
        <v>1067</v>
      </c>
      <c r="D1205" s="105"/>
      <c r="E1205" s="104">
        <v>5</v>
      </c>
      <c r="F1205" s="106">
        <v>0.00234301780693533</v>
      </c>
      <c r="G1205" s="107">
        <v>5</v>
      </c>
      <c r="H1205" s="106">
        <v>1</v>
      </c>
      <c r="I1205" s="106"/>
      <c r="J1205" s="106"/>
      <c r="K1205" s="106"/>
      <c r="L1205" s="213">
        <v>161</v>
      </c>
      <c r="M1205" s="213">
        <v>-0.666666666666515</v>
      </c>
      <c r="N1205" s="213">
        <v>-41.8000000000002</v>
      </c>
      <c r="O1205" s="213">
        <v>-47.8571428571427</v>
      </c>
      <c r="P1205" s="108">
        <v>-6</v>
      </c>
      <c r="Q1205" s="108">
        <v>-9</v>
      </c>
      <c r="R1205" s="108">
        <v>-8.8</v>
      </c>
      <c r="S1205" s="108">
        <v>-8.57142857142857</v>
      </c>
      <c r="T1205" s="108">
        <v>-1</v>
      </c>
      <c r="U1205" s="116">
        <v>0.333333333333333</v>
      </c>
      <c r="V1205" s="108">
        <v>0.2</v>
      </c>
      <c r="W1205" s="108">
        <v>0</v>
      </c>
    </row>
    <row r="1206" spans="1:23">
      <c r="A1206" s="103">
        <v>45065</v>
      </c>
      <c r="B1206" s="104" t="s">
        <v>24</v>
      </c>
      <c r="C1206" s="105">
        <v>2287</v>
      </c>
      <c r="D1206" s="105"/>
      <c r="E1206" s="104">
        <v>115</v>
      </c>
      <c r="F1206" s="106">
        <v>0.0502842151289899</v>
      </c>
      <c r="G1206" s="107">
        <v>33</v>
      </c>
      <c r="H1206" s="106">
        <v>0.28695652173913</v>
      </c>
      <c r="I1206" s="106"/>
      <c r="J1206" s="106"/>
      <c r="K1206" s="106"/>
      <c r="L1206" s="213">
        <v>144</v>
      </c>
      <c r="M1206" s="213">
        <v>235</v>
      </c>
      <c r="N1206" s="213">
        <v>30</v>
      </c>
      <c r="O1206" s="213">
        <v>-227.571428571428</v>
      </c>
      <c r="P1206" s="115">
        <v>-51</v>
      </c>
      <c r="Q1206" s="115">
        <v>-43</v>
      </c>
      <c r="R1206" s="115">
        <v>-38</v>
      </c>
      <c r="S1206" s="115">
        <v>-17.5714285714286</v>
      </c>
      <c r="T1206" s="115">
        <v>-27</v>
      </c>
      <c r="U1206" s="115">
        <v>-16.6666666666667</v>
      </c>
      <c r="V1206" s="115">
        <v>-11.6</v>
      </c>
      <c r="W1206" s="115">
        <v>-4.28571428571428</v>
      </c>
    </row>
    <row r="1207" spans="1:23">
      <c r="A1207" s="103">
        <v>45065</v>
      </c>
      <c r="B1207" s="104" t="s">
        <v>25</v>
      </c>
      <c r="C1207" s="145">
        <v>3316</v>
      </c>
      <c r="D1207" s="145"/>
      <c r="E1207" s="104">
        <v>28</v>
      </c>
      <c r="F1207" s="106">
        <v>0.00422195416164053</v>
      </c>
      <c r="G1207" s="107">
        <v>18</v>
      </c>
      <c r="H1207" s="106">
        <v>0.642857142857143</v>
      </c>
      <c r="I1207" s="106"/>
      <c r="J1207" s="106"/>
      <c r="K1207" s="106"/>
      <c r="L1207" s="213">
        <v>-1736</v>
      </c>
      <c r="M1207" s="213">
        <v>-1739.33333333333</v>
      </c>
      <c r="N1207" s="213">
        <v>-2967.6</v>
      </c>
      <c r="O1207" s="213">
        <v>-2550</v>
      </c>
      <c r="P1207" s="116">
        <v>5</v>
      </c>
      <c r="Q1207" s="115">
        <v>5</v>
      </c>
      <c r="R1207" s="115">
        <v>6</v>
      </c>
      <c r="S1207" s="115">
        <v>6.42857142857143</v>
      </c>
      <c r="T1207" s="108">
        <v>5</v>
      </c>
      <c r="U1207" s="108">
        <v>6.33333333333333</v>
      </c>
      <c r="V1207" s="108">
        <v>7.4</v>
      </c>
      <c r="W1207" s="108">
        <v>7</v>
      </c>
    </row>
    <row r="1208" spans="1:23">
      <c r="A1208" s="103">
        <v>45065</v>
      </c>
      <c r="B1208" s="104" t="s">
        <v>26</v>
      </c>
      <c r="C1208" s="145">
        <v>2139</v>
      </c>
      <c r="D1208" s="145"/>
      <c r="E1208" s="104">
        <v>21</v>
      </c>
      <c r="F1208" s="106">
        <v>0.00490883590462833</v>
      </c>
      <c r="G1208" s="107">
        <v>4</v>
      </c>
      <c r="H1208" s="106">
        <v>0.19047619047619</v>
      </c>
      <c r="I1208" s="106"/>
      <c r="J1208" s="106"/>
      <c r="K1208" s="106"/>
      <c r="L1208" s="213">
        <v>2</v>
      </c>
      <c r="M1208" s="213">
        <v>-20</v>
      </c>
      <c r="N1208" s="213">
        <v>110</v>
      </c>
      <c r="O1208" s="213">
        <v>164.857142857143</v>
      </c>
      <c r="P1208" s="108">
        <v>5</v>
      </c>
      <c r="Q1208" s="108">
        <v>1.66666666666667</v>
      </c>
      <c r="R1208" s="108">
        <v>2.4</v>
      </c>
      <c r="S1208" s="108">
        <v>3.85714285714286</v>
      </c>
      <c r="T1208" s="108">
        <v>-2</v>
      </c>
      <c r="U1208" s="108">
        <v>-3.33333333333333</v>
      </c>
      <c r="V1208" s="108">
        <v>-2.6</v>
      </c>
      <c r="W1208" s="108">
        <v>-3.14285714285714</v>
      </c>
    </row>
    <row r="1209" spans="1:23">
      <c r="A1209" s="103">
        <v>45065</v>
      </c>
      <c r="B1209" s="104" t="s">
        <v>27</v>
      </c>
      <c r="C1209" s="145">
        <v>1870</v>
      </c>
      <c r="D1209" s="145"/>
      <c r="E1209" s="104">
        <v>20</v>
      </c>
      <c r="F1209" s="106">
        <v>0.0053475935828877</v>
      </c>
      <c r="G1209" s="107">
        <v>12</v>
      </c>
      <c r="H1209" s="106">
        <v>0.6</v>
      </c>
      <c r="I1209" s="106"/>
      <c r="J1209" s="106"/>
      <c r="K1209" s="106"/>
      <c r="L1209" s="213">
        <v>968</v>
      </c>
      <c r="M1209" s="213">
        <v>1282</v>
      </c>
      <c r="N1209" s="213">
        <v>152.4</v>
      </c>
      <c r="O1209" s="213">
        <v>-315.428571428572</v>
      </c>
      <c r="P1209" s="108">
        <v>-19</v>
      </c>
      <c r="Q1209" s="108">
        <v>-14.3333333333333</v>
      </c>
      <c r="R1209" s="108">
        <v>-33.6</v>
      </c>
      <c r="S1209" s="108">
        <v>-43.7142857142857</v>
      </c>
      <c r="T1209" s="108">
        <v>3</v>
      </c>
      <c r="U1209" s="108">
        <v>-0.666666666666666</v>
      </c>
      <c r="V1209" s="108">
        <v>-6</v>
      </c>
      <c r="W1209" s="108">
        <v>-9.28571428571428</v>
      </c>
    </row>
    <row r="1210" spans="1:23">
      <c r="A1210" s="103">
        <v>45065</v>
      </c>
      <c r="B1210" s="104" t="s">
        <v>28</v>
      </c>
      <c r="C1210" s="145">
        <v>0</v>
      </c>
      <c r="D1210" s="145"/>
      <c r="E1210" s="104">
        <v>0</v>
      </c>
      <c r="F1210" s="106">
        <v>0</v>
      </c>
      <c r="G1210" s="107">
        <v>0</v>
      </c>
      <c r="H1210" s="106">
        <v>0</v>
      </c>
      <c r="I1210" s="106"/>
      <c r="J1210" s="106"/>
      <c r="K1210" s="106"/>
      <c r="L1210" s="213">
        <v>0</v>
      </c>
      <c r="M1210" s="213">
        <v>0</v>
      </c>
      <c r="N1210" s="213">
        <v>0</v>
      </c>
      <c r="O1210" s="213">
        <v>0</v>
      </c>
      <c r="P1210" s="108">
        <v>0</v>
      </c>
      <c r="Q1210" s="108">
        <v>0</v>
      </c>
      <c r="R1210" s="108">
        <v>0</v>
      </c>
      <c r="S1210" s="108">
        <v>0</v>
      </c>
      <c r="T1210" s="108">
        <v>0</v>
      </c>
      <c r="U1210" s="108">
        <v>0</v>
      </c>
      <c r="V1210" s="108">
        <v>0</v>
      </c>
      <c r="W1210" s="108">
        <v>0</v>
      </c>
    </row>
    <row r="1211" spans="1:23">
      <c r="A1211" s="103">
        <v>45065</v>
      </c>
      <c r="B1211" s="104" t="s">
        <v>29</v>
      </c>
      <c r="C1211" s="145">
        <v>1</v>
      </c>
      <c r="D1211" s="145"/>
      <c r="E1211" s="104">
        <v>1</v>
      </c>
      <c r="F1211" s="106">
        <v>1</v>
      </c>
      <c r="G1211" s="107">
        <v>0</v>
      </c>
      <c r="H1211" s="106">
        <v>0</v>
      </c>
      <c r="I1211" s="106"/>
      <c r="J1211" s="106"/>
      <c r="K1211" s="106"/>
      <c r="L1211" s="213">
        <v>1</v>
      </c>
      <c r="M1211" s="213">
        <v>0.666666666666667</v>
      </c>
      <c r="N1211" s="213">
        <v>0.8</v>
      </c>
      <c r="O1211" s="213">
        <v>0.714285714285714</v>
      </c>
      <c r="P1211" s="108">
        <v>1</v>
      </c>
      <c r="Q1211" s="108">
        <v>1</v>
      </c>
      <c r="R1211" s="108">
        <v>1</v>
      </c>
      <c r="S1211" s="108">
        <v>0.857142857142857</v>
      </c>
      <c r="T1211" s="108">
        <v>0</v>
      </c>
      <c r="U1211" s="108">
        <v>0</v>
      </c>
      <c r="V1211" s="108">
        <v>0</v>
      </c>
      <c r="W1211" s="108">
        <v>0</v>
      </c>
    </row>
    <row r="1212" spans="1:23">
      <c r="A1212" s="103">
        <v>45065</v>
      </c>
      <c r="B1212" s="104" t="s">
        <v>30</v>
      </c>
      <c r="C1212" s="145">
        <v>0</v>
      </c>
      <c r="D1212" s="145"/>
      <c r="E1212" s="104">
        <v>0</v>
      </c>
      <c r="F1212" s="106">
        <v>0</v>
      </c>
      <c r="G1212" s="107">
        <v>0</v>
      </c>
      <c r="H1212" s="106">
        <v>0</v>
      </c>
      <c r="I1212" s="106"/>
      <c r="J1212" s="106"/>
      <c r="K1212" s="106"/>
      <c r="L1212" s="213">
        <v>0</v>
      </c>
      <c r="M1212" s="213">
        <v>0</v>
      </c>
      <c r="N1212" s="213">
        <v>0</v>
      </c>
      <c r="O1212" s="213">
        <v>0</v>
      </c>
      <c r="P1212" s="108">
        <v>0</v>
      </c>
      <c r="Q1212" s="108">
        <v>0</v>
      </c>
      <c r="R1212" s="108">
        <v>0</v>
      </c>
      <c r="S1212" s="108">
        <v>0</v>
      </c>
      <c r="T1212" s="108">
        <v>0</v>
      </c>
      <c r="U1212" s="108">
        <v>0</v>
      </c>
      <c r="V1212" s="108">
        <v>0</v>
      </c>
      <c r="W1212" s="108">
        <v>0</v>
      </c>
    </row>
    <row r="1213" spans="1:23">
      <c r="A1213" s="103">
        <v>45065</v>
      </c>
      <c r="B1213" s="104" t="s">
        <v>31</v>
      </c>
      <c r="C1213" s="145">
        <v>0</v>
      </c>
      <c r="D1213" s="145"/>
      <c r="E1213" s="104">
        <v>0</v>
      </c>
      <c r="F1213" s="106">
        <v>0</v>
      </c>
      <c r="G1213" s="107">
        <v>0</v>
      </c>
      <c r="H1213" s="106">
        <v>0</v>
      </c>
      <c r="I1213" s="106"/>
      <c r="J1213" s="106"/>
      <c r="K1213" s="106"/>
      <c r="L1213" s="213">
        <v>0</v>
      </c>
      <c r="M1213" s="213">
        <v>0</v>
      </c>
      <c r="N1213" s="213">
        <v>0</v>
      </c>
      <c r="O1213" s="213">
        <v>0</v>
      </c>
      <c r="P1213" s="108">
        <v>-2</v>
      </c>
      <c r="Q1213" s="108">
        <v>-0.666666666666667</v>
      </c>
      <c r="R1213" s="108">
        <v>-0.4</v>
      </c>
      <c r="S1213" s="108">
        <v>-0.428571428571429</v>
      </c>
      <c r="T1213" s="108">
        <v>0</v>
      </c>
      <c r="U1213" s="108">
        <v>0</v>
      </c>
      <c r="V1213" s="108">
        <v>0</v>
      </c>
      <c r="W1213" s="108">
        <v>0</v>
      </c>
    </row>
    <row r="1214" spans="1:23">
      <c r="A1214" s="103">
        <v>45065</v>
      </c>
      <c r="B1214" s="104" t="s">
        <v>32</v>
      </c>
      <c r="C1214" s="145">
        <v>0</v>
      </c>
      <c r="D1214" s="145"/>
      <c r="E1214" s="104">
        <v>0</v>
      </c>
      <c r="F1214" s="106">
        <v>0</v>
      </c>
      <c r="G1214" s="107">
        <v>0</v>
      </c>
      <c r="H1214" s="106">
        <v>0</v>
      </c>
      <c r="I1214" s="106"/>
      <c r="J1214" s="106"/>
      <c r="K1214" s="106"/>
      <c r="L1214" s="213">
        <v>0</v>
      </c>
      <c r="M1214" s="213">
        <v>0</v>
      </c>
      <c r="N1214" s="213">
        <v>0</v>
      </c>
      <c r="O1214" s="213">
        <v>0</v>
      </c>
      <c r="P1214" s="108">
        <v>0</v>
      </c>
      <c r="Q1214" s="108">
        <v>0</v>
      </c>
      <c r="R1214" s="108">
        <v>0</v>
      </c>
      <c r="S1214" s="108">
        <v>0</v>
      </c>
      <c r="T1214" s="108">
        <v>0</v>
      </c>
      <c r="U1214" s="108">
        <v>0</v>
      </c>
      <c r="V1214" s="108">
        <v>0</v>
      </c>
      <c r="W1214" s="108">
        <v>0</v>
      </c>
    </row>
    <row r="1215" spans="1:23">
      <c r="A1215" s="103">
        <v>45065</v>
      </c>
      <c r="B1215" s="104" t="s">
        <v>33</v>
      </c>
      <c r="C1215" s="145">
        <v>0</v>
      </c>
      <c r="D1215" s="145"/>
      <c r="E1215" s="104">
        <v>1</v>
      </c>
      <c r="F1215" s="106">
        <v>1</v>
      </c>
      <c r="G1215" s="107">
        <v>0</v>
      </c>
      <c r="H1215" s="106">
        <v>0</v>
      </c>
      <c r="I1215" s="106"/>
      <c r="J1215" s="106"/>
      <c r="K1215" s="106"/>
      <c r="L1215" s="213">
        <v>0</v>
      </c>
      <c r="M1215" s="213">
        <v>0</v>
      </c>
      <c r="N1215" s="213">
        <v>0</v>
      </c>
      <c r="O1215" s="213">
        <v>0</v>
      </c>
      <c r="P1215" s="108">
        <v>1</v>
      </c>
      <c r="Q1215" s="108">
        <v>1</v>
      </c>
      <c r="R1215" s="108">
        <v>1</v>
      </c>
      <c r="S1215" s="108">
        <v>1</v>
      </c>
      <c r="T1215" s="108">
        <v>0</v>
      </c>
      <c r="U1215" s="108">
        <v>0</v>
      </c>
      <c r="V1215" s="108">
        <v>0</v>
      </c>
      <c r="W1215" s="108">
        <v>0</v>
      </c>
    </row>
    <row r="1216" spans="1:23">
      <c r="A1216" s="103">
        <v>45065</v>
      </c>
      <c r="B1216" s="104" t="s">
        <v>34</v>
      </c>
      <c r="C1216" s="145">
        <v>0</v>
      </c>
      <c r="D1216" s="145"/>
      <c r="E1216" s="104">
        <v>0</v>
      </c>
      <c r="F1216" s="106">
        <v>0</v>
      </c>
      <c r="G1216" s="107">
        <v>0</v>
      </c>
      <c r="H1216" s="106">
        <v>0</v>
      </c>
      <c r="I1216" s="106"/>
      <c r="J1216" s="106"/>
      <c r="K1216" s="106"/>
      <c r="L1216" s="213">
        <v>0</v>
      </c>
      <c r="M1216" s="213">
        <v>0</v>
      </c>
      <c r="N1216" s="213">
        <v>0</v>
      </c>
      <c r="O1216" s="213">
        <v>0</v>
      </c>
      <c r="P1216" s="108">
        <v>0</v>
      </c>
      <c r="Q1216" s="108">
        <v>0</v>
      </c>
      <c r="R1216" s="108">
        <v>0</v>
      </c>
      <c r="S1216" s="108">
        <v>0</v>
      </c>
      <c r="T1216" s="108">
        <v>0</v>
      </c>
      <c r="U1216" s="108">
        <v>0</v>
      </c>
      <c r="V1216" s="108">
        <v>0</v>
      </c>
      <c r="W1216" s="108">
        <v>0</v>
      </c>
    </row>
    <row r="1217" spans="1:23">
      <c r="A1217" s="103">
        <v>45065</v>
      </c>
      <c r="B1217" s="104" t="s">
        <v>35</v>
      </c>
      <c r="C1217" s="145">
        <v>0</v>
      </c>
      <c r="D1217" s="145"/>
      <c r="E1217" s="104">
        <v>0</v>
      </c>
      <c r="F1217" s="106">
        <v>0</v>
      </c>
      <c r="G1217" s="107">
        <v>0</v>
      </c>
      <c r="H1217" s="106">
        <v>0</v>
      </c>
      <c r="I1217" s="106"/>
      <c r="J1217" s="106"/>
      <c r="K1217" s="106"/>
      <c r="L1217" s="213">
        <v>0</v>
      </c>
      <c r="M1217" s="213">
        <v>0</v>
      </c>
      <c r="N1217" s="213">
        <v>0</v>
      </c>
      <c r="O1217" s="213">
        <v>0</v>
      </c>
      <c r="P1217" s="108">
        <v>0</v>
      </c>
      <c r="Q1217" s="108">
        <v>0</v>
      </c>
      <c r="R1217" s="108">
        <v>0</v>
      </c>
      <c r="S1217" s="108">
        <v>0</v>
      </c>
      <c r="T1217" s="108">
        <v>0</v>
      </c>
      <c r="U1217" s="108">
        <v>0</v>
      </c>
      <c r="V1217" s="108">
        <v>0</v>
      </c>
      <c r="W1217" s="108">
        <v>0</v>
      </c>
    </row>
    <row r="1218" spans="1:23">
      <c r="A1218" s="103">
        <v>45065</v>
      </c>
      <c r="B1218" s="104" t="s">
        <v>36</v>
      </c>
      <c r="C1218" s="145">
        <v>0</v>
      </c>
      <c r="D1218" s="145"/>
      <c r="E1218" s="104">
        <v>0</v>
      </c>
      <c r="F1218" s="106">
        <v>0</v>
      </c>
      <c r="G1218" s="107">
        <v>0</v>
      </c>
      <c r="H1218" s="106">
        <v>0</v>
      </c>
      <c r="I1218" s="106"/>
      <c r="J1218" s="106"/>
      <c r="K1218" s="106"/>
      <c r="L1218" s="213">
        <v>0</v>
      </c>
      <c r="M1218" s="213">
        <v>0</v>
      </c>
      <c r="N1218" s="213">
        <v>0</v>
      </c>
      <c r="O1218" s="213">
        <v>0</v>
      </c>
      <c r="P1218" s="108">
        <v>0</v>
      </c>
      <c r="Q1218" s="108">
        <v>0</v>
      </c>
      <c r="R1218" s="108">
        <v>0</v>
      </c>
      <c r="S1218" s="108">
        <v>0</v>
      </c>
      <c r="T1218" s="108">
        <v>0</v>
      </c>
      <c r="U1218" s="108">
        <v>0</v>
      </c>
      <c r="V1218" s="108">
        <v>0</v>
      </c>
      <c r="W1218" s="108">
        <v>0</v>
      </c>
    </row>
    <row r="1219" spans="1:23">
      <c r="A1219" s="103">
        <v>45065</v>
      </c>
      <c r="B1219" s="104" t="s">
        <v>37</v>
      </c>
      <c r="C1219" s="145">
        <v>0</v>
      </c>
      <c r="D1219" s="145"/>
      <c r="E1219" s="104">
        <v>2</v>
      </c>
      <c r="F1219" s="106">
        <v>2</v>
      </c>
      <c r="G1219" s="107">
        <v>0</v>
      </c>
      <c r="H1219" s="106">
        <v>0</v>
      </c>
      <c r="I1219" s="106"/>
      <c r="J1219" s="106"/>
      <c r="K1219" s="106"/>
      <c r="L1219" s="213">
        <v>0</v>
      </c>
      <c r="M1219" s="213">
        <v>0</v>
      </c>
      <c r="N1219" s="213">
        <v>0</v>
      </c>
      <c r="O1219" s="213">
        <v>0</v>
      </c>
      <c r="P1219" s="108">
        <v>2</v>
      </c>
      <c r="Q1219" s="108">
        <v>1.66666666666667</v>
      </c>
      <c r="R1219" s="108">
        <v>1.6</v>
      </c>
      <c r="S1219" s="108">
        <v>1.57142857142857</v>
      </c>
      <c r="T1219" s="108">
        <v>0</v>
      </c>
      <c r="U1219" s="108">
        <v>0</v>
      </c>
      <c r="V1219" s="108">
        <v>0</v>
      </c>
      <c r="W1219" s="108">
        <v>0</v>
      </c>
    </row>
    <row r="1220" spans="1:23">
      <c r="A1220" s="103">
        <v>45065</v>
      </c>
      <c r="B1220" s="104" t="s">
        <v>38</v>
      </c>
      <c r="C1220" s="145">
        <v>0</v>
      </c>
      <c r="D1220" s="145"/>
      <c r="E1220" s="104">
        <v>0</v>
      </c>
      <c r="F1220" s="106">
        <v>0</v>
      </c>
      <c r="G1220" s="107">
        <v>0</v>
      </c>
      <c r="H1220" s="106">
        <v>0</v>
      </c>
      <c r="I1220" s="106"/>
      <c r="J1220" s="106"/>
      <c r="K1220" s="106"/>
      <c r="L1220" s="213">
        <v>0</v>
      </c>
      <c r="M1220" s="213">
        <v>0</v>
      </c>
      <c r="N1220" s="213">
        <v>0</v>
      </c>
      <c r="O1220" s="213">
        <v>0</v>
      </c>
      <c r="P1220" s="108">
        <v>0</v>
      </c>
      <c r="Q1220" s="108">
        <v>0</v>
      </c>
      <c r="R1220" s="108">
        <v>0</v>
      </c>
      <c r="S1220" s="108">
        <v>0</v>
      </c>
      <c r="T1220" s="108">
        <v>0</v>
      </c>
      <c r="U1220" s="108">
        <v>0</v>
      </c>
      <c r="V1220" s="108">
        <v>0</v>
      </c>
      <c r="W1220" s="108">
        <v>0</v>
      </c>
    </row>
    <row r="1221" spans="1:23">
      <c r="A1221" s="103">
        <v>45065</v>
      </c>
      <c r="B1221" s="111" t="s">
        <v>39</v>
      </c>
      <c r="C1221" s="105">
        <v>23922</v>
      </c>
      <c r="D1221" s="105"/>
      <c r="E1221" s="112">
        <v>391</v>
      </c>
      <c r="F1221" s="113">
        <v>0.0163447872251484</v>
      </c>
      <c r="G1221" s="112">
        <v>141</v>
      </c>
      <c r="H1221" s="113">
        <v>0.360613810741688</v>
      </c>
      <c r="I1221" s="113"/>
      <c r="J1221" s="113"/>
      <c r="K1221" s="113"/>
      <c r="L1221" s="213"/>
      <c r="M1221" s="213"/>
      <c r="N1221" s="213"/>
      <c r="O1221" s="213"/>
      <c r="P1221" s="108"/>
      <c r="Q1221" s="108"/>
      <c r="R1221" s="108"/>
      <c r="S1221" s="108"/>
      <c r="T1221" s="108"/>
      <c r="U1221" s="108"/>
      <c r="V1221" s="108"/>
      <c r="W1221" s="108"/>
    </row>
    <row r="1222" spans="1:23">
      <c r="A1222" s="103">
        <v>45066</v>
      </c>
      <c r="B1222" s="104" t="s">
        <v>17</v>
      </c>
      <c r="C1222" s="105">
        <v>4</v>
      </c>
      <c r="D1222" s="105"/>
      <c r="E1222" s="104">
        <v>19</v>
      </c>
      <c r="F1222" s="106">
        <v>4.75</v>
      </c>
      <c r="G1222" s="107">
        <v>1</v>
      </c>
      <c r="H1222" s="106">
        <v>0.0526315789473684</v>
      </c>
      <c r="I1222" s="106"/>
      <c r="J1222" s="106"/>
      <c r="K1222" s="106"/>
      <c r="L1222" s="213">
        <v>2</v>
      </c>
      <c r="M1222" s="213">
        <v>1.66666666666667</v>
      </c>
      <c r="N1222" s="213">
        <v>2.2</v>
      </c>
      <c r="O1222" s="213">
        <v>2.42857142857143</v>
      </c>
      <c r="P1222" s="108">
        <v>1</v>
      </c>
      <c r="Q1222" s="108">
        <v>1.33333333333333</v>
      </c>
      <c r="R1222" s="108">
        <v>1.6</v>
      </c>
      <c r="S1222" s="108">
        <v>-0.714285714285715</v>
      </c>
      <c r="T1222" s="108">
        <v>-6</v>
      </c>
      <c r="U1222" s="108">
        <v>-6</v>
      </c>
      <c r="V1222" s="108">
        <v>-4.8</v>
      </c>
      <c r="W1222" s="108">
        <v>-4.85714285714286</v>
      </c>
    </row>
    <row r="1223" spans="1:23">
      <c r="A1223" s="103">
        <v>45066</v>
      </c>
      <c r="B1223" s="104" t="s">
        <v>19</v>
      </c>
      <c r="C1223" s="105">
        <v>307</v>
      </c>
      <c r="D1223" s="105"/>
      <c r="E1223" s="104">
        <v>11</v>
      </c>
      <c r="F1223" s="106">
        <v>0.0179153094462541</v>
      </c>
      <c r="G1223" s="107">
        <v>6</v>
      </c>
      <c r="H1223" s="106">
        <v>0.545454545454545</v>
      </c>
      <c r="I1223" s="106"/>
      <c r="J1223" s="106"/>
      <c r="K1223" s="106"/>
      <c r="L1223" s="213">
        <v>44</v>
      </c>
      <c r="M1223" s="213">
        <v>94</v>
      </c>
      <c r="N1223" s="213">
        <v>160.4</v>
      </c>
      <c r="O1223" s="213">
        <v>186.857142857143</v>
      </c>
      <c r="P1223" s="108">
        <v>3</v>
      </c>
      <c r="Q1223" s="108">
        <v>3</v>
      </c>
      <c r="R1223" s="108">
        <v>0.800000000000001</v>
      </c>
      <c r="S1223" s="108">
        <v>0.142857142857142</v>
      </c>
      <c r="T1223" s="108">
        <v>2</v>
      </c>
      <c r="U1223" s="108">
        <v>2</v>
      </c>
      <c r="V1223" s="108">
        <v>1.2</v>
      </c>
      <c r="W1223" s="115">
        <v>1.57142857142857</v>
      </c>
    </row>
    <row r="1224" spans="1:23">
      <c r="A1224" s="103">
        <v>45066</v>
      </c>
      <c r="B1224" s="104" t="s">
        <v>21</v>
      </c>
      <c r="C1224" s="105">
        <v>543</v>
      </c>
      <c r="D1224" s="105"/>
      <c r="E1224" s="104">
        <v>45</v>
      </c>
      <c r="F1224" s="106">
        <v>0.0828729281767956</v>
      </c>
      <c r="G1224" s="107">
        <v>14</v>
      </c>
      <c r="H1224" s="106">
        <v>0.311111111111111</v>
      </c>
      <c r="I1224" s="106"/>
      <c r="J1224" s="106"/>
      <c r="K1224" s="106"/>
      <c r="L1224" s="213">
        <v>12</v>
      </c>
      <c r="M1224" s="213">
        <v>4</v>
      </c>
      <c r="N1224" s="213">
        <v>-38.6</v>
      </c>
      <c r="O1224" s="213">
        <v>-116.714285714286</v>
      </c>
      <c r="P1224" s="108">
        <v>20</v>
      </c>
      <c r="Q1224" s="108">
        <v>16.6666666666667</v>
      </c>
      <c r="R1224" s="108">
        <v>16.4</v>
      </c>
      <c r="S1224" s="108">
        <v>15</v>
      </c>
      <c r="T1224" s="108">
        <v>6</v>
      </c>
      <c r="U1224" s="108">
        <v>4.33333333333333</v>
      </c>
      <c r="V1224" s="108">
        <v>3.8</v>
      </c>
      <c r="W1224" s="108">
        <v>4.57142857142857</v>
      </c>
    </row>
    <row r="1225" spans="1:23">
      <c r="A1225" s="103">
        <v>45066</v>
      </c>
      <c r="B1225" s="104" t="s">
        <v>22</v>
      </c>
      <c r="C1225" s="105">
        <v>4350</v>
      </c>
      <c r="D1225" s="105"/>
      <c r="E1225" s="104">
        <v>189</v>
      </c>
      <c r="F1225" s="106">
        <v>0.043448275862069</v>
      </c>
      <c r="G1225" s="107">
        <v>67</v>
      </c>
      <c r="H1225" s="106">
        <v>0.354497354497354</v>
      </c>
      <c r="I1225" s="106"/>
      <c r="J1225" s="106"/>
      <c r="K1225" s="106"/>
      <c r="L1225" s="213">
        <v>603</v>
      </c>
      <c r="M1225" s="213">
        <v>696</v>
      </c>
      <c r="N1225" s="213">
        <v>874.2</v>
      </c>
      <c r="O1225" s="213">
        <v>1070.42857142857</v>
      </c>
      <c r="P1225" s="108">
        <v>42</v>
      </c>
      <c r="Q1225" s="108">
        <v>51</v>
      </c>
      <c r="R1225" s="108">
        <v>64.6</v>
      </c>
      <c r="S1225" s="115">
        <v>72.1428571428571</v>
      </c>
      <c r="T1225" s="108">
        <v>17</v>
      </c>
      <c r="U1225" s="108">
        <v>17.6666666666667</v>
      </c>
      <c r="V1225" s="108">
        <v>24</v>
      </c>
      <c r="W1225" s="117">
        <v>28.4285714285714</v>
      </c>
    </row>
    <row r="1226" spans="1:23">
      <c r="A1226" s="103">
        <v>45066</v>
      </c>
      <c r="B1226" s="104" t="s">
        <v>23</v>
      </c>
      <c r="C1226" s="105">
        <v>2226</v>
      </c>
      <c r="D1226" s="105"/>
      <c r="E1226" s="104">
        <v>15</v>
      </c>
      <c r="F1226" s="106">
        <v>0.00673854447439353</v>
      </c>
      <c r="G1226" s="107">
        <v>5</v>
      </c>
      <c r="H1226" s="106">
        <v>0.333333333333333</v>
      </c>
      <c r="I1226" s="106"/>
      <c r="J1226" s="106"/>
      <c r="K1226" s="106"/>
      <c r="L1226" s="213">
        <v>92</v>
      </c>
      <c r="M1226" s="213">
        <v>145</v>
      </c>
      <c r="N1226" s="213">
        <v>75.1999999999998</v>
      </c>
      <c r="O1226" s="213">
        <v>38</v>
      </c>
      <c r="P1226" s="108">
        <v>10</v>
      </c>
      <c r="Q1226" s="108">
        <v>4</v>
      </c>
      <c r="R1226" s="108">
        <v>3.2</v>
      </c>
      <c r="S1226" s="108">
        <v>2.14285714285714</v>
      </c>
      <c r="T1226" s="108">
        <v>0</v>
      </c>
      <c r="U1226" s="116">
        <v>0</v>
      </c>
      <c r="V1226" s="108">
        <v>0.4</v>
      </c>
      <c r="W1226" s="108">
        <v>-0.142857142857143</v>
      </c>
    </row>
    <row r="1227" spans="1:23">
      <c r="A1227" s="103">
        <v>45066</v>
      </c>
      <c r="B1227" s="104" t="s">
        <v>24</v>
      </c>
      <c r="C1227" s="105">
        <v>2902</v>
      </c>
      <c r="D1227" s="105"/>
      <c r="E1227" s="104">
        <v>68</v>
      </c>
      <c r="F1227" s="106">
        <v>0.0234321157822192</v>
      </c>
      <c r="G1227" s="107">
        <v>25</v>
      </c>
      <c r="H1227" s="106">
        <v>0.367647058823529</v>
      </c>
      <c r="I1227" s="106"/>
      <c r="J1227" s="106"/>
      <c r="K1227" s="106"/>
      <c r="L1227" s="213">
        <v>615</v>
      </c>
      <c r="M1227" s="213">
        <v>738.333333333333</v>
      </c>
      <c r="N1227" s="213">
        <v>769.6</v>
      </c>
      <c r="O1227" s="213">
        <v>492</v>
      </c>
      <c r="P1227" s="115">
        <v>-47</v>
      </c>
      <c r="Q1227" s="115">
        <v>-91.3333333333333</v>
      </c>
      <c r="R1227" s="115">
        <v>-84</v>
      </c>
      <c r="S1227" s="115">
        <v>-69.1428571428571</v>
      </c>
      <c r="T1227" s="115">
        <v>-8</v>
      </c>
      <c r="U1227" s="115">
        <v>-24.3333333333333</v>
      </c>
      <c r="V1227" s="115">
        <v>-20.2</v>
      </c>
      <c r="W1227" s="115">
        <v>-14.2857142857143</v>
      </c>
    </row>
    <row r="1228" spans="1:23">
      <c r="A1228" s="103">
        <v>45066</v>
      </c>
      <c r="B1228" s="104" t="s">
        <v>25</v>
      </c>
      <c r="C1228" s="145">
        <v>2468</v>
      </c>
      <c r="D1228" s="145"/>
      <c r="E1228" s="104">
        <v>32</v>
      </c>
      <c r="F1228" s="106">
        <v>0.00648298217179903</v>
      </c>
      <c r="G1228" s="107">
        <v>18</v>
      </c>
      <c r="H1228" s="106">
        <v>0.5625</v>
      </c>
      <c r="I1228" s="106"/>
      <c r="J1228" s="106"/>
      <c r="K1228" s="106"/>
      <c r="L1228" s="213">
        <v>-1696</v>
      </c>
      <c r="M1228" s="213">
        <v>-4335.33333333333</v>
      </c>
      <c r="N1228" s="213">
        <v>-3962</v>
      </c>
      <c r="O1228" s="213">
        <v>-4447.14285714286</v>
      </c>
      <c r="P1228" s="116">
        <v>4</v>
      </c>
      <c r="Q1228" s="115">
        <v>6</v>
      </c>
      <c r="R1228" s="115">
        <v>7.4</v>
      </c>
      <c r="S1228" s="115">
        <v>9</v>
      </c>
      <c r="T1228" s="108">
        <v>0</v>
      </c>
      <c r="U1228" s="108">
        <v>3.66666666666667</v>
      </c>
      <c r="V1228" s="108">
        <v>5.2</v>
      </c>
      <c r="W1228" s="108">
        <v>6</v>
      </c>
    </row>
    <row r="1229" spans="1:23">
      <c r="A1229" s="103">
        <v>45066</v>
      </c>
      <c r="B1229" s="104" t="s">
        <v>26</v>
      </c>
      <c r="C1229" s="145">
        <v>2200</v>
      </c>
      <c r="D1229" s="145"/>
      <c r="E1229" s="104">
        <v>16</v>
      </c>
      <c r="F1229" s="106">
        <v>0.00363636363636364</v>
      </c>
      <c r="G1229" s="107">
        <v>8</v>
      </c>
      <c r="H1229" s="106">
        <v>0.5</v>
      </c>
      <c r="I1229" s="106"/>
      <c r="J1229" s="106"/>
      <c r="K1229" s="106"/>
      <c r="L1229" s="213">
        <v>122</v>
      </c>
      <c r="M1229" s="213">
        <v>93.333333333333</v>
      </c>
      <c r="N1229" s="213">
        <v>163.2</v>
      </c>
      <c r="O1229" s="213">
        <v>228.857142857143</v>
      </c>
      <c r="P1229" s="108">
        <v>-5</v>
      </c>
      <c r="Q1229" s="108">
        <v>-5</v>
      </c>
      <c r="R1229" s="108">
        <v>-2.8</v>
      </c>
      <c r="S1229" s="108">
        <v>-2.42857142857143</v>
      </c>
      <c r="T1229" s="108">
        <v>4</v>
      </c>
      <c r="U1229" s="108">
        <v>1.33333333333333</v>
      </c>
      <c r="V1229" s="108">
        <v>1.6</v>
      </c>
      <c r="W1229" s="108">
        <v>1.42857142857143</v>
      </c>
    </row>
    <row r="1230" spans="1:23">
      <c r="A1230" s="103">
        <v>45066</v>
      </c>
      <c r="B1230" s="104" t="s">
        <v>27</v>
      </c>
      <c r="C1230" s="145">
        <v>2612</v>
      </c>
      <c r="D1230" s="145"/>
      <c r="E1230" s="104">
        <v>54</v>
      </c>
      <c r="F1230" s="106">
        <v>0.0103369065849923</v>
      </c>
      <c r="G1230" s="107">
        <v>16</v>
      </c>
      <c r="H1230" s="106">
        <v>0.296296296296296</v>
      </c>
      <c r="I1230" s="106"/>
      <c r="J1230" s="106"/>
      <c r="K1230" s="106"/>
      <c r="L1230" s="213">
        <v>1484</v>
      </c>
      <c r="M1230" s="213">
        <v>2325.33333333333</v>
      </c>
      <c r="N1230" s="213">
        <v>2042.4</v>
      </c>
      <c r="O1230" s="213">
        <v>1350</v>
      </c>
      <c r="P1230" s="108">
        <v>34</v>
      </c>
      <c r="Q1230" s="108">
        <v>22.3333333333333</v>
      </c>
      <c r="R1230" s="108">
        <v>12.6</v>
      </c>
      <c r="S1230" s="108">
        <v>-1.57142857142857</v>
      </c>
      <c r="T1230" s="108">
        <v>4</v>
      </c>
      <c r="U1230" s="108">
        <v>2.33333333333333</v>
      </c>
      <c r="V1230" s="108">
        <v>0.4</v>
      </c>
      <c r="W1230" s="108">
        <v>-3.14285714285714</v>
      </c>
    </row>
    <row r="1231" spans="1:23">
      <c r="A1231" s="103">
        <v>45066</v>
      </c>
      <c r="B1231" s="104" t="s">
        <v>28</v>
      </c>
      <c r="C1231" s="145">
        <v>0</v>
      </c>
      <c r="D1231" s="145"/>
      <c r="E1231" s="104">
        <v>0</v>
      </c>
      <c r="F1231" s="106">
        <v>0</v>
      </c>
      <c r="G1231" s="107">
        <v>0</v>
      </c>
      <c r="H1231" s="106">
        <v>0</v>
      </c>
      <c r="I1231" s="106"/>
      <c r="J1231" s="106"/>
      <c r="K1231" s="106"/>
      <c r="L1231" s="213">
        <v>0</v>
      </c>
      <c r="M1231" s="213">
        <v>0</v>
      </c>
      <c r="N1231" s="213">
        <v>0</v>
      </c>
      <c r="O1231" s="213">
        <v>0</v>
      </c>
      <c r="P1231" s="108">
        <v>0</v>
      </c>
      <c r="Q1231" s="108">
        <v>0</v>
      </c>
      <c r="R1231" s="108">
        <v>0</v>
      </c>
      <c r="S1231" s="108">
        <v>0</v>
      </c>
      <c r="T1231" s="108">
        <v>0</v>
      </c>
      <c r="U1231" s="108">
        <v>0</v>
      </c>
      <c r="V1231" s="108">
        <v>0</v>
      </c>
      <c r="W1231" s="108">
        <v>0</v>
      </c>
    </row>
    <row r="1232" spans="1:23">
      <c r="A1232" s="103">
        <v>45066</v>
      </c>
      <c r="B1232" s="104" t="s">
        <v>29</v>
      </c>
      <c r="C1232" s="145">
        <v>1</v>
      </c>
      <c r="D1232" s="145"/>
      <c r="E1232" s="104">
        <v>1</v>
      </c>
      <c r="F1232" s="106">
        <v>1</v>
      </c>
      <c r="G1232" s="107">
        <v>0</v>
      </c>
      <c r="H1232" s="106">
        <v>0</v>
      </c>
      <c r="I1232" s="106"/>
      <c r="J1232" s="106"/>
      <c r="K1232" s="106"/>
      <c r="L1232" s="213">
        <v>0</v>
      </c>
      <c r="M1232" s="213">
        <v>0.333333333333333</v>
      </c>
      <c r="N1232" s="213">
        <v>0.6</v>
      </c>
      <c r="O1232" s="213">
        <v>0.714285714285714</v>
      </c>
      <c r="P1232" s="108">
        <v>0</v>
      </c>
      <c r="Q1232" s="108">
        <v>0.666666666666667</v>
      </c>
      <c r="R1232" s="108">
        <v>0.8</v>
      </c>
      <c r="S1232" s="108">
        <v>0.714285714285714</v>
      </c>
      <c r="T1232" s="108">
        <v>0</v>
      </c>
      <c r="U1232" s="108">
        <v>0</v>
      </c>
      <c r="V1232" s="108">
        <v>0</v>
      </c>
      <c r="W1232" s="108">
        <v>0</v>
      </c>
    </row>
    <row r="1233" spans="1:23">
      <c r="A1233" s="103">
        <v>45066</v>
      </c>
      <c r="B1233" s="104" t="s">
        <v>30</v>
      </c>
      <c r="C1233" s="145">
        <v>0</v>
      </c>
      <c r="D1233" s="145"/>
      <c r="E1233" s="104">
        <v>0</v>
      </c>
      <c r="F1233" s="106">
        <v>0</v>
      </c>
      <c r="G1233" s="107">
        <v>0</v>
      </c>
      <c r="H1233" s="106">
        <v>0</v>
      </c>
      <c r="I1233" s="106"/>
      <c r="J1233" s="106"/>
      <c r="K1233" s="106"/>
      <c r="L1233" s="213">
        <v>0</v>
      </c>
      <c r="M1233" s="213">
        <v>0</v>
      </c>
      <c r="N1233" s="213">
        <v>0</v>
      </c>
      <c r="O1233" s="213">
        <v>0</v>
      </c>
      <c r="P1233" s="108">
        <v>0</v>
      </c>
      <c r="Q1233" s="108">
        <v>0</v>
      </c>
      <c r="R1233" s="108">
        <v>0</v>
      </c>
      <c r="S1233" s="108">
        <v>0</v>
      </c>
      <c r="T1233" s="108">
        <v>0</v>
      </c>
      <c r="U1233" s="108">
        <v>0</v>
      </c>
      <c r="V1233" s="108">
        <v>0</v>
      </c>
      <c r="W1233" s="108">
        <v>0</v>
      </c>
    </row>
    <row r="1234" spans="1:23">
      <c r="A1234" s="103">
        <v>45066</v>
      </c>
      <c r="B1234" s="104" t="s">
        <v>31</v>
      </c>
      <c r="C1234" s="145">
        <v>0</v>
      </c>
      <c r="D1234" s="145"/>
      <c r="E1234" s="104">
        <v>1</v>
      </c>
      <c r="F1234" s="106">
        <v>1</v>
      </c>
      <c r="G1234" s="107">
        <v>0</v>
      </c>
      <c r="H1234" s="106">
        <v>0</v>
      </c>
      <c r="I1234" s="106"/>
      <c r="J1234" s="106"/>
      <c r="K1234" s="106"/>
      <c r="L1234" s="213">
        <v>0</v>
      </c>
      <c r="M1234" s="213">
        <v>0</v>
      </c>
      <c r="N1234" s="213">
        <v>0</v>
      </c>
      <c r="O1234" s="213">
        <v>0</v>
      </c>
      <c r="P1234" s="108">
        <v>1</v>
      </c>
      <c r="Q1234" s="108">
        <v>0.333333333333333</v>
      </c>
      <c r="R1234" s="108">
        <v>0.6</v>
      </c>
      <c r="S1234" s="108">
        <v>0.714285714285714</v>
      </c>
      <c r="T1234" s="108">
        <v>0</v>
      </c>
      <c r="U1234" s="108">
        <v>0</v>
      </c>
      <c r="V1234" s="108">
        <v>0</v>
      </c>
      <c r="W1234" s="108">
        <v>0</v>
      </c>
    </row>
    <row r="1235" spans="1:23">
      <c r="A1235" s="103">
        <v>45066</v>
      </c>
      <c r="B1235" s="104" t="s">
        <v>32</v>
      </c>
      <c r="C1235" s="145">
        <v>0</v>
      </c>
      <c r="D1235" s="145"/>
      <c r="E1235" s="104">
        <v>0</v>
      </c>
      <c r="F1235" s="106">
        <v>0</v>
      </c>
      <c r="G1235" s="107">
        <v>0</v>
      </c>
      <c r="H1235" s="106">
        <v>0</v>
      </c>
      <c r="I1235" s="106"/>
      <c r="J1235" s="106"/>
      <c r="K1235" s="106"/>
      <c r="L1235" s="213">
        <v>0</v>
      </c>
      <c r="M1235" s="213">
        <v>0</v>
      </c>
      <c r="N1235" s="213">
        <v>0</v>
      </c>
      <c r="O1235" s="213">
        <v>0</v>
      </c>
      <c r="P1235" s="108">
        <v>0</v>
      </c>
      <c r="Q1235" s="108">
        <v>0</v>
      </c>
      <c r="R1235" s="108">
        <v>0</v>
      </c>
      <c r="S1235" s="108">
        <v>0</v>
      </c>
      <c r="T1235" s="108">
        <v>0</v>
      </c>
      <c r="U1235" s="108">
        <v>0</v>
      </c>
      <c r="V1235" s="108">
        <v>0</v>
      </c>
      <c r="W1235" s="108">
        <v>0</v>
      </c>
    </row>
    <row r="1236" spans="1:23">
      <c r="A1236" s="103">
        <v>45066</v>
      </c>
      <c r="B1236" s="104" t="s">
        <v>33</v>
      </c>
      <c r="C1236" s="145">
        <v>0</v>
      </c>
      <c r="D1236" s="145"/>
      <c r="E1236" s="104">
        <v>0</v>
      </c>
      <c r="F1236" s="106">
        <v>0</v>
      </c>
      <c r="G1236" s="107">
        <v>0</v>
      </c>
      <c r="H1236" s="106">
        <v>0</v>
      </c>
      <c r="I1236" s="106"/>
      <c r="J1236" s="106"/>
      <c r="K1236" s="106"/>
      <c r="L1236" s="213">
        <v>0</v>
      </c>
      <c r="M1236" s="213">
        <v>0</v>
      </c>
      <c r="N1236" s="213">
        <v>0</v>
      </c>
      <c r="O1236" s="213">
        <v>0</v>
      </c>
      <c r="P1236" s="108">
        <v>-1</v>
      </c>
      <c r="Q1236" s="108">
        <v>-0.333333333333333</v>
      </c>
      <c r="R1236" s="108">
        <v>-0.2</v>
      </c>
      <c r="S1236" s="108">
        <v>-0.142857142857143</v>
      </c>
      <c r="T1236" s="108">
        <v>0</v>
      </c>
      <c r="U1236" s="108">
        <v>0</v>
      </c>
      <c r="V1236" s="108">
        <v>0</v>
      </c>
      <c r="W1236" s="108">
        <v>0</v>
      </c>
    </row>
    <row r="1237" spans="1:23">
      <c r="A1237" s="103">
        <v>45066</v>
      </c>
      <c r="B1237" s="104" t="s">
        <v>34</v>
      </c>
      <c r="C1237" s="145">
        <v>0</v>
      </c>
      <c r="D1237" s="145"/>
      <c r="E1237" s="104">
        <v>0</v>
      </c>
      <c r="F1237" s="106">
        <v>0</v>
      </c>
      <c r="G1237" s="107">
        <v>0</v>
      </c>
      <c r="H1237" s="106">
        <v>0</v>
      </c>
      <c r="I1237" s="106"/>
      <c r="J1237" s="106"/>
      <c r="K1237" s="106"/>
      <c r="L1237" s="213">
        <v>0</v>
      </c>
      <c r="M1237" s="213">
        <v>0</v>
      </c>
      <c r="N1237" s="213">
        <v>0</v>
      </c>
      <c r="O1237" s="213">
        <v>0</v>
      </c>
      <c r="P1237" s="108">
        <v>0</v>
      </c>
      <c r="Q1237" s="108">
        <v>0</v>
      </c>
      <c r="R1237" s="108">
        <v>0</v>
      </c>
      <c r="S1237" s="108">
        <v>0</v>
      </c>
      <c r="T1237" s="108">
        <v>0</v>
      </c>
      <c r="U1237" s="108">
        <v>0</v>
      </c>
      <c r="V1237" s="108">
        <v>0</v>
      </c>
      <c r="W1237" s="108">
        <v>0</v>
      </c>
    </row>
    <row r="1238" spans="1:23">
      <c r="A1238" s="103">
        <v>45066</v>
      </c>
      <c r="B1238" s="104" t="s">
        <v>35</v>
      </c>
      <c r="C1238" s="145">
        <v>0</v>
      </c>
      <c r="D1238" s="145"/>
      <c r="E1238" s="104">
        <v>0</v>
      </c>
      <c r="F1238" s="106">
        <v>0</v>
      </c>
      <c r="G1238" s="107">
        <v>0</v>
      </c>
      <c r="H1238" s="106">
        <v>0</v>
      </c>
      <c r="I1238" s="106"/>
      <c r="J1238" s="106"/>
      <c r="K1238" s="106"/>
      <c r="L1238" s="213">
        <v>0</v>
      </c>
      <c r="M1238" s="213">
        <v>0</v>
      </c>
      <c r="N1238" s="213">
        <v>0</v>
      </c>
      <c r="O1238" s="213">
        <v>0</v>
      </c>
      <c r="P1238" s="108">
        <v>0</v>
      </c>
      <c r="Q1238" s="108">
        <v>0</v>
      </c>
      <c r="R1238" s="108">
        <v>0</v>
      </c>
      <c r="S1238" s="108">
        <v>0</v>
      </c>
      <c r="T1238" s="108">
        <v>0</v>
      </c>
      <c r="U1238" s="108">
        <v>0</v>
      </c>
      <c r="V1238" s="108">
        <v>0</v>
      </c>
      <c r="W1238" s="108">
        <v>0</v>
      </c>
    </row>
    <row r="1239" spans="1:23">
      <c r="A1239" s="103">
        <v>45066</v>
      </c>
      <c r="B1239" s="104" t="s">
        <v>36</v>
      </c>
      <c r="C1239" s="145">
        <v>0</v>
      </c>
      <c r="D1239" s="145"/>
      <c r="E1239" s="104">
        <v>0</v>
      </c>
      <c r="F1239" s="106">
        <v>0</v>
      </c>
      <c r="G1239" s="107">
        <v>0</v>
      </c>
      <c r="H1239" s="106">
        <v>0</v>
      </c>
      <c r="I1239" s="106"/>
      <c r="J1239" s="106"/>
      <c r="K1239" s="106"/>
      <c r="L1239" s="213">
        <v>0</v>
      </c>
      <c r="M1239" s="213">
        <v>0</v>
      </c>
      <c r="N1239" s="213">
        <v>0</v>
      </c>
      <c r="O1239" s="213">
        <v>0</v>
      </c>
      <c r="P1239" s="108">
        <v>0</v>
      </c>
      <c r="Q1239" s="108">
        <v>0</v>
      </c>
      <c r="R1239" s="108">
        <v>0</v>
      </c>
      <c r="S1239" s="108">
        <v>0</v>
      </c>
      <c r="T1239" s="108">
        <v>0</v>
      </c>
      <c r="U1239" s="108">
        <v>0</v>
      </c>
      <c r="V1239" s="108">
        <v>0</v>
      </c>
      <c r="W1239" s="108">
        <v>0</v>
      </c>
    </row>
    <row r="1240" spans="1:23">
      <c r="A1240" s="103">
        <v>45066</v>
      </c>
      <c r="B1240" s="104" t="s">
        <v>37</v>
      </c>
      <c r="C1240" s="145">
        <v>0</v>
      </c>
      <c r="D1240" s="145"/>
      <c r="E1240" s="104">
        <v>0</v>
      </c>
      <c r="F1240" s="106">
        <v>0</v>
      </c>
      <c r="G1240" s="107">
        <v>0</v>
      </c>
      <c r="H1240" s="106">
        <v>0</v>
      </c>
      <c r="I1240" s="106"/>
      <c r="J1240" s="106"/>
      <c r="K1240" s="106"/>
      <c r="L1240" s="213">
        <v>0</v>
      </c>
      <c r="M1240" s="213">
        <v>0</v>
      </c>
      <c r="N1240" s="213">
        <v>0</v>
      </c>
      <c r="O1240" s="213">
        <v>0</v>
      </c>
      <c r="P1240" s="108">
        <v>-2</v>
      </c>
      <c r="Q1240" s="108">
        <v>-1</v>
      </c>
      <c r="R1240" s="108">
        <v>-0.8</v>
      </c>
      <c r="S1240" s="108">
        <v>-0.571428571428571</v>
      </c>
      <c r="T1240" s="108">
        <v>0</v>
      </c>
      <c r="U1240" s="108">
        <v>0</v>
      </c>
      <c r="V1240" s="108">
        <v>0</v>
      </c>
      <c r="W1240" s="108">
        <v>0</v>
      </c>
    </row>
    <row r="1241" spans="1:23">
      <c r="A1241" s="103">
        <v>45066</v>
      </c>
      <c r="B1241" s="104" t="s">
        <v>38</v>
      </c>
      <c r="C1241" s="145">
        <v>0</v>
      </c>
      <c r="D1241" s="145"/>
      <c r="E1241" s="104">
        <v>0</v>
      </c>
      <c r="F1241" s="106">
        <v>0</v>
      </c>
      <c r="G1241" s="107">
        <v>0</v>
      </c>
      <c r="H1241" s="106">
        <v>0</v>
      </c>
      <c r="I1241" s="106"/>
      <c r="J1241" s="106"/>
      <c r="K1241" s="106"/>
      <c r="L1241" s="213">
        <v>0</v>
      </c>
      <c r="M1241" s="213">
        <v>0</v>
      </c>
      <c r="N1241" s="213">
        <v>0</v>
      </c>
      <c r="O1241" s="213">
        <v>0</v>
      </c>
      <c r="P1241" s="108">
        <v>0</v>
      </c>
      <c r="Q1241" s="108">
        <v>0</v>
      </c>
      <c r="R1241" s="108">
        <v>0</v>
      </c>
      <c r="S1241" s="108">
        <v>0</v>
      </c>
      <c r="T1241" s="108">
        <v>0</v>
      </c>
      <c r="U1241" s="108">
        <v>0</v>
      </c>
      <c r="V1241" s="108">
        <v>0</v>
      </c>
      <c r="W1241" s="108">
        <v>0</v>
      </c>
    </row>
    <row r="1242" spans="1:23">
      <c r="A1242" s="103">
        <v>45066</v>
      </c>
      <c r="B1242" s="111" t="s">
        <v>39</v>
      </c>
      <c r="C1242" s="105">
        <v>25200</v>
      </c>
      <c r="D1242" s="105"/>
      <c r="E1242" s="112">
        <v>451</v>
      </c>
      <c r="F1242" s="113">
        <v>0.0178968253968254</v>
      </c>
      <c r="G1242" s="112">
        <v>160</v>
      </c>
      <c r="H1242" s="113">
        <v>0.354767184035477</v>
      </c>
      <c r="I1242" s="113"/>
      <c r="J1242" s="113"/>
      <c r="K1242" s="113"/>
      <c r="L1242" s="213"/>
      <c r="M1242" s="213"/>
      <c r="N1242" s="213"/>
      <c r="O1242" s="213"/>
      <c r="P1242" s="108"/>
      <c r="Q1242" s="108"/>
      <c r="R1242" s="108"/>
      <c r="S1242" s="108"/>
      <c r="T1242" s="108"/>
      <c r="U1242" s="108"/>
      <c r="V1242" s="108"/>
      <c r="W1242" s="108"/>
    </row>
    <row r="1243" spans="1:23">
      <c r="A1243" s="103">
        <v>45067</v>
      </c>
      <c r="B1243" s="104" t="s">
        <v>17</v>
      </c>
      <c r="C1243" s="105">
        <v>2</v>
      </c>
      <c r="D1243" s="105"/>
      <c r="E1243" s="104">
        <v>8</v>
      </c>
      <c r="F1243" s="106">
        <v>4</v>
      </c>
      <c r="G1243" s="107">
        <v>5</v>
      </c>
      <c r="H1243" s="106">
        <v>0.625</v>
      </c>
      <c r="I1243" s="106"/>
      <c r="J1243" s="106"/>
      <c r="K1243" s="106"/>
      <c r="L1243" s="213">
        <v>-2</v>
      </c>
      <c r="M1243" s="213">
        <v>-0.666666666666667</v>
      </c>
      <c r="N1243" s="213">
        <v>-0.6</v>
      </c>
      <c r="O1243" s="213">
        <v>-0.142857142857143</v>
      </c>
      <c r="P1243" s="108">
        <v>-11</v>
      </c>
      <c r="Q1243" s="108">
        <v>-10.6666666666667</v>
      </c>
      <c r="R1243" s="108">
        <v>-10</v>
      </c>
      <c r="S1243" s="108">
        <v>-10.2857142857143</v>
      </c>
      <c r="T1243" s="108">
        <v>4</v>
      </c>
      <c r="U1243" s="108">
        <v>0.333333333333333</v>
      </c>
      <c r="V1243" s="108">
        <v>-0.4</v>
      </c>
      <c r="W1243" s="108">
        <v>-0.142857142857143</v>
      </c>
    </row>
    <row r="1244" spans="1:23">
      <c r="A1244" s="103">
        <v>45067</v>
      </c>
      <c r="B1244" s="104" t="s">
        <v>19</v>
      </c>
      <c r="C1244" s="107">
        <v>332</v>
      </c>
      <c r="D1244" s="107"/>
      <c r="E1244" s="104">
        <v>14</v>
      </c>
      <c r="F1244" s="106">
        <v>0.0210843373493976</v>
      </c>
      <c r="G1244" s="107">
        <v>7</v>
      </c>
      <c r="H1244" s="106">
        <v>0.5</v>
      </c>
      <c r="I1244" s="106"/>
      <c r="J1244" s="106"/>
      <c r="K1244" s="106"/>
      <c r="L1244" s="213">
        <v>50</v>
      </c>
      <c r="M1244" s="213">
        <v>90</v>
      </c>
      <c r="N1244" s="213">
        <v>170.4</v>
      </c>
      <c r="O1244" s="213">
        <v>206.285714285714</v>
      </c>
      <c r="P1244" s="108">
        <v>3</v>
      </c>
      <c r="Q1244" s="108">
        <v>4</v>
      </c>
      <c r="R1244" s="108">
        <v>5.2</v>
      </c>
      <c r="S1244" s="108">
        <v>3.42857142857143</v>
      </c>
      <c r="T1244" s="108">
        <v>1</v>
      </c>
      <c r="U1244" s="108">
        <v>2</v>
      </c>
      <c r="V1244" s="108">
        <v>2.2</v>
      </c>
      <c r="W1244" s="115">
        <v>2.57142857142857</v>
      </c>
    </row>
    <row r="1245" spans="1:23">
      <c r="A1245" s="103">
        <v>45067</v>
      </c>
      <c r="B1245" s="104" t="s">
        <v>21</v>
      </c>
      <c r="C1245" s="105">
        <v>516</v>
      </c>
      <c r="D1245" s="105"/>
      <c r="E1245" s="104">
        <v>21</v>
      </c>
      <c r="F1245" s="106">
        <v>0.0406976744186047</v>
      </c>
      <c r="G1245" s="107">
        <v>6</v>
      </c>
      <c r="H1245" s="106">
        <v>0.285714285714286</v>
      </c>
      <c r="I1245" s="106"/>
      <c r="J1245" s="106"/>
      <c r="K1245" s="106"/>
      <c r="L1245" s="213">
        <v>-27</v>
      </c>
      <c r="M1245" s="213">
        <v>-8.66666666666663</v>
      </c>
      <c r="N1245" s="213">
        <v>-33.2</v>
      </c>
      <c r="O1245" s="213">
        <v>-92</v>
      </c>
      <c r="P1245" s="108">
        <v>-24</v>
      </c>
      <c r="Q1245" s="108">
        <v>-12.3333333333333</v>
      </c>
      <c r="R1245" s="108">
        <v>-10.2</v>
      </c>
      <c r="S1245" s="108">
        <v>-10.7142857142857</v>
      </c>
      <c r="T1245" s="108">
        <v>-8</v>
      </c>
      <c r="U1245" s="108">
        <v>-4</v>
      </c>
      <c r="V1245" s="108">
        <v>-4.4</v>
      </c>
      <c r="W1245" s="108">
        <v>-4.28571428571429</v>
      </c>
    </row>
    <row r="1246" spans="1:23">
      <c r="A1246" s="103">
        <v>45067</v>
      </c>
      <c r="B1246" s="104" t="s">
        <v>22</v>
      </c>
      <c r="C1246" s="105">
        <v>4243</v>
      </c>
      <c r="D1246" s="105"/>
      <c r="E1246" s="104">
        <v>166</v>
      </c>
      <c r="F1246" s="106">
        <v>0.0391232618430356</v>
      </c>
      <c r="G1246" s="107">
        <v>69</v>
      </c>
      <c r="H1246" s="106">
        <v>0.41566265060241</v>
      </c>
      <c r="I1246" s="106"/>
      <c r="J1246" s="106"/>
      <c r="K1246" s="106"/>
      <c r="L1246" s="213">
        <v>-107</v>
      </c>
      <c r="M1246" s="213">
        <v>343.666666666667</v>
      </c>
      <c r="N1246" s="213">
        <v>520.2</v>
      </c>
      <c r="O1246" s="213">
        <v>748.285714285714</v>
      </c>
      <c r="P1246" s="108">
        <v>-23</v>
      </c>
      <c r="Q1246" s="108">
        <v>9.33333333333334</v>
      </c>
      <c r="R1246" s="108">
        <v>24.6</v>
      </c>
      <c r="S1246" s="115">
        <v>35.4285714285714</v>
      </c>
      <c r="T1246" s="108">
        <v>2</v>
      </c>
      <c r="U1246" s="108">
        <v>14.3333333333333</v>
      </c>
      <c r="V1246" s="108">
        <v>18.6</v>
      </c>
      <c r="W1246" s="117">
        <v>24.5714285714286</v>
      </c>
    </row>
    <row r="1247" spans="1:23">
      <c r="A1247" s="103">
        <v>45067</v>
      </c>
      <c r="B1247" s="104" t="s">
        <v>23</v>
      </c>
      <c r="C1247" s="105">
        <v>2114</v>
      </c>
      <c r="D1247" s="105"/>
      <c r="E1247" s="104">
        <v>13</v>
      </c>
      <c r="F1247" s="106">
        <v>0.00614947965941343</v>
      </c>
      <c r="G1247" s="107">
        <v>5</v>
      </c>
      <c r="H1247" s="106">
        <v>0.384615384615385</v>
      </c>
      <c r="I1247" s="106"/>
      <c r="J1247" s="106"/>
      <c r="K1247" s="106"/>
      <c r="L1247" s="213">
        <v>-112</v>
      </c>
      <c r="M1247" s="213">
        <v>3</v>
      </c>
      <c r="N1247" s="213">
        <v>-38.8000000000002</v>
      </c>
      <c r="O1247" s="213">
        <v>-63</v>
      </c>
      <c r="P1247" s="108">
        <v>-2</v>
      </c>
      <c r="Q1247" s="108">
        <v>2.66666666666667</v>
      </c>
      <c r="R1247" s="108">
        <v>0.6</v>
      </c>
      <c r="S1247" s="108">
        <v>0.285714285714286</v>
      </c>
      <c r="T1247" s="108">
        <v>0</v>
      </c>
      <c r="U1247" s="116">
        <v>-0.333333333333333</v>
      </c>
      <c r="V1247" s="108">
        <v>0.2</v>
      </c>
      <c r="W1247" s="108">
        <v>0.142857142857143</v>
      </c>
    </row>
    <row r="1248" spans="1:23">
      <c r="A1248" s="103">
        <v>45067</v>
      </c>
      <c r="B1248" s="104" t="s">
        <v>24</v>
      </c>
      <c r="C1248" s="105">
        <v>3311</v>
      </c>
      <c r="D1248" s="105"/>
      <c r="E1248" s="104">
        <v>102</v>
      </c>
      <c r="F1248" s="106">
        <v>0.0308064028994262</v>
      </c>
      <c r="G1248" s="107">
        <v>32</v>
      </c>
      <c r="H1248" s="106">
        <v>0.313725490196078</v>
      </c>
      <c r="I1248" s="106"/>
      <c r="J1248" s="106"/>
      <c r="K1248" s="106"/>
      <c r="L1248" s="213">
        <v>409</v>
      </c>
      <c r="M1248" s="213">
        <v>867</v>
      </c>
      <c r="N1248" s="213">
        <v>1042</v>
      </c>
      <c r="O1248" s="213">
        <v>957.571428571428</v>
      </c>
      <c r="P1248" s="115">
        <v>34</v>
      </c>
      <c r="Q1248" s="115">
        <v>-14.3333333333333</v>
      </c>
      <c r="R1248" s="115">
        <v>-29.4</v>
      </c>
      <c r="S1248" s="115">
        <v>-33.4285714285714</v>
      </c>
      <c r="T1248" s="115">
        <v>7</v>
      </c>
      <c r="U1248" s="115">
        <v>-7.33333333333334</v>
      </c>
      <c r="V1248" s="115">
        <v>-9.4</v>
      </c>
      <c r="W1248" s="115">
        <v>-8.14285714285715</v>
      </c>
    </row>
    <row r="1249" spans="1:23">
      <c r="A1249" s="103">
        <v>45067</v>
      </c>
      <c r="B1249" s="104" t="s">
        <v>25</v>
      </c>
      <c r="C1249" s="145">
        <v>3920</v>
      </c>
      <c r="D1249" s="145"/>
      <c r="E1249" s="104">
        <v>51</v>
      </c>
      <c r="F1249" s="106">
        <v>0.00650510204081633</v>
      </c>
      <c r="G1249" s="107">
        <v>21</v>
      </c>
      <c r="H1249" s="106">
        <v>0.411764705882353</v>
      </c>
      <c r="I1249" s="106"/>
      <c r="J1249" s="106"/>
      <c r="K1249" s="106"/>
      <c r="L1249" s="213">
        <v>2904</v>
      </c>
      <c r="M1249" s="213">
        <v>1194.66666666667</v>
      </c>
      <c r="N1249" s="213">
        <v>503.6</v>
      </c>
      <c r="O1249" s="213">
        <v>-669.428571428571</v>
      </c>
      <c r="P1249" s="116">
        <v>19</v>
      </c>
      <c r="Q1249" s="115">
        <v>23.3333333333333</v>
      </c>
      <c r="R1249" s="115">
        <v>25.2</v>
      </c>
      <c r="S1249" s="115">
        <v>26.7142857142857</v>
      </c>
      <c r="T1249" s="108">
        <v>3</v>
      </c>
      <c r="U1249" s="108">
        <v>4.66666666666667</v>
      </c>
      <c r="V1249" s="108">
        <v>6.8</v>
      </c>
      <c r="W1249" s="108">
        <v>8.28571428571429</v>
      </c>
    </row>
    <row r="1250" spans="1:23">
      <c r="A1250" s="103">
        <v>45067</v>
      </c>
      <c r="B1250" s="104" t="s">
        <v>26</v>
      </c>
      <c r="C1250" s="145">
        <v>2107</v>
      </c>
      <c r="D1250" s="145"/>
      <c r="E1250" s="104">
        <v>20</v>
      </c>
      <c r="F1250" s="106">
        <v>0.00474608448030375</v>
      </c>
      <c r="G1250" s="107">
        <v>8</v>
      </c>
      <c r="H1250" s="106">
        <v>0.4</v>
      </c>
      <c r="I1250" s="106"/>
      <c r="J1250" s="106"/>
      <c r="K1250" s="106"/>
      <c r="L1250" s="213">
        <v>-186</v>
      </c>
      <c r="M1250" s="213">
        <v>-104</v>
      </c>
      <c r="N1250" s="213">
        <v>-100.4</v>
      </c>
      <c r="O1250" s="213">
        <v>-2.85714285714312</v>
      </c>
      <c r="P1250" s="108">
        <v>4</v>
      </c>
      <c r="Q1250" s="108">
        <v>2.33333333333333</v>
      </c>
      <c r="R1250" s="108">
        <v>1</v>
      </c>
      <c r="S1250" s="108">
        <v>1.42857142857143</v>
      </c>
      <c r="T1250" s="108">
        <v>0</v>
      </c>
      <c r="U1250" s="108">
        <v>2</v>
      </c>
      <c r="V1250" s="108">
        <v>1.2</v>
      </c>
      <c r="W1250" s="108">
        <v>1.57142857142857</v>
      </c>
    </row>
    <row r="1251" spans="1:23">
      <c r="A1251" s="103">
        <v>45067</v>
      </c>
      <c r="B1251" s="104" t="s">
        <v>27</v>
      </c>
      <c r="C1251" s="145">
        <v>3409</v>
      </c>
      <c r="D1251" s="145"/>
      <c r="E1251" s="104">
        <v>85</v>
      </c>
      <c r="F1251" s="106">
        <v>0.0124669991199765</v>
      </c>
      <c r="G1251" s="107">
        <v>21</v>
      </c>
      <c r="H1251" s="106">
        <v>0.247058823529412</v>
      </c>
      <c r="I1251" s="106"/>
      <c r="J1251" s="106"/>
      <c r="K1251" s="106"/>
      <c r="L1251" s="213">
        <v>1594</v>
      </c>
      <c r="M1251" s="213">
        <v>2906</v>
      </c>
      <c r="N1251" s="213">
        <v>3550.4</v>
      </c>
      <c r="O1251" s="213">
        <v>2974.85714285714</v>
      </c>
      <c r="P1251" s="108">
        <v>31</v>
      </c>
      <c r="Q1251" s="108">
        <v>47.3333333333333</v>
      </c>
      <c r="R1251" s="108">
        <v>49.6</v>
      </c>
      <c r="S1251" s="108">
        <v>36.1428571428571</v>
      </c>
      <c r="T1251" s="108">
        <v>5</v>
      </c>
      <c r="U1251" s="108">
        <v>8.66666666666667</v>
      </c>
      <c r="V1251" s="108">
        <v>7.8</v>
      </c>
      <c r="W1251" s="108">
        <v>4.14285714285714</v>
      </c>
    </row>
    <row r="1252" spans="1:23">
      <c r="A1252" s="103">
        <v>45067</v>
      </c>
      <c r="B1252" s="104" t="s">
        <v>28</v>
      </c>
      <c r="C1252" s="145">
        <v>0</v>
      </c>
      <c r="D1252" s="145"/>
      <c r="E1252" s="104">
        <v>0</v>
      </c>
      <c r="F1252" s="106">
        <v>0</v>
      </c>
      <c r="G1252" s="107">
        <v>0</v>
      </c>
      <c r="H1252" s="106">
        <v>0</v>
      </c>
      <c r="I1252" s="106"/>
      <c r="J1252" s="106"/>
      <c r="K1252" s="106"/>
      <c r="L1252" s="213">
        <v>0</v>
      </c>
      <c r="M1252" s="213">
        <v>0</v>
      </c>
      <c r="N1252" s="213">
        <v>0</v>
      </c>
      <c r="O1252" s="213">
        <v>0</v>
      </c>
      <c r="P1252" s="108">
        <v>0</v>
      </c>
      <c r="Q1252" s="108">
        <v>0</v>
      </c>
      <c r="R1252" s="108">
        <v>0</v>
      </c>
      <c r="S1252" s="108">
        <v>0</v>
      </c>
      <c r="T1252" s="108">
        <v>0</v>
      </c>
      <c r="U1252" s="108">
        <v>0</v>
      </c>
      <c r="V1252" s="108">
        <v>0</v>
      </c>
      <c r="W1252" s="108">
        <v>0</v>
      </c>
    </row>
    <row r="1253" spans="1:23">
      <c r="A1253" s="103">
        <v>45067</v>
      </c>
      <c r="B1253" s="104" t="s">
        <v>29</v>
      </c>
      <c r="C1253" s="145">
        <v>0</v>
      </c>
      <c r="D1253" s="145"/>
      <c r="E1253" s="104">
        <v>0</v>
      </c>
      <c r="F1253" s="106">
        <v>0</v>
      </c>
      <c r="G1253" s="107">
        <v>0</v>
      </c>
      <c r="H1253" s="106">
        <v>0</v>
      </c>
      <c r="I1253" s="106"/>
      <c r="J1253" s="106"/>
      <c r="K1253" s="106"/>
      <c r="L1253" s="213">
        <v>-1</v>
      </c>
      <c r="M1253" s="213">
        <v>-0.666666666666667</v>
      </c>
      <c r="N1253" s="213">
        <v>-0.6</v>
      </c>
      <c r="O1253" s="213">
        <v>-0.428571428571429</v>
      </c>
      <c r="P1253" s="108">
        <v>-1</v>
      </c>
      <c r="Q1253" s="108">
        <v>-0.666666666666667</v>
      </c>
      <c r="R1253" s="108">
        <v>-0.4</v>
      </c>
      <c r="S1253" s="108">
        <v>-0.285714285714286</v>
      </c>
      <c r="T1253" s="108">
        <v>0</v>
      </c>
      <c r="U1253" s="108">
        <v>0</v>
      </c>
      <c r="V1253" s="108">
        <v>0</v>
      </c>
      <c r="W1253" s="108">
        <v>0</v>
      </c>
    </row>
    <row r="1254" spans="1:23">
      <c r="A1254" s="103">
        <v>45067</v>
      </c>
      <c r="B1254" s="104" t="s">
        <v>30</v>
      </c>
      <c r="C1254" s="145">
        <v>0</v>
      </c>
      <c r="D1254" s="145"/>
      <c r="E1254" s="104">
        <v>0</v>
      </c>
      <c r="F1254" s="106">
        <v>0</v>
      </c>
      <c r="G1254" s="107">
        <v>0</v>
      </c>
      <c r="H1254" s="106">
        <v>0</v>
      </c>
      <c r="I1254" s="106"/>
      <c r="J1254" s="106"/>
      <c r="K1254" s="106"/>
      <c r="L1254" s="213">
        <v>0</v>
      </c>
      <c r="M1254" s="213">
        <v>0</v>
      </c>
      <c r="N1254" s="213">
        <v>0</v>
      </c>
      <c r="O1254" s="213">
        <v>0</v>
      </c>
      <c r="P1254" s="108">
        <v>0</v>
      </c>
      <c r="Q1254" s="108">
        <v>0</v>
      </c>
      <c r="R1254" s="108">
        <v>0</v>
      </c>
      <c r="S1254" s="108">
        <v>0</v>
      </c>
      <c r="T1254" s="108">
        <v>0</v>
      </c>
      <c r="U1254" s="108">
        <v>0</v>
      </c>
      <c r="V1254" s="108">
        <v>0</v>
      </c>
      <c r="W1254" s="108">
        <v>0</v>
      </c>
    </row>
    <row r="1255" spans="1:23">
      <c r="A1255" s="103">
        <v>45067</v>
      </c>
      <c r="B1255" s="104" t="s">
        <v>31</v>
      </c>
      <c r="C1255" s="145">
        <v>0</v>
      </c>
      <c r="D1255" s="145"/>
      <c r="E1255" s="104">
        <v>0</v>
      </c>
      <c r="F1255" s="106">
        <v>0</v>
      </c>
      <c r="G1255" s="107">
        <v>0</v>
      </c>
      <c r="H1255" s="106">
        <v>0</v>
      </c>
      <c r="I1255" s="106"/>
      <c r="J1255" s="106"/>
      <c r="K1255" s="106"/>
      <c r="L1255" s="213">
        <v>0</v>
      </c>
      <c r="M1255" s="213">
        <v>0</v>
      </c>
      <c r="N1255" s="213">
        <v>0</v>
      </c>
      <c r="O1255" s="213">
        <v>0</v>
      </c>
      <c r="P1255" s="108">
        <v>-1</v>
      </c>
      <c r="Q1255" s="108">
        <v>-1</v>
      </c>
      <c r="R1255" s="108">
        <v>-0.6</v>
      </c>
      <c r="S1255" s="108">
        <v>-0.428571428571429</v>
      </c>
      <c r="T1255" s="108">
        <v>0</v>
      </c>
      <c r="U1255" s="108">
        <v>0</v>
      </c>
      <c r="V1255" s="108">
        <v>0</v>
      </c>
      <c r="W1255" s="108">
        <v>0</v>
      </c>
    </row>
    <row r="1256" spans="1:23">
      <c r="A1256" s="103">
        <v>45067</v>
      </c>
      <c r="B1256" s="104" t="s">
        <v>32</v>
      </c>
      <c r="C1256" s="145">
        <v>0</v>
      </c>
      <c r="D1256" s="145"/>
      <c r="E1256" s="104">
        <v>0</v>
      </c>
      <c r="F1256" s="106">
        <v>0</v>
      </c>
      <c r="G1256" s="107">
        <v>0</v>
      </c>
      <c r="H1256" s="106">
        <v>0</v>
      </c>
      <c r="I1256" s="106"/>
      <c r="J1256" s="106"/>
      <c r="K1256" s="106"/>
      <c r="L1256" s="213">
        <v>0</v>
      </c>
      <c r="M1256" s="213">
        <v>0</v>
      </c>
      <c r="N1256" s="213">
        <v>0</v>
      </c>
      <c r="O1256" s="213">
        <v>0</v>
      </c>
      <c r="P1256" s="108">
        <v>0</v>
      </c>
      <c r="Q1256" s="108">
        <v>0</v>
      </c>
      <c r="R1256" s="108">
        <v>0</v>
      </c>
      <c r="S1256" s="108">
        <v>0</v>
      </c>
      <c r="T1256" s="108">
        <v>0</v>
      </c>
      <c r="U1256" s="108">
        <v>0</v>
      </c>
      <c r="V1256" s="108">
        <v>0</v>
      </c>
      <c r="W1256" s="108">
        <v>0</v>
      </c>
    </row>
    <row r="1257" spans="1:23">
      <c r="A1257" s="103">
        <v>45067</v>
      </c>
      <c r="B1257" s="104" t="s">
        <v>33</v>
      </c>
      <c r="C1257" s="145">
        <v>0</v>
      </c>
      <c r="D1257" s="145"/>
      <c r="E1257" s="104">
        <v>0</v>
      </c>
      <c r="F1257" s="106">
        <v>0</v>
      </c>
      <c r="G1257" s="107">
        <v>0</v>
      </c>
      <c r="H1257" s="106">
        <v>0</v>
      </c>
      <c r="I1257" s="106"/>
      <c r="J1257" s="106"/>
      <c r="K1257" s="106"/>
      <c r="L1257" s="213">
        <v>0</v>
      </c>
      <c r="M1257" s="213">
        <v>0</v>
      </c>
      <c r="N1257" s="213">
        <v>0</v>
      </c>
      <c r="O1257" s="213">
        <v>0</v>
      </c>
      <c r="P1257" s="108">
        <v>0</v>
      </c>
      <c r="Q1257" s="108">
        <v>-0.333333333333333</v>
      </c>
      <c r="R1257" s="108">
        <v>-0.2</v>
      </c>
      <c r="S1257" s="108">
        <v>-0.142857142857143</v>
      </c>
      <c r="T1257" s="108">
        <v>0</v>
      </c>
      <c r="U1257" s="108">
        <v>0</v>
      </c>
      <c r="V1257" s="108">
        <v>0</v>
      </c>
      <c r="W1257" s="108">
        <v>0</v>
      </c>
    </row>
    <row r="1258" spans="1:23">
      <c r="A1258" s="103">
        <v>45067</v>
      </c>
      <c r="B1258" s="104" t="s">
        <v>34</v>
      </c>
      <c r="C1258" s="145">
        <v>0</v>
      </c>
      <c r="D1258" s="145"/>
      <c r="E1258" s="104">
        <v>0</v>
      </c>
      <c r="F1258" s="106">
        <v>0</v>
      </c>
      <c r="G1258" s="107">
        <v>0</v>
      </c>
      <c r="H1258" s="106">
        <v>0</v>
      </c>
      <c r="I1258" s="106"/>
      <c r="J1258" s="106"/>
      <c r="K1258" s="106"/>
      <c r="L1258" s="213">
        <v>0</v>
      </c>
      <c r="M1258" s="213">
        <v>0</v>
      </c>
      <c r="N1258" s="213">
        <v>0</v>
      </c>
      <c r="O1258" s="213">
        <v>0</v>
      </c>
      <c r="P1258" s="108">
        <v>0</v>
      </c>
      <c r="Q1258" s="108">
        <v>0</v>
      </c>
      <c r="R1258" s="108">
        <v>0</v>
      </c>
      <c r="S1258" s="108">
        <v>0</v>
      </c>
      <c r="T1258" s="108">
        <v>0</v>
      </c>
      <c r="U1258" s="108">
        <v>0</v>
      </c>
      <c r="V1258" s="108">
        <v>0</v>
      </c>
      <c r="W1258" s="108">
        <v>0</v>
      </c>
    </row>
    <row r="1259" spans="1:23">
      <c r="A1259" s="103">
        <v>45067</v>
      </c>
      <c r="B1259" s="104" t="s">
        <v>35</v>
      </c>
      <c r="C1259" s="145">
        <v>0</v>
      </c>
      <c r="D1259" s="145"/>
      <c r="E1259" s="104">
        <v>0</v>
      </c>
      <c r="F1259" s="106">
        <v>0</v>
      </c>
      <c r="G1259" s="107">
        <v>0</v>
      </c>
      <c r="H1259" s="106">
        <v>0</v>
      </c>
      <c r="I1259" s="106"/>
      <c r="J1259" s="106"/>
      <c r="K1259" s="106"/>
      <c r="L1259" s="213">
        <v>0</v>
      </c>
      <c r="M1259" s="213">
        <v>0</v>
      </c>
      <c r="N1259" s="213">
        <v>0</v>
      </c>
      <c r="O1259" s="213">
        <v>0</v>
      </c>
      <c r="P1259" s="108">
        <v>0</v>
      </c>
      <c r="Q1259" s="108">
        <v>0</v>
      </c>
      <c r="R1259" s="108">
        <v>0</v>
      </c>
      <c r="S1259" s="108">
        <v>0</v>
      </c>
      <c r="T1259" s="108">
        <v>0</v>
      </c>
      <c r="U1259" s="108">
        <v>0</v>
      </c>
      <c r="V1259" s="108">
        <v>0</v>
      </c>
      <c r="W1259" s="108">
        <v>0</v>
      </c>
    </row>
    <row r="1260" spans="1:23">
      <c r="A1260" s="103">
        <v>45067</v>
      </c>
      <c r="B1260" s="104" t="s">
        <v>36</v>
      </c>
      <c r="C1260" s="145">
        <v>0</v>
      </c>
      <c r="D1260" s="145"/>
      <c r="E1260" s="104">
        <v>0</v>
      </c>
      <c r="F1260" s="106">
        <v>0</v>
      </c>
      <c r="G1260" s="107">
        <v>0</v>
      </c>
      <c r="H1260" s="106">
        <v>0</v>
      </c>
      <c r="I1260" s="106"/>
      <c r="J1260" s="106"/>
      <c r="K1260" s="106"/>
      <c r="L1260" s="213">
        <v>0</v>
      </c>
      <c r="M1260" s="213">
        <v>0</v>
      </c>
      <c r="N1260" s="213">
        <v>0</v>
      </c>
      <c r="O1260" s="213">
        <v>0</v>
      </c>
      <c r="P1260" s="108">
        <v>0</v>
      </c>
      <c r="Q1260" s="108">
        <v>0</v>
      </c>
      <c r="R1260" s="108">
        <v>0</v>
      </c>
      <c r="S1260" s="108">
        <v>0</v>
      </c>
      <c r="T1260" s="108">
        <v>0</v>
      </c>
      <c r="U1260" s="108">
        <v>0</v>
      </c>
      <c r="V1260" s="108">
        <v>0</v>
      </c>
      <c r="W1260" s="108">
        <v>0</v>
      </c>
    </row>
    <row r="1261" spans="1:23">
      <c r="A1261" s="103">
        <v>45067</v>
      </c>
      <c r="B1261" s="104" t="s">
        <v>37</v>
      </c>
      <c r="C1261" s="145">
        <v>0</v>
      </c>
      <c r="D1261" s="145"/>
      <c r="E1261" s="104">
        <v>0</v>
      </c>
      <c r="F1261" s="106">
        <v>0</v>
      </c>
      <c r="G1261" s="107">
        <v>0</v>
      </c>
      <c r="H1261" s="106">
        <v>0</v>
      </c>
      <c r="I1261" s="106"/>
      <c r="J1261" s="106"/>
      <c r="K1261" s="106"/>
      <c r="L1261" s="213">
        <v>0</v>
      </c>
      <c r="M1261" s="213">
        <v>0</v>
      </c>
      <c r="N1261" s="213">
        <v>0</v>
      </c>
      <c r="O1261" s="213">
        <v>0</v>
      </c>
      <c r="P1261" s="108">
        <v>0</v>
      </c>
      <c r="Q1261" s="108">
        <v>-0.666666666666667</v>
      </c>
      <c r="R1261" s="108">
        <v>-0.6</v>
      </c>
      <c r="S1261" s="108">
        <v>-0.571428571428571</v>
      </c>
      <c r="T1261" s="108">
        <v>0</v>
      </c>
      <c r="U1261" s="108">
        <v>0</v>
      </c>
      <c r="V1261" s="108">
        <v>0</v>
      </c>
      <c r="W1261" s="108">
        <v>0</v>
      </c>
    </row>
    <row r="1262" spans="1:23">
      <c r="A1262" s="103">
        <v>45067</v>
      </c>
      <c r="B1262" s="104" t="s">
        <v>38</v>
      </c>
      <c r="C1262" s="145">
        <v>0</v>
      </c>
      <c r="D1262" s="145"/>
      <c r="E1262" s="104">
        <v>0</v>
      </c>
      <c r="F1262" s="106">
        <v>0</v>
      </c>
      <c r="G1262" s="107">
        <v>0</v>
      </c>
      <c r="H1262" s="106">
        <v>0</v>
      </c>
      <c r="I1262" s="106"/>
      <c r="J1262" s="106"/>
      <c r="K1262" s="106"/>
      <c r="L1262" s="213">
        <v>0</v>
      </c>
      <c r="M1262" s="213">
        <v>0</v>
      </c>
      <c r="N1262" s="213">
        <v>0</v>
      </c>
      <c r="O1262" s="213">
        <v>0</v>
      </c>
      <c r="P1262" s="108">
        <v>0</v>
      </c>
      <c r="Q1262" s="108">
        <v>0</v>
      </c>
      <c r="R1262" s="108">
        <v>0</v>
      </c>
      <c r="S1262" s="108">
        <v>0</v>
      </c>
      <c r="T1262" s="108">
        <v>0</v>
      </c>
      <c r="U1262" s="108">
        <v>0</v>
      </c>
      <c r="V1262" s="108">
        <v>0</v>
      </c>
      <c r="W1262" s="108">
        <v>0</v>
      </c>
    </row>
    <row r="1263" spans="1:23">
      <c r="A1263" s="103">
        <v>45067</v>
      </c>
      <c r="B1263" s="111" t="s">
        <v>39</v>
      </c>
      <c r="C1263" s="105">
        <v>29722</v>
      </c>
      <c r="D1263" s="105"/>
      <c r="E1263" s="112">
        <v>480</v>
      </c>
      <c r="F1263" s="113">
        <v>0.0161496534553529</v>
      </c>
      <c r="G1263" s="112">
        <v>174</v>
      </c>
      <c r="H1263" s="113">
        <v>0.3625</v>
      </c>
      <c r="I1263" s="113"/>
      <c r="J1263" s="113"/>
      <c r="K1263" s="113"/>
      <c r="L1263" s="213"/>
      <c r="M1263" s="213"/>
      <c r="N1263" s="213"/>
      <c r="O1263" s="213"/>
      <c r="P1263" s="108"/>
      <c r="Q1263" s="108"/>
      <c r="R1263" s="108"/>
      <c r="S1263" s="108"/>
      <c r="T1263" s="108"/>
      <c r="U1263" s="108"/>
      <c r="V1263" s="108"/>
      <c r="W1263" s="108"/>
    </row>
    <row r="1264" spans="1:23">
      <c r="A1264" s="103">
        <v>45068</v>
      </c>
      <c r="B1264" s="104" t="s">
        <v>17</v>
      </c>
      <c r="C1264" s="105">
        <v>3</v>
      </c>
      <c r="D1264" s="105"/>
      <c r="E1264" s="104">
        <v>10</v>
      </c>
      <c r="F1264" s="106">
        <v>3.33333333333333</v>
      </c>
      <c r="G1264" s="107">
        <v>2</v>
      </c>
      <c r="H1264" s="106">
        <v>0.2</v>
      </c>
      <c r="I1264" s="106"/>
      <c r="J1264" s="106"/>
      <c r="K1264" s="106"/>
      <c r="L1264" s="213">
        <v>1</v>
      </c>
      <c r="M1264" s="213">
        <v>0.333333333333333</v>
      </c>
      <c r="N1264" s="213">
        <v>0.4</v>
      </c>
      <c r="O1264" s="213">
        <v>0.857142857142857</v>
      </c>
      <c r="P1264" s="108">
        <v>2</v>
      </c>
      <c r="Q1264" s="108">
        <v>-5</v>
      </c>
      <c r="R1264" s="108">
        <v>-6</v>
      </c>
      <c r="S1264" s="108">
        <v>-6.28571428571428</v>
      </c>
      <c r="T1264" s="108">
        <v>-3</v>
      </c>
      <c r="U1264" s="108">
        <v>-2.33333333333333</v>
      </c>
      <c r="V1264" s="108">
        <v>-3.4</v>
      </c>
      <c r="W1264" s="108">
        <v>-3</v>
      </c>
    </row>
    <row r="1265" spans="1:23">
      <c r="A1265" s="103">
        <v>45068</v>
      </c>
      <c r="B1265" s="104" t="s">
        <v>19</v>
      </c>
      <c r="C1265" s="107">
        <v>263</v>
      </c>
      <c r="D1265" s="107"/>
      <c r="E1265" s="104">
        <v>7</v>
      </c>
      <c r="F1265" s="106">
        <v>0.0133079847908745</v>
      </c>
      <c r="G1265" s="107">
        <v>7</v>
      </c>
      <c r="H1265" s="106">
        <v>1</v>
      </c>
      <c r="I1265" s="106"/>
      <c r="J1265" s="106"/>
      <c r="K1265" s="106"/>
      <c r="L1265" s="213">
        <v>-138</v>
      </c>
      <c r="M1265" s="213">
        <v>-90</v>
      </c>
      <c r="N1265" s="213">
        <v>-41.6</v>
      </c>
      <c r="O1265" s="213">
        <v>19.4285714285714</v>
      </c>
      <c r="P1265" s="108">
        <v>-7</v>
      </c>
      <c r="Q1265" s="108">
        <v>-4</v>
      </c>
      <c r="R1265" s="108">
        <v>-2.8</v>
      </c>
      <c r="S1265" s="108">
        <v>-3.85714285714286</v>
      </c>
      <c r="T1265" s="108">
        <v>0</v>
      </c>
      <c r="U1265" s="108">
        <v>1.33333333333333</v>
      </c>
      <c r="V1265" s="108">
        <v>2</v>
      </c>
      <c r="W1265" s="115">
        <v>1.71428571428571</v>
      </c>
    </row>
    <row r="1266" spans="1:23">
      <c r="A1266" s="103">
        <v>45068</v>
      </c>
      <c r="B1266" s="104" t="s">
        <v>21</v>
      </c>
      <c r="C1266" s="105">
        <v>474</v>
      </c>
      <c r="D1266" s="105"/>
      <c r="E1266" s="104">
        <v>24</v>
      </c>
      <c r="F1266" s="106">
        <v>0.0506329113924051</v>
      </c>
      <c r="G1266" s="107">
        <v>9</v>
      </c>
      <c r="H1266" s="106">
        <v>0.375</v>
      </c>
      <c r="I1266" s="106"/>
      <c r="J1266" s="106"/>
      <c r="K1266" s="106"/>
      <c r="L1266" s="213">
        <v>-42</v>
      </c>
      <c r="M1266" s="213">
        <v>-56</v>
      </c>
      <c r="N1266" s="213">
        <v>-61.2</v>
      </c>
      <c r="O1266" s="213">
        <v>-92.7142857142857</v>
      </c>
      <c r="P1266" s="108">
        <v>3</v>
      </c>
      <c r="Q1266" s="108">
        <v>-6.33333333333333</v>
      </c>
      <c r="R1266" s="108">
        <v>-6.2</v>
      </c>
      <c r="S1266" s="108">
        <v>-5.85714285714286</v>
      </c>
      <c r="T1266" s="108">
        <v>3</v>
      </c>
      <c r="U1266" s="108">
        <v>-0.333333333333334</v>
      </c>
      <c r="V1266" s="108">
        <v>-0.800000000000001</v>
      </c>
      <c r="W1266" s="108">
        <v>-1.14285714285714</v>
      </c>
    </row>
    <row r="1267" spans="1:23">
      <c r="A1267" s="103">
        <v>45068</v>
      </c>
      <c r="B1267" s="104" t="s">
        <v>22</v>
      </c>
      <c r="C1267" s="105">
        <v>4099</v>
      </c>
      <c r="D1267" s="105"/>
      <c r="E1267" s="104">
        <v>173</v>
      </c>
      <c r="F1267" s="106">
        <v>0.042205415955111</v>
      </c>
      <c r="G1267" s="107">
        <v>63</v>
      </c>
      <c r="H1267" s="106">
        <v>0.364161849710983</v>
      </c>
      <c r="I1267" s="106"/>
      <c r="J1267" s="106"/>
      <c r="K1267" s="106"/>
      <c r="L1267" s="213">
        <v>-144</v>
      </c>
      <c r="M1267" s="213">
        <v>-14.333333333333</v>
      </c>
      <c r="N1267" s="213">
        <v>188</v>
      </c>
      <c r="O1267" s="213">
        <v>388.714285714286</v>
      </c>
      <c r="P1267" s="108">
        <v>7</v>
      </c>
      <c r="Q1267" s="108">
        <v>5.66666666666666</v>
      </c>
      <c r="R1267" s="108">
        <v>19.2</v>
      </c>
      <c r="S1267" s="115">
        <v>33.4285714285714</v>
      </c>
      <c r="T1267" s="108">
        <v>-6</v>
      </c>
      <c r="U1267" s="108">
        <v>1</v>
      </c>
      <c r="V1267" s="108">
        <v>6.2</v>
      </c>
      <c r="W1267" s="117">
        <v>12.8571428571429</v>
      </c>
    </row>
    <row r="1268" spans="1:23">
      <c r="A1268" s="103">
        <v>45068</v>
      </c>
      <c r="B1268" s="104" t="s">
        <v>23</v>
      </c>
      <c r="C1268" s="105">
        <v>1999</v>
      </c>
      <c r="D1268" s="105"/>
      <c r="E1268" s="104">
        <v>12</v>
      </c>
      <c r="F1268" s="106">
        <v>0.00600300150075038</v>
      </c>
      <c r="G1268" s="107">
        <v>9</v>
      </c>
      <c r="H1268" s="106">
        <v>0.75</v>
      </c>
      <c r="I1268" s="106"/>
      <c r="J1268" s="106"/>
      <c r="K1268" s="106"/>
      <c r="L1268" s="213">
        <v>-115</v>
      </c>
      <c r="M1268" s="213">
        <v>-159</v>
      </c>
      <c r="N1268" s="213">
        <v>-117.6</v>
      </c>
      <c r="O1268" s="213">
        <v>-157.285714285714</v>
      </c>
      <c r="P1268" s="108">
        <v>-1</v>
      </c>
      <c r="Q1268" s="108">
        <v>1</v>
      </c>
      <c r="R1268" s="108">
        <v>-0.199999999999999</v>
      </c>
      <c r="S1268" s="108">
        <v>-0.428571428571429</v>
      </c>
      <c r="T1268" s="108">
        <v>4</v>
      </c>
      <c r="U1268" s="116">
        <v>4</v>
      </c>
      <c r="V1268" s="108">
        <v>4</v>
      </c>
      <c r="W1268" s="108">
        <v>4.28571428571429</v>
      </c>
    </row>
    <row r="1269" spans="1:23">
      <c r="A1269" s="103">
        <v>45068</v>
      </c>
      <c r="B1269" s="104" t="s">
        <v>24</v>
      </c>
      <c r="C1269" s="105">
        <v>3233</v>
      </c>
      <c r="D1269" s="105"/>
      <c r="E1269" s="104">
        <v>95</v>
      </c>
      <c r="F1269" s="106">
        <v>0.0293844726260439</v>
      </c>
      <c r="G1269" s="107">
        <v>23</v>
      </c>
      <c r="H1269" s="106">
        <v>0.242105263157895</v>
      </c>
      <c r="I1269" s="106"/>
      <c r="J1269" s="106"/>
      <c r="K1269" s="106"/>
      <c r="L1269" s="213">
        <v>-78</v>
      </c>
      <c r="M1269" s="213">
        <v>399.666666666667</v>
      </c>
      <c r="N1269" s="213">
        <v>692.2</v>
      </c>
      <c r="O1269" s="213">
        <v>822.285714285714</v>
      </c>
      <c r="P1269" s="115">
        <v>-7</v>
      </c>
      <c r="Q1269" s="115">
        <v>0</v>
      </c>
      <c r="R1269" s="115">
        <v>-34.6</v>
      </c>
      <c r="S1269" s="115">
        <v>-37.8571428571429</v>
      </c>
      <c r="T1269" s="115">
        <v>-9</v>
      </c>
      <c r="U1269" s="115">
        <v>-7</v>
      </c>
      <c r="V1269" s="115">
        <v>-18</v>
      </c>
      <c r="W1269" s="115">
        <v>-17.4285714285714</v>
      </c>
    </row>
    <row r="1270" spans="1:23">
      <c r="A1270" s="103">
        <v>45068</v>
      </c>
      <c r="B1270" s="104" t="s">
        <v>25</v>
      </c>
      <c r="C1270" s="145">
        <v>3437</v>
      </c>
      <c r="D1270" s="145"/>
      <c r="E1270" s="104">
        <v>47</v>
      </c>
      <c r="F1270" s="106">
        <v>0.00683735816118708</v>
      </c>
      <c r="G1270" s="107">
        <v>18</v>
      </c>
      <c r="H1270" s="106">
        <v>0.382978723404255</v>
      </c>
      <c r="I1270" s="106"/>
      <c r="J1270" s="106"/>
      <c r="K1270" s="106"/>
      <c r="L1270" s="213">
        <v>-966</v>
      </c>
      <c r="M1270" s="213">
        <v>404.666666666667</v>
      </c>
      <c r="N1270" s="213">
        <v>-1244</v>
      </c>
      <c r="O1270" s="213">
        <v>-1306.85714285714</v>
      </c>
      <c r="P1270" s="116">
        <v>-4</v>
      </c>
      <c r="Q1270" s="115">
        <v>10</v>
      </c>
      <c r="R1270" s="115">
        <v>14.8</v>
      </c>
      <c r="S1270" s="115">
        <v>17.5714285714286</v>
      </c>
      <c r="T1270" s="108">
        <v>-3</v>
      </c>
      <c r="U1270" s="108">
        <v>-1</v>
      </c>
      <c r="V1270" s="108">
        <v>1.6</v>
      </c>
      <c r="W1270" s="108">
        <v>3.28571428571429</v>
      </c>
    </row>
    <row r="1271" spans="1:23">
      <c r="A1271" s="103">
        <v>45068</v>
      </c>
      <c r="B1271" s="104" t="s">
        <v>26</v>
      </c>
      <c r="C1271" s="145">
        <v>1952</v>
      </c>
      <c r="D1271" s="145"/>
      <c r="E1271" s="104">
        <v>23</v>
      </c>
      <c r="F1271" s="106">
        <v>0.00589139344262295</v>
      </c>
      <c r="G1271" s="107">
        <v>11</v>
      </c>
      <c r="H1271" s="106">
        <v>0.478260869565217</v>
      </c>
      <c r="I1271" s="106"/>
      <c r="J1271" s="106"/>
      <c r="K1271" s="106"/>
      <c r="L1271" s="213">
        <v>-310</v>
      </c>
      <c r="M1271" s="213">
        <v>-393.333333333333</v>
      </c>
      <c r="N1271" s="213">
        <v>-402.8</v>
      </c>
      <c r="O1271" s="213">
        <v>-352.857142857143</v>
      </c>
      <c r="P1271" s="108">
        <v>3</v>
      </c>
      <c r="Q1271" s="108">
        <v>4</v>
      </c>
      <c r="R1271" s="108">
        <v>3.2</v>
      </c>
      <c r="S1271" s="108">
        <v>4.42857142857143</v>
      </c>
      <c r="T1271" s="108">
        <v>3</v>
      </c>
      <c r="U1271" s="108">
        <v>4.33333333333333</v>
      </c>
      <c r="V1271" s="108">
        <v>3.8</v>
      </c>
      <c r="W1271" s="108">
        <v>4.14285714285714</v>
      </c>
    </row>
    <row r="1272" spans="1:23">
      <c r="A1272" s="103">
        <v>45068</v>
      </c>
      <c r="B1272" s="104" t="s">
        <v>27</v>
      </c>
      <c r="C1272" s="145">
        <v>3185</v>
      </c>
      <c r="D1272" s="145"/>
      <c r="E1272" s="104">
        <v>84</v>
      </c>
      <c r="F1272" s="106">
        <v>0.0131868131868132</v>
      </c>
      <c r="G1272" s="107">
        <v>26</v>
      </c>
      <c r="H1272" s="106">
        <v>0.30952380952381</v>
      </c>
      <c r="I1272" s="106"/>
      <c r="J1272" s="106"/>
      <c r="K1272" s="106"/>
      <c r="L1272" s="213">
        <v>-448</v>
      </c>
      <c r="M1272" s="213">
        <v>1109.33333333333</v>
      </c>
      <c r="N1272" s="213">
        <v>2222.4</v>
      </c>
      <c r="O1272" s="213">
        <v>2377.14285714286</v>
      </c>
      <c r="P1272" s="108">
        <v>-1</v>
      </c>
      <c r="Q1272" s="108">
        <v>31</v>
      </c>
      <c r="R1272" s="108">
        <v>37.2</v>
      </c>
      <c r="S1272" s="108">
        <v>34.5714285714286</v>
      </c>
      <c r="T1272" s="108">
        <v>5</v>
      </c>
      <c r="U1272" s="108">
        <v>9.66666666666667</v>
      </c>
      <c r="V1272" s="108">
        <v>10.4</v>
      </c>
      <c r="W1272" s="108">
        <v>9.57142857142857</v>
      </c>
    </row>
    <row r="1273" spans="1:23">
      <c r="A1273" s="103">
        <v>45068</v>
      </c>
      <c r="B1273" s="104" t="s">
        <v>28</v>
      </c>
      <c r="C1273" s="145">
        <v>0</v>
      </c>
      <c r="D1273" s="145"/>
      <c r="E1273" s="104">
        <v>0</v>
      </c>
      <c r="F1273" s="106">
        <v>0</v>
      </c>
      <c r="G1273" s="107">
        <v>0</v>
      </c>
      <c r="H1273" s="106">
        <v>0</v>
      </c>
      <c r="I1273" s="106"/>
      <c r="J1273" s="106"/>
      <c r="K1273" s="106"/>
      <c r="L1273" s="213">
        <v>0</v>
      </c>
      <c r="M1273" s="213">
        <v>0</v>
      </c>
      <c r="N1273" s="213">
        <v>0</v>
      </c>
      <c r="O1273" s="213">
        <v>0</v>
      </c>
      <c r="P1273" s="108">
        <v>0</v>
      </c>
      <c r="Q1273" s="108">
        <v>0</v>
      </c>
      <c r="R1273" s="108">
        <v>0</v>
      </c>
      <c r="S1273" s="108">
        <v>0</v>
      </c>
      <c r="T1273" s="108">
        <v>0</v>
      </c>
      <c r="U1273" s="108">
        <v>0</v>
      </c>
      <c r="V1273" s="108">
        <v>0</v>
      </c>
      <c r="W1273" s="108">
        <v>0</v>
      </c>
    </row>
    <row r="1274" spans="1:23">
      <c r="A1274" s="103">
        <v>45068</v>
      </c>
      <c r="B1274" s="104" t="s">
        <v>29</v>
      </c>
      <c r="C1274" s="145">
        <v>1</v>
      </c>
      <c r="D1274" s="145"/>
      <c r="E1274" s="104">
        <v>0</v>
      </c>
      <c r="F1274" s="106">
        <v>0</v>
      </c>
      <c r="G1274" s="107">
        <v>0</v>
      </c>
      <c r="H1274" s="106">
        <v>0</v>
      </c>
      <c r="I1274" s="106"/>
      <c r="J1274" s="106"/>
      <c r="K1274" s="106"/>
      <c r="L1274" s="213">
        <v>1</v>
      </c>
      <c r="M1274" s="213">
        <v>0.333333333333333</v>
      </c>
      <c r="N1274" s="213">
        <v>0.4</v>
      </c>
      <c r="O1274" s="213">
        <v>0.571428571428571</v>
      </c>
      <c r="P1274" s="108">
        <v>0</v>
      </c>
      <c r="Q1274" s="108">
        <v>-0.666666666666667</v>
      </c>
      <c r="R1274" s="108">
        <v>-0.4</v>
      </c>
      <c r="S1274" s="108">
        <v>-0.285714285714286</v>
      </c>
      <c r="T1274" s="108">
        <v>0</v>
      </c>
      <c r="U1274" s="108">
        <v>0</v>
      </c>
      <c r="V1274" s="108">
        <v>0</v>
      </c>
      <c r="W1274" s="108">
        <v>0</v>
      </c>
    </row>
    <row r="1275" spans="1:23">
      <c r="A1275" s="103">
        <v>45068</v>
      </c>
      <c r="B1275" s="104" t="s">
        <v>30</v>
      </c>
      <c r="C1275" s="145">
        <v>0</v>
      </c>
      <c r="D1275" s="145"/>
      <c r="E1275" s="104">
        <v>0</v>
      </c>
      <c r="F1275" s="106">
        <v>0</v>
      </c>
      <c r="G1275" s="107">
        <v>0</v>
      </c>
      <c r="H1275" s="106">
        <v>0</v>
      </c>
      <c r="I1275" s="106"/>
      <c r="J1275" s="106"/>
      <c r="K1275" s="106"/>
      <c r="L1275" s="213">
        <v>0</v>
      </c>
      <c r="M1275" s="213">
        <v>0</v>
      </c>
      <c r="N1275" s="213">
        <v>0</v>
      </c>
      <c r="O1275" s="213">
        <v>0</v>
      </c>
      <c r="P1275" s="108">
        <v>0</v>
      </c>
      <c r="Q1275" s="108">
        <v>0</v>
      </c>
      <c r="R1275" s="108">
        <v>0</v>
      </c>
      <c r="S1275" s="108">
        <v>0</v>
      </c>
      <c r="T1275" s="108">
        <v>0</v>
      </c>
      <c r="U1275" s="108">
        <v>0</v>
      </c>
      <c r="V1275" s="108">
        <v>0</v>
      </c>
      <c r="W1275" s="108">
        <v>0</v>
      </c>
    </row>
    <row r="1276" spans="1:23">
      <c r="A1276" s="103">
        <v>45068</v>
      </c>
      <c r="B1276" s="104" t="s">
        <v>31</v>
      </c>
      <c r="C1276" s="145">
        <v>0</v>
      </c>
      <c r="D1276" s="145"/>
      <c r="E1276" s="104">
        <v>0</v>
      </c>
      <c r="F1276" s="106">
        <v>0</v>
      </c>
      <c r="G1276" s="107">
        <v>0</v>
      </c>
      <c r="H1276" s="106">
        <v>0</v>
      </c>
      <c r="I1276" s="106"/>
      <c r="J1276" s="106"/>
      <c r="K1276" s="106"/>
      <c r="L1276" s="213">
        <v>0</v>
      </c>
      <c r="M1276" s="213">
        <v>0</v>
      </c>
      <c r="N1276" s="213">
        <v>0</v>
      </c>
      <c r="O1276" s="213">
        <v>0</v>
      </c>
      <c r="P1276" s="108">
        <v>0</v>
      </c>
      <c r="Q1276" s="108">
        <v>-0.333333333333333</v>
      </c>
      <c r="R1276" s="108">
        <v>-0.6</v>
      </c>
      <c r="S1276" s="108">
        <v>-0.428571428571429</v>
      </c>
      <c r="T1276" s="108">
        <v>0</v>
      </c>
      <c r="U1276" s="108">
        <v>0</v>
      </c>
      <c r="V1276" s="108">
        <v>0</v>
      </c>
      <c r="W1276" s="108">
        <v>0</v>
      </c>
    </row>
    <row r="1277" spans="1:23">
      <c r="A1277" s="103">
        <v>45068</v>
      </c>
      <c r="B1277" s="104" t="s">
        <v>32</v>
      </c>
      <c r="C1277" s="145">
        <v>0</v>
      </c>
      <c r="D1277" s="145"/>
      <c r="E1277" s="104">
        <v>0</v>
      </c>
      <c r="F1277" s="106">
        <v>0</v>
      </c>
      <c r="G1277" s="107">
        <v>0</v>
      </c>
      <c r="H1277" s="106">
        <v>0</v>
      </c>
      <c r="I1277" s="106"/>
      <c r="J1277" s="106"/>
      <c r="K1277" s="106"/>
      <c r="L1277" s="213">
        <v>0</v>
      </c>
      <c r="M1277" s="213">
        <v>0</v>
      </c>
      <c r="N1277" s="213">
        <v>0</v>
      </c>
      <c r="O1277" s="213">
        <v>0</v>
      </c>
      <c r="P1277" s="108">
        <v>0</v>
      </c>
      <c r="Q1277" s="108">
        <v>0</v>
      </c>
      <c r="R1277" s="108">
        <v>0</v>
      </c>
      <c r="S1277" s="108">
        <v>0</v>
      </c>
      <c r="T1277" s="108">
        <v>0</v>
      </c>
      <c r="U1277" s="108">
        <v>0</v>
      </c>
      <c r="V1277" s="108">
        <v>0</v>
      </c>
      <c r="W1277" s="108">
        <v>0</v>
      </c>
    </row>
    <row r="1278" spans="1:23">
      <c r="A1278" s="103">
        <v>45068</v>
      </c>
      <c r="B1278" s="104" t="s">
        <v>33</v>
      </c>
      <c r="C1278" s="145">
        <v>0</v>
      </c>
      <c r="D1278" s="145"/>
      <c r="E1278" s="104">
        <v>0</v>
      </c>
      <c r="F1278" s="106">
        <v>0</v>
      </c>
      <c r="G1278" s="107">
        <v>0</v>
      </c>
      <c r="H1278" s="106">
        <v>0</v>
      </c>
      <c r="I1278" s="106"/>
      <c r="J1278" s="106"/>
      <c r="K1278" s="106"/>
      <c r="L1278" s="213">
        <v>0</v>
      </c>
      <c r="M1278" s="213">
        <v>0</v>
      </c>
      <c r="N1278" s="213">
        <v>0</v>
      </c>
      <c r="O1278" s="213">
        <v>0</v>
      </c>
      <c r="P1278" s="108">
        <v>0</v>
      </c>
      <c r="Q1278" s="108">
        <v>-0.333333333333333</v>
      </c>
      <c r="R1278" s="108">
        <v>-0.2</v>
      </c>
      <c r="S1278" s="108">
        <v>-0.142857142857143</v>
      </c>
      <c r="T1278" s="108">
        <v>0</v>
      </c>
      <c r="U1278" s="108">
        <v>0</v>
      </c>
      <c r="V1278" s="108">
        <v>0</v>
      </c>
      <c r="W1278" s="108">
        <v>0</v>
      </c>
    </row>
    <row r="1279" spans="1:23">
      <c r="A1279" s="103">
        <v>45068</v>
      </c>
      <c r="B1279" s="104" t="s">
        <v>34</v>
      </c>
      <c r="C1279" s="145">
        <v>0</v>
      </c>
      <c r="D1279" s="145"/>
      <c r="E1279" s="104">
        <v>0</v>
      </c>
      <c r="F1279" s="106">
        <v>0</v>
      </c>
      <c r="G1279" s="107">
        <v>0</v>
      </c>
      <c r="H1279" s="106">
        <v>0</v>
      </c>
      <c r="I1279" s="106"/>
      <c r="J1279" s="106"/>
      <c r="K1279" s="106"/>
      <c r="L1279" s="213">
        <v>0</v>
      </c>
      <c r="M1279" s="213">
        <v>0</v>
      </c>
      <c r="N1279" s="213">
        <v>0</v>
      </c>
      <c r="O1279" s="213">
        <v>0</v>
      </c>
      <c r="P1279" s="108">
        <v>0</v>
      </c>
      <c r="Q1279" s="108">
        <v>0</v>
      </c>
      <c r="R1279" s="108">
        <v>0</v>
      </c>
      <c r="S1279" s="108">
        <v>0</v>
      </c>
      <c r="T1279" s="108">
        <v>0</v>
      </c>
      <c r="U1279" s="108">
        <v>0</v>
      </c>
      <c r="V1279" s="108">
        <v>0</v>
      </c>
      <c r="W1279" s="108">
        <v>0</v>
      </c>
    </row>
    <row r="1280" spans="1:23">
      <c r="A1280" s="103">
        <v>45068</v>
      </c>
      <c r="B1280" s="104" t="s">
        <v>35</v>
      </c>
      <c r="C1280" s="145">
        <v>0</v>
      </c>
      <c r="D1280" s="145"/>
      <c r="E1280" s="104">
        <v>0</v>
      </c>
      <c r="F1280" s="106">
        <v>0</v>
      </c>
      <c r="G1280" s="107">
        <v>0</v>
      </c>
      <c r="H1280" s="106">
        <v>0</v>
      </c>
      <c r="I1280" s="106"/>
      <c r="J1280" s="106"/>
      <c r="K1280" s="106"/>
      <c r="L1280" s="213">
        <v>0</v>
      </c>
      <c r="M1280" s="213">
        <v>0</v>
      </c>
      <c r="N1280" s="213">
        <v>0</v>
      </c>
      <c r="O1280" s="213">
        <v>0</v>
      </c>
      <c r="P1280" s="108">
        <v>0</v>
      </c>
      <c r="Q1280" s="108">
        <v>0</v>
      </c>
      <c r="R1280" s="108">
        <v>0</v>
      </c>
      <c r="S1280" s="108">
        <v>0</v>
      </c>
      <c r="T1280" s="108">
        <v>0</v>
      </c>
      <c r="U1280" s="108">
        <v>0</v>
      </c>
      <c r="V1280" s="108">
        <v>0</v>
      </c>
      <c r="W1280" s="108">
        <v>0</v>
      </c>
    </row>
    <row r="1281" spans="1:23">
      <c r="A1281" s="103">
        <v>45068</v>
      </c>
      <c r="B1281" s="104" t="s">
        <v>36</v>
      </c>
      <c r="C1281" s="145">
        <v>0</v>
      </c>
      <c r="D1281" s="145"/>
      <c r="E1281" s="104">
        <v>0</v>
      </c>
      <c r="F1281" s="106">
        <v>0</v>
      </c>
      <c r="G1281" s="107">
        <v>0</v>
      </c>
      <c r="H1281" s="106">
        <v>0</v>
      </c>
      <c r="I1281" s="106"/>
      <c r="J1281" s="106"/>
      <c r="K1281" s="106"/>
      <c r="L1281" s="213">
        <v>0</v>
      </c>
      <c r="M1281" s="213">
        <v>0</v>
      </c>
      <c r="N1281" s="213">
        <v>0</v>
      </c>
      <c r="O1281" s="213">
        <v>0</v>
      </c>
      <c r="P1281" s="108">
        <v>0</v>
      </c>
      <c r="Q1281" s="108">
        <v>0</v>
      </c>
      <c r="R1281" s="108">
        <v>0</v>
      </c>
      <c r="S1281" s="108">
        <v>0</v>
      </c>
      <c r="T1281" s="108">
        <v>0</v>
      </c>
      <c r="U1281" s="108">
        <v>0</v>
      </c>
      <c r="V1281" s="108">
        <v>0</v>
      </c>
      <c r="W1281" s="108">
        <v>0</v>
      </c>
    </row>
    <row r="1282" spans="1:23">
      <c r="A1282" s="103">
        <v>45068</v>
      </c>
      <c r="B1282" s="104" t="s">
        <v>37</v>
      </c>
      <c r="C1282" s="145">
        <v>0</v>
      </c>
      <c r="D1282" s="145"/>
      <c r="E1282" s="104">
        <v>1</v>
      </c>
      <c r="F1282" s="106">
        <v>1</v>
      </c>
      <c r="G1282" s="107">
        <v>0</v>
      </c>
      <c r="H1282" s="106">
        <v>0</v>
      </c>
      <c r="I1282" s="106"/>
      <c r="J1282" s="106"/>
      <c r="K1282" s="106"/>
      <c r="L1282" s="213">
        <v>0</v>
      </c>
      <c r="M1282" s="213">
        <v>0</v>
      </c>
      <c r="N1282" s="213">
        <v>0</v>
      </c>
      <c r="O1282" s="213">
        <v>0</v>
      </c>
      <c r="P1282" s="108">
        <v>1</v>
      </c>
      <c r="Q1282" s="108">
        <v>0.333333333333333</v>
      </c>
      <c r="R1282" s="108">
        <v>0.4</v>
      </c>
      <c r="S1282" s="108">
        <v>0.428571428571429</v>
      </c>
      <c r="T1282" s="108">
        <v>0</v>
      </c>
      <c r="U1282" s="108">
        <v>0</v>
      </c>
      <c r="V1282" s="108">
        <v>0</v>
      </c>
      <c r="W1282" s="108">
        <v>0</v>
      </c>
    </row>
    <row r="1283" spans="1:23">
      <c r="A1283" s="103">
        <v>45068</v>
      </c>
      <c r="B1283" s="104" t="s">
        <v>38</v>
      </c>
      <c r="C1283" s="145">
        <v>0</v>
      </c>
      <c r="D1283" s="145"/>
      <c r="E1283" s="104">
        <v>0</v>
      </c>
      <c r="F1283" s="106">
        <v>0</v>
      </c>
      <c r="G1283" s="107">
        <v>0</v>
      </c>
      <c r="H1283" s="106">
        <v>0</v>
      </c>
      <c r="I1283" s="106"/>
      <c r="J1283" s="106"/>
      <c r="K1283" s="106"/>
      <c r="L1283" s="213">
        <v>0</v>
      </c>
      <c r="M1283" s="213">
        <v>0</v>
      </c>
      <c r="N1283" s="213">
        <v>0</v>
      </c>
      <c r="O1283" s="213">
        <v>0</v>
      </c>
      <c r="P1283" s="108">
        <v>0</v>
      </c>
      <c r="Q1283" s="108">
        <v>0</v>
      </c>
      <c r="R1283" s="108">
        <v>0</v>
      </c>
      <c r="S1283" s="108">
        <v>0</v>
      </c>
      <c r="T1283" s="108">
        <v>0</v>
      </c>
      <c r="U1283" s="108">
        <v>0</v>
      </c>
      <c r="V1283" s="108">
        <v>0</v>
      </c>
      <c r="W1283" s="108">
        <v>0</v>
      </c>
    </row>
    <row r="1284" spans="1:23">
      <c r="A1284" s="103">
        <v>45068</v>
      </c>
      <c r="B1284" s="111" t="s">
        <v>39</v>
      </c>
      <c r="C1284" s="112">
        <v>27483</v>
      </c>
      <c r="D1284" s="112"/>
      <c r="E1284" s="112">
        <v>476</v>
      </c>
      <c r="F1284" s="113">
        <v>0.0173197976931194</v>
      </c>
      <c r="G1284" s="112">
        <v>168</v>
      </c>
      <c r="H1284" s="113">
        <v>0.352941176470588</v>
      </c>
      <c r="I1284" s="113"/>
      <c r="J1284" s="113"/>
      <c r="K1284" s="113"/>
      <c r="L1284" s="213"/>
      <c r="M1284" s="213"/>
      <c r="N1284" s="213"/>
      <c r="O1284" s="213"/>
      <c r="P1284" s="108"/>
      <c r="Q1284" s="108"/>
      <c r="R1284" s="108"/>
      <c r="S1284" s="108"/>
      <c r="T1284" s="108"/>
      <c r="U1284" s="108"/>
      <c r="V1284" s="108"/>
      <c r="W1284" s="108"/>
    </row>
    <row r="1285" spans="1:23">
      <c r="A1285" s="103">
        <v>45069</v>
      </c>
      <c r="B1285" s="104" t="s">
        <v>17</v>
      </c>
      <c r="C1285" s="105">
        <v>1</v>
      </c>
      <c r="D1285" s="105"/>
      <c r="E1285" s="104">
        <v>13</v>
      </c>
      <c r="F1285" s="106">
        <v>13</v>
      </c>
      <c r="G1285" s="107">
        <v>4</v>
      </c>
      <c r="H1285" s="106">
        <v>0.307692307692308</v>
      </c>
      <c r="I1285" s="106"/>
      <c r="J1285" s="106"/>
      <c r="K1285" s="106"/>
      <c r="L1285" s="213">
        <v>-0.5</v>
      </c>
      <c r="M1285" s="213">
        <v>-0.5</v>
      </c>
      <c r="N1285" s="213">
        <v>-0.2</v>
      </c>
      <c r="O1285" s="213">
        <v>-0.214285714285714</v>
      </c>
      <c r="P1285" s="108">
        <v>3</v>
      </c>
      <c r="Q1285" s="108">
        <v>0.666666666666666</v>
      </c>
      <c r="R1285" s="108">
        <v>-1.8</v>
      </c>
      <c r="S1285" s="108">
        <v>-2.42857142857143</v>
      </c>
      <c r="T1285" s="108">
        <v>2</v>
      </c>
      <c r="U1285" s="108">
        <v>1.33333333333333</v>
      </c>
      <c r="V1285" s="108">
        <v>-0.2</v>
      </c>
      <c r="W1285" s="108">
        <v>-0.857142857142857</v>
      </c>
    </row>
    <row r="1286" spans="1:23">
      <c r="A1286" s="103">
        <v>45069</v>
      </c>
      <c r="B1286" s="104" t="s">
        <v>19</v>
      </c>
      <c r="C1286" s="107">
        <v>217</v>
      </c>
      <c r="D1286" s="107"/>
      <c r="E1286" s="104">
        <v>15</v>
      </c>
      <c r="F1286" s="106">
        <v>0.0691244239631336</v>
      </c>
      <c r="G1286" s="107">
        <v>5</v>
      </c>
      <c r="H1286" s="106">
        <v>0.333333333333333</v>
      </c>
      <c r="I1286" s="106"/>
      <c r="J1286" s="106"/>
      <c r="K1286" s="106"/>
      <c r="L1286" s="213">
        <v>-46</v>
      </c>
      <c r="M1286" s="213">
        <v>-83.6666666666667</v>
      </c>
      <c r="N1286" s="213">
        <v>-74.2</v>
      </c>
      <c r="O1286" s="213">
        <v>-44.2857142857143</v>
      </c>
      <c r="P1286" s="108">
        <v>8</v>
      </c>
      <c r="Q1286" s="108">
        <v>4.33333333333333</v>
      </c>
      <c r="R1286" s="108">
        <v>4.8</v>
      </c>
      <c r="S1286" s="108">
        <v>5.71428571428571</v>
      </c>
      <c r="T1286" s="108">
        <v>-2</v>
      </c>
      <c r="U1286" s="108">
        <v>-1.66666666666667</v>
      </c>
      <c r="V1286" s="108">
        <v>-0.8</v>
      </c>
      <c r="W1286" s="115">
        <v>-0.428571428571429</v>
      </c>
    </row>
    <row r="1287" spans="1:23">
      <c r="A1287" s="103">
        <v>45069</v>
      </c>
      <c r="B1287" s="104" t="s">
        <v>21</v>
      </c>
      <c r="C1287" s="145">
        <v>333</v>
      </c>
      <c r="D1287" s="145"/>
      <c r="E1287" s="104">
        <v>25</v>
      </c>
      <c r="F1287" s="106">
        <v>0.0750750750750751</v>
      </c>
      <c r="G1287" s="107">
        <v>9</v>
      </c>
      <c r="H1287" s="106">
        <v>0.36</v>
      </c>
      <c r="I1287" s="106"/>
      <c r="J1287" s="106"/>
      <c r="K1287" s="106"/>
      <c r="L1287" s="213">
        <v>96</v>
      </c>
      <c r="M1287" s="213">
        <v>77.5</v>
      </c>
      <c r="N1287" s="213">
        <v>76.6</v>
      </c>
      <c r="O1287" s="213">
        <v>66.1428571428572</v>
      </c>
      <c r="P1287" s="108">
        <v>1</v>
      </c>
      <c r="Q1287" s="108">
        <v>-5</v>
      </c>
      <c r="R1287" s="108">
        <v>-4</v>
      </c>
      <c r="S1287" s="108">
        <v>-3.71428571428572</v>
      </c>
      <c r="T1287" s="108">
        <v>0</v>
      </c>
      <c r="U1287" s="108">
        <v>-0.666666666666666</v>
      </c>
      <c r="V1287" s="108">
        <v>0</v>
      </c>
      <c r="W1287" s="108">
        <v>-0.571428571428571</v>
      </c>
    </row>
    <row r="1288" spans="1:23">
      <c r="A1288" s="103">
        <v>45069</v>
      </c>
      <c r="B1288" s="104" t="s">
        <v>22</v>
      </c>
      <c r="C1288" s="145">
        <v>2657</v>
      </c>
      <c r="D1288" s="145"/>
      <c r="E1288" s="104">
        <v>164</v>
      </c>
      <c r="F1288" s="106">
        <v>0.0617237485886338</v>
      </c>
      <c r="G1288" s="107">
        <v>56</v>
      </c>
      <c r="H1288" s="106">
        <v>0.341463414634146</v>
      </c>
      <c r="I1288" s="106"/>
      <c r="J1288" s="106"/>
      <c r="K1288" s="106"/>
      <c r="L1288" s="213">
        <v>607.5</v>
      </c>
      <c r="M1288" s="213">
        <v>541.666666666667</v>
      </c>
      <c r="N1288" s="213">
        <v>653</v>
      </c>
      <c r="O1288" s="213">
        <v>731.571428571429</v>
      </c>
      <c r="P1288" s="108">
        <v>-9</v>
      </c>
      <c r="Q1288" s="108">
        <v>-12</v>
      </c>
      <c r="R1288" s="108">
        <v>2.19999999999999</v>
      </c>
      <c r="S1288" s="115">
        <v>14.5714285714286</v>
      </c>
      <c r="T1288" s="108">
        <v>-7</v>
      </c>
      <c r="U1288" s="108">
        <v>-10.3333333333333</v>
      </c>
      <c r="V1288" s="108">
        <v>-3.2</v>
      </c>
      <c r="W1288" s="117">
        <v>1.14285714285715</v>
      </c>
    </row>
    <row r="1289" spans="1:23">
      <c r="A1289" s="103">
        <v>45069</v>
      </c>
      <c r="B1289" s="104" t="s">
        <v>23</v>
      </c>
      <c r="C1289" s="145">
        <v>1551</v>
      </c>
      <c r="D1289" s="145"/>
      <c r="E1289" s="104">
        <v>14</v>
      </c>
      <c r="F1289" s="106">
        <v>0.00902643455834945</v>
      </c>
      <c r="G1289" s="107">
        <v>7</v>
      </c>
      <c r="H1289" s="106">
        <v>0.5</v>
      </c>
      <c r="I1289" s="106"/>
      <c r="J1289" s="106"/>
      <c r="K1289" s="106"/>
      <c r="L1289" s="213">
        <v>551.5</v>
      </c>
      <c r="M1289" s="213">
        <v>494.5</v>
      </c>
      <c r="N1289" s="213">
        <v>810.4</v>
      </c>
      <c r="O1289" s="213">
        <v>705.5</v>
      </c>
      <c r="P1289" s="108">
        <v>2</v>
      </c>
      <c r="Q1289" s="108">
        <v>0.666666666666666</v>
      </c>
      <c r="R1289" s="108">
        <v>2.8</v>
      </c>
      <c r="S1289" s="108">
        <v>1.57142857142857</v>
      </c>
      <c r="T1289" s="108">
        <v>-2</v>
      </c>
      <c r="U1289" s="116">
        <v>0.666666666666667</v>
      </c>
      <c r="V1289" s="108">
        <v>1</v>
      </c>
      <c r="W1289" s="108">
        <v>1.57142857142857</v>
      </c>
    </row>
    <row r="1290" spans="1:23">
      <c r="A1290" s="103">
        <v>45069</v>
      </c>
      <c r="B1290" s="104" t="s">
        <v>24</v>
      </c>
      <c r="C1290" s="145">
        <v>2180</v>
      </c>
      <c r="D1290" s="145"/>
      <c r="E1290" s="104">
        <v>103</v>
      </c>
      <c r="F1290" s="106">
        <v>0.0472477064220184</v>
      </c>
      <c r="G1290" s="107">
        <v>34</v>
      </c>
      <c r="H1290" s="106">
        <v>0.330097087378641</v>
      </c>
      <c r="I1290" s="106"/>
      <c r="J1290" s="106"/>
      <c r="K1290" s="106"/>
      <c r="L1290" s="213">
        <v>563.5</v>
      </c>
      <c r="M1290" s="213">
        <v>605.666666666667</v>
      </c>
      <c r="N1290" s="213">
        <v>792.4</v>
      </c>
      <c r="O1290" s="213">
        <v>902.214285714286</v>
      </c>
      <c r="P1290" s="115">
        <v>8</v>
      </c>
      <c r="Q1290" s="115">
        <v>14.6666666666667</v>
      </c>
      <c r="R1290" s="115">
        <v>-6.2</v>
      </c>
      <c r="S1290" s="115">
        <v>-19</v>
      </c>
      <c r="T1290" s="115">
        <v>11</v>
      </c>
      <c r="U1290" s="115">
        <v>7.33333333333333</v>
      </c>
      <c r="V1290" s="115">
        <v>-0.600000000000001</v>
      </c>
      <c r="W1290" s="115">
        <v>-3.42857142857143</v>
      </c>
    </row>
    <row r="1291" spans="1:23">
      <c r="A1291" s="103">
        <v>45069</v>
      </c>
      <c r="B1291" s="104" t="s">
        <v>25</v>
      </c>
      <c r="C1291" s="145">
        <v>4315</v>
      </c>
      <c r="D1291" s="145"/>
      <c r="E1291" s="104">
        <v>42</v>
      </c>
      <c r="F1291" s="106">
        <v>0.00973348783314021</v>
      </c>
      <c r="G1291" s="107">
        <v>18</v>
      </c>
      <c r="H1291" s="106">
        <v>0.428571428571429</v>
      </c>
      <c r="I1291" s="106"/>
      <c r="J1291" s="106"/>
      <c r="K1291" s="106"/>
      <c r="L1291" s="213">
        <v>878</v>
      </c>
      <c r="M1291" s="213">
        <v>1040</v>
      </c>
      <c r="N1291" s="213">
        <v>850</v>
      </c>
      <c r="O1291" s="213">
        <v>643.857142857143</v>
      </c>
      <c r="P1291" s="116">
        <v>-5</v>
      </c>
      <c r="Q1291" s="115">
        <v>-1.33333333333334</v>
      </c>
      <c r="R1291" s="115">
        <v>5.8</v>
      </c>
      <c r="S1291" s="115">
        <v>9.57142857142857</v>
      </c>
      <c r="T1291" s="108">
        <v>0</v>
      </c>
      <c r="U1291" s="108">
        <v>-1</v>
      </c>
      <c r="V1291" s="108">
        <v>0.399999999999999</v>
      </c>
      <c r="W1291" s="108">
        <v>2.28571428571429</v>
      </c>
    </row>
    <row r="1292" spans="1:23">
      <c r="A1292" s="103">
        <v>45069</v>
      </c>
      <c r="B1292" s="104" t="s">
        <v>26</v>
      </c>
      <c r="C1292" s="145">
        <v>1702.5</v>
      </c>
      <c r="D1292" s="145"/>
      <c r="E1292" s="104">
        <v>10</v>
      </c>
      <c r="F1292" s="106">
        <v>0.00587371512481645</v>
      </c>
      <c r="G1292" s="107">
        <v>5</v>
      </c>
      <c r="H1292" s="106">
        <v>0.5</v>
      </c>
      <c r="I1292" s="106"/>
      <c r="J1292" s="106"/>
      <c r="K1292" s="106"/>
      <c r="L1292" s="213">
        <v>-249.5</v>
      </c>
      <c r="M1292" s="213">
        <v>-383.833333333333</v>
      </c>
      <c r="N1292" s="213">
        <v>-190.9</v>
      </c>
      <c r="O1292" s="213">
        <v>-265.5</v>
      </c>
      <c r="P1292" s="108">
        <v>-13</v>
      </c>
      <c r="Q1292" s="108">
        <v>-9.66666666666667</v>
      </c>
      <c r="R1292" s="108">
        <v>-9.2</v>
      </c>
      <c r="S1292" s="108">
        <v>-9.71428571428572</v>
      </c>
      <c r="T1292" s="108">
        <v>-6</v>
      </c>
      <c r="U1292" s="108">
        <v>-4</v>
      </c>
      <c r="V1292" s="108">
        <v>-2.4</v>
      </c>
      <c r="W1292" s="108">
        <v>-2.57142857142857</v>
      </c>
    </row>
    <row r="1293" spans="1:23">
      <c r="A1293" s="103">
        <v>45069</v>
      </c>
      <c r="B1293" s="104" t="s">
        <v>27</v>
      </c>
      <c r="C1293" s="145">
        <v>1800.5</v>
      </c>
      <c r="D1293" s="145"/>
      <c r="E1293" s="104">
        <v>71</v>
      </c>
      <c r="F1293" s="106">
        <v>0.0394334906970286</v>
      </c>
      <c r="G1293" s="107">
        <v>15</v>
      </c>
      <c r="H1293" s="106">
        <v>0.211267605633803</v>
      </c>
      <c r="I1293" s="106"/>
      <c r="J1293" s="106"/>
      <c r="K1293" s="106"/>
      <c r="L1293" s="213">
        <v>-1384.5</v>
      </c>
      <c r="M1293" s="213">
        <v>-1268.16666666667</v>
      </c>
      <c r="N1293" s="213">
        <v>-691.9</v>
      </c>
      <c r="O1293" s="213">
        <v>-308.5</v>
      </c>
      <c r="P1293" s="108">
        <v>-13</v>
      </c>
      <c r="Q1293" s="108">
        <v>-3.33333333333333</v>
      </c>
      <c r="R1293" s="108">
        <v>14.6</v>
      </c>
      <c r="S1293" s="108">
        <v>21.5714285714286</v>
      </c>
      <c r="T1293" s="108">
        <v>-11</v>
      </c>
      <c r="U1293" s="108">
        <v>-6</v>
      </c>
      <c r="V1293" s="108">
        <v>-1.8</v>
      </c>
      <c r="W1293" s="108">
        <v>-1.14285714285714</v>
      </c>
    </row>
    <row r="1294" spans="1:23">
      <c r="A1294" s="103">
        <v>45069</v>
      </c>
      <c r="B1294" s="104" t="s">
        <v>28</v>
      </c>
      <c r="C1294" s="145">
        <v>0</v>
      </c>
      <c r="D1294" s="145"/>
      <c r="E1294" s="104">
        <v>0</v>
      </c>
      <c r="F1294" s="106">
        <v>0</v>
      </c>
      <c r="G1294" s="107">
        <v>0</v>
      </c>
      <c r="H1294" s="106">
        <v>0</v>
      </c>
      <c r="I1294" s="106"/>
      <c r="J1294" s="106"/>
      <c r="K1294" s="106"/>
      <c r="L1294" s="213">
        <v>0</v>
      </c>
      <c r="M1294" s="213">
        <v>0</v>
      </c>
      <c r="N1294" s="213">
        <v>0</v>
      </c>
      <c r="O1294" s="213">
        <v>0</v>
      </c>
      <c r="P1294" s="108">
        <v>0</v>
      </c>
      <c r="Q1294" s="108">
        <v>0</v>
      </c>
      <c r="R1294" s="108">
        <v>0</v>
      </c>
      <c r="S1294" s="108">
        <v>0</v>
      </c>
      <c r="T1294" s="108">
        <v>0</v>
      </c>
      <c r="U1294" s="108">
        <v>0</v>
      </c>
      <c r="V1294" s="108">
        <v>0</v>
      </c>
      <c r="W1294" s="108">
        <v>0</v>
      </c>
    </row>
    <row r="1295" spans="1:23">
      <c r="A1295" s="103">
        <v>45069</v>
      </c>
      <c r="B1295" s="104" t="s">
        <v>29</v>
      </c>
      <c r="C1295" s="145">
        <v>0</v>
      </c>
      <c r="D1295" s="145"/>
      <c r="E1295" s="104">
        <v>1</v>
      </c>
      <c r="F1295" s="106">
        <v>1</v>
      </c>
      <c r="G1295" s="107">
        <v>0</v>
      </c>
      <c r="H1295" s="106">
        <v>0</v>
      </c>
      <c r="I1295" s="106"/>
      <c r="J1295" s="106"/>
      <c r="K1295" s="106"/>
      <c r="L1295" s="213">
        <v>-1</v>
      </c>
      <c r="M1295" s="213">
        <v>-0.666666666666667</v>
      </c>
      <c r="N1295" s="213">
        <v>-0.6</v>
      </c>
      <c r="O1295" s="213">
        <v>-0.571428571428571</v>
      </c>
      <c r="P1295" s="108">
        <v>1</v>
      </c>
      <c r="Q1295" s="108">
        <v>0.666666666666667</v>
      </c>
      <c r="R1295" s="108">
        <v>0.6</v>
      </c>
      <c r="S1295" s="108">
        <v>0.714285714285714</v>
      </c>
      <c r="T1295" s="108">
        <v>0</v>
      </c>
      <c r="U1295" s="108">
        <v>0</v>
      </c>
      <c r="V1295" s="108">
        <v>0</v>
      </c>
      <c r="W1295" s="108">
        <v>0</v>
      </c>
    </row>
    <row r="1296" spans="1:23">
      <c r="A1296" s="103">
        <v>45069</v>
      </c>
      <c r="B1296" s="104" t="s">
        <v>30</v>
      </c>
      <c r="C1296" s="145">
        <v>0</v>
      </c>
      <c r="D1296" s="145"/>
      <c r="E1296" s="104">
        <v>0</v>
      </c>
      <c r="F1296" s="106">
        <v>0</v>
      </c>
      <c r="G1296" s="107">
        <v>0</v>
      </c>
      <c r="H1296" s="106">
        <v>0</v>
      </c>
      <c r="I1296" s="106"/>
      <c r="J1296" s="106"/>
      <c r="K1296" s="106"/>
      <c r="L1296" s="213">
        <v>0</v>
      </c>
      <c r="M1296" s="213">
        <v>0</v>
      </c>
      <c r="N1296" s="213">
        <v>0</v>
      </c>
      <c r="O1296" s="213">
        <v>0</v>
      </c>
      <c r="P1296" s="108">
        <v>0</v>
      </c>
      <c r="Q1296" s="108">
        <v>0</v>
      </c>
      <c r="R1296" s="108">
        <v>0</v>
      </c>
      <c r="S1296" s="108">
        <v>0</v>
      </c>
      <c r="T1296" s="108">
        <v>0</v>
      </c>
      <c r="U1296" s="108">
        <v>0</v>
      </c>
      <c r="V1296" s="108">
        <v>0</v>
      </c>
      <c r="W1296" s="108">
        <v>0</v>
      </c>
    </row>
    <row r="1297" spans="1:23">
      <c r="A1297" s="103">
        <v>45069</v>
      </c>
      <c r="B1297" s="104" t="s">
        <v>31</v>
      </c>
      <c r="C1297" s="145">
        <v>0</v>
      </c>
      <c r="D1297" s="145"/>
      <c r="E1297" s="104">
        <v>0</v>
      </c>
      <c r="F1297" s="106">
        <v>0</v>
      </c>
      <c r="G1297" s="107">
        <v>0</v>
      </c>
      <c r="H1297" s="106">
        <v>0</v>
      </c>
      <c r="I1297" s="106"/>
      <c r="J1297" s="106"/>
      <c r="K1297" s="106"/>
      <c r="L1297" s="213">
        <v>0</v>
      </c>
      <c r="M1297" s="213">
        <v>0</v>
      </c>
      <c r="N1297" s="213">
        <v>0</v>
      </c>
      <c r="O1297" s="213">
        <v>0</v>
      </c>
      <c r="P1297" s="108">
        <v>0</v>
      </c>
      <c r="Q1297" s="108">
        <v>-0.333333333333333</v>
      </c>
      <c r="R1297" s="108">
        <v>-0.6</v>
      </c>
      <c r="S1297" s="108">
        <v>-0.428571428571429</v>
      </c>
      <c r="T1297" s="108">
        <v>0</v>
      </c>
      <c r="U1297" s="108">
        <v>0</v>
      </c>
      <c r="V1297" s="108">
        <v>0</v>
      </c>
      <c r="W1297" s="108">
        <v>0</v>
      </c>
    </row>
    <row r="1298" spans="1:23">
      <c r="A1298" s="103">
        <v>45069</v>
      </c>
      <c r="B1298" s="104" t="s">
        <v>32</v>
      </c>
      <c r="C1298" s="145">
        <v>0</v>
      </c>
      <c r="D1298" s="145"/>
      <c r="E1298" s="104">
        <v>0</v>
      </c>
      <c r="F1298" s="106">
        <v>0</v>
      </c>
      <c r="G1298" s="107">
        <v>0</v>
      </c>
      <c r="H1298" s="106">
        <v>0</v>
      </c>
      <c r="I1298" s="106"/>
      <c r="J1298" s="106"/>
      <c r="K1298" s="106"/>
      <c r="L1298" s="213">
        <v>0</v>
      </c>
      <c r="M1298" s="213">
        <v>0</v>
      </c>
      <c r="N1298" s="213">
        <v>0</v>
      </c>
      <c r="O1298" s="213">
        <v>0</v>
      </c>
      <c r="P1298" s="108">
        <v>0</v>
      </c>
      <c r="Q1298" s="108">
        <v>0</v>
      </c>
      <c r="R1298" s="108">
        <v>0</v>
      </c>
      <c r="S1298" s="108">
        <v>0</v>
      </c>
      <c r="T1298" s="108">
        <v>0</v>
      </c>
      <c r="U1298" s="108">
        <v>0</v>
      </c>
      <c r="V1298" s="108">
        <v>0</v>
      </c>
      <c r="W1298" s="108">
        <v>0</v>
      </c>
    </row>
    <row r="1299" spans="1:23">
      <c r="A1299" s="103">
        <v>45069</v>
      </c>
      <c r="B1299" s="104" t="s">
        <v>33</v>
      </c>
      <c r="C1299" s="145">
        <v>0</v>
      </c>
      <c r="D1299" s="145"/>
      <c r="E1299" s="104">
        <v>0</v>
      </c>
      <c r="F1299" s="106">
        <v>0</v>
      </c>
      <c r="G1299" s="107">
        <v>0</v>
      </c>
      <c r="H1299" s="106">
        <v>0</v>
      </c>
      <c r="I1299" s="106"/>
      <c r="J1299" s="106"/>
      <c r="K1299" s="106"/>
      <c r="L1299" s="213">
        <v>0</v>
      </c>
      <c r="M1299" s="213">
        <v>0</v>
      </c>
      <c r="N1299" s="213">
        <v>0</v>
      </c>
      <c r="O1299" s="213">
        <v>0</v>
      </c>
      <c r="P1299" s="108">
        <v>0</v>
      </c>
      <c r="Q1299" s="108">
        <v>0</v>
      </c>
      <c r="R1299" s="108">
        <v>-0.2</v>
      </c>
      <c r="S1299" s="108">
        <v>-0.142857142857143</v>
      </c>
      <c r="T1299" s="108">
        <v>0</v>
      </c>
      <c r="U1299" s="108">
        <v>0</v>
      </c>
      <c r="V1299" s="108">
        <v>0</v>
      </c>
      <c r="W1299" s="108">
        <v>0</v>
      </c>
    </row>
    <row r="1300" spans="1:23">
      <c r="A1300" s="103">
        <v>45069</v>
      </c>
      <c r="B1300" s="104" t="s">
        <v>34</v>
      </c>
      <c r="C1300" s="145">
        <v>0</v>
      </c>
      <c r="D1300" s="145"/>
      <c r="E1300" s="104">
        <v>0</v>
      </c>
      <c r="F1300" s="106">
        <v>0</v>
      </c>
      <c r="G1300" s="107">
        <v>0</v>
      </c>
      <c r="H1300" s="106">
        <v>0</v>
      </c>
      <c r="I1300" s="106"/>
      <c r="J1300" s="106"/>
      <c r="K1300" s="106"/>
      <c r="L1300" s="213">
        <v>0</v>
      </c>
      <c r="M1300" s="213">
        <v>0</v>
      </c>
      <c r="N1300" s="213">
        <v>0</v>
      </c>
      <c r="O1300" s="213">
        <v>0</v>
      </c>
      <c r="P1300" s="108">
        <v>0</v>
      </c>
      <c r="Q1300" s="108">
        <v>0</v>
      </c>
      <c r="R1300" s="108">
        <v>0</v>
      </c>
      <c r="S1300" s="108">
        <v>0</v>
      </c>
      <c r="T1300" s="108">
        <v>0</v>
      </c>
      <c r="U1300" s="108">
        <v>0</v>
      </c>
      <c r="V1300" s="108">
        <v>0</v>
      </c>
      <c r="W1300" s="108">
        <v>0</v>
      </c>
    </row>
    <row r="1301" spans="1:23">
      <c r="A1301" s="103">
        <v>45069</v>
      </c>
      <c r="B1301" s="104" t="s">
        <v>35</v>
      </c>
      <c r="C1301" s="145">
        <v>0</v>
      </c>
      <c r="D1301" s="145"/>
      <c r="E1301" s="104">
        <v>0</v>
      </c>
      <c r="F1301" s="106">
        <v>0</v>
      </c>
      <c r="G1301" s="107">
        <v>0</v>
      </c>
      <c r="H1301" s="106">
        <v>0</v>
      </c>
      <c r="I1301" s="106"/>
      <c r="J1301" s="106"/>
      <c r="K1301" s="106"/>
      <c r="L1301" s="213">
        <v>0</v>
      </c>
      <c r="M1301" s="213">
        <v>0</v>
      </c>
      <c r="N1301" s="213">
        <v>0</v>
      </c>
      <c r="O1301" s="213">
        <v>0</v>
      </c>
      <c r="P1301" s="108">
        <v>0</v>
      </c>
      <c r="Q1301" s="108">
        <v>0</v>
      </c>
      <c r="R1301" s="108">
        <v>0</v>
      </c>
      <c r="S1301" s="108">
        <v>0</v>
      </c>
      <c r="T1301" s="108">
        <v>0</v>
      </c>
      <c r="U1301" s="108">
        <v>0</v>
      </c>
      <c r="V1301" s="108">
        <v>0</v>
      </c>
      <c r="W1301" s="108">
        <v>0</v>
      </c>
    </row>
    <row r="1302" spans="1:23">
      <c r="A1302" s="103">
        <v>45069</v>
      </c>
      <c r="B1302" s="104" t="s">
        <v>36</v>
      </c>
      <c r="C1302" s="145">
        <v>0</v>
      </c>
      <c r="D1302" s="145"/>
      <c r="E1302" s="104">
        <v>0</v>
      </c>
      <c r="F1302" s="106">
        <v>0</v>
      </c>
      <c r="G1302" s="107">
        <v>0</v>
      </c>
      <c r="H1302" s="106">
        <v>0</v>
      </c>
      <c r="I1302" s="106"/>
      <c r="J1302" s="106"/>
      <c r="K1302" s="106"/>
      <c r="L1302" s="213">
        <v>0</v>
      </c>
      <c r="M1302" s="213">
        <v>0</v>
      </c>
      <c r="N1302" s="213">
        <v>0</v>
      </c>
      <c r="O1302" s="213">
        <v>0</v>
      </c>
      <c r="P1302" s="108">
        <v>0</v>
      </c>
      <c r="Q1302" s="108">
        <v>0</v>
      </c>
      <c r="R1302" s="108">
        <v>0</v>
      </c>
      <c r="S1302" s="108">
        <v>0</v>
      </c>
      <c r="T1302" s="108">
        <v>0</v>
      </c>
      <c r="U1302" s="108">
        <v>0</v>
      </c>
      <c r="V1302" s="108">
        <v>0</v>
      </c>
      <c r="W1302" s="108">
        <v>0</v>
      </c>
    </row>
    <row r="1303" spans="1:23">
      <c r="A1303" s="103">
        <v>45069</v>
      </c>
      <c r="B1303" s="104" t="s">
        <v>37</v>
      </c>
      <c r="C1303" s="145">
        <v>0</v>
      </c>
      <c r="D1303" s="145"/>
      <c r="E1303" s="104">
        <v>1</v>
      </c>
      <c r="F1303" s="106">
        <v>1</v>
      </c>
      <c r="G1303" s="107">
        <v>0</v>
      </c>
      <c r="H1303" s="106">
        <v>0</v>
      </c>
      <c r="I1303" s="106"/>
      <c r="J1303" s="106"/>
      <c r="K1303" s="106"/>
      <c r="L1303" s="213">
        <v>0</v>
      </c>
      <c r="M1303" s="213">
        <v>0</v>
      </c>
      <c r="N1303" s="213">
        <v>0</v>
      </c>
      <c r="O1303" s="213">
        <v>0</v>
      </c>
      <c r="P1303" s="108">
        <v>0</v>
      </c>
      <c r="Q1303" s="108">
        <v>0.666666666666667</v>
      </c>
      <c r="R1303" s="108">
        <v>0.4</v>
      </c>
      <c r="S1303" s="108">
        <v>0.428571428571429</v>
      </c>
      <c r="T1303" s="108">
        <v>0</v>
      </c>
      <c r="U1303" s="108">
        <v>0</v>
      </c>
      <c r="V1303" s="108">
        <v>0</v>
      </c>
      <c r="W1303" s="108">
        <v>0</v>
      </c>
    </row>
    <row r="1304" spans="1:23">
      <c r="A1304" s="103">
        <v>45069</v>
      </c>
      <c r="B1304" s="104" t="s">
        <v>38</v>
      </c>
      <c r="C1304" s="145">
        <v>0</v>
      </c>
      <c r="D1304" s="145"/>
      <c r="E1304" s="104">
        <v>0</v>
      </c>
      <c r="F1304" s="106">
        <v>0</v>
      </c>
      <c r="G1304" s="107">
        <v>0</v>
      </c>
      <c r="H1304" s="106">
        <v>0</v>
      </c>
      <c r="I1304" s="106"/>
      <c r="J1304" s="106"/>
      <c r="K1304" s="106"/>
      <c r="L1304" s="213">
        <v>0</v>
      </c>
      <c r="M1304" s="213">
        <v>0</v>
      </c>
      <c r="N1304" s="213">
        <v>0</v>
      </c>
      <c r="O1304" s="213">
        <v>0</v>
      </c>
      <c r="P1304" s="108">
        <v>0</v>
      </c>
      <c r="Q1304" s="108">
        <v>0</v>
      </c>
      <c r="R1304" s="108">
        <v>0</v>
      </c>
      <c r="S1304" s="108">
        <v>0</v>
      </c>
      <c r="T1304" s="108">
        <v>0</v>
      </c>
      <c r="U1304" s="108">
        <v>0</v>
      </c>
      <c r="V1304" s="108">
        <v>0</v>
      </c>
      <c r="W1304" s="108">
        <v>0</v>
      </c>
    </row>
    <row r="1305" spans="1:23">
      <c r="A1305" s="103">
        <v>45069</v>
      </c>
      <c r="B1305" s="111" t="s">
        <v>39</v>
      </c>
      <c r="C1305" s="112">
        <v>14757</v>
      </c>
      <c r="D1305" s="112"/>
      <c r="E1305" s="112">
        <v>459</v>
      </c>
      <c r="F1305" s="113">
        <v>0.0311038829030291</v>
      </c>
      <c r="G1305" s="112">
        <v>153</v>
      </c>
      <c r="H1305" s="113">
        <v>0.333333333333333</v>
      </c>
      <c r="I1305" s="113"/>
      <c r="J1305" s="113"/>
      <c r="K1305" s="113"/>
      <c r="L1305" s="213"/>
      <c r="M1305" s="213"/>
      <c r="N1305" s="213"/>
      <c r="O1305" s="213"/>
      <c r="P1305" s="108"/>
      <c r="Q1305" s="108"/>
      <c r="R1305" s="108"/>
      <c r="S1305" s="108"/>
      <c r="T1305" s="108"/>
      <c r="U1305" s="108"/>
      <c r="V1305" s="108"/>
      <c r="W1305" s="108"/>
    </row>
    <row r="1306" spans="1:23">
      <c r="A1306" s="103">
        <v>45070</v>
      </c>
      <c r="B1306" s="104" t="s">
        <v>17</v>
      </c>
      <c r="C1306" s="105">
        <v>3</v>
      </c>
      <c r="D1306" s="105"/>
      <c r="E1306" s="104">
        <v>11</v>
      </c>
      <c r="F1306" s="106">
        <v>3.66666666666667</v>
      </c>
      <c r="G1306" s="107">
        <v>4</v>
      </c>
      <c r="H1306" s="106">
        <v>0.363636363636364</v>
      </c>
      <c r="I1306" s="106"/>
      <c r="J1306" s="106"/>
      <c r="K1306" s="106"/>
      <c r="L1306" s="213">
        <v>2</v>
      </c>
      <c r="M1306" s="213">
        <v>1</v>
      </c>
      <c r="N1306" s="213">
        <v>0.8</v>
      </c>
      <c r="O1306" s="213">
        <v>0.714285714285714</v>
      </c>
      <c r="P1306" s="108">
        <v>-2</v>
      </c>
      <c r="Q1306" s="108">
        <v>0.666666666666666</v>
      </c>
      <c r="R1306" s="108">
        <v>-2.6</v>
      </c>
      <c r="S1306" s="108">
        <v>-3.71428571428571</v>
      </c>
      <c r="T1306" s="108">
        <v>0</v>
      </c>
      <c r="U1306" s="108">
        <v>0.333333333333333</v>
      </c>
      <c r="V1306" s="108">
        <v>0.2</v>
      </c>
      <c r="W1306" s="108">
        <v>-0.714285714285714</v>
      </c>
    </row>
    <row r="1307" spans="1:23">
      <c r="A1307" s="103">
        <v>45070</v>
      </c>
      <c r="B1307" s="104" t="s">
        <v>19</v>
      </c>
      <c r="C1307" s="107">
        <v>263</v>
      </c>
      <c r="D1307" s="107"/>
      <c r="E1307" s="104">
        <v>11</v>
      </c>
      <c r="F1307" s="106">
        <v>0.0418250950570342</v>
      </c>
      <c r="G1307" s="107">
        <v>4</v>
      </c>
      <c r="H1307" s="106">
        <v>0.363636363636364</v>
      </c>
      <c r="I1307" s="106"/>
      <c r="J1307" s="106"/>
      <c r="K1307" s="106"/>
      <c r="L1307" s="213">
        <v>46</v>
      </c>
      <c r="M1307" s="213">
        <v>-7.66666666666669</v>
      </c>
      <c r="N1307" s="213">
        <v>-17.8</v>
      </c>
      <c r="O1307" s="213">
        <v>-8.28571428571428</v>
      </c>
      <c r="P1307" s="108">
        <v>-4</v>
      </c>
      <c r="Q1307" s="108">
        <v>-1</v>
      </c>
      <c r="R1307" s="108">
        <v>0</v>
      </c>
      <c r="S1307" s="108">
        <v>0.857142857142858</v>
      </c>
      <c r="T1307" s="108">
        <v>-1</v>
      </c>
      <c r="U1307" s="108">
        <v>-2.33333333333333</v>
      </c>
      <c r="V1307" s="108">
        <v>-1.8</v>
      </c>
      <c r="W1307" s="115">
        <v>-1.28571428571429</v>
      </c>
    </row>
    <row r="1308" spans="1:23">
      <c r="A1308" s="103">
        <v>45070</v>
      </c>
      <c r="B1308" s="104" t="s">
        <v>21</v>
      </c>
      <c r="C1308" s="145">
        <v>464</v>
      </c>
      <c r="D1308" s="145"/>
      <c r="E1308" s="104">
        <v>24</v>
      </c>
      <c r="F1308" s="106">
        <v>0.0517241379310345</v>
      </c>
      <c r="G1308" s="107">
        <v>13</v>
      </c>
      <c r="H1308" s="106">
        <v>0.541666666666667</v>
      </c>
      <c r="I1308" s="106"/>
      <c r="J1308" s="106"/>
      <c r="K1308" s="106"/>
      <c r="L1308" s="213">
        <v>131</v>
      </c>
      <c r="M1308" s="213">
        <v>23</v>
      </c>
      <c r="N1308" s="213">
        <v>-15.4</v>
      </c>
      <c r="O1308" s="213">
        <v>-33.5714285714286</v>
      </c>
      <c r="P1308" s="108">
        <v>-1</v>
      </c>
      <c r="Q1308" s="108">
        <v>0.666666666666668</v>
      </c>
      <c r="R1308" s="108">
        <v>-4</v>
      </c>
      <c r="S1308" s="108">
        <v>-4.57142857142857</v>
      </c>
      <c r="T1308" s="108">
        <v>4</v>
      </c>
      <c r="U1308" s="108">
        <v>5</v>
      </c>
      <c r="V1308" s="108">
        <v>3.8</v>
      </c>
      <c r="W1308" s="108">
        <v>3.42857142857143</v>
      </c>
    </row>
    <row r="1309" spans="1:23">
      <c r="A1309" s="103">
        <v>45070</v>
      </c>
      <c r="B1309" s="104" t="s">
        <v>22</v>
      </c>
      <c r="C1309" s="145">
        <v>3585</v>
      </c>
      <c r="D1309" s="145"/>
      <c r="E1309" s="104">
        <v>158</v>
      </c>
      <c r="F1309" s="106">
        <v>0.0440725244072524</v>
      </c>
      <c r="G1309" s="107">
        <v>40</v>
      </c>
      <c r="H1309" s="106">
        <v>0.253164556962025</v>
      </c>
      <c r="I1309" s="106"/>
      <c r="J1309" s="106"/>
      <c r="K1309" s="106"/>
      <c r="L1309" s="213">
        <v>928</v>
      </c>
      <c r="M1309" s="213">
        <v>-81.3333333333335</v>
      </c>
      <c r="N1309" s="213">
        <v>-234.2</v>
      </c>
      <c r="O1309" s="213">
        <v>-173.714285714286</v>
      </c>
      <c r="P1309" s="108">
        <v>-6</v>
      </c>
      <c r="Q1309" s="108">
        <v>-9.66666666666666</v>
      </c>
      <c r="R1309" s="108">
        <v>-9.80000000000001</v>
      </c>
      <c r="S1309" s="115">
        <v>0</v>
      </c>
      <c r="T1309" s="108">
        <v>-16</v>
      </c>
      <c r="U1309" s="108">
        <v>-22.6666666666667</v>
      </c>
      <c r="V1309" s="108">
        <v>-21</v>
      </c>
      <c r="W1309" s="117">
        <v>-17.5714285714286</v>
      </c>
    </row>
    <row r="1310" spans="1:23">
      <c r="A1310" s="103">
        <v>45070</v>
      </c>
      <c r="B1310" s="104" t="s">
        <v>23</v>
      </c>
      <c r="C1310" s="145">
        <v>1918</v>
      </c>
      <c r="D1310" s="145"/>
      <c r="E1310" s="104">
        <v>14</v>
      </c>
      <c r="F1310" s="106">
        <v>0.0072992700729927</v>
      </c>
      <c r="G1310" s="107">
        <v>5</v>
      </c>
      <c r="H1310" s="106">
        <v>0.357142857142857</v>
      </c>
      <c r="I1310" s="106"/>
      <c r="J1310" s="106"/>
      <c r="K1310" s="106"/>
      <c r="L1310" s="213">
        <v>367</v>
      </c>
      <c r="M1310" s="213">
        <v>30</v>
      </c>
      <c r="N1310" s="213">
        <v>126.6</v>
      </c>
      <c r="O1310" s="213">
        <v>51.4285714285713</v>
      </c>
      <c r="P1310" s="108">
        <v>0</v>
      </c>
      <c r="Q1310" s="108">
        <v>1</v>
      </c>
      <c r="R1310" s="108">
        <v>2.2</v>
      </c>
      <c r="S1310" s="108">
        <v>1.57142857142857</v>
      </c>
      <c r="T1310" s="108">
        <v>-2</v>
      </c>
      <c r="U1310" s="116">
        <v>-2</v>
      </c>
      <c r="V1310" s="108">
        <v>-1.2</v>
      </c>
      <c r="W1310" s="108">
        <v>-0.857142857142857</v>
      </c>
    </row>
    <row r="1311" spans="1:23">
      <c r="A1311" s="103">
        <v>45070</v>
      </c>
      <c r="B1311" s="104" t="s">
        <v>24</v>
      </c>
      <c r="C1311" s="145">
        <v>3020</v>
      </c>
      <c r="D1311" s="145"/>
      <c r="E1311" s="104">
        <v>89</v>
      </c>
      <c r="F1311" s="106">
        <v>0.0294701986754967</v>
      </c>
      <c r="G1311" s="107">
        <v>31</v>
      </c>
      <c r="H1311" s="106">
        <v>0.348314606741573</v>
      </c>
      <c r="I1311" s="106"/>
      <c r="J1311" s="106"/>
      <c r="K1311" s="106"/>
      <c r="L1311" s="213">
        <v>840</v>
      </c>
      <c r="M1311" s="213">
        <v>112</v>
      </c>
      <c r="N1311" s="213">
        <v>237.4</v>
      </c>
      <c r="O1311" s="213">
        <v>431.857142857143</v>
      </c>
      <c r="P1311" s="115">
        <v>-14</v>
      </c>
      <c r="Q1311" s="115">
        <v>-11</v>
      </c>
      <c r="R1311" s="115">
        <v>-7.59999999999999</v>
      </c>
      <c r="S1311" s="115">
        <v>-31.8571428571429</v>
      </c>
      <c r="T1311" s="115">
        <v>-3</v>
      </c>
      <c r="U1311" s="115">
        <v>1.33333333333333</v>
      </c>
      <c r="V1311" s="115">
        <v>1.6</v>
      </c>
      <c r="W1311" s="115">
        <v>-6.42857142857143</v>
      </c>
    </row>
    <row r="1312" spans="1:23">
      <c r="A1312" s="103">
        <v>45070</v>
      </c>
      <c r="B1312" s="104" t="s">
        <v>25</v>
      </c>
      <c r="C1312" s="145">
        <v>4098</v>
      </c>
      <c r="D1312" s="145"/>
      <c r="E1312" s="104">
        <v>34</v>
      </c>
      <c r="F1312" s="106">
        <v>0.00829673011224988</v>
      </c>
      <c r="G1312" s="107">
        <v>15</v>
      </c>
      <c r="H1312" s="106">
        <v>0.441176470588235</v>
      </c>
      <c r="I1312" s="106"/>
      <c r="J1312" s="106"/>
      <c r="K1312" s="106"/>
      <c r="L1312" s="213">
        <v>-217</v>
      </c>
      <c r="M1312" s="213">
        <v>207.333333333333</v>
      </c>
      <c r="N1312" s="213">
        <v>606.8</v>
      </c>
      <c r="O1312" s="213">
        <v>91.2857142857142</v>
      </c>
      <c r="P1312" s="116">
        <v>-8</v>
      </c>
      <c r="Q1312" s="115">
        <v>-12.6666666666667</v>
      </c>
      <c r="R1312" s="115">
        <v>-6</v>
      </c>
      <c r="S1312" s="115">
        <v>-1.71428571428572</v>
      </c>
      <c r="T1312" s="108">
        <v>-3</v>
      </c>
      <c r="U1312" s="108">
        <v>-4</v>
      </c>
      <c r="V1312" s="108">
        <v>-3.6</v>
      </c>
      <c r="W1312" s="108">
        <v>-1.85714285714286</v>
      </c>
    </row>
    <row r="1313" spans="1:23">
      <c r="A1313" s="103">
        <v>45070</v>
      </c>
      <c r="B1313" s="104" t="s">
        <v>26</v>
      </c>
      <c r="C1313" s="145">
        <v>1827</v>
      </c>
      <c r="D1313" s="145"/>
      <c r="E1313" s="104">
        <v>12</v>
      </c>
      <c r="F1313" s="106">
        <v>0.00656814449917898</v>
      </c>
      <c r="G1313" s="107">
        <v>1</v>
      </c>
      <c r="H1313" s="106">
        <v>0.0833333333333333</v>
      </c>
      <c r="I1313" s="106"/>
      <c r="J1313" s="106"/>
      <c r="K1313" s="106"/>
      <c r="L1313" s="213">
        <v>124.5</v>
      </c>
      <c r="M1313" s="213">
        <v>-93.5</v>
      </c>
      <c r="N1313" s="213">
        <v>-193.1</v>
      </c>
      <c r="O1313" s="213">
        <v>-80.5</v>
      </c>
      <c r="P1313" s="108">
        <v>2</v>
      </c>
      <c r="Q1313" s="108">
        <v>-5.66666666666667</v>
      </c>
      <c r="R1313" s="108">
        <v>-6</v>
      </c>
      <c r="S1313" s="108">
        <v>-6.85714285714286</v>
      </c>
      <c r="T1313" s="108">
        <v>-4</v>
      </c>
      <c r="U1313" s="108">
        <v>-7</v>
      </c>
      <c r="V1313" s="108">
        <v>-6.2</v>
      </c>
      <c r="W1313" s="108">
        <v>-6.42857142857143</v>
      </c>
    </row>
    <row r="1314" spans="1:23">
      <c r="A1314" s="103">
        <v>45070</v>
      </c>
      <c r="B1314" s="104" t="s">
        <v>27</v>
      </c>
      <c r="C1314" s="145">
        <v>3446</v>
      </c>
      <c r="D1314" s="145"/>
      <c r="E1314" s="104">
        <v>100</v>
      </c>
      <c r="F1314" s="106">
        <v>0.0290191526407429</v>
      </c>
      <c r="G1314" s="107">
        <v>30</v>
      </c>
      <c r="H1314" s="106">
        <v>0.3</v>
      </c>
      <c r="I1314" s="106"/>
      <c r="J1314" s="106"/>
      <c r="K1314" s="106"/>
      <c r="L1314" s="213">
        <v>1645.5</v>
      </c>
      <c r="M1314" s="213">
        <v>647.833333333333</v>
      </c>
      <c r="N1314" s="213">
        <v>870.7</v>
      </c>
      <c r="O1314" s="213">
        <v>1252.5</v>
      </c>
      <c r="P1314" s="108">
        <v>29</v>
      </c>
      <c r="Q1314" s="108">
        <v>20</v>
      </c>
      <c r="R1314" s="108">
        <v>37.2</v>
      </c>
      <c r="S1314" s="108">
        <v>44.4285714285714</v>
      </c>
      <c r="T1314" s="108">
        <v>15</v>
      </c>
      <c r="U1314" s="108">
        <v>9.33333333333333</v>
      </c>
      <c r="V1314" s="108">
        <v>12</v>
      </c>
      <c r="W1314" s="108">
        <v>13</v>
      </c>
    </row>
    <row r="1315" spans="1:23">
      <c r="A1315" s="103">
        <v>45070</v>
      </c>
      <c r="B1315" s="104" t="s">
        <v>28</v>
      </c>
      <c r="C1315" s="145">
        <v>0</v>
      </c>
      <c r="D1315" s="145"/>
      <c r="E1315" s="104">
        <v>0</v>
      </c>
      <c r="F1315" s="106">
        <v>0</v>
      </c>
      <c r="G1315" s="107">
        <v>0</v>
      </c>
      <c r="H1315" s="106">
        <v>0</v>
      </c>
      <c r="I1315" s="106"/>
      <c r="J1315" s="106"/>
      <c r="K1315" s="106"/>
      <c r="L1315" s="213">
        <v>0</v>
      </c>
      <c r="M1315" s="213">
        <v>0</v>
      </c>
      <c r="N1315" s="213">
        <v>0</v>
      </c>
      <c r="O1315" s="213">
        <v>0</v>
      </c>
      <c r="P1315" s="108">
        <v>0</v>
      </c>
      <c r="Q1315" s="108">
        <v>0</v>
      </c>
      <c r="R1315" s="108">
        <v>0</v>
      </c>
      <c r="S1315" s="108">
        <v>0</v>
      </c>
      <c r="T1315" s="108">
        <v>0</v>
      </c>
      <c r="U1315" s="108">
        <v>0</v>
      </c>
      <c r="V1315" s="108">
        <v>0</v>
      </c>
      <c r="W1315" s="108">
        <v>0</v>
      </c>
    </row>
    <row r="1316" spans="1:23">
      <c r="A1316" s="103">
        <v>45070</v>
      </c>
      <c r="B1316" s="104" t="s">
        <v>29</v>
      </c>
      <c r="C1316" s="145">
        <v>0</v>
      </c>
      <c r="D1316" s="145"/>
      <c r="E1316" s="104">
        <v>0</v>
      </c>
      <c r="F1316" s="106">
        <v>0</v>
      </c>
      <c r="G1316" s="107">
        <v>0</v>
      </c>
      <c r="H1316" s="106">
        <v>0</v>
      </c>
      <c r="I1316" s="106"/>
      <c r="J1316" s="106"/>
      <c r="K1316" s="106"/>
      <c r="L1316" s="213">
        <v>0</v>
      </c>
      <c r="M1316" s="213">
        <v>-0.333333333333333</v>
      </c>
      <c r="N1316" s="213">
        <v>-0.6</v>
      </c>
      <c r="O1316" s="213">
        <v>-0.571428571428571</v>
      </c>
      <c r="P1316" s="108">
        <v>-1</v>
      </c>
      <c r="Q1316" s="108">
        <v>-0.333333333333333</v>
      </c>
      <c r="R1316" s="108">
        <v>-0.6</v>
      </c>
      <c r="S1316" s="108">
        <v>-0.428571428571429</v>
      </c>
      <c r="T1316" s="108">
        <v>0</v>
      </c>
      <c r="U1316" s="108">
        <v>0</v>
      </c>
      <c r="V1316" s="108">
        <v>0</v>
      </c>
      <c r="W1316" s="108">
        <v>0</v>
      </c>
    </row>
    <row r="1317" spans="1:23">
      <c r="A1317" s="103">
        <v>45070</v>
      </c>
      <c r="B1317" s="104" t="s">
        <v>30</v>
      </c>
      <c r="C1317" s="145">
        <v>0</v>
      </c>
      <c r="D1317" s="145"/>
      <c r="E1317" s="104">
        <v>0</v>
      </c>
      <c r="F1317" s="106">
        <v>0</v>
      </c>
      <c r="G1317" s="107">
        <v>0</v>
      </c>
      <c r="H1317" s="106">
        <v>0</v>
      </c>
      <c r="I1317" s="106"/>
      <c r="J1317" s="106"/>
      <c r="K1317" s="106"/>
      <c r="L1317" s="213">
        <v>0</v>
      </c>
      <c r="M1317" s="213">
        <v>0</v>
      </c>
      <c r="N1317" s="213">
        <v>0</v>
      </c>
      <c r="O1317" s="213">
        <v>0</v>
      </c>
      <c r="P1317" s="108">
        <v>0</v>
      </c>
      <c r="Q1317" s="108">
        <v>0</v>
      </c>
      <c r="R1317" s="108">
        <v>0</v>
      </c>
      <c r="S1317" s="108">
        <v>0</v>
      </c>
      <c r="T1317" s="108">
        <v>0</v>
      </c>
      <c r="U1317" s="108">
        <v>0</v>
      </c>
      <c r="V1317" s="108">
        <v>0</v>
      </c>
      <c r="W1317" s="108">
        <v>0</v>
      </c>
    </row>
    <row r="1318" spans="1:23">
      <c r="A1318" s="103">
        <v>45070</v>
      </c>
      <c r="B1318" s="104" t="s">
        <v>31</v>
      </c>
      <c r="C1318" s="145">
        <v>0</v>
      </c>
      <c r="D1318" s="145"/>
      <c r="E1318" s="104">
        <v>0</v>
      </c>
      <c r="F1318" s="106">
        <v>0</v>
      </c>
      <c r="G1318" s="107">
        <v>0</v>
      </c>
      <c r="H1318" s="106">
        <v>0</v>
      </c>
      <c r="I1318" s="106"/>
      <c r="J1318" s="106"/>
      <c r="K1318" s="106"/>
      <c r="L1318" s="213">
        <v>0</v>
      </c>
      <c r="M1318" s="213">
        <v>0</v>
      </c>
      <c r="N1318" s="213">
        <v>0</v>
      </c>
      <c r="O1318" s="213">
        <v>0</v>
      </c>
      <c r="P1318" s="108">
        <v>0</v>
      </c>
      <c r="Q1318" s="108">
        <v>0</v>
      </c>
      <c r="R1318" s="108">
        <v>-0.2</v>
      </c>
      <c r="S1318" s="108">
        <v>-0.428571428571429</v>
      </c>
      <c r="T1318" s="108">
        <v>0</v>
      </c>
      <c r="U1318" s="108">
        <v>0</v>
      </c>
      <c r="V1318" s="108">
        <v>0</v>
      </c>
      <c r="W1318" s="108">
        <v>0</v>
      </c>
    </row>
    <row r="1319" spans="1:23">
      <c r="A1319" s="103">
        <v>45070</v>
      </c>
      <c r="B1319" s="104" t="s">
        <v>32</v>
      </c>
      <c r="C1319" s="145">
        <v>0</v>
      </c>
      <c r="D1319" s="145"/>
      <c r="E1319" s="104">
        <v>0</v>
      </c>
      <c r="F1319" s="106">
        <v>0</v>
      </c>
      <c r="G1319" s="107">
        <v>0</v>
      </c>
      <c r="H1319" s="106">
        <v>0</v>
      </c>
      <c r="I1319" s="106"/>
      <c r="J1319" s="106"/>
      <c r="K1319" s="106"/>
      <c r="L1319" s="213">
        <v>0</v>
      </c>
      <c r="M1319" s="213">
        <v>0</v>
      </c>
      <c r="N1319" s="213">
        <v>0</v>
      </c>
      <c r="O1319" s="213">
        <v>0</v>
      </c>
      <c r="P1319" s="108">
        <v>0</v>
      </c>
      <c r="Q1319" s="108">
        <v>0</v>
      </c>
      <c r="R1319" s="108">
        <v>0</v>
      </c>
      <c r="S1319" s="108">
        <v>0</v>
      </c>
      <c r="T1319" s="108">
        <v>0</v>
      </c>
      <c r="U1319" s="108">
        <v>0</v>
      </c>
      <c r="V1319" s="108">
        <v>0</v>
      </c>
      <c r="W1319" s="108">
        <v>0</v>
      </c>
    </row>
    <row r="1320" spans="1:23">
      <c r="A1320" s="103">
        <v>45070</v>
      </c>
      <c r="B1320" s="104" t="s">
        <v>33</v>
      </c>
      <c r="C1320" s="145">
        <v>0</v>
      </c>
      <c r="D1320" s="145"/>
      <c r="E1320" s="104">
        <v>0</v>
      </c>
      <c r="F1320" s="106">
        <v>0</v>
      </c>
      <c r="G1320" s="107">
        <v>0</v>
      </c>
      <c r="H1320" s="106">
        <v>0</v>
      </c>
      <c r="I1320" s="106"/>
      <c r="J1320" s="106"/>
      <c r="K1320" s="106"/>
      <c r="L1320" s="213">
        <v>0</v>
      </c>
      <c r="M1320" s="213">
        <v>0</v>
      </c>
      <c r="N1320" s="213">
        <v>0</v>
      </c>
      <c r="O1320" s="213">
        <v>0</v>
      </c>
      <c r="P1320" s="108">
        <v>0</v>
      </c>
      <c r="Q1320" s="108">
        <v>0</v>
      </c>
      <c r="R1320" s="108">
        <v>-0.2</v>
      </c>
      <c r="S1320" s="108">
        <v>-0.142857142857143</v>
      </c>
      <c r="T1320" s="108">
        <v>0</v>
      </c>
      <c r="U1320" s="108">
        <v>0</v>
      </c>
      <c r="V1320" s="108">
        <v>0</v>
      </c>
      <c r="W1320" s="108">
        <v>0</v>
      </c>
    </row>
    <row r="1321" spans="1:23">
      <c r="A1321" s="103">
        <v>45070</v>
      </c>
      <c r="B1321" s="104" t="s">
        <v>34</v>
      </c>
      <c r="C1321" s="145">
        <v>0</v>
      </c>
      <c r="D1321" s="145"/>
      <c r="E1321" s="104">
        <v>0</v>
      </c>
      <c r="F1321" s="106">
        <v>0</v>
      </c>
      <c r="G1321" s="107">
        <v>0</v>
      </c>
      <c r="H1321" s="106">
        <v>0</v>
      </c>
      <c r="I1321" s="106"/>
      <c r="J1321" s="106"/>
      <c r="K1321" s="106"/>
      <c r="L1321" s="213">
        <v>0</v>
      </c>
      <c r="M1321" s="213">
        <v>0</v>
      </c>
      <c r="N1321" s="213">
        <v>0</v>
      </c>
      <c r="O1321" s="213">
        <v>0</v>
      </c>
      <c r="P1321" s="108">
        <v>0</v>
      </c>
      <c r="Q1321" s="108">
        <v>0</v>
      </c>
      <c r="R1321" s="108">
        <v>0</v>
      </c>
      <c r="S1321" s="108">
        <v>0</v>
      </c>
      <c r="T1321" s="108">
        <v>0</v>
      </c>
      <c r="U1321" s="108">
        <v>0</v>
      </c>
      <c r="V1321" s="108">
        <v>0</v>
      </c>
      <c r="W1321" s="108">
        <v>0</v>
      </c>
    </row>
    <row r="1322" spans="1:23">
      <c r="A1322" s="103">
        <v>45070</v>
      </c>
      <c r="B1322" s="104" t="s">
        <v>35</v>
      </c>
      <c r="C1322" s="145">
        <v>0</v>
      </c>
      <c r="D1322" s="145"/>
      <c r="E1322" s="104">
        <v>0</v>
      </c>
      <c r="F1322" s="106">
        <v>0</v>
      </c>
      <c r="G1322" s="107">
        <v>0</v>
      </c>
      <c r="H1322" s="106">
        <v>0</v>
      </c>
      <c r="I1322" s="106"/>
      <c r="J1322" s="106"/>
      <c r="K1322" s="106"/>
      <c r="L1322" s="213">
        <v>0</v>
      </c>
      <c r="M1322" s="213">
        <v>0</v>
      </c>
      <c r="N1322" s="213">
        <v>0</v>
      </c>
      <c r="O1322" s="213">
        <v>0</v>
      </c>
      <c r="P1322" s="108">
        <v>0</v>
      </c>
      <c r="Q1322" s="108">
        <v>0</v>
      </c>
      <c r="R1322" s="108">
        <v>0</v>
      </c>
      <c r="S1322" s="108">
        <v>0</v>
      </c>
      <c r="T1322" s="108">
        <v>0</v>
      </c>
      <c r="U1322" s="108">
        <v>0</v>
      </c>
      <c r="V1322" s="108">
        <v>0</v>
      </c>
      <c r="W1322" s="108">
        <v>0</v>
      </c>
    </row>
    <row r="1323" spans="1:23">
      <c r="A1323" s="103">
        <v>45070</v>
      </c>
      <c r="B1323" s="104" t="s">
        <v>36</v>
      </c>
      <c r="C1323" s="145">
        <v>0</v>
      </c>
      <c r="D1323" s="145"/>
      <c r="E1323" s="104">
        <v>0</v>
      </c>
      <c r="F1323" s="106">
        <v>0</v>
      </c>
      <c r="G1323" s="107">
        <v>0</v>
      </c>
      <c r="H1323" s="106">
        <v>0</v>
      </c>
      <c r="I1323" s="106"/>
      <c r="J1323" s="106"/>
      <c r="K1323" s="106"/>
      <c r="L1323" s="213">
        <v>0</v>
      </c>
      <c r="M1323" s="213">
        <v>0</v>
      </c>
      <c r="N1323" s="213">
        <v>0</v>
      </c>
      <c r="O1323" s="213">
        <v>0</v>
      </c>
      <c r="P1323" s="108">
        <v>0</v>
      </c>
      <c r="Q1323" s="108">
        <v>0</v>
      </c>
      <c r="R1323" s="108">
        <v>0</v>
      </c>
      <c r="S1323" s="108">
        <v>0</v>
      </c>
      <c r="T1323" s="108">
        <v>0</v>
      </c>
      <c r="U1323" s="108">
        <v>0</v>
      </c>
      <c r="V1323" s="108">
        <v>0</v>
      </c>
      <c r="W1323" s="108">
        <v>0</v>
      </c>
    </row>
    <row r="1324" spans="1:23">
      <c r="A1324" s="103">
        <v>45070</v>
      </c>
      <c r="B1324" s="104" t="s">
        <v>37</v>
      </c>
      <c r="C1324" s="145">
        <v>0</v>
      </c>
      <c r="D1324" s="145"/>
      <c r="E1324" s="104">
        <v>0</v>
      </c>
      <c r="F1324" s="106">
        <v>0</v>
      </c>
      <c r="G1324" s="107">
        <v>0</v>
      </c>
      <c r="H1324" s="106">
        <v>0</v>
      </c>
      <c r="I1324" s="106"/>
      <c r="J1324" s="106"/>
      <c r="K1324" s="106"/>
      <c r="L1324" s="213">
        <v>0</v>
      </c>
      <c r="M1324" s="213">
        <v>0</v>
      </c>
      <c r="N1324" s="213">
        <v>0</v>
      </c>
      <c r="O1324" s="213">
        <v>0</v>
      </c>
      <c r="P1324" s="108">
        <v>-1</v>
      </c>
      <c r="Q1324" s="108">
        <v>-0.666666666666667</v>
      </c>
      <c r="R1324" s="108">
        <v>-0.8</v>
      </c>
      <c r="S1324" s="108">
        <v>-0.714285714285714</v>
      </c>
      <c r="T1324" s="108">
        <v>0</v>
      </c>
      <c r="U1324" s="108">
        <v>0</v>
      </c>
      <c r="V1324" s="108">
        <v>0</v>
      </c>
      <c r="W1324" s="108">
        <v>0</v>
      </c>
    </row>
    <row r="1325" spans="1:23">
      <c r="A1325" s="103">
        <v>45070</v>
      </c>
      <c r="B1325" s="104" t="s">
        <v>38</v>
      </c>
      <c r="C1325" s="145">
        <v>0</v>
      </c>
      <c r="D1325" s="145"/>
      <c r="E1325" s="104">
        <v>0</v>
      </c>
      <c r="F1325" s="106">
        <v>0</v>
      </c>
      <c r="G1325" s="107">
        <v>0</v>
      </c>
      <c r="H1325" s="106">
        <v>0</v>
      </c>
      <c r="I1325" s="106"/>
      <c r="J1325" s="106"/>
      <c r="K1325" s="106"/>
      <c r="L1325" s="213">
        <v>0</v>
      </c>
      <c r="M1325" s="213">
        <v>0</v>
      </c>
      <c r="N1325" s="213">
        <v>0</v>
      </c>
      <c r="O1325" s="213">
        <v>0</v>
      </c>
      <c r="P1325" s="108">
        <v>0</v>
      </c>
      <c r="Q1325" s="108">
        <v>0</v>
      </c>
      <c r="R1325" s="108">
        <v>0</v>
      </c>
      <c r="S1325" s="108">
        <v>0</v>
      </c>
      <c r="T1325" s="108">
        <v>0</v>
      </c>
      <c r="U1325" s="108">
        <v>0</v>
      </c>
      <c r="V1325" s="108">
        <v>0</v>
      </c>
      <c r="W1325" s="108">
        <v>0</v>
      </c>
    </row>
    <row r="1326" spans="1:23">
      <c r="A1326" s="103">
        <v>45070</v>
      </c>
      <c r="B1326" s="111" t="s">
        <v>39</v>
      </c>
      <c r="C1326" s="112">
        <v>18624</v>
      </c>
      <c r="D1326" s="112"/>
      <c r="E1326" s="112">
        <v>453</v>
      </c>
      <c r="F1326" s="113">
        <v>0.0243234536082474</v>
      </c>
      <c r="G1326" s="112">
        <v>143</v>
      </c>
      <c r="H1326" s="113">
        <v>0.315673289183223</v>
      </c>
      <c r="I1326" s="113"/>
      <c r="J1326" s="113"/>
      <c r="K1326" s="113"/>
      <c r="L1326" s="213"/>
      <c r="M1326" s="213"/>
      <c r="N1326" s="213"/>
      <c r="O1326" s="213"/>
      <c r="P1326" s="108"/>
      <c r="Q1326" s="108"/>
      <c r="R1326" s="108"/>
      <c r="S1326" s="108"/>
      <c r="T1326" s="108"/>
      <c r="U1326" s="108"/>
      <c r="V1326" s="108"/>
      <c r="W1326" s="108"/>
    </row>
    <row r="1327" spans="1:23">
      <c r="A1327" s="103">
        <v>45071</v>
      </c>
      <c r="B1327" s="104" t="s">
        <v>17</v>
      </c>
      <c r="C1327" s="105">
        <v>2</v>
      </c>
      <c r="D1327" s="105"/>
      <c r="E1327" s="104">
        <v>4</v>
      </c>
      <c r="F1327" s="106">
        <v>2</v>
      </c>
      <c r="G1327" s="107">
        <v>3</v>
      </c>
      <c r="H1327" s="106">
        <v>0.75</v>
      </c>
      <c r="I1327" s="106"/>
      <c r="J1327" s="106"/>
      <c r="K1327" s="106"/>
      <c r="L1327" s="213">
        <v>-1</v>
      </c>
      <c r="M1327" s="213">
        <v>-0.333333333333333</v>
      </c>
      <c r="N1327" s="213">
        <v>-0.6</v>
      </c>
      <c r="O1327" s="213">
        <v>-0.285714285714286</v>
      </c>
      <c r="P1327" s="108">
        <v>-7</v>
      </c>
      <c r="Q1327" s="108">
        <v>-7.33333333333333</v>
      </c>
      <c r="R1327" s="108">
        <v>-8.2</v>
      </c>
      <c r="S1327" s="108">
        <v>-10</v>
      </c>
      <c r="T1327" s="108">
        <v>-1</v>
      </c>
      <c r="U1327" s="108">
        <v>-0.333333333333333</v>
      </c>
      <c r="V1327" s="108">
        <v>-0.2</v>
      </c>
      <c r="W1327" s="108">
        <v>-1.14285714285714</v>
      </c>
    </row>
    <row r="1328" spans="1:23">
      <c r="A1328" s="103">
        <v>45071</v>
      </c>
      <c r="B1328" s="104" t="s">
        <v>19</v>
      </c>
      <c r="C1328" s="107">
        <v>304</v>
      </c>
      <c r="D1328" s="107"/>
      <c r="E1328" s="104">
        <v>11</v>
      </c>
      <c r="F1328" s="106">
        <v>0.0361842105263158</v>
      </c>
      <c r="G1328" s="107">
        <v>5</v>
      </c>
      <c r="H1328" s="106">
        <v>0.454545454545455</v>
      </c>
      <c r="I1328" s="106"/>
      <c r="J1328" s="106"/>
      <c r="K1328" s="106"/>
      <c r="L1328" s="213">
        <v>41</v>
      </c>
      <c r="M1328" s="213">
        <v>56.3333333333333</v>
      </c>
      <c r="N1328" s="213">
        <v>27.6</v>
      </c>
      <c r="O1328" s="213">
        <v>27.4285714285714</v>
      </c>
      <c r="P1328" s="108">
        <v>0</v>
      </c>
      <c r="Q1328" s="108">
        <v>0</v>
      </c>
      <c r="R1328" s="108">
        <v>-0.6</v>
      </c>
      <c r="S1328" s="108">
        <v>0</v>
      </c>
      <c r="T1328" s="108">
        <v>1</v>
      </c>
      <c r="U1328" s="108">
        <v>-0.333333333333333</v>
      </c>
      <c r="V1328" s="108">
        <v>-0.8</v>
      </c>
      <c r="W1328" s="115">
        <v>-0.428571428571429</v>
      </c>
    </row>
    <row r="1329" spans="1:23">
      <c r="A1329" s="103">
        <v>45071</v>
      </c>
      <c r="B1329" s="104" t="s">
        <v>21</v>
      </c>
      <c r="C1329" s="145">
        <v>446</v>
      </c>
      <c r="D1329" s="145"/>
      <c r="E1329" s="104">
        <v>23</v>
      </c>
      <c r="F1329" s="106">
        <v>0.0515695067264574</v>
      </c>
      <c r="G1329" s="107">
        <v>6</v>
      </c>
      <c r="H1329" s="106">
        <v>0.260869565217391</v>
      </c>
      <c r="I1329" s="106"/>
      <c r="J1329" s="106"/>
      <c r="K1329" s="106"/>
      <c r="L1329" s="213">
        <v>-18</v>
      </c>
      <c r="M1329" s="213">
        <v>22.3333333333333</v>
      </c>
      <c r="N1329" s="213">
        <v>-20</v>
      </c>
      <c r="O1329" s="213">
        <v>-34.1428571428572</v>
      </c>
      <c r="P1329" s="108">
        <v>-1</v>
      </c>
      <c r="Q1329" s="108">
        <v>-1.33333333333333</v>
      </c>
      <c r="R1329" s="108">
        <v>-4.8</v>
      </c>
      <c r="S1329" s="108">
        <v>-4.71428571428572</v>
      </c>
      <c r="T1329" s="108">
        <v>-7</v>
      </c>
      <c r="U1329" s="108">
        <v>-4.33333333333333</v>
      </c>
      <c r="V1329" s="108">
        <v>-4.2</v>
      </c>
      <c r="W1329" s="108">
        <v>-3.57142857142857</v>
      </c>
    </row>
    <row r="1330" spans="1:23">
      <c r="A1330" s="103">
        <v>45071</v>
      </c>
      <c r="B1330" s="104" t="s">
        <v>22</v>
      </c>
      <c r="C1330" s="145">
        <v>3492</v>
      </c>
      <c r="D1330" s="145"/>
      <c r="E1330" s="104">
        <v>149</v>
      </c>
      <c r="F1330" s="106">
        <v>0.0426689576174112</v>
      </c>
      <c r="G1330" s="107">
        <v>55</v>
      </c>
      <c r="H1330" s="106">
        <v>0.369127516778524</v>
      </c>
      <c r="I1330" s="106"/>
      <c r="J1330" s="106"/>
      <c r="K1330" s="106"/>
      <c r="L1330" s="213">
        <v>-93</v>
      </c>
      <c r="M1330" s="213">
        <v>45</v>
      </c>
      <c r="N1330" s="213">
        <v>-294.8</v>
      </c>
      <c r="O1330" s="213">
        <v>-262.571428571428</v>
      </c>
      <c r="P1330" s="108">
        <v>-9</v>
      </c>
      <c r="Q1330" s="108">
        <v>-16</v>
      </c>
      <c r="R1330" s="108">
        <v>-21</v>
      </c>
      <c r="S1330" s="115">
        <v>-12.5714285714286</v>
      </c>
      <c r="T1330" s="108">
        <v>15</v>
      </c>
      <c r="U1330" s="108">
        <v>2</v>
      </c>
      <c r="V1330" s="108">
        <v>-4</v>
      </c>
      <c r="W1330" s="117">
        <v>-1</v>
      </c>
    </row>
    <row r="1331" spans="1:23">
      <c r="A1331" s="103">
        <v>45071</v>
      </c>
      <c r="B1331" s="104" t="s">
        <v>23</v>
      </c>
      <c r="C1331" s="145">
        <v>1968</v>
      </c>
      <c r="D1331" s="145"/>
      <c r="E1331" s="104">
        <v>13</v>
      </c>
      <c r="F1331" s="106">
        <v>0.00660569105691057</v>
      </c>
      <c r="G1331" s="107">
        <v>6</v>
      </c>
      <c r="H1331" s="106">
        <v>0.461538461538462</v>
      </c>
      <c r="I1331" s="106"/>
      <c r="J1331" s="106"/>
      <c r="K1331" s="106"/>
      <c r="L1331" s="213">
        <v>50</v>
      </c>
      <c r="M1331" s="213">
        <v>145.333333333333</v>
      </c>
      <c r="N1331" s="213">
        <v>6.40000000000009</v>
      </c>
      <c r="O1331" s="213">
        <v>132.571428571429</v>
      </c>
      <c r="P1331" s="108">
        <v>-1</v>
      </c>
      <c r="Q1331" s="108">
        <v>-0.333333333333334</v>
      </c>
      <c r="R1331" s="108">
        <v>-0.6</v>
      </c>
      <c r="S1331" s="108">
        <v>1</v>
      </c>
      <c r="T1331" s="108">
        <v>1</v>
      </c>
      <c r="U1331" s="116">
        <v>-1</v>
      </c>
      <c r="V1331" s="108">
        <v>-0.2</v>
      </c>
      <c r="W1331" s="108">
        <v>0</v>
      </c>
    </row>
    <row r="1332" spans="1:23">
      <c r="A1332" s="103">
        <v>45071</v>
      </c>
      <c r="B1332" s="104" t="s">
        <v>24</v>
      </c>
      <c r="C1332" s="145">
        <v>3649</v>
      </c>
      <c r="D1332" s="145"/>
      <c r="E1332" s="104">
        <v>116</v>
      </c>
      <c r="F1332" s="106">
        <v>0.0317895313784598</v>
      </c>
      <c r="G1332" s="107">
        <v>33</v>
      </c>
      <c r="H1332" s="106">
        <v>0.28448275862069</v>
      </c>
      <c r="I1332" s="106"/>
      <c r="J1332" s="106"/>
      <c r="K1332" s="106"/>
      <c r="L1332" s="213">
        <v>629</v>
      </c>
      <c r="M1332" s="213">
        <v>838</v>
      </c>
      <c r="N1332" s="213">
        <v>719.8</v>
      </c>
      <c r="O1332" s="213">
        <v>923.857142857143</v>
      </c>
      <c r="P1332" s="115">
        <v>27</v>
      </c>
      <c r="Q1332" s="115">
        <v>20.3333333333333</v>
      </c>
      <c r="R1332" s="115">
        <v>24.6</v>
      </c>
      <c r="S1332" s="115">
        <v>10.5714285714286</v>
      </c>
      <c r="T1332" s="115">
        <v>2</v>
      </c>
      <c r="U1332" s="115">
        <v>3.66666666666667</v>
      </c>
      <c r="V1332" s="115">
        <v>4</v>
      </c>
      <c r="W1332" s="115">
        <v>-1</v>
      </c>
    </row>
    <row r="1333" spans="1:23">
      <c r="A1333" s="103">
        <v>45071</v>
      </c>
      <c r="B1333" s="104" t="s">
        <v>25</v>
      </c>
      <c r="C1333" s="145">
        <v>1944</v>
      </c>
      <c r="D1333" s="145"/>
      <c r="E1333" s="104">
        <v>29</v>
      </c>
      <c r="F1333" s="106">
        <v>0.014917695473251</v>
      </c>
      <c r="G1333" s="107">
        <v>14</v>
      </c>
      <c r="H1333" s="106">
        <v>0.482758620689655</v>
      </c>
      <c r="I1333" s="106"/>
      <c r="J1333" s="106"/>
      <c r="K1333" s="106"/>
      <c r="L1333" s="213">
        <v>-2154</v>
      </c>
      <c r="M1333" s="213">
        <v>-2006</v>
      </c>
      <c r="N1333" s="213">
        <v>-1703.6</v>
      </c>
      <c r="O1333" s="213">
        <v>-1732.85714285714</v>
      </c>
      <c r="P1333" s="116">
        <v>-5</v>
      </c>
      <c r="Q1333" s="115">
        <v>-12</v>
      </c>
      <c r="R1333" s="115">
        <v>-12.2</v>
      </c>
      <c r="S1333" s="115">
        <v>-7.71428571428572</v>
      </c>
      <c r="T1333" s="108">
        <v>-1</v>
      </c>
      <c r="U1333" s="108">
        <v>-3</v>
      </c>
      <c r="V1333" s="108">
        <v>-4</v>
      </c>
      <c r="W1333" s="108">
        <v>-3.28571428571428</v>
      </c>
    </row>
    <row r="1334" spans="1:23">
      <c r="A1334" s="103">
        <v>45071</v>
      </c>
      <c r="B1334" s="104" t="s">
        <v>26</v>
      </c>
      <c r="C1334" s="145">
        <v>1542</v>
      </c>
      <c r="D1334" s="145"/>
      <c r="E1334" s="104">
        <v>9</v>
      </c>
      <c r="F1334" s="106">
        <v>0.00583657587548638</v>
      </c>
      <c r="G1334" s="107">
        <v>5</v>
      </c>
      <c r="H1334" s="106">
        <v>0.555555555555556</v>
      </c>
      <c r="I1334" s="106"/>
      <c r="J1334" s="106"/>
      <c r="K1334" s="106"/>
      <c r="L1334" s="213">
        <v>-285</v>
      </c>
      <c r="M1334" s="213">
        <v>-285.166666666667</v>
      </c>
      <c r="N1334" s="213">
        <v>-415.7</v>
      </c>
      <c r="O1334" s="213">
        <v>-314.642857142857</v>
      </c>
      <c r="P1334" s="108">
        <v>-3</v>
      </c>
      <c r="Q1334" s="108">
        <v>-6</v>
      </c>
      <c r="R1334" s="108">
        <v>-7.2</v>
      </c>
      <c r="S1334" s="108">
        <v>-7.85714285714286</v>
      </c>
      <c r="T1334" s="108">
        <v>4</v>
      </c>
      <c r="U1334" s="108">
        <v>-0.666666666666667</v>
      </c>
      <c r="V1334" s="108">
        <v>-1.6</v>
      </c>
      <c r="W1334" s="108">
        <v>-1.14285714285714</v>
      </c>
    </row>
    <row r="1335" spans="1:23">
      <c r="A1335" s="103">
        <v>45071</v>
      </c>
      <c r="B1335" s="104" t="s">
        <v>27</v>
      </c>
      <c r="C1335" s="145">
        <v>3750</v>
      </c>
      <c r="D1335" s="145"/>
      <c r="E1335" s="104">
        <v>119</v>
      </c>
      <c r="F1335" s="106">
        <v>0.0317333333333333</v>
      </c>
      <c r="G1335" s="107">
        <v>38</v>
      </c>
      <c r="H1335" s="106">
        <v>0.319327731092437</v>
      </c>
      <c r="I1335" s="106"/>
      <c r="J1335" s="106"/>
      <c r="K1335" s="106"/>
      <c r="L1335" s="213">
        <v>304</v>
      </c>
      <c r="M1335" s="213">
        <v>939.5</v>
      </c>
      <c r="N1335" s="213">
        <v>859.5</v>
      </c>
      <c r="O1335" s="213">
        <v>1220.21428571429</v>
      </c>
      <c r="P1335" s="108">
        <v>19</v>
      </c>
      <c r="Q1335" s="108">
        <v>34</v>
      </c>
      <c r="R1335" s="108">
        <v>40.2</v>
      </c>
      <c r="S1335" s="108">
        <v>54.2857142857143</v>
      </c>
      <c r="T1335" s="108">
        <v>8</v>
      </c>
      <c r="U1335" s="108">
        <v>14.3333333333333</v>
      </c>
      <c r="V1335" s="108">
        <v>16.4</v>
      </c>
      <c r="W1335" s="108">
        <v>19.5714285714286</v>
      </c>
    </row>
    <row r="1336" spans="1:23">
      <c r="A1336" s="103">
        <v>45071</v>
      </c>
      <c r="B1336" s="104" t="s">
        <v>28</v>
      </c>
      <c r="C1336" s="145">
        <v>0</v>
      </c>
      <c r="D1336" s="145"/>
      <c r="E1336" s="104">
        <v>0</v>
      </c>
      <c r="F1336" s="106">
        <v>0</v>
      </c>
      <c r="G1336" s="107">
        <v>0</v>
      </c>
      <c r="H1336" s="106">
        <v>0</v>
      </c>
      <c r="I1336" s="106"/>
      <c r="J1336" s="106"/>
      <c r="K1336" s="106"/>
      <c r="L1336" s="213">
        <v>0</v>
      </c>
      <c r="M1336" s="213">
        <v>0</v>
      </c>
      <c r="N1336" s="213">
        <v>0</v>
      </c>
      <c r="O1336" s="213">
        <v>0</v>
      </c>
      <c r="P1336" s="108">
        <v>0</v>
      </c>
      <c r="Q1336" s="108">
        <v>0</v>
      </c>
      <c r="R1336" s="108">
        <v>0</v>
      </c>
      <c r="S1336" s="108">
        <v>0</v>
      </c>
      <c r="T1336" s="108">
        <v>0</v>
      </c>
      <c r="U1336" s="108">
        <v>0</v>
      </c>
      <c r="V1336" s="108">
        <v>0</v>
      </c>
      <c r="W1336" s="108">
        <v>0</v>
      </c>
    </row>
    <row r="1337" spans="1:23">
      <c r="A1337" s="103">
        <v>45071</v>
      </c>
      <c r="B1337" s="104" t="s">
        <v>29</v>
      </c>
      <c r="C1337" s="145">
        <v>0</v>
      </c>
      <c r="D1337" s="145"/>
      <c r="E1337" s="104">
        <v>0</v>
      </c>
      <c r="F1337" s="106">
        <v>0</v>
      </c>
      <c r="G1337" s="107">
        <v>0</v>
      </c>
      <c r="H1337" s="106">
        <v>0</v>
      </c>
      <c r="I1337" s="106"/>
      <c r="J1337" s="106"/>
      <c r="K1337" s="106"/>
      <c r="L1337" s="213">
        <v>0</v>
      </c>
      <c r="M1337" s="213">
        <v>-0.333333333333333</v>
      </c>
      <c r="N1337" s="213">
        <v>-0.4</v>
      </c>
      <c r="O1337" s="213">
        <v>-0.428571428571429</v>
      </c>
      <c r="P1337" s="108">
        <v>0</v>
      </c>
      <c r="Q1337" s="108">
        <v>-0.333333333333333</v>
      </c>
      <c r="R1337" s="108">
        <v>-0.4</v>
      </c>
      <c r="S1337" s="108">
        <v>-0.428571428571429</v>
      </c>
      <c r="T1337" s="108">
        <v>0</v>
      </c>
      <c r="U1337" s="108">
        <v>0</v>
      </c>
      <c r="V1337" s="108">
        <v>0</v>
      </c>
      <c r="W1337" s="108">
        <v>0</v>
      </c>
    </row>
    <row r="1338" spans="1:23">
      <c r="A1338" s="103">
        <v>45071</v>
      </c>
      <c r="B1338" s="104" t="s">
        <v>30</v>
      </c>
      <c r="C1338" s="145">
        <v>0</v>
      </c>
      <c r="D1338" s="145"/>
      <c r="E1338" s="104">
        <v>0</v>
      </c>
      <c r="F1338" s="106">
        <v>0</v>
      </c>
      <c r="G1338" s="107">
        <v>0</v>
      </c>
      <c r="H1338" s="106">
        <v>0</v>
      </c>
      <c r="I1338" s="106"/>
      <c r="J1338" s="106"/>
      <c r="K1338" s="106"/>
      <c r="L1338" s="213">
        <v>0</v>
      </c>
      <c r="M1338" s="213">
        <v>0</v>
      </c>
      <c r="N1338" s="213">
        <v>0</v>
      </c>
      <c r="O1338" s="213">
        <v>0</v>
      </c>
      <c r="P1338" s="108">
        <v>0</v>
      </c>
      <c r="Q1338" s="108">
        <v>0</v>
      </c>
      <c r="R1338" s="108">
        <v>0</v>
      </c>
      <c r="S1338" s="108">
        <v>0</v>
      </c>
      <c r="T1338" s="108">
        <v>0</v>
      </c>
      <c r="U1338" s="108">
        <v>0</v>
      </c>
      <c r="V1338" s="108">
        <v>0</v>
      </c>
      <c r="W1338" s="108">
        <v>0</v>
      </c>
    </row>
    <row r="1339" spans="1:23">
      <c r="A1339" s="103">
        <v>45071</v>
      </c>
      <c r="B1339" s="104" t="s">
        <v>31</v>
      </c>
      <c r="C1339" s="145">
        <v>0</v>
      </c>
      <c r="D1339" s="145"/>
      <c r="E1339" s="104">
        <v>0</v>
      </c>
      <c r="F1339" s="106">
        <v>0</v>
      </c>
      <c r="G1339" s="107">
        <v>0</v>
      </c>
      <c r="H1339" s="106">
        <v>0</v>
      </c>
      <c r="I1339" s="106"/>
      <c r="J1339" s="106"/>
      <c r="K1339" s="106"/>
      <c r="L1339" s="213">
        <v>0</v>
      </c>
      <c r="M1339" s="213">
        <v>0</v>
      </c>
      <c r="N1339" s="213">
        <v>0</v>
      </c>
      <c r="O1339" s="213">
        <v>0</v>
      </c>
      <c r="P1339" s="108">
        <v>0</v>
      </c>
      <c r="Q1339" s="108">
        <v>0</v>
      </c>
      <c r="R1339" s="108">
        <v>-0.2</v>
      </c>
      <c r="S1339" s="108">
        <v>-0.428571428571429</v>
      </c>
      <c r="T1339" s="108">
        <v>0</v>
      </c>
      <c r="U1339" s="108">
        <v>0</v>
      </c>
      <c r="V1339" s="108">
        <v>0</v>
      </c>
      <c r="W1339" s="108">
        <v>0</v>
      </c>
    </row>
    <row r="1340" spans="1:23">
      <c r="A1340" s="103">
        <v>45071</v>
      </c>
      <c r="B1340" s="104" t="s">
        <v>32</v>
      </c>
      <c r="C1340" s="145">
        <v>0</v>
      </c>
      <c r="D1340" s="145"/>
      <c r="E1340" s="104">
        <v>0</v>
      </c>
      <c r="F1340" s="106">
        <v>0</v>
      </c>
      <c r="G1340" s="107">
        <v>0</v>
      </c>
      <c r="H1340" s="106">
        <v>0</v>
      </c>
      <c r="I1340" s="106"/>
      <c r="J1340" s="106"/>
      <c r="K1340" s="106"/>
      <c r="L1340" s="213">
        <v>0</v>
      </c>
      <c r="M1340" s="213">
        <v>0</v>
      </c>
      <c r="N1340" s="213">
        <v>0</v>
      </c>
      <c r="O1340" s="213">
        <v>0</v>
      </c>
      <c r="P1340" s="108">
        <v>0</v>
      </c>
      <c r="Q1340" s="108">
        <v>0</v>
      </c>
      <c r="R1340" s="108">
        <v>0</v>
      </c>
      <c r="S1340" s="108">
        <v>0</v>
      </c>
      <c r="T1340" s="108">
        <v>0</v>
      </c>
      <c r="U1340" s="108">
        <v>0</v>
      </c>
      <c r="V1340" s="108">
        <v>0</v>
      </c>
      <c r="W1340" s="108">
        <v>0</v>
      </c>
    </row>
    <row r="1341" spans="1:23">
      <c r="A1341" s="103">
        <v>45071</v>
      </c>
      <c r="B1341" s="104" t="s">
        <v>33</v>
      </c>
      <c r="C1341" s="145">
        <v>0</v>
      </c>
      <c r="D1341" s="145"/>
      <c r="E1341" s="104">
        <v>0</v>
      </c>
      <c r="F1341" s="106">
        <v>0</v>
      </c>
      <c r="G1341" s="107">
        <v>0</v>
      </c>
      <c r="H1341" s="106">
        <v>0</v>
      </c>
      <c r="I1341" s="106"/>
      <c r="J1341" s="106"/>
      <c r="K1341" s="106"/>
      <c r="L1341" s="213">
        <v>0</v>
      </c>
      <c r="M1341" s="213">
        <v>0</v>
      </c>
      <c r="N1341" s="213">
        <v>0</v>
      </c>
      <c r="O1341" s="213">
        <v>0</v>
      </c>
      <c r="P1341" s="108">
        <v>0</v>
      </c>
      <c r="Q1341" s="108">
        <v>0</v>
      </c>
      <c r="R1341" s="108">
        <v>0</v>
      </c>
      <c r="S1341" s="108">
        <v>-0.142857142857143</v>
      </c>
      <c r="T1341" s="108">
        <v>0</v>
      </c>
      <c r="U1341" s="108">
        <v>0</v>
      </c>
      <c r="V1341" s="108">
        <v>0</v>
      </c>
      <c r="W1341" s="108">
        <v>0</v>
      </c>
    </row>
    <row r="1342" spans="1:23">
      <c r="A1342" s="103">
        <v>45071</v>
      </c>
      <c r="B1342" s="104" t="s">
        <v>34</v>
      </c>
      <c r="C1342" s="145">
        <v>0</v>
      </c>
      <c r="D1342" s="145"/>
      <c r="E1342" s="104">
        <v>0</v>
      </c>
      <c r="F1342" s="106">
        <v>0</v>
      </c>
      <c r="G1342" s="107">
        <v>0</v>
      </c>
      <c r="H1342" s="106">
        <v>0</v>
      </c>
      <c r="I1342" s="106"/>
      <c r="J1342" s="106"/>
      <c r="K1342" s="106"/>
      <c r="L1342" s="213">
        <v>0</v>
      </c>
      <c r="M1342" s="213">
        <v>0</v>
      </c>
      <c r="N1342" s="213">
        <v>0</v>
      </c>
      <c r="O1342" s="213">
        <v>0</v>
      </c>
      <c r="P1342" s="108">
        <v>0</v>
      </c>
      <c r="Q1342" s="108">
        <v>0</v>
      </c>
      <c r="R1342" s="108">
        <v>0</v>
      </c>
      <c r="S1342" s="108">
        <v>0</v>
      </c>
      <c r="T1342" s="108">
        <v>0</v>
      </c>
      <c r="U1342" s="108">
        <v>0</v>
      </c>
      <c r="V1342" s="108">
        <v>0</v>
      </c>
      <c r="W1342" s="108">
        <v>0</v>
      </c>
    </row>
    <row r="1343" spans="1:23">
      <c r="A1343" s="103">
        <v>45071</v>
      </c>
      <c r="B1343" s="104" t="s">
        <v>35</v>
      </c>
      <c r="C1343" s="145">
        <v>0</v>
      </c>
      <c r="D1343" s="145"/>
      <c r="E1343" s="104">
        <v>0</v>
      </c>
      <c r="F1343" s="106">
        <v>0</v>
      </c>
      <c r="G1343" s="107">
        <v>0</v>
      </c>
      <c r="H1343" s="106">
        <v>0</v>
      </c>
      <c r="I1343" s="106"/>
      <c r="J1343" s="106"/>
      <c r="K1343" s="106"/>
      <c r="L1343" s="213">
        <v>0</v>
      </c>
      <c r="M1343" s="213">
        <v>0</v>
      </c>
      <c r="N1343" s="213">
        <v>0</v>
      </c>
      <c r="O1343" s="213">
        <v>0</v>
      </c>
      <c r="P1343" s="108">
        <v>0</v>
      </c>
      <c r="Q1343" s="108">
        <v>0</v>
      </c>
      <c r="R1343" s="108">
        <v>0</v>
      </c>
      <c r="S1343" s="108">
        <v>0</v>
      </c>
      <c r="T1343" s="108">
        <v>0</v>
      </c>
      <c r="U1343" s="108">
        <v>0</v>
      </c>
      <c r="V1343" s="108">
        <v>0</v>
      </c>
      <c r="W1343" s="108">
        <v>0</v>
      </c>
    </row>
    <row r="1344" spans="1:23">
      <c r="A1344" s="103">
        <v>45071</v>
      </c>
      <c r="B1344" s="104" t="s">
        <v>36</v>
      </c>
      <c r="C1344" s="145">
        <v>0</v>
      </c>
      <c r="D1344" s="145"/>
      <c r="E1344" s="104">
        <v>0</v>
      </c>
      <c r="F1344" s="106">
        <v>0</v>
      </c>
      <c r="G1344" s="107">
        <v>0</v>
      </c>
      <c r="H1344" s="106">
        <v>0</v>
      </c>
      <c r="I1344" s="106"/>
      <c r="J1344" s="106"/>
      <c r="K1344" s="106"/>
      <c r="L1344" s="213">
        <v>0</v>
      </c>
      <c r="M1344" s="213">
        <v>0</v>
      </c>
      <c r="N1344" s="213">
        <v>0</v>
      </c>
      <c r="O1344" s="213">
        <v>0</v>
      </c>
      <c r="P1344" s="108">
        <v>0</v>
      </c>
      <c r="Q1344" s="108">
        <v>0</v>
      </c>
      <c r="R1344" s="108">
        <v>0</v>
      </c>
      <c r="S1344" s="108">
        <v>0</v>
      </c>
      <c r="T1344" s="108">
        <v>0</v>
      </c>
      <c r="U1344" s="108">
        <v>0</v>
      </c>
      <c r="V1344" s="108">
        <v>0</v>
      </c>
      <c r="W1344" s="108">
        <v>0</v>
      </c>
    </row>
    <row r="1345" spans="1:23">
      <c r="A1345" s="103">
        <v>45071</v>
      </c>
      <c r="B1345" s="104" t="s">
        <v>37</v>
      </c>
      <c r="C1345" s="145">
        <v>0</v>
      </c>
      <c r="D1345" s="145"/>
      <c r="E1345" s="104">
        <v>0</v>
      </c>
      <c r="F1345" s="106">
        <v>0</v>
      </c>
      <c r="G1345" s="107">
        <v>0</v>
      </c>
      <c r="H1345" s="106">
        <v>0</v>
      </c>
      <c r="I1345" s="106"/>
      <c r="J1345" s="106"/>
      <c r="K1345" s="106"/>
      <c r="L1345" s="213">
        <v>0</v>
      </c>
      <c r="M1345" s="213">
        <v>0</v>
      </c>
      <c r="N1345" s="213">
        <v>0</v>
      </c>
      <c r="O1345" s="213">
        <v>0</v>
      </c>
      <c r="P1345" s="108">
        <v>0</v>
      </c>
      <c r="Q1345" s="108">
        <v>-0.666666666666667</v>
      </c>
      <c r="R1345" s="108">
        <v>-0.4</v>
      </c>
      <c r="S1345" s="108">
        <v>-0.571428571428571</v>
      </c>
      <c r="T1345" s="108">
        <v>0</v>
      </c>
      <c r="U1345" s="108">
        <v>0</v>
      </c>
      <c r="V1345" s="108">
        <v>0</v>
      </c>
      <c r="W1345" s="108">
        <v>0</v>
      </c>
    </row>
    <row r="1346" spans="1:23">
      <c r="A1346" s="103">
        <v>45071</v>
      </c>
      <c r="B1346" s="104" t="s">
        <v>38</v>
      </c>
      <c r="C1346" s="145">
        <v>0</v>
      </c>
      <c r="D1346" s="145"/>
      <c r="E1346" s="104">
        <v>0</v>
      </c>
      <c r="F1346" s="106">
        <v>0</v>
      </c>
      <c r="G1346" s="107">
        <v>0</v>
      </c>
      <c r="H1346" s="106">
        <v>0</v>
      </c>
      <c r="I1346" s="106"/>
      <c r="J1346" s="106"/>
      <c r="K1346" s="106"/>
      <c r="L1346" s="213">
        <v>0</v>
      </c>
      <c r="M1346" s="213">
        <v>0</v>
      </c>
      <c r="N1346" s="213">
        <v>0</v>
      </c>
      <c r="O1346" s="213">
        <v>0</v>
      </c>
      <c r="P1346" s="108">
        <v>0</v>
      </c>
      <c r="Q1346" s="108">
        <v>0</v>
      </c>
      <c r="R1346" s="108">
        <v>0</v>
      </c>
      <c r="S1346" s="108">
        <v>0</v>
      </c>
      <c r="T1346" s="108">
        <v>0</v>
      </c>
      <c r="U1346" s="108">
        <v>0</v>
      </c>
      <c r="V1346" s="108">
        <v>0</v>
      </c>
      <c r="W1346" s="108">
        <v>0</v>
      </c>
    </row>
    <row r="1347" spans="1:23">
      <c r="A1347" s="103">
        <v>45071</v>
      </c>
      <c r="B1347" s="111" t="s">
        <v>39</v>
      </c>
      <c r="C1347" s="112">
        <v>17097</v>
      </c>
      <c r="D1347" s="112"/>
      <c r="E1347" s="112">
        <v>473</v>
      </c>
      <c r="F1347" s="113">
        <v>0.0276656723401766</v>
      </c>
      <c r="G1347" s="112">
        <v>165</v>
      </c>
      <c r="H1347" s="113">
        <v>0.348837209302326</v>
      </c>
      <c r="I1347" s="113"/>
      <c r="J1347" s="113"/>
      <c r="K1347" s="113"/>
      <c r="L1347" s="213"/>
      <c r="M1347" s="213"/>
      <c r="N1347" s="213"/>
      <c r="O1347" s="213"/>
      <c r="P1347" s="108"/>
      <c r="Q1347" s="108"/>
      <c r="R1347" s="108"/>
      <c r="S1347" s="108"/>
      <c r="T1347" s="108"/>
      <c r="U1347" s="108"/>
      <c r="V1347" s="108"/>
      <c r="W1347" s="108"/>
    </row>
    <row r="1348" spans="1:23">
      <c r="A1348" s="103">
        <v>45072</v>
      </c>
      <c r="B1348" s="104" t="s">
        <v>17</v>
      </c>
      <c r="C1348" s="105">
        <v>1</v>
      </c>
      <c r="D1348" s="105"/>
      <c r="E1348" s="104">
        <v>5</v>
      </c>
      <c r="F1348" s="106">
        <v>5</v>
      </c>
      <c r="G1348" s="107">
        <v>1</v>
      </c>
      <c r="H1348" s="106">
        <v>0.2</v>
      </c>
      <c r="I1348" s="106"/>
      <c r="J1348" s="106"/>
      <c r="K1348" s="106"/>
      <c r="L1348" s="213">
        <v>-1</v>
      </c>
      <c r="M1348" s="213">
        <v>-1</v>
      </c>
      <c r="N1348" s="213">
        <v>-1.2</v>
      </c>
      <c r="O1348" s="213">
        <v>-1.28571428571429</v>
      </c>
      <c r="P1348" s="108">
        <v>1</v>
      </c>
      <c r="Q1348" s="108">
        <v>-4.33333333333333</v>
      </c>
      <c r="R1348" s="108">
        <v>-4.2</v>
      </c>
      <c r="S1348" s="108">
        <v>-6.85714285714286</v>
      </c>
      <c r="T1348" s="108">
        <v>-2</v>
      </c>
      <c r="U1348" s="108">
        <v>-2.66666666666667</v>
      </c>
      <c r="V1348" s="108">
        <v>-2.6</v>
      </c>
      <c r="W1348" s="108">
        <v>-2.71428571428571</v>
      </c>
    </row>
    <row r="1349" spans="1:23">
      <c r="A1349" s="103">
        <v>45072</v>
      </c>
      <c r="B1349" s="104" t="s">
        <v>19</v>
      </c>
      <c r="C1349" s="107">
        <v>324</v>
      </c>
      <c r="D1349" s="107"/>
      <c r="E1349" s="104">
        <v>13</v>
      </c>
      <c r="F1349" s="106">
        <v>0.0401234567901235</v>
      </c>
      <c r="G1349" s="107">
        <v>3</v>
      </c>
      <c r="H1349" s="106">
        <v>0.230769230769231</v>
      </c>
      <c r="I1349" s="106"/>
      <c r="J1349" s="106"/>
      <c r="K1349" s="106"/>
      <c r="L1349" s="213">
        <v>20</v>
      </c>
      <c r="M1349" s="213">
        <v>62.6666666666667</v>
      </c>
      <c r="N1349" s="213">
        <v>48.2</v>
      </c>
      <c r="O1349" s="213">
        <v>42.4285714285714</v>
      </c>
      <c r="P1349" s="108">
        <v>2</v>
      </c>
      <c r="Q1349" s="108">
        <v>0.666666666666666</v>
      </c>
      <c r="R1349" s="108">
        <v>1.4</v>
      </c>
      <c r="S1349" s="108">
        <v>2</v>
      </c>
      <c r="T1349" s="108">
        <v>-2</v>
      </c>
      <c r="U1349" s="108">
        <v>-1.66666666666667</v>
      </c>
      <c r="V1349" s="108">
        <v>-2.6</v>
      </c>
      <c r="W1349" s="115">
        <v>-2.42857142857143</v>
      </c>
    </row>
    <row r="1350" spans="1:23">
      <c r="A1350" s="103">
        <v>45072</v>
      </c>
      <c r="B1350" s="104" t="s">
        <v>21</v>
      </c>
      <c r="C1350" s="145">
        <v>496</v>
      </c>
      <c r="D1350" s="145"/>
      <c r="E1350" s="104">
        <v>24</v>
      </c>
      <c r="F1350" s="106">
        <v>0.0483870967741935</v>
      </c>
      <c r="G1350" s="107">
        <v>10</v>
      </c>
      <c r="H1350" s="106">
        <v>0.416666666666667</v>
      </c>
      <c r="I1350" s="106"/>
      <c r="J1350" s="106"/>
      <c r="K1350" s="106"/>
      <c r="L1350" s="213">
        <v>50</v>
      </c>
      <c r="M1350" s="213">
        <v>81.6666666666667</v>
      </c>
      <c r="N1350" s="213">
        <v>49.4</v>
      </c>
      <c r="O1350" s="213">
        <v>23.5714285714286</v>
      </c>
      <c r="P1350" s="108">
        <v>1</v>
      </c>
      <c r="Q1350" s="108">
        <v>0</v>
      </c>
      <c r="R1350" s="108">
        <v>0.600000000000001</v>
      </c>
      <c r="S1350" s="108">
        <v>-2.71428571428572</v>
      </c>
      <c r="T1350" s="108">
        <v>4</v>
      </c>
      <c r="U1350" s="108">
        <v>0.666666666666666</v>
      </c>
      <c r="V1350" s="108">
        <v>1.4</v>
      </c>
      <c r="W1350" s="108">
        <v>0.714285714285714</v>
      </c>
    </row>
    <row r="1351" spans="1:23">
      <c r="A1351" s="103">
        <v>45072</v>
      </c>
      <c r="B1351" s="104" t="s">
        <v>22</v>
      </c>
      <c r="C1351" s="145">
        <v>3908</v>
      </c>
      <c r="D1351" s="145"/>
      <c r="E1351" s="104">
        <v>135</v>
      </c>
      <c r="F1351" s="106">
        <v>0.0345445240532242</v>
      </c>
      <c r="G1351" s="107">
        <v>44</v>
      </c>
      <c r="H1351" s="106">
        <v>0.325925925925926</v>
      </c>
      <c r="I1351" s="106"/>
      <c r="J1351" s="106"/>
      <c r="K1351" s="106"/>
      <c r="L1351" s="213">
        <v>416</v>
      </c>
      <c r="M1351" s="213">
        <v>663.333333333333</v>
      </c>
      <c r="N1351" s="213">
        <v>292.8</v>
      </c>
      <c r="O1351" s="213">
        <v>169</v>
      </c>
      <c r="P1351" s="108">
        <v>-14</v>
      </c>
      <c r="Q1351" s="108">
        <v>-22</v>
      </c>
      <c r="R1351" s="108">
        <v>-27</v>
      </c>
      <c r="S1351" s="115">
        <v>-28.7142857142857</v>
      </c>
      <c r="T1351" s="108">
        <v>-11</v>
      </c>
      <c r="U1351" s="108">
        <v>-6.33333333333334</v>
      </c>
      <c r="V1351" s="108">
        <v>-12.6</v>
      </c>
      <c r="W1351" s="117">
        <v>-13.1428571428571</v>
      </c>
    </row>
    <row r="1352" spans="1:23">
      <c r="A1352" s="103">
        <v>45072</v>
      </c>
      <c r="B1352" s="104" t="s">
        <v>23</v>
      </c>
      <c r="C1352" s="145">
        <v>1969</v>
      </c>
      <c r="D1352" s="145"/>
      <c r="E1352" s="104">
        <v>17</v>
      </c>
      <c r="F1352" s="106">
        <v>0.00863382427628238</v>
      </c>
      <c r="G1352" s="107">
        <v>6</v>
      </c>
      <c r="H1352" s="106">
        <v>0.352941176470588</v>
      </c>
      <c r="I1352" s="106"/>
      <c r="J1352" s="106"/>
      <c r="K1352" s="106"/>
      <c r="L1352" s="213">
        <v>1</v>
      </c>
      <c r="M1352" s="213">
        <v>156.666666666667</v>
      </c>
      <c r="N1352" s="213">
        <v>59</v>
      </c>
      <c r="O1352" s="213">
        <v>134.285714285714</v>
      </c>
      <c r="P1352" s="108">
        <v>4</v>
      </c>
      <c r="Q1352" s="108">
        <v>3.33333333333333</v>
      </c>
      <c r="R1352" s="108">
        <v>3.8</v>
      </c>
      <c r="S1352" s="108">
        <v>4.71428571428571</v>
      </c>
      <c r="T1352" s="108">
        <v>0</v>
      </c>
      <c r="U1352" s="116">
        <v>0</v>
      </c>
      <c r="V1352" s="108">
        <v>-0.4</v>
      </c>
      <c r="W1352" s="108">
        <v>0</v>
      </c>
    </row>
    <row r="1353" spans="1:23">
      <c r="A1353" s="103">
        <v>45072</v>
      </c>
      <c r="B1353" s="104" t="s">
        <v>24</v>
      </c>
      <c r="C1353" s="145">
        <v>4093</v>
      </c>
      <c r="D1353" s="145"/>
      <c r="E1353" s="104">
        <v>132</v>
      </c>
      <c r="F1353" s="106">
        <v>0.0322501832396775</v>
      </c>
      <c r="G1353" s="107">
        <v>33</v>
      </c>
      <c r="H1353" s="106">
        <v>0.25</v>
      </c>
      <c r="I1353" s="106"/>
      <c r="J1353" s="106"/>
      <c r="K1353" s="106"/>
      <c r="L1353" s="213">
        <v>444</v>
      </c>
      <c r="M1353" s="213">
        <v>1143.33333333333</v>
      </c>
      <c r="N1353" s="213">
        <v>1014.4</v>
      </c>
      <c r="O1353" s="213">
        <v>1152.71428571429</v>
      </c>
      <c r="P1353" s="115">
        <v>16</v>
      </c>
      <c r="Q1353" s="115">
        <v>29.3333333333333</v>
      </c>
      <c r="R1353" s="115">
        <v>31</v>
      </c>
      <c r="S1353" s="115">
        <v>33.7142857142857</v>
      </c>
      <c r="T1353" s="115">
        <v>0</v>
      </c>
      <c r="U1353" s="115">
        <v>0.333333333333336</v>
      </c>
      <c r="V1353" s="115">
        <v>2.4</v>
      </c>
      <c r="W1353" s="115">
        <v>2.85714285714286</v>
      </c>
    </row>
    <row r="1354" spans="1:23">
      <c r="A1354" s="103">
        <v>45072</v>
      </c>
      <c r="B1354" s="104" t="s">
        <v>25</v>
      </c>
      <c r="C1354" s="145">
        <v>2124</v>
      </c>
      <c r="D1354" s="145"/>
      <c r="E1354" s="104">
        <v>25</v>
      </c>
      <c r="F1354" s="106">
        <v>0.0117702448210923</v>
      </c>
      <c r="G1354" s="107">
        <v>9</v>
      </c>
      <c r="H1354" s="106">
        <v>0.36</v>
      </c>
      <c r="I1354" s="106"/>
      <c r="J1354" s="106"/>
      <c r="K1354" s="106"/>
      <c r="L1354" s="213">
        <v>180</v>
      </c>
      <c r="M1354" s="213">
        <v>-1328.33333333333</v>
      </c>
      <c r="N1354" s="213">
        <v>-1418.8</v>
      </c>
      <c r="O1354" s="213">
        <v>-1232.85714285714</v>
      </c>
      <c r="P1354" s="116">
        <v>-4</v>
      </c>
      <c r="Q1354" s="115">
        <v>-10</v>
      </c>
      <c r="R1354" s="115">
        <v>-15.6</v>
      </c>
      <c r="S1354" s="115">
        <v>-12.5714285714286</v>
      </c>
      <c r="T1354" s="108">
        <v>-5</v>
      </c>
      <c r="U1354" s="108">
        <v>-6.66666666666667</v>
      </c>
      <c r="V1354" s="108">
        <v>-8.2</v>
      </c>
      <c r="W1354" s="108">
        <v>-8.42857142857143</v>
      </c>
    </row>
    <row r="1355" spans="1:23">
      <c r="A1355" s="103">
        <v>45072</v>
      </c>
      <c r="B1355" s="104" t="s">
        <v>26</v>
      </c>
      <c r="C1355" s="145">
        <v>1549</v>
      </c>
      <c r="D1355" s="145"/>
      <c r="E1355" s="104">
        <v>5</v>
      </c>
      <c r="F1355" s="106">
        <v>0.00322788896061975</v>
      </c>
      <c r="G1355" s="107">
        <v>6</v>
      </c>
      <c r="H1355" s="106">
        <v>1.2</v>
      </c>
      <c r="I1355" s="106"/>
      <c r="J1355" s="106"/>
      <c r="K1355" s="106"/>
      <c r="L1355" s="213">
        <v>7</v>
      </c>
      <c r="M1355" s="213">
        <v>-141.5</v>
      </c>
      <c r="N1355" s="213">
        <v>-277.1</v>
      </c>
      <c r="O1355" s="213">
        <v>-375.214285714286</v>
      </c>
      <c r="P1355" s="108">
        <v>-4</v>
      </c>
      <c r="Q1355" s="108">
        <v>-5.33333333333333</v>
      </c>
      <c r="R1355" s="108">
        <v>-9.8</v>
      </c>
      <c r="S1355" s="108">
        <v>-10.8571428571429</v>
      </c>
      <c r="T1355" s="108">
        <v>1</v>
      </c>
      <c r="U1355" s="108">
        <v>2.33333333333333</v>
      </c>
      <c r="V1355" s="108">
        <v>0</v>
      </c>
      <c r="W1355" s="108">
        <v>0</v>
      </c>
    </row>
    <row r="1356" spans="1:23">
      <c r="A1356" s="103">
        <v>45072</v>
      </c>
      <c r="B1356" s="104" t="s">
        <v>27</v>
      </c>
      <c r="C1356" s="145">
        <v>4866</v>
      </c>
      <c r="D1356" s="145"/>
      <c r="E1356" s="104">
        <v>113</v>
      </c>
      <c r="F1356" s="106">
        <v>0.0232223592272914</v>
      </c>
      <c r="G1356" s="107">
        <v>23</v>
      </c>
      <c r="H1356" s="106">
        <v>0.20353982300885</v>
      </c>
      <c r="I1356" s="106"/>
      <c r="J1356" s="106"/>
      <c r="K1356" s="106"/>
      <c r="L1356" s="213">
        <v>1116</v>
      </c>
      <c r="M1356" s="213">
        <v>1867.16666666667</v>
      </c>
      <c r="N1356" s="213">
        <v>1747.9</v>
      </c>
      <c r="O1356" s="213">
        <v>1998.5</v>
      </c>
      <c r="P1356" s="108">
        <v>-6</v>
      </c>
      <c r="Q1356" s="108">
        <v>16.3333333333333</v>
      </c>
      <c r="R1356" s="108">
        <v>21.2</v>
      </c>
      <c r="S1356" s="108">
        <v>36.8571428571429</v>
      </c>
      <c r="T1356" s="108">
        <v>-15</v>
      </c>
      <c r="U1356" s="108">
        <v>-4.66666666666667</v>
      </c>
      <c r="V1356" s="108">
        <v>-3</v>
      </c>
      <c r="W1356" s="108">
        <v>0.428571428571427</v>
      </c>
    </row>
    <row r="1357" spans="1:23">
      <c r="A1357" s="103">
        <v>45072</v>
      </c>
      <c r="B1357" s="104" t="s">
        <v>28</v>
      </c>
      <c r="C1357" s="145">
        <v>0</v>
      </c>
      <c r="D1357" s="145"/>
      <c r="E1357" s="104">
        <v>0</v>
      </c>
      <c r="F1357" s="106">
        <v>0</v>
      </c>
      <c r="G1357" s="107">
        <v>0</v>
      </c>
      <c r="H1357" s="106">
        <v>0</v>
      </c>
      <c r="I1357" s="106"/>
      <c r="J1357" s="106"/>
      <c r="K1357" s="106"/>
      <c r="L1357" s="213">
        <v>0</v>
      </c>
      <c r="M1357" s="213">
        <v>0</v>
      </c>
      <c r="N1357" s="213">
        <v>0</v>
      </c>
      <c r="O1357" s="213">
        <v>0</v>
      </c>
      <c r="P1357" s="108">
        <v>0</v>
      </c>
      <c r="Q1357" s="108">
        <v>0</v>
      </c>
      <c r="R1357" s="108">
        <v>0</v>
      </c>
      <c r="S1357" s="108">
        <v>0</v>
      </c>
      <c r="T1357" s="108">
        <v>0</v>
      </c>
      <c r="U1357" s="108">
        <v>0</v>
      </c>
      <c r="V1357" s="108">
        <v>0</v>
      </c>
      <c r="W1357" s="108">
        <v>0</v>
      </c>
    </row>
    <row r="1358" spans="1:23">
      <c r="A1358" s="103">
        <v>45072</v>
      </c>
      <c r="B1358" s="104" t="s">
        <v>29</v>
      </c>
      <c r="C1358" s="145">
        <v>0</v>
      </c>
      <c r="D1358" s="145"/>
      <c r="E1358" s="104">
        <v>0</v>
      </c>
      <c r="F1358" s="106">
        <v>0</v>
      </c>
      <c r="G1358" s="107">
        <v>0</v>
      </c>
      <c r="H1358" s="106">
        <v>0</v>
      </c>
      <c r="I1358" s="106"/>
      <c r="J1358" s="106"/>
      <c r="K1358" s="106"/>
      <c r="L1358" s="213">
        <v>0</v>
      </c>
      <c r="M1358" s="213">
        <v>0</v>
      </c>
      <c r="N1358" s="213">
        <v>-0.2</v>
      </c>
      <c r="O1358" s="213">
        <v>-0.428571428571429</v>
      </c>
      <c r="P1358" s="108">
        <v>0</v>
      </c>
      <c r="Q1358" s="108">
        <v>-0.333333333333333</v>
      </c>
      <c r="R1358" s="108">
        <v>-0.2</v>
      </c>
      <c r="S1358" s="108">
        <v>-0.428571428571429</v>
      </c>
      <c r="T1358" s="108">
        <v>0</v>
      </c>
      <c r="U1358" s="108">
        <v>0</v>
      </c>
      <c r="V1358" s="108">
        <v>0</v>
      </c>
      <c r="W1358" s="108">
        <v>0</v>
      </c>
    </row>
    <row r="1359" spans="1:23">
      <c r="A1359" s="103">
        <v>45072</v>
      </c>
      <c r="B1359" s="104" t="s">
        <v>30</v>
      </c>
      <c r="C1359" s="145">
        <v>0</v>
      </c>
      <c r="D1359" s="145"/>
      <c r="E1359" s="104">
        <v>0</v>
      </c>
      <c r="F1359" s="106">
        <v>0</v>
      </c>
      <c r="G1359" s="107">
        <v>0</v>
      </c>
      <c r="H1359" s="106">
        <v>0</v>
      </c>
      <c r="I1359" s="106"/>
      <c r="J1359" s="106"/>
      <c r="K1359" s="106"/>
      <c r="L1359" s="213">
        <v>0</v>
      </c>
      <c r="M1359" s="213">
        <v>0</v>
      </c>
      <c r="N1359" s="213">
        <v>0</v>
      </c>
      <c r="O1359" s="213">
        <v>0</v>
      </c>
      <c r="P1359" s="108">
        <v>0</v>
      </c>
      <c r="Q1359" s="108">
        <v>0</v>
      </c>
      <c r="R1359" s="108">
        <v>0</v>
      </c>
      <c r="S1359" s="108">
        <v>0</v>
      </c>
      <c r="T1359" s="108">
        <v>0</v>
      </c>
      <c r="U1359" s="108">
        <v>0</v>
      </c>
      <c r="V1359" s="108">
        <v>0</v>
      </c>
      <c r="W1359" s="108">
        <v>0</v>
      </c>
    </row>
    <row r="1360" spans="1:23">
      <c r="A1360" s="103">
        <v>45072</v>
      </c>
      <c r="B1360" s="104" t="s">
        <v>31</v>
      </c>
      <c r="C1360" s="145">
        <v>0</v>
      </c>
      <c r="D1360" s="145"/>
      <c r="E1360" s="104">
        <v>0</v>
      </c>
      <c r="F1360" s="106">
        <v>0</v>
      </c>
      <c r="G1360" s="107">
        <v>0</v>
      </c>
      <c r="H1360" s="106">
        <v>0</v>
      </c>
      <c r="I1360" s="106"/>
      <c r="J1360" s="106"/>
      <c r="K1360" s="106"/>
      <c r="L1360" s="213">
        <v>0</v>
      </c>
      <c r="M1360" s="213">
        <v>0</v>
      </c>
      <c r="N1360" s="213">
        <v>0</v>
      </c>
      <c r="O1360" s="213">
        <v>0</v>
      </c>
      <c r="P1360" s="108">
        <v>0</v>
      </c>
      <c r="Q1360" s="108">
        <v>0</v>
      </c>
      <c r="R1360" s="108">
        <v>0</v>
      </c>
      <c r="S1360" s="108">
        <v>-0.142857142857143</v>
      </c>
      <c r="T1360" s="108">
        <v>0</v>
      </c>
      <c r="U1360" s="108">
        <v>0</v>
      </c>
      <c r="V1360" s="108">
        <v>0</v>
      </c>
      <c r="W1360" s="108">
        <v>0</v>
      </c>
    </row>
    <row r="1361" spans="1:23">
      <c r="A1361" s="103">
        <v>45072</v>
      </c>
      <c r="B1361" s="104" t="s">
        <v>32</v>
      </c>
      <c r="C1361" s="145">
        <v>0</v>
      </c>
      <c r="D1361" s="145"/>
      <c r="E1361" s="104">
        <v>0</v>
      </c>
      <c r="F1361" s="106">
        <v>0</v>
      </c>
      <c r="G1361" s="107">
        <v>0</v>
      </c>
      <c r="H1361" s="106">
        <v>0</v>
      </c>
      <c r="I1361" s="106"/>
      <c r="J1361" s="106"/>
      <c r="K1361" s="106"/>
      <c r="L1361" s="213">
        <v>0</v>
      </c>
      <c r="M1361" s="213">
        <v>0</v>
      </c>
      <c r="N1361" s="213">
        <v>0</v>
      </c>
      <c r="O1361" s="213">
        <v>0</v>
      </c>
      <c r="P1361" s="108">
        <v>0</v>
      </c>
      <c r="Q1361" s="108">
        <v>0</v>
      </c>
      <c r="R1361" s="108">
        <v>0</v>
      </c>
      <c r="S1361" s="108">
        <v>0</v>
      </c>
      <c r="T1361" s="108">
        <v>0</v>
      </c>
      <c r="U1361" s="108">
        <v>0</v>
      </c>
      <c r="V1361" s="108">
        <v>0</v>
      </c>
      <c r="W1361" s="108">
        <v>0</v>
      </c>
    </row>
    <row r="1362" spans="1:23">
      <c r="A1362" s="103">
        <v>45072</v>
      </c>
      <c r="B1362" s="104" t="s">
        <v>33</v>
      </c>
      <c r="C1362" s="145">
        <v>0</v>
      </c>
      <c r="D1362" s="145"/>
      <c r="E1362" s="104">
        <v>0</v>
      </c>
      <c r="F1362" s="106">
        <v>0</v>
      </c>
      <c r="G1362" s="107">
        <v>0</v>
      </c>
      <c r="H1362" s="106">
        <v>0</v>
      </c>
      <c r="I1362" s="106"/>
      <c r="J1362" s="106"/>
      <c r="K1362" s="106"/>
      <c r="L1362" s="213">
        <v>0</v>
      </c>
      <c r="M1362" s="213">
        <v>0</v>
      </c>
      <c r="N1362" s="213">
        <v>0</v>
      </c>
      <c r="O1362" s="213">
        <v>0</v>
      </c>
      <c r="P1362" s="108">
        <v>0</v>
      </c>
      <c r="Q1362" s="108">
        <v>0</v>
      </c>
      <c r="R1362" s="108">
        <v>0</v>
      </c>
      <c r="S1362" s="108">
        <v>-0.142857142857143</v>
      </c>
      <c r="T1362" s="108">
        <v>0</v>
      </c>
      <c r="U1362" s="108">
        <v>0</v>
      </c>
      <c r="V1362" s="108">
        <v>0</v>
      </c>
      <c r="W1362" s="108">
        <v>0</v>
      </c>
    </row>
    <row r="1363" spans="1:23">
      <c r="A1363" s="103">
        <v>45072</v>
      </c>
      <c r="B1363" s="104" t="s">
        <v>34</v>
      </c>
      <c r="C1363" s="145">
        <v>0</v>
      </c>
      <c r="D1363" s="145"/>
      <c r="E1363" s="104">
        <v>0</v>
      </c>
      <c r="F1363" s="106">
        <v>0</v>
      </c>
      <c r="G1363" s="107">
        <v>0</v>
      </c>
      <c r="H1363" s="106">
        <v>0</v>
      </c>
      <c r="I1363" s="106"/>
      <c r="J1363" s="106"/>
      <c r="K1363" s="106"/>
      <c r="L1363" s="213">
        <v>0</v>
      </c>
      <c r="M1363" s="213">
        <v>0</v>
      </c>
      <c r="N1363" s="213">
        <v>0</v>
      </c>
      <c r="O1363" s="213">
        <v>0</v>
      </c>
      <c r="P1363" s="108">
        <v>0</v>
      </c>
      <c r="Q1363" s="108">
        <v>0</v>
      </c>
      <c r="R1363" s="108">
        <v>0</v>
      </c>
      <c r="S1363" s="108">
        <v>0</v>
      </c>
      <c r="T1363" s="108">
        <v>0</v>
      </c>
      <c r="U1363" s="108">
        <v>0</v>
      </c>
      <c r="V1363" s="108">
        <v>0</v>
      </c>
      <c r="W1363" s="108">
        <v>0</v>
      </c>
    </row>
    <row r="1364" spans="1:23">
      <c r="A1364" s="103">
        <v>45072</v>
      </c>
      <c r="B1364" s="104" t="s">
        <v>35</v>
      </c>
      <c r="C1364" s="145">
        <v>0</v>
      </c>
      <c r="D1364" s="145"/>
      <c r="E1364" s="104">
        <v>0</v>
      </c>
      <c r="F1364" s="106">
        <v>0</v>
      </c>
      <c r="G1364" s="107">
        <v>0</v>
      </c>
      <c r="H1364" s="106">
        <v>0</v>
      </c>
      <c r="I1364" s="106"/>
      <c r="J1364" s="106"/>
      <c r="K1364" s="106"/>
      <c r="L1364" s="213">
        <v>0</v>
      </c>
      <c r="M1364" s="213">
        <v>0</v>
      </c>
      <c r="N1364" s="213">
        <v>0</v>
      </c>
      <c r="O1364" s="213">
        <v>0</v>
      </c>
      <c r="P1364" s="108">
        <v>0</v>
      </c>
      <c r="Q1364" s="108">
        <v>0</v>
      </c>
      <c r="R1364" s="108">
        <v>0</v>
      </c>
      <c r="S1364" s="108">
        <v>0</v>
      </c>
      <c r="T1364" s="108">
        <v>0</v>
      </c>
      <c r="U1364" s="108">
        <v>0</v>
      </c>
      <c r="V1364" s="108">
        <v>0</v>
      </c>
      <c r="W1364" s="108">
        <v>0</v>
      </c>
    </row>
    <row r="1365" spans="1:23">
      <c r="A1365" s="103">
        <v>45072</v>
      </c>
      <c r="B1365" s="104" t="s">
        <v>36</v>
      </c>
      <c r="C1365" s="145">
        <v>0</v>
      </c>
      <c r="D1365" s="145"/>
      <c r="E1365" s="104">
        <v>0</v>
      </c>
      <c r="F1365" s="106">
        <v>0</v>
      </c>
      <c r="G1365" s="107">
        <v>0</v>
      </c>
      <c r="H1365" s="106">
        <v>0</v>
      </c>
      <c r="I1365" s="106"/>
      <c r="J1365" s="106"/>
      <c r="K1365" s="106"/>
      <c r="L1365" s="213">
        <v>0</v>
      </c>
      <c r="M1365" s="213">
        <v>0</v>
      </c>
      <c r="N1365" s="213">
        <v>0</v>
      </c>
      <c r="O1365" s="213">
        <v>0</v>
      </c>
      <c r="P1365" s="108">
        <v>0</v>
      </c>
      <c r="Q1365" s="108">
        <v>0</v>
      </c>
      <c r="R1365" s="108">
        <v>0</v>
      </c>
      <c r="S1365" s="108">
        <v>0</v>
      </c>
      <c r="T1365" s="108">
        <v>0</v>
      </c>
      <c r="U1365" s="108">
        <v>0</v>
      </c>
      <c r="V1365" s="108">
        <v>0</v>
      </c>
      <c r="W1365" s="108">
        <v>0</v>
      </c>
    </row>
    <row r="1366" spans="1:23">
      <c r="A1366" s="103">
        <v>45072</v>
      </c>
      <c r="B1366" s="104" t="s">
        <v>37</v>
      </c>
      <c r="C1366" s="145">
        <v>0</v>
      </c>
      <c r="D1366" s="145"/>
      <c r="E1366" s="104">
        <v>0</v>
      </c>
      <c r="F1366" s="106">
        <v>0</v>
      </c>
      <c r="G1366" s="107">
        <v>0</v>
      </c>
      <c r="H1366" s="106">
        <v>0</v>
      </c>
      <c r="I1366" s="106"/>
      <c r="J1366" s="106"/>
      <c r="K1366" s="106"/>
      <c r="L1366" s="213">
        <v>0</v>
      </c>
      <c r="M1366" s="213">
        <v>0</v>
      </c>
      <c r="N1366" s="213">
        <v>0</v>
      </c>
      <c r="O1366" s="213">
        <v>0</v>
      </c>
      <c r="P1366" s="108">
        <v>0</v>
      </c>
      <c r="Q1366" s="108">
        <v>-0.333333333333333</v>
      </c>
      <c r="R1366" s="108">
        <v>-0.4</v>
      </c>
      <c r="S1366" s="108">
        <v>-0.571428571428571</v>
      </c>
      <c r="T1366" s="108">
        <v>0</v>
      </c>
      <c r="U1366" s="108">
        <v>0</v>
      </c>
      <c r="V1366" s="108">
        <v>0</v>
      </c>
      <c r="W1366" s="108">
        <v>0</v>
      </c>
    </row>
    <row r="1367" spans="1:23">
      <c r="A1367" s="103">
        <v>45072</v>
      </c>
      <c r="B1367" s="104" t="s">
        <v>38</v>
      </c>
      <c r="C1367" s="145">
        <v>0</v>
      </c>
      <c r="D1367" s="145"/>
      <c r="E1367" s="104">
        <v>0</v>
      </c>
      <c r="F1367" s="106">
        <v>0</v>
      </c>
      <c r="G1367" s="107">
        <v>0</v>
      </c>
      <c r="H1367" s="106">
        <v>0</v>
      </c>
      <c r="I1367" s="106"/>
      <c r="J1367" s="106"/>
      <c r="K1367" s="106"/>
      <c r="L1367" s="213">
        <v>0</v>
      </c>
      <c r="M1367" s="213">
        <v>0</v>
      </c>
      <c r="N1367" s="213">
        <v>0</v>
      </c>
      <c r="O1367" s="213">
        <v>0</v>
      </c>
      <c r="P1367" s="108">
        <v>0</v>
      </c>
      <c r="Q1367" s="108">
        <v>0</v>
      </c>
      <c r="R1367" s="108">
        <v>0</v>
      </c>
      <c r="S1367" s="108">
        <v>0</v>
      </c>
      <c r="T1367" s="108">
        <v>0</v>
      </c>
      <c r="U1367" s="108">
        <v>0</v>
      </c>
      <c r="V1367" s="108">
        <v>0</v>
      </c>
      <c r="W1367" s="108">
        <v>0</v>
      </c>
    </row>
    <row r="1368" spans="1:23">
      <c r="A1368" s="103">
        <v>45072</v>
      </c>
      <c r="B1368" s="111" t="s">
        <v>39</v>
      </c>
      <c r="C1368" s="112">
        <v>19330</v>
      </c>
      <c r="D1368" s="112"/>
      <c r="E1368" s="112">
        <v>469</v>
      </c>
      <c r="F1368" s="113">
        <v>0.0242628039317124</v>
      </c>
      <c r="G1368" s="112">
        <v>135</v>
      </c>
      <c r="H1368" s="113">
        <v>0.287846481876333</v>
      </c>
      <c r="I1368" s="113"/>
      <c r="J1368" s="113"/>
      <c r="K1368" s="113"/>
      <c r="L1368" s="213"/>
      <c r="M1368" s="213"/>
      <c r="N1368" s="213"/>
      <c r="O1368" s="213"/>
      <c r="P1368" s="108"/>
      <c r="Q1368" s="108"/>
      <c r="R1368" s="108"/>
      <c r="S1368" s="108"/>
      <c r="T1368" s="108"/>
      <c r="U1368" s="108"/>
      <c r="V1368" s="108"/>
      <c r="W1368" s="108"/>
    </row>
    <row r="1369" spans="1:23">
      <c r="A1369" s="103">
        <v>45073</v>
      </c>
      <c r="B1369" s="104" t="s">
        <v>17</v>
      </c>
      <c r="C1369" s="105">
        <v>2</v>
      </c>
      <c r="D1369" s="105"/>
      <c r="E1369" s="104">
        <v>7</v>
      </c>
      <c r="F1369" s="106">
        <v>3.5</v>
      </c>
      <c r="G1369" s="107">
        <v>2</v>
      </c>
      <c r="H1369" s="106">
        <v>0.285714285714286</v>
      </c>
      <c r="I1369" s="106"/>
      <c r="J1369" s="106"/>
      <c r="K1369" s="106"/>
      <c r="L1369" s="213">
        <v>1</v>
      </c>
      <c r="M1369" s="213">
        <v>0</v>
      </c>
      <c r="N1369" s="213">
        <v>0</v>
      </c>
      <c r="O1369" s="213">
        <v>-0.285714285714286</v>
      </c>
      <c r="P1369" s="108">
        <v>2</v>
      </c>
      <c r="Q1369" s="108">
        <v>0.333333333333333</v>
      </c>
      <c r="R1369" s="108">
        <v>-1.6</v>
      </c>
      <c r="S1369" s="108">
        <v>-3</v>
      </c>
      <c r="T1369" s="108">
        <v>1</v>
      </c>
      <c r="U1369" s="108">
        <v>-0.666666666666667</v>
      </c>
      <c r="V1369" s="108">
        <v>-0.8</v>
      </c>
      <c r="W1369" s="108">
        <v>-0.857142857142857</v>
      </c>
    </row>
    <row r="1370" spans="1:23">
      <c r="A1370" s="103">
        <v>45073</v>
      </c>
      <c r="B1370" s="104" t="s">
        <v>19</v>
      </c>
      <c r="C1370" s="107">
        <v>340</v>
      </c>
      <c r="D1370" s="107"/>
      <c r="E1370" s="104">
        <v>22</v>
      </c>
      <c r="F1370" s="106">
        <v>0.0647058823529412</v>
      </c>
      <c r="G1370" s="107">
        <v>6</v>
      </c>
      <c r="H1370" s="106">
        <v>0.272727272727273</v>
      </c>
      <c r="I1370" s="106"/>
      <c r="J1370" s="106"/>
      <c r="K1370" s="106"/>
      <c r="L1370" s="213">
        <v>16</v>
      </c>
      <c r="M1370" s="213">
        <v>43</v>
      </c>
      <c r="N1370" s="213">
        <v>65.8</v>
      </c>
      <c r="O1370" s="213">
        <v>52.8571428571428</v>
      </c>
      <c r="P1370" s="108">
        <v>9</v>
      </c>
      <c r="Q1370" s="108">
        <v>10.3333333333333</v>
      </c>
      <c r="R1370" s="108">
        <v>10.6</v>
      </c>
      <c r="S1370" s="108">
        <v>10.2857142857143</v>
      </c>
      <c r="T1370" s="108">
        <v>3</v>
      </c>
      <c r="U1370" s="108">
        <v>2</v>
      </c>
      <c r="V1370" s="108">
        <v>1.2</v>
      </c>
      <c r="W1370" s="115">
        <v>0.714285714285714</v>
      </c>
    </row>
    <row r="1371" spans="1:23">
      <c r="A1371" s="103">
        <v>45073</v>
      </c>
      <c r="B1371" s="104" t="s">
        <v>21</v>
      </c>
      <c r="C1371" s="145">
        <v>528</v>
      </c>
      <c r="D1371" s="145"/>
      <c r="E1371" s="104">
        <v>20</v>
      </c>
      <c r="F1371" s="106">
        <v>0.0378787878787879</v>
      </c>
      <c r="G1371" s="107">
        <v>7</v>
      </c>
      <c r="H1371" s="106">
        <v>0.35</v>
      </c>
      <c r="I1371" s="106"/>
      <c r="J1371" s="106"/>
      <c r="K1371" s="106"/>
      <c r="L1371" s="213">
        <v>32</v>
      </c>
      <c r="M1371" s="213">
        <v>59.3333333333333</v>
      </c>
      <c r="N1371" s="213">
        <v>85.4</v>
      </c>
      <c r="O1371" s="213">
        <v>60.5714285714286</v>
      </c>
      <c r="P1371" s="108">
        <v>-4</v>
      </c>
      <c r="Q1371" s="108">
        <v>-3.66666666666667</v>
      </c>
      <c r="R1371" s="108">
        <v>-4</v>
      </c>
      <c r="S1371" s="108">
        <v>-6.57142857142857</v>
      </c>
      <c r="T1371" s="108">
        <v>-3</v>
      </c>
      <c r="U1371" s="108">
        <v>-2.66666666666667</v>
      </c>
      <c r="V1371" s="108">
        <v>-2.4</v>
      </c>
      <c r="W1371" s="108">
        <v>-2.57142857142857</v>
      </c>
    </row>
    <row r="1372" spans="1:23">
      <c r="A1372" s="103">
        <v>45073</v>
      </c>
      <c r="B1372" s="104" t="s">
        <v>22</v>
      </c>
      <c r="C1372" s="145">
        <v>4200</v>
      </c>
      <c r="D1372" s="145"/>
      <c r="E1372" s="104">
        <v>125</v>
      </c>
      <c r="F1372" s="106">
        <v>0.0297619047619048</v>
      </c>
      <c r="G1372" s="107">
        <v>48</v>
      </c>
      <c r="H1372" s="106">
        <v>0.384</v>
      </c>
      <c r="I1372" s="106"/>
      <c r="J1372" s="106"/>
      <c r="K1372" s="106"/>
      <c r="L1372" s="213">
        <v>292</v>
      </c>
      <c r="M1372" s="213">
        <v>538.333333333333</v>
      </c>
      <c r="N1372" s="213">
        <v>651.8</v>
      </c>
      <c r="O1372" s="213">
        <v>438</v>
      </c>
      <c r="P1372" s="108">
        <v>-10</v>
      </c>
      <c r="Q1372" s="108">
        <v>-22.3333333333333</v>
      </c>
      <c r="R1372" s="108">
        <v>-30.8</v>
      </c>
      <c r="S1372" s="115">
        <v>-37</v>
      </c>
      <c r="T1372" s="108">
        <v>4</v>
      </c>
      <c r="U1372" s="108">
        <v>1.66666666666666</v>
      </c>
      <c r="V1372" s="108">
        <v>-3.6</v>
      </c>
      <c r="W1372" s="117">
        <v>-8.28571428571428</v>
      </c>
    </row>
    <row r="1373" spans="1:23">
      <c r="A1373" s="103">
        <v>45073</v>
      </c>
      <c r="B1373" s="104" t="s">
        <v>23</v>
      </c>
      <c r="C1373" s="145">
        <v>2009</v>
      </c>
      <c r="D1373" s="145"/>
      <c r="E1373" s="104">
        <v>18</v>
      </c>
      <c r="F1373" s="106">
        <v>0.00895968143354903</v>
      </c>
      <c r="G1373" s="107">
        <v>11</v>
      </c>
      <c r="H1373" s="106">
        <v>0.611111111111111</v>
      </c>
      <c r="I1373" s="106"/>
      <c r="J1373" s="106"/>
      <c r="K1373" s="106"/>
      <c r="L1373" s="213">
        <v>40</v>
      </c>
      <c r="M1373" s="213">
        <v>57.3333333333333</v>
      </c>
      <c r="N1373" s="213">
        <v>128</v>
      </c>
      <c r="O1373" s="213">
        <v>45.4285714285713</v>
      </c>
      <c r="P1373" s="108">
        <v>1</v>
      </c>
      <c r="Q1373" s="108">
        <v>3.33333333333333</v>
      </c>
      <c r="R1373" s="108">
        <v>4</v>
      </c>
      <c r="S1373" s="108">
        <v>4</v>
      </c>
      <c r="T1373" s="108">
        <v>5</v>
      </c>
      <c r="U1373" s="116">
        <v>5.33333333333333</v>
      </c>
      <c r="V1373" s="108">
        <v>4.4</v>
      </c>
      <c r="W1373" s="108">
        <v>4.85714285714286</v>
      </c>
    </row>
    <row r="1374" spans="1:23">
      <c r="A1374" s="103">
        <v>45073</v>
      </c>
      <c r="B1374" s="104" t="s">
        <v>24</v>
      </c>
      <c r="C1374" s="145">
        <v>4743</v>
      </c>
      <c r="D1374" s="145"/>
      <c r="E1374" s="104">
        <v>160</v>
      </c>
      <c r="F1374" s="106">
        <v>0.0337339236769977</v>
      </c>
      <c r="G1374" s="107">
        <v>36</v>
      </c>
      <c r="H1374" s="106">
        <v>0.225</v>
      </c>
      <c r="I1374" s="106"/>
      <c r="J1374" s="106"/>
      <c r="K1374" s="106"/>
      <c r="L1374" s="213">
        <v>650</v>
      </c>
      <c r="M1374" s="213">
        <v>1155.66666666667</v>
      </c>
      <c r="N1374" s="213">
        <v>1508</v>
      </c>
      <c r="O1374" s="213">
        <v>1544.71428571429</v>
      </c>
      <c r="P1374" s="115">
        <v>28</v>
      </c>
      <c r="Q1374" s="115">
        <v>47.6666666666667</v>
      </c>
      <c r="R1374" s="115">
        <v>53</v>
      </c>
      <c r="S1374" s="115">
        <v>59.2857142857143</v>
      </c>
      <c r="T1374" s="115">
        <v>3</v>
      </c>
      <c r="U1374" s="115">
        <v>3.66666666666666</v>
      </c>
      <c r="V1374" s="115">
        <v>5.2</v>
      </c>
      <c r="W1374" s="115">
        <v>5.85714285714286</v>
      </c>
    </row>
    <row r="1375" spans="1:23">
      <c r="A1375" s="103">
        <v>45073</v>
      </c>
      <c r="B1375" s="104" t="s">
        <v>25</v>
      </c>
      <c r="C1375" s="145">
        <v>2612</v>
      </c>
      <c r="D1375" s="145"/>
      <c r="E1375" s="104">
        <v>39</v>
      </c>
      <c r="F1375" s="106">
        <v>0.0149310872894334</v>
      </c>
      <c r="G1375" s="107">
        <v>9</v>
      </c>
      <c r="H1375" s="106">
        <v>0.230769230769231</v>
      </c>
      <c r="I1375" s="106"/>
      <c r="J1375" s="106"/>
      <c r="K1375" s="106"/>
      <c r="L1375" s="213">
        <v>488</v>
      </c>
      <c r="M1375" s="213">
        <v>-110</v>
      </c>
      <c r="N1375" s="213">
        <v>-571.6</v>
      </c>
      <c r="O1375" s="213">
        <v>-574.571428571428</v>
      </c>
      <c r="P1375" s="116">
        <v>14</v>
      </c>
      <c r="Q1375" s="115">
        <v>9.66666666666667</v>
      </c>
      <c r="R1375" s="115">
        <v>3.6</v>
      </c>
      <c r="S1375" s="115">
        <v>1.85714285714285</v>
      </c>
      <c r="T1375" s="108">
        <v>0</v>
      </c>
      <c r="U1375" s="108">
        <v>-3.66666666666667</v>
      </c>
      <c r="V1375" s="108">
        <v>-5.8</v>
      </c>
      <c r="W1375" s="108">
        <v>-7.14285714285714</v>
      </c>
    </row>
    <row r="1376" spans="1:23">
      <c r="A1376" s="103">
        <v>45073</v>
      </c>
      <c r="B1376" s="104" t="s">
        <v>26</v>
      </c>
      <c r="C1376" s="145">
        <v>1404</v>
      </c>
      <c r="D1376" s="145"/>
      <c r="E1376" s="104">
        <v>4</v>
      </c>
      <c r="F1376" s="106">
        <v>0.00284900284900285</v>
      </c>
      <c r="G1376" s="107">
        <v>4</v>
      </c>
      <c r="H1376" s="106">
        <v>1</v>
      </c>
      <c r="I1376" s="106"/>
      <c r="J1376" s="106"/>
      <c r="K1376" s="106"/>
      <c r="L1376" s="213">
        <v>-145</v>
      </c>
      <c r="M1376" s="213">
        <v>-235.333333333333</v>
      </c>
      <c r="N1376" s="213">
        <v>-310.5</v>
      </c>
      <c r="O1376" s="213">
        <v>-435.928571428571</v>
      </c>
      <c r="P1376" s="108">
        <v>-1</v>
      </c>
      <c r="Q1376" s="108">
        <v>-4.66666666666667</v>
      </c>
      <c r="R1376" s="108">
        <v>-7.8</v>
      </c>
      <c r="S1376" s="108">
        <v>-9.57142857142857</v>
      </c>
      <c r="T1376" s="108">
        <v>-2</v>
      </c>
      <c r="U1376" s="108">
        <v>0</v>
      </c>
      <c r="V1376" s="108">
        <v>-1.6</v>
      </c>
      <c r="W1376" s="108">
        <v>-2.28571428571429</v>
      </c>
    </row>
    <row r="1377" spans="1:23">
      <c r="A1377" s="103">
        <v>45073</v>
      </c>
      <c r="B1377" s="104" t="s">
        <v>27</v>
      </c>
      <c r="C1377" s="145">
        <v>6014</v>
      </c>
      <c r="D1377" s="145"/>
      <c r="E1377" s="104">
        <v>127</v>
      </c>
      <c r="F1377" s="106">
        <v>0.0211173927502494</v>
      </c>
      <c r="G1377" s="107">
        <v>37</v>
      </c>
      <c r="H1377" s="106">
        <v>0.291338582677165</v>
      </c>
      <c r="I1377" s="106"/>
      <c r="J1377" s="106"/>
      <c r="K1377" s="106"/>
      <c r="L1377" s="213">
        <v>1148</v>
      </c>
      <c r="M1377" s="213">
        <v>1993.33333333333</v>
      </c>
      <c r="N1377" s="213">
        <v>2604.5</v>
      </c>
      <c r="O1377" s="213">
        <v>2718.5</v>
      </c>
      <c r="P1377" s="108">
        <v>14</v>
      </c>
      <c r="Q1377" s="108">
        <v>16.3333333333333</v>
      </c>
      <c r="R1377" s="108">
        <v>29.6</v>
      </c>
      <c r="S1377" s="108">
        <v>37.5714285714286</v>
      </c>
      <c r="T1377" s="108">
        <v>14</v>
      </c>
      <c r="U1377" s="108">
        <v>6.66666666666667</v>
      </c>
      <c r="V1377" s="108">
        <v>10.6</v>
      </c>
      <c r="W1377" s="108">
        <v>12.8571428571429</v>
      </c>
    </row>
    <row r="1378" spans="1:23">
      <c r="A1378" s="103">
        <v>45073</v>
      </c>
      <c r="B1378" s="104" t="s">
        <v>28</v>
      </c>
      <c r="C1378" s="145">
        <v>0</v>
      </c>
      <c r="D1378" s="145"/>
      <c r="E1378" s="104">
        <v>0</v>
      </c>
      <c r="F1378" s="106">
        <v>0</v>
      </c>
      <c r="G1378" s="107">
        <v>0</v>
      </c>
      <c r="H1378" s="106">
        <v>0</v>
      </c>
      <c r="I1378" s="106"/>
      <c r="J1378" s="106"/>
      <c r="K1378" s="106"/>
      <c r="L1378" s="213">
        <v>0</v>
      </c>
      <c r="M1378" s="213">
        <v>0</v>
      </c>
      <c r="N1378" s="213">
        <v>0</v>
      </c>
      <c r="O1378" s="213">
        <v>0</v>
      </c>
      <c r="P1378" s="108">
        <v>0</v>
      </c>
      <c r="Q1378" s="108">
        <v>0</v>
      </c>
      <c r="R1378" s="108">
        <v>0</v>
      </c>
      <c r="S1378" s="108">
        <v>0</v>
      </c>
      <c r="T1378" s="108">
        <v>0</v>
      </c>
      <c r="U1378" s="108">
        <v>0</v>
      </c>
      <c r="V1378" s="108">
        <v>0</v>
      </c>
      <c r="W1378" s="108">
        <v>0</v>
      </c>
    </row>
    <row r="1379" spans="1:23">
      <c r="A1379" s="103">
        <v>45073</v>
      </c>
      <c r="B1379" s="104" t="s">
        <v>29</v>
      </c>
      <c r="C1379" s="145">
        <v>0</v>
      </c>
      <c r="D1379" s="145"/>
      <c r="E1379" s="104">
        <v>0</v>
      </c>
      <c r="F1379" s="106">
        <v>0</v>
      </c>
      <c r="G1379" s="107">
        <v>0</v>
      </c>
      <c r="H1379" s="106">
        <v>0</v>
      </c>
      <c r="I1379" s="106"/>
      <c r="J1379" s="106"/>
      <c r="K1379" s="106"/>
      <c r="L1379" s="213">
        <v>0</v>
      </c>
      <c r="M1379" s="213">
        <v>0</v>
      </c>
      <c r="N1379" s="213">
        <v>-0.2</v>
      </c>
      <c r="O1379" s="213">
        <v>-0.285714285714286</v>
      </c>
      <c r="P1379" s="108">
        <v>0</v>
      </c>
      <c r="Q1379" s="108">
        <v>0</v>
      </c>
      <c r="R1379" s="108">
        <v>-0.2</v>
      </c>
      <c r="S1379" s="108">
        <v>-0.285714285714286</v>
      </c>
      <c r="T1379" s="108">
        <v>0</v>
      </c>
      <c r="U1379" s="108">
        <v>0</v>
      </c>
      <c r="V1379" s="108">
        <v>0</v>
      </c>
      <c r="W1379" s="108">
        <v>0</v>
      </c>
    </row>
    <row r="1380" spans="1:23">
      <c r="A1380" s="103">
        <v>45073</v>
      </c>
      <c r="B1380" s="104" t="s">
        <v>30</v>
      </c>
      <c r="C1380" s="145">
        <v>0</v>
      </c>
      <c r="D1380" s="145"/>
      <c r="E1380" s="104">
        <v>0</v>
      </c>
      <c r="F1380" s="106">
        <v>0</v>
      </c>
      <c r="G1380" s="107">
        <v>0</v>
      </c>
      <c r="H1380" s="106">
        <v>0</v>
      </c>
      <c r="I1380" s="106"/>
      <c r="J1380" s="106"/>
      <c r="K1380" s="106"/>
      <c r="L1380" s="213">
        <v>0</v>
      </c>
      <c r="M1380" s="213">
        <v>0</v>
      </c>
      <c r="N1380" s="213">
        <v>0</v>
      </c>
      <c r="O1380" s="213">
        <v>0</v>
      </c>
      <c r="P1380" s="108">
        <v>0</v>
      </c>
      <c r="Q1380" s="108">
        <v>0</v>
      </c>
      <c r="R1380" s="108">
        <v>0</v>
      </c>
      <c r="S1380" s="108">
        <v>0</v>
      </c>
      <c r="T1380" s="108">
        <v>0</v>
      </c>
      <c r="U1380" s="108">
        <v>0</v>
      </c>
      <c r="V1380" s="108">
        <v>0</v>
      </c>
      <c r="W1380" s="108">
        <v>0</v>
      </c>
    </row>
    <row r="1381" spans="1:23">
      <c r="A1381" s="103">
        <v>45073</v>
      </c>
      <c r="B1381" s="104" t="s">
        <v>31</v>
      </c>
      <c r="C1381" s="145">
        <v>0</v>
      </c>
      <c r="D1381" s="145"/>
      <c r="E1381" s="104">
        <v>0</v>
      </c>
      <c r="F1381" s="106">
        <v>0</v>
      </c>
      <c r="G1381" s="107">
        <v>0</v>
      </c>
      <c r="H1381" s="106">
        <v>0</v>
      </c>
      <c r="I1381" s="106"/>
      <c r="J1381" s="106"/>
      <c r="K1381" s="106"/>
      <c r="L1381" s="213">
        <v>0</v>
      </c>
      <c r="M1381" s="213">
        <v>0</v>
      </c>
      <c r="N1381" s="213">
        <v>0</v>
      </c>
      <c r="O1381" s="213">
        <v>0</v>
      </c>
      <c r="P1381" s="108">
        <v>0</v>
      </c>
      <c r="Q1381" s="108">
        <v>0</v>
      </c>
      <c r="R1381" s="108">
        <v>0</v>
      </c>
      <c r="S1381" s="108">
        <v>-0.142857142857143</v>
      </c>
      <c r="T1381" s="108">
        <v>0</v>
      </c>
      <c r="U1381" s="108">
        <v>0</v>
      </c>
      <c r="V1381" s="108">
        <v>0</v>
      </c>
      <c r="W1381" s="108">
        <v>0</v>
      </c>
    </row>
    <row r="1382" spans="1:23">
      <c r="A1382" s="103">
        <v>45073</v>
      </c>
      <c r="B1382" s="104" t="s">
        <v>32</v>
      </c>
      <c r="C1382" s="145">
        <v>0</v>
      </c>
      <c r="D1382" s="145"/>
      <c r="E1382" s="104">
        <v>0</v>
      </c>
      <c r="F1382" s="106">
        <v>0</v>
      </c>
      <c r="G1382" s="107">
        <v>0</v>
      </c>
      <c r="H1382" s="106">
        <v>0</v>
      </c>
      <c r="I1382" s="106"/>
      <c r="J1382" s="106"/>
      <c r="K1382" s="106"/>
      <c r="L1382" s="213">
        <v>0</v>
      </c>
      <c r="M1382" s="213">
        <v>0</v>
      </c>
      <c r="N1382" s="213">
        <v>0</v>
      </c>
      <c r="O1382" s="213">
        <v>0</v>
      </c>
      <c r="P1382" s="108">
        <v>0</v>
      </c>
      <c r="Q1382" s="108">
        <v>0</v>
      </c>
      <c r="R1382" s="108">
        <v>0</v>
      </c>
      <c r="S1382" s="108">
        <v>0</v>
      </c>
      <c r="T1382" s="108">
        <v>0</v>
      </c>
      <c r="U1382" s="108">
        <v>0</v>
      </c>
      <c r="V1382" s="108">
        <v>0</v>
      </c>
      <c r="W1382" s="108">
        <v>0</v>
      </c>
    </row>
    <row r="1383" spans="1:23">
      <c r="A1383" s="103">
        <v>45073</v>
      </c>
      <c r="B1383" s="104" t="s">
        <v>33</v>
      </c>
      <c r="C1383" s="145">
        <v>0</v>
      </c>
      <c r="D1383" s="145"/>
      <c r="E1383" s="104">
        <v>0</v>
      </c>
      <c r="F1383" s="106">
        <v>0</v>
      </c>
      <c r="G1383" s="107">
        <v>0</v>
      </c>
      <c r="H1383" s="106">
        <v>0</v>
      </c>
      <c r="I1383" s="106"/>
      <c r="J1383" s="106"/>
      <c r="K1383" s="106"/>
      <c r="L1383" s="213">
        <v>0</v>
      </c>
      <c r="M1383" s="213">
        <v>0</v>
      </c>
      <c r="N1383" s="213">
        <v>0</v>
      </c>
      <c r="O1383" s="213">
        <v>0</v>
      </c>
      <c r="P1383" s="108">
        <v>0</v>
      </c>
      <c r="Q1383" s="108">
        <v>0</v>
      </c>
      <c r="R1383" s="108">
        <v>0</v>
      </c>
      <c r="S1383" s="108">
        <v>0</v>
      </c>
      <c r="T1383" s="108">
        <v>0</v>
      </c>
      <c r="U1383" s="108">
        <v>0</v>
      </c>
      <c r="V1383" s="108">
        <v>0</v>
      </c>
      <c r="W1383" s="108">
        <v>0</v>
      </c>
    </row>
    <row r="1384" spans="1:23">
      <c r="A1384" s="103">
        <v>45073</v>
      </c>
      <c r="B1384" s="104" t="s">
        <v>34</v>
      </c>
      <c r="C1384" s="145">
        <v>0</v>
      </c>
      <c r="D1384" s="145"/>
      <c r="E1384" s="104">
        <v>0</v>
      </c>
      <c r="F1384" s="106">
        <v>0</v>
      </c>
      <c r="G1384" s="107">
        <v>0</v>
      </c>
      <c r="H1384" s="106">
        <v>0</v>
      </c>
      <c r="I1384" s="106"/>
      <c r="J1384" s="106"/>
      <c r="K1384" s="106"/>
      <c r="L1384" s="213">
        <v>0</v>
      </c>
      <c r="M1384" s="213">
        <v>0</v>
      </c>
      <c r="N1384" s="213">
        <v>0</v>
      </c>
      <c r="O1384" s="213">
        <v>0</v>
      </c>
      <c r="P1384" s="108">
        <v>0</v>
      </c>
      <c r="Q1384" s="108">
        <v>0</v>
      </c>
      <c r="R1384" s="108">
        <v>0</v>
      </c>
      <c r="S1384" s="108">
        <v>0</v>
      </c>
      <c r="T1384" s="108">
        <v>0</v>
      </c>
      <c r="U1384" s="108">
        <v>0</v>
      </c>
      <c r="V1384" s="108">
        <v>0</v>
      </c>
      <c r="W1384" s="108">
        <v>0</v>
      </c>
    </row>
    <row r="1385" spans="1:23">
      <c r="A1385" s="103">
        <v>45073</v>
      </c>
      <c r="B1385" s="104" t="s">
        <v>35</v>
      </c>
      <c r="C1385" s="145">
        <v>0</v>
      </c>
      <c r="D1385" s="145"/>
      <c r="E1385" s="104">
        <v>0</v>
      </c>
      <c r="F1385" s="106">
        <v>0</v>
      </c>
      <c r="G1385" s="107">
        <v>0</v>
      </c>
      <c r="H1385" s="106">
        <v>0</v>
      </c>
      <c r="I1385" s="106"/>
      <c r="J1385" s="106"/>
      <c r="K1385" s="106"/>
      <c r="L1385" s="213">
        <v>0</v>
      </c>
      <c r="M1385" s="213">
        <v>0</v>
      </c>
      <c r="N1385" s="213">
        <v>0</v>
      </c>
      <c r="O1385" s="213">
        <v>0</v>
      </c>
      <c r="P1385" s="108">
        <v>0</v>
      </c>
      <c r="Q1385" s="108">
        <v>0</v>
      </c>
      <c r="R1385" s="108">
        <v>0</v>
      </c>
      <c r="S1385" s="108">
        <v>0</v>
      </c>
      <c r="T1385" s="108">
        <v>0</v>
      </c>
      <c r="U1385" s="108">
        <v>0</v>
      </c>
      <c r="V1385" s="108">
        <v>0</v>
      </c>
      <c r="W1385" s="108">
        <v>0</v>
      </c>
    </row>
    <row r="1386" spans="1:23">
      <c r="A1386" s="103">
        <v>45073</v>
      </c>
      <c r="B1386" s="104" t="s">
        <v>36</v>
      </c>
      <c r="C1386" s="145">
        <v>0</v>
      </c>
      <c r="D1386" s="145"/>
      <c r="E1386" s="104">
        <v>0</v>
      </c>
      <c r="F1386" s="106">
        <v>0</v>
      </c>
      <c r="G1386" s="107">
        <v>0</v>
      </c>
      <c r="H1386" s="106">
        <v>0</v>
      </c>
      <c r="I1386" s="106"/>
      <c r="J1386" s="106"/>
      <c r="K1386" s="106"/>
      <c r="L1386" s="213">
        <v>0</v>
      </c>
      <c r="M1386" s="213">
        <v>0</v>
      </c>
      <c r="N1386" s="213">
        <v>0</v>
      </c>
      <c r="O1386" s="213">
        <v>0</v>
      </c>
      <c r="P1386" s="108">
        <v>0</v>
      </c>
      <c r="Q1386" s="108">
        <v>0</v>
      </c>
      <c r="R1386" s="108">
        <v>0</v>
      </c>
      <c r="S1386" s="108">
        <v>0</v>
      </c>
      <c r="T1386" s="108">
        <v>0</v>
      </c>
      <c r="U1386" s="108">
        <v>0</v>
      </c>
      <c r="V1386" s="108">
        <v>0</v>
      </c>
      <c r="W1386" s="108">
        <v>0</v>
      </c>
    </row>
    <row r="1387" spans="1:23">
      <c r="A1387" s="103">
        <v>45073</v>
      </c>
      <c r="B1387" s="104" t="s">
        <v>37</v>
      </c>
      <c r="C1387" s="145">
        <v>0</v>
      </c>
      <c r="D1387" s="145"/>
      <c r="E1387" s="104">
        <v>0</v>
      </c>
      <c r="F1387" s="106">
        <v>0</v>
      </c>
      <c r="G1387" s="107">
        <v>0</v>
      </c>
      <c r="H1387" s="106">
        <v>0</v>
      </c>
      <c r="I1387" s="106"/>
      <c r="J1387" s="106"/>
      <c r="K1387" s="106"/>
      <c r="L1387" s="213">
        <v>0</v>
      </c>
      <c r="M1387" s="213">
        <v>0</v>
      </c>
      <c r="N1387" s="213">
        <v>0</v>
      </c>
      <c r="O1387" s="213">
        <v>0</v>
      </c>
      <c r="P1387" s="108">
        <v>0</v>
      </c>
      <c r="Q1387" s="108">
        <v>0</v>
      </c>
      <c r="R1387" s="108">
        <v>-0.4</v>
      </c>
      <c r="S1387" s="108">
        <v>-0.285714285714286</v>
      </c>
      <c r="T1387" s="108">
        <v>0</v>
      </c>
      <c r="U1387" s="108">
        <v>0</v>
      </c>
      <c r="V1387" s="108">
        <v>0</v>
      </c>
      <c r="W1387" s="108">
        <v>0</v>
      </c>
    </row>
    <row r="1388" spans="1:23">
      <c r="A1388" s="103">
        <v>45073</v>
      </c>
      <c r="B1388" s="104" t="s">
        <v>38</v>
      </c>
      <c r="C1388" s="145">
        <v>0</v>
      </c>
      <c r="D1388" s="145"/>
      <c r="E1388" s="104">
        <v>0</v>
      </c>
      <c r="F1388" s="106">
        <v>0</v>
      </c>
      <c r="G1388" s="107">
        <v>0</v>
      </c>
      <c r="H1388" s="106">
        <v>0</v>
      </c>
      <c r="I1388" s="106"/>
      <c r="J1388" s="106"/>
      <c r="K1388" s="106"/>
      <c r="L1388" s="213">
        <v>0</v>
      </c>
      <c r="M1388" s="213">
        <v>0</v>
      </c>
      <c r="N1388" s="213">
        <v>0</v>
      </c>
      <c r="O1388" s="213">
        <v>0</v>
      </c>
      <c r="P1388" s="108">
        <v>0</v>
      </c>
      <c r="Q1388" s="108">
        <v>0</v>
      </c>
      <c r="R1388" s="108">
        <v>0</v>
      </c>
      <c r="S1388" s="108">
        <v>0</v>
      </c>
      <c r="T1388" s="108">
        <v>0</v>
      </c>
      <c r="U1388" s="108">
        <v>0</v>
      </c>
      <c r="V1388" s="108">
        <v>0</v>
      </c>
      <c r="W1388" s="108">
        <v>0</v>
      </c>
    </row>
    <row r="1389" spans="1:23">
      <c r="A1389" s="103">
        <v>45073</v>
      </c>
      <c r="B1389" s="111" t="s">
        <v>39</v>
      </c>
      <c r="C1389" s="112">
        <v>21852</v>
      </c>
      <c r="D1389" s="112"/>
      <c r="E1389" s="112">
        <v>522</v>
      </c>
      <c r="F1389" s="113">
        <v>0.0238879736408567</v>
      </c>
      <c r="G1389" s="112">
        <v>160</v>
      </c>
      <c r="H1389" s="113">
        <v>0.306513409961686</v>
      </c>
      <c r="I1389" s="113"/>
      <c r="J1389" s="113"/>
      <c r="K1389" s="113"/>
      <c r="L1389" s="213"/>
      <c r="M1389" s="213"/>
      <c r="N1389" s="213"/>
      <c r="O1389" s="213"/>
      <c r="P1389" s="108"/>
      <c r="Q1389" s="108"/>
      <c r="R1389" s="108"/>
      <c r="S1389" s="108"/>
      <c r="T1389" s="108"/>
      <c r="U1389" s="108"/>
      <c r="V1389" s="108"/>
      <c r="W1389" s="108"/>
    </row>
    <row r="1390" spans="1:23">
      <c r="A1390" s="103">
        <v>45074</v>
      </c>
      <c r="B1390" s="104" t="s">
        <v>17</v>
      </c>
      <c r="C1390" s="105">
        <v>10</v>
      </c>
      <c r="D1390" s="105"/>
      <c r="E1390" s="104">
        <v>19</v>
      </c>
      <c r="F1390" s="106">
        <v>1.9</v>
      </c>
      <c r="G1390" s="107">
        <v>2</v>
      </c>
      <c r="H1390" s="106">
        <v>0.105263157894737</v>
      </c>
      <c r="I1390" s="106"/>
      <c r="J1390" s="106"/>
      <c r="K1390" s="106"/>
      <c r="L1390" s="213">
        <v>8</v>
      </c>
      <c r="M1390" s="213">
        <v>8.33333333333333</v>
      </c>
      <c r="N1390" s="213">
        <v>8.2</v>
      </c>
      <c r="O1390" s="213">
        <v>8</v>
      </c>
      <c r="P1390" s="108">
        <v>12</v>
      </c>
      <c r="Q1390" s="108">
        <v>13.6666666666667</v>
      </c>
      <c r="R1390" s="108">
        <v>11</v>
      </c>
      <c r="S1390" s="108">
        <v>10.7142857142857</v>
      </c>
      <c r="T1390" s="108">
        <v>0</v>
      </c>
      <c r="U1390" s="108">
        <v>0</v>
      </c>
      <c r="V1390" s="108">
        <v>-0.8</v>
      </c>
      <c r="W1390" s="108">
        <v>-1</v>
      </c>
    </row>
    <row r="1391" spans="1:23">
      <c r="A1391" s="103">
        <v>45074</v>
      </c>
      <c r="B1391" s="104" t="s">
        <v>19</v>
      </c>
      <c r="C1391" s="107">
        <v>342</v>
      </c>
      <c r="D1391" s="107"/>
      <c r="E1391" s="104">
        <v>13</v>
      </c>
      <c r="F1391" s="106">
        <v>0.0380116959064327</v>
      </c>
      <c r="G1391" s="107">
        <v>4</v>
      </c>
      <c r="H1391" s="106">
        <v>0.307692307692308</v>
      </c>
      <c r="I1391" s="106"/>
      <c r="J1391" s="106"/>
      <c r="K1391" s="106"/>
      <c r="L1391" s="213">
        <v>2</v>
      </c>
      <c r="M1391" s="213">
        <v>19.3333333333333</v>
      </c>
      <c r="N1391" s="213">
        <v>52.4</v>
      </c>
      <c r="O1391" s="213">
        <v>50.1428571428572</v>
      </c>
      <c r="P1391" s="108">
        <v>-9</v>
      </c>
      <c r="Q1391" s="108">
        <v>-2.33333333333333</v>
      </c>
      <c r="R1391" s="108">
        <v>-1.4</v>
      </c>
      <c r="S1391" s="108">
        <v>-0.285714285714286</v>
      </c>
      <c r="T1391" s="108">
        <v>-2</v>
      </c>
      <c r="U1391" s="108">
        <v>-0.666666666666667</v>
      </c>
      <c r="V1391" s="108">
        <v>-0.6</v>
      </c>
      <c r="W1391" s="115">
        <v>-1.28571428571429</v>
      </c>
    </row>
    <row r="1392" spans="1:23">
      <c r="A1392" s="103">
        <v>45074</v>
      </c>
      <c r="B1392" s="104" t="s">
        <v>21</v>
      </c>
      <c r="C1392" s="145">
        <v>481</v>
      </c>
      <c r="D1392" s="145"/>
      <c r="E1392" s="104">
        <v>22</v>
      </c>
      <c r="F1392" s="106">
        <v>0.0457380457380457</v>
      </c>
      <c r="G1392" s="107">
        <v>6</v>
      </c>
      <c r="H1392" s="106">
        <v>0.272727272727273</v>
      </c>
      <c r="I1392" s="106"/>
      <c r="J1392" s="106"/>
      <c r="K1392" s="106"/>
      <c r="L1392" s="213">
        <v>-47</v>
      </c>
      <c r="M1392" s="213">
        <v>-9</v>
      </c>
      <c r="N1392" s="213">
        <v>27.6</v>
      </c>
      <c r="O1392" s="213">
        <v>15.7142857142857</v>
      </c>
      <c r="P1392" s="108">
        <v>2</v>
      </c>
      <c r="Q1392" s="108">
        <v>-0.333333333333332</v>
      </c>
      <c r="R1392" s="108">
        <v>-1.2</v>
      </c>
      <c r="S1392" s="108">
        <v>-1</v>
      </c>
      <c r="T1392" s="108">
        <v>-1</v>
      </c>
      <c r="U1392" s="108">
        <v>-1.66666666666667</v>
      </c>
      <c r="V1392" s="108">
        <v>-3</v>
      </c>
      <c r="W1392" s="108">
        <v>-2.57142857142857</v>
      </c>
    </row>
    <row r="1393" spans="1:23">
      <c r="A1393" s="103">
        <v>45074</v>
      </c>
      <c r="B1393" s="104" t="s">
        <v>22</v>
      </c>
      <c r="C1393" s="145">
        <v>4050</v>
      </c>
      <c r="D1393" s="145"/>
      <c r="E1393" s="104">
        <v>113</v>
      </c>
      <c r="F1393" s="106">
        <v>0.0279012345679012</v>
      </c>
      <c r="G1393" s="107">
        <v>54</v>
      </c>
      <c r="H1393" s="106">
        <v>0.47787610619469</v>
      </c>
      <c r="I1393" s="106"/>
      <c r="J1393" s="106"/>
      <c r="K1393" s="106"/>
      <c r="L1393" s="213">
        <v>-150</v>
      </c>
      <c r="M1393" s="213">
        <v>183.333333333333</v>
      </c>
      <c r="N1393" s="213">
        <v>481.6</v>
      </c>
      <c r="O1393" s="213">
        <v>309.428571428572</v>
      </c>
      <c r="P1393" s="108">
        <v>-12</v>
      </c>
      <c r="Q1393" s="108">
        <v>-23.3333333333333</v>
      </c>
      <c r="R1393" s="108">
        <v>-33.2</v>
      </c>
      <c r="S1393" s="115">
        <v>-39.8571428571429</v>
      </c>
      <c r="T1393" s="108">
        <v>6</v>
      </c>
      <c r="U1393" s="108">
        <v>5</v>
      </c>
      <c r="V1393" s="108">
        <v>5.4</v>
      </c>
      <c r="W1393" s="117">
        <v>0.428571428571431</v>
      </c>
    </row>
    <row r="1394" spans="1:23">
      <c r="A1394" s="103">
        <v>45074</v>
      </c>
      <c r="B1394" s="104" t="s">
        <v>23</v>
      </c>
      <c r="C1394" s="145">
        <v>1602</v>
      </c>
      <c r="D1394" s="145"/>
      <c r="E1394" s="104">
        <v>13</v>
      </c>
      <c r="F1394" s="106">
        <v>0.00811485642946317</v>
      </c>
      <c r="G1394" s="107">
        <v>3</v>
      </c>
      <c r="H1394" s="106">
        <v>0.230769230769231</v>
      </c>
      <c r="I1394" s="106"/>
      <c r="J1394" s="106"/>
      <c r="K1394" s="106"/>
      <c r="L1394" s="213">
        <v>-407</v>
      </c>
      <c r="M1394" s="213">
        <v>-380</v>
      </c>
      <c r="N1394" s="213">
        <v>-281</v>
      </c>
      <c r="O1394" s="213">
        <v>-330.571428571429</v>
      </c>
      <c r="P1394" s="108">
        <v>-5</v>
      </c>
      <c r="Q1394" s="108">
        <v>-3</v>
      </c>
      <c r="R1394" s="108">
        <v>-2.2</v>
      </c>
      <c r="S1394" s="108">
        <v>-1.42857142857143</v>
      </c>
      <c r="T1394" s="108">
        <v>-8</v>
      </c>
      <c r="U1394" s="116">
        <v>-4.66666666666667</v>
      </c>
      <c r="V1394" s="108">
        <v>-4</v>
      </c>
      <c r="W1394" s="108">
        <v>-4</v>
      </c>
    </row>
    <row r="1395" spans="1:23">
      <c r="A1395" s="103">
        <v>45074</v>
      </c>
      <c r="B1395" s="104" t="s">
        <v>24</v>
      </c>
      <c r="C1395" s="145">
        <v>8249</v>
      </c>
      <c r="D1395" s="145"/>
      <c r="E1395" s="104">
        <v>176</v>
      </c>
      <c r="F1395" s="106">
        <v>0.0213359195053946</v>
      </c>
      <c r="G1395" s="107">
        <v>40</v>
      </c>
      <c r="H1395" s="106">
        <v>0.227272727272727</v>
      </c>
      <c r="I1395" s="106"/>
      <c r="J1395" s="106"/>
      <c r="K1395" s="106"/>
      <c r="L1395" s="213">
        <v>3506</v>
      </c>
      <c r="M1395" s="213">
        <v>4087.33333333333</v>
      </c>
      <c r="N1395" s="213">
        <v>4712</v>
      </c>
      <c r="O1395" s="213">
        <v>4787.71428571429</v>
      </c>
      <c r="P1395" s="115">
        <v>16</v>
      </c>
      <c r="Q1395" s="115">
        <v>40</v>
      </c>
      <c r="R1395" s="115">
        <v>56</v>
      </c>
      <c r="S1395" s="115">
        <v>62.1428571428571</v>
      </c>
      <c r="T1395" s="115">
        <v>4</v>
      </c>
      <c r="U1395" s="115">
        <v>6</v>
      </c>
      <c r="V1395" s="115">
        <v>6.6</v>
      </c>
      <c r="W1395" s="115">
        <v>8.28571428571428</v>
      </c>
    </row>
    <row r="1396" spans="1:23">
      <c r="A1396" s="103">
        <v>45074</v>
      </c>
      <c r="B1396" s="104" t="s">
        <v>25</v>
      </c>
      <c r="C1396" s="145">
        <v>3659</v>
      </c>
      <c r="D1396" s="145"/>
      <c r="E1396" s="104">
        <v>32</v>
      </c>
      <c r="F1396" s="106">
        <v>0.00874555889587319</v>
      </c>
      <c r="G1396" s="107">
        <v>13</v>
      </c>
      <c r="H1396" s="106">
        <v>0.40625</v>
      </c>
      <c r="I1396" s="106"/>
      <c r="J1396" s="106"/>
      <c r="K1396" s="106"/>
      <c r="L1396" s="213">
        <v>1047</v>
      </c>
      <c r="M1396" s="213">
        <v>1432.33333333333</v>
      </c>
      <c r="N1396" s="213">
        <v>640.4</v>
      </c>
      <c r="O1396" s="213">
        <v>451.857142857143</v>
      </c>
      <c r="P1396" s="116">
        <v>-7</v>
      </c>
      <c r="Q1396" s="115">
        <v>1</v>
      </c>
      <c r="R1396" s="115">
        <v>-1.8</v>
      </c>
      <c r="S1396" s="115">
        <v>-6.14285714285715</v>
      </c>
      <c r="T1396" s="108">
        <v>4</v>
      </c>
      <c r="U1396" s="108">
        <v>2.33333333333333</v>
      </c>
      <c r="V1396" s="108">
        <v>0</v>
      </c>
      <c r="W1396" s="108">
        <v>-1.85714285714286</v>
      </c>
    </row>
    <row r="1397" spans="1:23">
      <c r="A1397" s="103">
        <v>45074</v>
      </c>
      <c r="B1397" s="104" t="s">
        <v>26</v>
      </c>
      <c r="C1397" s="145">
        <v>1550</v>
      </c>
      <c r="D1397" s="145"/>
      <c r="E1397" s="104">
        <v>16</v>
      </c>
      <c r="F1397" s="106">
        <v>0.0103225806451613</v>
      </c>
      <c r="G1397" s="107">
        <v>5</v>
      </c>
      <c r="H1397" s="106">
        <v>0.3125</v>
      </c>
      <c r="I1397" s="106"/>
      <c r="J1397" s="106"/>
      <c r="K1397" s="106"/>
      <c r="L1397" s="213">
        <v>146</v>
      </c>
      <c r="M1397" s="213">
        <v>51.6666666666667</v>
      </c>
      <c r="N1397" s="213">
        <v>-54.9000000000001</v>
      </c>
      <c r="O1397" s="213">
        <v>-176.214285714286</v>
      </c>
      <c r="P1397" s="108">
        <v>12</v>
      </c>
      <c r="Q1397" s="108">
        <v>10</v>
      </c>
      <c r="R1397" s="108">
        <v>8</v>
      </c>
      <c r="S1397" s="108">
        <v>4.14285714285714</v>
      </c>
      <c r="T1397" s="108">
        <v>1</v>
      </c>
      <c r="U1397" s="108">
        <v>0</v>
      </c>
      <c r="V1397" s="108">
        <v>0.8</v>
      </c>
      <c r="W1397" s="108">
        <v>-0.714285714285714</v>
      </c>
    </row>
    <row r="1398" spans="1:23">
      <c r="A1398" s="103">
        <v>45074</v>
      </c>
      <c r="B1398" s="104" t="s">
        <v>27</v>
      </c>
      <c r="C1398" s="145">
        <v>6021</v>
      </c>
      <c r="D1398" s="145"/>
      <c r="E1398" s="104">
        <v>140</v>
      </c>
      <c r="F1398" s="106">
        <v>0.0232519515030726</v>
      </c>
      <c r="G1398" s="107">
        <v>34</v>
      </c>
      <c r="H1398" s="106">
        <v>0.242857142857143</v>
      </c>
      <c r="I1398" s="106"/>
      <c r="J1398" s="106"/>
      <c r="K1398" s="106"/>
      <c r="L1398" s="213">
        <v>7</v>
      </c>
      <c r="M1398" s="213">
        <v>1144.33333333333</v>
      </c>
      <c r="N1398" s="213">
        <v>2045.7</v>
      </c>
      <c r="O1398" s="213">
        <v>2239.5</v>
      </c>
      <c r="P1398" s="108">
        <v>13</v>
      </c>
      <c r="Q1398" s="108">
        <v>20.3333333333333</v>
      </c>
      <c r="R1398" s="108">
        <v>34</v>
      </c>
      <c r="S1398" s="108">
        <v>40.1428571428571</v>
      </c>
      <c r="T1398" s="108">
        <v>-3</v>
      </c>
      <c r="U1398" s="108">
        <v>1.33333333333334</v>
      </c>
      <c r="V1398" s="108">
        <v>5.4</v>
      </c>
      <c r="W1398" s="108">
        <v>6.85714285714286</v>
      </c>
    </row>
    <row r="1399" spans="1:23">
      <c r="A1399" s="103">
        <v>45074</v>
      </c>
      <c r="B1399" s="104" t="s">
        <v>28</v>
      </c>
      <c r="C1399" s="145">
        <v>0</v>
      </c>
      <c r="D1399" s="145"/>
      <c r="E1399" s="104">
        <v>0</v>
      </c>
      <c r="F1399" s="106">
        <v>0</v>
      </c>
      <c r="G1399" s="107">
        <v>0</v>
      </c>
      <c r="H1399" s="106">
        <v>0</v>
      </c>
      <c r="I1399" s="106"/>
      <c r="J1399" s="106"/>
      <c r="K1399" s="106"/>
      <c r="L1399" s="213">
        <v>0</v>
      </c>
      <c r="M1399" s="213">
        <v>0</v>
      </c>
      <c r="N1399" s="213">
        <v>0</v>
      </c>
      <c r="O1399" s="213">
        <v>0</v>
      </c>
      <c r="P1399" s="108">
        <v>0</v>
      </c>
      <c r="Q1399" s="108">
        <v>0</v>
      </c>
      <c r="R1399" s="108">
        <v>0</v>
      </c>
      <c r="S1399" s="108">
        <v>0</v>
      </c>
      <c r="T1399" s="108">
        <v>0</v>
      </c>
      <c r="U1399" s="108">
        <v>0</v>
      </c>
      <c r="V1399" s="108">
        <v>0</v>
      </c>
      <c r="W1399" s="108">
        <v>0</v>
      </c>
    </row>
    <row r="1400" spans="1:23">
      <c r="A1400" s="103">
        <v>45074</v>
      </c>
      <c r="B1400" s="104" t="s">
        <v>29</v>
      </c>
      <c r="C1400" s="145">
        <v>1</v>
      </c>
      <c r="D1400" s="145"/>
      <c r="E1400" s="104">
        <v>0</v>
      </c>
      <c r="F1400" s="106">
        <v>0</v>
      </c>
      <c r="G1400" s="107">
        <v>0</v>
      </c>
      <c r="H1400" s="106">
        <v>0</v>
      </c>
      <c r="I1400" s="106"/>
      <c r="J1400" s="106"/>
      <c r="K1400" s="106"/>
      <c r="L1400" s="213">
        <v>1</v>
      </c>
      <c r="M1400" s="213">
        <v>1</v>
      </c>
      <c r="N1400" s="213">
        <v>1</v>
      </c>
      <c r="O1400" s="213">
        <v>0.857142857142857</v>
      </c>
      <c r="P1400" s="108">
        <v>0</v>
      </c>
      <c r="Q1400" s="108">
        <v>0</v>
      </c>
      <c r="R1400" s="108">
        <v>-0.2</v>
      </c>
      <c r="S1400" s="108">
        <v>-0.142857142857143</v>
      </c>
      <c r="T1400" s="108">
        <v>0</v>
      </c>
      <c r="U1400" s="108">
        <v>0</v>
      </c>
      <c r="V1400" s="108">
        <v>0</v>
      </c>
      <c r="W1400" s="108">
        <v>0</v>
      </c>
    </row>
    <row r="1401" spans="1:23">
      <c r="A1401" s="103">
        <v>45074</v>
      </c>
      <c r="B1401" s="104" t="s">
        <v>30</v>
      </c>
      <c r="C1401" s="145">
        <v>0</v>
      </c>
      <c r="D1401" s="145"/>
      <c r="E1401" s="104">
        <v>0</v>
      </c>
      <c r="F1401" s="106">
        <v>0</v>
      </c>
      <c r="G1401" s="107">
        <v>0</v>
      </c>
      <c r="H1401" s="106">
        <v>0</v>
      </c>
      <c r="I1401" s="106"/>
      <c r="J1401" s="106"/>
      <c r="K1401" s="106"/>
      <c r="L1401" s="213">
        <v>0</v>
      </c>
      <c r="M1401" s="213">
        <v>0</v>
      </c>
      <c r="N1401" s="213">
        <v>0</v>
      </c>
      <c r="O1401" s="213">
        <v>0</v>
      </c>
      <c r="P1401" s="108">
        <v>0</v>
      </c>
      <c r="Q1401" s="108">
        <v>0</v>
      </c>
      <c r="R1401" s="108">
        <v>0</v>
      </c>
      <c r="S1401" s="108">
        <v>0</v>
      </c>
      <c r="T1401" s="108">
        <v>0</v>
      </c>
      <c r="U1401" s="108">
        <v>0</v>
      </c>
      <c r="V1401" s="108">
        <v>0</v>
      </c>
      <c r="W1401" s="108">
        <v>0</v>
      </c>
    </row>
    <row r="1402" spans="1:23">
      <c r="A1402" s="103">
        <v>45074</v>
      </c>
      <c r="B1402" s="104" t="s">
        <v>31</v>
      </c>
      <c r="C1402" s="145">
        <v>0</v>
      </c>
      <c r="D1402" s="145"/>
      <c r="E1402" s="104">
        <v>0</v>
      </c>
      <c r="F1402" s="106">
        <v>0</v>
      </c>
      <c r="G1402" s="107">
        <v>0</v>
      </c>
      <c r="H1402" s="106">
        <v>0</v>
      </c>
      <c r="I1402" s="106"/>
      <c r="J1402" s="106"/>
      <c r="K1402" s="106"/>
      <c r="L1402" s="213">
        <v>0</v>
      </c>
      <c r="M1402" s="213">
        <v>0</v>
      </c>
      <c r="N1402" s="213">
        <v>0</v>
      </c>
      <c r="O1402" s="213">
        <v>0</v>
      </c>
      <c r="P1402" s="108">
        <v>0</v>
      </c>
      <c r="Q1402" s="108">
        <v>0</v>
      </c>
      <c r="R1402" s="108">
        <v>0</v>
      </c>
      <c r="S1402" s="108">
        <v>0</v>
      </c>
      <c r="T1402" s="108">
        <v>0</v>
      </c>
      <c r="U1402" s="108">
        <v>0</v>
      </c>
      <c r="V1402" s="108">
        <v>0</v>
      </c>
      <c r="W1402" s="108">
        <v>0</v>
      </c>
    </row>
    <row r="1403" spans="1:23">
      <c r="A1403" s="103">
        <v>45074</v>
      </c>
      <c r="B1403" s="104" t="s">
        <v>32</v>
      </c>
      <c r="C1403" s="145">
        <v>0</v>
      </c>
      <c r="D1403" s="145"/>
      <c r="E1403" s="104">
        <v>0</v>
      </c>
      <c r="F1403" s="106">
        <v>0</v>
      </c>
      <c r="G1403" s="107">
        <v>0</v>
      </c>
      <c r="H1403" s="106">
        <v>0</v>
      </c>
      <c r="I1403" s="106"/>
      <c r="J1403" s="106"/>
      <c r="K1403" s="106"/>
      <c r="L1403" s="213">
        <v>0</v>
      </c>
      <c r="M1403" s="213">
        <v>0</v>
      </c>
      <c r="N1403" s="213">
        <v>0</v>
      </c>
      <c r="O1403" s="213">
        <v>0</v>
      </c>
      <c r="P1403" s="108">
        <v>0</v>
      </c>
      <c r="Q1403" s="108">
        <v>0</v>
      </c>
      <c r="R1403" s="108">
        <v>0</v>
      </c>
      <c r="S1403" s="108">
        <v>0</v>
      </c>
      <c r="T1403" s="108">
        <v>0</v>
      </c>
      <c r="U1403" s="108">
        <v>0</v>
      </c>
      <c r="V1403" s="108">
        <v>0</v>
      </c>
      <c r="W1403" s="108">
        <v>0</v>
      </c>
    </row>
    <row r="1404" spans="1:23">
      <c r="A1404" s="103">
        <v>45074</v>
      </c>
      <c r="B1404" s="104" t="s">
        <v>33</v>
      </c>
      <c r="C1404" s="145">
        <v>0</v>
      </c>
      <c r="D1404" s="145"/>
      <c r="E1404" s="104">
        <v>0</v>
      </c>
      <c r="F1404" s="106">
        <v>0</v>
      </c>
      <c r="G1404" s="107">
        <v>0</v>
      </c>
      <c r="H1404" s="106">
        <v>0</v>
      </c>
      <c r="I1404" s="106"/>
      <c r="J1404" s="106"/>
      <c r="K1404" s="106"/>
      <c r="L1404" s="213">
        <v>0</v>
      </c>
      <c r="M1404" s="213">
        <v>0</v>
      </c>
      <c r="N1404" s="213">
        <v>0</v>
      </c>
      <c r="O1404" s="213">
        <v>0</v>
      </c>
      <c r="P1404" s="108">
        <v>0</v>
      </c>
      <c r="Q1404" s="108">
        <v>0</v>
      </c>
      <c r="R1404" s="108">
        <v>0</v>
      </c>
      <c r="S1404" s="108">
        <v>0</v>
      </c>
      <c r="T1404" s="108">
        <v>0</v>
      </c>
      <c r="U1404" s="108">
        <v>0</v>
      </c>
      <c r="V1404" s="108">
        <v>0</v>
      </c>
      <c r="W1404" s="108">
        <v>0</v>
      </c>
    </row>
    <row r="1405" spans="1:23">
      <c r="A1405" s="103">
        <v>45074</v>
      </c>
      <c r="B1405" s="104" t="s">
        <v>34</v>
      </c>
      <c r="C1405" s="145">
        <v>0</v>
      </c>
      <c r="D1405" s="145"/>
      <c r="E1405" s="104">
        <v>0</v>
      </c>
      <c r="F1405" s="106">
        <v>0</v>
      </c>
      <c r="G1405" s="107">
        <v>0</v>
      </c>
      <c r="H1405" s="106">
        <v>0</v>
      </c>
      <c r="I1405" s="106"/>
      <c r="J1405" s="106"/>
      <c r="K1405" s="106"/>
      <c r="L1405" s="213">
        <v>0</v>
      </c>
      <c r="M1405" s="213">
        <v>0</v>
      </c>
      <c r="N1405" s="213">
        <v>0</v>
      </c>
      <c r="O1405" s="213">
        <v>0</v>
      </c>
      <c r="P1405" s="108">
        <v>0</v>
      </c>
      <c r="Q1405" s="108">
        <v>0</v>
      </c>
      <c r="R1405" s="108">
        <v>0</v>
      </c>
      <c r="S1405" s="108">
        <v>0</v>
      </c>
      <c r="T1405" s="108">
        <v>0</v>
      </c>
      <c r="U1405" s="108">
        <v>0</v>
      </c>
      <c r="V1405" s="108">
        <v>0</v>
      </c>
      <c r="W1405" s="108">
        <v>0</v>
      </c>
    </row>
    <row r="1406" spans="1:23">
      <c r="A1406" s="103">
        <v>45074</v>
      </c>
      <c r="B1406" s="104" t="s">
        <v>35</v>
      </c>
      <c r="C1406" s="145">
        <v>0</v>
      </c>
      <c r="D1406" s="145"/>
      <c r="E1406" s="104">
        <v>0</v>
      </c>
      <c r="F1406" s="106">
        <v>0</v>
      </c>
      <c r="G1406" s="107">
        <v>0</v>
      </c>
      <c r="H1406" s="106">
        <v>0</v>
      </c>
      <c r="I1406" s="106"/>
      <c r="J1406" s="106"/>
      <c r="K1406" s="106"/>
      <c r="L1406" s="213">
        <v>0</v>
      </c>
      <c r="M1406" s="213">
        <v>0</v>
      </c>
      <c r="N1406" s="213">
        <v>0</v>
      </c>
      <c r="O1406" s="213">
        <v>0</v>
      </c>
      <c r="P1406" s="108">
        <v>0</v>
      </c>
      <c r="Q1406" s="108">
        <v>0</v>
      </c>
      <c r="R1406" s="108">
        <v>0</v>
      </c>
      <c r="S1406" s="108">
        <v>0</v>
      </c>
      <c r="T1406" s="108">
        <v>0</v>
      </c>
      <c r="U1406" s="108">
        <v>0</v>
      </c>
      <c r="V1406" s="108">
        <v>0</v>
      </c>
      <c r="W1406" s="108">
        <v>0</v>
      </c>
    </row>
    <row r="1407" spans="1:23">
      <c r="A1407" s="103">
        <v>45074</v>
      </c>
      <c r="B1407" s="104" t="s">
        <v>36</v>
      </c>
      <c r="C1407" s="145">
        <v>0</v>
      </c>
      <c r="D1407" s="145"/>
      <c r="E1407" s="104">
        <v>0</v>
      </c>
      <c r="F1407" s="106">
        <v>0</v>
      </c>
      <c r="G1407" s="107">
        <v>0</v>
      </c>
      <c r="H1407" s="106">
        <v>0</v>
      </c>
      <c r="I1407" s="106"/>
      <c r="J1407" s="106"/>
      <c r="K1407" s="106"/>
      <c r="L1407" s="213">
        <v>0</v>
      </c>
      <c r="M1407" s="213">
        <v>0</v>
      </c>
      <c r="N1407" s="213">
        <v>0</v>
      </c>
      <c r="O1407" s="213">
        <v>0</v>
      </c>
      <c r="P1407" s="108">
        <v>0</v>
      </c>
      <c r="Q1407" s="108">
        <v>0</v>
      </c>
      <c r="R1407" s="108">
        <v>0</v>
      </c>
      <c r="S1407" s="108">
        <v>0</v>
      </c>
      <c r="T1407" s="108">
        <v>0</v>
      </c>
      <c r="U1407" s="108">
        <v>0</v>
      </c>
      <c r="V1407" s="108">
        <v>0</v>
      </c>
      <c r="W1407" s="108">
        <v>0</v>
      </c>
    </row>
    <row r="1408" spans="1:23">
      <c r="A1408" s="103">
        <v>45074</v>
      </c>
      <c r="B1408" s="104" t="s">
        <v>37</v>
      </c>
      <c r="C1408" s="145">
        <v>0</v>
      </c>
      <c r="D1408" s="145"/>
      <c r="E1408" s="104">
        <v>0</v>
      </c>
      <c r="F1408" s="106">
        <v>0</v>
      </c>
      <c r="G1408" s="107">
        <v>0</v>
      </c>
      <c r="H1408" s="106">
        <v>0</v>
      </c>
      <c r="I1408" s="106"/>
      <c r="J1408" s="106"/>
      <c r="K1408" s="106"/>
      <c r="L1408" s="213">
        <v>0</v>
      </c>
      <c r="M1408" s="213">
        <v>0</v>
      </c>
      <c r="N1408" s="213">
        <v>0</v>
      </c>
      <c r="O1408" s="213">
        <v>0</v>
      </c>
      <c r="P1408" s="108">
        <v>0</v>
      </c>
      <c r="Q1408" s="108">
        <v>0</v>
      </c>
      <c r="R1408" s="108">
        <v>-0.2</v>
      </c>
      <c r="S1408" s="108">
        <v>-0.285714285714286</v>
      </c>
      <c r="T1408" s="108">
        <v>0</v>
      </c>
      <c r="U1408" s="108">
        <v>0</v>
      </c>
      <c r="V1408" s="108">
        <v>0</v>
      </c>
      <c r="W1408" s="108">
        <v>0</v>
      </c>
    </row>
    <row r="1409" spans="1:23">
      <c r="A1409" s="103">
        <v>45074</v>
      </c>
      <c r="B1409" s="104" t="s">
        <v>38</v>
      </c>
      <c r="C1409" s="145">
        <v>0</v>
      </c>
      <c r="D1409" s="145"/>
      <c r="E1409" s="104">
        <v>0</v>
      </c>
      <c r="F1409" s="106">
        <v>0</v>
      </c>
      <c r="G1409" s="107">
        <v>0</v>
      </c>
      <c r="H1409" s="106">
        <v>0</v>
      </c>
      <c r="I1409" s="106"/>
      <c r="J1409" s="106"/>
      <c r="K1409" s="106"/>
      <c r="L1409" s="213">
        <v>0</v>
      </c>
      <c r="M1409" s="213">
        <v>0</v>
      </c>
      <c r="N1409" s="213">
        <v>0</v>
      </c>
      <c r="O1409" s="213">
        <v>0</v>
      </c>
      <c r="P1409" s="108">
        <v>0</v>
      </c>
      <c r="Q1409" s="108">
        <v>0</v>
      </c>
      <c r="R1409" s="108">
        <v>0</v>
      </c>
      <c r="S1409" s="108">
        <v>0</v>
      </c>
      <c r="T1409" s="108">
        <v>0</v>
      </c>
      <c r="U1409" s="108">
        <v>0</v>
      </c>
      <c r="V1409" s="108">
        <v>0</v>
      </c>
      <c r="W1409" s="108">
        <v>0</v>
      </c>
    </row>
    <row r="1410" spans="1:23">
      <c r="A1410" s="103">
        <v>45074</v>
      </c>
      <c r="B1410" s="111" t="s">
        <v>39</v>
      </c>
      <c r="C1410" s="112">
        <v>25965</v>
      </c>
      <c r="D1410" s="112"/>
      <c r="E1410" s="112">
        <v>544</v>
      </c>
      <c r="F1410" s="113">
        <v>0.0209512805699981</v>
      </c>
      <c r="G1410" s="112">
        <v>161</v>
      </c>
      <c r="H1410" s="113">
        <v>0.295955882352941</v>
      </c>
      <c r="I1410" s="113"/>
      <c r="J1410" s="113"/>
      <c r="K1410" s="113"/>
      <c r="L1410" s="213"/>
      <c r="M1410" s="213"/>
      <c r="N1410" s="213"/>
      <c r="O1410" s="213"/>
      <c r="P1410" s="108"/>
      <c r="Q1410" s="108"/>
      <c r="R1410" s="108"/>
      <c r="S1410" s="108"/>
      <c r="T1410" s="108"/>
      <c r="U1410" s="108"/>
      <c r="V1410" s="108"/>
      <c r="W1410" s="108"/>
    </row>
    <row r="1411" spans="1:23">
      <c r="A1411" s="103">
        <v>45075</v>
      </c>
      <c r="B1411" s="104" t="s">
        <v>17</v>
      </c>
      <c r="C1411" s="105">
        <v>1</v>
      </c>
      <c r="D1411" s="105"/>
      <c r="E1411" s="104">
        <v>7</v>
      </c>
      <c r="F1411" s="106">
        <v>7</v>
      </c>
      <c r="G1411" s="107">
        <v>1</v>
      </c>
      <c r="H1411" s="106">
        <v>0.142857142857143</v>
      </c>
      <c r="I1411" s="106"/>
      <c r="J1411" s="106"/>
      <c r="K1411" s="106"/>
      <c r="L1411" s="213">
        <v>-9</v>
      </c>
      <c r="M1411" s="213">
        <v>-3.33333333333333</v>
      </c>
      <c r="N1411" s="213">
        <v>-2.6</v>
      </c>
      <c r="O1411" s="213">
        <v>-2.14285714285714</v>
      </c>
      <c r="P1411" s="108">
        <v>-12</v>
      </c>
      <c r="Q1411" s="108">
        <v>-3.33333333333333</v>
      </c>
      <c r="R1411" s="108">
        <v>-2.2</v>
      </c>
      <c r="S1411" s="108">
        <v>-2.85714285714286</v>
      </c>
      <c r="T1411" s="108">
        <v>-1</v>
      </c>
      <c r="U1411" s="108">
        <v>-0.666666666666667</v>
      </c>
      <c r="V1411" s="108">
        <v>-1.4</v>
      </c>
      <c r="W1411" s="108">
        <v>-1.57142857142857</v>
      </c>
    </row>
    <row r="1412" spans="1:23">
      <c r="A1412" s="103">
        <v>45075</v>
      </c>
      <c r="B1412" s="104" t="s">
        <v>19</v>
      </c>
      <c r="C1412" s="107">
        <v>364</v>
      </c>
      <c r="D1412" s="107"/>
      <c r="E1412" s="104">
        <v>17</v>
      </c>
      <c r="F1412" s="106">
        <v>0.0467032967032967</v>
      </c>
      <c r="G1412" s="107">
        <v>3</v>
      </c>
      <c r="H1412" s="106">
        <v>0.176470588235294</v>
      </c>
      <c r="I1412" s="106"/>
      <c r="J1412" s="106"/>
      <c r="K1412" s="106"/>
      <c r="L1412" s="213">
        <v>22</v>
      </c>
      <c r="M1412" s="213">
        <v>28.6666666666667</v>
      </c>
      <c r="N1412" s="213">
        <v>49.4</v>
      </c>
      <c r="O1412" s="213">
        <v>70.7142857142857</v>
      </c>
      <c r="P1412" s="108">
        <v>4</v>
      </c>
      <c r="Q1412" s="108">
        <v>1</v>
      </c>
      <c r="R1412" s="108">
        <v>3</v>
      </c>
      <c r="S1412" s="108">
        <v>3.85714285714286</v>
      </c>
      <c r="T1412" s="108">
        <v>-1</v>
      </c>
      <c r="U1412" s="108">
        <v>-1.33333333333333</v>
      </c>
      <c r="V1412" s="108">
        <v>-1.4</v>
      </c>
      <c r="W1412" s="115">
        <v>-1.85714285714286</v>
      </c>
    </row>
    <row r="1413" spans="1:23">
      <c r="A1413" s="103">
        <v>45075</v>
      </c>
      <c r="B1413" s="104" t="s">
        <v>21</v>
      </c>
      <c r="C1413" s="145">
        <v>463</v>
      </c>
      <c r="D1413" s="145"/>
      <c r="E1413" s="104">
        <v>17</v>
      </c>
      <c r="F1413" s="106">
        <v>0.0367170626349892</v>
      </c>
      <c r="G1413" s="107">
        <v>7</v>
      </c>
      <c r="H1413" s="106">
        <v>0.411764705882353</v>
      </c>
      <c r="I1413" s="106"/>
      <c r="J1413" s="106"/>
      <c r="K1413" s="106"/>
      <c r="L1413" s="213">
        <v>-18</v>
      </c>
      <c r="M1413" s="213">
        <v>-38.6666666666667</v>
      </c>
      <c r="N1413" s="213">
        <v>-20</v>
      </c>
      <c r="O1413" s="213">
        <v>2.71428571428572</v>
      </c>
      <c r="P1413" s="108">
        <v>-5</v>
      </c>
      <c r="Q1413" s="108">
        <v>-5</v>
      </c>
      <c r="R1413" s="108">
        <v>-5.6</v>
      </c>
      <c r="S1413" s="108">
        <v>-6.14285714285714</v>
      </c>
      <c r="T1413" s="108">
        <v>1</v>
      </c>
      <c r="U1413" s="108">
        <v>-0.666666666666667</v>
      </c>
      <c r="V1413" s="108">
        <v>-1.4</v>
      </c>
      <c r="W1413" s="108">
        <v>-1.57142857142857</v>
      </c>
    </row>
    <row r="1414" spans="1:23">
      <c r="A1414" s="103">
        <v>45075</v>
      </c>
      <c r="B1414" s="104" t="s">
        <v>22</v>
      </c>
      <c r="C1414" s="145">
        <v>3654</v>
      </c>
      <c r="D1414" s="145"/>
      <c r="E1414" s="104">
        <v>97</v>
      </c>
      <c r="F1414" s="106">
        <v>0.0265462506841817</v>
      </c>
      <c r="G1414" s="107">
        <v>29</v>
      </c>
      <c r="H1414" s="106">
        <v>0.298969072164948</v>
      </c>
      <c r="I1414" s="106"/>
      <c r="J1414" s="106"/>
      <c r="K1414" s="106"/>
      <c r="L1414" s="213">
        <v>-396</v>
      </c>
      <c r="M1414" s="213">
        <v>-398.666666666667</v>
      </c>
      <c r="N1414" s="213">
        <v>-193</v>
      </c>
      <c r="O1414" s="213">
        <v>-59</v>
      </c>
      <c r="P1414" s="108">
        <v>-16</v>
      </c>
      <c r="Q1414" s="108">
        <v>-27.3333333333333</v>
      </c>
      <c r="R1414" s="108">
        <v>-39</v>
      </c>
      <c r="S1414" s="115">
        <v>-48.2857142857143</v>
      </c>
      <c r="T1414" s="108">
        <v>-25</v>
      </c>
      <c r="U1414" s="108">
        <v>-19.6666666666667</v>
      </c>
      <c r="V1414" s="108">
        <v>-19.2</v>
      </c>
      <c r="W1414" s="117">
        <v>-22.4285714285714</v>
      </c>
    </row>
    <row r="1415" spans="1:23">
      <c r="A1415" s="103">
        <v>45075</v>
      </c>
      <c r="B1415" s="104" t="s">
        <v>23</v>
      </c>
      <c r="C1415" s="145">
        <v>1603</v>
      </c>
      <c r="D1415" s="145"/>
      <c r="E1415" s="104">
        <v>8</v>
      </c>
      <c r="F1415" s="106">
        <v>0.0049906425452277</v>
      </c>
      <c r="G1415" s="107">
        <v>4</v>
      </c>
      <c r="H1415" s="106">
        <v>0.5</v>
      </c>
      <c r="I1415" s="106"/>
      <c r="J1415" s="106"/>
      <c r="K1415" s="106"/>
      <c r="L1415" s="213">
        <v>1</v>
      </c>
      <c r="M1415" s="213">
        <v>-257</v>
      </c>
      <c r="N1415" s="213">
        <v>-290.2</v>
      </c>
      <c r="O1415" s="213">
        <v>-256.428571428571</v>
      </c>
      <c r="P1415" s="108">
        <v>-5</v>
      </c>
      <c r="Q1415" s="108">
        <v>-8</v>
      </c>
      <c r="R1415" s="108">
        <v>-7</v>
      </c>
      <c r="S1415" s="108">
        <v>-6.42857142857143</v>
      </c>
      <c r="T1415" s="108">
        <v>1</v>
      </c>
      <c r="U1415" s="116">
        <v>-2.66666666666667</v>
      </c>
      <c r="V1415" s="108">
        <v>-2.2</v>
      </c>
      <c r="W1415" s="108">
        <v>-2.71428571428571</v>
      </c>
    </row>
    <row r="1416" spans="1:23">
      <c r="A1416" s="103">
        <v>45075</v>
      </c>
      <c r="B1416" s="104" t="s">
        <v>24</v>
      </c>
      <c r="C1416" s="145">
        <v>8255</v>
      </c>
      <c r="D1416" s="145"/>
      <c r="E1416" s="104">
        <v>164</v>
      </c>
      <c r="F1416" s="106">
        <v>0.0198667474258025</v>
      </c>
      <c r="G1416" s="107">
        <v>52</v>
      </c>
      <c r="H1416" s="106">
        <v>0.317073170731707</v>
      </c>
      <c r="I1416" s="106"/>
      <c r="J1416" s="106"/>
      <c r="K1416" s="106"/>
      <c r="L1416" s="213">
        <v>6</v>
      </c>
      <c r="M1416" s="213">
        <v>2560</v>
      </c>
      <c r="N1416" s="213">
        <v>3504.2</v>
      </c>
      <c r="O1416" s="213">
        <v>4088.28571428571</v>
      </c>
      <c r="P1416" s="115">
        <v>-12</v>
      </c>
      <c r="Q1416" s="115">
        <v>8</v>
      </c>
      <c r="R1416" s="115">
        <v>29.4</v>
      </c>
      <c r="S1416" s="115">
        <v>39.5714285714286</v>
      </c>
      <c r="T1416" s="115">
        <v>12</v>
      </c>
      <c r="U1416" s="115">
        <v>15.6666666666667</v>
      </c>
      <c r="V1416" s="115">
        <v>17.4</v>
      </c>
      <c r="W1416" s="115">
        <v>19.1428571428571</v>
      </c>
    </row>
    <row r="1417" spans="1:23">
      <c r="A1417" s="103">
        <v>45075</v>
      </c>
      <c r="B1417" s="104" t="s">
        <v>25</v>
      </c>
      <c r="C1417" s="145">
        <v>4438</v>
      </c>
      <c r="D1417" s="145"/>
      <c r="E1417" s="104">
        <v>25</v>
      </c>
      <c r="F1417" s="106">
        <v>0.00563316809373592</v>
      </c>
      <c r="G1417" s="107">
        <v>9</v>
      </c>
      <c r="H1417" s="106">
        <v>0.36</v>
      </c>
      <c r="I1417" s="106"/>
      <c r="J1417" s="106"/>
      <c r="K1417" s="106"/>
      <c r="L1417" s="213">
        <v>779</v>
      </c>
      <c r="M1417" s="213">
        <v>1639.66666666667</v>
      </c>
      <c r="N1417" s="213">
        <v>1550.6</v>
      </c>
      <c r="O1417" s="213">
        <v>1268.14285714286</v>
      </c>
      <c r="P1417" s="116">
        <v>-7</v>
      </c>
      <c r="Q1417" s="115">
        <v>-7</v>
      </c>
      <c r="R1417" s="115">
        <v>-6.8</v>
      </c>
      <c r="S1417" s="115">
        <v>-10.4285714285714</v>
      </c>
      <c r="T1417" s="108">
        <v>-4</v>
      </c>
      <c r="U1417" s="108">
        <v>-1.33333333333333</v>
      </c>
      <c r="V1417" s="108">
        <v>-3</v>
      </c>
      <c r="W1417" s="108">
        <v>-4.71428571428571</v>
      </c>
    </row>
    <row r="1418" spans="1:23">
      <c r="A1418" s="103">
        <v>45075</v>
      </c>
      <c r="B1418" s="104" t="s">
        <v>26</v>
      </c>
      <c r="C1418" s="145">
        <v>1380</v>
      </c>
      <c r="D1418" s="145"/>
      <c r="E1418" s="104">
        <v>10</v>
      </c>
      <c r="F1418" s="106">
        <v>0.0072463768115942</v>
      </c>
      <c r="G1418" s="107">
        <v>3</v>
      </c>
      <c r="H1418" s="106">
        <v>0.3</v>
      </c>
      <c r="I1418" s="106"/>
      <c r="J1418" s="106"/>
      <c r="K1418" s="106"/>
      <c r="L1418" s="213">
        <v>-170</v>
      </c>
      <c r="M1418" s="213">
        <v>-121</v>
      </c>
      <c r="N1418" s="213">
        <v>-194.4</v>
      </c>
      <c r="O1418" s="213">
        <v>-266.642857142857</v>
      </c>
      <c r="P1418" s="108">
        <v>-6</v>
      </c>
      <c r="Q1418" s="108">
        <v>1.66666666666667</v>
      </c>
      <c r="R1418" s="108">
        <v>0.800000000000001</v>
      </c>
      <c r="S1418" s="108">
        <v>-1.28571428571429</v>
      </c>
      <c r="T1418" s="108">
        <v>-2</v>
      </c>
      <c r="U1418" s="108">
        <v>-2</v>
      </c>
      <c r="V1418" s="108">
        <v>-1.2</v>
      </c>
      <c r="W1418" s="108">
        <v>-2.28571428571429</v>
      </c>
    </row>
    <row r="1419" spans="1:23">
      <c r="A1419" s="103">
        <v>45075</v>
      </c>
      <c r="B1419" s="104" t="s">
        <v>27</v>
      </c>
      <c r="C1419" s="145">
        <v>5205</v>
      </c>
      <c r="D1419" s="145"/>
      <c r="E1419" s="104">
        <v>122</v>
      </c>
      <c r="F1419" s="106">
        <v>0.0234390009606148</v>
      </c>
      <c r="G1419" s="107">
        <v>29</v>
      </c>
      <c r="H1419" s="106">
        <v>0.237704918032787</v>
      </c>
      <c r="I1419" s="106"/>
      <c r="J1419" s="106"/>
      <c r="K1419" s="106"/>
      <c r="L1419" s="213">
        <v>-816</v>
      </c>
      <c r="M1419" s="213">
        <v>-428.666666666667</v>
      </c>
      <c r="N1419" s="213">
        <v>385.6</v>
      </c>
      <c r="O1419" s="213">
        <v>1050.35714285714</v>
      </c>
      <c r="P1419" s="108">
        <v>-18</v>
      </c>
      <c r="Q1419" s="108">
        <v>-4.66666666666667</v>
      </c>
      <c r="R1419" s="108">
        <v>2.2</v>
      </c>
      <c r="S1419" s="108">
        <v>14.2857142857143</v>
      </c>
      <c r="T1419" s="108">
        <v>-5</v>
      </c>
      <c r="U1419" s="108">
        <v>-2.33333333333333</v>
      </c>
      <c r="V1419" s="108">
        <v>-3.4</v>
      </c>
      <c r="W1419" s="108">
        <v>0</v>
      </c>
    </row>
    <row r="1420" spans="1:23">
      <c r="A1420" s="103">
        <v>45075</v>
      </c>
      <c r="B1420" s="104" t="s">
        <v>28</v>
      </c>
      <c r="C1420" s="145">
        <v>0</v>
      </c>
      <c r="D1420" s="145"/>
      <c r="E1420" s="104">
        <v>0</v>
      </c>
      <c r="F1420" s="106">
        <v>0</v>
      </c>
      <c r="G1420" s="107">
        <v>0</v>
      </c>
      <c r="H1420" s="106">
        <v>0</v>
      </c>
      <c r="I1420" s="106"/>
      <c r="J1420" s="106"/>
      <c r="K1420" s="106"/>
      <c r="L1420" s="213">
        <v>0</v>
      </c>
      <c r="M1420" s="213">
        <v>0</v>
      </c>
      <c r="N1420" s="213">
        <v>0</v>
      </c>
      <c r="O1420" s="213">
        <v>0</v>
      </c>
      <c r="P1420" s="108">
        <v>0</v>
      </c>
      <c r="Q1420" s="108">
        <v>0</v>
      </c>
      <c r="R1420" s="108">
        <v>0</v>
      </c>
      <c r="S1420" s="108">
        <v>0</v>
      </c>
      <c r="T1420" s="108">
        <v>0</v>
      </c>
      <c r="U1420" s="108">
        <v>0</v>
      </c>
      <c r="V1420" s="108">
        <v>0</v>
      </c>
      <c r="W1420" s="108">
        <v>0</v>
      </c>
    </row>
    <row r="1421" spans="1:23">
      <c r="A1421" s="103">
        <v>45075</v>
      </c>
      <c r="B1421" s="104" t="s">
        <v>29</v>
      </c>
      <c r="C1421" s="145">
        <v>0</v>
      </c>
      <c r="D1421" s="145"/>
      <c r="E1421" s="104">
        <v>0</v>
      </c>
      <c r="F1421" s="106">
        <v>0</v>
      </c>
      <c r="G1421" s="107">
        <v>0</v>
      </c>
      <c r="H1421" s="106">
        <v>0</v>
      </c>
      <c r="I1421" s="106"/>
      <c r="J1421" s="106"/>
      <c r="K1421" s="106"/>
      <c r="L1421" s="213">
        <v>-1</v>
      </c>
      <c r="M1421" s="213">
        <v>-0.333333333333333</v>
      </c>
      <c r="N1421" s="213">
        <v>-0.2</v>
      </c>
      <c r="O1421" s="213">
        <v>-0.285714285714286</v>
      </c>
      <c r="P1421" s="108">
        <v>0</v>
      </c>
      <c r="Q1421" s="108">
        <v>0</v>
      </c>
      <c r="R1421" s="108">
        <v>0</v>
      </c>
      <c r="S1421" s="108">
        <v>-0.142857142857143</v>
      </c>
      <c r="T1421" s="108">
        <v>0</v>
      </c>
      <c r="U1421" s="108">
        <v>0</v>
      </c>
      <c r="V1421" s="108">
        <v>0</v>
      </c>
      <c r="W1421" s="108">
        <v>0</v>
      </c>
    </row>
    <row r="1422" spans="1:23">
      <c r="A1422" s="103">
        <v>45075</v>
      </c>
      <c r="B1422" s="104" t="s">
        <v>30</v>
      </c>
      <c r="C1422" s="145">
        <v>0</v>
      </c>
      <c r="D1422" s="145"/>
      <c r="E1422" s="104">
        <v>0</v>
      </c>
      <c r="F1422" s="106">
        <v>0</v>
      </c>
      <c r="G1422" s="107">
        <v>0</v>
      </c>
      <c r="H1422" s="106">
        <v>0</v>
      </c>
      <c r="I1422" s="106"/>
      <c r="J1422" s="106"/>
      <c r="K1422" s="106"/>
      <c r="L1422" s="213">
        <v>0</v>
      </c>
      <c r="M1422" s="213">
        <v>0</v>
      </c>
      <c r="N1422" s="213">
        <v>0</v>
      </c>
      <c r="O1422" s="213">
        <v>0</v>
      </c>
      <c r="P1422" s="108">
        <v>0</v>
      </c>
      <c r="Q1422" s="108">
        <v>0</v>
      </c>
      <c r="R1422" s="108">
        <v>0</v>
      </c>
      <c r="S1422" s="108">
        <v>0</v>
      </c>
      <c r="T1422" s="108">
        <v>0</v>
      </c>
      <c r="U1422" s="108">
        <v>0</v>
      </c>
      <c r="V1422" s="108">
        <v>0</v>
      </c>
      <c r="W1422" s="108">
        <v>0</v>
      </c>
    </row>
    <row r="1423" spans="1:23">
      <c r="A1423" s="103">
        <v>45075</v>
      </c>
      <c r="B1423" s="104" t="s">
        <v>31</v>
      </c>
      <c r="C1423" s="145">
        <v>0</v>
      </c>
      <c r="D1423" s="145"/>
      <c r="E1423" s="104">
        <v>0</v>
      </c>
      <c r="F1423" s="106">
        <v>0</v>
      </c>
      <c r="G1423" s="107">
        <v>0</v>
      </c>
      <c r="H1423" s="106">
        <v>0</v>
      </c>
      <c r="I1423" s="106"/>
      <c r="J1423" s="106"/>
      <c r="K1423" s="106"/>
      <c r="L1423" s="213">
        <v>0</v>
      </c>
      <c r="M1423" s="213">
        <v>0</v>
      </c>
      <c r="N1423" s="213">
        <v>0</v>
      </c>
      <c r="O1423" s="213">
        <v>0</v>
      </c>
      <c r="P1423" s="108">
        <v>0</v>
      </c>
      <c r="Q1423" s="108">
        <v>0</v>
      </c>
      <c r="R1423" s="108">
        <v>0</v>
      </c>
      <c r="S1423" s="108">
        <v>0</v>
      </c>
      <c r="T1423" s="108">
        <v>0</v>
      </c>
      <c r="U1423" s="108">
        <v>0</v>
      </c>
      <c r="V1423" s="108">
        <v>0</v>
      </c>
      <c r="W1423" s="108">
        <v>0</v>
      </c>
    </row>
    <row r="1424" spans="1:23">
      <c r="A1424" s="103">
        <v>45075</v>
      </c>
      <c r="B1424" s="104" t="s">
        <v>32</v>
      </c>
      <c r="C1424" s="145">
        <v>0</v>
      </c>
      <c r="D1424" s="145"/>
      <c r="E1424" s="104">
        <v>0</v>
      </c>
      <c r="F1424" s="106">
        <v>0</v>
      </c>
      <c r="G1424" s="107">
        <v>0</v>
      </c>
      <c r="H1424" s="106">
        <v>0</v>
      </c>
      <c r="I1424" s="106"/>
      <c r="J1424" s="106"/>
      <c r="K1424" s="106"/>
      <c r="L1424" s="213">
        <v>0</v>
      </c>
      <c r="M1424" s="213">
        <v>0</v>
      </c>
      <c r="N1424" s="213">
        <v>0</v>
      </c>
      <c r="O1424" s="213">
        <v>0</v>
      </c>
      <c r="P1424" s="108">
        <v>0</v>
      </c>
      <c r="Q1424" s="108">
        <v>0</v>
      </c>
      <c r="R1424" s="108">
        <v>0</v>
      </c>
      <c r="S1424" s="108">
        <v>0</v>
      </c>
      <c r="T1424" s="108">
        <v>0</v>
      </c>
      <c r="U1424" s="108">
        <v>0</v>
      </c>
      <c r="V1424" s="108">
        <v>0</v>
      </c>
      <c r="W1424" s="108">
        <v>0</v>
      </c>
    </row>
    <row r="1425" spans="1:23">
      <c r="A1425" s="103">
        <v>45075</v>
      </c>
      <c r="B1425" s="104" t="s">
        <v>33</v>
      </c>
      <c r="C1425" s="145">
        <v>0</v>
      </c>
      <c r="D1425" s="145"/>
      <c r="E1425" s="104">
        <v>0</v>
      </c>
      <c r="F1425" s="106">
        <v>0</v>
      </c>
      <c r="G1425" s="107">
        <v>0</v>
      </c>
      <c r="H1425" s="106">
        <v>0</v>
      </c>
      <c r="I1425" s="106"/>
      <c r="J1425" s="106"/>
      <c r="K1425" s="106"/>
      <c r="L1425" s="213">
        <v>0</v>
      </c>
      <c r="M1425" s="213">
        <v>0</v>
      </c>
      <c r="N1425" s="213">
        <v>0</v>
      </c>
      <c r="O1425" s="213">
        <v>0</v>
      </c>
      <c r="P1425" s="108">
        <v>0</v>
      </c>
      <c r="Q1425" s="108">
        <v>0</v>
      </c>
      <c r="R1425" s="108">
        <v>0</v>
      </c>
      <c r="S1425" s="108">
        <v>0</v>
      </c>
      <c r="T1425" s="108">
        <v>0</v>
      </c>
      <c r="U1425" s="108">
        <v>0</v>
      </c>
      <c r="V1425" s="108">
        <v>0</v>
      </c>
      <c r="W1425" s="108">
        <v>0</v>
      </c>
    </row>
    <row r="1426" spans="1:23">
      <c r="A1426" s="103">
        <v>45075</v>
      </c>
      <c r="B1426" s="104" t="s">
        <v>34</v>
      </c>
      <c r="C1426" s="145">
        <v>0</v>
      </c>
      <c r="D1426" s="145"/>
      <c r="E1426" s="104">
        <v>0</v>
      </c>
      <c r="F1426" s="106">
        <v>0</v>
      </c>
      <c r="G1426" s="107">
        <v>0</v>
      </c>
      <c r="H1426" s="106">
        <v>0</v>
      </c>
      <c r="I1426" s="106"/>
      <c r="J1426" s="106"/>
      <c r="K1426" s="106"/>
      <c r="L1426" s="213">
        <v>0</v>
      </c>
      <c r="M1426" s="213">
        <v>0</v>
      </c>
      <c r="N1426" s="213">
        <v>0</v>
      </c>
      <c r="O1426" s="213">
        <v>0</v>
      </c>
      <c r="P1426" s="108">
        <v>0</v>
      </c>
      <c r="Q1426" s="108">
        <v>0</v>
      </c>
      <c r="R1426" s="108">
        <v>0</v>
      </c>
      <c r="S1426" s="108">
        <v>0</v>
      </c>
      <c r="T1426" s="108">
        <v>0</v>
      </c>
      <c r="U1426" s="108">
        <v>0</v>
      </c>
      <c r="V1426" s="108">
        <v>0</v>
      </c>
      <c r="W1426" s="108">
        <v>0</v>
      </c>
    </row>
    <row r="1427" spans="1:23">
      <c r="A1427" s="103">
        <v>45075</v>
      </c>
      <c r="B1427" s="104" t="s">
        <v>35</v>
      </c>
      <c r="C1427" s="145">
        <v>0</v>
      </c>
      <c r="D1427" s="145"/>
      <c r="E1427" s="104">
        <v>0</v>
      </c>
      <c r="F1427" s="106">
        <v>0</v>
      </c>
      <c r="G1427" s="107">
        <v>0</v>
      </c>
      <c r="H1427" s="106">
        <v>0</v>
      </c>
      <c r="I1427" s="106"/>
      <c r="J1427" s="106"/>
      <c r="K1427" s="106"/>
      <c r="L1427" s="213">
        <v>0</v>
      </c>
      <c r="M1427" s="213">
        <v>0</v>
      </c>
      <c r="N1427" s="213">
        <v>0</v>
      </c>
      <c r="O1427" s="213">
        <v>0</v>
      </c>
      <c r="P1427" s="108">
        <v>0</v>
      </c>
      <c r="Q1427" s="108">
        <v>0</v>
      </c>
      <c r="R1427" s="108">
        <v>0</v>
      </c>
      <c r="S1427" s="108">
        <v>0</v>
      </c>
      <c r="T1427" s="108">
        <v>0</v>
      </c>
      <c r="U1427" s="108">
        <v>0</v>
      </c>
      <c r="V1427" s="108">
        <v>0</v>
      </c>
      <c r="W1427" s="108">
        <v>0</v>
      </c>
    </row>
    <row r="1428" spans="1:23">
      <c r="A1428" s="103">
        <v>45075</v>
      </c>
      <c r="B1428" s="104" t="s">
        <v>36</v>
      </c>
      <c r="C1428" s="145">
        <v>0</v>
      </c>
      <c r="D1428" s="145"/>
      <c r="E1428" s="104">
        <v>0</v>
      </c>
      <c r="F1428" s="106">
        <v>0</v>
      </c>
      <c r="G1428" s="107">
        <v>0</v>
      </c>
      <c r="H1428" s="106">
        <v>0</v>
      </c>
      <c r="I1428" s="106"/>
      <c r="J1428" s="106"/>
      <c r="K1428" s="106"/>
      <c r="L1428" s="213">
        <v>0</v>
      </c>
      <c r="M1428" s="213">
        <v>0</v>
      </c>
      <c r="N1428" s="213">
        <v>0</v>
      </c>
      <c r="O1428" s="213">
        <v>0</v>
      </c>
      <c r="P1428" s="108">
        <v>0</v>
      </c>
      <c r="Q1428" s="108">
        <v>0</v>
      </c>
      <c r="R1428" s="108">
        <v>0</v>
      </c>
      <c r="S1428" s="108">
        <v>0</v>
      </c>
      <c r="T1428" s="108">
        <v>0</v>
      </c>
      <c r="U1428" s="108">
        <v>0</v>
      </c>
      <c r="V1428" s="108">
        <v>0</v>
      </c>
      <c r="W1428" s="108">
        <v>0</v>
      </c>
    </row>
    <row r="1429" spans="1:23">
      <c r="A1429" s="103">
        <v>45075</v>
      </c>
      <c r="B1429" s="104" t="s">
        <v>37</v>
      </c>
      <c r="C1429" s="145">
        <v>0</v>
      </c>
      <c r="D1429" s="145"/>
      <c r="E1429" s="104">
        <v>0</v>
      </c>
      <c r="F1429" s="106">
        <v>0</v>
      </c>
      <c r="G1429" s="107">
        <v>0</v>
      </c>
      <c r="H1429" s="106">
        <v>0</v>
      </c>
      <c r="I1429" s="106"/>
      <c r="J1429" s="106"/>
      <c r="K1429" s="106"/>
      <c r="L1429" s="213">
        <v>0</v>
      </c>
      <c r="M1429" s="213">
        <v>0</v>
      </c>
      <c r="N1429" s="213">
        <v>0</v>
      </c>
      <c r="O1429" s="213">
        <v>0</v>
      </c>
      <c r="P1429" s="108">
        <v>0</v>
      </c>
      <c r="Q1429" s="108">
        <v>0</v>
      </c>
      <c r="R1429" s="108">
        <v>0</v>
      </c>
      <c r="S1429" s="108">
        <v>-0.285714285714286</v>
      </c>
      <c r="T1429" s="108">
        <v>0</v>
      </c>
      <c r="U1429" s="108">
        <v>0</v>
      </c>
      <c r="V1429" s="108">
        <v>0</v>
      </c>
      <c r="W1429" s="108">
        <v>0</v>
      </c>
    </row>
    <row r="1430" spans="1:23">
      <c r="A1430" s="103">
        <v>45075</v>
      </c>
      <c r="B1430" s="104" t="s">
        <v>38</v>
      </c>
      <c r="C1430" s="145">
        <v>0</v>
      </c>
      <c r="D1430" s="145"/>
      <c r="E1430" s="104">
        <v>0</v>
      </c>
      <c r="F1430" s="106">
        <v>0</v>
      </c>
      <c r="G1430" s="107">
        <v>0</v>
      </c>
      <c r="H1430" s="106">
        <v>0</v>
      </c>
      <c r="I1430" s="106"/>
      <c r="J1430" s="106"/>
      <c r="K1430" s="106"/>
      <c r="L1430" s="213">
        <v>0</v>
      </c>
      <c r="M1430" s="213">
        <v>0</v>
      </c>
      <c r="N1430" s="213">
        <v>0</v>
      </c>
      <c r="O1430" s="213">
        <v>0</v>
      </c>
      <c r="P1430" s="108">
        <v>0</v>
      </c>
      <c r="Q1430" s="108">
        <v>0</v>
      </c>
      <c r="R1430" s="108">
        <v>0</v>
      </c>
      <c r="S1430" s="108">
        <v>0</v>
      </c>
      <c r="T1430" s="108">
        <v>0</v>
      </c>
      <c r="U1430" s="108">
        <v>0</v>
      </c>
      <c r="V1430" s="108">
        <v>0</v>
      </c>
      <c r="W1430" s="108">
        <v>0</v>
      </c>
    </row>
    <row r="1431" spans="1:23">
      <c r="A1431" s="103">
        <v>45075</v>
      </c>
      <c r="B1431" s="111" t="s">
        <v>39</v>
      </c>
      <c r="C1431" s="112">
        <v>25363</v>
      </c>
      <c r="D1431" s="112"/>
      <c r="E1431" s="112">
        <v>467</v>
      </c>
      <c r="F1431" s="113">
        <v>0.0184126483460158</v>
      </c>
      <c r="G1431" s="112">
        <v>137</v>
      </c>
      <c r="H1431" s="113">
        <v>0.293361884368308</v>
      </c>
      <c r="I1431" s="113"/>
      <c r="J1431" s="113"/>
      <c r="K1431" s="113"/>
      <c r="L1431" s="213"/>
      <c r="M1431" s="213"/>
      <c r="N1431" s="213"/>
      <c r="O1431" s="213"/>
      <c r="P1431" s="108"/>
      <c r="Q1431" s="108"/>
      <c r="R1431" s="108"/>
      <c r="S1431" s="108"/>
      <c r="T1431" s="108"/>
      <c r="U1431" s="108"/>
      <c r="V1431" s="108"/>
      <c r="W1431" s="108"/>
    </row>
    <row r="1432" spans="1:23">
      <c r="A1432" s="214">
        <v>45076</v>
      </c>
      <c r="B1432" s="104" t="s">
        <v>17</v>
      </c>
      <c r="C1432" s="105">
        <v>3</v>
      </c>
      <c r="D1432" s="105"/>
      <c r="E1432" s="104">
        <v>5</v>
      </c>
      <c r="F1432" s="106">
        <v>1.66666666666667</v>
      </c>
      <c r="G1432" s="107">
        <v>5</v>
      </c>
      <c r="H1432" s="106">
        <v>1</v>
      </c>
      <c r="I1432" s="106"/>
      <c r="J1432" s="106"/>
      <c r="K1432" s="106"/>
      <c r="L1432" s="213">
        <v>2</v>
      </c>
      <c r="M1432" s="213">
        <v>-1.33333333333333</v>
      </c>
      <c r="N1432" s="213">
        <v>-0.2</v>
      </c>
      <c r="O1432" s="213">
        <v>0.142857142857143</v>
      </c>
      <c r="P1432" s="108">
        <v>-2</v>
      </c>
      <c r="Q1432" s="108">
        <v>-6</v>
      </c>
      <c r="R1432" s="108">
        <v>-3.4</v>
      </c>
      <c r="S1432" s="108">
        <v>-4.42857142857143</v>
      </c>
      <c r="T1432" s="108">
        <v>4</v>
      </c>
      <c r="U1432" s="108">
        <v>3.33333333333333</v>
      </c>
      <c r="V1432" s="108">
        <v>3.2</v>
      </c>
      <c r="W1432" s="108">
        <v>2.57142857142857</v>
      </c>
    </row>
    <row r="1433" spans="1:23">
      <c r="A1433" s="214">
        <v>45076</v>
      </c>
      <c r="B1433" s="104" t="s">
        <v>19</v>
      </c>
      <c r="C1433" s="107">
        <v>353</v>
      </c>
      <c r="D1433" s="107"/>
      <c r="E1433" s="104">
        <v>4</v>
      </c>
      <c r="F1433" s="106">
        <v>0.0113314447592068</v>
      </c>
      <c r="G1433" s="107">
        <v>6</v>
      </c>
      <c r="H1433" s="106">
        <v>1.5</v>
      </c>
      <c r="I1433" s="106"/>
      <c r="J1433" s="106"/>
      <c r="K1433" s="106"/>
      <c r="L1433" s="213">
        <v>-11</v>
      </c>
      <c r="M1433" s="213">
        <v>4.33333333333331</v>
      </c>
      <c r="N1433" s="213">
        <v>18.2</v>
      </c>
      <c r="O1433" s="213">
        <v>45.2857142857143</v>
      </c>
      <c r="P1433" s="108">
        <v>-13</v>
      </c>
      <c r="Q1433" s="108">
        <v>-13.3333333333333</v>
      </c>
      <c r="R1433" s="108">
        <v>-11.2</v>
      </c>
      <c r="S1433" s="108">
        <v>-10.5714285714286</v>
      </c>
      <c r="T1433" s="108">
        <v>3</v>
      </c>
      <c r="U1433" s="108">
        <v>1.66666666666667</v>
      </c>
      <c r="V1433" s="108">
        <v>1.8</v>
      </c>
      <c r="W1433" s="115">
        <v>1.71428571428571</v>
      </c>
    </row>
    <row r="1434" spans="1:23">
      <c r="A1434" s="214">
        <v>45076</v>
      </c>
      <c r="B1434" s="104" t="s">
        <v>21</v>
      </c>
      <c r="C1434" s="145">
        <v>460</v>
      </c>
      <c r="D1434" s="145"/>
      <c r="E1434" s="104">
        <v>22</v>
      </c>
      <c r="F1434" s="106">
        <v>0.0478260869565217</v>
      </c>
      <c r="G1434" s="107">
        <v>6</v>
      </c>
      <c r="H1434" s="106">
        <v>0.272727272727273</v>
      </c>
      <c r="I1434" s="106"/>
      <c r="J1434" s="106"/>
      <c r="K1434" s="106"/>
      <c r="L1434" s="213">
        <v>-3</v>
      </c>
      <c r="M1434" s="213">
        <v>-30.6666666666667</v>
      </c>
      <c r="N1434" s="213">
        <v>-22.8</v>
      </c>
      <c r="O1434" s="213">
        <v>1.28571428571428</v>
      </c>
      <c r="P1434" s="108">
        <v>5</v>
      </c>
      <c r="Q1434" s="108">
        <v>2.33333333333333</v>
      </c>
      <c r="R1434" s="108">
        <v>0.800000000000001</v>
      </c>
      <c r="S1434" s="108">
        <v>-0.142857142857142</v>
      </c>
      <c r="T1434" s="108">
        <v>-1</v>
      </c>
      <c r="U1434" s="108">
        <v>-0.666666666666667</v>
      </c>
      <c r="V1434" s="108">
        <v>-1.2</v>
      </c>
      <c r="W1434" s="108">
        <v>-2.28571428571429</v>
      </c>
    </row>
    <row r="1435" spans="1:23">
      <c r="A1435" s="214">
        <v>45076</v>
      </c>
      <c r="B1435" s="104" t="s">
        <v>22</v>
      </c>
      <c r="C1435" s="145">
        <v>3652</v>
      </c>
      <c r="D1435" s="145"/>
      <c r="E1435" s="104">
        <v>102</v>
      </c>
      <c r="F1435" s="106">
        <v>0.0279299014238773</v>
      </c>
      <c r="G1435" s="107">
        <v>47</v>
      </c>
      <c r="H1435" s="106">
        <v>0.46078431372549</v>
      </c>
      <c r="I1435" s="106"/>
      <c r="J1435" s="106"/>
      <c r="K1435" s="106"/>
      <c r="L1435" s="213">
        <v>-2</v>
      </c>
      <c r="M1435" s="213">
        <v>-316</v>
      </c>
      <c r="N1435" s="213">
        <v>-208.8</v>
      </c>
      <c r="O1435" s="213">
        <v>2.57142857142844</v>
      </c>
      <c r="P1435" s="108">
        <v>5</v>
      </c>
      <c r="Q1435" s="108">
        <v>-9.66666666666667</v>
      </c>
      <c r="R1435" s="108">
        <v>-21.8</v>
      </c>
      <c r="S1435" s="115">
        <v>-32.4285714285714</v>
      </c>
      <c r="T1435" s="108">
        <v>18</v>
      </c>
      <c r="U1435" s="108">
        <v>3.33333333333334</v>
      </c>
      <c r="V1435" s="108">
        <v>1</v>
      </c>
      <c r="W1435" s="117">
        <v>0.428571428571431</v>
      </c>
    </row>
    <row r="1436" spans="1:23">
      <c r="A1436" s="214">
        <v>45076</v>
      </c>
      <c r="B1436" s="104" t="s">
        <v>23</v>
      </c>
      <c r="C1436" s="145">
        <v>1462</v>
      </c>
      <c r="D1436" s="145"/>
      <c r="E1436" s="104">
        <v>14</v>
      </c>
      <c r="F1436" s="106">
        <v>0.00957592339261286</v>
      </c>
      <c r="G1436" s="107">
        <v>5</v>
      </c>
      <c r="H1436" s="106">
        <v>0.357142857142857</v>
      </c>
      <c r="I1436" s="106"/>
      <c r="J1436" s="106"/>
      <c r="K1436" s="106"/>
      <c r="L1436" s="213">
        <v>-141</v>
      </c>
      <c r="M1436" s="213">
        <v>-276</v>
      </c>
      <c r="N1436" s="213">
        <v>-368.2</v>
      </c>
      <c r="O1436" s="213">
        <v>-340.857142857143</v>
      </c>
      <c r="P1436" s="108">
        <v>6</v>
      </c>
      <c r="Q1436" s="108">
        <v>1</v>
      </c>
      <c r="R1436" s="108">
        <v>0.199999999999999</v>
      </c>
      <c r="S1436" s="108">
        <v>0.142857142857142</v>
      </c>
      <c r="T1436" s="108">
        <v>1</v>
      </c>
      <c r="U1436" s="116">
        <v>-1</v>
      </c>
      <c r="V1436" s="108">
        <v>-1</v>
      </c>
      <c r="W1436" s="108">
        <v>-1</v>
      </c>
    </row>
    <row r="1437" spans="1:23">
      <c r="A1437" s="214">
        <v>45076</v>
      </c>
      <c r="B1437" s="104" t="s">
        <v>24</v>
      </c>
      <c r="C1437" s="145">
        <v>8340</v>
      </c>
      <c r="D1437" s="145"/>
      <c r="E1437" s="104">
        <v>144</v>
      </c>
      <c r="F1437" s="106">
        <v>0.0172661870503597</v>
      </c>
      <c r="G1437" s="107">
        <v>39</v>
      </c>
      <c r="H1437" s="106">
        <v>0.270833333333333</v>
      </c>
      <c r="I1437" s="106"/>
      <c r="J1437" s="106"/>
      <c r="K1437" s="106"/>
      <c r="L1437" s="213">
        <v>85</v>
      </c>
      <c r="M1437" s="213">
        <v>1257.66666666667</v>
      </c>
      <c r="N1437" s="213">
        <v>2542.2</v>
      </c>
      <c r="O1437" s="213">
        <v>3455.85714285714</v>
      </c>
      <c r="P1437" s="115">
        <v>-20</v>
      </c>
      <c r="Q1437" s="115">
        <v>-22.6666666666667</v>
      </c>
      <c r="R1437" s="115">
        <v>-5.59999999999999</v>
      </c>
      <c r="S1437" s="115">
        <v>9.71428571428572</v>
      </c>
      <c r="T1437" s="115">
        <v>-13</v>
      </c>
      <c r="U1437" s="115">
        <v>-3.66666666666666</v>
      </c>
      <c r="V1437" s="115">
        <v>0.200000000000003</v>
      </c>
      <c r="W1437" s="115">
        <v>2</v>
      </c>
    </row>
    <row r="1438" spans="1:23">
      <c r="A1438" s="214">
        <v>45076</v>
      </c>
      <c r="B1438" s="104" t="s">
        <v>25</v>
      </c>
      <c r="C1438" s="145">
        <v>4456</v>
      </c>
      <c r="D1438" s="145"/>
      <c r="E1438" s="104">
        <v>28</v>
      </c>
      <c r="F1438" s="106">
        <v>0.00628366247755835</v>
      </c>
      <c r="G1438" s="107">
        <v>17</v>
      </c>
      <c r="H1438" s="106">
        <v>0.607142857142857</v>
      </c>
      <c r="I1438" s="106"/>
      <c r="J1438" s="106"/>
      <c r="K1438" s="106"/>
      <c r="L1438" s="213">
        <v>18</v>
      </c>
      <c r="M1438" s="213">
        <v>886.333333333333</v>
      </c>
      <c r="N1438" s="213">
        <v>1500.6</v>
      </c>
      <c r="O1438" s="213">
        <v>1143.14285714286</v>
      </c>
      <c r="P1438" s="116">
        <v>3</v>
      </c>
      <c r="Q1438" s="115">
        <v>-4</v>
      </c>
      <c r="R1438" s="115">
        <v>-2</v>
      </c>
      <c r="S1438" s="115">
        <v>-4.28571428571428</v>
      </c>
      <c r="T1438" s="108">
        <v>8</v>
      </c>
      <c r="U1438" s="108">
        <v>6.66666666666667</v>
      </c>
      <c r="V1438" s="108">
        <v>6.2</v>
      </c>
      <c r="W1438" s="108">
        <v>4.57142857142857</v>
      </c>
    </row>
    <row r="1439" spans="1:23">
      <c r="A1439" s="214">
        <v>45076</v>
      </c>
      <c r="B1439" s="104" t="s">
        <v>26</v>
      </c>
      <c r="C1439" s="145">
        <v>1492</v>
      </c>
      <c r="D1439" s="145"/>
      <c r="E1439" s="104">
        <v>13</v>
      </c>
      <c r="F1439" s="106">
        <v>0.00871313672922252</v>
      </c>
      <c r="G1439" s="107">
        <v>10</v>
      </c>
      <c r="H1439" s="106">
        <v>0.769230769230769</v>
      </c>
      <c r="I1439" s="106"/>
      <c r="J1439" s="106"/>
      <c r="K1439" s="106"/>
      <c r="L1439" s="213">
        <v>112</v>
      </c>
      <c r="M1439" s="213">
        <v>47.3333333333333</v>
      </c>
      <c r="N1439" s="213">
        <v>7</v>
      </c>
      <c r="O1439" s="213">
        <v>-72.9285714285713</v>
      </c>
      <c r="P1439" s="108">
        <v>3</v>
      </c>
      <c r="Q1439" s="108">
        <v>3</v>
      </c>
      <c r="R1439" s="108">
        <v>4.2</v>
      </c>
      <c r="S1439" s="108">
        <v>3.57142857142857</v>
      </c>
      <c r="T1439" s="108">
        <v>7</v>
      </c>
      <c r="U1439" s="108">
        <v>6</v>
      </c>
      <c r="V1439" s="108">
        <v>5.4</v>
      </c>
      <c r="W1439" s="108">
        <v>5.85714285714286</v>
      </c>
    </row>
    <row r="1440" spans="1:23">
      <c r="A1440" s="214">
        <v>45076</v>
      </c>
      <c r="B1440" s="104" t="s">
        <v>27</v>
      </c>
      <c r="C1440" s="145">
        <v>5010</v>
      </c>
      <c r="D1440" s="145"/>
      <c r="E1440" s="104">
        <v>143</v>
      </c>
      <c r="F1440" s="106">
        <v>0.0285429141716567</v>
      </c>
      <c r="G1440" s="107">
        <v>43</v>
      </c>
      <c r="H1440" s="106">
        <v>0.300699300699301</v>
      </c>
      <c r="I1440" s="106"/>
      <c r="J1440" s="106"/>
      <c r="K1440" s="106"/>
      <c r="L1440" s="213">
        <v>-195</v>
      </c>
      <c r="M1440" s="213">
        <v>-736.666666666667</v>
      </c>
      <c r="N1440" s="213">
        <v>-161.2</v>
      </c>
      <c r="O1440" s="213">
        <v>566.785714285715</v>
      </c>
      <c r="P1440" s="108">
        <v>21</v>
      </c>
      <c r="Q1440" s="108">
        <v>13.3333333333333</v>
      </c>
      <c r="R1440" s="108">
        <v>18.8</v>
      </c>
      <c r="S1440" s="108">
        <v>29.8571428571429</v>
      </c>
      <c r="T1440" s="108">
        <v>14</v>
      </c>
      <c r="U1440" s="108">
        <v>9.66666666666666</v>
      </c>
      <c r="V1440" s="108">
        <v>10.8</v>
      </c>
      <c r="W1440" s="108">
        <v>13.5714285714286</v>
      </c>
    </row>
    <row r="1441" spans="1:23">
      <c r="A1441" s="214">
        <v>45076</v>
      </c>
      <c r="B1441" s="104" t="s">
        <v>28</v>
      </c>
      <c r="C1441" s="145">
        <v>0</v>
      </c>
      <c r="D1441" s="145"/>
      <c r="E1441" s="104">
        <v>0</v>
      </c>
      <c r="F1441" s="106">
        <v>0</v>
      </c>
      <c r="G1441" s="107">
        <v>0</v>
      </c>
      <c r="H1441" s="106">
        <v>0</v>
      </c>
      <c r="I1441" s="106"/>
      <c r="J1441" s="106"/>
      <c r="K1441" s="106"/>
      <c r="L1441" s="213">
        <v>0</v>
      </c>
      <c r="M1441" s="213">
        <v>0</v>
      </c>
      <c r="N1441" s="213">
        <v>0</v>
      </c>
      <c r="O1441" s="213">
        <v>0</v>
      </c>
      <c r="P1441" s="108">
        <v>0</v>
      </c>
      <c r="Q1441" s="108">
        <v>0</v>
      </c>
      <c r="R1441" s="108">
        <v>0</v>
      </c>
      <c r="S1441" s="108">
        <v>0</v>
      </c>
      <c r="T1441" s="108">
        <v>0</v>
      </c>
      <c r="U1441" s="108">
        <v>0</v>
      </c>
      <c r="V1441" s="108">
        <v>0</v>
      </c>
      <c r="W1441" s="108">
        <v>0</v>
      </c>
    </row>
    <row r="1442" spans="1:23">
      <c r="A1442" s="214">
        <v>45076</v>
      </c>
      <c r="B1442" s="104" t="s">
        <v>29</v>
      </c>
      <c r="C1442" s="145">
        <v>2</v>
      </c>
      <c r="D1442" s="145"/>
      <c r="E1442" s="104">
        <v>0</v>
      </c>
      <c r="F1442" s="106">
        <v>0</v>
      </c>
      <c r="G1442" s="107">
        <v>0</v>
      </c>
      <c r="H1442" s="106">
        <v>0</v>
      </c>
      <c r="I1442" s="106"/>
      <c r="J1442" s="106"/>
      <c r="K1442" s="106"/>
      <c r="L1442" s="213">
        <v>2</v>
      </c>
      <c r="M1442" s="213">
        <v>1.66666666666667</v>
      </c>
      <c r="N1442" s="213">
        <v>1.8</v>
      </c>
      <c r="O1442" s="213">
        <v>1.85714285714286</v>
      </c>
      <c r="P1442" s="108">
        <v>0</v>
      </c>
      <c r="Q1442" s="108">
        <v>0</v>
      </c>
      <c r="R1442" s="108">
        <v>0</v>
      </c>
      <c r="S1442" s="108">
        <v>-0.142857142857143</v>
      </c>
      <c r="T1442" s="108">
        <v>0</v>
      </c>
      <c r="U1442" s="108">
        <v>0</v>
      </c>
      <c r="V1442" s="108">
        <v>0</v>
      </c>
      <c r="W1442" s="108">
        <v>0</v>
      </c>
    </row>
    <row r="1443" spans="1:23">
      <c r="A1443" s="214">
        <v>45076</v>
      </c>
      <c r="B1443" s="104" t="s">
        <v>30</v>
      </c>
      <c r="C1443" s="145">
        <v>0</v>
      </c>
      <c r="D1443" s="145"/>
      <c r="E1443" s="104">
        <v>0</v>
      </c>
      <c r="F1443" s="106">
        <v>0</v>
      </c>
      <c r="G1443" s="107">
        <v>0</v>
      </c>
      <c r="H1443" s="106">
        <v>0</v>
      </c>
      <c r="I1443" s="106"/>
      <c r="J1443" s="106"/>
      <c r="K1443" s="106"/>
      <c r="L1443" s="213">
        <v>0</v>
      </c>
      <c r="M1443" s="213">
        <v>0</v>
      </c>
      <c r="N1443" s="213">
        <v>0</v>
      </c>
      <c r="O1443" s="213">
        <v>0</v>
      </c>
      <c r="P1443" s="108">
        <v>0</v>
      </c>
      <c r="Q1443" s="108">
        <v>0</v>
      </c>
      <c r="R1443" s="108">
        <v>0</v>
      </c>
      <c r="S1443" s="108">
        <v>0</v>
      </c>
      <c r="T1443" s="108">
        <v>0</v>
      </c>
      <c r="U1443" s="108">
        <v>0</v>
      </c>
      <c r="V1443" s="108">
        <v>0</v>
      </c>
      <c r="W1443" s="108">
        <v>0</v>
      </c>
    </row>
    <row r="1444" spans="1:23">
      <c r="A1444" s="214">
        <v>45076</v>
      </c>
      <c r="B1444" s="104" t="s">
        <v>31</v>
      </c>
      <c r="C1444" s="145">
        <v>0</v>
      </c>
      <c r="D1444" s="145"/>
      <c r="E1444" s="104">
        <v>0</v>
      </c>
      <c r="F1444" s="106">
        <v>0</v>
      </c>
      <c r="G1444" s="107">
        <v>0</v>
      </c>
      <c r="H1444" s="106">
        <v>0</v>
      </c>
      <c r="I1444" s="106"/>
      <c r="J1444" s="106"/>
      <c r="K1444" s="106"/>
      <c r="L1444" s="213">
        <v>0</v>
      </c>
      <c r="M1444" s="213">
        <v>0</v>
      </c>
      <c r="N1444" s="213">
        <v>0</v>
      </c>
      <c r="O1444" s="213">
        <v>0</v>
      </c>
      <c r="P1444" s="108">
        <v>0</v>
      </c>
      <c r="Q1444" s="108">
        <v>0</v>
      </c>
      <c r="R1444" s="108">
        <v>0</v>
      </c>
      <c r="S1444" s="108">
        <v>0</v>
      </c>
      <c r="T1444" s="108">
        <v>0</v>
      </c>
      <c r="U1444" s="108">
        <v>0</v>
      </c>
      <c r="V1444" s="108">
        <v>0</v>
      </c>
      <c r="W1444" s="108">
        <v>0</v>
      </c>
    </row>
    <row r="1445" spans="1:23">
      <c r="A1445" s="214">
        <v>45076</v>
      </c>
      <c r="B1445" s="104" t="s">
        <v>32</v>
      </c>
      <c r="C1445" s="145">
        <v>0</v>
      </c>
      <c r="D1445" s="145"/>
      <c r="E1445" s="104">
        <v>0</v>
      </c>
      <c r="F1445" s="106">
        <v>0</v>
      </c>
      <c r="G1445" s="107">
        <v>0</v>
      </c>
      <c r="H1445" s="106">
        <v>0</v>
      </c>
      <c r="I1445" s="106"/>
      <c r="J1445" s="106"/>
      <c r="K1445" s="106"/>
      <c r="L1445" s="213">
        <v>0</v>
      </c>
      <c r="M1445" s="213">
        <v>0</v>
      </c>
      <c r="N1445" s="213">
        <v>0</v>
      </c>
      <c r="O1445" s="213">
        <v>0</v>
      </c>
      <c r="P1445" s="108">
        <v>0</v>
      </c>
      <c r="Q1445" s="108">
        <v>0</v>
      </c>
      <c r="R1445" s="108">
        <v>0</v>
      </c>
      <c r="S1445" s="108">
        <v>0</v>
      </c>
      <c r="T1445" s="108">
        <v>0</v>
      </c>
      <c r="U1445" s="108">
        <v>0</v>
      </c>
      <c r="V1445" s="108">
        <v>0</v>
      </c>
      <c r="W1445" s="108">
        <v>0</v>
      </c>
    </row>
    <row r="1446" spans="1:23">
      <c r="A1446" s="214">
        <v>45076</v>
      </c>
      <c r="B1446" s="104" t="s">
        <v>33</v>
      </c>
      <c r="C1446" s="145">
        <v>0</v>
      </c>
      <c r="D1446" s="145"/>
      <c r="E1446" s="104">
        <v>0</v>
      </c>
      <c r="F1446" s="106">
        <v>0</v>
      </c>
      <c r="G1446" s="107">
        <v>0</v>
      </c>
      <c r="H1446" s="106">
        <v>0</v>
      </c>
      <c r="I1446" s="106"/>
      <c r="J1446" s="106"/>
      <c r="K1446" s="106"/>
      <c r="L1446" s="213">
        <v>0</v>
      </c>
      <c r="M1446" s="213">
        <v>0</v>
      </c>
      <c r="N1446" s="213">
        <v>0</v>
      </c>
      <c r="O1446" s="213">
        <v>0</v>
      </c>
      <c r="P1446" s="108">
        <v>0</v>
      </c>
      <c r="Q1446" s="108">
        <v>0</v>
      </c>
      <c r="R1446" s="108">
        <v>0</v>
      </c>
      <c r="S1446" s="108">
        <v>0</v>
      </c>
      <c r="T1446" s="108">
        <v>0</v>
      </c>
      <c r="U1446" s="108">
        <v>0</v>
      </c>
      <c r="V1446" s="108">
        <v>0</v>
      </c>
      <c r="W1446" s="108">
        <v>0</v>
      </c>
    </row>
    <row r="1447" spans="1:23">
      <c r="A1447" s="214">
        <v>45076</v>
      </c>
      <c r="B1447" s="104" t="s">
        <v>34</v>
      </c>
      <c r="C1447" s="145">
        <v>0</v>
      </c>
      <c r="D1447" s="145"/>
      <c r="E1447" s="104">
        <v>0</v>
      </c>
      <c r="F1447" s="106">
        <v>0</v>
      </c>
      <c r="G1447" s="107">
        <v>0</v>
      </c>
      <c r="H1447" s="106">
        <v>0</v>
      </c>
      <c r="I1447" s="106"/>
      <c r="J1447" s="106"/>
      <c r="K1447" s="106"/>
      <c r="L1447" s="213">
        <v>0</v>
      </c>
      <c r="M1447" s="213">
        <v>0</v>
      </c>
      <c r="N1447" s="213">
        <v>0</v>
      </c>
      <c r="O1447" s="213">
        <v>0</v>
      </c>
      <c r="P1447" s="108">
        <v>0</v>
      </c>
      <c r="Q1447" s="108">
        <v>0</v>
      </c>
      <c r="R1447" s="108">
        <v>0</v>
      </c>
      <c r="S1447" s="108">
        <v>0</v>
      </c>
      <c r="T1447" s="108">
        <v>0</v>
      </c>
      <c r="U1447" s="108">
        <v>0</v>
      </c>
      <c r="V1447" s="108">
        <v>0</v>
      </c>
      <c r="W1447" s="108">
        <v>0</v>
      </c>
    </row>
    <row r="1448" spans="1:23">
      <c r="A1448" s="214">
        <v>45076</v>
      </c>
      <c r="B1448" s="104" t="s">
        <v>35</v>
      </c>
      <c r="C1448" s="145">
        <v>0</v>
      </c>
      <c r="D1448" s="145"/>
      <c r="E1448" s="104">
        <v>0</v>
      </c>
      <c r="F1448" s="106">
        <v>0</v>
      </c>
      <c r="G1448" s="107">
        <v>0</v>
      </c>
      <c r="H1448" s="106">
        <v>0</v>
      </c>
      <c r="I1448" s="106"/>
      <c r="J1448" s="106"/>
      <c r="K1448" s="106"/>
      <c r="L1448" s="213">
        <v>0</v>
      </c>
      <c r="M1448" s="213">
        <v>0</v>
      </c>
      <c r="N1448" s="213">
        <v>0</v>
      </c>
      <c r="O1448" s="213">
        <v>0</v>
      </c>
      <c r="P1448" s="108">
        <v>0</v>
      </c>
      <c r="Q1448" s="108">
        <v>0</v>
      </c>
      <c r="R1448" s="108">
        <v>0</v>
      </c>
      <c r="S1448" s="108">
        <v>0</v>
      </c>
      <c r="T1448" s="108">
        <v>0</v>
      </c>
      <c r="U1448" s="108">
        <v>0</v>
      </c>
      <c r="V1448" s="108">
        <v>0</v>
      </c>
      <c r="W1448" s="108">
        <v>0</v>
      </c>
    </row>
    <row r="1449" spans="1:23">
      <c r="A1449" s="214">
        <v>45076</v>
      </c>
      <c r="B1449" s="104" t="s">
        <v>36</v>
      </c>
      <c r="C1449" s="145">
        <v>0</v>
      </c>
      <c r="D1449" s="145"/>
      <c r="E1449" s="104">
        <v>0</v>
      </c>
      <c r="F1449" s="106">
        <v>0</v>
      </c>
      <c r="G1449" s="107">
        <v>0</v>
      </c>
      <c r="H1449" s="106">
        <v>0</v>
      </c>
      <c r="I1449" s="106"/>
      <c r="J1449" s="106"/>
      <c r="K1449" s="106"/>
      <c r="L1449" s="213">
        <v>0</v>
      </c>
      <c r="M1449" s="213">
        <v>0</v>
      </c>
      <c r="N1449" s="213">
        <v>0</v>
      </c>
      <c r="O1449" s="213">
        <v>0</v>
      </c>
      <c r="P1449" s="108">
        <v>0</v>
      </c>
      <c r="Q1449" s="108">
        <v>0</v>
      </c>
      <c r="R1449" s="108">
        <v>0</v>
      </c>
      <c r="S1449" s="108">
        <v>0</v>
      </c>
      <c r="T1449" s="108">
        <v>0</v>
      </c>
      <c r="U1449" s="108">
        <v>0</v>
      </c>
      <c r="V1449" s="108">
        <v>0</v>
      </c>
      <c r="W1449" s="108">
        <v>0</v>
      </c>
    </row>
    <row r="1450" spans="1:23">
      <c r="A1450" s="214">
        <v>45076</v>
      </c>
      <c r="B1450" s="104" t="s">
        <v>37</v>
      </c>
      <c r="C1450" s="145">
        <v>0</v>
      </c>
      <c r="D1450" s="145"/>
      <c r="E1450" s="104">
        <v>0</v>
      </c>
      <c r="F1450" s="106">
        <v>0</v>
      </c>
      <c r="G1450" s="107">
        <v>0</v>
      </c>
      <c r="H1450" s="106">
        <v>0</v>
      </c>
      <c r="I1450" s="106"/>
      <c r="J1450" s="106"/>
      <c r="K1450" s="106"/>
      <c r="L1450" s="213">
        <v>0</v>
      </c>
      <c r="M1450" s="213">
        <v>0</v>
      </c>
      <c r="N1450" s="213">
        <v>0</v>
      </c>
      <c r="O1450" s="213">
        <v>0</v>
      </c>
      <c r="P1450" s="108">
        <v>0</v>
      </c>
      <c r="Q1450" s="108">
        <v>0</v>
      </c>
      <c r="R1450" s="108">
        <v>0</v>
      </c>
      <c r="S1450" s="108">
        <v>-0.142857142857143</v>
      </c>
      <c r="T1450" s="108">
        <v>0</v>
      </c>
      <c r="U1450" s="108">
        <v>0</v>
      </c>
      <c r="V1450" s="108">
        <v>0</v>
      </c>
      <c r="W1450" s="108">
        <v>0</v>
      </c>
    </row>
    <row r="1451" spans="1:23">
      <c r="A1451" s="214">
        <v>45076</v>
      </c>
      <c r="B1451" s="104" t="s">
        <v>38</v>
      </c>
      <c r="C1451" s="145">
        <v>0</v>
      </c>
      <c r="D1451" s="145"/>
      <c r="E1451" s="104">
        <v>0</v>
      </c>
      <c r="F1451" s="106">
        <v>0</v>
      </c>
      <c r="G1451" s="107">
        <v>0</v>
      </c>
      <c r="H1451" s="106">
        <v>0</v>
      </c>
      <c r="I1451" s="106"/>
      <c r="J1451" s="106"/>
      <c r="K1451" s="106"/>
      <c r="L1451" s="213">
        <v>0</v>
      </c>
      <c r="M1451" s="213">
        <v>0</v>
      </c>
      <c r="N1451" s="213">
        <v>0</v>
      </c>
      <c r="O1451" s="213">
        <v>0</v>
      </c>
      <c r="P1451" s="108">
        <v>0</v>
      </c>
      <c r="Q1451" s="108">
        <v>0</v>
      </c>
      <c r="R1451" s="108">
        <v>0</v>
      </c>
      <c r="S1451" s="108">
        <v>0</v>
      </c>
      <c r="T1451" s="108">
        <v>0</v>
      </c>
      <c r="U1451" s="108">
        <v>0</v>
      </c>
      <c r="V1451" s="108">
        <v>0</v>
      </c>
      <c r="W1451" s="108">
        <v>0</v>
      </c>
    </row>
    <row r="1452" spans="1:23">
      <c r="A1452" s="214">
        <v>45076</v>
      </c>
      <c r="B1452" s="111" t="s">
        <v>39</v>
      </c>
      <c r="C1452" s="112">
        <v>25230</v>
      </c>
      <c r="D1452" s="112"/>
      <c r="E1452" s="112">
        <v>475</v>
      </c>
      <c r="F1452" s="113">
        <v>0.0188267934998018</v>
      </c>
      <c r="G1452" s="112">
        <v>178</v>
      </c>
      <c r="H1452" s="113">
        <v>0.374736842105263</v>
      </c>
      <c r="I1452" s="113"/>
      <c r="J1452" s="113"/>
      <c r="K1452" s="113"/>
      <c r="L1452" s="213"/>
      <c r="M1452" s="213"/>
      <c r="N1452" s="213"/>
      <c r="O1452" s="213"/>
      <c r="P1452" s="108"/>
      <c r="Q1452" s="108"/>
      <c r="R1452" s="108"/>
      <c r="S1452" s="108"/>
      <c r="T1452" s="108"/>
      <c r="U1452" s="108"/>
      <c r="V1452" s="108"/>
      <c r="W1452" s="108"/>
    </row>
    <row r="1453" spans="1:23">
      <c r="A1453" s="103">
        <v>45077</v>
      </c>
      <c r="B1453" s="104" t="s">
        <v>17</v>
      </c>
      <c r="C1453" s="105">
        <v>10</v>
      </c>
      <c r="D1453" s="105"/>
      <c r="E1453" s="104">
        <v>10</v>
      </c>
      <c r="F1453" s="106">
        <v>1</v>
      </c>
      <c r="G1453" s="107">
        <v>4</v>
      </c>
      <c r="H1453" s="106">
        <v>0.4</v>
      </c>
      <c r="I1453" s="106"/>
      <c r="J1453" s="106"/>
      <c r="K1453" s="106"/>
      <c r="L1453" s="213">
        <v>7</v>
      </c>
      <c r="M1453" s="213">
        <v>5.33333333333333</v>
      </c>
      <c r="N1453" s="213">
        <v>6.6</v>
      </c>
      <c r="O1453" s="213">
        <v>6.85714285714286</v>
      </c>
      <c r="P1453" s="108">
        <v>5</v>
      </c>
      <c r="Q1453" s="108">
        <v>-0.333333333333334</v>
      </c>
      <c r="R1453" s="108">
        <v>1.4</v>
      </c>
      <c r="S1453" s="108">
        <v>1.71428571428571</v>
      </c>
      <c r="T1453" s="108">
        <v>-1</v>
      </c>
      <c r="U1453" s="108">
        <v>1.33333333333333</v>
      </c>
      <c r="V1453" s="108">
        <v>1.8</v>
      </c>
      <c r="W1453" s="108">
        <v>1.42857142857143</v>
      </c>
    </row>
    <row r="1454" spans="1:23">
      <c r="A1454" s="103">
        <v>45077</v>
      </c>
      <c r="B1454" s="104" t="s">
        <v>19</v>
      </c>
      <c r="C1454" s="107">
        <v>306</v>
      </c>
      <c r="D1454" s="107"/>
      <c r="E1454" s="104">
        <v>7</v>
      </c>
      <c r="F1454" s="106">
        <v>0.0228758169934641</v>
      </c>
      <c r="G1454" s="107">
        <v>2</v>
      </c>
      <c r="H1454" s="106">
        <v>0.285714285714286</v>
      </c>
      <c r="I1454" s="106"/>
      <c r="J1454" s="106"/>
      <c r="K1454" s="106"/>
      <c r="L1454" s="213">
        <v>-47</v>
      </c>
      <c r="M1454" s="213">
        <v>-47</v>
      </c>
      <c r="N1454" s="213">
        <v>-38.6</v>
      </c>
      <c r="O1454" s="213">
        <v>-21.1428571428572</v>
      </c>
      <c r="P1454" s="108">
        <v>3</v>
      </c>
      <c r="Q1454" s="108">
        <v>-4.33333333333333</v>
      </c>
      <c r="R1454" s="108">
        <v>-6.8</v>
      </c>
      <c r="S1454" s="108">
        <v>-6</v>
      </c>
      <c r="T1454" s="108">
        <v>-4</v>
      </c>
      <c r="U1454" s="108">
        <v>-2.33333333333333</v>
      </c>
      <c r="V1454" s="108">
        <v>-2.4</v>
      </c>
      <c r="W1454" s="115">
        <v>-2.42857142857143</v>
      </c>
    </row>
    <row r="1455" spans="1:23">
      <c r="A1455" s="103">
        <v>45077</v>
      </c>
      <c r="B1455" s="104" t="s">
        <v>21</v>
      </c>
      <c r="C1455" s="145">
        <v>320</v>
      </c>
      <c r="D1455" s="145"/>
      <c r="E1455" s="104">
        <v>18</v>
      </c>
      <c r="F1455" s="106">
        <v>0.05625</v>
      </c>
      <c r="G1455" s="107">
        <v>7</v>
      </c>
      <c r="H1455" s="106">
        <v>0.388888888888889</v>
      </c>
      <c r="I1455" s="106"/>
      <c r="J1455" s="106"/>
      <c r="K1455" s="106"/>
      <c r="L1455" s="213">
        <v>-140</v>
      </c>
      <c r="M1455" s="213">
        <v>-148</v>
      </c>
      <c r="N1455" s="213">
        <v>-165.6</v>
      </c>
      <c r="O1455" s="213">
        <v>-156.857142857143</v>
      </c>
      <c r="P1455" s="108">
        <v>-4</v>
      </c>
      <c r="Q1455" s="108">
        <v>-2.33333333333333</v>
      </c>
      <c r="R1455" s="108">
        <v>-3</v>
      </c>
      <c r="S1455" s="108">
        <v>-3.71428571428572</v>
      </c>
      <c r="T1455" s="108">
        <v>1</v>
      </c>
      <c r="U1455" s="108">
        <v>0.666666666666667</v>
      </c>
      <c r="V1455" s="108">
        <v>-0.2</v>
      </c>
      <c r="W1455" s="108">
        <v>-0.857142857142857</v>
      </c>
    </row>
    <row r="1456" spans="1:23">
      <c r="A1456" s="103">
        <v>45077</v>
      </c>
      <c r="B1456" s="104" t="s">
        <v>22</v>
      </c>
      <c r="C1456" s="145">
        <v>3512</v>
      </c>
      <c r="D1456" s="145"/>
      <c r="E1456" s="104">
        <v>100</v>
      </c>
      <c r="F1456" s="106">
        <v>0.0284738041002278</v>
      </c>
      <c r="G1456" s="107">
        <v>32</v>
      </c>
      <c r="H1456" s="106">
        <v>0.32</v>
      </c>
      <c r="I1456" s="106"/>
      <c r="J1456" s="106"/>
      <c r="K1456" s="106"/>
      <c r="L1456" s="213">
        <v>-140</v>
      </c>
      <c r="M1456" s="213">
        <v>-273.333333333333</v>
      </c>
      <c r="N1456" s="213">
        <v>-380.8</v>
      </c>
      <c r="O1456" s="213">
        <v>-279.571428571428</v>
      </c>
      <c r="P1456" s="108">
        <v>-2</v>
      </c>
      <c r="Q1456" s="108">
        <v>-4</v>
      </c>
      <c r="R1456" s="108">
        <v>-14.4</v>
      </c>
      <c r="S1456" s="115">
        <v>-25.5714285714286</v>
      </c>
      <c r="T1456" s="108">
        <v>-15</v>
      </c>
      <c r="U1456" s="108">
        <v>-11.3333333333333</v>
      </c>
      <c r="V1456" s="108">
        <v>-12.4</v>
      </c>
      <c r="W1456" s="117">
        <v>-13.2857142857143</v>
      </c>
    </row>
    <row r="1457" spans="1:23">
      <c r="A1457" s="103">
        <v>45077</v>
      </c>
      <c r="B1457" s="104" t="s">
        <v>23</v>
      </c>
      <c r="C1457" s="145">
        <v>1482</v>
      </c>
      <c r="D1457" s="145"/>
      <c r="E1457" s="104">
        <v>7</v>
      </c>
      <c r="F1457" s="106">
        <v>0.00472334682860999</v>
      </c>
      <c r="G1457" s="107">
        <v>6</v>
      </c>
      <c r="H1457" s="106">
        <v>0.857142857142857</v>
      </c>
      <c r="I1457" s="106"/>
      <c r="J1457" s="106"/>
      <c r="K1457" s="106"/>
      <c r="L1457" s="213">
        <v>20</v>
      </c>
      <c r="M1457" s="213">
        <v>-73.6666666666667</v>
      </c>
      <c r="N1457" s="213">
        <v>-247</v>
      </c>
      <c r="O1457" s="213">
        <v>-308.142857142857</v>
      </c>
      <c r="P1457" s="108">
        <v>-7</v>
      </c>
      <c r="Q1457" s="108">
        <v>-4.66666666666667</v>
      </c>
      <c r="R1457" s="108">
        <v>-7</v>
      </c>
      <c r="S1457" s="108">
        <v>-6.85714285714286</v>
      </c>
      <c r="T1457" s="108">
        <v>1</v>
      </c>
      <c r="U1457" s="116">
        <v>2</v>
      </c>
      <c r="V1457" s="108">
        <v>0.2</v>
      </c>
      <c r="W1457" s="108">
        <v>0.285714285714286</v>
      </c>
    </row>
    <row r="1458" spans="1:23">
      <c r="A1458" s="103">
        <v>45077</v>
      </c>
      <c r="B1458" s="104" t="s">
        <v>24</v>
      </c>
      <c r="C1458" s="145">
        <v>4192</v>
      </c>
      <c r="D1458" s="145"/>
      <c r="E1458" s="104">
        <v>131</v>
      </c>
      <c r="F1458" s="106">
        <v>0.03125</v>
      </c>
      <c r="G1458" s="107">
        <v>45</v>
      </c>
      <c r="H1458" s="106">
        <v>0.343511450381679</v>
      </c>
      <c r="I1458" s="106"/>
      <c r="J1458" s="106"/>
      <c r="K1458" s="106"/>
      <c r="L1458" s="213">
        <v>-4148</v>
      </c>
      <c r="M1458" s="213">
        <v>-4089.33333333333</v>
      </c>
      <c r="N1458" s="213">
        <v>-2544</v>
      </c>
      <c r="O1458" s="213">
        <v>-1572.14285714286</v>
      </c>
      <c r="P1458" s="115">
        <v>-13</v>
      </c>
      <c r="Q1458" s="115">
        <v>-30.3333333333333</v>
      </c>
      <c r="R1458" s="115">
        <v>-24.2</v>
      </c>
      <c r="S1458" s="115">
        <v>-9.14285714285714</v>
      </c>
      <c r="T1458" s="115">
        <v>6</v>
      </c>
      <c r="U1458" s="115">
        <v>1.33333333333334</v>
      </c>
      <c r="V1458" s="115">
        <v>5</v>
      </c>
      <c r="W1458" s="115">
        <v>7.28571428571428</v>
      </c>
    </row>
    <row r="1459" spans="1:23">
      <c r="A1459" s="103">
        <v>45077</v>
      </c>
      <c r="B1459" s="104" t="s">
        <v>25</v>
      </c>
      <c r="C1459" s="145">
        <v>3162</v>
      </c>
      <c r="D1459" s="145"/>
      <c r="E1459" s="104">
        <v>32</v>
      </c>
      <c r="F1459" s="106">
        <v>0.0101201771030993</v>
      </c>
      <c r="G1459" s="107">
        <v>12</v>
      </c>
      <c r="H1459" s="106">
        <v>0.375</v>
      </c>
      <c r="I1459" s="106"/>
      <c r="J1459" s="106"/>
      <c r="K1459" s="106"/>
      <c r="L1459" s="213">
        <v>-1294</v>
      </c>
      <c r="M1459" s="213">
        <v>-1022.33333333333</v>
      </c>
      <c r="N1459" s="213">
        <v>-295.8</v>
      </c>
      <c r="O1459" s="213">
        <v>-171</v>
      </c>
      <c r="P1459" s="116">
        <v>4</v>
      </c>
      <c r="Q1459" s="115">
        <v>3.66666666666667</v>
      </c>
      <c r="R1459" s="115">
        <v>2.2</v>
      </c>
      <c r="S1459" s="115">
        <v>1.71428571428572</v>
      </c>
      <c r="T1459" s="108">
        <v>-5</v>
      </c>
      <c r="U1459" s="108">
        <v>-1</v>
      </c>
      <c r="V1459" s="108">
        <v>0.6</v>
      </c>
      <c r="W1459" s="108">
        <v>-0.285714285714286</v>
      </c>
    </row>
    <row r="1460" spans="1:23">
      <c r="A1460" s="103">
        <v>45077</v>
      </c>
      <c r="B1460" s="104" t="s">
        <v>26</v>
      </c>
      <c r="C1460" s="145">
        <v>1612</v>
      </c>
      <c r="D1460" s="145"/>
      <c r="E1460" s="104">
        <v>9</v>
      </c>
      <c r="F1460" s="106">
        <v>0.00558312655086849</v>
      </c>
      <c r="G1460" s="107">
        <v>2</v>
      </c>
      <c r="H1460" s="106">
        <v>0.222222222222222</v>
      </c>
      <c r="I1460" s="106"/>
      <c r="J1460" s="106"/>
      <c r="K1460" s="106"/>
      <c r="L1460" s="213">
        <v>120</v>
      </c>
      <c r="M1460" s="213">
        <v>138</v>
      </c>
      <c r="N1460" s="213">
        <v>137</v>
      </c>
      <c r="O1460" s="213">
        <v>77.1428571428571</v>
      </c>
      <c r="P1460" s="108">
        <v>-4</v>
      </c>
      <c r="Q1460" s="108">
        <v>-4</v>
      </c>
      <c r="R1460" s="108">
        <v>-0.6</v>
      </c>
      <c r="S1460" s="108">
        <v>-0.857142857142858</v>
      </c>
      <c r="T1460" s="108">
        <v>-8</v>
      </c>
      <c r="U1460" s="108">
        <v>-4</v>
      </c>
      <c r="V1460" s="108">
        <v>-3.6</v>
      </c>
      <c r="W1460" s="108">
        <v>-2.85714285714286</v>
      </c>
    </row>
    <row r="1461" spans="1:23">
      <c r="A1461" s="103">
        <v>45077</v>
      </c>
      <c r="B1461" s="104" t="s">
        <v>27</v>
      </c>
      <c r="C1461" s="145">
        <v>4399</v>
      </c>
      <c r="D1461" s="145"/>
      <c r="E1461" s="104">
        <v>144</v>
      </c>
      <c r="F1461" s="106">
        <v>0.0327347124346442</v>
      </c>
      <c r="G1461" s="107">
        <v>35</v>
      </c>
      <c r="H1461" s="106">
        <v>0.243055555555556</v>
      </c>
      <c r="I1461" s="106"/>
      <c r="J1461" s="106"/>
      <c r="K1461" s="106"/>
      <c r="L1461" s="213">
        <v>-611</v>
      </c>
      <c r="M1461" s="213">
        <v>-1013</v>
      </c>
      <c r="N1461" s="213">
        <v>-1024.2</v>
      </c>
      <c r="O1461" s="213">
        <v>-502.714285714285</v>
      </c>
      <c r="P1461" s="108">
        <v>1</v>
      </c>
      <c r="Q1461" s="108">
        <v>9</v>
      </c>
      <c r="R1461" s="108">
        <v>15</v>
      </c>
      <c r="S1461" s="108">
        <v>20.5714285714286</v>
      </c>
      <c r="T1461" s="108">
        <v>-8</v>
      </c>
      <c r="U1461" s="108">
        <v>-0.333333333333336</v>
      </c>
      <c r="V1461" s="108">
        <v>1.8</v>
      </c>
      <c r="W1461" s="108">
        <v>1.57142857142857</v>
      </c>
    </row>
    <row r="1462" spans="1:23">
      <c r="A1462" s="103">
        <v>45077</v>
      </c>
      <c r="B1462" s="104" t="s">
        <v>28</v>
      </c>
      <c r="C1462" s="145">
        <v>0</v>
      </c>
      <c r="D1462" s="145"/>
      <c r="E1462" s="104">
        <v>0</v>
      </c>
      <c r="F1462" s="106">
        <v>0</v>
      </c>
      <c r="G1462" s="107">
        <v>0</v>
      </c>
      <c r="H1462" s="106">
        <v>0</v>
      </c>
      <c r="I1462" s="106"/>
      <c r="J1462" s="106"/>
      <c r="K1462" s="106"/>
      <c r="L1462" s="213">
        <v>0</v>
      </c>
      <c r="M1462" s="213">
        <v>0</v>
      </c>
      <c r="N1462" s="213">
        <v>0</v>
      </c>
      <c r="O1462" s="213">
        <v>0</v>
      </c>
      <c r="P1462" s="108">
        <v>0</v>
      </c>
      <c r="Q1462" s="108">
        <v>0</v>
      </c>
      <c r="R1462" s="108">
        <v>0</v>
      </c>
      <c r="S1462" s="108">
        <v>0</v>
      </c>
      <c r="T1462" s="108">
        <v>0</v>
      </c>
      <c r="U1462" s="108">
        <v>0</v>
      </c>
      <c r="V1462" s="108">
        <v>0</v>
      </c>
      <c r="W1462" s="108">
        <v>0</v>
      </c>
    </row>
    <row r="1463" spans="1:23">
      <c r="A1463" s="103">
        <v>45077</v>
      </c>
      <c r="B1463" s="104" t="s">
        <v>29</v>
      </c>
      <c r="C1463" s="145">
        <v>0</v>
      </c>
      <c r="D1463" s="145"/>
      <c r="E1463" s="104">
        <v>0</v>
      </c>
      <c r="F1463" s="106">
        <v>0</v>
      </c>
      <c r="G1463" s="107">
        <v>0</v>
      </c>
      <c r="H1463" s="106">
        <v>0</v>
      </c>
      <c r="I1463" s="106"/>
      <c r="J1463" s="106"/>
      <c r="K1463" s="106"/>
      <c r="L1463" s="213">
        <v>-2</v>
      </c>
      <c r="M1463" s="213">
        <v>-1</v>
      </c>
      <c r="N1463" s="213">
        <v>-0.6</v>
      </c>
      <c r="O1463" s="213">
        <v>-0.428571428571429</v>
      </c>
      <c r="P1463" s="108">
        <v>0</v>
      </c>
      <c r="Q1463" s="108">
        <v>0</v>
      </c>
      <c r="R1463" s="108">
        <v>0</v>
      </c>
      <c r="S1463" s="108">
        <v>0</v>
      </c>
      <c r="T1463" s="108">
        <v>0</v>
      </c>
      <c r="U1463" s="108">
        <v>0</v>
      </c>
      <c r="V1463" s="108">
        <v>0</v>
      </c>
      <c r="W1463" s="108">
        <v>0</v>
      </c>
    </row>
    <row r="1464" spans="1:23">
      <c r="A1464" s="103">
        <v>45077</v>
      </c>
      <c r="B1464" s="104" t="s">
        <v>30</v>
      </c>
      <c r="C1464" s="145">
        <v>0</v>
      </c>
      <c r="D1464" s="145"/>
      <c r="E1464" s="104">
        <v>0</v>
      </c>
      <c r="F1464" s="106">
        <v>0</v>
      </c>
      <c r="G1464" s="107">
        <v>0</v>
      </c>
      <c r="H1464" s="106">
        <v>0</v>
      </c>
      <c r="I1464" s="106"/>
      <c r="J1464" s="106"/>
      <c r="K1464" s="106"/>
      <c r="L1464" s="213">
        <v>0</v>
      </c>
      <c r="M1464" s="213">
        <v>0</v>
      </c>
      <c r="N1464" s="213">
        <v>0</v>
      </c>
      <c r="O1464" s="213">
        <v>0</v>
      </c>
      <c r="P1464" s="108">
        <v>0</v>
      </c>
      <c r="Q1464" s="108">
        <v>0</v>
      </c>
      <c r="R1464" s="108">
        <v>0</v>
      </c>
      <c r="S1464" s="108">
        <v>0</v>
      </c>
      <c r="T1464" s="108">
        <v>0</v>
      </c>
      <c r="U1464" s="108">
        <v>0</v>
      </c>
      <c r="V1464" s="108">
        <v>0</v>
      </c>
      <c r="W1464" s="108">
        <v>0</v>
      </c>
    </row>
    <row r="1465" spans="1:23">
      <c r="A1465" s="103">
        <v>45077</v>
      </c>
      <c r="B1465" s="104" t="s">
        <v>31</v>
      </c>
      <c r="C1465" s="145">
        <v>0</v>
      </c>
      <c r="D1465" s="145"/>
      <c r="E1465" s="104">
        <v>0</v>
      </c>
      <c r="F1465" s="106">
        <v>0</v>
      </c>
      <c r="G1465" s="107">
        <v>0</v>
      </c>
      <c r="H1465" s="106">
        <v>0</v>
      </c>
      <c r="I1465" s="106"/>
      <c r="J1465" s="106"/>
      <c r="K1465" s="106"/>
      <c r="L1465" s="213">
        <v>0</v>
      </c>
      <c r="M1465" s="213">
        <v>0</v>
      </c>
      <c r="N1465" s="213">
        <v>0</v>
      </c>
      <c r="O1465" s="213">
        <v>0</v>
      </c>
      <c r="P1465" s="108">
        <v>0</v>
      </c>
      <c r="Q1465" s="108">
        <v>0</v>
      </c>
      <c r="R1465" s="108">
        <v>0</v>
      </c>
      <c r="S1465" s="108">
        <v>0</v>
      </c>
      <c r="T1465" s="108">
        <v>0</v>
      </c>
      <c r="U1465" s="108">
        <v>0</v>
      </c>
      <c r="V1465" s="108">
        <v>0</v>
      </c>
      <c r="W1465" s="108">
        <v>0</v>
      </c>
    </row>
    <row r="1466" spans="1:23">
      <c r="A1466" s="103">
        <v>45077</v>
      </c>
      <c r="B1466" s="104" t="s">
        <v>32</v>
      </c>
      <c r="C1466" s="145">
        <v>0</v>
      </c>
      <c r="D1466" s="145"/>
      <c r="E1466" s="104">
        <v>0</v>
      </c>
      <c r="F1466" s="106">
        <v>0</v>
      </c>
      <c r="G1466" s="107">
        <v>0</v>
      </c>
      <c r="H1466" s="106">
        <v>0</v>
      </c>
      <c r="I1466" s="106"/>
      <c r="J1466" s="106"/>
      <c r="K1466" s="106"/>
      <c r="L1466" s="213">
        <v>0</v>
      </c>
      <c r="M1466" s="213">
        <v>0</v>
      </c>
      <c r="N1466" s="213">
        <v>0</v>
      </c>
      <c r="O1466" s="213">
        <v>0</v>
      </c>
      <c r="P1466" s="108">
        <v>0</v>
      </c>
      <c r="Q1466" s="108">
        <v>0</v>
      </c>
      <c r="R1466" s="108">
        <v>0</v>
      </c>
      <c r="S1466" s="108">
        <v>0</v>
      </c>
      <c r="T1466" s="108">
        <v>0</v>
      </c>
      <c r="U1466" s="108">
        <v>0</v>
      </c>
      <c r="V1466" s="108">
        <v>0</v>
      </c>
      <c r="W1466" s="108">
        <v>0</v>
      </c>
    </row>
    <row r="1467" spans="1:23">
      <c r="A1467" s="103">
        <v>45077</v>
      </c>
      <c r="B1467" s="104" t="s">
        <v>33</v>
      </c>
      <c r="C1467" s="145">
        <v>0</v>
      </c>
      <c r="D1467" s="145"/>
      <c r="E1467" s="104">
        <v>0</v>
      </c>
      <c r="F1467" s="106">
        <v>0</v>
      </c>
      <c r="G1467" s="107">
        <v>0</v>
      </c>
      <c r="H1467" s="106">
        <v>0</v>
      </c>
      <c r="I1467" s="106"/>
      <c r="J1467" s="106"/>
      <c r="K1467" s="106"/>
      <c r="L1467" s="213">
        <v>0</v>
      </c>
      <c r="M1467" s="213">
        <v>0</v>
      </c>
      <c r="N1467" s="213">
        <v>0</v>
      </c>
      <c r="O1467" s="213">
        <v>0</v>
      </c>
      <c r="P1467" s="108">
        <v>0</v>
      </c>
      <c r="Q1467" s="108">
        <v>0</v>
      </c>
      <c r="R1467" s="108">
        <v>0</v>
      </c>
      <c r="S1467" s="108">
        <v>0</v>
      </c>
      <c r="T1467" s="108">
        <v>0</v>
      </c>
      <c r="U1467" s="108">
        <v>0</v>
      </c>
      <c r="V1467" s="108">
        <v>0</v>
      </c>
      <c r="W1467" s="108">
        <v>0</v>
      </c>
    </row>
    <row r="1468" spans="1:23">
      <c r="A1468" s="103">
        <v>45077</v>
      </c>
      <c r="B1468" s="104" t="s">
        <v>34</v>
      </c>
      <c r="C1468" s="145">
        <v>0</v>
      </c>
      <c r="D1468" s="145"/>
      <c r="E1468" s="104">
        <v>0</v>
      </c>
      <c r="F1468" s="106">
        <v>0</v>
      </c>
      <c r="G1468" s="107">
        <v>0</v>
      </c>
      <c r="H1468" s="106">
        <v>0</v>
      </c>
      <c r="I1468" s="106"/>
      <c r="J1468" s="106"/>
      <c r="K1468" s="106"/>
      <c r="L1468" s="213">
        <v>0</v>
      </c>
      <c r="M1468" s="213">
        <v>0</v>
      </c>
      <c r="N1468" s="213">
        <v>0</v>
      </c>
      <c r="O1468" s="213">
        <v>0</v>
      </c>
      <c r="P1468" s="108">
        <v>0</v>
      </c>
      <c r="Q1468" s="108">
        <v>0</v>
      </c>
      <c r="R1468" s="108">
        <v>0</v>
      </c>
      <c r="S1468" s="108">
        <v>0</v>
      </c>
      <c r="T1468" s="108">
        <v>0</v>
      </c>
      <c r="U1468" s="108">
        <v>0</v>
      </c>
      <c r="V1468" s="108">
        <v>0</v>
      </c>
      <c r="W1468" s="108">
        <v>0</v>
      </c>
    </row>
    <row r="1469" spans="1:23">
      <c r="A1469" s="103">
        <v>45077</v>
      </c>
      <c r="B1469" s="104" t="s">
        <v>35</v>
      </c>
      <c r="C1469" s="145">
        <v>0</v>
      </c>
      <c r="D1469" s="145"/>
      <c r="E1469" s="104">
        <v>0</v>
      </c>
      <c r="F1469" s="106">
        <v>0</v>
      </c>
      <c r="G1469" s="107">
        <v>0</v>
      </c>
      <c r="H1469" s="106">
        <v>0</v>
      </c>
      <c r="I1469" s="106"/>
      <c r="J1469" s="106"/>
      <c r="K1469" s="106"/>
      <c r="L1469" s="213">
        <v>0</v>
      </c>
      <c r="M1469" s="213">
        <v>0</v>
      </c>
      <c r="N1469" s="213">
        <v>0</v>
      </c>
      <c r="O1469" s="213">
        <v>0</v>
      </c>
      <c r="P1469" s="108">
        <v>0</v>
      </c>
      <c r="Q1469" s="108">
        <v>0</v>
      </c>
      <c r="R1469" s="108">
        <v>0</v>
      </c>
      <c r="S1469" s="108">
        <v>0</v>
      </c>
      <c r="T1469" s="108">
        <v>0</v>
      </c>
      <c r="U1469" s="108">
        <v>0</v>
      </c>
      <c r="V1469" s="108">
        <v>0</v>
      </c>
      <c r="W1469" s="108">
        <v>0</v>
      </c>
    </row>
    <row r="1470" spans="1:23">
      <c r="A1470" s="103">
        <v>45077</v>
      </c>
      <c r="B1470" s="104" t="s">
        <v>36</v>
      </c>
      <c r="C1470" s="145">
        <v>0</v>
      </c>
      <c r="D1470" s="145"/>
      <c r="E1470" s="104">
        <v>0</v>
      </c>
      <c r="F1470" s="106">
        <v>0</v>
      </c>
      <c r="G1470" s="107">
        <v>0</v>
      </c>
      <c r="H1470" s="106">
        <v>0</v>
      </c>
      <c r="I1470" s="106"/>
      <c r="J1470" s="106"/>
      <c r="K1470" s="106"/>
      <c r="L1470" s="213">
        <v>0</v>
      </c>
      <c r="M1470" s="213">
        <v>0</v>
      </c>
      <c r="N1470" s="213">
        <v>0</v>
      </c>
      <c r="O1470" s="213">
        <v>0</v>
      </c>
      <c r="P1470" s="108">
        <v>0</v>
      </c>
      <c r="Q1470" s="108">
        <v>0</v>
      </c>
      <c r="R1470" s="108">
        <v>0</v>
      </c>
      <c r="S1470" s="108">
        <v>0</v>
      </c>
      <c r="T1470" s="108">
        <v>0</v>
      </c>
      <c r="U1470" s="108">
        <v>0</v>
      </c>
      <c r="V1470" s="108">
        <v>0</v>
      </c>
      <c r="W1470" s="108">
        <v>0</v>
      </c>
    </row>
    <row r="1471" spans="1:23">
      <c r="A1471" s="103">
        <v>45077</v>
      </c>
      <c r="B1471" s="104" t="s">
        <v>37</v>
      </c>
      <c r="C1471" s="145">
        <v>0</v>
      </c>
      <c r="D1471" s="145"/>
      <c r="E1471" s="104">
        <v>0</v>
      </c>
      <c r="F1471" s="106">
        <v>0</v>
      </c>
      <c r="G1471" s="107">
        <v>0</v>
      </c>
      <c r="H1471" s="106">
        <v>0</v>
      </c>
      <c r="I1471" s="106"/>
      <c r="J1471" s="106"/>
      <c r="K1471" s="106"/>
      <c r="L1471" s="213">
        <v>0</v>
      </c>
      <c r="M1471" s="213">
        <v>0</v>
      </c>
      <c r="N1471" s="213">
        <v>0</v>
      </c>
      <c r="O1471" s="213">
        <v>0</v>
      </c>
      <c r="P1471" s="108">
        <v>0</v>
      </c>
      <c r="Q1471" s="108">
        <v>0</v>
      </c>
      <c r="R1471" s="108">
        <v>0</v>
      </c>
      <c r="S1471" s="108">
        <v>0</v>
      </c>
      <c r="T1471" s="108">
        <v>0</v>
      </c>
      <c r="U1471" s="108">
        <v>0</v>
      </c>
      <c r="V1471" s="108">
        <v>0</v>
      </c>
      <c r="W1471" s="108">
        <v>0</v>
      </c>
    </row>
    <row r="1472" spans="1:23">
      <c r="A1472" s="103">
        <v>45077</v>
      </c>
      <c r="B1472" s="104" t="s">
        <v>38</v>
      </c>
      <c r="C1472" s="145">
        <v>0</v>
      </c>
      <c r="D1472" s="145"/>
      <c r="E1472" s="104">
        <v>0</v>
      </c>
      <c r="F1472" s="106">
        <v>0</v>
      </c>
      <c r="G1472" s="107">
        <v>0</v>
      </c>
      <c r="H1472" s="106">
        <v>0</v>
      </c>
      <c r="I1472" s="106"/>
      <c r="J1472" s="106"/>
      <c r="K1472" s="106"/>
      <c r="L1472" s="213">
        <v>0</v>
      </c>
      <c r="M1472" s="213">
        <v>0</v>
      </c>
      <c r="N1472" s="213">
        <v>0</v>
      </c>
      <c r="O1472" s="213">
        <v>0</v>
      </c>
      <c r="P1472" s="108">
        <v>0</v>
      </c>
      <c r="Q1472" s="108">
        <v>0</v>
      </c>
      <c r="R1472" s="108">
        <v>0</v>
      </c>
      <c r="S1472" s="108">
        <v>0</v>
      </c>
      <c r="T1472" s="108">
        <v>0</v>
      </c>
      <c r="U1472" s="108">
        <v>0</v>
      </c>
      <c r="V1472" s="108">
        <v>0</v>
      </c>
      <c r="W1472" s="108">
        <v>0</v>
      </c>
    </row>
    <row r="1473" spans="1:23">
      <c r="A1473" s="103">
        <v>45077</v>
      </c>
      <c r="B1473" s="111" t="s">
        <v>39</v>
      </c>
      <c r="C1473" s="112">
        <v>18995</v>
      </c>
      <c r="D1473" s="112"/>
      <c r="E1473" s="112">
        <v>458</v>
      </c>
      <c r="F1473" s="113">
        <v>0.0241116083179784</v>
      </c>
      <c r="G1473" s="112">
        <v>145</v>
      </c>
      <c r="H1473" s="113">
        <v>0.316593886462882</v>
      </c>
      <c r="I1473" s="113"/>
      <c r="J1473" s="113"/>
      <c r="K1473" s="113"/>
      <c r="L1473" s="213"/>
      <c r="M1473" s="213"/>
      <c r="N1473" s="213"/>
      <c r="O1473" s="213"/>
      <c r="P1473" s="108"/>
      <c r="Q1473" s="108"/>
      <c r="R1473" s="108"/>
      <c r="S1473" s="108"/>
      <c r="T1473" s="108"/>
      <c r="U1473" s="108"/>
      <c r="V1473" s="108"/>
      <c r="W1473" s="108"/>
    </row>
    <row r="1474" ht="14.45" customHeight="1" spans="1:30">
      <c r="A1474" s="103">
        <v>45078</v>
      </c>
      <c r="B1474" s="104" t="s">
        <v>17</v>
      </c>
      <c r="C1474" s="105">
        <v>2</v>
      </c>
      <c r="D1474" s="105"/>
      <c r="E1474" s="104">
        <v>17</v>
      </c>
      <c r="F1474" s="106">
        <v>8.5</v>
      </c>
      <c r="G1474" s="107">
        <v>2</v>
      </c>
      <c r="H1474" s="106">
        <v>0.117647058823529</v>
      </c>
      <c r="I1474" s="106"/>
      <c r="J1474" s="106"/>
      <c r="K1474" s="106"/>
      <c r="L1474" s="213">
        <v>-8</v>
      </c>
      <c r="M1474" s="213">
        <v>-2.66666666666667</v>
      </c>
      <c r="N1474" s="213">
        <v>-3.2</v>
      </c>
      <c r="O1474" s="213">
        <v>-2.14285714285714</v>
      </c>
      <c r="P1474" s="108">
        <v>7</v>
      </c>
      <c r="Q1474" s="108">
        <v>9.66666666666667</v>
      </c>
      <c r="R1474" s="108">
        <v>7.4</v>
      </c>
      <c r="S1474" s="108">
        <v>8.85714285714286</v>
      </c>
      <c r="T1474" s="108">
        <v>-2</v>
      </c>
      <c r="U1474" s="108">
        <v>-1.33333333333333</v>
      </c>
      <c r="V1474" s="108">
        <v>-0.8</v>
      </c>
      <c r="W1474" s="108">
        <v>-0.571428571428572</v>
      </c>
      <c r="X1474" s="215">
        <v>-0.8</v>
      </c>
      <c r="Y1474" s="215">
        <v>0.7</v>
      </c>
      <c r="Z1474" s="215">
        <v>-0.5</v>
      </c>
      <c r="AD1474" t="s">
        <v>18</v>
      </c>
    </row>
    <row r="1475" ht="14.45" customHeight="1" spans="1:30">
      <c r="A1475" s="103">
        <v>45078</v>
      </c>
      <c r="B1475" s="104" t="s">
        <v>19</v>
      </c>
      <c r="C1475" s="107">
        <v>326</v>
      </c>
      <c r="D1475" s="107"/>
      <c r="E1475" s="104">
        <v>14</v>
      </c>
      <c r="F1475" s="106">
        <v>0.0429447852760736</v>
      </c>
      <c r="G1475" s="107">
        <v>3</v>
      </c>
      <c r="H1475" s="106">
        <v>0.214285714285714</v>
      </c>
      <c r="I1475" s="106"/>
      <c r="J1475" s="106"/>
      <c r="K1475" s="106"/>
      <c r="L1475" s="213">
        <v>20</v>
      </c>
      <c r="M1475" s="213">
        <v>-15</v>
      </c>
      <c r="N1475" s="213">
        <v>-15</v>
      </c>
      <c r="O1475" s="213">
        <v>-7.28571428571428</v>
      </c>
      <c r="P1475" s="108">
        <v>7</v>
      </c>
      <c r="Q1475" s="108">
        <v>4.66666666666667</v>
      </c>
      <c r="R1475" s="108">
        <v>1.4</v>
      </c>
      <c r="S1475" s="108">
        <v>1.57142857142857</v>
      </c>
      <c r="T1475" s="108">
        <v>1</v>
      </c>
      <c r="U1475" s="108">
        <v>-0.666666666666667</v>
      </c>
      <c r="V1475" s="108">
        <v>-1.2</v>
      </c>
      <c r="W1475" s="115">
        <v>-1.14285714285714</v>
      </c>
      <c r="X1475" s="215">
        <v>0.065359477124183</v>
      </c>
      <c r="Y1475" s="215">
        <v>1</v>
      </c>
      <c r="Z1475" s="215">
        <v>0.5</v>
      </c>
      <c r="AA1475" s="154"/>
      <c r="AB1475" s="154"/>
      <c r="AC1475" s="154"/>
      <c r="AD1475" s="154"/>
    </row>
    <row r="1476" ht="14.45" customHeight="1" spans="1:26">
      <c r="A1476" s="103">
        <v>45078</v>
      </c>
      <c r="B1476" s="104" t="s">
        <v>21</v>
      </c>
      <c r="C1476" s="145">
        <v>254</v>
      </c>
      <c r="D1476" s="145"/>
      <c r="E1476" s="104">
        <v>18</v>
      </c>
      <c r="F1476" s="106">
        <v>0.0708661417322835</v>
      </c>
      <c r="G1476" s="107">
        <v>3</v>
      </c>
      <c r="H1476" s="106">
        <v>0.166666666666667</v>
      </c>
      <c r="I1476" s="106"/>
      <c r="J1476" s="106"/>
      <c r="K1476" s="106"/>
      <c r="L1476" s="213">
        <v>-66</v>
      </c>
      <c r="M1476" s="213">
        <v>-160.333333333333</v>
      </c>
      <c r="N1476" s="213">
        <v>-196.4</v>
      </c>
      <c r="O1476" s="213">
        <v>-202.285714285714</v>
      </c>
      <c r="P1476" s="108">
        <v>0</v>
      </c>
      <c r="Q1476" s="108">
        <v>-1</v>
      </c>
      <c r="R1476" s="108">
        <v>-1.8</v>
      </c>
      <c r="S1476" s="108">
        <v>-2.85714285714286</v>
      </c>
      <c r="T1476" s="108">
        <v>-4</v>
      </c>
      <c r="U1476" s="108">
        <v>-3.66666666666667</v>
      </c>
      <c r="V1476" s="108">
        <v>-3.6</v>
      </c>
      <c r="W1476" s="108">
        <v>-4</v>
      </c>
      <c r="X1476" s="215">
        <v>-0.20625</v>
      </c>
      <c r="Y1476" s="215">
        <v>0</v>
      </c>
      <c r="Z1476" s="215">
        <v>-0.571428571428571</v>
      </c>
    </row>
    <row r="1477" ht="18.95" customHeight="1" spans="1:30">
      <c r="A1477" s="103">
        <v>45078</v>
      </c>
      <c r="B1477" s="104" t="s">
        <v>22</v>
      </c>
      <c r="C1477" s="145">
        <v>3650</v>
      </c>
      <c r="D1477" s="145"/>
      <c r="E1477" s="104">
        <v>124</v>
      </c>
      <c r="F1477" s="106">
        <v>0.033972602739726</v>
      </c>
      <c r="G1477" s="107">
        <v>56</v>
      </c>
      <c r="H1477" s="106">
        <v>0.451612903225806</v>
      </c>
      <c r="I1477" s="106"/>
      <c r="J1477" s="106"/>
      <c r="K1477" s="106"/>
      <c r="L1477" s="213">
        <v>138</v>
      </c>
      <c r="M1477" s="213">
        <v>44</v>
      </c>
      <c r="N1477" s="213">
        <v>-163.6</v>
      </c>
      <c r="O1477" s="213">
        <v>-131.142857142857</v>
      </c>
      <c r="P1477" s="108">
        <v>24</v>
      </c>
      <c r="Q1477" s="108">
        <v>24.3333333333333</v>
      </c>
      <c r="R1477" s="108">
        <v>16.6</v>
      </c>
      <c r="S1477" s="115">
        <v>6.71428571428571</v>
      </c>
      <c r="T1477" s="108">
        <v>24</v>
      </c>
      <c r="U1477" s="108">
        <v>20</v>
      </c>
      <c r="V1477" s="108">
        <v>14</v>
      </c>
      <c r="W1477" s="117">
        <v>11.8571428571429</v>
      </c>
      <c r="X1477" s="215">
        <v>0.0392938496583144</v>
      </c>
      <c r="Y1477" s="215">
        <v>0.24</v>
      </c>
      <c r="Z1477" s="215">
        <v>0.75</v>
      </c>
      <c r="AA1477" s="154"/>
      <c r="AB1477" s="154"/>
      <c r="AC1477" s="154"/>
      <c r="AD1477" s="154"/>
    </row>
    <row r="1478" ht="14.45" customHeight="1" spans="1:26">
      <c r="A1478" s="103">
        <v>45078</v>
      </c>
      <c r="B1478" s="104" t="s">
        <v>23</v>
      </c>
      <c r="C1478" s="145">
        <v>1447</v>
      </c>
      <c r="D1478" s="145"/>
      <c r="E1478" s="104">
        <v>14</v>
      </c>
      <c r="F1478" s="106">
        <v>0.00967519004837595</v>
      </c>
      <c r="G1478" s="107">
        <v>4</v>
      </c>
      <c r="H1478" s="106">
        <v>0.285714285714286</v>
      </c>
      <c r="I1478" s="106"/>
      <c r="J1478" s="106"/>
      <c r="K1478" s="106"/>
      <c r="L1478" s="213">
        <v>-35</v>
      </c>
      <c r="M1478" s="213">
        <v>-68.6666666666667</v>
      </c>
      <c r="N1478" s="213">
        <v>-184.6</v>
      </c>
      <c r="O1478" s="213">
        <v>-280.857142857143</v>
      </c>
      <c r="P1478" s="108">
        <v>7</v>
      </c>
      <c r="Q1478" s="108">
        <v>4.33333333333333</v>
      </c>
      <c r="R1478" s="108">
        <v>2</v>
      </c>
      <c r="S1478" s="108">
        <v>1.14285714285714</v>
      </c>
      <c r="T1478" s="108">
        <v>-2</v>
      </c>
      <c r="U1478" s="116">
        <v>-1</v>
      </c>
      <c r="V1478" s="108">
        <v>-1.8</v>
      </c>
      <c r="W1478" s="108">
        <v>-1.85714285714286</v>
      </c>
      <c r="X1478" s="215">
        <v>-0.0236167341430499</v>
      </c>
      <c r="Y1478" s="215">
        <v>1</v>
      </c>
      <c r="Z1478" s="215">
        <v>-0.333333333333333</v>
      </c>
    </row>
    <row r="1479" ht="14.45" customHeight="1" spans="1:30">
      <c r="A1479" s="103">
        <v>45078</v>
      </c>
      <c r="B1479" s="104" t="s">
        <v>24</v>
      </c>
      <c r="C1479" s="145">
        <v>4416</v>
      </c>
      <c r="D1479" s="145"/>
      <c r="E1479" s="104">
        <v>146</v>
      </c>
      <c r="F1479" s="106">
        <v>0.0330615942028986</v>
      </c>
      <c r="G1479" s="107">
        <v>42</v>
      </c>
      <c r="H1479" s="106">
        <v>0.287671232876712</v>
      </c>
      <c r="I1479" s="106"/>
      <c r="J1479" s="106"/>
      <c r="K1479" s="106"/>
      <c r="L1479" s="213">
        <v>224</v>
      </c>
      <c r="M1479" s="213">
        <v>-2513</v>
      </c>
      <c r="N1479" s="213">
        <v>-2339.8</v>
      </c>
      <c r="O1479" s="213">
        <v>-1515.57142857143</v>
      </c>
      <c r="P1479" s="115">
        <v>15</v>
      </c>
      <c r="Q1479" s="115">
        <v>-0.333333333333343</v>
      </c>
      <c r="R1479" s="115">
        <v>-9</v>
      </c>
      <c r="S1479" s="115">
        <v>-0.142857142857139</v>
      </c>
      <c r="T1479" s="115">
        <v>-3</v>
      </c>
      <c r="U1479" s="115">
        <v>-3.33333333333334</v>
      </c>
      <c r="V1479" s="115">
        <v>-0.399999999999999</v>
      </c>
      <c r="W1479" s="115">
        <v>2.28571428571428</v>
      </c>
      <c r="X1479" s="215">
        <v>0.0534351145038168</v>
      </c>
      <c r="Y1479" s="215">
        <v>0.114503816793893</v>
      </c>
      <c r="Z1479" s="215">
        <v>-0.0666666666666667</v>
      </c>
      <c r="AA1479" s="154"/>
      <c r="AB1479" s="154"/>
      <c r="AC1479" s="154"/>
      <c r="AD1479" s="154"/>
    </row>
    <row r="1480" ht="14.45" customHeight="1" spans="1:26">
      <c r="A1480" s="103">
        <v>45078</v>
      </c>
      <c r="B1480" s="104" t="s">
        <v>25</v>
      </c>
      <c r="C1480" s="145">
        <v>3067</v>
      </c>
      <c r="D1480" s="145"/>
      <c r="E1480" s="104">
        <v>31</v>
      </c>
      <c r="F1480" s="106">
        <v>0.0101075970003261</v>
      </c>
      <c r="G1480" s="107">
        <v>12</v>
      </c>
      <c r="H1480" s="106">
        <v>0.387096774193548</v>
      </c>
      <c r="I1480" s="106"/>
      <c r="J1480" s="106"/>
      <c r="K1480" s="106"/>
      <c r="L1480" s="213">
        <v>-95</v>
      </c>
      <c r="M1480" s="213">
        <v>-951.666666666667</v>
      </c>
      <c r="N1480" s="213">
        <v>-598.4</v>
      </c>
      <c r="O1480" s="213">
        <v>-132.285714285714</v>
      </c>
      <c r="P1480" s="116">
        <v>-1</v>
      </c>
      <c r="Q1480" s="115">
        <v>2.66666666666667</v>
      </c>
      <c r="R1480" s="115">
        <v>-0.199999999999999</v>
      </c>
      <c r="S1480" s="115">
        <v>1</v>
      </c>
      <c r="T1480" s="108">
        <v>0</v>
      </c>
      <c r="U1480" s="108">
        <v>-0.666666666666666</v>
      </c>
      <c r="V1480" s="108">
        <v>0</v>
      </c>
      <c r="W1480" s="108">
        <v>0.142857142857142</v>
      </c>
      <c r="X1480" s="215">
        <v>-0.0300442757748261</v>
      </c>
      <c r="Y1480" s="215">
        <v>-0.03125</v>
      </c>
      <c r="Z1480" s="215">
        <v>0</v>
      </c>
    </row>
    <row r="1481" ht="14.45" customHeight="1" spans="1:26">
      <c r="A1481" s="103">
        <v>45078</v>
      </c>
      <c r="B1481" s="104" t="s">
        <v>26</v>
      </c>
      <c r="C1481" s="145">
        <v>1622</v>
      </c>
      <c r="D1481" s="145"/>
      <c r="E1481" s="104">
        <v>6</v>
      </c>
      <c r="F1481" s="106">
        <v>0.00369913686806412</v>
      </c>
      <c r="G1481" s="107">
        <v>3</v>
      </c>
      <c r="H1481" s="106">
        <v>0.5</v>
      </c>
      <c r="I1481" s="106"/>
      <c r="J1481" s="106"/>
      <c r="K1481" s="106"/>
      <c r="L1481" s="213">
        <v>10</v>
      </c>
      <c r="M1481" s="213">
        <v>127.333333333333</v>
      </c>
      <c r="N1481" s="213">
        <v>134.4</v>
      </c>
      <c r="O1481" s="213">
        <v>117.857142857143</v>
      </c>
      <c r="P1481" s="108">
        <v>-3</v>
      </c>
      <c r="Q1481" s="108">
        <v>-4.66666666666667</v>
      </c>
      <c r="R1481" s="108">
        <v>-4.4</v>
      </c>
      <c r="S1481" s="108">
        <v>-3.42857142857143</v>
      </c>
      <c r="T1481" s="108">
        <v>1</v>
      </c>
      <c r="U1481" s="108">
        <v>-2</v>
      </c>
      <c r="V1481" s="108">
        <v>-1.8</v>
      </c>
      <c r="W1481" s="108">
        <v>-2</v>
      </c>
      <c r="X1481" s="215">
        <v>0.00620347394540943</v>
      </c>
      <c r="Y1481" s="215">
        <v>-0.333333333333333</v>
      </c>
      <c r="Z1481" s="215">
        <v>0.5</v>
      </c>
    </row>
    <row r="1482" ht="14.45" customHeight="1" spans="1:26">
      <c r="A1482" s="103">
        <v>45078</v>
      </c>
      <c r="B1482" s="104" t="s">
        <v>27</v>
      </c>
      <c r="C1482" s="145">
        <v>4398</v>
      </c>
      <c r="D1482" s="145"/>
      <c r="E1482" s="104">
        <v>116</v>
      </c>
      <c r="F1482" s="106">
        <v>0.0263756252842201</v>
      </c>
      <c r="G1482" s="107">
        <v>34</v>
      </c>
      <c r="H1482" s="106">
        <v>0.293103448275862</v>
      </c>
      <c r="I1482" s="106"/>
      <c r="J1482" s="106"/>
      <c r="K1482" s="106"/>
      <c r="L1482" s="213">
        <v>-1</v>
      </c>
      <c r="M1482" s="213">
        <v>-473.333333333333</v>
      </c>
      <c r="N1482" s="213">
        <v>-931.8</v>
      </c>
      <c r="O1482" s="213">
        <v>-639.857142857143</v>
      </c>
      <c r="P1482" s="108">
        <v>-28</v>
      </c>
      <c r="Q1482" s="108">
        <v>-20.3333333333333</v>
      </c>
      <c r="R1482" s="108">
        <v>-19.2</v>
      </c>
      <c r="S1482" s="108">
        <v>-13.7142857142857</v>
      </c>
      <c r="T1482" s="108">
        <v>-1</v>
      </c>
      <c r="U1482" s="108">
        <v>-1.66666666666666</v>
      </c>
      <c r="V1482" s="108">
        <v>-1.6</v>
      </c>
      <c r="W1482" s="108">
        <v>-0.142857142857146</v>
      </c>
      <c r="X1482" s="215">
        <v>-0.000227324391907252</v>
      </c>
      <c r="Y1482" s="215">
        <v>-0.194444444444444</v>
      </c>
      <c r="Z1482" s="215">
        <v>-0.0285714285714286</v>
      </c>
    </row>
    <row r="1483" ht="14.45" customHeight="1" spans="1:26">
      <c r="A1483" s="103">
        <v>45078</v>
      </c>
      <c r="B1483" s="104" t="s">
        <v>28</v>
      </c>
      <c r="C1483" s="145">
        <v>0</v>
      </c>
      <c r="D1483" s="145"/>
      <c r="E1483" s="104">
        <v>0</v>
      </c>
      <c r="F1483" s="106">
        <v>0</v>
      </c>
      <c r="G1483" s="107">
        <v>0</v>
      </c>
      <c r="H1483" s="106">
        <v>0</v>
      </c>
      <c r="I1483" s="106"/>
      <c r="J1483" s="106"/>
      <c r="K1483" s="106"/>
      <c r="L1483" s="213">
        <v>0</v>
      </c>
      <c r="M1483" s="213">
        <v>0</v>
      </c>
      <c r="N1483" s="213">
        <v>0</v>
      </c>
      <c r="O1483" s="213">
        <v>0</v>
      </c>
      <c r="P1483" s="108">
        <v>0</v>
      </c>
      <c r="Q1483" s="108">
        <v>0</v>
      </c>
      <c r="R1483" s="108">
        <v>0</v>
      </c>
      <c r="S1483" s="108">
        <v>0</v>
      </c>
      <c r="T1483" s="108">
        <v>0</v>
      </c>
      <c r="U1483" s="108">
        <v>0</v>
      </c>
      <c r="V1483" s="108">
        <v>0</v>
      </c>
      <c r="W1483" s="108">
        <v>0</v>
      </c>
      <c r="X1483" s="215" t="e">
        <v>#DIV/0!</v>
      </c>
      <c r="Y1483" s="215" t="e">
        <v>#DIV/0!</v>
      </c>
      <c r="Z1483" s="215" t="e">
        <v>#DIV/0!</v>
      </c>
    </row>
    <row r="1484" ht="14.45" customHeight="1" spans="1:26">
      <c r="A1484" s="103">
        <v>45078</v>
      </c>
      <c r="B1484" s="104" t="s">
        <v>29</v>
      </c>
      <c r="C1484" s="145">
        <v>0</v>
      </c>
      <c r="D1484" s="145"/>
      <c r="E1484" s="104">
        <v>0</v>
      </c>
      <c r="F1484" s="106">
        <v>0</v>
      </c>
      <c r="G1484" s="107">
        <v>0</v>
      </c>
      <c r="H1484" s="106">
        <v>0</v>
      </c>
      <c r="I1484" s="106"/>
      <c r="J1484" s="106"/>
      <c r="K1484" s="106"/>
      <c r="L1484" s="213">
        <v>0</v>
      </c>
      <c r="M1484" s="213">
        <v>-0.666666666666667</v>
      </c>
      <c r="N1484" s="213">
        <v>-0.6</v>
      </c>
      <c r="O1484" s="213">
        <v>-0.428571428571429</v>
      </c>
      <c r="P1484" s="108">
        <v>0</v>
      </c>
      <c r="Q1484" s="108">
        <v>0</v>
      </c>
      <c r="R1484" s="108">
        <v>0</v>
      </c>
      <c r="S1484" s="108">
        <v>0</v>
      </c>
      <c r="T1484" s="108">
        <v>0</v>
      </c>
      <c r="U1484" s="108">
        <v>0</v>
      </c>
      <c r="V1484" s="108">
        <v>0</v>
      </c>
      <c r="W1484" s="108">
        <v>0</v>
      </c>
      <c r="X1484" s="215" t="e">
        <v>#DIV/0!</v>
      </c>
      <c r="Y1484" s="215" t="e">
        <v>#DIV/0!</v>
      </c>
      <c r="Z1484" s="215" t="e">
        <v>#DIV/0!</v>
      </c>
    </row>
    <row r="1485" ht="14.45" customHeight="1" spans="1:27">
      <c r="A1485" s="103">
        <v>45078</v>
      </c>
      <c r="B1485" s="104" t="s">
        <v>30</v>
      </c>
      <c r="C1485" s="145">
        <v>0</v>
      </c>
      <c r="D1485" s="145"/>
      <c r="E1485" s="104">
        <v>0</v>
      </c>
      <c r="F1485" s="106">
        <v>0</v>
      </c>
      <c r="G1485" s="107">
        <v>0</v>
      </c>
      <c r="H1485" s="106">
        <v>0</v>
      </c>
      <c r="I1485" s="106"/>
      <c r="J1485" s="106"/>
      <c r="K1485" s="106"/>
      <c r="L1485" s="213">
        <v>0</v>
      </c>
      <c r="M1485" s="213">
        <v>0</v>
      </c>
      <c r="N1485" s="213">
        <v>0</v>
      </c>
      <c r="O1485" s="213">
        <v>0</v>
      </c>
      <c r="P1485" s="108">
        <v>0</v>
      </c>
      <c r="Q1485" s="108">
        <v>0</v>
      </c>
      <c r="R1485" s="108">
        <v>0</v>
      </c>
      <c r="S1485" s="108">
        <v>0</v>
      </c>
      <c r="T1485" s="108">
        <v>0</v>
      </c>
      <c r="U1485" s="108">
        <v>0</v>
      </c>
      <c r="V1485" s="108">
        <v>0</v>
      </c>
      <c r="W1485" s="108">
        <v>0</v>
      </c>
      <c r="X1485" s="168"/>
      <c r="Y1485" s="168"/>
      <c r="Z1485" s="169"/>
      <c r="AA1485" s="169"/>
    </row>
    <row r="1486" ht="14.45" customHeight="1" spans="1:27">
      <c r="A1486" s="103">
        <v>45078</v>
      </c>
      <c r="B1486" s="104" t="s">
        <v>31</v>
      </c>
      <c r="C1486" s="145">
        <v>0</v>
      </c>
      <c r="D1486" s="145"/>
      <c r="E1486" s="104">
        <v>0</v>
      </c>
      <c r="F1486" s="106">
        <v>0</v>
      </c>
      <c r="G1486" s="107">
        <v>0</v>
      </c>
      <c r="H1486" s="106">
        <v>0</v>
      </c>
      <c r="I1486" s="106"/>
      <c r="J1486" s="106"/>
      <c r="K1486" s="106"/>
      <c r="L1486" s="213">
        <v>0</v>
      </c>
      <c r="M1486" s="213">
        <v>0</v>
      </c>
      <c r="N1486" s="213">
        <v>0</v>
      </c>
      <c r="O1486" s="213">
        <v>0</v>
      </c>
      <c r="P1486" s="108">
        <v>0</v>
      </c>
      <c r="Q1486" s="108">
        <v>0</v>
      </c>
      <c r="R1486" s="108">
        <v>0</v>
      </c>
      <c r="S1486" s="108">
        <v>0</v>
      </c>
      <c r="T1486" s="108">
        <v>0</v>
      </c>
      <c r="U1486" s="108">
        <v>0</v>
      </c>
      <c r="V1486" s="108">
        <v>0</v>
      </c>
      <c r="W1486" s="108">
        <v>0</v>
      </c>
      <c r="X1486" s="168"/>
      <c r="Y1486" s="168"/>
      <c r="Z1486" s="169"/>
      <c r="AA1486" s="169"/>
    </row>
    <row r="1487" ht="14.45" customHeight="1" spans="1:27">
      <c r="A1487" s="103">
        <v>45078</v>
      </c>
      <c r="B1487" s="104" t="s">
        <v>32</v>
      </c>
      <c r="C1487" s="145">
        <v>0</v>
      </c>
      <c r="D1487" s="145"/>
      <c r="E1487" s="104">
        <v>0</v>
      </c>
      <c r="F1487" s="106">
        <v>0</v>
      </c>
      <c r="G1487" s="107">
        <v>0</v>
      </c>
      <c r="H1487" s="106">
        <v>0</v>
      </c>
      <c r="I1487" s="106"/>
      <c r="J1487" s="106"/>
      <c r="K1487" s="106"/>
      <c r="L1487" s="213">
        <v>0</v>
      </c>
      <c r="M1487" s="213">
        <v>0</v>
      </c>
      <c r="N1487" s="213">
        <v>0</v>
      </c>
      <c r="O1487" s="213">
        <v>0</v>
      </c>
      <c r="P1487" s="108">
        <v>0</v>
      </c>
      <c r="Q1487" s="108">
        <v>0</v>
      </c>
      <c r="R1487" s="108">
        <v>0</v>
      </c>
      <c r="S1487" s="108">
        <v>0</v>
      </c>
      <c r="T1487" s="108">
        <v>0</v>
      </c>
      <c r="U1487" s="108">
        <v>0</v>
      </c>
      <c r="V1487" s="108">
        <v>0</v>
      </c>
      <c r="W1487" s="108">
        <v>0</v>
      </c>
      <c r="X1487" s="168"/>
      <c r="Y1487" s="168"/>
      <c r="Z1487" s="169"/>
      <c r="AA1487" s="169"/>
    </row>
    <row r="1488" spans="1:23">
      <c r="A1488" s="103">
        <v>45078</v>
      </c>
      <c r="B1488" s="104" t="s">
        <v>33</v>
      </c>
      <c r="C1488" s="145">
        <v>0</v>
      </c>
      <c r="D1488" s="145"/>
      <c r="E1488" s="104">
        <v>0</v>
      </c>
      <c r="F1488" s="106">
        <v>0</v>
      </c>
      <c r="G1488" s="107">
        <v>0</v>
      </c>
      <c r="H1488" s="106">
        <v>0</v>
      </c>
      <c r="I1488" s="106"/>
      <c r="J1488" s="106"/>
      <c r="K1488" s="106"/>
      <c r="L1488" s="213">
        <v>0</v>
      </c>
      <c r="M1488" s="213">
        <v>0</v>
      </c>
      <c r="N1488" s="213">
        <v>0</v>
      </c>
      <c r="O1488" s="213">
        <v>0</v>
      </c>
      <c r="P1488" s="108">
        <v>0</v>
      </c>
      <c r="Q1488" s="108">
        <v>0</v>
      </c>
      <c r="R1488" s="108">
        <v>0</v>
      </c>
      <c r="S1488" s="108">
        <v>0</v>
      </c>
      <c r="T1488" s="108">
        <v>0</v>
      </c>
      <c r="U1488" s="108">
        <v>0</v>
      </c>
      <c r="V1488" s="108">
        <v>0</v>
      </c>
      <c r="W1488" s="108">
        <v>0</v>
      </c>
    </row>
    <row r="1489" spans="1:23">
      <c r="A1489" s="103">
        <v>45078</v>
      </c>
      <c r="B1489" s="104" t="s">
        <v>34</v>
      </c>
      <c r="C1489" s="145">
        <v>0</v>
      </c>
      <c r="D1489" s="145"/>
      <c r="E1489" s="104">
        <v>0</v>
      </c>
      <c r="F1489" s="106">
        <v>0</v>
      </c>
      <c r="G1489" s="107">
        <v>0</v>
      </c>
      <c r="H1489" s="106">
        <v>0</v>
      </c>
      <c r="I1489" s="106"/>
      <c r="J1489" s="106"/>
      <c r="K1489" s="106"/>
      <c r="L1489" s="213">
        <v>0</v>
      </c>
      <c r="M1489" s="213">
        <v>0</v>
      </c>
      <c r="N1489" s="213">
        <v>0</v>
      </c>
      <c r="O1489" s="213">
        <v>0</v>
      </c>
      <c r="P1489" s="108">
        <v>0</v>
      </c>
      <c r="Q1489" s="108">
        <v>0</v>
      </c>
      <c r="R1489" s="108">
        <v>0</v>
      </c>
      <c r="S1489" s="108">
        <v>0</v>
      </c>
      <c r="T1489" s="108">
        <v>0</v>
      </c>
      <c r="U1489" s="108">
        <v>0</v>
      </c>
      <c r="V1489" s="108">
        <v>0</v>
      </c>
      <c r="W1489" s="108">
        <v>0</v>
      </c>
    </row>
    <row r="1490" spans="1:23">
      <c r="A1490" s="103">
        <v>45078</v>
      </c>
      <c r="B1490" s="104" t="s">
        <v>35</v>
      </c>
      <c r="C1490" s="145">
        <v>0</v>
      </c>
      <c r="D1490" s="145"/>
      <c r="E1490" s="104">
        <v>0</v>
      </c>
      <c r="F1490" s="106">
        <v>0</v>
      </c>
      <c r="G1490" s="107">
        <v>0</v>
      </c>
      <c r="H1490" s="106">
        <v>0</v>
      </c>
      <c r="I1490" s="106"/>
      <c r="J1490" s="106"/>
      <c r="K1490" s="106"/>
      <c r="L1490" s="213">
        <v>0</v>
      </c>
      <c r="M1490" s="213">
        <v>0</v>
      </c>
      <c r="N1490" s="213">
        <v>0</v>
      </c>
      <c r="O1490" s="213">
        <v>0</v>
      </c>
      <c r="P1490" s="108">
        <v>0</v>
      </c>
      <c r="Q1490" s="108">
        <v>0</v>
      </c>
      <c r="R1490" s="108">
        <v>0</v>
      </c>
      <c r="S1490" s="108">
        <v>0</v>
      </c>
      <c r="T1490" s="108">
        <v>0</v>
      </c>
      <c r="U1490" s="108">
        <v>0</v>
      </c>
      <c r="V1490" s="108">
        <v>0</v>
      </c>
      <c r="W1490" s="108">
        <v>0</v>
      </c>
    </row>
    <row r="1491" spans="1:23">
      <c r="A1491" s="103">
        <v>45078</v>
      </c>
      <c r="B1491" s="104" t="s">
        <v>36</v>
      </c>
      <c r="C1491" s="145">
        <v>0</v>
      </c>
      <c r="D1491" s="145"/>
      <c r="E1491" s="104">
        <v>0</v>
      </c>
      <c r="F1491" s="106">
        <v>0</v>
      </c>
      <c r="G1491" s="107">
        <v>0</v>
      </c>
      <c r="H1491" s="106">
        <v>0</v>
      </c>
      <c r="I1491" s="106"/>
      <c r="J1491" s="106"/>
      <c r="K1491" s="106"/>
      <c r="L1491" s="213">
        <v>0</v>
      </c>
      <c r="M1491" s="213">
        <v>0</v>
      </c>
      <c r="N1491" s="213">
        <v>0</v>
      </c>
      <c r="O1491" s="213">
        <v>0</v>
      </c>
      <c r="P1491" s="108">
        <v>0</v>
      </c>
      <c r="Q1491" s="108">
        <v>0</v>
      </c>
      <c r="R1491" s="108">
        <v>0</v>
      </c>
      <c r="S1491" s="108">
        <v>0</v>
      </c>
      <c r="T1491" s="108">
        <v>0</v>
      </c>
      <c r="U1491" s="108">
        <v>0</v>
      </c>
      <c r="V1491" s="108">
        <v>0</v>
      </c>
      <c r="W1491" s="108">
        <v>0</v>
      </c>
    </row>
    <row r="1492" spans="1:23">
      <c r="A1492" s="103">
        <v>45078</v>
      </c>
      <c r="B1492" s="104" t="s">
        <v>37</v>
      </c>
      <c r="C1492" s="145">
        <v>0</v>
      </c>
      <c r="D1492" s="145"/>
      <c r="E1492" s="104">
        <v>0</v>
      </c>
      <c r="F1492" s="106">
        <v>0</v>
      </c>
      <c r="G1492" s="107">
        <v>0</v>
      </c>
      <c r="H1492" s="106">
        <v>0</v>
      </c>
      <c r="I1492" s="106"/>
      <c r="J1492" s="106"/>
      <c r="K1492" s="106"/>
      <c r="L1492" s="213">
        <v>0</v>
      </c>
      <c r="M1492" s="213">
        <v>0</v>
      </c>
      <c r="N1492" s="213">
        <v>0</v>
      </c>
      <c r="O1492" s="213">
        <v>0</v>
      </c>
      <c r="P1492" s="108">
        <v>0</v>
      </c>
      <c r="Q1492" s="108">
        <v>0</v>
      </c>
      <c r="R1492" s="108">
        <v>0</v>
      </c>
      <c r="S1492" s="108">
        <v>0</v>
      </c>
      <c r="T1492" s="108">
        <v>0</v>
      </c>
      <c r="U1492" s="108">
        <v>0</v>
      </c>
      <c r="V1492" s="108">
        <v>0</v>
      </c>
      <c r="W1492" s="108">
        <v>0</v>
      </c>
    </row>
    <row r="1493" spans="1:23">
      <c r="A1493" s="103">
        <v>45078</v>
      </c>
      <c r="B1493" s="104" t="s">
        <v>38</v>
      </c>
      <c r="C1493" s="145">
        <v>0</v>
      </c>
      <c r="D1493" s="145"/>
      <c r="E1493" s="104">
        <v>0</v>
      </c>
      <c r="F1493" s="106">
        <v>0</v>
      </c>
      <c r="G1493" s="107">
        <v>0</v>
      </c>
      <c r="H1493" s="106">
        <v>0</v>
      </c>
      <c r="I1493" s="106"/>
      <c r="J1493" s="106"/>
      <c r="K1493" s="106"/>
      <c r="L1493" s="213">
        <v>0</v>
      </c>
      <c r="M1493" s="213">
        <v>0</v>
      </c>
      <c r="N1493" s="213">
        <v>0</v>
      </c>
      <c r="O1493" s="213">
        <v>0</v>
      </c>
      <c r="P1493" s="108">
        <v>0</v>
      </c>
      <c r="Q1493" s="108">
        <v>0</v>
      </c>
      <c r="R1493" s="108">
        <v>0</v>
      </c>
      <c r="S1493" s="108">
        <v>0</v>
      </c>
      <c r="T1493" s="108">
        <v>0</v>
      </c>
      <c r="U1493" s="108">
        <v>0</v>
      </c>
      <c r="V1493" s="108">
        <v>0</v>
      </c>
      <c r="W1493" s="108">
        <v>0</v>
      </c>
    </row>
    <row r="1494" spans="1:23">
      <c r="A1494" s="103">
        <v>45078</v>
      </c>
      <c r="B1494" s="111" t="s">
        <v>39</v>
      </c>
      <c r="C1494" s="112">
        <v>19182</v>
      </c>
      <c r="D1494" s="112"/>
      <c r="E1494" s="112">
        <v>486</v>
      </c>
      <c r="F1494" s="113">
        <v>0.0253362527369409</v>
      </c>
      <c r="G1494" s="112">
        <v>159</v>
      </c>
      <c r="H1494" s="113">
        <v>0.327160493827161</v>
      </c>
      <c r="I1494" s="113"/>
      <c r="J1494" s="113"/>
      <c r="K1494" s="113"/>
      <c r="L1494" s="213"/>
      <c r="M1494" s="213"/>
      <c r="N1494" s="213"/>
      <c r="O1494" s="213"/>
      <c r="P1494" s="108"/>
      <c r="Q1494" s="108"/>
      <c r="R1494" s="108"/>
      <c r="S1494" s="108"/>
      <c r="T1494" s="108"/>
      <c r="U1494" s="108"/>
      <c r="V1494" s="108"/>
      <c r="W1494" s="108"/>
    </row>
    <row r="1495" spans="1:23">
      <c r="A1495" s="103">
        <v>45079</v>
      </c>
      <c r="B1495" s="104" t="s">
        <v>17</v>
      </c>
      <c r="C1495" s="105">
        <v>3</v>
      </c>
      <c r="D1495" s="105"/>
      <c r="E1495" s="104">
        <v>9</v>
      </c>
      <c r="F1495" s="106">
        <v>3</v>
      </c>
      <c r="G1495" s="107">
        <v>5</v>
      </c>
      <c r="H1495" s="106">
        <v>0.555555555555556</v>
      </c>
      <c r="I1495" s="106"/>
      <c r="J1495" s="106"/>
      <c r="K1495" s="106"/>
      <c r="L1495" s="213">
        <v>1</v>
      </c>
      <c r="M1495" s="213">
        <v>-2</v>
      </c>
      <c r="N1495" s="213">
        <v>-2.2</v>
      </c>
      <c r="O1495" s="213">
        <v>-1.14285714285714</v>
      </c>
      <c r="P1495" s="108">
        <v>-8</v>
      </c>
      <c r="Q1495" s="108">
        <v>-1.66666666666667</v>
      </c>
      <c r="R1495" s="108">
        <v>-2.6</v>
      </c>
      <c r="S1495" s="108">
        <v>-1</v>
      </c>
      <c r="T1495" s="108">
        <v>3</v>
      </c>
      <c r="U1495" s="108">
        <v>1.33333333333333</v>
      </c>
      <c r="V1495" s="108">
        <v>2.2</v>
      </c>
      <c r="W1495" s="108">
        <v>2.57142857142857</v>
      </c>
    </row>
    <row r="1496" spans="1:23">
      <c r="A1496" s="103">
        <v>45079</v>
      </c>
      <c r="B1496" s="104" t="s">
        <v>19</v>
      </c>
      <c r="C1496" s="107">
        <v>412</v>
      </c>
      <c r="D1496" s="107"/>
      <c r="E1496" s="104">
        <v>9</v>
      </c>
      <c r="F1496" s="106">
        <v>0.0218446601941748</v>
      </c>
      <c r="G1496" s="107">
        <v>5</v>
      </c>
      <c r="H1496" s="106">
        <v>0.555555555555556</v>
      </c>
      <c r="I1496" s="106"/>
      <c r="J1496" s="106"/>
      <c r="K1496" s="106"/>
      <c r="L1496" s="213">
        <v>86</v>
      </c>
      <c r="M1496" s="213">
        <v>83.6666666666667</v>
      </c>
      <c r="N1496" s="213">
        <v>73.8</v>
      </c>
      <c r="O1496" s="213">
        <v>75.5714285714286</v>
      </c>
      <c r="P1496" s="108">
        <v>-5</v>
      </c>
      <c r="Q1496" s="108">
        <v>0.666666666666666</v>
      </c>
      <c r="R1496" s="108">
        <v>-2</v>
      </c>
      <c r="S1496" s="108">
        <v>-3.85714285714286</v>
      </c>
      <c r="T1496" s="108">
        <v>2</v>
      </c>
      <c r="U1496" s="108">
        <v>1.33333333333333</v>
      </c>
      <c r="V1496" s="108">
        <v>1.4</v>
      </c>
      <c r="W1496" s="115">
        <v>1.14285714285714</v>
      </c>
    </row>
    <row r="1497" spans="1:23">
      <c r="A1497" s="103">
        <v>45079</v>
      </c>
      <c r="B1497" s="104" t="s">
        <v>21</v>
      </c>
      <c r="C1497" s="145">
        <v>272</v>
      </c>
      <c r="D1497" s="145"/>
      <c r="E1497" s="104">
        <v>14</v>
      </c>
      <c r="F1497" s="106">
        <v>0.0514705882352941</v>
      </c>
      <c r="G1497" s="107">
        <v>5</v>
      </c>
      <c r="H1497" s="106">
        <v>0.357142857142857</v>
      </c>
      <c r="I1497" s="106"/>
      <c r="J1497" s="106"/>
      <c r="K1497" s="106"/>
      <c r="L1497" s="213">
        <v>18</v>
      </c>
      <c r="M1497" s="213">
        <v>-72.6666666666667</v>
      </c>
      <c r="N1497" s="213">
        <v>-123.6</v>
      </c>
      <c r="O1497" s="213">
        <v>-156.857142857143</v>
      </c>
      <c r="P1497" s="108">
        <v>-4</v>
      </c>
      <c r="Q1497" s="108">
        <v>-5.33333333333333</v>
      </c>
      <c r="R1497" s="108">
        <v>-5.4</v>
      </c>
      <c r="S1497" s="108">
        <v>-6.14285714285714</v>
      </c>
      <c r="T1497" s="108">
        <v>2</v>
      </c>
      <c r="U1497" s="108">
        <v>-0.333333333333333</v>
      </c>
      <c r="V1497" s="108">
        <v>-0.8</v>
      </c>
      <c r="W1497" s="108">
        <v>-1.57142857142857</v>
      </c>
    </row>
    <row r="1498" spans="1:23">
      <c r="A1498" s="103">
        <v>45079</v>
      </c>
      <c r="B1498" s="104" t="s">
        <v>22</v>
      </c>
      <c r="C1498" s="145">
        <v>3611</v>
      </c>
      <c r="D1498" s="145"/>
      <c r="E1498" s="104">
        <v>108</v>
      </c>
      <c r="F1498" s="106">
        <v>0.0299086125726945</v>
      </c>
      <c r="G1498" s="107">
        <v>42</v>
      </c>
      <c r="H1498" s="106">
        <v>0.388888888888889</v>
      </c>
      <c r="I1498" s="106"/>
      <c r="J1498" s="106"/>
      <c r="K1498" s="106"/>
      <c r="L1498" s="213">
        <v>-39</v>
      </c>
      <c r="M1498" s="213">
        <v>6.33333333333348</v>
      </c>
      <c r="N1498" s="213">
        <v>-92.5999999999999</v>
      </c>
      <c r="O1498" s="213">
        <v>-192.714285714286</v>
      </c>
      <c r="P1498" s="108">
        <v>-16</v>
      </c>
      <c r="Q1498" s="108">
        <v>-0.666666666666671</v>
      </c>
      <c r="R1498" s="108">
        <v>0.799999999999997</v>
      </c>
      <c r="S1498" s="115">
        <v>-5.71428571428571</v>
      </c>
      <c r="T1498" s="108">
        <v>-14</v>
      </c>
      <c r="U1498" s="108">
        <v>-3</v>
      </c>
      <c r="V1498" s="108">
        <v>-1.6</v>
      </c>
      <c r="W1498" s="117">
        <v>-2.28571428571428</v>
      </c>
    </row>
    <row r="1499" spans="1:23">
      <c r="A1499" s="103">
        <v>45079</v>
      </c>
      <c r="B1499" s="104" t="s">
        <v>23</v>
      </c>
      <c r="C1499" s="145">
        <v>1698</v>
      </c>
      <c r="D1499" s="145"/>
      <c r="E1499" s="104">
        <v>8</v>
      </c>
      <c r="F1499" s="106">
        <v>0.00471142520612485</v>
      </c>
      <c r="G1499" s="107">
        <v>4</v>
      </c>
      <c r="H1499" s="106">
        <v>0.5</v>
      </c>
      <c r="I1499" s="106"/>
      <c r="J1499" s="106"/>
      <c r="K1499" s="106"/>
      <c r="L1499" s="213">
        <v>251</v>
      </c>
      <c r="M1499" s="213">
        <v>234.333333333333</v>
      </c>
      <c r="N1499" s="213">
        <v>178.8</v>
      </c>
      <c r="O1499" s="213">
        <v>44.5714285714287</v>
      </c>
      <c r="P1499" s="108">
        <v>-6</v>
      </c>
      <c r="Q1499" s="108">
        <v>-3.66666666666667</v>
      </c>
      <c r="R1499" s="108">
        <v>-3.2</v>
      </c>
      <c r="S1499" s="108">
        <v>-5</v>
      </c>
      <c r="T1499" s="108">
        <v>0</v>
      </c>
      <c r="U1499" s="116">
        <v>-1</v>
      </c>
      <c r="V1499" s="108">
        <v>-0.4</v>
      </c>
      <c r="W1499" s="108">
        <v>-1.57142857142857</v>
      </c>
    </row>
    <row r="1500" spans="1:23">
      <c r="A1500" s="103">
        <v>45079</v>
      </c>
      <c r="B1500" s="104" t="s">
        <v>24</v>
      </c>
      <c r="C1500" s="145">
        <v>4464</v>
      </c>
      <c r="D1500" s="145"/>
      <c r="E1500" s="104">
        <v>181</v>
      </c>
      <c r="F1500" s="106">
        <v>0.0405465949820789</v>
      </c>
      <c r="G1500" s="107">
        <v>59</v>
      </c>
      <c r="H1500" s="106">
        <v>0.325966850828729</v>
      </c>
      <c r="I1500" s="106"/>
      <c r="J1500" s="106"/>
      <c r="K1500" s="106"/>
      <c r="L1500" s="213">
        <v>48</v>
      </c>
      <c r="M1500" s="213">
        <v>-1185.33333333333</v>
      </c>
      <c r="N1500" s="213">
        <v>-2226.4</v>
      </c>
      <c r="O1500" s="213">
        <v>-1577.14285714286</v>
      </c>
      <c r="P1500" s="115">
        <v>35</v>
      </c>
      <c r="Q1500" s="115">
        <v>40.6666666666667</v>
      </c>
      <c r="R1500" s="115">
        <v>28.8</v>
      </c>
      <c r="S1500" s="115">
        <v>30.5714285714286</v>
      </c>
      <c r="T1500" s="115">
        <v>17</v>
      </c>
      <c r="U1500" s="115">
        <v>17</v>
      </c>
      <c r="V1500" s="115">
        <v>15.4</v>
      </c>
      <c r="W1500" s="115">
        <v>18</v>
      </c>
    </row>
    <row r="1501" spans="1:23">
      <c r="A1501" s="103">
        <v>45079</v>
      </c>
      <c r="B1501" s="104" t="s">
        <v>25</v>
      </c>
      <c r="C1501" s="145">
        <v>3724</v>
      </c>
      <c r="D1501" s="145"/>
      <c r="E1501" s="104">
        <v>30</v>
      </c>
      <c r="F1501" s="106">
        <v>0.00805585392051558</v>
      </c>
      <c r="G1501" s="107">
        <v>13</v>
      </c>
      <c r="H1501" s="106">
        <v>0.433333333333333</v>
      </c>
      <c r="I1501" s="106"/>
      <c r="J1501" s="106"/>
      <c r="K1501" s="106"/>
      <c r="L1501" s="213">
        <v>657</v>
      </c>
      <c r="M1501" s="213">
        <v>162.333333333333</v>
      </c>
      <c r="N1501" s="213">
        <v>-32.4000000000001</v>
      </c>
      <c r="O1501" s="213">
        <v>364.285714285714</v>
      </c>
      <c r="P1501" s="116">
        <v>-1</v>
      </c>
      <c r="Q1501" s="115">
        <v>-0.333333333333332</v>
      </c>
      <c r="R1501" s="115">
        <v>0.399999999999999</v>
      </c>
      <c r="S1501" s="115">
        <v>-0.285714285714285</v>
      </c>
      <c r="T1501" s="108">
        <v>1</v>
      </c>
      <c r="U1501" s="108">
        <v>-0.666666666666666</v>
      </c>
      <c r="V1501" s="108">
        <v>0.4</v>
      </c>
      <c r="W1501" s="108">
        <v>1.42857142857143</v>
      </c>
    </row>
    <row r="1502" spans="1:23">
      <c r="A1502" s="103">
        <v>45079</v>
      </c>
      <c r="B1502" s="104" t="s">
        <v>26</v>
      </c>
      <c r="C1502" s="145">
        <v>1668</v>
      </c>
      <c r="D1502" s="145"/>
      <c r="E1502" s="104">
        <v>10</v>
      </c>
      <c r="F1502" s="106">
        <v>0.00599520383693046</v>
      </c>
      <c r="G1502" s="107">
        <v>1</v>
      </c>
      <c r="H1502" s="106">
        <v>0.1</v>
      </c>
      <c r="I1502" s="106"/>
      <c r="J1502" s="106"/>
      <c r="K1502" s="106"/>
      <c r="L1502" s="213">
        <v>46</v>
      </c>
      <c r="M1502" s="213">
        <v>92.6666666666667</v>
      </c>
      <c r="N1502" s="213">
        <v>136.8</v>
      </c>
      <c r="O1502" s="213">
        <v>152.428571428571</v>
      </c>
      <c r="P1502" s="108">
        <v>4</v>
      </c>
      <c r="Q1502" s="108">
        <v>0.666666666666666</v>
      </c>
      <c r="R1502" s="108">
        <v>-0.800000000000001</v>
      </c>
      <c r="S1502" s="108">
        <v>1</v>
      </c>
      <c r="T1502" s="108">
        <v>-2</v>
      </c>
      <c r="U1502" s="108">
        <v>-4</v>
      </c>
      <c r="V1502" s="108">
        <v>-3.6</v>
      </c>
      <c r="W1502" s="108">
        <v>-3.71428571428571</v>
      </c>
    </row>
    <row r="1503" spans="1:23">
      <c r="A1503" s="103">
        <v>45079</v>
      </c>
      <c r="B1503" s="104" t="s">
        <v>27</v>
      </c>
      <c r="C1503" s="145">
        <v>4323</v>
      </c>
      <c r="D1503" s="145"/>
      <c r="E1503" s="104">
        <v>88</v>
      </c>
      <c r="F1503" s="106">
        <v>0.0203562340966921</v>
      </c>
      <c r="G1503" s="107">
        <v>23</v>
      </c>
      <c r="H1503" s="106">
        <v>0.261363636363636</v>
      </c>
      <c r="I1503" s="106"/>
      <c r="J1503" s="106"/>
      <c r="K1503" s="106"/>
      <c r="L1503" s="213">
        <v>-75</v>
      </c>
      <c r="M1503" s="213">
        <v>-279.333333333333</v>
      </c>
      <c r="N1503" s="213">
        <v>-683.6</v>
      </c>
      <c r="O1503" s="213">
        <v>-807.428571428572</v>
      </c>
      <c r="P1503" s="108">
        <v>-28</v>
      </c>
      <c r="Q1503" s="108">
        <v>-46.3333333333333</v>
      </c>
      <c r="R1503" s="108">
        <v>-45</v>
      </c>
      <c r="S1503" s="108">
        <v>-41.2857142857143</v>
      </c>
      <c r="T1503" s="108">
        <v>-11</v>
      </c>
      <c r="U1503" s="108">
        <v>-14.3333333333333</v>
      </c>
      <c r="V1503" s="108">
        <v>-12</v>
      </c>
      <c r="W1503" s="108">
        <v>-10.5714285714286</v>
      </c>
    </row>
    <row r="1504" spans="1:23">
      <c r="A1504" s="103">
        <v>45079</v>
      </c>
      <c r="B1504" s="104" t="s">
        <v>28</v>
      </c>
      <c r="C1504" s="145">
        <v>0</v>
      </c>
      <c r="D1504" s="145"/>
      <c r="E1504" s="104">
        <v>0</v>
      </c>
      <c r="F1504" s="106">
        <v>0</v>
      </c>
      <c r="G1504" s="107">
        <v>0</v>
      </c>
      <c r="H1504" s="106">
        <v>0</v>
      </c>
      <c r="I1504" s="106"/>
      <c r="J1504" s="106"/>
      <c r="K1504" s="106"/>
      <c r="L1504" s="213">
        <v>0</v>
      </c>
      <c r="M1504" s="213">
        <v>0</v>
      </c>
      <c r="N1504" s="213">
        <v>0</v>
      </c>
      <c r="O1504" s="213">
        <v>0</v>
      </c>
      <c r="P1504" s="108">
        <v>0</v>
      </c>
      <c r="Q1504" s="108">
        <v>0</v>
      </c>
      <c r="R1504" s="108">
        <v>0</v>
      </c>
      <c r="S1504" s="108">
        <v>0</v>
      </c>
      <c r="T1504" s="108">
        <v>0</v>
      </c>
      <c r="U1504" s="108">
        <v>0</v>
      </c>
      <c r="V1504" s="108">
        <v>0</v>
      </c>
      <c r="W1504" s="108">
        <v>0</v>
      </c>
    </row>
    <row r="1505" spans="1:23">
      <c r="A1505" s="103">
        <v>45079</v>
      </c>
      <c r="B1505" s="104" t="s">
        <v>29</v>
      </c>
      <c r="C1505" s="145">
        <v>0</v>
      </c>
      <c r="D1505" s="145"/>
      <c r="E1505" s="104">
        <v>0</v>
      </c>
      <c r="F1505" s="106">
        <v>0</v>
      </c>
      <c r="G1505" s="107">
        <v>0</v>
      </c>
      <c r="H1505" s="106">
        <v>0</v>
      </c>
      <c r="I1505" s="106"/>
      <c r="J1505" s="106"/>
      <c r="K1505" s="106"/>
      <c r="L1505" s="213">
        <v>0</v>
      </c>
      <c r="M1505" s="213">
        <v>-0.666666666666667</v>
      </c>
      <c r="N1505" s="213">
        <v>-0.6</v>
      </c>
      <c r="O1505" s="213">
        <v>-0.428571428571429</v>
      </c>
      <c r="P1505" s="108">
        <v>0</v>
      </c>
      <c r="Q1505" s="108">
        <v>0</v>
      </c>
      <c r="R1505" s="108">
        <v>0</v>
      </c>
      <c r="S1505" s="108">
        <v>0</v>
      </c>
      <c r="T1505" s="108">
        <v>0</v>
      </c>
      <c r="U1505" s="108">
        <v>0</v>
      </c>
      <c r="V1505" s="108">
        <v>0</v>
      </c>
      <c r="W1505" s="108">
        <v>0</v>
      </c>
    </row>
    <row r="1506" spans="1:23">
      <c r="A1506" s="103">
        <v>45079</v>
      </c>
      <c r="B1506" s="104" t="s">
        <v>30</v>
      </c>
      <c r="C1506" s="145">
        <v>0</v>
      </c>
      <c r="D1506" s="145"/>
      <c r="E1506" s="104">
        <v>0</v>
      </c>
      <c r="F1506" s="106">
        <v>0</v>
      </c>
      <c r="G1506" s="107">
        <v>0</v>
      </c>
      <c r="H1506" s="106">
        <v>0</v>
      </c>
      <c r="I1506" s="106"/>
      <c r="J1506" s="106"/>
      <c r="K1506" s="106"/>
      <c r="L1506" s="213">
        <v>0</v>
      </c>
      <c r="M1506" s="213">
        <v>0</v>
      </c>
      <c r="N1506" s="213">
        <v>0</v>
      </c>
      <c r="O1506" s="213">
        <v>0</v>
      </c>
      <c r="P1506" s="108">
        <v>0</v>
      </c>
      <c r="Q1506" s="108">
        <v>0</v>
      </c>
      <c r="R1506" s="108">
        <v>0</v>
      </c>
      <c r="S1506" s="108">
        <v>0</v>
      </c>
      <c r="T1506" s="108">
        <v>0</v>
      </c>
      <c r="U1506" s="108">
        <v>0</v>
      </c>
      <c r="V1506" s="108">
        <v>0</v>
      </c>
      <c r="W1506" s="108">
        <v>0</v>
      </c>
    </row>
    <row r="1507" spans="1:23">
      <c r="A1507" s="103">
        <v>45079</v>
      </c>
      <c r="B1507" s="104" t="s">
        <v>31</v>
      </c>
      <c r="C1507" s="145">
        <v>0</v>
      </c>
      <c r="D1507" s="145"/>
      <c r="E1507" s="104">
        <v>0</v>
      </c>
      <c r="F1507" s="106">
        <v>0</v>
      </c>
      <c r="G1507" s="107">
        <v>0</v>
      </c>
      <c r="H1507" s="106">
        <v>0</v>
      </c>
      <c r="I1507" s="106"/>
      <c r="J1507" s="106"/>
      <c r="K1507" s="106"/>
      <c r="L1507" s="213">
        <v>0</v>
      </c>
      <c r="M1507" s="213">
        <v>0</v>
      </c>
      <c r="N1507" s="213">
        <v>0</v>
      </c>
      <c r="O1507" s="213">
        <v>0</v>
      </c>
      <c r="P1507" s="108">
        <v>0</v>
      </c>
      <c r="Q1507" s="108">
        <v>0</v>
      </c>
      <c r="R1507" s="108">
        <v>0</v>
      </c>
      <c r="S1507" s="108">
        <v>0</v>
      </c>
      <c r="T1507" s="108">
        <v>0</v>
      </c>
      <c r="U1507" s="108">
        <v>0</v>
      </c>
      <c r="V1507" s="108">
        <v>0</v>
      </c>
      <c r="W1507" s="108">
        <v>0</v>
      </c>
    </row>
    <row r="1508" spans="1:23">
      <c r="A1508" s="103">
        <v>45079</v>
      </c>
      <c r="B1508" s="104" t="s">
        <v>32</v>
      </c>
      <c r="C1508" s="145">
        <v>0</v>
      </c>
      <c r="D1508" s="145"/>
      <c r="E1508" s="104">
        <v>0</v>
      </c>
      <c r="F1508" s="106">
        <v>0</v>
      </c>
      <c r="G1508" s="107">
        <v>0</v>
      </c>
      <c r="H1508" s="106">
        <v>0</v>
      </c>
      <c r="I1508" s="106"/>
      <c r="J1508" s="106"/>
      <c r="K1508" s="106"/>
      <c r="L1508" s="213">
        <v>0</v>
      </c>
      <c r="M1508" s="213">
        <v>0</v>
      </c>
      <c r="N1508" s="213">
        <v>0</v>
      </c>
      <c r="O1508" s="213">
        <v>0</v>
      </c>
      <c r="P1508" s="108">
        <v>0</v>
      </c>
      <c r="Q1508" s="108">
        <v>0</v>
      </c>
      <c r="R1508" s="108">
        <v>0</v>
      </c>
      <c r="S1508" s="108">
        <v>0</v>
      </c>
      <c r="T1508" s="108">
        <v>0</v>
      </c>
      <c r="U1508" s="108">
        <v>0</v>
      </c>
      <c r="V1508" s="108">
        <v>0</v>
      </c>
      <c r="W1508" s="108">
        <v>0</v>
      </c>
    </row>
    <row r="1509" spans="1:23">
      <c r="A1509" s="103">
        <v>45079</v>
      </c>
      <c r="B1509" s="104" t="s">
        <v>33</v>
      </c>
      <c r="C1509" s="145">
        <v>0</v>
      </c>
      <c r="D1509" s="145"/>
      <c r="E1509" s="104">
        <v>0</v>
      </c>
      <c r="F1509" s="106">
        <v>0</v>
      </c>
      <c r="G1509" s="107">
        <v>0</v>
      </c>
      <c r="H1509" s="106">
        <v>0</v>
      </c>
      <c r="I1509" s="106"/>
      <c r="J1509" s="106"/>
      <c r="K1509" s="106"/>
      <c r="L1509" s="213">
        <v>0</v>
      </c>
      <c r="M1509" s="213">
        <v>0</v>
      </c>
      <c r="N1509" s="213">
        <v>0</v>
      </c>
      <c r="O1509" s="213">
        <v>0</v>
      </c>
      <c r="P1509" s="108">
        <v>0</v>
      </c>
      <c r="Q1509" s="108">
        <v>0</v>
      </c>
      <c r="R1509" s="108">
        <v>0</v>
      </c>
      <c r="S1509" s="108">
        <v>0</v>
      </c>
      <c r="T1509" s="108">
        <v>0</v>
      </c>
      <c r="U1509" s="108">
        <v>0</v>
      </c>
      <c r="V1509" s="108">
        <v>0</v>
      </c>
      <c r="W1509" s="108">
        <v>0</v>
      </c>
    </row>
    <row r="1510" spans="1:23">
      <c r="A1510" s="103">
        <v>45079</v>
      </c>
      <c r="B1510" s="104" t="s">
        <v>34</v>
      </c>
      <c r="C1510" s="145">
        <v>0</v>
      </c>
      <c r="D1510" s="145"/>
      <c r="E1510" s="104">
        <v>0</v>
      </c>
      <c r="F1510" s="106">
        <v>0</v>
      </c>
      <c r="G1510" s="107">
        <v>0</v>
      </c>
      <c r="H1510" s="106">
        <v>0</v>
      </c>
      <c r="I1510" s="106"/>
      <c r="J1510" s="106"/>
      <c r="K1510" s="106"/>
      <c r="L1510" s="213">
        <v>0</v>
      </c>
      <c r="M1510" s="213">
        <v>0</v>
      </c>
      <c r="N1510" s="213">
        <v>0</v>
      </c>
      <c r="O1510" s="213">
        <v>0</v>
      </c>
      <c r="P1510" s="108">
        <v>0</v>
      </c>
      <c r="Q1510" s="108">
        <v>0</v>
      </c>
      <c r="R1510" s="108">
        <v>0</v>
      </c>
      <c r="S1510" s="108">
        <v>0</v>
      </c>
      <c r="T1510" s="108">
        <v>0</v>
      </c>
      <c r="U1510" s="108">
        <v>0</v>
      </c>
      <c r="V1510" s="108">
        <v>0</v>
      </c>
      <c r="W1510" s="108">
        <v>0</v>
      </c>
    </row>
    <row r="1511" spans="1:23">
      <c r="A1511" s="103">
        <v>45079</v>
      </c>
      <c r="B1511" s="104" t="s">
        <v>35</v>
      </c>
      <c r="C1511" s="145">
        <v>0</v>
      </c>
      <c r="D1511" s="145"/>
      <c r="E1511" s="104">
        <v>0</v>
      </c>
      <c r="F1511" s="106">
        <v>0</v>
      </c>
      <c r="G1511" s="107">
        <v>0</v>
      </c>
      <c r="H1511" s="106">
        <v>0</v>
      </c>
      <c r="I1511" s="106"/>
      <c r="J1511" s="106"/>
      <c r="K1511" s="106"/>
      <c r="L1511" s="213">
        <v>0</v>
      </c>
      <c r="M1511" s="213">
        <v>0</v>
      </c>
      <c r="N1511" s="213">
        <v>0</v>
      </c>
      <c r="O1511" s="213">
        <v>0</v>
      </c>
      <c r="P1511" s="108">
        <v>0</v>
      </c>
      <c r="Q1511" s="108">
        <v>0</v>
      </c>
      <c r="R1511" s="108">
        <v>0</v>
      </c>
      <c r="S1511" s="108">
        <v>0</v>
      </c>
      <c r="T1511" s="108">
        <v>0</v>
      </c>
      <c r="U1511" s="108">
        <v>0</v>
      </c>
      <c r="V1511" s="108">
        <v>0</v>
      </c>
      <c r="W1511" s="108">
        <v>0</v>
      </c>
    </row>
    <row r="1512" spans="1:23">
      <c r="A1512" s="103">
        <v>45079</v>
      </c>
      <c r="B1512" s="104" t="s">
        <v>36</v>
      </c>
      <c r="C1512" s="145">
        <v>0</v>
      </c>
      <c r="D1512" s="145"/>
      <c r="E1512" s="104">
        <v>0</v>
      </c>
      <c r="F1512" s="106">
        <v>0</v>
      </c>
      <c r="G1512" s="107">
        <v>0</v>
      </c>
      <c r="H1512" s="106">
        <v>0</v>
      </c>
      <c r="I1512" s="106"/>
      <c r="J1512" s="106"/>
      <c r="K1512" s="106"/>
      <c r="L1512" s="213">
        <v>0</v>
      </c>
      <c r="M1512" s="213">
        <v>0</v>
      </c>
      <c r="N1512" s="213">
        <v>0</v>
      </c>
      <c r="O1512" s="213">
        <v>0</v>
      </c>
      <c r="P1512" s="108">
        <v>0</v>
      </c>
      <c r="Q1512" s="108">
        <v>0</v>
      </c>
      <c r="R1512" s="108">
        <v>0</v>
      </c>
      <c r="S1512" s="108">
        <v>0</v>
      </c>
      <c r="T1512" s="108">
        <v>0</v>
      </c>
      <c r="U1512" s="108">
        <v>0</v>
      </c>
      <c r="V1512" s="108">
        <v>0</v>
      </c>
      <c r="W1512" s="108">
        <v>0</v>
      </c>
    </row>
    <row r="1513" spans="1:23">
      <c r="A1513" s="103">
        <v>45079</v>
      </c>
      <c r="B1513" s="104" t="s">
        <v>37</v>
      </c>
      <c r="C1513" s="145">
        <v>0</v>
      </c>
      <c r="D1513" s="145"/>
      <c r="E1513" s="104">
        <v>0</v>
      </c>
      <c r="F1513" s="106">
        <v>0</v>
      </c>
      <c r="G1513" s="107">
        <v>0</v>
      </c>
      <c r="H1513" s="106">
        <v>0</v>
      </c>
      <c r="I1513" s="106"/>
      <c r="J1513" s="106"/>
      <c r="K1513" s="106"/>
      <c r="L1513" s="213">
        <v>0</v>
      </c>
      <c r="M1513" s="213">
        <v>0</v>
      </c>
      <c r="N1513" s="213">
        <v>0</v>
      </c>
      <c r="O1513" s="213">
        <v>0</v>
      </c>
      <c r="P1513" s="108">
        <v>0</v>
      </c>
      <c r="Q1513" s="108">
        <v>0</v>
      </c>
      <c r="R1513" s="108">
        <v>0</v>
      </c>
      <c r="S1513" s="108">
        <v>0</v>
      </c>
      <c r="T1513" s="108">
        <v>0</v>
      </c>
      <c r="U1513" s="108">
        <v>0</v>
      </c>
      <c r="V1513" s="108">
        <v>0</v>
      </c>
      <c r="W1513" s="108">
        <v>0</v>
      </c>
    </row>
    <row r="1514" spans="1:23">
      <c r="A1514" s="103">
        <v>45079</v>
      </c>
      <c r="B1514" s="104" t="s">
        <v>38</v>
      </c>
      <c r="C1514" s="145">
        <v>0</v>
      </c>
      <c r="D1514" s="145"/>
      <c r="E1514" s="104">
        <v>0</v>
      </c>
      <c r="F1514" s="106">
        <v>0</v>
      </c>
      <c r="G1514" s="107">
        <v>0</v>
      </c>
      <c r="H1514" s="106">
        <v>0</v>
      </c>
      <c r="I1514" s="106"/>
      <c r="J1514" s="106"/>
      <c r="K1514" s="106"/>
      <c r="L1514" s="213">
        <v>0</v>
      </c>
      <c r="M1514" s="213">
        <v>0</v>
      </c>
      <c r="N1514" s="213">
        <v>0</v>
      </c>
      <c r="O1514" s="213">
        <v>0</v>
      </c>
      <c r="P1514" s="108">
        <v>0</v>
      </c>
      <c r="Q1514" s="108">
        <v>0</v>
      </c>
      <c r="R1514" s="108">
        <v>0</v>
      </c>
      <c r="S1514" s="108">
        <v>0</v>
      </c>
      <c r="T1514" s="108">
        <v>0</v>
      </c>
      <c r="U1514" s="108">
        <v>0</v>
      </c>
      <c r="V1514" s="108">
        <v>0</v>
      </c>
      <c r="W1514" s="108">
        <v>0</v>
      </c>
    </row>
    <row r="1515" spans="1:23">
      <c r="A1515" s="103">
        <v>45079</v>
      </c>
      <c r="B1515" s="111" t="s">
        <v>39</v>
      </c>
      <c r="C1515" s="112">
        <v>20175</v>
      </c>
      <c r="D1515" s="112"/>
      <c r="E1515" s="112">
        <v>457</v>
      </c>
      <c r="F1515" s="113">
        <v>0.0226517967781908</v>
      </c>
      <c r="G1515" s="112">
        <v>157</v>
      </c>
      <c r="H1515" s="113">
        <v>0.343544857768052</v>
      </c>
      <c r="I1515" s="113"/>
      <c r="J1515" s="113"/>
      <c r="K1515" s="113"/>
      <c r="L1515" s="213"/>
      <c r="M1515" s="213"/>
      <c r="N1515" s="213"/>
      <c r="O1515" s="213"/>
      <c r="P1515" s="108"/>
      <c r="Q1515" s="108"/>
      <c r="R1515" s="108"/>
      <c r="S1515" s="108"/>
      <c r="T1515" s="108"/>
      <c r="U1515" s="108"/>
      <c r="V1515" s="108"/>
      <c r="W1515" s="108"/>
    </row>
    <row r="1516" spans="1:23">
      <c r="A1516" s="103">
        <v>45080</v>
      </c>
      <c r="B1516" s="104" t="s">
        <v>17</v>
      </c>
      <c r="C1516" s="105">
        <v>2</v>
      </c>
      <c r="D1516" s="105"/>
      <c r="E1516" s="104">
        <v>15</v>
      </c>
      <c r="F1516" s="106">
        <v>7.5</v>
      </c>
      <c r="G1516" s="107">
        <v>1</v>
      </c>
      <c r="H1516" s="106">
        <v>0.0666666666666667</v>
      </c>
      <c r="I1516" s="106"/>
      <c r="J1516" s="106"/>
      <c r="K1516" s="106"/>
      <c r="L1516" s="213">
        <v>-1</v>
      </c>
      <c r="M1516" s="213">
        <v>-3</v>
      </c>
      <c r="N1516" s="213">
        <v>-1.8</v>
      </c>
      <c r="O1516" s="213">
        <v>-2.42857142857143</v>
      </c>
      <c r="P1516" s="108">
        <v>6</v>
      </c>
      <c r="Q1516" s="108">
        <v>3</v>
      </c>
      <c r="R1516" s="108">
        <v>5.4</v>
      </c>
      <c r="S1516" s="108">
        <v>4.42857142857143</v>
      </c>
      <c r="T1516" s="108">
        <v>-4</v>
      </c>
      <c r="U1516" s="108">
        <v>-2.66666666666667</v>
      </c>
      <c r="V1516" s="108">
        <v>-2.4</v>
      </c>
      <c r="W1516" s="108">
        <v>-2</v>
      </c>
    </row>
    <row r="1517" spans="1:23">
      <c r="A1517" s="103">
        <v>45080</v>
      </c>
      <c r="B1517" s="104" t="s">
        <v>19</v>
      </c>
      <c r="C1517" s="107">
        <v>440</v>
      </c>
      <c r="D1517" s="107"/>
      <c r="E1517" s="104">
        <v>12</v>
      </c>
      <c r="F1517" s="106">
        <v>0.0272727272727273</v>
      </c>
      <c r="G1517" s="107">
        <v>4</v>
      </c>
      <c r="H1517" s="106">
        <v>0.333333333333333</v>
      </c>
      <c r="I1517" s="106"/>
      <c r="J1517" s="106"/>
      <c r="K1517" s="106"/>
      <c r="L1517" s="213">
        <v>28</v>
      </c>
      <c r="M1517" s="213">
        <v>92</v>
      </c>
      <c r="N1517" s="213">
        <v>87.8</v>
      </c>
      <c r="O1517" s="213">
        <v>91</v>
      </c>
      <c r="P1517" s="108">
        <v>3</v>
      </c>
      <c r="Q1517" s="108">
        <v>2</v>
      </c>
      <c r="R1517" s="108">
        <v>1.8</v>
      </c>
      <c r="S1517" s="108">
        <v>-0.285714285714286</v>
      </c>
      <c r="T1517" s="108">
        <v>-1</v>
      </c>
      <c r="U1517" s="108">
        <v>0.666666666666667</v>
      </c>
      <c r="V1517" s="108">
        <v>0.2</v>
      </c>
      <c r="W1517" s="115">
        <v>-0.142857142857143</v>
      </c>
    </row>
    <row r="1518" spans="1:23">
      <c r="A1518" s="103">
        <v>45080</v>
      </c>
      <c r="B1518" s="104" t="s">
        <v>21</v>
      </c>
      <c r="C1518" s="145">
        <v>259</v>
      </c>
      <c r="D1518" s="145"/>
      <c r="E1518" s="104">
        <v>18</v>
      </c>
      <c r="F1518" s="106">
        <v>0.0694980694980695</v>
      </c>
      <c r="G1518" s="107">
        <v>7</v>
      </c>
      <c r="H1518" s="106">
        <v>0.388888888888889</v>
      </c>
      <c r="I1518" s="106"/>
      <c r="J1518" s="106"/>
      <c r="K1518" s="106"/>
      <c r="L1518" s="213">
        <v>-13</v>
      </c>
      <c r="M1518" s="213">
        <v>-23</v>
      </c>
      <c r="N1518" s="213">
        <v>-94.8</v>
      </c>
      <c r="O1518" s="213">
        <v>-137.857142857143</v>
      </c>
      <c r="P1518" s="108">
        <v>4</v>
      </c>
      <c r="Q1518" s="108">
        <v>1.33333333333333</v>
      </c>
      <c r="R1518" s="108">
        <v>0.199999999999999</v>
      </c>
      <c r="S1518" s="108">
        <v>-0.714285714285715</v>
      </c>
      <c r="T1518" s="108">
        <v>2</v>
      </c>
      <c r="U1518" s="108">
        <v>2</v>
      </c>
      <c r="V1518" s="108">
        <v>1.4</v>
      </c>
      <c r="W1518" s="108">
        <v>1.14285714285714</v>
      </c>
    </row>
    <row r="1519" spans="1:23">
      <c r="A1519" s="103">
        <v>45080</v>
      </c>
      <c r="B1519" s="104" t="s">
        <v>22</v>
      </c>
      <c r="C1519" s="145">
        <v>4224</v>
      </c>
      <c r="D1519" s="145"/>
      <c r="E1519" s="104">
        <v>126</v>
      </c>
      <c r="F1519" s="106">
        <v>0.0298295454545455</v>
      </c>
      <c r="G1519" s="107">
        <v>48</v>
      </c>
      <c r="H1519" s="106">
        <v>0.380952380952381</v>
      </c>
      <c r="I1519" s="106"/>
      <c r="J1519" s="106"/>
      <c r="K1519" s="106"/>
      <c r="L1519" s="213">
        <v>613</v>
      </c>
      <c r="M1519" s="213">
        <v>633</v>
      </c>
      <c r="N1519" s="213">
        <v>608.2</v>
      </c>
      <c r="O1519" s="213">
        <v>462.714285714286</v>
      </c>
      <c r="P1519" s="108">
        <v>18</v>
      </c>
      <c r="Q1519" s="108">
        <v>15.3333333333333</v>
      </c>
      <c r="R1519" s="108">
        <v>19.8</v>
      </c>
      <c r="S1519" s="115">
        <v>16.1428571428571</v>
      </c>
      <c r="T1519" s="108">
        <v>6</v>
      </c>
      <c r="U1519" s="108">
        <v>4.66666666666666</v>
      </c>
      <c r="V1519" s="108">
        <v>6.8</v>
      </c>
      <c r="W1519" s="117">
        <v>4</v>
      </c>
    </row>
    <row r="1520" spans="1:23">
      <c r="A1520" s="103">
        <v>45080</v>
      </c>
      <c r="B1520" s="104" t="s">
        <v>23</v>
      </c>
      <c r="C1520" s="145">
        <v>1836</v>
      </c>
      <c r="D1520" s="145"/>
      <c r="E1520" s="104">
        <v>8</v>
      </c>
      <c r="F1520" s="106">
        <v>0.00435729847494553</v>
      </c>
      <c r="G1520" s="107">
        <v>2</v>
      </c>
      <c r="H1520" s="106">
        <v>0.25</v>
      </c>
      <c r="I1520" s="106"/>
      <c r="J1520" s="106"/>
      <c r="K1520" s="106"/>
      <c r="L1520" s="213">
        <v>138</v>
      </c>
      <c r="M1520" s="213">
        <v>293.666666666667</v>
      </c>
      <c r="N1520" s="213">
        <v>297.6</v>
      </c>
      <c r="O1520" s="213">
        <v>221.285714285714</v>
      </c>
      <c r="P1520" s="108">
        <v>0</v>
      </c>
      <c r="Q1520" s="108">
        <v>-1.66666666666667</v>
      </c>
      <c r="R1520" s="108">
        <v>-2.2</v>
      </c>
      <c r="S1520" s="108">
        <v>-3.71428571428571</v>
      </c>
      <c r="T1520" s="108">
        <v>-2</v>
      </c>
      <c r="U1520" s="116">
        <v>-2.66666666666667</v>
      </c>
      <c r="V1520" s="108">
        <v>-2.6</v>
      </c>
      <c r="W1520" s="108">
        <v>-3.28571428571429</v>
      </c>
    </row>
    <row r="1521" spans="1:23">
      <c r="A1521" s="103">
        <v>45080</v>
      </c>
      <c r="B1521" s="104" t="s">
        <v>24</v>
      </c>
      <c r="C1521" s="145">
        <v>4617</v>
      </c>
      <c r="D1521" s="145"/>
      <c r="E1521" s="104">
        <v>191</v>
      </c>
      <c r="F1521" s="106">
        <v>0.0413688542343513</v>
      </c>
      <c r="G1521" s="107">
        <v>45</v>
      </c>
      <c r="H1521" s="106">
        <v>0.235602094240838</v>
      </c>
      <c r="I1521" s="106"/>
      <c r="J1521" s="106"/>
      <c r="K1521" s="106"/>
      <c r="L1521" s="213">
        <v>153</v>
      </c>
      <c r="M1521" s="213">
        <v>259.666666666667</v>
      </c>
      <c r="N1521" s="213">
        <v>-1316.4</v>
      </c>
      <c r="O1521" s="213">
        <v>-1477.14285714286</v>
      </c>
      <c r="P1521" s="115">
        <v>10</v>
      </c>
      <c r="Q1521" s="115">
        <v>38.3333333333333</v>
      </c>
      <c r="R1521" s="115">
        <v>37.8</v>
      </c>
      <c r="S1521" s="115">
        <v>33.5714285714286</v>
      </c>
      <c r="T1521" s="115">
        <v>-14</v>
      </c>
      <c r="U1521" s="115">
        <v>-3.66666666666666</v>
      </c>
      <c r="V1521" s="115">
        <v>-2.4</v>
      </c>
      <c r="W1521" s="115">
        <v>0.285714285714285</v>
      </c>
    </row>
    <row r="1522" spans="1:23">
      <c r="A1522" s="103">
        <v>45080</v>
      </c>
      <c r="B1522" s="104" t="s">
        <v>25</v>
      </c>
      <c r="C1522" s="145">
        <v>2918</v>
      </c>
      <c r="D1522" s="145"/>
      <c r="E1522" s="104">
        <v>41</v>
      </c>
      <c r="F1522" s="106">
        <v>0.0140507196710075</v>
      </c>
      <c r="G1522" s="107">
        <v>17</v>
      </c>
      <c r="H1522" s="106">
        <v>0.414634146341463</v>
      </c>
      <c r="I1522" s="106"/>
      <c r="J1522" s="106"/>
      <c r="K1522" s="106"/>
      <c r="L1522" s="213">
        <v>-806</v>
      </c>
      <c r="M1522" s="213">
        <v>-399.666666666667</v>
      </c>
      <c r="N1522" s="213">
        <v>-851.4</v>
      </c>
      <c r="O1522" s="213">
        <v>-670.285714285714</v>
      </c>
      <c r="P1522" s="116">
        <v>11</v>
      </c>
      <c r="Q1522" s="115">
        <v>10</v>
      </c>
      <c r="R1522" s="115">
        <v>11.8</v>
      </c>
      <c r="S1522" s="115">
        <v>10</v>
      </c>
      <c r="T1522" s="108">
        <v>4</v>
      </c>
      <c r="U1522" s="108">
        <v>4.66666666666667</v>
      </c>
      <c r="V1522" s="108">
        <v>4.4</v>
      </c>
      <c r="W1522" s="108">
        <v>4.85714285714286</v>
      </c>
    </row>
    <row r="1523" spans="1:23">
      <c r="A1523" s="103">
        <v>45080</v>
      </c>
      <c r="B1523" s="104" t="s">
        <v>26</v>
      </c>
      <c r="C1523" s="145">
        <v>1567</v>
      </c>
      <c r="D1523" s="145"/>
      <c r="E1523" s="104">
        <v>4</v>
      </c>
      <c r="F1523" s="106">
        <v>0.00255264837268666</v>
      </c>
      <c r="G1523" s="107">
        <v>4</v>
      </c>
      <c r="H1523" s="106">
        <v>1</v>
      </c>
      <c r="I1523" s="106"/>
      <c r="J1523" s="106"/>
      <c r="K1523" s="106"/>
      <c r="L1523" s="213">
        <v>-101</v>
      </c>
      <c r="M1523" s="213">
        <v>-67</v>
      </c>
      <c r="N1523" s="213">
        <v>12.2</v>
      </c>
      <c r="O1523" s="213">
        <v>34.4285714285713</v>
      </c>
      <c r="P1523" s="108">
        <v>-6</v>
      </c>
      <c r="Q1523" s="108">
        <v>-4.33333333333333</v>
      </c>
      <c r="R1523" s="108">
        <v>-5.6</v>
      </c>
      <c r="S1523" s="108">
        <v>-5.71428571428571</v>
      </c>
      <c r="T1523" s="108">
        <v>3</v>
      </c>
      <c r="U1523" s="108">
        <v>2</v>
      </c>
      <c r="V1523" s="108">
        <v>0.2</v>
      </c>
      <c r="W1523" s="108">
        <v>0</v>
      </c>
    </row>
    <row r="1524" spans="1:23">
      <c r="A1524" s="103">
        <v>45080</v>
      </c>
      <c r="B1524" s="104" t="s">
        <v>27</v>
      </c>
      <c r="C1524" s="145">
        <v>4297</v>
      </c>
      <c r="D1524" s="145"/>
      <c r="E1524" s="104">
        <v>89</v>
      </c>
      <c r="F1524" s="106">
        <v>0.0207121247381894</v>
      </c>
      <c r="G1524" s="107">
        <v>25</v>
      </c>
      <c r="H1524" s="106">
        <v>0.280898876404494</v>
      </c>
      <c r="I1524" s="106"/>
      <c r="J1524" s="106"/>
      <c r="K1524" s="106"/>
      <c r="L1524" s="213">
        <v>-26</v>
      </c>
      <c r="M1524" s="213">
        <v>-76.333333333333</v>
      </c>
      <c r="N1524" s="213">
        <v>-370</v>
      </c>
      <c r="O1524" s="213">
        <v>-755.857142857143</v>
      </c>
      <c r="P1524" s="108">
        <v>1</v>
      </c>
      <c r="Q1524" s="108">
        <v>-27</v>
      </c>
      <c r="R1524" s="108">
        <v>-33.6</v>
      </c>
      <c r="S1524" s="108">
        <v>-36.7142857142857</v>
      </c>
      <c r="T1524" s="108">
        <v>2</v>
      </c>
      <c r="U1524" s="108">
        <v>-5.66666666666667</v>
      </c>
      <c r="V1524" s="108">
        <v>-7.8</v>
      </c>
      <c r="W1524" s="108">
        <v>-8.57142857142857</v>
      </c>
    </row>
    <row r="1525" spans="1:23">
      <c r="A1525" s="103">
        <v>45080</v>
      </c>
      <c r="B1525" s="104" t="s">
        <v>28</v>
      </c>
      <c r="C1525" s="145">
        <v>0</v>
      </c>
      <c r="D1525" s="145"/>
      <c r="E1525" s="104">
        <v>0</v>
      </c>
      <c r="F1525" s="106">
        <v>0</v>
      </c>
      <c r="G1525" s="107">
        <v>0</v>
      </c>
      <c r="H1525" s="106">
        <v>0</v>
      </c>
      <c r="I1525" s="106"/>
      <c r="J1525" s="106"/>
      <c r="K1525" s="106"/>
      <c r="L1525" s="213">
        <v>0</v>
      </c>
      <c r="M1525" s="213">
        <v>0</v>
      </c>
      <c r="N1525" s="213">
        <v>0</v>
      </c>
      <c r="O1525" s="213">
        <v>0</v>
      </c>
      <c r="P1525" s="108">
        <v>0</v>
      </c>
      <c r="Q1525" s="108">
        <v>0</v>
      </c>
      <c r="R1525" s="108">
        <v>0</v>
      </c>
      <c r="S1525" s="108">
        <v>0</v>
      </c>
      <c r="T1525" s="108">
        <v>0</v>
      </c>
      <c r="U1525" s="108">
        <v>0</v>
      </c>
      <c r="V1525" s="108">
        <v>0</v>
      </c>
      <c r="W1525" s="108">
        <v>0</v>
      </c>
    </row>
    <row r="1526" spans="1:23">
      <c r="A1526" s="103">
        <v>45080</v>
      </c>
      <c r="B1526" s="104" t="s">
        <v>29</v>
      </c>
      <c r="C1526" s="145">
        <v>0</v>
      </c>
      <c r="D1526" s="145"/>
      <c r="E1526" s="104">
        <v>0</v>
      </c>
      <c r="F1526" s="106">
        <v>0</v>
      </c>
      <c r="G1526" s="107">
        <v>0</v>
      </c>
      <c r="H1526" s="106">
        <v>0</v>
      </c>
      <c r="I1526" s="106"/>
      <c r="J1526" s="106"/>
      <c r="K1526" s="106"/>
      <c r="L1526" s="213">
        <v>0</v>
      </c>
      <c r="M1526" s="213">
        <v>0</v>
      </c>
      <c r="N1526" s="213">
        <v>-0.4</v>
      </c>
      <c r="O1526" s="213">
        <v>-0.428571428571429</v>
      </c>
      <c r="P1526" s="108">
        <v>0</v>
      </c>
      <c r="Q1526" s="108">
        <v>0</v>
      </c>
      <c r="R1526" s="108">
        <v>0</v>
      </c>
      <c r="S1526" s="108">
        <v>0</v>
      </c>
      <c r="T1526" s="108">
        <v>0</v>
      </c>
      <c r="U1526" s="108">
        <v>0</v>
      </c>
      <c r="V1526" s="108">
        <v>0</v>
      </c>
      <c r="W1526" s="108">
        <v>0</v>
      </c>
    </row>
    <row r="1527" spans="1:23">
      <c r="A1527" s="103">
        <v>45080</v>
      </c>
      <c r="B1527" s="104" t="s">
        <v>30</v>
      </c>
      <c r="C1527" s="145">
        <v>0</v>
      </c>
      <c r="D1527" s="145"/>
      <c r="E1527" s="104">
        <v>0</v>
      </c>
      <c r="F1527" s="106">
        <v>0</v>
      </c>
      <c r="G1527" s="107">
        <v>0</v>
      </c>
      <c r="H1527" s="106">
        <v>0</v>
      </c>
      <c r="I1527" s="106"/>
      <c r="J1527" s="106"/>
      <c r="K1527" s="106"/>
      <c r="L1527" s="213">
        <v>0</v>
      </c>
      <c r="M1527" s="213">
        <v>0</v>
      </c>
      <c r="N1527" s="213">
        <v>0</v>
      </c>
      <c r="O1527" s="213">
        <v>0</v>
      </c>
      <c r="P1527" s="108">
        <v>0</v>
      </c>
      <c r="Q1527" s="108">
        <v>0</v>
      </c>
      <c r="R1527" s="108">
        <v>0</v>
      </c>
      <c r="S1527" s="108">
        <v>0</v>
      </c>
      <c r="T1527" s="108">
        <v>0</v>
      </c>
      <c r="U1527" s="108">
        <v>0</v>
      </c>
      <c r="V1527" s="108">
        <v>0</v>
      </c>
      <c r="W1527" s="108">
        <v>0</v>
      </c>
    </row>
    <row r="1528" spans="1:23">
      <c r="A1528" s="103">
        <v>45080</v>
      </c>
      <c r="B1528" s="104" t="s">
        <v>31</v>
      </c>
      <c r="C1528" s="145">
        <v>0</v>
      </c>
      <c r="D1528" s="145"/>
      <c r="E1528" s="104">
        <v>0</v>
      </c>
      <c r="F1528" s="106">
        <v>0</v>
      </c>
      <c r="G1528" s="107">
        <v>0</v>
      </c>
      <c r="H1528" s="106">
        <v>0</v>
      </c>
      <c r="I1528" s="106"/>
      <c r="J1528" s="106"/>
      <c r="K1528" s="106"/>
      <c r="L1528" s="213">
        <v>0</v>
      </c>
      <c r="M1528" s="213">
        <v>0</v>
      </c>
      <c r="N1528" s="213">
        <v>0</v>
      </c>
      <c r="O1528" s="213">
        <v>0</v>
      </c>
      <c r="P1528" s="108">
        <v>0</v>
      </c>
      <c r="Q1528" s="108">
        <v>0</v>
      </c>
      <c r="R1528" s="108">
        <v>0</v>
      </c>
      <c r="S1528" s="108">
        <v>0</v>
      </c>
      <c r="T1528" s="108">
        <v>0</v>
      </c>
      <c r="U1528" s="108">
        <v>0</v>
      </c>
      <c r="V1528" s="108">
        <v>0</v>
      </c>
      <c r="W1528" s="108">
        <v>0</v>
      </c>
    </row>
    <row r="1529" spans="1:23">
      <c r="A1529" s="103">
        <v>45080</v>
      </c>
      <c r="B1529" s="104" t="s">
        <v>32</v>
      </c>
      <c r="C1529" s="145">
        <v>0</v>
      </c>
      <c r="D1529" s="145"/>
      <c r="E1529" s="104">
        <v>0</v>
      </c>
      <c r="F1529" s="106">
        <v>0</v>
      </c>
      <c r="G1529" s="107">
        <v>0</v>
      </c>
      <c r="H1529" s="106">
        <v>0</v>
      </c>
      <c r="I1529" s="106"/>
      <c r="J1529" s="106"/>
      <c r="K1529" s="106"/>
      <c r="L1529" s="213">
        <v>0</v>
      </c>
      <c r="M1529" s="213">
        <v>0</v>
      </c>
      <c r="N1529" s="213">
        <v>0</v>
      </c>
      <c r="O1529" s="213">
        <v>0</v>
      </c>
      <c r="P1529" s="108">
        <v>0</v>
      </c>
      <c r="Q1529" s="108">
        <v>0</v>
      </c>
      <c r="R1529" s="108">
        <v>0</v>
      </c>
      <c r="S1529" s="108">
        <v>0</v>
      </c>
      <c r="T1529" s="108">
        <v>0</v>
      </c>
      <c r="U1529" s="108">
        <v>0</v>
      </c>
      <c r="V1529" s="108">
        <v>0</v>
      </c>
      <c r="W1529" s="108">
        <v>0</v>
      </c>
    </row>
    <row r="1530" spans="1:23">
      <c r="A1530" s="103">
        <v>45080</v>
      </c>
      <c r="B1530" s="104" t="s">
        <v>33</v>
      </c>
      <c r="C1530" s="145">
        <v>0</v>
      </c>
      <c r="D1530" s="145"/>
      <c r="E1530" s="104">
        <v>0</v>
      </c>
      <c r="F1530" s="106">
        <v>0</v>
      </c>
      <c r="G1530" s="107">
        <v>0</v>
      </c>
      <c r="H1530" s="106">
        <v>0</v>
      </c>
      <c r="I1530" s="106"/>
      <c r="J1530" s="106"/>
      <c r="K1530" s="106"/>
      <c r="L1530" s="213">
        <v>0</v>
      </c>
      <c r="M1530" s="213">
        <v>0</v>
      </c>
      <c r="N1530" s="213">
        <v>0</v>
      </c>
      <c r="O1530" s="213">
        <v>0</v>
      </c>
      <c r="P1530" s="108">
        <v>0</v>
      </c>
      <c r="Q1530" s="108">
        <v>0</v>
      </c>
      <c r="R1530" s="108">
        <v>0</v>
      </c>
      <c r="S1530" s="108">
        <v>0</v>
      </c>
      <c r="T1530" s="108">
        <v>0</v>
      </c>
      <c r="U1530" s="108">
        <v>0</v>
      </c>
      <c r="V1530" s="108">
        <v>0</v>
      </c>
      <c r="W1530" s="108">
        <v>0</v>
      </c>
    </row>
    <row r="1531" spans="1:23">
      <c r="A1531" s="103">
        <v>45080</v>
      </c>
      <c r="B1531" s="104" t="s">
        <v>34</v>
      </c>
      <c r="C1531" s="145">
        <v>0</v>
      </c>
      <c r="D1531" s="145"/>
      <c r="E1531" s="104">
        <v>0</v>
      </c>
      <c r="F1531" s="106">
        <v>0</v>
      </c>
      <c r="G1531" s="107">
        <v>0</v>
      </c>
      <c r="H1531" s="106">
        <v>0</v>
      </c>
      <c r="I1531" s="106"/>
      <c r="J1531" s="106"/>
      <c r="K1531" s="106"/>
      <c r="L1531" s="213">
        <v>0</v>
      </c>
      <c r="M1531" s="213">
        <v>0</v>
      </c>
      <c r="N1531" s="213">
        <v>0</v>
      </c>
      <c r="O1531" s="213">
        <v>0</v>
      </c>
      <c r="P1531" s="108">
        <v>0</v>
      </c>
      <c r="Q1531" s="108">
        <v>0</v>
      </c>
      <c r="R1531" s="108">
        <v>0</v>
      </c>
      <c r="S1531" s="108">
        <v>0</v>
      </c>
      <c r="T1531" s="108">
        <v>0</v>
      </c>
      <c r="U1531" s="108">
        <v>0</v>
      </c>
      <c r="V1531" s="108">
        <v>0</v>
      </c>
      <c r="W1531" s="108">
        <v>0</v>
      </c>
    </row>
    <row r="1532" spans="1:23">
      <c r="A1532" s="103">
        <v>45080</v>
      </c>
      <c r="B1532" s="104" t="s">
        <v>35</v>
      </c>
      <c r="C1532" s="145">
        <v>0</v>
      </c>
      <c r="D1532" s="145"/>
      <c r="E1532" s="104">
        <v>0</v>
      </c>
      <c r="F1532" s="106">
        <v>0</v>
      </c>
      <c r="G1532" s="107">
        <v>0</v>
      </c>
      <c r="H1532" s="106">
        <v>0</v>
      </c>
      <c r="I1532" s="106"/>
      <c r="J1532" s="106"/>
      <c r="K1532" s="106"/>
      <c r="L1532" s="213">
        <v>0</v>
      </c>
      <c r="M1532" s="213">
        <v>0</v>
      </c>
      <c r="N1532" s="213">
        <v>0</v>
      </c>
      <c r="O1532" s="213">
        <v>0</v>
      </c>
      <c r="P1532" s="108">
        <v>0</v>
      </c>
      <c r="Q1532" s="108">
        <v>0</v>
      </c>
      <c r="R1532" s="108">
        <v>0</v>
      </c>
      <c r="S1532" s="108">
        <v>0</v>
      </c>
      <c r="T1532" s="108">
        <v>0</v>
      </c>
      <c r="U1532" s="108">
        <v>0</v>
      </c>
      <c r="V1532" s="108">
        <v>0</v>
      </c>
      <c r="W1532" s="108">
        <v>0</v>
      </c>
    </row>
    <row r="1533" spans="1:23">
      <c r="A1533" s="103">
        <v>45080</v>
      </c>
      <c r="B1533" s="104" t="s">
        <v>36</v>
      </c>
      <c r="C1533" s="145">
        <v>0</v>
      </c>
      <c r="D1533" s="145"/>
      <c r="E1533" s="104">
        <v>0</v>
      </c>
      <c r="F1533" s="106">
        <v>0</v>
      </c>
      <c r="G1533" s="107">
        <v>0</v>
      </c>
      <c r="H1533" s="106">
        <v>0</v>
      </c>
      <c r="I1533" s="106"/>
      <c r="J1533" s="106"/>
      <c r="K1533" s="106"/>
      <c r="L1533" s="213">
        <v>0</v>
      </c>
      <c r="M1533" s="213">
        <v>0</v>
      </c>
      <c r="N1533" s="213">
        <v>0</v>
      </c>
      <c r="O1533" s="213">
        <v>0</v>
      </c>
      <c r="P1533" s="108">
        <v>0</v>
      </c>
      <c r="Q1533" s="108">
        <v>0</v>
      </c>
      <c r="R1533" s="108">
        <v>0</v>
      </c>
      <c r="S1533" s="108">
        <v>0</v>
      </c>
      <c r="T1533" s="108">
        <v>0</v>
      </c>
      <c r="U1533" s="108">
        <v>0</v>
      </c>
      <c r="V1533" s="108">
        <v>0</v>
      </c>
      <c r="W1533" s="108">
        <v>0</v>
      </c>
    </row>
    <row r="1534" spans="1:23">
      <c r="A1534" s="103">
        <v>45080</v>
      </c>
      <c r="B1534" s="104" t="s">
        <v>37</v>
      </c>
      <c r="C1534" s="145">
        <v>0</v>
      </c>
      <c r="D1534" s="145"/>
      <c r="E1534" s="104">
        <v>0</v>
      </c>
      <c r="F1534" s="106">
        <v>0</v>
      </c>
      <c r="G1534" s="107">
        <v>0</v>
      </c>
      <c r="H1534" s="106">
        <v>0</v>
      </c>
      <c r="I1534" s="106"/>
      <c r="J1534" s="106"/>
      <c r="K1534" s="106"/>
      <c r="L1534" s="213">
        <v>0</v>
      </c>
      <c r="M1534" s="213">
        <v>0</v>
      </c>
      <c r="N1534" s="213">
        <v>0</v>
      </c>
      <c r="O1534" s="213">
        <v>0</v>
      </c>
      <c r="P1534" s="108">
        <v>0</v>
      </c>
      <c r="Q1534" s="108">
        <v>0</v>
      </c>
      <c r="R1534" s="108">
        <v>0</v>
      </c>
      <c r="S1534" s="108">
        <v>0</v>
      </c>
      <c r="T1534" s="108">
        <v>0</v>
      </c>
      <c r="U1534" s="108">
        <v>0</v>
      </c>
      <c r="V1534" s="108">
        <v>0</v>
      </c>
      <c r="W1534" s="108">
        <v>0</v>
      </c>
    </row>
    <row r="1535" spans="1:23">
      <c r="A1535" s="103">
        <v>45080</v>
      </c>
      <c r="B1535" s="104" t="s">
        <v>38</v>
      </c>
      <c r="C1535" s="145">
        <v>0</v>
      </c>
      <c r="D1535" s="145"/>
      <c r="E1535" s="104">
        <v>0</v>
      </c>
      <c r="F1535" s="106">
        <v>0</v>
      </c>
      <c r="G1535" s="107">
        <v>0</v>
      </c>
      <c r="H1535" s="106">
        <v>0</v>
      </c>
      <c r="I1535" s="106"/>
      <c r="J1535" s="106"/>
      <c r="K1535" s="106"/>
      <c r="L1535" s="213">
        <v>0</v>
      </c>
      <c r="M1535" s="213">
        <v>0</v>
      </c>
      <c r="N1535" s="213">
        <v>0</v>
      </c>
      <c r="O1535" s="213">
        <v>0</v>
      </c>
      <c r="P1535" s="108">
        <v>0</v>
      </c>
      <c r="Q1535" s="108">
        <v>0</v>
      </c>
      <c r="R1535" s="108">
        <v>0</v>
      </c>
      <c r="S1535" s="108">
        <v>0</v>
      </c>
      <c r="T1535" s="108">
        <v>0</v>
      </c>
      <c r="U1535" s="108">
        <v>0</v>
      </c>
      <c r="V1535" s="108">
        <v>0</v>
      </c>
      <c r="W1535" s="108">
        <v>0</v>
      </c>
    </row>
    <row r="1536" spans="1:23">
      <c r="A1536" s="103">
        <v>45080</v>
      </c>
      <c r="B1536" s="111" t="s">
        <v>39</v>
      </c>
      <c r="C1536" s="112">
        <v>20160</v>
      </c>
      <c r="D1536" s="112"/>
      <c r="E1536" s="112">
        <v>504</v>
      </c>
      <c r="F1536" s="113">
        <v>0.025</v>
      </c>
      <c r="G1536" s="112">
        <v>153</v>
      </c>
      <c r="H1536" s="113">
        <v>0.303571428571429</v>
      </c>
      <c r="I1536" s="113"/>
      <c r="J1536" s="113"/>
      <c r="K1536" s="113"/>
      <c r="L1536" s="213"/>
      <c r="M1536" s="213"/>
      <c r="N1536" s="213"/>
      <c r="O1536" s="213"/>
      <c r="P1536" s="108"/>
      <c r="Q1536" s="108"/>
      <c r="R1536" s="108"/>
      <c r="S1536" s="108"/>
      <c r="T1536" s="108"/>
      <c r="U1536" s="108"/>
      <c r="V1536" s="108"/>
      <c r="W1536" s="108"/>
    </row>
    <row r="1537" ht="14.45" customHeight="1" spans="1:30">
      <c r="A1537" s="103">
        <v>45081</v>
      </c>
      <c r="B1537" s="104" t="s">
        <v>17</v>
      </c>
      <c r="C1537" s="216">
        <v>2</v>
      </c>
      <c r="D1537" s="216"/>
      <c r="E1537" s="217">
        <v>16</v>
      </c>
      <c r="F1537" s="106">
        <v>8</v>
      </c>
      <c r="G1537" s="107">
        <v>3</v>
      </c>
      <c r="H1537" s="106">
        <v>0.1875</v>
      </c>
      <c r="I1537" s="106"/>
      <c r="J1537" s="106"/>
      <c r="K1537" s="106"/>
      <c r="L1537" s="213">
        <v>0</v>
      </c>
      <c r="M1537" s="213">
        <v>-0.333333333333333</v>
      </c>
      <c r="N1537" s="213">
        <v>-2</v>
      </c>
      <c r="O1537" s="213">
        <v>-2.42857142857143</v>
      </c>
      <c r="P1537" s="108">
        <v>1</v>
      </c>
      <c r="Q1537" s="108">
        <v>2.33333333333333</v>
      </c>
      <c r="R1537" s="108">
        <v>4.8</v>
      </c>
      <c r="S1537" s="108">
        <v>4.28571428571429</v>
      </c>
      <c r="T1537" s="108">
        <v>2</v>
      </c>
      <c r="U1537" s="108">
        <v>0.333333333333333</v>
      </c>
      <c r="V1537" s="108">
        <v>-0.4</v>
      </c>
      <c r="W1537" s="108">
        <v>0.142857142857143</v>
      </c>
      <c r="X1537" s="215">
        <v>0</v>
      </c>
      <c r="Y1537" s="215">
        <v>0.0666666666666667</v>
      </c>
      <c r="Z1537" s="215">
        <v>2</v>
      </c>
      <c r="AD1537" t="s">
        <v>18</v>
      </c>
    </row>
    <row r="1538" ht="14.45" customHeight="1" spans="1:30">
      <c r="A1538" s="103">
        <v>45081</v>
      </c>
      <c r="B1538" s="104" t="s">
        <v>19</v>
      </c>
      <c r="C1538" s="216">
        <v>407</v>
      </c>
      <c r="D1538" s="216"/>
      <c r="E1538" s="217">
        <v>14</v>
      </c>
      <c r="F1538" s="106">
        <v>0.0343980343980344</v>
      </c>
      <c r="G1538" s="107">
        <v>3</v>
      </c>
      <c r="H1538" s="106">
        <v>0.214285714285714</v>
      </c>
      <c r="I1538" s="106"/>
      <c r="J1538" s="106"/>
      <c r="K1538" s="106"/>
      <c r="L1538" s="213">
        <v>-33</v>
      </c>
      <c r="M1538" s="213">
        <v>14.3333333333333</v>
      </c>
      <c r="N1538" s="213">
        <v>39.6</v>
      </c>
      <c r="O1538" s="213">
        <v>43.7142857142857</v>
      </c>
      <c r="P1538" s="108">
        <v>2</v>
      </c>
      <c r="Q1538" s="108">
        <v>2.33333333333333</v>
      </c>
      <c r="R1538" s="108">
        <v>4.8</v>
      </c>
      <c r="S1538" s="108">
        <v>3.14285714285714</v>
      </c>
      <c r="T1538" s="108">
        <v>-1</v>
      </c>
      <c r="U1538" s="108">
        <v>-1</v>
      </c>
      <c r="V1538" s="108">
        <v>-1</v>
      </c>
      <c r="W1538" s="115">
        <v>-0.857142857142857</v>
      </c>
      <c r="X1538" s="215">
        <v>-0.075</v>
      </c>
      <c r="Y1538" s="215">
        <v>0.166666666666667</v>
      </c>
      <c r="Z1538" s="215">
        <v>-0.25</v>
      </c>
      <c r="AA1538" s="154"/>
      <c r="AB1538" s="154"/>
      <c r="AC1538" s="154"/>
      <c r="AD1538" s="154"/>
    </row>
    <row r="1539" ht="14.45" customHeight="1" spans="1:26">
      <c r="A1539" s="103">
        <v>45081</v>
      </c>
      <c r="B1539" s="104" t="s">
        <v>21</v>
      </c>
      <c r="C1539" s="218">
        <v>290</v>
      </c>
      <c r="D1539" s="218"/>
      <c r="E1539" s="217">
        <v>18</v>
      </c>
      <c r="F1539" s="106">
        <v>0.0620689655172414</v>
      </c>
      <c r="G1539" s="107">
        <v>5</v>
      </c>
      <c r="H1539" s="106">
        <v>0.277777777777778</v>
      </c>
      <c r="I1539" s="106"/>
      <c r="J1539" s="106"/>
      <c r="K1539" s="106"/>
      <c r="L1539" s="213">
        <v>31</v>
      </c>
      <c r="M1539" s="213">
        <v>28.3333333333333</v>
      </c>
      <c r="N1539" s="213">
        <v>-23</v>
      </c>
      <c r="O1539" s="213">
        <v>-68.4285714285714</v>
      </c>
      <c r="P1539" s="108">
        <v>0</v>
      </c>
      <c r="Q1539" s="108">
        <v>1.33333333333333</v>
      </c>
      <c r="R1539" s="108">
        <v>0</v>
      </c>
      <c r="S1539" s="108">
        <v>-0.428571428571427</v>
      </c>
      <c r="T1539" s="108">
        <v>-2</v>
      </c>
      <c r="U1539" s="108">
        <v>0</v>
      </c>
      <c r="V1539" s="108">
        <v>-0.6</v>
      </c>
      <c r="W1539" s="108">
        <v>-0.857142857142857</v>
      </c>
      <c r="X1539" s="215">
        <v>0.11969111969112</v>
      </c>
      <c r="Y1539" s="215">
        <v>0</v>
      </c>
      <c r="Z1539" s="215">
        <v>-0.285714285714286</v>
      </c>
    </row>
    <row r="1540" ht="18.95" customHeight="1" spans="1:30">
      <c r="A1540" s="103">
        <v>45081</v>
      </c>
      <c r="B1540" s="104" t="s">
        <v>22</v>
      </c>
      <c r="C1540" s="218">
        <v>4318</v>
      </c>
      <c r="D1540" s="218"/>
      <c r="E1540" s="217">
        <v>141</v>
      </c>
      <c r="F1540" s="106">
        <v>0.0326540064844836</v>
      </c>
      <c r="G1540" s="107">
        <v>46</v>
      </c>
      <c r="H1540" s="106">
        <v>0.326241134751773</v>
      </c>
      <c r="I1540" s="106"/>
      <c r="J1540" s="106"/>
      <c r="K1540" s="106"/>
      <c r="L1540" s="213">
        <v>94</v>
      </c>
      <c r="M1540" s="213">
        <v>489.666666666667</v>
      </c>
      <c r="N1540" s="213">
        <v>588.2</v>
      </c>
      <c r="O1540" s="213">
        <v>553.285714285714</v>
      </c>
      <c r="P1540" s="108">
        <v>15</v>
      </c>
      <c r="Q1540" s="108">
        <v>21.6666666666667</v>
      </c>
      <c r="R1540" s="108">
        <v>29</v>
      </c>
      <c r="S1540" s="115">
        <v>31</v>
      </c>
      <c r="T1540" s="108">
        <v>-2</v>
      </c>
      <c r="U1540" s="108">
        <v>-2.66666666666666</v>
      </c>
      <c r="V1540" s="108">
        <v>1</v>
      </c>
      <c r="W1540" s="117">
        <v>2</v>
      </c>
      <c r="X1540" s="215">
        <v>0.0222537878787879</v>
      </c>
      <c r="Y1540" s="215">
        <v>0.119047619047619</v>
      </c>
      <c r="Z1540" s="215">
        <v>-0.0416666666666667</v>
      </c>
      <c r="AA1540" s="154"/>
      <c r="AB1540" s="154"/>
      <c r="AC1540" s="154"/>
      <c r="AD1540" s="154"/>
    </row>
    <row r="1541" ht="14.45" customHeight="1" spans="1:26">
      <c r="A1541" s="103">
        <v>45081</v>
      </c>
      <c r="B1541" s="104" t="s">
        <v>23</v>
      </c>
      <c r="C1541" s="218">
        <v>1749</v>
      </c>
      <c r="D1541" s="218"/>
      <c r="E1541" s="217">
        <v>9</v>
      </c>
      <c r="F1541" s="106">
        <v>0.00514579759862779</v>
      </c>
      <c r="G1541" s="107">
        <v>5</v>
      </c>
      <c r="H1541" s="106">
        <v>0.555555555555556</v>
      </c>
      <c r="I1541" s="106"/>
      <c r="J1541" s="106"/>
      <c r="K1541" s="106"/>
      <c r="L1541" s="213">
        <v>-87</v>
      </c>
      <c r="M1541" s="213">
        <v>88.6666666666667</v>
      </c>
      <c r="N1541" s="213">
        <v>164</v>
      </c>
      <c r="O1541" s="213">
        <v>159</v>
      </c>
      <c r="P1541" s="108">
        <v>1</v>
      </c>
      <c r="Q1541" s="108">
        <v>-1</v>
      </c>
      <c r="R1541" s="108">
        <v>-1.2</v>
      </c>
      <c r="S1541" s="108">
        <v>-1.28571428571429</v>
      </c>
      <c r="T1541" s="108">
        <v>3</v>
      </c>
      <c r="U1541" s="116">
        <v>1.66666666666667</v>
      </c>
      <c r="V1541" s="108">
        <v>0.8</v>
      </c>
      <c r="W1541" s="108">
        <v>1</v>
      </c>
      <c r="X1541" s="215">
        <v>-0.0473856209150327</v>
      </c>
      <c r="Y1541" s="215">
        <v>0.125</v>
      </c>
      <c r="Z1541" s="215">
        <v>1.5</v>
      </c>
    </row>
    <row r="1542" ht="14.45" customHeight="1" spans="1:30">
      <c r="A1542" s="103">
        <v>45081</v>
      </c>
      <c r="B1542" s="104" t="s">
        <v>24</v>
      </c>
      <c r="C1542" s="218">
        <v>6868</v>
      </c>
      <c r="D1542" s="218"/>
      <c r="E1542" s="217">
        <v>175</v>
      </c>
      <c r="F1542" s="106">
        <v>0.0254804892253931</v>
      </c>
      <c r="G1542" s="107">
        <v>45</v>
      </c>
      <c r="H1542" s="106">
        <v>0.257142857142857</v>
      </c>
      <c r="I1542" s="106"/>
      <c r="J1542" s="106"/>
      <c r="K1542" s="106"/>
      <c r="L1542" s="213">
        <v>2251</v>
      </c>
      <c r="M1542" s="213">
        <v>2369</v>
      </c>
      <c r="N1542" s="213">
        <v>1662.2</v>
      </c>
      <c r="O1542" s="213">
        <v>791.857142857143</v>
      </c>
      <c r="P1542" s="115">
        <v>-16</v>
      </c>
      <c r="Q1542" s="115">
        <v>2.33333333333334</v>
      </c>
      <c r="R1542" s="115">
        <v>16.4</v>
      </c>
      <c r="S1542" s="115">
        <v>13.1428571428571</v>
      </c>
      <c r="T1542" s="115">
        <v>0</v>
      </c>
      <c r="U1542" s="115">
        <v>-3.66666666666666</v>
      </c>
      <c r="V1542" s="115">
        <v>-1</v>
      </c>
      <c r="W1542" s="115">
        <v>-1</v>
      </c>
      <c r="X1542" s="215">
        <v>0.487546025557721</v>
      </c>
      <c r="Y1542" s="215">
        <v>-0.0837696335078534</v>
      </c>
      <c r="Z1542" s="215">
        <v>0</v>
      </c>
      <c r="AA1542" s="154"/>
      <c r="AB1542" s="154"/>
      <c r="AC1542" s="154"/>
      <c r="AD1542" s="154"/>
    </row>
    <row r="1543" ht="14.45" customHeight="1" spans="1:26">
      <c r="A1543" s="103">
        <v>45081</v>
      </c>
      <c r="B1543" s="104" t="s">
        <v>25</v>
      </c>
      <c r="C1543" s="218">
        <v>2734</v>
      </c>
      <c r="D1543" s="218"/>
      <c r="E1543" s="217">
        <v>29</v>
      </c>
      <c r="F1543" s="106">
        <v>0.0106071689831748</v>
      </c>
      <c r="G1543" s="107">
        <v>13</v>
      </c>
      <c r="H1543" s="106">
        <v>0.448275862068966</v>
      </c>
      <c r="I1543" s="106"/>
      <c r="J1543" s="106"/>
      <c r="K1543" s="106"/>
      <c r="L1543" s="213">
        <v>-184</v>
      </c>
      <c r="M1543" s="213">
        <v>-502.333333333333</v>
      </c>
      <c r="N1543" s="213">
        <v>-731.4</v>
      </c>
      <c r="O1543" s="213">
        <v>-898</v>
      </c>
      <c r="P1543" s="116">
        <v>-12</v>
      </c>
      <c r="Q1543" s="115">
        <v>-5</v>
      </c>
      <c r="R1543" s="115">
        <v>-3.4</v>
      </c>
      <c r="S1543" s="115">
        <v>-2.28571428571428</v>
      </c>
      <c r="T1543" s="108">
        <v>-4</v>
      </c>
      <c r="U1543" s="108">
        <v>-1</v>
      </c>
      <c r="V1543" s="108">
        <v>-1.2</v>
      </c>
      <c r="W1543" s="108">
        <v>-0.285714285714286</v>
      </c>
      <c r="X1543" s="215">
        <v>-0.0630568882796436</v>
      </c>
      <c r="Y1543" s="215">
        <v>-0.292682926829268</v>
      </c>
      <c r="Z1543" s="215">
        <v>-0.235294117647059</v>
      </c>
    </row>
    <row r="1544" ht="14.45" customHeight="1" spans="1:26">
      <c r="A1544" s="103">
        <v>45081</v>
      </c>
      <c r="B1544" s="104" t="s">
        <v>26</v>
      </c>
      <c r="C1544" s="218">
        <v>1536</v>
      </c>
      <c r="D1544" s="218"/>
      <c r="E1544" s="217">
        <v>7</v>
      </c>
      <c r="F1544" s="106">
        <v>0.00455729166666667</v>
      </c>
      <c r="G1544" s="107">
        <v>1</v>
      </c>
      <c r="H1544" s="106">
        <v>0.142857142857143</v>
      </c>
      <c r="I1544" s="106"/>
      <c r="J1544" s="106"/>
      <c r="K1544" s="106"/>
      <c r="L1544" s="213">
        <v>-31</v>
      </c>
      <c r="M1544" s="213">
        <v>-83</v>
      </c>
      <c r="N1544" s="213">
        <v>-56.2</v>
      </c>
      <c r="O1544" s="213">
        <v>-19.8571428571429</v>
      </c>
      <c r="P1544" s="108">
        <v>3</v>
      </c>
      <c r="Q1544" s="108">
        <v>0.333333333333333</v>
      </c>
      <c r="R1544" s="108">
        <v>-1.4</v>
      </c>
      <c r="S1544" s="108">
        <v>-2.71428571428571</v>
      </c>
      <c r="T1544" s="108">
        <v>-3</v>
      </c>
      <c r="U1544" s="108">
        <v>-1.66666666666667</v>
      </c>
      <c r="V1544" s="108">
        <v>-3</v>
      </c>
      <c r="W1544" s="108">
        <v>-3</v>
      </c>
      <c r="X1544" s="215">
        <v>-0.0197830248883216</v>
      </c>
      <c r="Y1544" s="215">
        <v>0.75</v>
      </c>
      <c r="Z1544" s="215">
        <v>-0.75</v>
      </c>
    </row>
    <row r="1545" ht="14.45" customHeight="1" spans="1:26">
      <c r="A1545" s="103">
        <v>45081</v>
      </c>
      <c r="B1545" s="104" t="s">
        <v>27</v>
      </c>
      <c r="C1545" s="218">
        <v>4126</v>
      </c>
      <c r="D1545" s="218"/>
      <c r="E1545" s="217">
        <v>90</v>
      </c>
      <c r="F1545" s="106">
        <v>0.0218128938439166</v>
      </c>
      <c r="G1545" s="107">
        <v>26</v>
      </c>
      <c r="H1545" s="106">
        <v>0.288888888888889</v>
      </c>
      <c r="I1545" s="106"/>
      <c r="J1545" s="106"/>
      <c r="K1545" s="106"/>
      <c r="L1545" s="213">
        <v>-171</v>
      </c>
      <c r="M1545" s="213">
        <v>-213.333333333333</v>
      </c>
      <c r="N1545" s="213">
        <v>-359.4</v>
      </c>
      <c r="O1545" s="213">
        <v>-681.571428571428</v>
      </c>
      <c r="P1545" s="108">
        <v>1</v>
      </c>
      <c r="Q1545" s="108">
        <v>-7.66666666666667</v>
      </c>
      <c r="R1545" s="108">
        <v>-26</v>
      </c>
      <c r="S1545" s="108">
        <v>-30.2857142857143</v>
      </c>
      <c r="T1545" s="108">
        <v>1</v>
      </c>
      <c r="U1545" s="108">
        <v>-1.33333333333333</v>
      </c>
      <c r="V1545" s="108">
        <v>-6</v>
      </c>
      <c r="W1545" s="108">
        <v>-5.85714285714286</v>
      </c>
      <c r="X1545" s="215">
        <v>-0.0397952059576449</v>
      </c>
      <c r="Y1545" s="215">
        <v>0.0112359550561798</v>
      </c>
      <c r="Z1545" s="215">
        <v>0.04</v>
      </c>
    </row>
    <row r="1546" ht="14.45" customHeight="1" spans="1:26">
      <c r="A1546" s="103">
        <v>45081</v>
      </c>
      <c r="B1546" s="104" t="s">
        <v>28</v>
      </c>
      <c r="C1546" s="145">
        <v>0</v>
      </c>
      <c r="D1546" s="145"/>
      <c r="E1546" s="104">
        <v>0</v>
      </c>
      <c r="F1546" s="106">
        <v>0</v>
      </c>
      <c r="G1546" s="107">
        <v>0</v>
      </c>
      <c r="H1546" s="106">
        <v>0</v>
      </c>
      <c r="I1546" s="106"/>
      <c r="J1546" s="106"/>
      <c r="K1546" s="106"/>
      <c r="L1546" s="213">
        <v>0</v>
      </c>
      <c r="M1546" s="213">
        <v>0</v>
      </c>
      <c r="N1546" s="213">
        <v>0</v>
      </c>
      <c r="O1546" s="213">
        <v>0</v>
      </c>
      <c r="P1546" s="108">
        <v>0</v>
      </c>
      <c r="Q1546" s="108">
        <v>0</v>
      </c>
      <c r="R1546" s="108">
        <v>0</v>
      </c>
      <c r="S1546" s="108">
        <v>0</v>
      </c>
      <c r="T1546" s="108">
        <v>0</v>
      </c>
      <c r="U1546" s="108">
        <v>0</v>
      </c>
      <c r="V1546" s="108">
        <v>0</v>
      </c>
      <c r="W1546" s="108">
        <v>0</v>
      </c>
      <c r="X1546" s="215" t="e">
        <v>#DIV/0!</v>
      </c>
      <c r="Y1546" s="215" t="e">
        <v>#DIV/0!</v>
      </c>
      <c r="Z1546" s="215" t="e">
        <v>#DIV/0!</v>
      </c>
    </row>
    <row r="1547" ht="14.45" customHeight="1" spans="1:26">
      <c r="A1547" s="103">
        <v>45081</v>
      </c>
      <c r="B1547" s="104" t="s">
        <v>29</v>
      </c>
      <c r="C1547" s="145">
        <v>0</v>
      </c>
      <c r="D1547" s="145"/>
      <c r="E1547" s="104">
        <v>0</v>
      </c>
      <c r="F1547" s="106">
        <v>0</v>
      </c>
      <c r="G1547" s="107">
        <v>0</v>
      </c>
      <c r="H1547" s="106">
        <v>0</v>
      </c>
      <c r="I1547" s="106"/>
      <c r="J1547" s="106"/>
      <c r="K1547" s="106"/>
      <c r="L1547" s="213">
        <v>0</v>
      </c>
      <c r="M1547" s="213">
        <v>0</v>
      </c>
      <c r="N1547" s="213">
        <v>-0.4</v>
      </c>
      <c r="O1547" s="213">
        <v>-0.428571428571429</v>
      </c>
      <c r="P1547" s="108">
        <v>0</v>
      </c>
      <c r="Q1547" s="108">
        <v>0</v>
      </c>
      <c r="R1547" s="108">
        <v>0</v>
      </c>
      <c r="S1547" s="108">
        <v>0</v>
      </c>
      <c r="T1547" s="108">
        <v>0</v>
      </c>
      <c r="U1547" s="108">
        <v>0</v>
      </c>
      <c r="V1547" s="108">
        <v>0</v>
      </c>
      <c r="W1547" s="108">
        <v>0</v>
      </c>
      <c r="X1547" s="215" t="e">
        <v>#DIV/0!</v>
      </c>
      <c r="Y1547" s="215" t="e">
        <v>#DIV/0!</v>
      </c>
      <c r="Z1547" s="215" t="e">
        <v>#DIV/0!</v>
      </c>
    </row>
    <row r="1548" ht="14.45" customHeight="1" spans="1:27">
      <c r="A1548" s="103">
        <v>45081</v>
      </c>
      <c r="B1548" s="104" t="s">
        <v>30</v>
      </c>
      <c r="C1548" s="145">
        <v>0</v>
      </c>
      <c r="D1548" s="145"/>
      <c r="E1548" s="104">
        <v>0</v>
      </c>
      <c r="F1548" s="106">
        <v>0</v>
      </c>
      <c r="G1548" s="107">
        <v>0</v>
      </c>
      <c r="H1548" s="106">
        <v>0</v>
      </c>
      <c r="I1548" s="106"/>
      <c r="J1548" s="106"/>
      <c r="K1548" s="106"/>
      <c r="L1548" s="213">
        <v>0</v>
      </c>
      <c r="M1548" s="213">
        <v>0</v>
      </c>
      <c r="N1548" s="213">
        <v>0</v>
      </c>
      <c r="O1548" s="213">
        <v>0</v>
      </c>
      <c r="P1548" s="108">
        <v>0</v>
      </c>
      <c r="Q1548" s="108">
        <v>0</v>
      </c>
      <c r="R1548" s="108">
        <v>0</v>
      </c>
      <c r="S1548" s="108">
        <v>0</v>
      </c>
      <c r="T1548" s="108">
        <v>0</v>
      </c>
      <c r="U1548" s="108">
        <v>0</v>
      </c>
      <c r="V1548" s="108">
        <v>0</v>
      </c>
      <c r="W1548" s="108">
        <v>0</v>
      </c>
      <c r="X1548" s="168"/>
      <c r="Y1548" s="168"/>
      <c r="Z1548" s="169"/>
      <c r="AA1548" s="169"/>
    </row>
    <row r="1549" ht="14.45" customHeight="1" spans="1:27">
      <c r="A1549" s="103">
        <v>45081</v>
      </c>
      <c r="B1549" s="104" t="s">
        <v>31</v>
      </c>
      <c r="C1549" s="145">
        <v>0</v>
      </c>
      <c r="D1549" s="145"/>
      <c r="E1549" s="104">
        <v>0</v>
      </c>
      <c r="F1549" s="106">
        <v>0</v>
      </c>
      <c r="G1549" s="107">
        <v>0</v>
      </c>
      <c r="H1549" s="106">
        <v>0</v>
      </c>
      <c r="I1549" s="106"/>
      <c r="J1549" s="106"/>
      <c r="K1549" s="106"/>
      <c r="L1549" s="213">
        <v>0</v>
      </c>
      <c r="M1549" s="213">
        <v>0</v>
      </c>
      <c r="N1549" s="213">
        <v>0</v>
      </c>
      <c r="O1549" s="213">
        <v>0</v>
      </c>
      <c r="P1549" s="108">
        <v>0</v>
      </c>
      <c r="Q1549" s="108">
        <v>0</v>
      </c>
      <c r="R1549" s="108">
        <v>0</v>
      </c>
      <c r="S1549" s="108">
        <v>0</v>
      </c>
      <c r="T1549" s="108">
        <v>0</v>
      </c>
      <c r="U1549" s="108">
        <v>0</v>
      </c>
      <c r="V1549" s="108">
        <v>0</v>
      </c>
      <c r="W1549" s="108">
        <v>0</v>
      </c>
      <c r="X1549" s="168"/>
      <c r="Y1549" s="168"/>
      <c r="Z1549" s="169"/>
      <c r="AA1549" s="169"/>
    </row>
    <row r="1550" ht="14.45" customHeight="1" spans="1:27">
      <c r="A1550" s="103">
        <v>45081</v>
      </c>
      <c r="B1550" s="104" t="s">
        <v>32</v>
      </c>
      <c r="C1550" s="145">
        <v>0</v>
      </c>
      <c r="D1550" s="145"/>
      <c r="E1550" s="104">
        <v>0</v>
      </c>
      <c r="F1550" s="106">
        <v>0</v>
      </c>
      <c r="G1550" s="107">
        <v>0</v>
      </c>
      <c r="H1550" s="106">
        <v>0</v>
      </c>
      <c r="I1550" s="106"/>
      <c r="J1550" s="106"/>
      <c r="K1550" s="106"/>
      <c r="L1550" s="213">
        <v>0</v>
      </c>
      <c r="M1550" s="213">
        <v>0</v>
      </c>
      <c r="N1550" s="213">
        <v>0</v>
      </c>
      <c r="O1550" s="213">
        <v>0</v>
      </c>
      <c r="P1550" s="108">
        <v>0</v>
      </c>
      <c r="Q1550" s="108">
        <v>0</v>
      </c>
      <c r="R1550" s="108">
        <v>0</v>
      </c>
      <c r="S1550" s="108">
        <v>0</v>
      </c>
      <c r="T1550" s="108">
        <v>0</v>
      </c>
      <c r="U1550" s="108">
        <v>0</v>
      </c>
      <c r="V1550" s="108">
        <v>0</v>
      </c>
      <c r="W1550" s="108">
        <v>0</v>
      </c>
      <c r="X1550" s="168"/>
      <c r="Y1550" s="168"/>
      <c r="Z1550" s="169"/>
      <c r="AA1550" s="169"/>
    </row>
    <row r="1551" spans="1:23">
      <c r="A1551" s="103">
        <v>45081</v>
      </c>
      <c r="B1551" s="104" t="s">
        <v>33</v>
      </c>
      <c r="C1551" s="145">
        <v>0</v>
      </c>
      <c r="D1551" s="145"/>
      <c r="E1551" s="104">
        <v>0</v>
      </c>
      <c r="F1551" s="106">
        <v>0</v>
      </c>
      <c r="G1551" s="107">
        <v>0</v>
      </c>
      <c r="H1551" s="106">
        <v>0</v>
      </c>
      <c r="I1551" s="106"/>
      <c r="J1551" s="106"/>
      <c r="K1551" s="106"/>
      <c r="L1551" s="213">
        <v>0</v>
      </c>
      <c r="M1551" s="213">
        <v>0</v>
      </c>
      <c r="N1551" s="213">
        <v>0</v>
      </c>
      <c r="O1551" s="213">
        <v>0</v>
      </c>
      <c r="P1551" s="108">
        <v>0</v>
      </c>
      <c r="Q1551" s="108">
        <v>0</v>
      </c>
      <c r="R1551" s="108">
        <v>0</v>
      </c>
      <c r="S1551" s="108">
        <v>0</v>
      </c>
      <c r="T1551" s="108">
        <v>0</v>
      </c>
      <c r="U1551" s="108">
        <v>0</v>
      </c>
      <c r="V1551" s="108">
        <v>0</v>
      </c>
      <c r="W1551" s="108">
        <v>0</v>
      </c>
    </row>
    <row r="1552" spans="1:23">
      <c r="A1552" s="103">
        <v>45081</v>
      </c>
      <c r="B1552" s="104" t="s">
        <v>34</v>
      </c>
      <c r="C1552" s="145">
        <v>0</v>
      </c>
      <c r="D1552" s="145"/>
      <c r="E1552" s="104">
        <v>1</v>
      </c>
      <c r="F1552" s="106">
        <v>1</v>
      </c>
      <c r="G1552" s="107">
        <v>1</v>
      </c>
      <c r="H1552" s="106">
        <v>1</v>
      </c>
      <c r="I1552" s="106"/>
      <c r="J1552" s="106"/>
      <c r="K1552" s="106"/>
      <c r="L1552" s="213">
        <v>0</v>
      </c>
      <c r="M1552" s="213">
        <v>0</v>
      </c>
      <c r="N1552" s="213">
        <v>0</v>
      </c>
      <c r="O1552" s="213">
        <v>0</v>
      </c>
      <c r="P1552" s="108">
        <v>1</v>
      </c>
      <c r="Q1552" s="108">
        <v>1</v>
      </c>
      <c r="R1552" s="108">
        <v>1</v>
      </c>
      <c r="S1552" s="108">
        <v>1</v>
      </c>
      <c r="T1552" s="108">
        <v>1</v>
      </c>
      <c r="U1552" s="108">
        <v>1</v>
      </c>
      <c r="V1552" s="108">
        <v>1</v>
      </c>
      <c r="W1552" s="108">
        <v>1</v>
      </c>
    </row>
    <row r="1553" spans="1:23">
      <c r="A1553" s="103">
        <v>45081</v>
      </c>
      <c r="B1553" s="104" t="s">
        <v>35</v>
      </c>
      <c r="C1553" s="145">
        <v>0</v>
      </c>
      <c r="D1553" s="145"/>
      <c r="E1553" s="104">
        <v>0</v>
      </c>
      <c r="F1553" s="106">
        <v>0</v>
      </c>
      <c r="G1553" s="107">
        <v>0</v>
      </c>
      <c r="H1553" s="106">
        <v>0</v>
      </c>
      <c r="I1553" s="106"/>
      <c r="J1553" s="106"/>
      <c r="K1553" s="106"/>
      <c r="L1553" s="213">
        <v>0</v>
      </c>
      <c r="M1553" s="213">
        <v>0</v>
      </c>
      <c r="N1553" s="213">
        <v>0</v>
      </c>
      <c r="O1553" s="213">
        <v>0</v>
      </c>
      <c r="P1553" s="108">
        <v>0</v>
      </c>
      <c r="Q1553" s="108">
        <v>0</v>
      </c>
      <c r="R1553" s="108">
        <v>0</v>
      </c>
      <c r="S1553" s="108">
        <v>0</v>
      </c>
      <c r="T1553" s="108">
        <v>0</v>
      </c>
      <c r="U1553" s="108">
        <v>0</v>
      </c>
      <c r="V1553" s="108">
        <v>0</v>
      </c>
      <c r="W1553" s="108">
        <v>0</v>
      </c>
    </row>
    <row r="1554" spans="1:23">
      <c r="A1554" s="103">
        <v>45081</v>
      </c>
      <c r="B1554" s="104" t="s">
        <v>36</v>
      </c>
      <c r="C1554" s="145">
        <v>0</v>
      </c>
      <c r="D1554" s="145"/>
      <c r="E1554" s="104">
        <v>0</v>
      </c>
      <c r="F1554" s="106">
        <v>0</v>
      </c>
      <c r="G1554" s="107">
        <v>0</v>
      </c>
      <c r="H1554" s="106">
        <v>0</v>
      </c>
      <c r="I1554" s="106"/>
      <c r="J1554" s="106"/>
      <c r="K1554" s="106"/>
      <c r="L1554" s="213">
        <v>0</v>
      </c>
      <c r="M1554" s="213">
        <v>0</v>
      </c>
      <c r="N1554" s="213">
        <v>0</v>
      </c>
      <c r="O1554" s="213">
        <v>0</v>
      </c>
      <c r="P1554" s="108">
        <v>0</v>
      </c>
      <c r="Q1554" s="108">
        <v>0</v>
      </c>
      <c r="R1554" s="108">
        <v>0</v>
      </c>
      <c r="S1554" s="108">
        <v>0</v>
      </c>
      <c r="T1554" s="108">
        <v>0</v>
      </c>
      <c r="U1554" s="108">
        <v>0</v>
      </c>
      <c r="V1554" s="108">
        <v>0</v>
      </c>
      <c r="W1554" s="108">
        <v>0</v>
      </c>
    </row>
    <row r="1555" spans="1:23">
      <c r="A1555" s="103">
        <v>45081</v>
      </c>
      <c r="B1555" s="104" t="s">
        <v>37</v>
      </c>
      <c r="C1555" s="145">
        <v>0</v>
      </c>
      <c r="D1555" s="145"/>
      <c r="E1555" s="104">
        <v>0</v>
      </c>
      <c r="F1555" s="106">
        <v>0</v>
      </c>
      <c r="G1555" s="107">
        <v>0</v>
      </c>
      <c r="H1555" s="106">
        <v>0</v>
      </c>
      <c r="I1555" s="106"/>
      <c r="J1555" s="106"/>
      <c r="K1555" s="106"/>
      <c r="L1555" s="213">
        <v>0</v>
      </c>
      <c r="M1555" s="213">
        <v>0</v>
      </c>
      <c r="N1555" s="213">
        <v>0</v>
      </c>
      <c r="O1555" s="213">
        <v>0</v>
      </c>
      <c r="P1555" s="108">
        <v>0</v>
      </c>
      <c r="Q1555" s="108">
        <v>0</v>
      </c>
      <c r="R1555" s="108">
        <v>0</v>
      </c>
      <c r="S1555" s="108">
        <v>0</v>
      </c>
      <c r="T1555" s="108">
        <v>0</v>
      </c>
      <c r="U1555" s="108">
        <v>0</v>
      </c>
      <c r="V1555" s="108">
        <v>0</v>
      </c>
      <c r="W1555" s="108">
        <v>0</v>
      </c>
    </row>
    <row r="1556" spans="1:23">
      <c r="A1556" s="103">
        <v>45081</v>
      </c>
      <c r="B1556" s="104" t="s">
        <v>38</v>
      </c>
      <c r="C1556" s="145">
        <v>0</v>
      </c>
      <c r="D1556" s="145"/>
      <c r="E1556" s="104">
        <v>0</v>
      </c>
      <c r="F1556" s="106">
        <v>0</v>
      </c>
      <c r="G1556" s="107">
        <v>0</v>
      </c>
      <c r="H1556" s="106">
        <v>0</v>
      </c>
      <c r="I1556" s="106"/>
      <c r="J1556" s="106"/>
      <c r="K1556" s="106"/>
      <c r="L1556" s="213">
        <v>0</v>
      </c>
      <c r="M1556" s="213">
        <v>0</v>
      </c>
      <c r="N1556" s="213">
        <v>0</v>
      </c>
      <c r="O1556" s="213">
        <v>0</v>
      </c>
      <c r="P1556" s="108">
        <v>0</v>
      </c>
      <c r="Q1556" s="108">
        <v>0</v>
      </c>
      <c r="R1556" s="108">
        <v>0</v>
      </c>
      <c r="S1556" s="108">
        <v>0</v>
      </c>
      <c r="T1556" s="108">
        <v>0</v>
      </c>
      <c r="U1556" s="108">
        <v>0</v>
      </c>
      <c r="V1556" s="108">
        <v>0</v>
      </c>
      <c r="W1556" s="108">
        <v>0</v>
      </c>
    </row>
    <row r="1557" spans="1:23">
      <c r="A1557" s="103">
        <v>45081</v>
      </c>
      <c r="B1557" s="111" t="s">
        <v>39</v>
      </c>
      <c r="C1557" s="112">
        <v>22030</v>
      </c>
      <c r="D1557" s="112"/>
      <c r="E1557" s="112">
        <v>500</v>
      </c>
      <c r="F1557" s="113">
        <v>0.0226963231956423</v>
      </c>
      <c r="G1557" s="112">
        <v>148</v>
      </c>
      <c r="H1557" s="113">
        <v>0.296</v>
      </c>
      <c r="I1557" s="113"/>
      <c r="J1557" s="113"/>
      <c r="K1557" s="113"/>
      <c r="L1557" s="213"/>
      <c r="M1557" s="213"/>
      <c r="N1557" s="213"/>
      <c r="O1557" s="213"/>
      <c r="P1557" s="108"/>
      <c r="Q1557" s="108"/>
      <c r="R1557" s="108"/>
      <c r="S1557" s="108"/>
      <c r="T1557" s="108"/>
      <c r="U1557" s="108"/>
      <c r="V1557" s="108"/>
      <c r="W1557" s="108"/>
    </row>
    <row r="1558" ht="14.45" customHeight="1" spans="1:30">
      <c r="A1558" s="103">
        <v>45082</v>
      </c>
      <c r="B1558" s="104" t="s">
        <v>17</v>
      </c>
      <c r="C1558" s="216">
        <v>2</v>
      </c>
      <c r="D1558" s="216"/>
      <c r="E1558" s="217">
        <v>22</v>
      </c>
      <c r="F1558" s="106">
        <v>11</v>
      </c>
      <c r="G1558" s="107">
        <v>3</v>
      </c>
      <c r="H1558" s="106">
        <v>0.136363636363636</v>
      </c>
      <c r="I1558" s="106"/>
      <c r="J1558" s="106"/>
      <c r="K1558" s="106"/>
      <c r="L1558" s="213">
        <v>0</v>
      </c>
      <c r="M1558" s="213">
        <v>-0.333333333333333</v>
      </c>
      <c r="N1558" s="213">
        <v>-1.8</v>
      </c>
      <c r="O1558" s="213">
        <v>-1.28571428571429</v>
      </c>
      <c r="P1558" s="108">
        <v>6</v>
      </c>
      <c r="Q1558" s="108">
        <v>8.66666666666667</v>
      </c>
      <c r="R1558" s="108">
        <v>8.6</v>
      </c>
      <c r="S1558" s="108">
        <v>10.7142857142857</v>
      </c>
      <c r="T1558" s="108">
        <v>0</v>
      </c>
      <c r="U1558" s="108">
        <v>0</v>
      </c>
      <c r="V1558" s="108">
        <v>0</v>
      </c>
      <c r="W1558" s="108">
        <v>0</v>
      </c>
      <c r="X1558" s="215">
        <v>0</v>
      </c>
      <c r="Y1558" s="215">
        <v>0.375</v>
      </c>
      <c r="Z1558" s="215">
        <v>0</v>
      </c>
      <c r="AD1558" t="s">
        <v>18</v>
      </c>
    </row>
    <row r="1559" ht="14.45" customHeight="1" spans="1:30">
      <c r="A1559" s="103">
        <v>45082</v>
      </c>
      <c r="B1559" s="104" t="s">
        <v>19</v>
      </c>
      <c r="C1559" s="216">
        <v>382</v>
      </c>
      <c r="D1559" s="216"/>
      <c r="E1559" s="217">
        <v>10</v>
      </c>
      <c r="F1559" s="106">
        <v>0.0261780104712042</v>
      </c>
      <c r="G1559" s="107">
        <v>3</v>
      </c>
      <c r="H1559" s="106">
        <v>0.3</v>
      </c>
      <c r="I1559" s="106"/>
      <c r="J1559" s="106"/>
      <c r="K1559" s="106"/>
      <c r="L1559" s="213">
        <v>-25</v>
      </c>
      <c r="M1559" s="213">
        <v>-37.6666666666667</v>
      </c>
      <c r="N1559" s="213">
        <v>3.80000000000001</v>
      </c>
      <c r="O1559" s="213">
        <v>9.42857142857144</v>
      </c>
      <c r="P1559" s="108">
        <v>-4</v>
      </c>
      <c r="Q1559" s="108">
        <v>-1.66666666666667</v>
      </c>
      <c r="R1559" s="108">
        <v>-1.2</v>
      </c>
      <c r="S1559" s="108">
        <v>-1</v>
      </c>
      <c r="T1559" s="108">
        <v>0</v>
      </c>
      <c r="U1559" s="108">
        <v>-1</v>
      </c>
      <c r="V1559" s="108">
        <v>-0.4</v>
      </c>
      <c r="W1559" s="115">
        <v>-0.714285714285714</v>
      </c>
      <c r="X1559" s="215">
        <v>-0.0614250614250614</v>
      </c>
      <c r="Y1559" s="215">
        <v>-0.285714285714286</v>
      </c>
      <c r="Z1559" s="215">
        <v>0</v>
      </c>
      <c r="AA1559" s="154"/>
      <c r="AB1559" s="154"/>
      <c r="AC1559" s="154"/>
      <c r="AD1559" s="154"/>
    </row>
    <row r="1560" ht="14.45" customHeight="1" spans="1:26">
      <c r="A1560" s="103">
        <v>45082</v>
      </c>
      <c r="B1560" s="104" t="s">
        <v>21</v>
      </c>
      <c r="C1560" s="218">
        <v>239</v>
      </c>
      <c r="D1560" s="218"/>
      <c r="E1560" s="217">
        <v>16</v>
      </c>
      <c r="F1560" s="106">
        <v>0.0669456066945607</v>
      </c>
      <c r="G1560" s="107">
        <v>8</v>
      </c>
      <c r="H1560" s="106">
        <v>0.5</v>
      </c>
      <c r="I1560" s="106"/>
      <c r="J1560" s="106"/>
      <c r="K1560" s="106"/>
      <c r="L1560" s="213">
        <v>-51</v>
      </c>
      <c r="M1560" s="213">
        <v>-34.6666666666667</v>
      </c>
      <c r="N1560" s="213">
        <v>-40</v>
      </c>
      <c r="O1560" s="213">
        <v>-92.1428571428572</v>
      </c>
      <c r="P1560" s="108">
        <v>-2</v>
      </c>
      <c r="Q1560" s="108">
        <v>-0.666666666666668</v>
      </c>
      <c r="R1560" s="108">
        <v>-1.2</v>
      </c>
      <c r="S1560" s="108">
        <v>-1.85714285714286</v>
      </c>
      <c r="T1560" s="108">
        <v>3</v>
      </c>
      <c r="U1560" s="108">
        <v>2.33333333333333</v>
      </c>
      <c r="V1560" s="108">
        <v>2.6</v>
      </c>
      <c r="W1560" s="108">
        <v>2.28571428571429</v>
      </c>
      <c r="X1560" s="215">
        <v>-0.175862068965517</v>
      </c>
      <c r="Y1560" s="215">
        <v>-0.111111111111111</v>
      </c>
      <c r="Z1560" s="215">
        <v>0.6</v>
      </c>
    </row>
    <row r="1561" ht="18.95" customHeight="1" spans="1:30">
      <c r="A1561" s="103">
        <v>45082</v>
      </c>
      <c r="B1561" s="104" t="s">
        <v>22</v>
      </c>
      <c r="C1561" s="218">
        <v>4231</v>
      </c>
      <c r="D1561" s="218"/>
      <c r="E1561" s="217">
        <v>79</v>
      </c>
      <c r="F1561" s="106">
        <v>0.0186717088158828</v>
      </c>
      <c r="G1561" s="107">
        <v>31</v>
      </c>
      <c r="H1561" s="106">
        <v>0.392405063291139</v>
      </c>
      <c r="I1561" s="106"/>
      <c r="J1561" s="106"/>
      <c r="K1561" s="106"/>
      <c r="L1561" s="213">
        <v>-87</v>
      </c>
      <c r="M1561" s="213">
        <v>180</v>
      </c>
      <c r="N1561" s="213">
        <v>368</v>
      </c>
      <c r="O1561" s="213">
        <v>428</v>
      </c>
      <c r="P1561" s="108">
        <v>-62</v>
      </c>
      <c r="Q1561" s="108">
        <v>-46</v>
      </c>
      <c r="R1561" s="108">
        <v>-40.8</v>
      </c>
      <c r="S1561" s="115">
        <v>-35</v>
      </c>
      <c r="T1561" s="108">
        <v>-15</v>
      </c>
      <c r="U1561" s="108">
        <v>-14.3333333333333</v>
      </c>
      <c r="V1561" s="108">
        <v>-13.8</v>
      </c>
      <c r="W1561" s="117">
        <v>-11.8571428571429</v>
      </c>
      <c r="X1561" s="215">
        <v>-0.0201482167670218</v>
      </c>
      <c r="Y1561" s="215">
        <v>-0.439716312056738</v>
      </c>
      <c r="Z1561" s="215">
        <v>-0.326086956521739</v>
      </c>
      <c r="AA1561" s="154"/>
      <c r="AB1561" s="154"/>
      <c r="AC1561" s="154"/>
      <c r="AD1561" s="154"/>
    </row>
    <row r="1562" ht="14.45" customHeight="1" spans="1:26">
      <c r="A1562" s="103">
        <v>45082</v>
      </c>
      <c r="B1562" s="104" t="s">
        <v>23</v>
      </c>
      <c r="C1562" s="218">
        <v>1736</v>
      </c>
      <c r="D1562" s="218"/>
      <c r="E1562" s="217">
        <v>8</v>
      </c>
      <c r="F1562" s="106">
        <v>0.00460829493087558</v>
      </c>
      <c r="G1562" s="107">
        <v>2</v>
      </c>
      <c r="H1562" s="106">
        <v>0.25</v>
      </c>
      <c r="I1562" s="106"/>
      <c r="J1562" s="106"/>
      <c r="K1562" s="106"/>
      <c r="L1562" s="213">
        <v>-13</v>
      </c>
      <c r="M1562" s="213">
        <v>-25</v>
      </c>
      <c r="N1562" s="213">
        <v>93.5999999999999</v>
      </c>
      <c r="O1562" s="213">
        <v>125</v>
      </c>
      <c r="P1562" s="108">
        <v>-1</v>
      </c>
      <c r="Q1562" s="108">
        <v>-0.333333333333334</v>
      </c>
      <c r="R1562" s="108">
        <v>-1.2</v>
      </c>
      <c r="S1562" s="108">
        <v>-1.71428571428571</v>
      </c>
      <c r="T1562" s="108">
        <v>-3</v>
      </c>
      <c r="U1562" s="116">
        <v>-1.66666666666667</v>
      </c>
      <c r="V1562" s="108">
        <v>-2.2</v>
      </c>
      <c r="W1562" s="108">
        <v>-2.28571428571429</v>
      </c>
      <c r="X1562" s="215">
        <v>-0.00743281875357347</v>
      </c>
      <c r="Y1562" s="215">
        <v>-0.111111111111111</v>
      </c>
      <c r="Z1562" s="215">
        <v>-0.6</v>
      </c>
    </row>
    <row r="1563" ht="14.45" customHeight="1" spans="1:30">
      <c r="A1563" s="103">
        <v>45082</v>
      </c>
      <c r="B1563" s="104" t="s">
        <v>24</v>
      </c>
      <c r="C1563" s="218">
        <v>8470</v>
      </c>
      <c r="D1563" s="218"/>
      <c r="E1563" s="217">
        <v>155</v>
      </c>
      <c r="F1563" s="106">
        <v>0.0182998819362456</v>
      </c>
      <c r="G1563" s="107">
        <v>44</v>
      </c>
      <c r="H1563" s="106">
        <v>0.283870967741935</v>
      </c>
      <c r="I1563" s="106"/>
      <c r="J1563" s="106"/>
      <c r="K1563" s="106"/>
      <c r="L1563" s="213">
        <v>1602</v>
      </c>
      <c r="M1563" s="213">
        <v>3153.66666666667</v>
      </c>
      <c r="N1563" s="213">
        <v>3558.6</v>
      </c>
      <c r="O1563" s="213">
        <v>2591.14285714286</v>
      </c>
      <c r="P1563" s="115">
        <v>-20</v>
      </c>
      <c r="Q1563" s="115">
        <v>-27.3333333333333</v>
      </c>
      <c r="R1563" s="115">
        <v>-9.80000000000001</v>
      </c>
      <c r="S1563" s="115">
        <v>-6.71428571428572</v>
      </c>
      <c r="T1563" s="115">
        <v>-1</v>
      </c>
      <c r="U1563" s="115">
        <v>-5.66666666666666</v>
      </c>
      <c r="V1563" s="115">
        <v>-3.2</v>
      </c>
      <c r="W1563" s="115">
        <v>-2.71428571428572</v>
      </c>
      <c r="X1563" s="215">
        <v>0.233255678509027</v>
      </c>
      <c r="Y1563" s="215">
        <v>-0.114285714285714</v>
      </c>
      <c r="Z1563" s="215">
        <v>-0.0222222222222222</v>
      </c>
      <c r="AA1563" s="154"/>
      <c r="AB1563" s="154"/>
      <c r="AC1563" s="154"/>
      <c r="AD1563" s="154"/>
    </row>
    <row r="1564" ht="14.45" customHeight="1" spans="1:26">
      <c r="A1564" s="103">
        <v>45082</v>
      </c>
      <c r="B1564" s="104" t="s">
        <v>25</v>
      </c>
      <c r="C1564" s="218">
        <v>2442</v>
      </c>
      <c r="D1564" s="218"/>
      <c r="E1564" s="217">
        <v>26</v>
      </c>
      <c r="F1564" s="106">
        <v>0.0106470106470106</v>
      </c>
      <c r="G1564" s="107">
        <v>13</v>
      </c>
      <c r="H1564" s="106">
        <v>0.5</v>
      </c>
      <c r="I1564" s="106"/>
      <c r="J1564" s="106"/>
      <c r="K1564" s="106"/>
      <c r="L1564" s="213">
        <v>-292</v>
      </c>
      <c r="M1564" s="213">
        <v>-683.333333333333</v>
      </c>
      <c r="N1564" s="213">
        <v>-679</v>
      </c>
      <c r="O1564" s="213">
        <v>-1057.85714285714</v>
      </c>
      <c r="P1564" s="116">
        <v>-3</v>
      </c>
      <c r="Q1564" s="115">
        <v>-7.33333333333334</v>
      </c>
      <c r="R1564" s="115">
        <v>-6.6</v>
      </c>
      <c r="S1564" s="115">
        <v>-4.85714285714286</v>
      </c>
      <c r="T1564" s="108">
        <v>0</v>
      </c>
      <c r="U1564" s="108">
        <v>-1.33333333333333</v>
      </c>
      <c r="V1564" s="108">
        <v>-0.4</v>
      </c>
      <c r="W1564" s="108">
        <v>-0.285714285714286</v>
      </c>
      <c r="X1564" s="215">
        <v>-0.10680321872714</v>
      </c>
      <c r="Y1564" s="215">
        <v>-0.103448275862069</v>
      </c>
      <c r="Z1564" s="215">
        <v>0</v>
      </c>
    </row>
    <row r="1565" ht="14.45" customHeight="1" spans="1:26">
      <c r="A1565" s="103">
        <v>45082</v>
      </c>
      <c r="B1565" s="104" t="s">
        <v>26</v>
      </c>
      <c r="C1565" s="218">
        <v>1580</v>
      </c>
      <c r="D1565" s="218"/>
      <c r="E1565" s="217">
        <v>6</v>
      </c>
      <c r="F1565" s="106">
        <v>0.00379746835443038</v>
      </c>
      <c r="G1565" s="107">
        <v>1</v>
      </c>
      <c r="H1565" s="106">
        <v>0.166666666666667</v>
      </c>
      <c r="I1565" s="106"/>
      <c r="J1565" s="106"/>
      <c r="K1565" s="106"/>
      <c r="L1565" s="213">
        <v>44</v>
      </c>
      <c r="M1565" s="213">
        <v>-10.3333333333333</v>
      </c>
      <c r="N1565" s="213">
        <v>-21</v>
      </c>
      <c r="O1565" s="213">
        <v>26.1428571428571</v>
      </c>
      <c r="P1565" s="108">
        <v>-1</v>
      </c>
      <c r="Q1565" s="108">
        <v>-1</v>
      </c>
      <c r="R1565" s="108">
        <v>-1.2</v>
      </c>
      <c r="S1565" s="108">
        <v>-2.42857142857143</v>
      </c>
      <c r="T1565" s="108">
        <v>0</v>
      </c>
      <c r="U1565" s="108">
        <v>-1</v>
      </c>
      <c r="V1565" s="108">
        <v>-1.2</v>
      </c>
      <c r="W1565" s="108">
        <v>-2.42857142857143</v>
      </c>
      <c r="X1565" s="215">
        <v>0.0286458333333333</v>
      </c>
      <c r="Y1565" s="215">
        <v>-0.142857142857143</v>
      </c>
      <c r="Z1565" s="215">
        <v>0</v>
      </c>
    </row>
    <row r="1566" ht="14.45" customHeight="1" spans="1:26">
      <c r="A1566" s="103">
        <v>45082</v>
      </c>
      <c r="B1566" s="104" t="s">
        <v>27</v>
      </c>
      <c r="C1566" s="218">
        <v>3592</v>
      </c>
      <c r="D1566" s="218"/>
      <c r="E1566" s="217">
        <v>65</v>
      </c>
      <c r="F1566" s="106">
        <v>0.0180957683741648</v>
      </c>
      <c r="G1566" s="107">
        <v>11</v>
      </c>
      <c r="H1566" s="106">
        <v>0.169230769230769</v>
      </c>
      <c r="I1566" s="106"/>
      <c r="J1566" s="106"/>
      <c r="K1566" s="106"/>
      <c r="L1566" s="213">
        <v>-534</v>
      </c>
      <c r="M1566" s="213">
        <v>-656.666666666667</v>
      </c>
      <c r="N1566" s="213">
        <v>-716.6</v>
      </c>
      <c r="O1566" s="213">
        <v>-944.857142857143</v>
      </c>
      <c r="P1566" s="108">
        <v>-25</v>
      </c>
      <c r="Q1566" s="108">
        <v>-24</v>
      </c>
      <c r="R1566" s="108">
        <v>-40.4</v>
      </c>
      <c r="S1566" s="108">
        <v>-48.1428571428571</v>
      </c>
      <c r="T1566" s="108">
        <v>-15</v>
      </c>
      <c r="U1566" s="108">
        <v>-13.6666666666667</v>
      </c>
      <c r="V1566" s="108">
        <v>-17.6</v>
      </c>
      <c r="W1566" s="108">
        <v>-19.7142857142857</v>
      </c>
      <c r="X1566" s="215">
        <v>-0.129423170140572</v>
      </c>
      <c r="Y1566" s="215">
        <v>-0.277777777777778</v>
      </c>
      <c r="Z1566" s="215">
        <v>-0.576923076923077</v>
      </c>
    </row>
    <row r="1567" ht="14.45" customHeight="1" spans="1:26">
      <c r="A1567" s="103">
        <v>45082</v>
      </c>
      <c r="B1567" s="104" t="s">
        <v>28</v>
      </c>
      <c r="C1567" s="145">
        <v>0</v>
      </c>
      <c r="D1567" s="145"/>
      <c r="E1567" s="104">
        <v>0</v>
      </c>
      <c r="F1567" s="106">
        <v>0</v>
      </c>
      <c r="G1567" s="107">
        <v>0</v>
      </c>
      <c r="H1567" s="106">
        <v>0</v>
      </c>
      <c r="I1567" s="106"/>
      <c r="J1567" s="106"/>
      <c r="K1567" s="106"/>
      <c r="L1567" s="213">
        <v>0</v>
      </c>
      <c r="M1567" s="213">
        <v>0</v>
      </c>
      <c r="N1567" s="213">
        <v>0</v>
      </c>
      <c r="O1567" s="213">
        <v>0</v>
      </c>
      <c r="P1567" s="108">
        <v>0</v>
      </c>
      <c r="Q1567" s="108">
        <v>0</v>
      </c>
      <c r="R1567" s="108">
        <v>0</v>
      </c>
      <c r="S1567" s="108">
        <v>0</v>
      </c>
      <c r="T1567" s="108">
        <v>0</v>
      </c>
      <c r="U1567" s="108">
        <v>0</v>
      </c>
      <c r="V1567" s="108">
        <v>0</v>
      </c>
      <c r="W1567" s="108">
        <v>0</v>
      </c>
      <c r="X1567" s="215" t="e">
        <v>#DIV/0!</v>
      </c>
      <c r="Y1567" s="215" t="e">
        <v>#DIV/0!</v>
      </c>
      <c r="Z1567" s="215" t="e">
        <v>#DIV/0!</v>
      </c>
    </row>
    <row r="1568" ht="14.45" customHeight="1" spans="1:26">
      <c r="A1568" s="103">
        <v>45082</v>
      </c>
      <c r="B1568" s="104" t="s">
        <v>29</v>
      </c>
      <c r="C1568" s="145">
        <v>0</v>
      </c>
      <c r="D1568" s="145"/>
      <c r="E1568" s="104">
        <v>0</v>
      </c>
      <c r="F1568" s="106">
        <v>0</v>
      </c>
      <c r="G1568" s="107">
        <v>0</v>
      </c>
      <c r="H1568" s="106">
        <v>0</v>
      </c>
      <c r="I1568" s="106"/>
      <c r="J1568" s="106"/>
      <c r="K1568" s="106"/>
      <c r="L1568" s="213">
        <v>0</v>
      </c>
      <c r="M1568" s="213">
        <v>0</v>
      </c>
      <c r="N1568" s="213">
        <v>0</v>
      </c>
      <c r="O1568" s="213">
        <v>-0.285714285714286</v>
      </c>
      <c r="P1568" s="108">
        <v>0</v>
      </c>
      <c r="Q1568" s="108">
        <v>0</v>
      </c>
      <c r="R1568" s="108">
        <v>0</v>
      </c>
      <c r="S1568" s="108">
        <v>0</v>
      </c>
      <c r="T1568" s="108">
        <v>0</v>
      </c>
      <c r="U1568" s="108">
        <v>0</v>
      </c>
      <c r="V1568" s="108">
        <v>0</v>
      </c>
      <c r="W1568" s="108">
        <v>0</v>
      </c>
      <c r="X1568" s="215" t="e">
        <v>#DIV/0!</v>
      </c>
      <c r="Y1568" s="215" t="e">
        <v>#DIV/0!</v>
      </c>
      <c r="Z1568" s="215" t="e">
        <v>#DIV/0!</v>
      </c>
    </row>
    <row r="1569" ht="14.45" customHeight="1" spans="1:27">
      <c r="A1569" s="103">
        <v>45082</v>
      </c>
      <c r="B1569" s="104" t="s">
        <v>30</v>
      </c>
      <c r="C1569" s="145">
        <v>0</v>
      </c>
      <c r="D1569" s="145"/>
      <c r="E1569" s="104">
        <v>0</v>
      </c>
      <c r="F1569" s="106">
        <v>0</v>
      </c>
      <c r="G1569" s="107">
        <v>0</v>
      </c>
      <c r="H1569" s="106">
        <v>0</v>
      </c>
      <c r="I1569" s="106"/>
      <c r="J1569" s="106"/>
      <c r="K1569" s="106"/>
      <c r="L1569" s="213">
        <v>0</v>
      </c>
      <c r="M1569" s="213">
        <v>0</v>
      </c>
      <c r="N1569" s="213">
        <v>0</v>
      </c>
      <c r="O1569" s="213">
        <v>0</v>
      </c>
      <c r="P1569" s="108">
        <v>0</v>
      </c>
      <c r="Q1569" s="108">
        <v>0</v>
      </c>
      <c r="R1569" s="108">
        <v>0</v>
      </c>
      <c r="S1569" s="108">
        <v>0</v>
      </c>
      <c r="T1569" s="108">
        <v>0</v>
      </c>
      <c r="U1569" s="108">
        <v>0</v>
      </c>
      <c r="V1569" s="108">
        <v>0</v>
      </c>
      <c r="W1569" s="108">
        <v>0</v>
      </c>
      <c r="X1569" s="168"/>
      <c r="Y1569" s="168"/>
      <c r="Z1569" s="169"/>
      <c r="AA1569" s="169"/>
    </row>
    <row r="1570" ht="14.45" customHeight="1" spans="1:27">
      <c r="A1570" s="103">
        <v>45082</v>
      </c>
      <c r="B1570" s="104" t="s">
        <v>31</v>
      </c>
      <c r="C1570" s="145">
        <v>0</v>
      </c>
      <c r="D1570" s="145"/>
      <c r="E1570" s="104">
        <v>0</v>
      </c>
      <c r="F1570" s="106">
        <v>0</v>
      </c>
      <c r="G1570" s="107">
        <v>0</v>
      </c>
      <c r="H1570" s="106">
        <v>0</v>
      </c>
      <c r="I1570" s="106"/>
      <c r="J1570" s="106"/>
      <c r="K1570" s="106"/>
      <c r="L1570" s="213">
        <v>0</v>
      </c>
      <c r="M1570" s="213">
        <v>0</v>
      </c>
      <c r="N1570" s="213">
        <v>0</v>
      </c>
      <c r="O1570" s="213">
        <v>0</v>
      </c>
      <c r="P1570" s="108">
        <v>0</v>
      </c>
      <c r="Q1570" s="108">
        <v>0</v>
      </c>
      <c r="R1570" s="108">
        <v>0</v>
      </c>
      <c r="S1570" s="108">
        <v>0</v>
      </c>
      <c r="T1570" s="108">
        <v>0</v>
      </c>
      <c r="U1570" s="108">
        <v>0</v>
      </c>
      <c r="V1570" s="108">
        <v>0</v>
      </c>
      <c r="W1570" s="108">
        <v>0</v>
      </c>
      <c r="X1570" s="168"/>
      <c r="Y1570" s="168"/>
      <c r="Z1570" s="169"/>
      <c r="AA1570" s="169"/>
    </row>
    <row r="1571" ht="14.45" customHeight="1" spans="1:27">
      <c r="A1571" s="103">
        <v>45082</v>
      </c>
      <c r="B1571" s="104" t="s">
        <v>32</v>
      </c>
      <c r="C1571" s="145">
        <v>0</v>
      </c>
      <c r="D1571" s="145"/>
      <c r="E1571" s="104">
        <v>0</v>
      </c>
      <c r="F1571" s="106">
        <v>0</v>
      </c>
      <c r="G1571" s="107">
        <v>0</v>
      </c>
      <c r="H1571" s="106">
        <v>0</v>
      </c>
      <c r="I1571" s="106"/>
      <c r="J1571" s="106"/>
      <c r="K1571" s="106"/>
      <c r="L1571" s="213">
        <v>0</v>
      </c>
      <c r="M1571" s="213">
        <v>0</v>
      </c>
      <c r="N1571" s="213">
        <v>0</v>
      </c>
      <c r="O1571" s="213">
        <v>0</v>
      </c>
      <c r="P1571" s="108">
        <v>0</v>
      </c>
      <c r="Q1571" s="108">
        <v>0</v>
      </c>
      <c r="R1571" s="108">
        <v>0</v>
      </c>
      <c r="S1571" s="108">
        <v>0</v>
      </c>
      <c r="T1571" s="108">
        <v>0</v>
      </c>
      <c r="U1571" s="108">
        <v>0</v>
      </c>
      <c r="V1571" s="108">
        <v>0</v>
      </c>
      <c r="W1571" s="108">
        <v>0</v>
      </c>
      <c r="X1571" s="168"/>
      <c r="Y1571" s="168"/>
      <c r="Z1571" s="169"/>
      <c r="AA1571" s="169"/>
    </row>
    <row r="1572" spans="1:23">
      <c r="A1572" s="103">
        <v>45082</v>
      </c>
      <c r="B1572" s="104" t="s">
        <v>33</v>
      </c>
      <c r="C1572" s="145">
        <v>0</v>
      </c>
      <c r="D1572" s="145"/>
      <c r="E1572" s="104">
        <v>0</v>
      </c>
      <c r="F1572" s="106">
        <v>0</v>
      </c>
      <c r="G1572" s="107">
        <v>0</v>
      </c>
      <c r="H1572" s="106">
        <v>0</v>
      </c>
      <c r="I1572" s="106"/>
      <c r="J1572" s="106"/>
      <c r="K1572" s="106"/>
      <c r="L1572" s="213">
        <v>0</v>
      </c>
      <c r="M1572" s="213">
        <v>0</v>
      </c>
      <c r="N1572" s="213">
        <v>0</v>
      </c>
      <c r="O1572" s="213">
        <v>0</v>
      </c>
      <c r="P1572" s="108">
        <v>0</v>
      </c>
      <c r="Q1572" s="108">
        <v>0</v>
      </c>
      <c r="R1572" s="108">
        <v>0</v>
      </c>
      <c r="S1572" s="108">
        <v>0</v>
      </c>
      <c r="T1572" s="108">
        <v>0</v>
      </c>
      <c r="U1572" s="108">
        <v>0</v>
      </c>
      <c r="V1572" s="108">
        <v>0</v>
      </c>
      <c r="W1572" s="108">
        <v>0</v>
      </c>
    </row>
    <row r="1573" spans="1:23">
      <c r="A1573" s="103">
        <v>45082</v>
      </c>
      <c r="B1573" s="104" t="s">
        <v>34</v>
      </c>
      <c r="C1573" s="145">
        <v>0</v>
      </c>
      <c r="D1573" s="145"/>
      <c r="E1573" s="104">
        <v>0</v>
      </c>
      <c r="F1573" s="106">
        <v>0</v>
      </c>
      <c r="G1573" s="107">
        <v>0</v>
      </c>
      <c r="H1573" s="106">
        <v>0</v>
      </c>
      <c r="I1573" s="106"/>
      <c r="J1573" s="106"/>
      <c r="K1573" s="106"/>
      <c r="L1573" s="213">
        <v>0</v>
      </c>
      <c r="M1573" s="213">
        <v>0</v>
      </c>
      <c r="N1573" s="213">
        <v>0</v>
      </c>
      <c r="O1573" s="213">
        <v>0</v>
      </c>
      <c r="P1573" s="108">
        <v>-1</v>
      </c>
      <c r="Q1573" s="108">
        <v>-0.333333333333333</v>
      </c>
      <c r="R1573" s="108">
        <v>-0.2</v>
      </c>
      <c r="S1573" s="108">
        <v>-0.142857142857143</v>
      </c>
      <c r="T1573" s="108">
        <v>-1</v>
      </c>
      <c r="U1573" s="108">
        <v>-0.333333333333333</v>
      </c>
      <c r="V1573" s="108">
        <v>-0.2</v>
      </c>
      <c r="W1573" s="108">
        <v>-0.142857142857143</v>
      </c>
    </row>
    <row r="1574" spans="1:23">
      <c r="A1574" s="103">
        <v>45082</v>
      </c>
      <c r="B1574" s="104" t="s">
        <v>35</v>
      </c>
      <c r="C1574" s="145">
        <v>0</v>
      </c>
      <c r="D1574" s="145"/>
      <c r="E1574" s="104">
        <v>0</v>
      </c>
      <c r="F1574" s="106">
        <v>0</v>
      </c>
      <c r="G1574" s="107">
        <v>0</v>
      </c>
      <c r="H1574" s="106">
        <v>0</v>
      </c>
      <c r="I1574" s="106"/>
      <c r="J1574" s="106"/>
      <c r="K1574" s="106"/>
      <c r="L1574" s="213">
        <v>0</v>
      </c>
      <c r="M1574" s="213">
        <v>0</v>
      </c>
      <c r="N1574" s="213">
        <v>0</v>
      </c>
      <c r="O1574" s="213">
        <v>0</v>
      </c>
      <c r="P1574" s="108">
        <v>0</v>
      </c>
      <c r="Q1574" s="108">
        <v>0</v>
      </c>
      <c r="R1574" s="108">
        <v>0</v>
      </c>
      <c r="S1574" s="108">
        <v>0</v>
      </c>
      <c r="T1574" s="108">
        <v>0</v>
      </c>
      <c r="U1574" s="108">
        <v>0</v>
      </c>
      <c r="V1574" s="108">
        <v>0</v>
      </c>
      <c r="W1574" s="108">
        <v>0</v>
      </c>
    </row>
    <row r="1575" spans="1:23">
      <c r="A1575" s="103">
        <v>45082</v>
      </c>
      <c r="B1575" s="104" t="s">
        <v>36</v>
      </c>
      <c r="C1575" s="145">
        <v>0</v>
      </c>
      <c r="D1575" s="145"/>
      <c r="E1575" s="104">
        <v>0</v>
      </c>
      <c r="F1575" s="106">
        <v>0</v>
      </c>
      <c r="G1575" s="107">
        <v>0</v>
      </c>
      <c r="H1575" s="106">
        <v>0</v>
      </c>
      <c r="I1575" s="106"/>
      <c r="J1575" s="106"/>
      <c r="K1575" s="106"/>
      <c r="L1575" s="213">
        <v>0</v>
      </c>
      <c r="M1575" s="213">
        <v>0</v>
      </c>
      <c r="N1575" s="213">
        <v>0</v>
      </c>
      <c r="O1575" s="213">
        <v>0</v>
      </c>
      <c r="P1575" s="108">
        <v>0</v>
      </c>
      <c r="Q1575" s="108">
        <v>0</v>
      </c>
      <c r="R1575" s="108">
        <v>0</v>
      </c>
      <c r="S1575" s="108">
        <v>0</v>
      </c>
      <c r="T1575" s="108">
        <v>0</v>
      </c>
      <c r="U1575" s="108">
        <v>0</v>
      </c>
      <c r="V1575" s="108">
        <v>0</v>
      </c>
      <c r="W1575" s="108">
        <v>0</v>
      </c>
    </row>
    <row r="1576" spans="1:23">
      <c r="A1576" s="103">
        <v>45082</v>
      </c>
      <c r="B1576" s="104" t="s">
        <v>37</v>
      </c>
      <c r="C1576" s="145">
        <v>0</v>
      </c>
      <c r="D1576" s="145"/>
      <c r="E1576" s="104">
        <v>2</v>
      </c>
      <c r="F1576" s="106">
        <v>2</v>
      </c>
      <c r="G1576" s="107">
        <v>0</v>
      </c>
      <c r="H1576" s="106">
        <v>0</v>
      </c>
      <c r="I1576" s="106"/>
      <c r="J1576" s="106"/>
      <c r="K1576" s="106"/>
      <c r="L1576" s="213">
        <v>0</v>
      </c>
      <c r="M1576" s="213">
        <v>0</v>
      </c>
      <c r="N1576" s="213">
        <v>0</v>
      </c>
      <c r="O1576" s="213">
        <v>0</v>
      </c>
      <c r="P1576" s="108">
        <v>2</v>
      </c>
      <c r="Q1576" s="108">
        <v>2</v>
      </c>
      <c r="R1576" s="108">
        <v>2</v>
      </c>
      <c r="S1576" s="108">
        <v>2</v>
      </c>
      <c r="T1576" s="108">
        <v>0</v>
      </c>
      <c r="U1576" s="108">
        <v>0</v>
      </c>
      <c r="V1576" s="108">
        <v>0</v>
      </c>
      <c r="W1576" s="108">
        <v>0</v>
      </c>
    </row>
    <row r="1577" spans="1:23">
      <c r="A1577" s="103">
        <v>45082</v>
      </c>
      <c r="B1577" s="104" t="s">
        <v>38</v>
      </c>
      <c r="C1577" s="145">
        <v>0</v>
      </c>
      <c r="D1577" s="145"/>
      <c r="E1577" s="104">
        <v>0</v>
      </c>
      <c r="F1577" s="106">
        <v>0</v>
      </c>
      <c r="G1577" s="107">
        <v>0</v>
      </c>
      <c r="H1577" s="106">
        <v>0</v>
      </c>
      <c r="I1577" s="106"/>
      <c r="J1577" s="106"/>
      <c r="K1577" s="106"/>
      <c r="L1577" s="213">
        <v>0</v>
      </c>
      <c r="M1577" s="213">
        <v>0</v>
      </c>
      <c r="N1577" s="213">
        <v>0</v>
      </c>
      <c r="O1577" s="213">
        <v>0</v>
      </c>
      <c r="P1577" s="108">
        <v>0</v>
      </c>
      <c r="Q1577" s="108">
        <v>0</v>
      </c>
      <c r="R1577" s="108">
        <v>0</v>
      </c>
      <c r="S1577" s="108">
        <v>0</v>
      </c>
      <c r="T1577" s="108">
        <v>0</v>
      </c>
      <c r="U1577" s="108">
        <v>0</v>
      </c>
      <c r="V1577" s="108">
        <v>0</v>
      </c>
      <c r="W1577" s="108">
        <v>0</v>
      </c>
    </row>
    <row r="1578" spans="1:23">
      <c r="A1578" s="103">
        <v>45082</v>
      </c>
      <c r="B1578" s="111" t="s">
        <v>39</v>
      </c>
      <c r="C1578" s="112">
        <v>22674</v>
      </c>
      <c r="D1578" s="112"/>
      <c r="E1578" s="112">
        <v>389</v>
      </c>
      <c r="F1578" s="113">
        <v>0.0171562141660051</v>
      </c>
      <c r="G1578" s="112">
        <v>116</v>
      </c>
      <c r="H1578" s="113">
        <v>0.298200514138817</v>
      </c>
      <c r="I1578" s="113"/>
      <c r="J1578" s="113"/>
      <c r="K1578" s="113"/>
      <c r="L1578" s="213"/>
      <c r="M1578" s="213"/>
      <c r="N1578" s="213"/>
      <c r="O1578" s="213"/>
      <c r="P1578" s="108"/>
      <c r="Q1578" s="108"/>
      <c r="R1578" s="108"/>
      <c r="S1578" s="108"/>
      <c r="T1578" s="108"/>
      <c r="U1578" s="108"/>
      <c r="V1578" s="108"/>
      <c r="W1578" s="108"/>
    </row>
    <row r="1579" ht="14.45" customHeight="1" spans="1:30">
      <c r="A1579" s="103">
        <v>45083</v>
      </c>
      <c r="B1579" s="104" t="s">
        <v>17</v>
      </c>
      <c r="C1579" s="216">
        <v>2</v>
      </c>
      <c r="D1579" s="216"/>
      <c r="E1579" s="217">
        <v>31</v>
      </c>
      <c r="F1579" s="106">
        <v>15.5</v>
      </c>
      <c r="G1579" s="107">
        <v>9</v>
      </c>
      <c r="H1579" s="106">
        <v>0.290322580645161</v>
      </c>
      <c r="I1579" s="106"/>
      <c r="J1579" s="106"/>
      <c r="K1579" s="106"/>
      <c r="L1579" s="213">
        <v>0</v>
      </c>
      <c r="M1579" s="213">
        <v>0</v>
      </c>
      <c r="N1579" s="213">
        <v>-0.2</v>
      </c>
      <c r="O1579" s="213">
        <v>-1.42857142857143</v>
      </c>
      <c r="P1579" s="108">
        <v>9</v>
      </c>
      <c r="Q1579" s="108">
        <v>13.3333333333333</v>
      </c>
      <c r="R1579" s="108">
        <v>15.2</v>
      </c>
      <c r="S1579" s="108">
        <v>17.5714285714286</v>
      </c>
      <c r="T1579" s="108">
        <v>6</v>
      </c>
      <c r="U1579" s="108">
        <v>6.66666666666667</v>
      </c>
      <c r="V1579" s="108">
        <v>6.2</v>
      </c>
      <c r="W1579" s="108">
        <v>5.71428571428571</v>
      </c>
      <c r="X1579" s="215">
        <v>0</v>
      </c>
      <c r="Y1579" s="215">
        <v>0.409090909090909</v>
      </c>
      <c r="Z1579" s="215">
        <v>2</v>
      </c>
      <c r="AD1579" t="s">
        <v>18</v>
      </c>
    </row>
    <row r="1580" ht="14.45" customHeight="1" spans="1:30">
      <c r="A1580" s="103">
        <v>45083</v>
      </c>
      <c r="B1580" s="104" t="s">
        <v>19</v>
      </c>
      <c r="C1580" s="216">
        <v>387</v>
      </c>
      <c r="D1580" s="216"/>
      <c r="E1580" s="217">
        <v>14</v>
      </c>
      <c r="F1580" s="106">
        <v>0.0361757105943152</v>
      </c>
      <c r="G1580" s="107">
        <v>9</v>
      </c>
      <c r="H1580" s="106">
        <v>0.642857142857143</v>
      </c>
      <c r="I1580" s="106"/>
      <c r="J1580" s="106"/>
      <c r="K1580" s="106"/>
      <c r="L1580" s="213">
        <v>5</v>
      </c>
      <c r="M1580" s="213">
        <v>-22.6666666666667</v>
      </c>
      <c r="N1580" s="213">
        <v>-6.39999999999998</v>
      </c>
      <c r="O1580" s="213">
        <v>11.8571428571428</v>
      </c>
      <c r="P1580" s="108">
        <v>4</v>
      </c>
      <c r="Q1580" s="108">
        <v>2</v>
      </c>
      <c r="R1580" s="108">
        <v>2.2</v>
      </c>
      <c r="S1580" s="108">
        <v>4</v>
      </c>
      <c r="T1580" s="108">
        <v>6</v>
      </c>
      <c r="U1580" s="108">
        <v>5.66666666666667</v>
      </c>
      <c r="V1580" s="108">
        <v>5.4</v>
      </c>
      <c r="W1580" s="115">
        <v>5.28571428571429</v>
      </c>
      <c r="X1580" s="215">
        <v>0.0130890052356021</v>
      </c>
      <c r="Y1580" s="215">
        <v>0.4</v>
      </c>
      <c r="Z1580" s="215">
        <v>2</v>
      </c>
      <c r="AA1580" s="154"/>
      <c r="AB1580" s="154"/>
      <c r="AC1580" s="154"/>
      <c r="AD1580" s="154"/>
    </row>
    <row r="1581" ht="14.45" customHeight="1" spans="1:26">
      <c r="A1581" s="103">
        <v>45083</v>
      </c>
      <c r="B1581" s="104" t="s">
        <v>21</v>
      </c>
      <c r="C1581" s="218">
        <v>313</v>
      </c>
      <c r="D1581" s="218"/>
      <c r="E1581" s="217">
        <v>16</v>
      </c>
      <c r="F1581" s="106">
        <v>0.0511182108626198</v>
      </c>
      <c r="G1581" s="107">
        <v>4</v>
      </c>
      <c r="H1581" s="106">
        <v>0.25</v>
      </c>
      <c r="I1581" s="106"/>
      <c r="J1581" s="106"/>
      <c r="K1581" s="106"/>
      <c r="L1581" s="213">
        <v>74</v>
      </c>
      <c r="M1581" s="213">
        <v>50.3333333333333</v>
      </c>
      <c r="N1581" s="213">
        <v>50.2</v>
      </c>
      <c r="O1581" s="213">
        <v>13.8571428571428</v>
      </c>
      <c r="P1581" s="108">
        <v>0</v>
      </c>
      <c r="Q1581" s="108">
        <v>-1.33333333333333</v>
      </c>
      <c r="R1581" s="108">
        <v>-0.800000000000001</v>
      </c>
      <c r="S1581" s="108">
        <v>-1.71428571428572</v>
      </c>
      <c r="T1581" s="108">
        <v>-4</v>
      </c>
      <c r="U1581" s="108">
        <v>-2.66666666666667</v>
      </c>
      <c r="V1581" s="108">
        <v>-1.6</v>
      </c>
      <c r="W1581" s="108">
        <v>-1.85714285714286</v>
      </c>
      <c r="X1581" s="215">
        <v>0.309623430962343</v>
      </c>
      <c r="Y1581" s="215">
        <v>0</v>
      </c>
      <c r="Z1581" s="215">
        <v>-0.5</v>
      </c>
    </row>
    <row r="1582" ht="18.95" customHeight="1" spans="1:30">
      <c r="A1582" s="103">
        <v>45083</v>
      </c>
      <c r="B1582" s="104" t="s">
        <v>22</v>
      </c>
      <c r="C1582" s="218">
        <v>4468</v>
      </c>
      <c r="D1582" s="218"/>
      <c r="E1582" s="217">
        <v>115</v>
      </c>
      <c r="F1582" s="106">
        <v>0.0257385854968666</v>
      </c>
      <c r="G1582" s="107">
        <v>41</v>
      </c>
      <c r="H1582" s="106">
        <v>0.356521739130435</v>
      </c>
      <c r="I1582" s="106"/>
      <c r="J1582" s="106"/>
      <c r="K1582" s="106"/>
      <c r="L1582" s="213">
        <v>237</v>
      </c>
      <c r="M1582" s="213">
        <v>210.333333333333</v>
      </c>
      <c r="N1582" s="213">
        <v>461.2</v>
      </c>
      <c r="O1582" s="213">
        <v>582.571428571428</v>
      </c>
      <c r="P1582" s="108">
        <v>36</v>
      </c>
      <c r="Q1582" s="108">
        <v>-0.333333333333329</v>
      </c>
      <c r="R1582" s="108">
        <v>-0.599999999999994</v>
      </c>
      <c r="S1582" s="115">
        <v>3.57142857142857</v>
      </c>
      <c r="T1582" s="108">
        <v>10</v>
      </c>
      <c r="U1582" s="108">
        <v>-0.666666666666664</v>
      </c>
      <c r="V1582" s="108">
        <v>-3.6</v>
      </c>
      <c r="W1582" s="117">
        <v>-2.14285714285715</v>
      </c>
      <c r="X1582" s="215">
        <v>0.0560151264476483</v>
      </c>
      <c r="Y1582" s="215">
        <v>0.455696202531646</v>
      </c>
      <c r="Z1582" s="215">
        <v>0.32258064516129</v>
      </c>
      <c r="AA1582" s="154"/>
      <c r="AB1582" s="154"/>
      <c r="AC1582" s="154"/>
      <c r="AD1582" s="154"/>
    </row>
    <row r="1583" ht="14.45" customHeight="1" spans="1:26">
      <c r="A1583" s="103">
        <v>45083</v>
      </c>
      <c r="B1583" s="104" t="s">
        <v>23</v>
      </c>
      <c r="C1583" s="218">
        <v>1664</v>
      </c>
      <c r="D1583" s="218"/>
      <c r="E1583" s="217">
        <v>8</v>
      </c>
      <c r="F1583" s="106">
        <v>0.00480769230769231</v>
      </c>
      <c r="G1583" s="107">
        <v>2</v>
      </c>
      <c r="H1583" s="106">
        <v>0.25</v>
      </c>
      <c r="I1583" s="106"/>
      <c r="J1583" s="106"/>
      <c r="K1583" s="106"/>
      <c r="L1583" s="213">
        <v>-72</v>
      </c>
      <c r="M1583" s="213">
        <v>-109.666666666667</v>
      </c>
      <c r="N1583" s="213">
        <v>-29.2</v>
      </c>
      <c r="O1583" s="213">
        <v>34</v>
      </c>
      <c r="P1583" s="108">
        <v>0</v>
      </c>
      <c r="Q1583" s="108">
        <v>-0.333333333333334</v>
      </c>
      <c r="R1583" s="108">
        <v>-1.4</v>
      </c>
      <c r="S1583" s="108">
        <v>-1.71428571428571</v>
      </c>
      <c r="T1583" s="108">
        <v>0</v>
      </c>
      <c r="U1583" s="116">
        <v>-1</v>
      </c>
      <c r="V1583" s="108">
        <v>-1.4</v>
      </c>
      <c r="W1583" s="108">
        <v>-2</v>
      </c>
      <c r="X1583" s="215">
        <v>-0.0414746543778802</v>
      </c>
      <c r="Y1583" s="215">
        <v>0</v>
      </c>
      <c r="Z1583" s="215">
        <v>0</v>
      </c>
    </row>
    <row r="1584" ht="14.45" customHeight="1" spans="1:30">
      <c r="A1584" s="103">
        <v>45083</v>
      </c>
      <c r="B1584" s="104" t="s">
        <v>24</v>
      </c>
      <c r="C1584" s="218">
        <v>8640</v>
      </c>
      <c r="D1584" s="218"/>
      <c r="E1584" s="217">
        <v>219</v>
      </c>
      <c r="F1584" s="106">
        <v>0.0253472222222222</v>
      </c>
      <c r="G1584" s="107">
        <v>53</v>
      </c>
      <c r="H1584" s="106">
        <v>0.242009132420091</v>
      </c>
      <c r="I1584" s="106"/>
      <c r="J1584" s="106"/>
      <c r="K1584" s="106"/>
      <c r="L1584" s="213">
        <v>170</v>
      </c>
      <c r="M1584" s="213">
        <v>1988.33333333333</v>
      </c>
      <c r="N1584" s="213">
        <v>2873</v>
      </c>
      <c r="O1584" s="213">
        <v>2730.42857142857</v>
      </c>
      <c r="P1584" s="115">
        <v>64</v>
      </c>
      <c r="Q1584" s="115">
        <v>45.3333333333333</v>
      </c>
      <c r="R1584" s="115">
        <v>49.4</v>
      </c>
      <c r="S1584" s="115">
        <v>58.5714285714286</v>
      </c>
      <c r="T1584" s="115">
        <v>9</v>
      </c>
      <c r="U1584" s="115">
        <v>8.33333333333334</v>
      </c>
      <c r="V1584" s="115">
        <v>6</v>
      </c>
      <c r="W1584" s="115">
        <v>7.42857142857143</v>
      </c>
      <c r="X1584" s="215">
        <v>0.0200708382526564</v>
      </c>
      <c r="Y1584" s="215">
        <v>0.412903225806452</v>
      </c>
      <c r="Z1584" s="215">
        <v>0.204545454545455</v>
      </c>
      <c r="AA1584" s="154"/>
      <c r="AB1584" s="154"/>
      <c r="AC1584" s="154"/>
      <c r="AD1584" s="154"/>
    </row>
    <row r="1585" ht="14.45" customHeight="1" spans="1:26">
      <c r="A1585" s="103">
        <v>45083</v>
      </c>
      <c r="B1585" s="104" t="s">
        <v>25</v>
      </c>
      <c r="C1585" s="218">
        <v>2362</v>
      </c>
      <c r="D1585" s="218"/>
      <c r="E1585" s="217">
        <v>28</v>
      </c>
      <c r="F1585" s="106">
        <v>0.0118543607112616</v>
      </c>
      <c r="G1585" s="107">
        <v>10</v>
      </c>
      <c r="H1585" s="106">
        <v>0.357142857142857</v>
      </c>
      <c r="I1585" s="106"/>
      <c r="J1585" s="106"/>
      <c r="K1585" s="106"/>
      <c r="L1585" s="213">
        <v>-80</v>
      </c>
      <c r="M1585" s="213">
        <v>-336</v>
      </c>
      <c r="N1585" s="213">
        <v>-615</v>
      </c>
      <c r="O1585" s="213">
        <v>-852.714285714286</v>
      </c>
      <c r="P1585" s="116">
        <v>2</v>
      </c>
      <c r="Q1585" s="115">
        <v>-4</v>
      </c>
      <c r="R1585" s="115">
        <v>-3.4</v>
      </c>
      <c r="S1585" s="115">
        <v>-3</v>
      </c>
      <c r="T1585" s="108">
        <v>-3</v>
      </c>
      <c r="U1585" s="108">
        <v>-4.33333333333333</v>
      </c>
      <c r="V1585" s="108">
        <v>-3.6</v>
      </c>
      <c r="W1585" s="108">
        <v>-3.85714285714286</v>
      </c>
      <c r="X1585" s="215">
        <v>-0.0327600327600328</v>
      </c>
      <c r="Y1585" s="215">
        <v>0.0769230769230769</v>
      </c>
      <c r="Z1585" s="215">
        <v>-0.230769230769231</v>
      </c>
    </row>
    <row r="1586" ht="14.45" customHeight="1" spans="1:26">
      <c r="A1586" s="103">
        <v>45083</v>
      </c>
      <c r="B1586" s="104" t="s">
        <v>26</v>
      </c>
      <c r="C1586" s="218">
        <v>1456</v>
      </c>
      <c r="D1586" s="218"/>
      <c r="E1586" s="217">
        <v>4</v>
      </c>
      <c r="F1586" s="106">
        <v>0.00274725274725275</v>
      </c>
      <c r="G1586" s="107">
        <v>4</v>
      </c>
      <c r="H1586" s="106">
        <v>1</v>
      </c>
      <c r="I1586" s="106"/>
      <c r="J1586" s="106"/>
      <c r="K1586" s="106"/>
      <c r="L1586" s="213">
        <v>-124</v>
      </c>
      <c r="M1586" s="213">
        <v>-105</v>
      </c>
      <c r="N1586" s="213">
        <v>-138.6</v>
      </c>
      <c r="O1586" s="213">
        <v>-126.428571428571</v>
      </c>
      <c r="P1586" s="108">
        <v>-2</v>
      </c>
      <c r="Q1586" s="108">
        <v>-1.66666666666667</v>
      </c>
      <c r="R1586" s="108">
        <v>-2.6</v>
      </c>
      <c r="S1586" s="108">
        <v>-3.85714285714286</v>
      </c>
      <c r="T1586" s="108">
        <v>3</v>
      </c>
      <c r="U1586" s="108">
        <v>2</v>
      </c>
      <c r="V1586" s="108">
        <v>2</v>
      </c>
      <c r="W1586" s="108">
        <v>0.857142857142857</v>
      </c>
      <c r="X1586" s="215">
        <v>-0.0784810126582278</v>
      </c>
      <c r="Y1586" s="215">
        <v>-0.333333333333333</v>
      </c>
      <c r="Z1586" s="215">
        <v>3</v>
      </c>
    </row>
    <row r="1587" ht="14.45" customHeight="1" spans="1:26">
      <c r="A1587" s="103">
        <v>45083</v>
      </c>
      <c r="B1587" s="104" t="s">
        <v>27</v>
      </c>
      <c r="C1587" s="218">
        <v>3208</v>
      </c>
      <c r="D1587" s="218"/>
      <c r="E1587" s="217">
        <v>59</v>
      </c>
      <c r="F1587" s="106">
        <v>0.0183915211970075</v>
      </c>
      <c r="G1587" s="107">
        <v>15</v>
      </c>
      <c r="H1587" s="106">
        <v>0.254237288135593</v>
      </c>
      <c r="I1587" s="106"/>
      <c r="J1587" s="106"/>
      <c r="K1587" s="106"/>
      <c r="L1587" s="213">
        <v>-384</v>
      </c>
      <c r="M1587" s="213">
        <v>-797</v>
      </c>
      <c r="N1587" s="213">
        <v>-939.2</v>
      </c>
      <c r="O1587" s="213">
        <v>-1098.42857142857</v>
      </c>
      <c r="P1587" s="108">
        <v>-6</v>
      </c>
      <c r="Q1587" s="108">
        <v>-22.3333333333333</v>
      </c>
      <c r="R1587" s="108">
        <v>-30.6</v>
      </c>
      <c r="S1587" s="108">
        <v>-46</v>
      </c>
      <c r="T1587" s="108">
        <v>4</v>
      </c>
      <c r="U1587" s="108">
        <v>-5.66666666666667</v>
      </c>
      <c r="V1587" s="108">
        <v>-8.8</v>
      </c>
      <c r="W1587" s="108">
        <v>-13.1428571428571</v>
      </c>
      <c r="X1587" s="215">
        <v>-0.106904231625835</v>
      </c>
      <c r="Y1587" s="215">
        <v>-0.0923076923076923</v>
      </c>
      <c r="Z1587" s="215">
        <v>0.363636363636364</v>
      </c>
    </row>
    <row r="1588" ht="14.45" customHeight="1" spans="1:26">
      <c r="A1588" s="103">
        <v>45083</v>
      </c>
      <c r="B1588" s="104" t="s">
        <v>28</v>
      </c>
      <c r="C1588" s="145">
        <v>0</v>
      </c>
      <c r="D1588" s="145"/>
      <c r="E1588" s="104">
        <v>0</v>
      </c>
      <c r="F1588" s="106">
        <v>0</v>
      </c>
      <c r="G1588" s="107">
        <v>0</v>
      </c>
      <c r="H1588" s="106">
        <v>0</v>
      </c>
      <c r="I1588" s="106"/>
      <c r="J1588" s="106"/>
      <c r="K1588" s="106"/>
      <c r="L1588" s="213">
        <v>0</v>
      </c>
      <c r="M1588" s="213">
        <v>0</v>
      </c>
      <c r="N1588" s="213">
        <v>0</v>
      </c>
      <c r="O1588" s="213">
        <v>0</v>
      </c>
      <c r="P1588" s="108">
        <v>0</v>
      </c>
      <c r="Q1588" s="108">
        <v>0</v>
      </c>
      <c r="R1588" s="108">
        <v>0</v>
      </c>
      <c r="S1588" s="108">
        <v>0</v>
      </c>
      <c r="T1588" s="108">
        <v>0</v>
      </c>
      <c r="U1588" s="108">
        <v>0</v>
      </c>
      <c r="V1588" s="108">
        <v>0</v>
      </c>
      <c r="W1588" s="108">
        <v>0</v>
      </c>
      <c r="X1588" s="215" t="e">
        <v>#DIV/0!</v>
      </c>
      <c r="Y1588" s="215" t="e">
        <v>#DIV/0!</v>
      </c>
      <c r="Z1588" s="215" t="e">
        <v>#DIV/0!</v>
      </c>
    </row>
    <row r="1589" ht="14.45" customHeight="1" spans="1:26">
      <c r="A1589" s="103">
        <v>45083</v>
      </c>
      <c r="B1589" s="104" t="s">
        <v>29</v>
      </c>
      <c r="C1589" s="145">
        <v>0</v>
      </c>
      <c r="D1589" s="145"/>
      <c r="E1589" s="104">
        <v>0</v>
      </c>
      <c r="F1589" s="106">
        <v>0</v>
      </c>
      <c r="G1589" s="107">
        <v>0</v>
      </c>
      <c r="H1589" s="106">
        <v>0</v>
      </c>
      <c r="I1589" s="106"/>
      <c r="J1589" s="106"/>
      <c r="K1589" s="106"/>
      <c r="L1589" s="213">
        <v>0</v>
      </c>
      <c r="M1589" s="213">
        <v>0</v>
      </c>
      <c r="N1589" s="213">
        <v>0</v>
      </c>
      <c r="O1589" s="213">
        <v>-0.285714285714286</v>
      </c>
      <c r="P1589" s="108">
        <v>0</v>
      </c>
      <c r="Q1589" s="108">
        <v>0</v>
      </c>
      <c r="R1589" s="108">
        <v>0</v>
      </c>
      <c r="S1589" s="108">
        <v>0</v>
      </c>
      <c r="T1589" s="108">
        <v>0</v>
      </c>
      <c r="U1589" s="108">
        <v>0</v>
      </c>
      <c r="V1589" s="108">
        <v>0</v>
      </c>
      <c r="W1589" s="108">
        <v>0</v>
      </c>
      <c r="X1589" s="215" t="e">
        <v>#DIV/0!</v>
      </c>
      <c r="Y1589" s="215" t="e">
        <v>#DIV/0!</v>
      </c>
      <c r="Z1589" s="215" t="e">
        <v>#DIV/0!</v>
      </c>
    </row>
    <row r="1590" ht="14.45" customHeight="1" spans="1:27">
      <c r="A1590" s="103">
        <v>45083</v>
      </c>
      <c r="B1590" s="104" t="s">
        <v>30</v>
      </c>
      <c r="C1590" s="145">
        <v>0</v>
      </c>
      <c r="D1590" s="145"/>
      <c r="E1590" s="104">
        <v>0</v>
      </c>
      <c r="F1590" s="106">
        <v>0</v>
      </c>
      <c r="G1590" s="107">
        <v>0</v>
      </c>
      <c r="H1590" s="106">
        <v>0</v>
      </c>
      <c r="I1590" s="106"/>
      <c r="J1590" s="106"/>
      <c r="K1590" s="106"/>
      <c r="L1590" s="213">
        <v>0</v>
      </c>
      <c r="M1590" s="213">
        <v>0</v>
      </c>
      <c r="N1590" s="213">
        <v>0</v>
      </c>
      <c r="O1590" s="213">
        <v>0</v>
      </c>
      <c r="P1590" s="108">
        <v>0</v>
      </c>
      <c r="Q1590" s="108">
        <v>0</v>
      </c>
      <c r="R1590" s="108">
        <v>0</v>
      </c>
      <c r="S1590" s="108">
        <v>0</v>
      </c>
      <c r="T1590" s="108">
        <v>0</v>
      </c>
      <c r="U1590" s="108">
        <v>0</v>
      </c>
      <c r="V1590" s="108">
        <v>0</v>
      </c>
      <c r="W1590" s="108">
        <v>0</v>
      </c>
      <c r="X1590" s="168"/>
      <c r="Y1590" s="168"/>
      <c r="Z1590" s="169"/>
      <c r="AA1590" s="169"/>
    </row>
    <row r="1591" ht="14.45" customHeight="1" spans="1:27">
      <c r="A1591" s="103">
        <v>45083</v>
      </c>
      <c r="B1591" s="104" t="s">
        <v>31</v>
      </c>
      <c r="C1591" s="145">
        <v>0</v>
      </c>
      <c r="D1591" s="145"/>
      <c r="E1591" s="104">
        <v>0</v>
      </c>
      <c r="F1591" s="106">
        <v>0</v>
      </c>
      <c r="G1591" s="107">
        <v>0</v>
      </c>
      <c r="H1591" s="106">
        <v>0</v>
      </c>
      <c r="I1591" s="106"/>
      <c r="J1591" s="106"/>
      <c r="K1591" s="106"/>
      <c r="L1591" s="213">
        <v>0</v>
      </c>
      <c r="M1591" s="213">
        <v>0</v>
      </c>
      <c r="N1591" s="213">
        <v>0</v>
      </c>
      <c r="O1591" s="213">
        <v>0</v>
      </c>
      <c r="P1591" s="108">
        <v>0</v>
      </c>
      <c r="Q1591" s="108">
        <v>0</v>
      </c>
      <c r="R1591" s="108">
        <v>0</v>
      </c>
      <c r="S1591" s="108">
        <v>0</v>
      </c>
      <c r="T1591" s="108">
        <v>0</v>
      </c>
      <c r="U1591" s="108">
        <v>0</v>
      </c>
      <c r="V1591" s="108">
        <v>0</v>
      </c>
      <c r="W1591" s="108">
        <v>0</v>
      </c>
      <c r="X1591" s="168"/>
      <c r="Y1591" s="168"/>
      <c r="Z1591" s="169"/>
      <c r="AA1591" s="169"/>
    </row>
    <row r="1592" ht="14.45" customHeight="1" spans="1:27">
      <c r="A1592" s="103">
        <v>45083</v>
      </c>
      <c r="B1592" s="104" t="s">
        <v>32</v>
      </c>
      <c r="C1592" s="145">
        <v>0</v>
      </c>
      <c r="D1592" s="145"/>
      <c r="E1592" s="104">
        <v>0</v>
      </c>
      <c r="F1592" s="106">
        <v>0</v>
      </c>
      <c r="G1592" s="107">
        <v>0</v>
      </c>
      <c r="H1592" s="106">
        <v>0</v>
      </c>
      <c r="I1592" s="106"/>
      <c r="J1592" s="106"/>
      <c r="K1592" s="106"/>
      <c r="L1592" s="213">
        <v>0</v>
      </c>
      <c r="M1592" s="213">
        <v>0</v>
      </c>
      <c r="N1592" s="213">
        <v>0</v>
      </c>
      <c r="O1592" s="213">
        <v>0</v>
      </c>
      <c r="P1592" s="108">
        <v>0</v>
      </c>
      <c r="Q1592" s="108">
        <v>0</v>
      </c>
      <c r="R1592" s="108">
        <v>0</v>
      </c>
      <c r="S1592" s="108">
        <v>0</v>
      </c>
      <c r="T1592" s="108">
        <v>0</v>
      </c>
      <c r="U1592" s="108">
        <v>0</v>
      </c>
      <c r="V1592" s="108">
        <v>0</v>
      </c>
      <c r="W1592" s="108">
        <v>0</v>
      </c>
      <c r="X1592" s="168"/>
      <c r="Y1592" s="168"/>
      <c r="Z1592" s="169"/>
      <c r="AA1592" s="169"/>
    </row>
    <row r="1593" spans="1:23">
      <c r="A1593" s="103">
        <v>45083</v>
      </c>
      <c r="B1593" s="104" t="s">
        <v>33</v>
      </c>
      <c r="C1593" s="145">
        <v>0</v>
      </c>
      <c r="D1593" s="145"/>
      <c r="E1593" s="104">
        <v>0</v>
      </c>
      <c r="F1593" s="106">
        <v>0</v>
      </c>
      <c r="G1593" s="107">
        <v>0</v>
      </c>
      <c r="H1593" s="106">
        <v>0</v>
      </c>
      <c r="I1593" s="106"/>
      <c r="J1593" s="106"/>
      <c r="K1593" s="106"/>
      <c r="L1593" s="213">
        <v>0</v>
      </c>
      <c r="M1593" s="213">
        <v>0</v>
      </c>
      <c r="N1593" s="213">
        <v>0</v>
      </c>
      <c r="O1593" s="213">
        <v>0</v>
      </c>
      <c r="P1593" s="108">
        <v>0</v>
      </c>
      <c r="Q1593" s="108">
        <v>0</v>
      </c>
      <c r="R1593" s="108">
        <v>0</v>
      </c>
      <c r="S1593" s="108">
        <v>0</v>
      </c>
      <c r="T1593" s="108">
        <v>0</v>
      </c>
      <c r="U1593" s="108">
        <v>0</v>
      </c>
      <c r="V1593" s="108">
        <v>0</v>
      </c>
      <c r="W1593" s="108">
        <v>0</v>
      </c>
    </row>
    <row r="1594" spans="1:23">
      <c r="A1594" s="103">
        <v>45083</v>
      </c>
      <c r="B1594" s="104" t="s">
        <v>34</v>
      </c>
      <c r="C1594" s="145">
        <v>0</v>
      </c>
      <c r="D1594" s="145"/>
      <c r="E1594" s="104">
        <v>0</v>
      </c>
      <c r="F1594" s="106">
        <v>0</v>
      </c>
      <c r="G1594" s="107">
        <v>0</v>
      </c>
      <c r="H1594" s="106">
        <v>0</v>
      </c>
      <c r="I1594" s="106"/>
      <c r="J1594" s="106"/>
      <c r="K1594" s="106"/>
      <c r="L1594" s="213">
        <v>0</v>
      </c>
      <c r="M1594" s="213">
        <v>0</v>
      </c>
      <c r="N1594" s="213">
        <v>0</v>
      </c>
      <c r="O1594" s="213">
        <v>0</v>
      </c>
      <c r="P1594" s="108">
        <v>0</v>
      </c>
      <c r="Q1594" s="108">
        <v>-0.333333333333333</v>
      </c>
      <c r="R1594" s="108">
        <v>-0.2</v>
      </c>
      <c r="S1594" s="108">
        <v>-0.142857142857143</v>
      </c>
      <c r="T1594" s="108">
        <v>0</v>
      </c>
      <c r="U1594" s="108">
        <v>-0.333333333333333</v>
      </c>
      <c r="V1594" s="108">
        <v>-0.2</v>
      </c>
      <c r="W1594" s="108">
        <v>-0.142857142857143</v>
      </c>
    </row>
    <row r="1595" spans="1:23">
      <c r="A1595" s="103">
        <v>45083</v>
      </c>
      <c r="B1595" s="104" t="s">
        <v>35</v>
      </c>
      <c r="C1595" s="145">
        <v>0</v>
      </c>
      <c r="D1595" s="145"/>
      <c r="E1595" s="104">
        <v>0</v>
      </c>
      <c r="F1595" s="106">
        <v>0</v>
      </c>
      <c r="G1595" s="107">
        <v>0</v>
      </c>
      <c r="H1595" s="106">
        <v>0</v>
      </c>
      <c r="I1595" s="106"/>
      <c r="J1595" s="106"/>
      <c r="K1595" s="106"/>
      <c r="L1595" s="213">
        <v>0</v>
      </c>
      <c r="M1595" s="213">
        <v>0</v>
      </c>
      <c r="N1595" s="213">
        <v>0</v>
      </c>
      <c r="O1595" s="213">
        <v>0</v>
      </c>
      <c r="P1595" s="108">
        <v>0</v>
      </c>
      <c r="Q1595" s="108">
        <v>0</v>
      </c>
      <c r="R1595" s="108">
        <v>0</v>
      </c>
      <c r="S1595" s="108">
        <v>0</v>
      </c>
      <c r="T1595" s="108">
        <v>0</v>
      </c>
      <c r="U1595" s="108">
        <v>0</v>
      </c>
      <c r="V1595" s="108">
        <v>0</v>
      </c>
      <c r="W1595" s="108">
        <v>0</v>
      </c>
    </row>
    <row r="1596" spans="1:23">
      <c r="A1596" s="103">
        <v>45083</v>
      </c>
      <c r="B1596" s="104" t="s">
        <v>36</v>
      </c>
      <c r="C1596" s="145">
        <v>0</v>
      </c>
      <c r="D1596" s="145"/>
      <c r="E1596" s="104">
        <v>0</v>
      </c>
      <c r="F1596" s="106">
        <v>0</v>
      </c>
      <c r="G1596" s="107">
        <v>0</v>
      </c>
      <c r="H1596" s="106">
        <v>0</v>
      </c>
      <c r="I1596" s="106"/>
      <c r="J1596" s="106"/>
      <c r="K1596" s="106"/>
      <c r="L1596" s="213">
        <v>0</v>
      </c>
      <c r="M1596" s="213">
        <v>0</v>
      </c>
      <c r="N1596" s="213">
        <v>0</v>
      </c>
      <c r="O1596" s="213">
        <v>0</v>
      </c>
      <c r="P1596" s="108">
        <v>0</v>
      </c>
      <c r="Q1596" s="108">
        <v>0</v>
      </c>
      <c r="R1596" s="108">
        <v>0</v>
      </c>
      <c r="S1596" s="108">
        <v>0</v>
      </c>
      <c r="T1596" s="108">
        <v>0</v>
      </c>
      <c r="U1596" s="108">
        <v>0</v>
      </c>
      <c r="V1596" s="108">
        <v>0</v>
      </c>
      <c r="W1596" s="108">
        <v>0</v>
      </c>
    </row>
    <row r="1597" spans="1:23">
      <c r="A1597" s="103">
        <v>45083</v>
      </c>
      <c r="B1597" s="104" t="s">
        <v>37</v>
      </c>
      <c r="C1597" s="145">
        <v>0</v>
      </c>
      <c r="D1597" s="145"/>
      <c r="E1597" s="104">
        <v>0</v>
      </c>
      <c r="F1597" s="106">
        <v>0</v>
      </c>
      <c r="G1597" s="107">
        <v>0</v>
      </c>
      <c r="H1597" s="106">
        <v>0</v>
      </c>
      <c r="I1597" s="106"/>
      <c r="J1597" s="106"/>
      <c r="K1597" s="106"/>
      <c r="L1597" s="213">
        <v>0</v>
      </c>
      <c r="M1597" s="213">
        <v>0</v>
      </c>
      <c r="N1597" s="213">
        <v>0</v>
      </c>
      <c r="O1597" s="213">
        <v>0</v>
      </c>
      <c r="P1597" s="108">
        <v>-2</v>
      </c>
      <c r="Q1597" s="108">
        <v>-0.666666666666667</v>
      </c>
      <c r="R1597" s="108">
        <v>-0.4</v>
      </c>
      <c r="S1597" s="108">
        <v>-0.285714285714286</v>
      </c>
      <c r="T1597" s="108">
        <v>0</v>
      </c>
      <c r="U1597" s="108">
        <v>0</v>
      </c>
      <c r="V1597" s="108">
        <v>0</v>
      </c>
      <c r="W1597" s="108">
        <v>0</v>
      </c>
    </row>
    <row r="1598" spans="1:23">
      <c r="A1598" s="103">
        <v>45083</v>
      </c>
      <c r="B1598" s="104" t="s">
        <v>38</v>
      </c>
      <c r="C1598" s="145">
        <v>0</v>
      </c>
      <c r="D1598" s="145"/>
      <c r="E1598" s="104">
        <v>0</v>
      </c>
      <c r="F1598" s="106">
        <v>0</v>
      </c>
      <c r="G1598" s="107">
        <v>0</v>
      </c>
      <c r="H1598" s="106">
        <v>0</v>
      </c>
      <c r="I1598" s="106"/>
      <c r="J1598" s="106"/>
      <c r="K1598" s="106"/>
      <c r="L1598" s="213">
        <v>0</v>
      </c>
      <c r="M1598" s="213">
        <v>0</v>
      </c>
      <c r="N1598" s="213">
        <v>0</v>
      </c>
      <c r="O1598" s="213">
        <v>0</v>
      </c>
      <c r="P1598" s="108">
        <v>0</v>
      </c>
      <c r="Q1598" s="108">
        <v>0</v>
      </c>
      <c r="R1598" s="108">
        <v>0</v>
      </c>
      <c r="S1598" s="108">
        <v>0</v>
      </c>
      <c r="T1598" s="108">
        <v>0</v>
      </c>
      <c r="U1598" s="108">
        <v>0</v>
      </c>
      <c r="V1598" s="108">
        <v>0</v>
      </c>
      <c r="W1598" s="108">
        <v>0</v>
      </c>
    </row>
    <row r="1599" spans="1:23">
      <c r="A1599" s="103">
        <v>45083</v>
      </c>
      <c r="B1599" s="111" t="s">
        <v>39</v>
      </c>
      <c r="C1599" s="112">
        <v>22500</v>
      </c>
      <c r="D1599" s="112"/>
      <c r="E1599" s="112">
        <v>494</v>
      </c>
      <c r="F1599" s="113">
        <v>0.0219555555555556</v>
      </c>
      <c r="G1599" s="112">
        <v>147</v>
      </c>
      <c r="H1599" s="113">
        <v>0.297570850202429</v>
      </c>
      <c r="I1599" s="113"/>
      <c r="J1599" s="113"/>
      <c r="K1599" s="113"/>
      <c r="L1599" s="213"/>
      <c r="M1599" s="213"/>
      <c r="N1599" s="213"/>
      <c r="O1599" s="213"/>
      <c r="P1599" s="108"/>
      <c r="Q1599" s="108"/>
      <c r="R1599" s="108"/>
      <c r="S1599" s="108"/>
      <c r="T1599" s="108"/>
      <c r="U1599" s="108"/>
      <c r="V1599" s="108"/>
      <c r="W1599" s="108"/>
    </row>
    <row r="1600" spans="1:23">
      <c r="A1600" s="103">
        <v>45084</v>
      </c>
      <c r="B1600" s="104" t="s">
        <v>17</v>
      </c>
      <c r="C1600" s="216">
        <v>3</v>
      </c>
      <c r="D1600" s="216"/>
      <c r="E1600" s="217">
        <v>25</v>
      </c>
      <c r="F1600" s="106">
        <v>8.33333333333333</v>
      </c>
      <c r="G1600" s="107">
        <v>4</v>
      </c>
      <c r="H1600" s="106">
        <v>0.16</v>
      </c>
      <c r="I1600" s="106"/>
      <c r="J1600" s="106"/>
      <c r="K1600" s="106"/>
      <c r="L1600" s="213">
        <v>1</v>
      </c>
      <c r="M1600" s="213">
        <v>1</v>
      </c>
      <c r="N1600" s="213">
        <v>0.8</v>
      </c>
      <c r="O1600" s="213">
        <v>-0.285714285714286</v>
      </c>
      <c r="P1600" s="108">
        <v>-6</v>
      </c>
      <c r="Q1600" s="108">
        <v>2</v>
      </c>
      <c r="R1600" s="108">
        <v>6.4</v>
      </c>
      <c r="S1600" s="108">
        <v>7.85714285714286</v>
      </c>
      <c r="T1600" s="108">
        <v>-5</v>
      </c>
      <c r="U1600" s="108">
        <v>-1</v>
      </c>
      <c r="V1600" s="108">
        <v>-0.2</v>
      </c>
      <c r="W1600" s="108">
        <v>0.142857142857143</v>
      </c>
    </row>
    <row r="1601" spans="1:23">
      <c r="A1601" s="103">
        <v>45084</v>
      </c>
      <c r="B1601" s="104" t="s">
        <v>19</v>
      </c>
      <c r="C1601" s="216">
        <v>502</v>
      </c>
      <c r="D1601" s="216"/>
      <c r="E1601" s="217">
        <v>15</v>
      </c>
      <c r="F1601" s="106">
        <v>0.0298804780876494</v>
      </c>
      <c r="G1601" s="107">
        <v>8</v>
      </c>
      <c r="H1601" s="106">
        <v>0.533333333333333</v>
      </c>
      <c r="I1601" s="106"/>
      <c r="J1601" s="106"/>
      <c r="K1601" s="106"/>
      <c r="L1601" s="213">
        <v>115</v>
      </c>
      <c r="M1601" s="213">
        <v>110</v>
      </c>
      <c r="N1601" s="213">
        <v>96.4</v>
      </c>
      <c r="O1601" s="213">
        <v>122</v>
      </c>
      <c r="P1601" s="108">
        <v>1</v>
      </c>
      <c r="Q1601" s="108">
        <v>2.33333333333333</v>
      </c>
      <c r="R1601" s="108">
        <v>3.2</v>
      </c>
      <c r="S1601" s="108">
        <v>3.57142857142857</v>
      </c>
      <c r="T1601" s="108">
        <v>-1</v>
      </c>
      <c r="U1601" s="108">
        <v>3</v>
      </c>
      <c r="V1601" s="108">
        <v>3.2</v>
      </c>
      <c r="W1601" s="115">
        <v>3.85714285714286</v>
      </c>
    </row>
    <row r="1602" spans="1:23">
      <c r="A1602" s="103">
        <v>45084</v>
      </c>
      <c r="B1602" s="104" t="s">
        <v>21</v>
      </c>
      <c r="C1602" s="218">
        <v>272</v>
      </c>
      <c r="D1602" s="218"/>
      <c r="E1602" s="217">
        <v>16</v>
      </c>
      <c r="F1602" s="106">
        <v>0.0588235294117647</v>
      </c>
      <c r="G1602" s="107">
        <v>7</v>
      </c>
      <c r="H1602" s="106">
        <v>0.4375</v>
      </c>
      <c r="I1602" s="106"/>
      <c r="J1602" s="106"/>
      <c r="K1602" s="106"/>
      <c r="L1602" s="213">
        <v>-41</v>
      </c>
      <c r="M1602" s="213">
        <v>-8.66666666666669</v>
      </c>
      <c r="N1602" s="213">
        <v>-2.60000000000002</v>
      </c>
      <c r="O1602" s="213">
        <v>-6.14285714285717</v>
      </c>
      <c r="P1602" s="108">
        <v>0</v>
      </c>
      <c r="Q1602" s="108">
        <v>-0.666666666666668</v>
      </c>
      <c r="R1602" s="108">
        <v>-0.399999999999999</v>
      </c>
      <c r="S1602" s="108">
        <v>-0.857142857142858</v>
      </c>
      <c r="T1602" s="108">
        <v>3</v>
      </c>
      <c r="U1602" s="108">
        <v>1.33333333333333</v>
      </c>
      <c r="V1602" s="108">
        <v>1.2</v>
      </c>
      <c r="W1602" s="108">
        <v>1.42857142857143</v>
      </c>
    </row>
    <row r="1603" spans="1:23">
      <c r="A1603" s="103">
        <v>45084</v>
      </c>
      <c r="B1603" s="104" t="s">
        <v>22</v>
      </c>
      <c r="C1603" s="218">
        <v>4553</v>
      </c>
      <c r="D1603" s="218"/>
      <c r="E1603" s="217">
        <v>120</v>
      </c>
      <c r="F1603" s="106">
        <v>0.0263562486272787</v>
      </c>
      <c r="G1603" s="107">
        <v>47</v>
      </c>
      <c r="H1603" s="106">
        <v>0.391666666666667</v>
      </c>
      <c r="I1603" s="106"/>
      <c r="J1603" s="106"/>
      <c r="K1603" s="106"/>
      <c r="L1603" s="213">
        <v>85</v>
      </c>
      <c r="M1603" s="213">
        <v>214</v>
      </c>
      <c r="N1603" s="213">
        <v>382.6</v>
      </c>
      <c r="O1603" s="213">
        <v>551</v>
      </c>
      <c r="P1603" s="108">
        <v>5</v>
      </c>
      <c r="Q1603" s="108">
        <v>8.33333333333333</v>
      </c>
      <c r="R1603" s="108">
        <v>6.2</v>
      </c>
      <c r="S1603" s="115">
        <v>6.71428571428571</v>
      </c>
      <c r="T1603" s="108">
        <v>6</v>
      </c>
      <c r="U1603" s="108">
        <v>7.66666666666666</v>
      </c>
      <c r="V1603" s="108">
        <v>5.4</v>
      </c>
      <c r="W1603" s="117">
        <v>4.71428571428572</v>
      </c>
    </row>
    <row r="1604" spans="1:23">
      <c r="A1604" s="103">
        <v>45084</v>
      </c>
      <c r="B1604" s="104" t="s">
        <v>23</v>
      </c>
      <c r="C1604" s="218">
        <v>1679</v>
      </c>
      <c r="D1604" s="218"/>
      <c r="E1604" s="217">
        <v>10</v>
      </c>
      <c r="F1604" s="106">
        <v>0.00595592614651578</v>
      </c>
      <c r="G1604" s="107">
        <v>4</v>
      </c>
      <c r="H1604" s="106">
        <v>0.4</v>
      </c>
      <c r="I1604" s="106"/>
      <c r="J1604" s="106"/>
      <c r="K1604" s="106"/>
      <c r="L1604" s="213">
        <v>15</v>
      </c>
      <c r="M1604" s="213">
        <v>-37.3333333333333</v>
      </c>
      <c r="N1604" s="213">
        <v>-57.5999999999999</v>
      </c>
      <c r="O1604" s="213">
        <v>20.1428571428571</v>
      </c>
      <c r="P1604" s="108">
        <v>2</v>
      </c>
      <c r="Q1604" s="108">
        <v>1.66666666666667</v>
      </c>
      <c r="R1604" s="108">
        <v>1.8</v>
      </c>
      <c r="S1604" s="108">
        <v>1.14285714285714</v>
      </c>
      <c r="T1604" s="108">
        <v>2</v>
      </c>
      <c r="U1604" s="116">
        <v>1</v>
      </c>
      <c r="V1604" s="108">
        <v>1</v>
      </c>
      <c r="W1604" s="108">
        <v>0.428571428571428</v>
      </c>
    </row>
    <row r="1605" spans="1:23">
      <c r="A1605" s="103">
        <v>45084</v>
      </c>
      <c r="B1605" s="104" t="s">
        <v>24</v>
      </c>
      <c r="C1605" s="218">
        <v>8673</v>
      </c>
      <c r="D1605" s="218"/>
      <c r="E1605" s="217">
        <v>186</v>
      </c>
      <c r="F1605" s="106">
        <v>0.0214458664821861</v>
      </c>
      <c r="G1605" s="107">
        <v>56</v>
      </c>
      <c r="H1605" s="106">
        <v>0.301075268817204</v>
      </c>
      <c r="I1605" s="106"/>
      <c r="J1605" s="106"/>
      <c r="K1605" s="106"/>
      <c r="L1605" s="213">
        <v>33</v>
      </c>
      <c r="M1605" s="213">
        <v>680.333333333333</v>
      </c>
      <c r="N1605" s="213">
        <v>2061.2</v>
      </c>
      <c r="O1605" s="213">
        <v>2720.57142857143</v>
      </c>
      <c r="P1605" s="115">
        <v>-33</v>
      </c>
      <c r="Q1605" s="115">
        <v>3</v>
      </c>
      <c r="R1605" s="115">
        <v>1.80000000000001</v>
      </c>
      <c r="S1605" s="115">
        <v>14.8571428571429</v>
      </c>
      <c r="T1605" s="115">
        <v>3</v>
      </c>
      <c r="U1605" s="115">
        <v>8.66666666666666</v>
      </c>
      <c r="V1605" s="115">
        <v>6.8</v>
      </c>
      <c r="W1605" s="115">
        <v>8.42857142857143</v>
      </c>
    </row>
    <row r="1606" spans="1:23">
      <c r="A1606" s="103">
        <v>45084</v>
      </c>
      <c r="B1606" s="104" t="s">
        <v>25</v>
      </c>
      <c r="C1606" s="218">
        <v>2337</v>
      </c>
      <c r="D1606" s="218"/>
      <c r="E1606" s="217">
        <v>35</v>
      </c>
      <c r="F1606" s="106">
        <v>0.0149764655541292</v>
      </c>
      <c r="G1606" s="107">
        <v>18</v>
      </c>
      <c r="H1606" s="106">
        <v>0.514285714285714</v>
      </c>
      <c r="I1606" s="106"/>
      <c r="J1606" s="106"/>
      <c r="K1606" s="106"/>
      <c r="L1606" s="213">
        <v>-25</v>
      </c>
      <c r="M1606" s="213">
        <v>-175.666666666667</v>
      </c>
      <c r="N1606" s="213">
        <v>-499</v>
      </c>
      <c r="O1606" s="213">
        <v>-578.571428571428</v>
      </c>
      <c r="P1606" s="116">
        <v>7</v>
      </c>
      <c r="Q1606" s="115">
        <v>7.33333333333333</v>
      </c>
      <c r="R1606" s="115">
        <v>4.2</v>
      </c>
      <c r="S1606" s="115">
        <v>4</v>
      </c>
      <c r="T1606" s="108">
        <v>8</v>
      </c>
      <c r="U1606" s="108">
        <v>6</v>
      </c>
      <c r="V1606" s="108">
        <v>4.8</v>
      </c>
      <c r="W1606" s="108">
        <v>5.14285714285714</v>
      </c>
    </row>
    <row r="1607" spans="1:23">
      <c r="A1607" s="103">
        <v>45084</v>
      </c>
      <c r="B1607" s="104" t="s">
        <v>26</v>
      </c>
      <c r="C1607" s="218">
        <v>1457</v>
      </c>
      <c r="D1607" s="218"/>
      <c r="E1607" s="217">
        <v>4</v>
      </c>
      <c r="F1607" s="106">
        <v>0.00274536719286205</v>
      </c>
      <c r="G1607" s="107">
        <v>3</v>
      </c>
      <c r="H1607" s="106">
        <v>0.75</v>
      </c>
      <c r="I1607" s="106"/>
      <c r="J1607" s="106"/>
      <c r="K1607" s="106"/>
      <c r="L1607" s="213">
        <v>1</v>
      </c>
      <c r="M1607" s="213">
        <v>-67</v>
      </c>
      <c r="N1607" s="213">
        <v>-104.4</v>
      </c>
      <c r="O1607" s="213">
        <v>-120.285714285714</v>
      </c>
      <c r="P1607" s="108">
        <v>0</v>
      </c>
      <c r="Q1607" s="108">
        <v>-1.66666666666667</v>
      </c>
      <c r="R1607" s="108">
        <v>-2.2</v>
      </c>
      <c r="S1607" s="108">
        <v>-2.57142857142857</v>
      </c>
      <c r="T1607" s="108">
        <v>-1</v>
      </c>
      <c r="U1607" s="108">
        <v>1</v>
      </c>
      <c r="V1607" s="108">
        <v>0.8</v>
      </c>
      <c r="W1607" s="108">
        <v>0.714285714285714</v>
      </c>
    </row>
    <row r="1608" spans="1:23">
      <c r="A1608" s="103">
        <v>45084</v>
      </c>
      <c r="B1608" s="104" t="s">
        <v>27</v>
      </c>
      <c r="C1608" s="218">
        <v>3143</v>
      </c>
      <c r="D1608" s="218"/>
      <c r="E1608" s="217">
        <v>60</v>
      </c>
      <c r="F1608" s="106">
        <v>0.0190900413617563</v>
      </c>
      <c r="G1608" s="107">
        <v>24</v>
      </c>
      <c r="H1608" s="106">
        <v>0.4</v>
      </c>
      <c r="I1608" s="106"/>
      <c r="J1608" s="106"/>
      <c r="K1608" s="106"/>
      <c r="L1608" s="213">
        <v>-65</v>
      </c>
      <c r="M1608" s="213">
        <v>-499</v>
      </c>
      <c r="N1608" s="213">
        <v>-766.2</v>
      </c>
      <c r="O1608" s="213">
        <v>-906</v>
      </c>
      <c r="P1608" s="108">
        <v>1</v>
      </c>
      <c r="Q1608" s="108">
        <v>-11.3333333333333</v>
      </c>
      <c r="R1608" s="108">
        <v>-18.2</v>
      </c>
      <c r="S1608" s="108">
        <v>-33</v>
      </c>
      <c r="T1608" s="108">
        <v>9</v>
      </c>
      <c r="U1608" s="108">
        <v>6.66666666666667</v>
      </c>
      <c r="V1608" s="108">
        <v>4</v>
      </c>
      <c r="W1608" s="108">
        <v>-0.142857142857142</v>
      </c>
    </row>
    <row r="1609" spans="1:23">
      <c r="A1609" s="103">
        <v>45084</v>
      </c>
      <c r="B1609" s="104" t="s">
        <v>28</v>
      </c>
      <c r="C1609" s="145">
        <v>0</v>
      </c>
      <c r="D1609" s="145"/>
      <c r="E1609" s="104">
        <v>0</v>
      </c>
      <c r="F1609" s="106">
        <v>0</v>
      </c>
      <c r="G1609" s="107">
        <v>0</v>
      </c>
      <c r="H1609" s="106">
        <v>0</v>
      </c>
      <c r="I1609" s="106"/>
      <c r="J1609" s="106"/>
      <c r="K1609" s="106"/>
      <c r="L1609" s="213">
        <v>0</v>
      </c>
      <c r="M1609" s="213">
        <v>0</v>
      </c>
      <c r="N1609" s="213">
        <v>0</v>
      </c>
      <c r="O1609" s="213">
        <v>0</v>
      </c>
      <c r="P1609" s="108">
        <v>0</v>
      </c>
      <c r="Q1609" s="108">
        <v>0</v>
      </c>
      <c r="R1609" s="108">
        <v>0</v>
      </c>
      <c r="S1609" s="108">
        <v>0</v>
      </c>
      <c r="T1609" s="108">
        <v>0</v>
      </c>
      <c r="U1609" s="108">
        <v>0</v>
      </c>
      <c r="V1609" s="108">
        <v>0</v>
      </c>
      <c r="W1609" s="108">
        <v>0</v>
      </c>
    </row>
    <row r="1610" spans="1:23">
      <c r="A1610" s="103">
        <v>45084</v>
      </c>
      <c r="B1610" s="104" t="s">
        <v>29</v>
      </c>
      <c r="C1610" s="145">
        <v>0</v>
      </c>
      <c r="D1610" s="145"/>
      <c r="E1610" s="104">
        <v>0</v>
      </c>
      <c r="F1610" s="106">
        <v>0</v>
      </c>
      <c r="G1610" s="107">
        <v>0</v>
      </c>
      <c r="H1610" s="106">
        <v>0</v>
      </c>
      <c r="I1610" s="106"/>
      <c r="J1610" s="106"/>
      <c r="K1610" s="106"/>
      <c r="L1610" s="213">
        <v>0</v>
      </c>
      <c r="M1610" s="213">
        <v>0</v>
      </c>
      <c r="N1610" s="213">
        <v>0</v>
      </c>
      <c r="O1610" s="213">
        <v>0</v>
      </c>
      <c r="P1610" s="108">
        <v>0</v>
      </c>
      <c r="Q1610" s="108">
        <v>0</v>
      </c>
      <c r="R1610" s="108">
        <v>0</v>
      </c>
      <c r="S1610" s="108">
        <v>0</v>
      </c>
      <c r="T1610" s="108">
        <v>0</v>
      </c>
      <c r="U1610" s="108">
        <v>0</v>
      </c>
      <c r="V1610" s="108">
        <v>0</v>
      </c>
      <c r="W1610" s="108">
        <v>0</v>
      </c>
    </row>
    <row r="1611" spans="1:23">
      <c r="A1611" s="103">
        <v>45084</v>
      </c>
      <c r="B1611" s="104" t="s">
        <v>30</v>
      </c>
      <c r="C1611" s="145">
        <v>0</v>
      </c>
      <c r="D1611" s="145"/>
      <c r="E1611" s="104">
        <v>0</v>
      </c>
      <c r="F1611" s="106">
        <v>0</v>
      </c>
      <c r="G1611" s="107">
        <v>0</v>
      </c>
      <c r="H1611" s="106">
        <v>0</v>
      </c>
      <c r="I1611" s="106"/>
      <c r="J1611" s="106"/>
      <c r="K1611" s="106"/>
      <c r="L1611" s="213">
        <v>0</v>
      </c>
      <c r="M1611" s="213">
        <v>0</v>
      </c>
      <c r="N1611" s="213">
        <v>0</v>
      </c>
      <c r="O1611" s="213">
        <v>0</v>
      </c>
      <c r="P1611" s="108">
        <v>0</v>
      </c>
      <c r="Q1611" s="108">
        <v>0</v>
      </c>
      <c r="R1611" s="108">
        <v>0</v>
      </c>
      <c r="S1611" s="108">
        <v>0</v>
      </c>
      <c r="T1611" s="108">
        <v>0</v>
      </c>
      <c r="U1611" s="108">
        <v>0</v>
      </c>
      <c r="V1611" s="108">
        <v>0</v>
      </c>
      <c r="W1611" s="108">
        <v>0</v>
      </c>
    </row>
    <row r="1612" spans="1:23">
      <c r="A1612" s="103">
        <v>45084</v>
      </c>
      <c r="B1612" s="104" t="s">
        <v>31</v>
      </c>
      <c r="C1612" s="145">
        <v>0</v>
      </c>
      <c r="D1612" s="145"/>
      <c r="E1612" s="104">
        <v>0</v>
      </c>
      <c r="F1612" s="106">
        <v>0</v>
      </c>
      <c r="G1612" s="107">
        <v>0</v>
      </c>
      <c r="H1612" s="106">
        <v>0</v>
      </c>
      <c r="I1612" s="106"/>
      <c r="J1612" s="106"/>
      <c r="K1612" s="106"/>
      <c r="L1612" s="213">
        <v>0</v>
      </c>
      <c r="M1612" s="213">
        <v>0</v>
      </c>
      <c r="N1612" s="213">
        <v>0</v>
      </c>
      <c r="O1612" s="213">
        <v>0</v>
      </c>
      <c r="P1612" s="108">
        <v>0</v>
      </c>
      <c r="Q1612" s="108">
        <v>0</v>
      </c>
      <c r="R1612" s="108">
        <v>0</v>
      </c>
      <c r="S1612" s="108">
        <v>0</v>
      </c>
      <c r="T1612" s="108">
        <v>0</v>
      </c>
      <c r="U1612" s="108">
        <v>0</v>
      </c>
      <c r="V1612" s="108">
        <v>0</v>
      </c>
      <c r="W1612" s="108">
        <v>0</v>
      </c>
    </row>
    <row r="1613" spans="1:23">
      <c r="A1613" s="103">
        <v>45084</v>
      </c>
      <c r="B1613" s="104" t="s">
        <v>32</v>
      </c>
      <c r="C1613" s="145">
        <v>0</v>
      </c>
      <c r="D1613" s="145"/>
      <c r="E1613" s="104">
        <v>0</v>
      </c>
      <c r="F1613" s="106">
        <v>0</v>
      </c>
      <c r="G1613" s="107">
        <v>0</v>
      </c>
      <c r="H1613" s="106">
        <v>0</v>
      </c>
      <c r="I1613" s="106"/>
      <c r="J1613" s="106"/>
      <c r="K1613" s="106"/>
      <c r="L1613" s="213">
        <v>0</v>
      </c>
      <c r="M1613" s="213">
        <v>0</v>
      </c>
      <c r="N1613" s="213">
        <v>0</v>
      </c>
      <c r="O1613" s="213">
        <v>0</v>
      </c>
      <c r="P1613" s="108">
        <v>0</v>
      </c>
      <c r="Q1613" s="108">
        <v>0</v>
      </c>
      <c r="R1613" s="108">
        <v>0</v>
      </c>
      <c r="S1613" s="108">
        <v>0</v>
      </c>
      <c r="T1613" s="108">
        <v>0</v>
      </c>
      <c r="U1613" s="108">
        <v>0</v>
      </c>
      <c r="V1613" s="108">
        <v>0</v>
      </c>
      <c r="W1613" s="108">
        <v>0</v>
      </c>
    </row>
    <row r="1614" spans="1:23">
      <c r="A1614" s="103">
        <v>45084</v>
      </c>
      <c r="B1614" s="104" t="s">
        <v>33</v>
      </c>
      <c r="C1614" s="145">
        <v>0</v>
      </c>
      <c r="D1614" s="145"/>
      <c r="E1614" s="104">
        <v>0</v>
      </c>
      <c r="F1614" s="106">
        <v>0</v>
      </c>
      <c r="G1614" s="107">
        <v>0</v>
      </c>
      <c r="H1614" s="106">
        <v>0</v>
      </c>
      <c r="I1614" s="106"/>
      <c r="J1614" s="106"/>
      <c r="K1614" s="106"/>
      <c r="L1614" s="213">
        <v>0</v>
      </c>
      <c r="M1614" s="213">
        <v>0</v>
      </c>
      <c r="N1614" s="213">
        <v>0</v>
      </c>
      <c r="O1614" s="213">
        <v>0</v>
      </c>
      <c r="P1614" s="108">
        <v>0</v>
      </c>
      <c r="Q1614" s="108">
        <v>0</v>
      </c>
      <c r="R1614" s="108">
        <v>0</v>
      </c>
      <c r="S1614" s="108">
        <v>0</v>
      </c>
      <c r="T1614" s="108">
        <v>0</v>
      </c>
      <c r="U1614" s="108">
        <v>0</v>
      </c>
      <c r="V1614" s="108">
        <v>0</v>
      </c>
      <c r="W1614" s="108">
        <v>0</v>
      </c>
    </row>
    <row r="1615" spans="1:23">
      <c r="A1615" s="103">
        <v>45084</v>
      </c>
      <c r="B1615" s="104" t="s">
        <v>34</v>
      </c>
      <c r="C1615" s="145">
        <v>0</v>
      </c>
      <c r="D1615" s="145"/>
      <c r="E1615" s="104">
        <v>0</v>
      </c>
      <c r="F1615" s="106">
        <v>0</v>
      </c>
      <c r="G1615" s="107">
        <v>0</v>
      </c>
      <c r="H1615" s="106">
        <v>0</v>
      </c>
      <c r="I1615" s="106"/>
      <c r="J1615" s="106"/>
      <c r="K1615" s="106"/>
      <c r="L1615" s="213">
        <v>0</v>
      </c>
      <c r="M1615" s="213">
        <v>0</v>
      </c>
      <c r="N1615" s="213">
        <v>0</v>
      </c>
      <c r="O1615" s="213">
        <v>0</v>
      </c>
      <c r="P1615" s="108">
        <v>0</v>
      </c>
      <c r="Q1615" s="108">
        <v>-0.333333333333333</v>
      </c>
      <c r="R1615" s="108">
        <v>-0.2</v>
      </c>
      <c r="S1615" s="108">
        <v>-0.142857142857143</v>
      </c>
      <c r="T1615" s="108">
        <v>0</v>
      </c>
      <c r="U1615" s="108">
        <v>-0.333333333333333</v>
      </c>
      <c r="V1615" s="108">
        <v>-0.2</v>
      </c>
      <c r="W1615" s="108">
        <v>-0.142857142857143</v>
      </c>
    </row>
    <row r="1616" spans="1:23">
      <c r="A1616" s="103">
        <v>45084</v>
      </c>
      <c r="B1616" s="104" t="s">
        <v>35</v>
      </c>
      <c r="C1616" s="145">
        <v>0</v>
      </c>
      <c r="D1616" s="145"/>
      <c r="E1616" s="104">
        <v>0</v>
      </c>
      <c r="F1616" s="106">
        <v>0</v>
      </c>
      <c r="G1616" s="107">
        <v>0</v>
      </c>
      <c r="H1616" s="106">
        <v>0</v>
      </c>
      <c r="I1616" s="106"/>
      <c r="J1616" s="106"/>
      <c r="K1616" s="106"/>
      <c r="L1616" s="213">
        <v>0</v>
      </c>
      <c r="M1616" s="213">
        <v>0</v>
      </c>
      <c r="N1616" s="213">
        <v>0</v>
      </c>
      <c r="O1616" s="213">
        <v>0</v>
      </c>
      <c r="P1616" s="108">
        <v>0</v>
      </c>
      <c r="Q1616" s="108">
        <v>0</v>
      </c>
      <c r="R1616" s="108">
        <v>0</v>
      </c>
      <c r="S1616" s="108">
        <v>0</v>
      </c>
      <c r="T1616" s="108">
        <v>0</v>
      </c>
      <c r="U1616" s="108">
        <v>0</v>
      </c>
      <c r="V1616" s="108">
        <v>0</v>
      </c>
      <c r="W1616" s="108">
        <v>0</v>
      </c>
    </row>
    <row r="1617" spans="1:23">
      <c r="A1617" s="103">
        <v>45084</v>
      </c>
      <c r="B1617" s="104" t="s">
        <v>36</v>
      </c>
      <c r="C1617" s="145">
        <v>0</v>
      </c>
      <c r="D1617" s="145"/>
      <c r="E1617" s="104">
        <v>0</v>
      </c>
      <c r="F1617" s="106">
        <v>0</v>
      </c>
      <c r="G1617" s="107">
        <v>0</v>
      </c>
      <c r="H1617" s="106">
        <v>0</v>
      </c>
      <c r="I1617" s="106"/>
      <c r="J1617" s="106"/>
      <c r="K1617" s="106"/>
      <c r="L1617" s="213">
        <v>0</v>
      </c>
      <c r="M1617" s="213">
        <v>0</v>
      </c>
      <c r="N1617" s="213">
        <v>0</v>
      </c>
      <c r="O1617" s="213">
        <v>0</v>
      </c>
      <c r="P1617" s="108">
        <v>0</v>
      </c>
      <c r="Q1617" s="108">
        <v>0</v>
      </c>
      <c r="R1617" s="108">
        <v>0</v>
      </c>
      <c r="S1617" s="108">
        <v>0</v>
      </c>
      <c r="T1617" s="108">
        <v>0</v>
      </c>
      <c r="U1617" s="108">
        <v>0</v>
      </c>
      <c r="V1617" s="108">
        <v>0</v>
      </c>
      <c r="W1617" s="108">
        <v>0</v>
      </c>
    </row>
    <row r="1618" spans="1:23">
      <c r="A1618" s="103">
        <v>45084</v>
      </c>
      <c r="B1618" s="104" t="s">
        <v>37</v>
      </c>
      <c r="C1618" s="145">
        <v>0</v>
      </c>
      <c r="D1618" s="145"/>
      <c r="E1618" s="104">
        <v>1</v>
      </c>
      <c r="F1618" s="106">
        <v>1</v>
      </c>
      <c r="G1618" s="107">
        <v>1</v>
      </c>
      <c r="H1618" s="106">
        <v>1</v>
      </c>
      <c r="I1618" s="106"/>
      <c r="J1618" s="106"/>
      <c r="K1618" s="106"/>
      <c r="L1618" s="213">
        <v>0</v>
      </c>
      <c r="M1618" s="213">
        <v>0</v>
      </c>
      <c r="N1618" s="213">
        <v>0</v>
      </c>
      <c r="O1618" s="213">
        <v>0</v>
      </c>
      <c r="P1618" s="108">
        <v>1</v>
      </c>
      <c r="Q1618" s="108">
        <v>0.333333333333333</v>
      </c>
      <c r="R1618" s="108">
        <v>0.6</v>
      </c>
      <c r="S1618" s="108">
        <v>0.714285714285714</v>
      </c>
      <c r="T1618" s="108">
        <v>1</v>
      </c>
      <c r="U1618" s="108">
        <v>1</v>
      </c>
      <c r="V1618" s="108">
        <v>1</v>
      </c>
      <c r="W1618" s="108">
        <v>1</v>
      </c>
    </row>
    <row r="1619" spans="1:23">
      <c r="A1619" s="103">
        <v>45084</v>
      </c>
      <c r="B1619" s="104" t="s">
        <v>38</v>
      </c>
      <c r="C1619" s="145">
        <v>0</v>
      </c>
      <c r="D1619" s="145"/>
      <c r="E1619" s="104">
        <v>0</v>
      </c>
      <c r="F1619" s="106">
        <v>0</v>
      </c>
      <c r="G1619" s="107">
        <v>0</v>
      </c>
      <c r="H1619" s="106">
        <v>0</v>
      </c>
      <c r="I1619" s="106"/>
      <c r="J1619" s="106"/>
      <c r="K1619" s="106"/>
      <c r="L1619" s="213">
        <v>0</v>
      </c>
      <c r="M1619" s="213">
        <v>0</v>
      </c>
      <c r="N1619" s="213">
        <v>0</v>
      </c>
      <c r="O1619" s="213">
        <v>0</v>
      </c>
      <c r="P1619" s="108">
        <v>0</v>
      </c>
      <c r="Q1619" s="108">
        <v>0</v>
      </c>
      <c r="R1619" s="108">
        <v>0</v>
      </c>
      <c r="S1619" s="108">
        <v>0</v>
      </c>
      <c r="T1619" s="108">
        <v>0</v>
      </c>
      <c r="U1619" s="108">
        <v>0</v>
      </c>
      <c r="V1619" s="108">
        <v>0</v>
      </c>
      <c r="W1619" s="108">
        <v>0</v>
      </c>
    </row>
    <row r="1620" spans="1:23">
      <c r="A1620" s="103">
        <v>45084</v>
      </c>
      <c r="B1620" s="111" t="s">
        <v>39</v>
      </c>
      <c r="C1620" s="112">
        <v>22619</v>
      </c>
      <c r="D1620" s="112"/>
      <c r="E1620" s="112">
        <v>472</v>
      </c>
      <c r="F1620" s="113">
        <v>0.0208674123524471</v>
      </c>
      <c r="G1620" s="112">
        <v>172</v>
      </c>
      <c r="H1620" s="113">
        <v>0.364406779661017</v>
      </c>
      <c r="I1620" s="113"/>
      <c r="J1620" s="113"/>
      <c r="K1620" s="113"/>
      <c r="L1620" s="213"/>
      <c r="M1620" s="213"/>
      <c r="N1620" s="213"/>
      <c r="O1620" s="213"/>
      <c r="P1620" s="108"/>
      <c r="Q1620" s="108"/>
      <c r="R1620" s="108"/>
      <c r="S1620" s="108"/>
      <c r="T1620" s="108"/>
      <c r="U1620" s="108"/>
      <c r="V1620" s="108"/>
      <c r="W1620" s="108"/>
    </row>
    <row r="1621" spans="1:23">
      <c r="A1621" s="103">
        <v>45085</v>
      </c>
      <c r="B1621" s="104" t="s">
        <v>17</v>
      </c>
      <c r="C1621" s="216">
        <v>2</v>
      </c>
      <c r="D1621" s="216"/>
      <c r="E1621" s="217">
        <v>24</v>
      </c>
      <c r="F1621" s="106">
        <v>12</v>
      </c>
      <c r="G1621" s="107">
        <v>3</v>
      </c>
      <c r="H1621" s="106">
        <v>0.125</v>
      </c>
      <c r="I1621" s="106"/>
      <c r="J1621" s="106"/>
      <c r="K1621" s="106"/>
      <c r="L1621" s="213">
        <v>-1</v>
      </c>
      <c r="M1621" s="213">
        <v>-0.333333333333333</v>
      </c>
      <c r="N1621" s="213">
        <v>-0.2</v>
      </c>
      <c r="O1621" s="213">
        <v>-0.285714285714286</v>
      </c>
      <c r="P1621" s="108">
        <v>-1</v>
      </c>
      <c r="Q1621" s="108">
        <v>-2</v>
      </c>
      <c r="R1621" s="108">
        <v>2.2</v>
      </c>
      <c r="S1621" s="108">
        <v>4.71428571428572</v>
      </c>
      <c r="T1621" s="108">
        <v>-1</v>
      </c>
      <c r="U1621" s="108">
        <v>-2.33333333333333</v>
      </c>
      <c r="V1621" s="108">
        <v>-1</v>
      </c>
      <c r="W1621" s="108">
        <v>-0.857142857142857</v>
      </c>
    </row>
    <row r="1622" spans="1:23">
      <c r="A1622" s="103">
        <v>45085</v>
      </c>
      <c r="B1622" s="104" t="s">
        <v>19</v>
      </c>
      <c r="C1622" s="216">
        <v>589</v>
      </c>
      <c r="D1622" s="216"/>
      <c r="E1622" s="217">
        <v>18</v>
      </c>
      <c r="F1622" s="106">
        <v>0.0305602716468591</v>
      </c>
      <c r="G1622" s="107">
        <v>6</v>
      </c>
      <c r="H1622" s="106">
        <v>0.333333333333333</v>
      </c>
      <c r="I1622" s="106"/>
      <c r="J1622" s="106"/>
      <c r="K1622" s="106"/>
      <c r="L1622" s="213">
        <v>87</v>
      </c>
      <c r="M1622" s="213">
        <v>165.333333333333</v>
      </c>
      <c r="N1622" s="213">
        <v>165.4</v>
      </c>
      <c r="O1622" s="213">
        <v>181</v>
      </c>
      <c r="P1622" s="108">
        <v>3</v>
      </c>
      <c r="Q1622" s="108">
        <v>5</v>
      </c>
      <c r="R1622" s="108">
        <v>5</v>
      </c>
      <c r="S1622" s="108">
        <v>5.42857142857143</v>
      </c>
      <c r="T1622" s="108">
        <v>-2</v>
      </c>
      <c r="U1622" s="108">
        <v>-0.666666666666667</v>
      </c>
      <c r="V1622" s="108">
        <v>0.6</v>
      </c>
      <c r="W1622" s="115">
        <v>1</v>
      </c>
    </row>
    <row r="1623" spans="1:23">
      <c r="A1623" s="103">
        <v>45085</v>
      </c>
      <c r="B1623" s="104" t="s">
        <v>21</v>
      </c>
      <c r="C1623" s="218">
        <v>280</v>
      </c>
      <c r="D1623" s="218"/>
      <c r="E1623" s="217">
        <v>17</v>
      </c>
      <c r="F1623" s="106">
        <v>0.0607142857142857</v>
      </c>
      <c r="G1623" s="107">
        <v>5</v>
      </c>
      <c r="H1623" s="106">
        <v>0.294117647058824</v>
      </c>
      <c r="I1623" s="106"/>
      <c r="J1623" s="106"/>
      <c r="K1623" s="106"/>
      <c r="L1623" s="213">
        <v>8</v>
      </c>
      <c r="M1623" s="213">
        <v>5.33333333333331</v>
      </c>
      <c r="N1623" s="213">
        <v>5.39999999999998</v>
      </c>
      <c r="O1623" s="213">
        <v>8.71428571428572</v>
      </c>
      <c r="P1623" s="108">
        <v>1</v>
      </c>
      <c r="Q1623" s="108">
        <v>1</v>
      </c>
      <c r="R1623" s="108">
        <v>0.199999999999999</v>
      </c>
      <c r="S1623" s="108">
        <v>0.428571428571427</v>
      </c>
      <c r="T1623" s="108">
        <v>-2</v>
      </c>
      <c r="U1623" s="108">
        <v>-1.33333333333333</v>
      </c>
      <c r="V1623" s="108">
        <v>-1.2</v>
      </c>
      <c r="W1623" s="108">
        <v>-0.571428571428571</v>
      </c>
    </row>
    <row r="1624" spans="1:23">
      <c r="A1624" s="103">
        <v>45085</v>
      </c>
      <c r="B1624" s="104" t="s">
        <v>22</v>
      </c>
      <c r="C1624" s="218">
        <v>5080</v>
      </c>
      <c r="D1624" s="218"/>
      <c r="E1624" s="217">
        <v>124</v>
      </c>
      <c r="F1624" s="106">
        <v>0.0244094488188976</v>
      </c>
      <c r="G1624" s="107">
        <v>50</v>
      </c>
      <c r="H1624" s="106">
        <v>0.403225806451613</v>
      </c>
      <c r="I1624" s="106"/>
      <c r="J1624" s="106"/>
      <c r="K1624" s="106"/>
      <c r="L1624" s="213">
        <v>527</v>
      </c>
      <c r="M1624" s="213">
        <v>662.666666666667</v>
      </c>
      <c r="N1624" s="213">
        <v>721.2</v>
      </c>
      <c r="O1624" s="213">
        <v>929.285714285715</v>
      </c>
      <c r="P1624" s="108">
        <v>4</v>
      </c>
      <c r="Q1624" s="108">
        <v>19.3333333333333</v>
      </c>
      <c r="R1624" s="108">
        <v>7.8</v>
      </c>
      <c r="S1624" s="115">
        <v>7.85714285714286</v>
      </c>
      <c r="T1624" s="108">
        <v>3</v>
      </c>
      <c r="U1624" s="108">
        <v>10.3333333333333</v>
      </c>
      <c r="V1624" s="108">
        <v>7.4</v>
      </c>
      <c r="W1624" s="117">
        <v>5.57142857142857</v>
      </c>
    </row>
    <row r="1625" spans="1:23">
      <c r="A1625" s="103">
        <v>45085</v>
      </c>
      <c r="B1625" s="104" t="s">
        <v>23</v>
      </c>
      <c r="C1625" s="218">
        <v>1697</v>
      </c>
      <c r="D1625" s="218"/>
      <c r="E1625" s="217">
        <v>9</v>
      </c>
      <c r="F1625" s="106">
        <v>0.00530347672362994</v>
      </c>
      <c r="G1625" s="107">
        <v>3</v>
      </c>
      <c r="H1625" s="106">
        <v>0.333333333333333</v>
      </c>
      <c r="I1625" s="106"/>
      <c r="J1625" s="106"/>
      <c r="K1625" s="106"/>
      <c r="L1625" s="213">
        <v>18</v>
      </c>
      <c r="M1625" s="213">
        <v>4</v>
      </c>
      <c r="N1625" s="213">
        <v>-35.8</v>
      </c>
      <c r="O1625" s="213">
        <v>10</v>
      </c>
      <c r="P1625" s="108">
        <v>-1</v>
      </c>
      <c r="Q1625" s="108">
        <v>0.333333333333334</v>
      </c>
      <c r="R1625" s="108">
        <v>0.4</v>
      </c>
      <c r="S1625" s="108">
        <v>-0.285714285714286</v>
      </c>
      <c r="T1625" s="108">
        <v>-1</v>
      </c>
      <c r="U1625" s="116">
        <v>0.333333333333333</v>
      </c>
      <c r="V1625" s="108">
        <v>0</v>
      </c>
      <c r="W1625" s="108">
        <v>-0.285714285714286</v>
      </c>
    </row>
    <row r="1626" spans="1:23">
      <c r="A1626" s="103">
        <v>45085</v>
      </c>
      <c r="B1626" s="104" t="s">
        <v>24</v>
      </c>
      <c r="C1626" s="218">
        <v>8696</v>
      </c>
      <c r="D1626" s="218"/>
      <c r="E1626" s="217">
        <v>212</v>
      </c>
      <c r="F1626" s="106">
        <v>0.0243790248390064</v>
      </c>
      <c r="G1626" s="107">
        <v>58</v>
      </c>
      <c r="H1626" s="106">
        <v>0.273584905660377</v>
      </c>
      <c r="I1626" s="106"/>
      <c r="J1626" s="106"/>
      <c r="K1626" s="106"/>
      <c r="L1626" s="213">
        <v>23</v>
      </c>
      <c r="M1626" s="213">
        <v>101.666666666666</v>
      </c>
      <c r="N1626" s="213">
        <v>1242.4</v>
      </c>
      <c r="O1626" s="213">
        <v>2103.42857142857</v>
      </c>
      <c r="P1626" s="115">
        <v>26</v>
      </c>
      <c r="Q1626" s="115">
        <v>25.3333333333333</v>
      </c>
      <c r="R1626" s="115">
        <v>26.8</v>
      </c>
      <c r="S1626" s="115">
        <v>33</v>
      </c>
      <c r="T1626" s="115">
        <v>2</v>
      </c>
      <c r="U1626" s="115">
        <v>7</v>
      </c>
      <c r="V1626" s="115">
        <v>9.4</v>
      </c>
      <c r="W1626" s="115">
        <v>8.85714285714285</v>
      </c>
    </row>
    <row r="1627" spans="1:23">
      <c r="A1627" s="103">
        <v>45085</v>
      </c>
      <c r="B1627" s="104" t="s">
        <v>25</v>
      </c>
      <c r="C1627" s="218">
        <v>2386</v>
      </c>
      <c r="D1627" s="218"/>
      <c r="E1627" s="217">
        <v>34</v>
      </c>
      <c r="F1627" s="106">
        <v>0.0142497904442582</v>
      </c>
      <c r="G1627" s="107">
        <v>12</v>
      </c>
      <c r="H1627" s="106">
        <v>0.352941176470588</v>
      </c>
      <c r="I1627" s="106"/>
      <c r="J1627" s="106"/>
      <c r="K1627" s="106"/>
      <c r="L1627" s="213">
        <v>49</v>
      </c>
      <c r="M1627" s="213">
        <v>5.66666666666652</v>
      </c>
      <c r="N1627" s="213">
        <v>-172.6</v>
      </c>
      <c r="O1627" s="213">
        <v>-411.714285714286</v>
      </c>
      <c r="P1627" s="116">
        <v>-1</v>
      </c>
      <c r="Q1627" s="115">
        <v>4.33333333333333</v>
      </c>
      <c r="R1627" s="115">
        <v>2.2</v>
      </c>
      <c r="S1627" s="115">
        <v>2.57142857142857</v>
      </c>
      <c r="T1627" s="108">
        <v>-6</v>
      </c>
      <c r="U1627" s="108">
        <v>-1.66666666666667</v>
      </c>
      <c r="V1627" s="108">
        <v>-2.2</v>
      </c>
      <c r="W1627" s="108">
        <v>-1.71428571428571</v>
      </c>
    </row>
    <row r="1628" spans="1:23">
      <c r="A1628" s="103">
        <v>45085</v>
      </c>
      <c r="B1628" s="104" t="s">
        <v>26</v>
      </c>
      <c r="C1628" s="218">
        <v>1496</v>
      </c>
      <c r="D1628" s="218"/>
      <c r="E1628" s="217">
        <v>9</v>
      </c>
      <c r="F1628" s="106">
        <v>0.00601604278074866</v>
      </c>
      <c r="G1628" s="107">
        <v>2</v>
      </c>
      <c r="H1628" s="106">
        <v>0.222222222222222</v>
      </c>
      <c r="I1628" s="106"/>
      <c r="J1628" s="106"/>
      <c r="K1628" s="106"/>
      <c r="L1628" s="213">
        <v>39</v>
      </c>
      <c r="M1628" s="213">
        <v>-1.66666666666674</v>
      </c>
      <c r="N1628" s="213">
        <v>-23.2</v>
      </c>
      <c r="O1628" s="213">
        <v>-59.1428571428571</v>
      </c>
      <c r="P1628" s="108">
        <v>5</v>
      </c>
      <c r="Q1628" s="108">
        <v>4.33333333333333</v>
      </c>
      <c r="R1628" s="108">
        <v>4</v>
      </c>
      <c r="S1628" s="108">
        <v>3.14285714285714</v>
      </c>
      <c r="T1628" s="108">
        <v>-1</v>
      </c>
      <c r="U1628" s="108">
        <v>-0.666666666666667</v>
      </c>
      <c r="V1628" s="108">
        <v>-0.6</v>
      </c>
      <c r="W1628" s="108">
        <v>-0.428571428571428</v>
      </c>
    </row>
    <row r="1629" spans="1:23">
      <c r="A1629" s="103">
        <v>45085</v>
      </c>
      <c r="B1629" s="104" t="s">
        <v>27</v>
      </c>
      <c r="C1629" s="218">
        <v>3037</v>
      </c>
      <c r="D1629" s="218"/>
      <c r="E1629" s="217">
        <v>53</v>
      </c>
      <c r="F1629" s="106">
        <v>0.0174514323345407</v>
      </c>
      <c r="G1629" s="107">
        <v>10</v>
      </c>
      <c r="H1629" s="106">
        <v>0.188679245283019</v>
      </c>
      <c r="I1629" s="106"/>
      <c r="J1629" s="106"/>
      <c r="K1629" s="106"/>
      <c r="L1629" s="213">
        <v>-106</v>
      </c>
      <c r="M1629" s="213">
        <v>-277.333333333333</v>
      </c>
      <c r="N1629" s="213">
        <v>-636.2</v>
      </c>
      <c r="O1629" s="213">
        <v>-832.571428571428</v>
      </c>
      <c r="P1629" s="108">
        <v>-7</v>
      </c>
      <c r="Q1629" s="108">
        <v>-8.33333333333334</v>
      </c>
      <c r="R1629" s="108">
        <v>-19.6</v>
      </c>
      <c r="S1629" s="108">
        <v>-28</v>
      </c>
      <c r="T1629" s="108">
        <v>-14</v>
      </c>
      <c r="U1629" s="108">
        <v>-6.66666666666667</v>
      </c>
      <c r="V1629" s="108">
        <v>-10.2</v>
      </c>
      <c r="W1629" s="108">
        <v>-12.5714285714286</v>
      </c>
    </row>
    <row r="1630" spans="1:23">
      <c r="A1630" s="103">
        <v>45085</v>
      </c>
      <c r="B1630" s="104" t="s">
        <v>28</v>
      </c>
      <c r="C1630" s="145">
        <v>0</v>
      </c>
      <c r="D1630" s="145"/>
      <c r="E1630" s="104">
        <v>0</v>
      </c>
      <c r="F1630" s="106">
        <v>0</v>
      </c>
      <c r="G1630" s="107">
        <v>0</v>
      </c>
      <c r="H1630" s="106">
        <v>0</v>
      </c>
      <c r="I1630" s="106"/>
      <c r="J1630" s="106"/>
      <c r="K1630" s="106"/>
      <c r="L1630" s="213">
        <v>0</v>
      </c>
      <c r="M1630" s="213">
        <v>0</v>
      </c>
      <c r="N1630" s="213">
        <v>0</v>
      </c>
      <c r="O1630" s="213">
        <v>0</v>
      </c>
      <c r="P1630" s="108">
        <v>0</v>
      </c>
      <c r="Q1630" s="108">
        <v>0</v>
      </c>
      <c r="R1630" s="108">
        <v>0</v>
      </c>
      <c r="S1630" s="108">
        <v>0</v>
      </c>
      <c r="T1630" s="108">
        <v>0</v>
      </c>
      <c r="U1630" s="108">
        <v>0</v>
      </c>
      <c r="V1630" s="108">
        <v>0</v>
      </c>
      <c r="W1630" s="108">
        <v>0</v>
      </c>
    </row>
    <row r="1631" spans="1:23">
      <c r="A1631" s="103">
        <v>45085</v>
      </c>
      <c r="B1631" s="104" t="s">
        <v>29</v>
      </c>
      <c r="C1631" s="145">
        <v>0</v>
      </c>
      <c r="D1631" s="145"/>
      <c r="E1631" s="104">
        <v>0</v>
      </c>
      <c r="F1631" s="106">
        <v>0</v>
      </c>
      <c r="G1631" s="107">
        <v>0</v>
      </c>
      <c r="H1631" s="106">
        <v>0</v>
      </c>
      <c r="I1631" s="106"/>
      <c r="J1631" s="106"/>
      <c r="K1631" s="106"/>
      <c r="L1631" s="213">
        <v>0</v>
      </c>
      <c r="M1631" s="213">
        <v>0</v>
      </c>
      <c r="N1631" s="213">
        <v>0</v>
      </c>
      <c r="O1631" s="213">
        <v>0</v>
      </c>
      <c r="P1631" s="108">
        <v>0</v>
      </c>
      <c r="Q1631" s="108">
        <v>0</v>
      </c>
      <c r="R1631" s="108">
        <v>0</v>
      </c>
      <c r="S1631" s="108">
        <v>0</v>
      </c>
      <c r="T1631" s="108">
        <v>0</v>
      </c>
      <c r="U1631" s="108">
        <v>0</v>
      </c>
      <c r="V1631" s="108">
        <v>0</v>
      </c>
      <c r="W1631" s="108">
        <v>0</v>
      </c>
    </row>
    <row r="1632" spans="1:23">
      <c r="A1632" s="103">
        <v>45085</v>
      </c>
      <c r="B1632" s="104" t="s">
        <v>30</v>
      </c>
      <c r="C1632" s="145">
        <v>0</v>
      </c>
      <c r="D1632" s="145"/>
      <c r="E1632" s="104">
        <v>0</v>
      </c>
      <c r="F1632" s="106">
        <v>0</v>
      </c>
      <c r="G1632" s="107">
        <v>0</v>
      </c>
      <c r="H1632" s="106">
        <v>0</v>
      </c>
      <c r="I1632" s="106"/>
      <c r="J1632" s="106"/>
      <c r="K1632" s="106"/>
      <c r="L1632" s="213">
        <v>0</v>
      </c>
      <c r="M1632" s="213">
        <v>0</v>
      </c>
      <c r="N1632" s="213">
        <v>0</v>
      </c>
      <c r="O1632" s="213">
        <v>0</v>
      </c>
      <c r="P1632" s="108">
        <v>0</v>
      </c>
      <c r="Q1632" s="108">
        <v>0</v>
      </c>
      <c r="R1632" s="108">
        <v>0</v>
      </c>
      <c r="S1632" s="108">
        <v>0</v>
      </c>
      <c r="T1632" s="108">
        <v>0</v>
      </c>
      <c r="U1632" s="108">
        <v>0</v>
      </c>
      <c r="V1632" s="108">
        <v>0</v>
      </c>
      <c r="W1632" s="108">
        <v>0</v>
      </c>
    </row>
    <row r="1633" spans="1:23">
      <c r="A1633" s="103">
        <v>45085</v>
      </c>
      <c r="B1633" s="104" t="s">
        <v>31</v>
      </c>
      <c r="C1633" s="145">
        <v>0</v>
      </c>
      <c r="D1633" s="145"/>
      <c r="E1633" s="104">
        <v>0</v>
      </c>
      <c r="F1633" s="106">
        <v>0</v>
      </c>
      <c r="G1633" s="107">
        <v>0</v>
      </c>
      <c r="H1633" s="106">
        <v>0</v>
      </c>
      <c r="I1633" s="106"/>
      <c r="J1633" s="106"/>
      <c r="K1633" s="106"/>
      <c r="L1633" s="213">
        <v>0</v>
      </c>
      <c r="M1633" s="213">
        <v>0</v>
      </c>
      <c r="N1633" s="213">
        <v>0</v>
      </c>
      <c r="O1633" s="213">
        <v>0</v>
      </c>
      <c r="P1633" s="108">
        <v>0</v>
      </c>
      <c r="Q1633" s="108">
        <v>0</v>
      </c>
      <c r="R1633" s="108">
        <v>0</v>
      </c>
      <c r="S1633" s="108">
        <v>0</v>
      </c>
      <c r="T1633" s="108">
        <v>0</v>
      </c>
      <c r="U1633" s="108">
        <v>0</v>
      </c>
      <c r="V1633" s="108">
        <v>0</v>
      </c>
      <c r="W1633" s="108">
        <v>0</v>
      </c>
    </row>
    <row r="1634" spans="1:23">
      <c r="A1634" s="103">
        <v>45085</v>
      </c>
      <c r="B1634" s="104" t="s">
        <v>32</v>
      </c>
      <c r="C1634" s="145">
        <v>0</v>
      </c>
      <c r="D1634" s="145"/>
      <c r="E1634" s="104">
        <v>0</v>
      </c>
      <c r="F1634" s="106">
        <v>0</v>
      </c>
      <c r="G1634" s="107">
        <v>0</v>
      </c>
      <c r="H1634" s="106">
        <v>0</v>
      </c>
      <c r="I1634" s="106"/>
      <c r="J1634" s="106"/>
      <c r="K1634" s="106"/>
      <c r="L1634" s="213">
        <v>0</v>
      </c>
      <c r="M1634" s="213">
        <v>0</v>
      </c>
      <c r="N1634" s="213">
        <v>0</v>
      </c>
      <c r="O1634" s="213">
        <v>0</v>
      </c>
      <c r="P1634" s="108">
        <v>0</v>
      </c>
      <c r="Q1634" s="108">
        <v>0</v>
      </c>
      <c r="R1634" s="108">
        <v>0</v>
      </c>
      <c r="S1634" s="108">
        <v>0</v>
      </c>
      <c r="T1634" s="108">
        <v>0</v>
      </c>
      <c r="U1634" s="108">
        <v>0</v>
      </c>
      <c r="V1634" s="108">
        <v>0</v>
      </c>
      <c r="W1634" s="108">
        <v>0</v>
      </c>
    </row>
    <row r="1635" spans="1:23">
      <c r="A1635" s="103">
        <v>45085</v>
      </c>
      <c r="B1635" s="104" t="s">
        <v>33</v>
      </c>
      <c r="C1635" s="145">
        <v>0</v>
      </c>
      <c r="D1635" s="145"/>
      <c r="E1635" s="104">
        <v>0</v>
      </c>
      <c r="F1635" s="106">
        <v>0</v>
      </c>
      <c r="G1635" s="107">
        <v>0</v>
      </c>
      <c r="H1635" s="106">
        <v>0</v>
      </c>
      <c r="I1635" s="106"/>
      <c r="J1635" s="106"/>
      <c r="K1635" s="106"/>
      <c r="L1635" s="213">
        <v>0</v>
      </c>
      <c r="M1635" s="213">
        <v>0</v>
      </c>
      <c r="N1635" s="213">
        <v>0</v>
      </c>
      <c r="O1635" s="213">
        <v>0</v>
      </c>
      <c r="P1635" s="108">
        <v>0</v>
      </c>
      <c r="Q1635" s="108">
        <v>0</v>
      </c>
      <c r="R1635" s="108">
        <v>0</v>
      </c>
      <c r="S1635" s="108">
        <v>0</v>
      </c>
      <c r="T1635" s="108">
        <v>0</v>
      </c>
      <c r="U1635" s="108">
        <v>0</v>
      </c>
      <c r="V1635" s="108">
        <v>0</v>
      </c>
      <c r="W1635" s="108">
        <v>0</v>
      </c>
    </row>
    <row r="1636" spans="1:23">
      <c r="A1636" s="103">
        <v>45085</v>
      </c>
      <c r="B1636" s="104" t="s">
        <v>34</v>
      </c>
      <c r="C1636" s="145">
        <v>0</v>
      </c>
      <c r="D1636" s="145"/>
      <c r="E1636" s="104">
        <v>0</v>
      </c>
      <c r="F1636" s="106">
        <v>0</v>
      </c>
      <c r="G1636" s="107">
        <v>0</v>
      </c>
      <c r="H1636" s="106">
        <v>0</v>
      </c>
      <c r="I1636" s="106"/>
      <c r="J1636" s="106"/>
      <c r="K1636" s="106"/>
      <c r="L1636" s="213">
        <v>0</v>
      </c>
      <c r="M1636" s="213">
        <v>0</v>
      </c>
      <c r="N1636" s="213">
        <v>0</v>
      </c>
      <c r="O1636" s="213">
        <v>0</v>
      </c>
      <c r="P1636" s="108">
        <v>0</v>
      </c>
      <c r="Q1636" s="108">
        <v>0</v>
      </c>
      <c r="R1636" s="108">
        <v>-0.2</v>
      </c>
      <c r="S1636" s="108">
        <v>-0.142857142857143</v>
      </c>
      <c r="T1636" s="108">
        <v>0</v>
      </c>
      <c r="U1636" s="108">
        <v>0</v>
      </c>
      <c r="V1636" s="108">
        <v>-0.2</v>
      </c>
      <c r="W1636" s="108">
        <v>-0.142857142857143</v>
      </c>
    </row>
    <row r="1637" spans="1:23">
      <c r="A1637" s="103">
        <v>45085</v>
      </c>
      <c r="B1637" s="104" t="s">
        <v>35</v>
      </c>
      <c r="C1637" s="145">
        <v>0</v>
      </c>
      <c r="D1637" s="145"/>
      <c r="E1637" s="104">
        <v>0</v>
      </c>
      <c r="F1637" s="106">
        <v>0</v>
      </c>
      <c r="G1637" s="107">
        <v>0</v>
      </c>
      <c r="H1637" s="106">
        <v>0</v>
      </c>
      <c r="I1637" s="106"/>
      <c r="J1637" s="106"/>
      <c r="K1637" s="106"/>
      <c r="L1637" s="213">
        <v>0</v>
      </c>
      <c r="M1637" s="213">
        <v>0</v>
      </c>
      <c r="N1637" s="213">
        <v>0</v>
      </c>
      <c r="O1637" s="213">
        <v>0</v>
      </c>
      <c r="P1637" s="108">
        <v>0</v>
      </c>
      <c r="Q1637" s="108">
        <v>0</v>
      </c>
      <c r="R1637" s="108">
        <v>0</v>
      </c>
      <c r="S1637" s="108">
        <v>0</v>
      </c>
      <c r="T1637" s="108">
        <v>0</v>
      </c>
      <c r="U1637" s="108">
        <v>0</v>
      </c>
      <c r="V1637" s="108">
        <v>0</v>
      </c>
      <c r="W1637" s="108">
        <v>0</v>
      </c>
    </row>
    <row r="1638" spans="1:23">
      <c r="A1638" s="103">
        <v>45085</v>
      </c>
      <c r="B1638" s="104" t="s">
        <v>36</v>
      </c>
      <c r="C1638" s="145">
        <v>0</v>
      </c>
      <c r="D1638" s="145"/>
      <c r="E1638" s="104">
        <v>0</v>
      </c>
      <c r="F1638" s="106">
        <v>0</v>
      </c>
      <c r="G1638" s="107">
        <v>0</v>
      </c>
      <c r="H1638" s="106">
        <v>0</v>
      </c>
      <c r="I1638" s="106"/>
      <c r="J1638" s="106"/>
      <c r="K1638" s="106"/>
      <c r="L1638" s="213">
        <v>0</v>
      </c>
      <c r="M1638" s="213">
        <v>0</v>
      </c>
      <c r="N1638" s="213">
        <v>0</v>
      </c>
      <c r="O1638" s="213">
        <v>0</v>
      </c>
      <c r="P1638" s="108">
        <v>0</v>
      </c>
      <c r="Q1638" s="108">
        <v>0</v>
      </c>
      <c r="R1638" s="108">
        <v>0</v>
      </c>
      <c r="S1638" s="108">
        <v>0</v>
      </c>
      <c r="T1638" s="108">
        <v>0</v>
      </c>
      <c r="U1638" s="108">
        <v>0</v>
      </c>
      <c r="V1638" s="108">
        <v>0</v>
      </c>
      <c r="W1638" s="108">
        <v>0</v>
      </c>
    </row>
    <row r="1639" spans="1:23">
      <c r="A1639" s="103">
        <v>45085</v>
      </c>
      <c r="B1639" s="104" t="s">
        <v>37</v>
      </c>
      <c r="C1639" s="145">
        <v>0</v>
      </c>
      <c r="D1639" s="145"/>
      <c r="E1639" s="104">
        <v>0</v>
      </c>
      <c r="F1639" s="106">
        <v>0</v>
      </c>
      <c r="G1639" s="107">
        <v>0</v>
      </c>
      <c r="H1639" s="106">
        <v>0</v>
      </c>
      <c r="I1639" s="106"/>
      <c r="J1639" s="106"/>
      <c r="K1639" s="106"/>
      <c r="L1639" s="213">
        <v>0</v>
      </c>
      <c r="M1639" s="213">
        <v>0</v>
      </c>
      <c r="N1639" s="213">
        <v>0</v>
      </c>
      <c r="O1639" s="213">
        <v>0</v>
      </c>
      <c r="P1639" s="108">
        <v>-1</v>
      </c>
      <c r="Q1639" s="108">
        <v>-1</v>
      </c>
      <c r="R1639" s="108">
        <v>-0.6</v>
      </c>
      <c r="S1639" s="108">
        <v>-0.428571428571429</v>
      </c>
      <c r="T1639" s="108">
        <v>-1</v>
      </c>
      <c r="U1639" s="108">
        <v>-0.333333333333333</v>
      </c>
      <c r="V1639" s="108">
        <v>-0.2</v>
      </c>
      <c r="W1639" s="108">
        <v>-0.142857142857143</v>
      </c>
    </row>
    <row r="1640" spans="1:23">
      <c r="A1640" s="103">
        <v>45085</v>
      </c>
      <c r="B1640" s="104" t="s">
        <v>38</v>
      </c>
      <c r="C1640" s="145">
        <v>0</v>
      </c>
      <c r="D1640" s="145"/>
      <c r="E1640" s="104">
        <v>0</v>
      </c>
      <c r="F1640" s="106">
        <v>0</v>
      </c>
      <c r="G1640" s="107">
        <v>0</v>
      </c>
      <c r="H1640" s="106">
        <v>0</v>
      </c>
      <c r="I1640" s="106"/>
      <c r="J1640" s="106"/>
      <c r="K1640" s="106"/>
      <c r="L1640" s="213">
        <v>0</v>
      </c>
      <c r="M1640" s="213">
        <v>0</v>
      </c>
      <c r="N1640" s="213">
        <v>0</v>
      </c>
      <c r="O1640" s="213">
        <v>0</v>
      </c>
      <c r="P1640" s="108">
        <v>0</v>
      </c>
      <c r="Q1640" s="108">
        <v>0</v>
      </c>
      <c r="R1640" s="108">
        <v>0</v>
      </c>
      <c r="S1640" s="108">
        <v>0</v>
      </c>
      <c r="T1640" s="108">
        <v>0</v>
      </c>
      <c r="U1640" s="108">
        <v>0</v>
      </c>
      <c r="V1640" s="108">
        <v>0</v>
      </c>
      <c r="W1640" s="108">
        <v>0</v>
      </c>
    </row>
    <row r="1641" spans="1:23">
      <c r="A1641" s="103">
        <v>45085</v>
      </c>
      <c r="B1641" s="111" t="s">
        <v>39</v>
      </c>
      <c r="C1641" s="112">
        <v>23263</v>
      </c>
      <c r="D1641" s="112"/>
      <c r="E1641" s="112">
        <v>500</v>
      </c>
      <c r="F1641" s="113">
        <v>0.0214933585522074</v>
      </c>
      <c r="G1641" s="112">
        <v>149</v>
      </c>
      <c r="H1641" s="113">
        <v>0.298</v>
      </c>
      <c r="I1641" s="113"/>
      <c r="J1641" s="113"/>
      <c r="K1641" s="113"/>
      <c r="L1641" s="213"/>
      <c r="M1641" s="213"/>
      <c r="N1641" s="213"/>
      <c r="O1641" s="213"/>
      <c r="P1641" s="108"/>
      <c r="Q1641" s="108"/>
      <c r="R1641" s="108"/>
      <c r="S1641" s="108"/>
      <c r="T1641" s="108"/>
      <c r="U1641" s="108"/>
      <c r="V1641" s="108"/>
      <c r="W1641" s="108"/>
    </row>
    <row r="1642" ht="14.45" customHeight="1" spans="1:30">
      <c r="A1642" s="103">
        <v>45086</v>
      </c>
      <c r="B1642" s="104" t="s">
        <v>17</v>
      </c>
      <c r="C1642" s="216">
        <v>2</v>
      </c>
      <c r="D1642" s="216"/>
      <c r="E1642" s="217">
        <v>23</v>
      </c>
      <c r="F1642" s="106">
        <v>11.5</v>
      </c>
      <c r="G1642" s="107">
        <v>5</v>
      </c>
      <c r="H1642" s="106">
        <v>0.217391304347826</v>
      </c>
      <c r="I1642" s="106"/>
      <c r="J1642" s="106"/>
      <c r="K1642" s="106"/>
      <c r="L1642" s="213">
        <v>0</v>
      </c>
      <c r="M1642" s="213">
        <v>-0.333333333333333</v>
      </c>
      <c r="N1642" s="213">
        <v>-0.2</v>
      </c>
      <c r="O1642" s="213">
        <v>-0.285714285714286</v>
      </c>
      <c r="P1642" s="108">
        <v>-1</v>
      </c>
      <c r="Q1642" s="108">
        <v>-3.66666666666667</v>
      </c>
      <c r="R1642" s="108">
        <v>-0.600000000000001</v>
      </c>
      <c r="S1642" s="108">
        <v>2.71428571428572</v>
      </c>
      <c r="T1642" s="108">
        <v>2</v>
      </c>
      <c r="U1642" s="108">
        <v>-0.333333333333333</v>
      </c>
      <c r="V1642" s="108">
        <v>0.6</v>
      </c>
      <c r="W1642" s="108">
        <v>1</v>
      </c>
      <c r="X1642" s="215">
        <v>0</v>
      </c>
      <c r="Y1642" s="215">
        <v>-0.0416666666666667</v>
      </c>
      <c r="Z1642" s="215">
        <v>0.666666666666667</v>
      </c>
      <c r="AD1642" t="s">
        <v>18</v>
      </c>
    </row>
    <row r="1643" ht="14.45" customHeight="1" spans="1:30">
      <c r="A1643" s="103">
        <v>45086</v>
      </c>
      <c r="B1643" s="104" t="s">
        <v>19</v>
      </c>
      <c r="C1643" s="216">
        <v>598</v>
      </c>
      <c r="D1643" s="216"/>
      <c r="E1643" s="217">
        <v>11</v>
      </c>
      <c r="F1643" s="106">
        <v>0.0183946488294314</v>
      </c>
      <c r="G1643" s="107">
        <v>7</v>
      </c>
      <c r="H1643" s="106">
        <v>0.636363636363636</v>
      </c>
      <c r="I1643" s="106"/>
      <c r="J1643" s="106"/>
      <c r="K1643" s="106"/>
      <c r="L1643" s="213">
        <v>9</v>
      </c>
      <c r="M1643" s="213">
        <v>105.333333333333</v>
      </c>
      <c r="N1643" s="213">
        <v>144.6</v>
      </c>
      <c r="O1643" s="213">
        <v>152.428571428571</v>
      </c>
      <c r="P1643" s="108">
        <v>-7</v>
      </c>
      <c r="Q1643" s="108">
        <v>-4.66666666666667</v>
      </c>
      <c r="R1643" s="108">
        <v>-3.2</v>
      </c>
      <c r="S1643" s="108">
        <v>-2.14285714285714</v>
      </c>
      <c r="T1643" s="108">
        <v>1</v>
      </c>
      <c r="U1643" s="108">
        <v>-0.666666666666667</v>
      </c>
      <c r="V1643" s="108">
        <v>1.2</v>
      </c>
      <c r="W1643" s="115">
        <v>1.57142857142857</v>
      </c>
      <c r="X1643" s="215">
        <v>0.0152801358234295</v>
      </c>
      <c r="Y1643" s="215">
        <v>-0.388888888888889</v>
      </c>
      <c r="Z1643" s="215">
        <v>0.166666666666667</v>
      </c>
      <c r="AA1643" s="154"/>
      <c r="AB1643" s="154"/>
      <c r="AC1643" s="154"/>
      <c r="AD1643" s="154"/>
    </row>
    <row r="1644" ht="14.45" customHeight="1" spans="1:26">
      <c r="A1644" s="103">
        <v>45086</v>
      </c>
      <c r="B1644" s="104" t="s">
        <v>21</v>
      </c>
      <c r="C1644" s="218">
        <v>276</v>
      </c>
      <c r="D1644" s="218"/>
      <c r="E1644" s="217">
        <v>13</v>
      </c>
      <c r="F1644" s="106">
        <v>0.0471014492753623</v>
      </c>
      <c r="G1644" s="107">
        <v>6</v>
      </c>
      <c r="H1644" s="106">
        <v>0.461538461538462</v>
      </c>
      <c r="I1644" s="106"/>
      <c r="J1644" s="106"/>
      <c r="K1644" s="106"/>
      <c r="L1644" s="213">
        <v>-4</v>
      </c>
      <c r="M1644" s="213">
        <v>-12.3333333333333</v>
      </c>
      <c r="N1644" s="213">
        <v>-2.80000000000001</v>
      </c>
      <c r="O1644" s="213">
        <v>1</v>
      </c>
      <c r="P1644" s="108">
        <v>-4</v>
      </c>
      <c r="Q1644" s="108">
        <v>-3.33333333333333</v>
      </c>
      <c r="R1644" s="108">
        <v>-3.6</v>
      </c>
      <c r="S1644" s="108">
        <v>-3.42857142857143</v>
      </c>
      <c r="T1644" s="108">
        <v>1</v>
      </c>
      <c r="U1644" s="108">
        <v>0.666666666666667</v>
      </c>
      <c r="V1644" s="108">
        <v>0.2</v>
      </c>
      <c r="W1644" s="108">
        <v>0.142857142857143</v>
      </c>
      <c r="X1644" s="215">
        <v>-0.0142857142857143</v>
      </c>
      <c r="Y1644" s="215">
        <v>-0.235294117647059</v>
      </c>
      <c r="Z1644" s="215">
        <v>0.2</v>
      </c>
    </row>
    <row r="1645" ht="18.95" customHeight="1" spans="1:30">
      <c r="A1645" s="103">
        <v>45086</v>
      </c>
      <c r="B1645" s="104" t="s">
        <v>22</v>
      </c>
      <c r="C1645" s="218">
        <v>5105</v>
      </c>
      <c r="D1645" s="218"/>
      <c r="E1645" s="217">
        <v>163</v>
      </c>
      <c r="F1645" s="106">
        <v>0.0319294809010774</v>
      </c>
      <c r="G1645" s="107">
        <v>46</v>
      </c>
      <c r="H1645" s="106">
        <v>0.282208588957055</v>
      </c>
      <c r="I1645" s="106"/>
      <c r="J1645" s="106"/>
      <c r="K1645" s="106"/>
      <c r="L1645" s="213">
        <v>25</v>
      </c>
      <c r="M1645" s="213">
        <v>404.666666666667</v>
      </c>
      <c r="N1645" s="213">
        <v>575</v>
      </c>
      <c r="O1645" s="213">
        <v>750</v>
      </c>
      <c r="P1645" s="108">
        <v>39</v>
      </c>
      <c r="Q1645" s="108">
        <v>43.3333333333333</v>
      </c>
      <c r="R1645" s="108">
        <v>47.2</v>
      </c>
      <c r="S1645" s="115">
        <v>46.8571428571429</v>
      </c>
      <c r="T1645" s="108">
        <v>-4</v>
      </c>
      <c r="U1645" s="108">
        <v>0</v>
      </c>
      <c r="V1645" s="108">
        <v>3</v>
      </c>
      <c r="W1645" s="117">
        <v>2.42857142857143</v>
      </c>
      <c r="X1645" s="215">
        <v>0.00492125984251968</v>
      </c>
      <c r="Y1645" s="215">
        <v>0.314516129032258</v>
      </c>
      <c r="Z1645" s="215">
        <v>-0.08</v>
      </c>
      <c r="AA1645" s="154"/>
      <c r="AB1645" s="154"/>
      <c r="AC1645" s="154"/>
      <c r="AD1645" s="154"/>
    </row>
    <row r="1646" ht="14.45" customHeight="1" spans="1:26">
      <c r="A1646" s="103">
        <v>45086</v>
      </c>
      <c r="B1646" s="104" t="s">
        <v>23</v>
      </c>
      <c r="C1646" s="218">
        <v>1589</v>
      </c>
      <c r="D1646" s="218"/>
      <c r="E1646" s="217">
        <v>3</v>
      </c>
      <c r="F1646" s="106">
        <v>0.00188797986154814</v>
      </c>
      <c r="G1646" s="107">
        <v>2</v>
      </c>
      <c r="H1646" s="106">
        <v>0.666666666666667</v>
      </c>
      <c r="I1646" s="106"/>
      <c r="J1646" s="106"/>
      <c r="K1646" s="106"/>
      <c r="L1646" s="213">
        <v>-108</v>
      </c>
      <c r="M1646" s="213">
        <v>-91</v>
      </c>
      <c r="N1646" s="213">
        <v>-116</v>
      </c>
      <c r="O1646" s="213">
        <v>-133.714285714286</v>
      </c>
      <c r="P1646" s="108">
        <v>-6</v>
      </c>
      <c r="Q1646" s="108">
        <v>-6</v>
      </c>
      <c r="R1646" s="108">
        <v>-5.8</v>
      </c>
      <c r="S1646" s="108">
        <v>-5.57142857142857</v>
      </c>
      <c r="T1646" s="108">
        <v>-1</v>
      </c>
      <c r="U1646" s="116">
        <v>-1</v>
      </c>
      <c r="V1646" s="108">
        <v>-1.2</v>
      </c>
      <c r="W1646" s="108">
        <v>-1.14285714285714</v>
      </c>
      <c r="X1646" s="215">
        <v>-0.0636417206835592</v>
      </c>
      <c r="Y1646" s="215">
        <v>-0.666666666666667</v>
      </c>
      <c r="Z1646" s="215">
        <v>-0.333333333333333</v>
      </c>
    </row>
    <row r="1647" ht="14.45" customHeight="1" spans="1:30">
      <c r="A1647" s="103">
        <v>45086</v>
      </c>
      <c r="B1647" s="104" t="s">
        <v>24</v>
      </c>
      <c r="C1647" s="218">
        <v>7939</v>
      </c>
      <c r="D1647" s="218"/>
      <c r="E1647" s="217">
        <v>228</v>
      </c>
      <c r="F1647" s="106">
        <v>0.0287189822395768</v>
      </c>
      <c r="G1647" s="107">
        <v>43</v>
      </c>
      <c r="H1647" s="106">
        <v>0.18859649122807</v>
      </c>
      <c r="I1647" s="106"/>
      <c r="J1647" s="106"/>
      <c r="K1647" s="106"/>
      <c r="L1647" s="213">
        <v>-757</v>
      </c>
      <c r="M1647" s="213">
        <v>-730.666666666666</v>
      </c>
      <c r="N1647" s="213">
        <v>-330.4</v>
      </c>
      <c r="O1647" s="213">
        <v>735</v>
      </c>
      <c r="P1647" s="115">
        <v>16</v>
      </c>
      <c r="Q1647" s="115">
        <v>22.3333333333333</v>
      </c>
      <c r="R1647" s="115">
        <v>38.6</v>
      </c>
      <c r="S1647" s="115">
        <v>39.5714285714286</v>
      </c>
      <c r="T1647" s="115">
        <v>-15</v>
      </c>
      <c r="U1647" s="115">
        <v>-12.6666666666667</v>
      </c>
      <c r="V1647" s="115">
        <v>-8.2</v>
      </c>
      <c r="W1647" s="115">
        <v>-8.42857142857143</v>
      </c>
      <c r="X1647" s="215">
        <v>-0.0870515179392824</v>
      </c>
      <c r="Y1647" s="215">
        <v>0.0754716981132075</v>
      </c>
      <c r="Z1647" s="215">
        <v>-0.258620689655172</v>
      </c>
      <c r="AA1647" s="154"/>
      <c r="AB1647" s="154"/>
      <c r="AC1647" s="154"/>
      <c r="AD1647" s="154"/>
    </row>
    <row r="1648" ht="14.45" customHeight="1" spans="1:26">
      <c r="A1648" s="103">
        <v>45086</v>
      </c>
      <c r="B1648" s="104" t="s">
        <v>25</v>
      </c>
      <c r="C1648" s="218">
        <v>2495</v>
      </c>
      <c r="D1648" s="218"/>
      <c r="E1648" s="217">
        <v>38</v>
      </c>
      <c r="F1648" s="106">
        <v>0.0152304609218437</v>
      </c>
      <c r="G1648" s="107">
        <v>12</v>
      </c>
      <c r="H1648" s="106">
        <v>0.315789473684211</v>
      </c>
      <c r="I1648" s="106"/>
      <c r="J1648" s="106"/>
      <c r="K1648" s="106"/>
      <c r="L1648" s="213">
        <v>109</v>
      </c>
      <c r="M1648" s="213">
        <v>133.333333333333</v>
      </c>
      <c r="N1648" s="213">
        <v>42.8000000000002</v>
      </c>
      <c r="O1648" s="213">
        <v>-205.428571428572</v>
      </c>
      <c r="P1648" s="116">
        <v>4</v>
      </c>
      <c r="Q1648" s="115">
        <v>5.66666666666666</v>
      </c>
      <c r="R1648" s="115">
        <v>7.6</v>
      </c>
      <c r="S1648" s="115">
        <v>6.14285714285714</v>
      </c>
      <c r="T1648" s="108">
        <v>0</v>
      </c>
      <c r="U1648" s="108">
        <v>-1.33333333333333</v>
      </c>
      <c r="V1648" s="108">
        <v>-1.2</v>
      </c>
      <c r="W1648" s="108">
        <v>-1.71428571428571</v>
      </c>
      <c r="X1648" s="215">
        <v>0.0456831517183571</v>
      </c>
      <c r="Y1648" s="215">
        <v>0.117647058823529</v>
      </c>
      <c r="Z1648" s="215">
        <v>0</v>
      </c>
    </row>
    <row r="1649" ht="14.45" customHeight="1" spans="1:26">
      <c r="A1649" s="103">
        <v>45086</v>
      </c>
      <c r="B1649" s="104" t="s">
        <v>26</v>
      </c>
      <c r="C1649" s="218">
        <v>1505</v>
      </c>
      <c r="D1649" s="218"/>
      <c r="E1649" s="217">
        <v>3</v>
      </c>
      <c r="F1649" s="106">
        <v>0.00199335548172757</v>
      </c>
      <c r="G1649" s="107">
        <v>3</v>
      </c>
      <c r="H1649" s="106">
        <v>1</v>
      </c>
      <c r="I1649" s="106"/>
      <c r="J1649" s="106"/>
      <c r="K1649" s="106"/>
      <c r="L1649" s="213">
        <v>9</v>
      </c>
      <c r="M1649" s="213">
        <v>35.3333333333333</v>
      </c>
      <c r="N1649" s="213">
        <v>0</v>
      </c>
      <c r="O1649" s="213">
        <v>-32.1428571428571</v>
      </c>
      <c r="P1649" s="108">
        <v>-6</v>
      </c>
      <c r="Q1649" s="108">
        <v>-2.66666666666667</v>
      </c>
      <c r="R1649" s="108">
        <v>-3</v>
      </c>
      <c r="S1649" s="108">
        <v>-3.28571428571429</v>
      </c>
      <c r="T1649" s="108">
        <v>1</v>
      </c>
      <c r="U1649" s="108">
        <v>0</v>
      </c>
      <c r="V1649" s="108">
        <v>0.8</v>
      </c>
      <c r="W1649" s="108">
        <v>0.714285714285714</v>
      </c>
      <c r="X1649" s="215">
        <v>0.00601604278074866</v>
      </c>
      <c r="Y1649" s="215">
        <v>-0.666666666666667</v>
      </c>
      <c r="Z1649" s="215">
        <v>0.5</v>
      </c>
    </row>
    <row r="1650" ht="14.45" customHeight="1" spans="1:26">
      <c r="A1650" s="103">
        <v>45086</v>
      </c>
      <c r="B1650" s="104" t="s">
        <v>27</v>
      </c>
      <c r="C1650" s="218">
        <v>2866</v>
      </c>
      <c r="D1650" s="218"/>
      <c r="E1650" s="217">
        <v>48</v>
      </c>
      <c r="F1650" s="106">
        <v>0.0167480809490579</v>
      </c>
      <c r="G1650" s="107">
        <v>10</v>
      </c>
      <c r="H1650" s="106">
        <v>0.208333333333333</v>
      </c>
      <c r="I1650" s="106"/>
      <c r="J1650" s="106"/>
      <c r="K1650" s="106"/>
      <c r="L1650" s="213">
        <v>-171</v>
      </c>
      <c r="M1650" s="213">
        <v>-263.333333333333</v>
      </c>
      <c r="N1650" s="213">
        <v>-555.2</v>
      </c>
      <c r="O1650" s="213">
        <v>-809.142857142857</v>
      </c>
      <c r="P1650" s="108">
        <v>-5</v>
      </c>
      <c r="Q1650" s="108">
        <v>-9.33333333333334</v>
      </c>
      <c r="R1650" s="108">
        <v>-17.4</v>
      </c>
      <c r="S1650" s="108">
        <v>-24</v>
      </c>
      <c r="T1650" s="108">
        <v>0</v>
      </c>
      <c r="U1650" s="108">
        <v>-6.33333333333333</v>
      </c>
      <c r="V1650" s="108">
        <v>-7.2</v>
      </c>
      <c r="W1650" s="108">
        <v>-9.14285714285714</v>
      </c>
      <c r="X1650" s="215">
        <v>-0.0563055647020086</v>
      </c>
      <c r="Y1650" s="215">
        <v>-0.0943396226415094</v>
      </c>
      <c r="Z1650" s="215">
        <v>0</v>
      </c>
    </row>
    <row r="1651" ht="14.45" customHeight="1" spans="1:26">
      <c r="A1651" s="103">
        <v>45086</v>
      </c>
      <c r="B1651" s="104" t="s">
        <v>28</v>
      </c>
      <c r="C1651" s="145">
        <v>0</v>
      </c>
      <c r="D1651" s="145"/>
      <c r="E1651" s="104">
        <v>0</v>
      </c>
      <c r="F1651" s="106">
        <v>0</v>
      </c>
      <c r="G1651" s="107">
        <v>0</v>
      </c>
      <c r="H1651" s="106">
        <v>0</v>
      </c>
      <c r="I1651" s="106"/>
      <c r="J1651" s="106"/>
      <c r="K1651" s="106"/>
      <c r="L1651" s="213">
        <v>0</v>
      </c>
      <c r="M1651" s="213">
        <v>0</v>
      </c>
      <c r="N1651" s="213">
        <v>0</v>
      </c>
      <c r="O1651" s="213">
        <v>0</v>
      </c>
      <c r="P1651" s="108">
        <v>0</v>
      </c>
      <c r="Q1651" s="108">
        <v>0</v>
      </c>
      <c r="R1651" s="108">
        <v>0</v>
      </c>
      <c r="S1651" s="108">
        <v>0</v>
      </c>
      <c r="T1651" s="108">
        <v>0</v>
      </c>
      <c r="U1651" s="108">
        <v>0</v>
      </c>
      <c r="V1651" s="108">
        <v>0</v>
      </c>
      <c r="W1651" s="108">
        <v>0</v>
      </c>
      <c r="X1651" s="215" t="e">
        <v>#DIV/0!</v>
      </c>
      <c r="Y1651" s="215" t="e">
        <v>#DIV/0!</v>
      </c>
      <c r="Z1651" s="215" t="e">
        <v>#DIV/0!</v>
      </c>
    </row>
    <row r="1652" ht="14.45" customHeight="1" spans="1:26">
      <c r="A1652" s="103">
        <v>45086</v>
      </c>
      <c r="B1652" s="104" t="s">
        <v>29</v>
      </c>
      <c r="C1652" s="145">
        <v>0</v>
      </c>
      <c r="D1652" s="145"/>
      <c r="E1652" s="104">
        <v>0</v>
      </c>
      <c r="F1652" s="106">
        <v>0</v>
      </c>
      <c r="G1652" s="107">
        <v>0</v>
      </c>
      <c r="H1652" s="106">
        <v>0</v>
      </c>
      <c r="I1652" s="106"/>
      <c r="J1652" s="106"/>
      <c r="K1652" s="106"/>
      <c r="L1652" s="213">
        <v>0</v>
      </c>
      <c r="M1652" s="213">
        <v>0</v>
      </c>
      <c r="N1652" s="213">
        <v>0</v>
      </c>
      <c r="O1652" s="213">
        <v>0</v>
      </c>
      <c r="P1652" s="108">
        <v>0</v>
      </c>
      <c r="Q1652" s="108">
        <v>0</v>
      </c>
      <c r="R1652" s="108">
        <v>0</v>
      </c>
      <c r="S1652" s="108">
        <v>0</v>
      </c>
      <c r="T1652" s="108">
        <v>0</v>
      </c>
      <c r="U1652" s="108">
        <v>0</v>
      </c>
      <c r="V1652" s="108">
        <v>0</v>
      </c>
      <c r="W1652" s="108">
        <v>0</v>
      </c>
      <c r="X1652" s="215" t="e">
        <v>#DIV/0!</v>
      </c>
      <c r="Y1652" s="215" t="e">
        <v>#DIV/0!</v>
      </c>
      <c r="Z1652" s="215" t="e">
        <v>#DIV/0!</v>
      </c>
    </row>
    <row r="1653" ht="14.45" customHeight="1" spans="1:27">
      <c r="A1653" s="103">
        <v>45086</v>
      </c>
      <c r="B1653" s="104" t="s">
        <v>30</v>
      </c>
      <c r="C1653" s="145">
        <v>0</v>
      </c>
      <c r="D1653" s="145"/>
      <c r="E1653" s="104">
        <v>0</v>
      </c>
      <c r="F1653" s="106">
        <v>0</v>
      </c>
      <c r="G1653" s="107">
        <v>0</v>
      </c>
      <c r="H1653" s="106">
        <v>0</v>
      </c>
      <c r="I1653" s="106"/>
      <c r="J1653" s="106"/>
      <c r="K1653" s="106"/>
      <c r="L1653" s="213">
        <v>0</v>
      </c>
      <c r="M1653" s="213">
        <v>0</v>
      </c>
      <c r="N1653" s="213">
        <v>0</v>
      </c>
      <c r="O1653" s="213">
        <v>0</v>
      </c>
      <c r="P1653" s="108">
        <v>0</v>
      </c>
      <c r="Q1653" s="108">
        <v>0</v>
      </c>
      <c r="R1653" s="108">
        <v>0</v>
      </c>
      <c r="S1653" s="108">
        <v>0</v>
      </c>
      <c r="T1653" s="108">
        <v>0</v>
      </c>
      <c r="U1653" s="108">
        <v>0</v>
      </c>
      <c r="V1653" s="108">
        <v>0</v>
      </c>
      <c r="W1653" s="108">
        <v>0</v>
      </c>
      <c r="X1653" s="168"/>
      <c r="Y1653" s="168"/>
      <c r="Z1653" s="169"/>
      <c r="AA1653" s="169"/>
    </row>
    <row r="1654" ht="14.45" customHeight="1" spans="1:27">
      <c r="A1654" s="103">
        <v>45086</v>
      </c>
      <c r="B1654" s="104" t="s">
        <v>31</v>
      </c>
      <c r="C1654" s="145">
        <v>0</v>
      </c>
      <c r="D1654" s="145"/>
      <c r="E1654" s="104">
        <v>0</v>
      </c>
      <c r="F1654" s="106">
        <v>0</v>
      </c>
      <c r="G1654" s="107">
        <v>0</v>
      </c>
      <c r="H1654" s="106">
        <v>0</v>
      </c>
      <c r="I1654" s="106"/>
      <c r="J1654" s="106"/>
      <c r="K1654" s="106"/>
      <c r="L1654" s="213">
        <v>0</v>
      </c>
      <c r="M1654" s="213">
        <v>0</v>
      </c>
      <c r="N1654" s="213">
        <v>0</v>
      </c>
      <c r="O1654" s="213">
        <v>0</v>
      </c>
      <c r="P1654" s="108">
        <v>0</v>
      </c>
      <c r="Q1654" s="108">
        <v>0</v>
      </c>
      <c r="R1654" s="108">
        <v>0</v>
      </c>
      <c r="S1654" s="108">
        <v>0</v>
      </c>
      <c r="T1654" s="108">
        <v>0</v>
      </c>
      <c r="U1654" s="108">
        <v>0</v>
      </c>
      <c r="V1654" s="108">
        <v>0</v>
      </c>
      <c r="W1654" s="108">
        <v>0</v>
      </c>
      <c r="X1654" s="168"/>
      <c r="Y1654" s="168"/>
      <c r="Z1654" s="169"/>
      <c r="AA1654" s="169"/>
    </row>
    <row r="1655" ht="14.45" customHeight="1" spans="1:27">
      <c r="A1655" s="103">
        <v>45086</v>
      </c>
      <c r="B1655" s="104" t="s">
        <v>32</v>
      </c>
      <c r="C1655" s="145">
        <v>0</v>
      </c>
      <c r="D1655" s="145"/>
      <c r="E1655" s="104">
        <v>0</v>
      </c>
      <c r="F1655" s="106">
        <v>0</v>
      </c>
      <c r="G1655" s="107">
        <v>0</v>
      </c>
      <c r="H1655" s="106">
        <v>0</v>
      </c>
      <c r="I1655" s="106"/>
      <c r="J1655" s="106"/>
      <c r="K1655" s="106"/>
      <c r="L1655" s="213">
        <v>0</v>
      </c>
      <c r="M1655" s="213">
        <v>0</v>
      </c>
      <c r="N1655" s="213">
        <v>0</v>
      </c>
      <c r="O1655" s="213">
        <v>0</v>
      </c>
      <c r="P1655" s="108">
        <v>0</v>
      </c>
      <c r="Q1655" s="108">
        <v>0</v>
      </c>
      <c r="R1655" s="108">
        <v>0</v>
      </c>
      <c r="S1655" s="108">
        <v>0</v>
      </c>
      <c r="T1655" s="108">
        <v>0</v>
      </c>
      <c r="U1655" s="108">
        <v>0</v>
      </c>
      <c r="V1655" s="108">
        <v>0</v>
      </c>
      <c r="W1655" s="108">
        <v>0</v>
      </c>
      <c r="X1655" s="168"/>
      <c r="Y1655" s="168"/>
      <c r="Z1655" s="169"/>
      <c r="AA1655" s="169"/>
    </row>
    <row r="1656" spans="1:23">
      <c r="A1656" s="103">
        <v>45086</v>
      </c>
      <c r="B1656" s="104" t="s">
        <v>33</v>
      </c>
      <c r="C1656" s="145">
        <v>0</v>
      </c>
      <c r="D1656" s="145"/>
      <c r="E1656" s="104">
        <v>0</v>
      </c>
      <c r="F1656" s="106">
        <v>0</v>
      </c>
      <c r="G1656" s="107">
        <v>0</v>
      </c>
      <c r="H1656" s="106">
        <v>0</v>
      </c>
      <c r="I1656" s="106"/>
      <c r="J1656" s="106"/>
      <c r="K1656" s="106"/>
      <c r="L1656" s="213">
        <v>0</v>
      </c>
      <c r="M1656" s="213">
        <v>0</v>
      </c>
      <c r="N1656" s="213">
        <v>0</v>
      </c>
      <c r="O1656" s="213">
        <v>0</v>
      </c>
      <c r="P1656" s="108">
        <v>0</v>
      </c>
      <c r="Q1656" s="108">
        <v>0</v>
      </c>
      <c r="R1656" s="108">
        <v>0</v>
      </c>
      <c r="S1656" s="108">
        <v>0</v>
      </c>
      <c r="T1656" s="108">
        <v>0</v>
      </c>
      <c r="U1656" s="108">
        <v>0</v>
      </c>
      <c r="V1656" s="108">
        <v>0</v>
      </c>
      <c r="W1656" s="108">
        <v>0</v>
      </c>
    </row>
    <row r="1657" spans="1:23">
      <c r="A1657" s="103">
        <v>45086</v>
      </c>
      <c r="B1657" s="104" t="s">
        <v>34</v>
      </c>
      <c r="C1657" s="145">
        <v>0</v>
      </c>
      <c r="D1657" s="145"/>
      <c r="E1657" s="104">
        <v>0</v>
      </c>
      <c r="F1657" s="106">
        <v>0</v>
      </c>
      <c r="G1657" s="107">
        <v>0</v>
      </c>
      <c r="H1657" s="106">
        <v>0</v>
      </c>
      <c r="I1657" s="106"/>
      <c r="J1657" s="106"/>
      <c r="K1657" s="106"/>
      <c r="L1657" s="213">
        <v>0</v>
      </c>
      <c r="M1657" s="213">
        <v>0</v>
      </c>
      <c r="N1657" s="213">
        <v>0</v>
      </c>
      <c r="O1657" s="213">
        <v>0</v>
      </c>
      <c r="P1657" s="108">
        <v>0</v>
      </c>
      <c r="Q1657" s="108">
        <v>0</v>
      </c>
      <c r="R1657" s="108">
        <v>-0.2</v>
      </c>
      <c r="S1657" s="108">
        <v>-0.142857142857143</v>
      </c>
      <c r="T1657" s="108">
        <v>0</v>
      </c>
      <c r="U1657" s="108">
        <v>0</v>
      </c>
      <c r="V1657" s="108">
        <v>-0.2</v>
      </c>
      <c r="W1657" s="108">
        <v>-0.142857142857143</v>
      </c>
    </row>
    <row r="1658" spans="1:23">
      <c r="A1658" s="103">
        <v>45086</v>
      </c>
      <c r="B1658" s="104" t="s">
        <v>35</v>
      </c>
      <c r="C1658" s="145">
        <v>0</v>
      </c>
      <c r="D1658" s="145"/>
      <c r="E1658" s="104">
        <v>0</v>
      </c>
      <c r="F1658" s="106">
        <v>0</v>
      </c>
      <c r="G1658" s="107">
        <v>0</v>
      </c>
      <c r="H1658" s="106">
        <v>0</v>
      </c>
      <c r="I1658" s="106"/>
      <c r="J1658" s="106"/>
      <c r="K1658" s="106"/>
      <c r="L1658" s="213">
        <v>0</v>
      </c>
      <c r="M1658" s="213">
        <v>0</v>
      </c>
      <c r="N1658" s="213">
        <v>0</v>
      </c>
      <c r="O1658" s="213">
        <v>0</v>
      </c>
      <c r="P1658" s="108">
        <v>0</v>
      </c>
      <c r="Q1658" s="108">
        <v>0</v>
      </c>
      <c r="R1658" s="108">
        <v>0</v>
      </c>
      <c r="S1658" s="108">
        <v>0</v>
      </c>
      <c r="T1658" s="108">
        <v>0</v>
      </c>
      <c r="U1658" s="108">
        <v>0</v>
      </c>
      <c r="V1658" s="108">
        <v>0</v>
      </c>
      <c r="W1658" s="108">
        <v>0</v>
      </c>
    </row>
    <row r="1659" spans="1:23">
      <c r="A1659" s="103">
        <v>45086</v>
      </c>
      <c r="B1659" s="104" t="s">
        <v>36</v>
      </c>
      <c r="C1659" s="145">
        <v>0</v>
      </c>
      <c r="D1659" s="145"/>
      <c r="E1659" s="104">
        <v>0</v>
      </c>
      <c r="F1659" s="106">
        <v>0</v>
      </c>
      <c r="G1659" s="107">
        <v>0</v>
      </c>
      <c r="H1659" s="106">
        <v>0</v>
      </c>
      <c r="I1659" s="106"/>
      <c r="J1659" s="106"/>
      <c r="K1659" s="106"/>
      <c r="L1659" s="213">
        <v>0</v>
      </c>
      <c r="M1659" s="213">
        <v>0</v>
      </c>
      <c r="N1659" s="213">
        <v>0</v>
      </c>
      <c r="O1659" s="213">
        <v>0</v>
      </c>
      <c r="P1659" s="108">
        <v>0</v>
      </c>
      <c r="Q1659" s="108">
        <v>0</v>
      </c>
      <c r="R1659" s="108">
        <v>0</v>
      </c>
      <c r="S1659" s="108">
        <v>0</v>
      </c>
      <c r="T1659" s="108">
        <v>0</v>
      </c>
      <c r="U1659" s="108">
        <v>0</v>
      </c>
      <c r="V1659" s="108">
        <v>0</v>
      </c>
      <c r="W1659" s="108">
        <v>0</v>
      </c>
    </row>
    <row r="1660" spans="1:23">
      <c r="A1660" s="103">
        <v>45086</v>
      </c>
      <c r="B1660" s="104" t="s">
        <v>37</v>
      </c>
      <c r="C1660" s="145">
        <v>0</v>
      </c>
      <c r="D1660" s="145"/>
      <c r="E1660" s="104">
        <v>0</v>
      </c>
      <c r="F1660" s="106">
        <v>0</v>
      </c>
      <c r="G1660" s="107">
        <v>1</v>
      </c>
      <c r="H1660" s="106">
        <v>1</v>
      </c>
      <c r="I1660" s="106"/>
      <c r="J1660" s="106"/>
      <c r="K1660" s="106"/>
      <c r="L1660" s="213">
        <v>0</v>
      </c>
      <c r="M1660" s="213">
        <v>0</v>
      </c>
      <c r="N1660" s="213">
        <v>0</v>
      </c>
      <c r="O1660" s="213">
        <v>0</v>
      </c>
      <c r="P1660" s="108">
        <v>0</v>
      </c>
      <c r="Q1660" s="108">
        <v>-0.333333333333333</v>
      </c>
      <c r="R1660" s="108">
        <v>-0.6</v>
      </c>
      <c r="S1660" s="108">
        <v>-0.428571428571429</v>
      </c>
      <c r="T1660" s="108">
        <v>1</v>
      </c>
      <c r="U1660" s="108">
        <v>0.666666666666667</v>
      </c>
      <c r="V1660" s="108">
        <v>0.8</v>
      </c>
      <c r="W1660" s="108">
        <v>0.857142857142857</v>
      </c>
    </row>
    <row r="1661" spans="1:23">
      <c r="A1661" s="103">
        <v>45086</v>
      </c>
      <c r="B1661" s="104" t="s">
        <v>38</v>
      </c>
      <c r="C1661" s="145">
        <v>0</v>
      </c>
      <c r="D1661" s="145"/>
      <c r="E1661" s="104">
        <v>0</v>
      </c>
      <c r="F1661" s="106">
        <v>0</v>
      </c>
      <c r="G1661" s="107">
        <v>0</v>
      </c>
      <c r="H1661" s="106">
        <v>0</v>
      </c>
      <c r="I1661" s="106"/>
      <c r="J1661" s="106"/>
      <c r="K1661" s="106"/>
      <c r="L1661" s="213">
        <v>0</v>
      </c>
      <c r="M1661" s="213">
        <v>0</v>
      </c>
      <c r="N1661" s="213">
        <v>0</v>
      </c>
      <c r="O1661" s="213">
        <v>0</v>
      </c>
      <c r="P1661" s="108">
        <v>0</v>
      </c>
      <c r="Q1661" s="108">
        <v>0</v>
      </c>
      <c r="R1661" s="108">
        <v>0</v>
      </c>
      <c r="S1661" s="108">
        <v>0</v>
      </c>
      <c r="T1661" s="108">
        <v>0</v>
      </c>
      <c r="U1661" s="108">
        <v>0</v>
      </c>
      <c r="V1661" s="108">
        <v>0</v>
      </c>
      <c r="W1661" s="108">
        <v>0</v>
      </c>
    </row>
    <row r="1662" spans="1:23">
      <c r="A1662" s="103">
        <v>45086</v>
      </c>
      <c r="B1662" s="111" t="s">
        <v>39</v>
      </c>
      <c r="C1662" s="112">
        <v>22375</v>
      </c>
      <c r="D1662" s="112"/>
      <c r="E1662" s="112">
        <v>530</v>
      </c>
      <c r="F1662" s="113">
        <v>0.0236871508379888</v>
      </c>
      <c r="G1662" s="112">
        <v>135</v>
      </c>
      <c r="H1662" s="113">
        <v>0.254716981132075</v>
      </c>
      <c r="I1662" s="113"/>
      <c r="J1662" s="113"/>
      <c r="K1662" s="113"/>
      <c r="L1662" s="213"/>
      <c r="M1662" s="213"/>
      <c r="N1662" s="213"/>
      <c r="O1662" s="213"/>
      <c r="P1662" s="108"/>
      <c r="Q1662" s="108"/>
      <c r="R1662" s="108"/>
      <c r="S1662" s="108"/>
      <c r="T1662" s="108"/>
      <c r="U1662" s="108"/>
      <c r="V1662" s="108"/>
      <c r="W1662" s="108"/>
    </row>
    <row r="1663" ht="14.45" customHeight="1" spans="1:30">
      <c r="A1663" s="103">
        <v>45087</v>
      </c>
      <c r="B1663" s="104" t="s">
        <v>17</v>
      </c>
      <c r="C1663" s="216">
        <v>3</v>
      </c>
      <c r="D1663" s="216"/>
      <c r="E1663" s="217">
        <v>27</v>
      </c>
      <c r="F1663" s="106">
        <v>9</v>
      </c>
      <c r="G1663" s="107">
        <v>6</v>
      </c>
      <c r="H1663" s="106">
        <v>0.222222222222222</v>
      </c>
      <c r="I1663" s="106"/>
      <c r="J1663" s="106"/>
      <c r="K1663" s="106"/>
      <c r="L1663" s="213">
        <v>1</v>
      </c>
      <c r="M1663" s="213">
        <v>0.666666666666667</v>
      </c>
      <c r="N1663" s="213">
        <v>0.8</v>
      </c>
      <c r="O1663" s="213">
        <v>0.857142857142857</v>
      </c>
      <c r="P1663" s="108">
        <v>4</v>
      </c>
      <c r="Q1663" s="108">
        <v>3</v>
      </c>
      <c r="R1663" s="108">
        <v>2</v>
      </c>
      <c r="S1663" s="108">
        <v>4.71428571428572</v>
      </c>
      <c r="T1663" s="108">
        <v>1</v>
      </c>
      <c r="U1663" s="108">
        <v>2</v>
      </c>
      <c r="V1663" s="108">
        <v>1.2</v>
      </c>
      <c r="W1663" s="108">
        <v>2</v>
      </c>
      <c r="X1663" s="215">
        <v>0.5</v>
      </c>
      <c r="Y1663" s="215">
        <v>0.173913043478261</v>
      </c>
      <c r="Z1663" s="215">
        <v>0.2</v>
      </c>
      <c r="AD1663" t="s">
        <v>18</v>
      </c>
    </row>
    <row r="1664" ht="14.45" customHeight="1" spans="1:30">
      <c r="A1664" s="103">
        <v>45087</v>
      </c>
      <c r="B1664" s="104" t="s">
        <v>19</v>
      </c>
      <c r="C1664" s="216">
        <v>587</v>
      </c>
      <c r="D1664" s="216"/>
      <c r="E1664" s="217">
        <v>16</v>
      </c>
      <c r="F1664" s="106">
        <v>0.0272572402044293</v>
      </c>
      <c r="G1664" s="107">
        <v>9</v>
      </c>
      <c r="H1664" s="106">
        <v>0.5625</v>
      </c>
      <c r="I1664" s="106"/>
      <c r="J1664" s="106"/>
      <c r="K1664" s="106"/>
      <c r="L1664" s="213">
        <v>-11</v>
      </c>
      <c r="M1664" s="213">
        <v>24</v>
      </c>
      <c r="N1664" s="213">
        <v>95.4</v>
      </c>
      <c r="O1664" s="213">
        <v>114.857142857143</v>
      </c>
      <c r="P1664" s="108">
        <v>5</v>
      </c>
      <c r="Q1664" s="108">
        <v>1.33333333333333</v>
      </c>
      <c r="R1664" s="108">
        <v>2.4</v>
      </c>
      <c r="S1664" s="108">
        <v>2.57142857142857</v>
      </c>
      <c r="T1664" s="108">
        <v>2</v>
      </c>
      <c r="U1664" s="108">
        <v>2</v>
      </c>
      <c r="V1664" s="108">
        <v>2.4</v>
      </c>
      <c r="W1664" s="115">
        <v>3.28571428571429</v>
      </c>
      <c r="X1664" s="215">
        <v>-0.0183946488294314</v>
      </c>
      <c r="Y1664" s="215">
        <v>0.454545454545455</v>
      </c>
      <c r="Z1664" s="215">
        <v>0.285714285714286</v>
      </c>
      <c r="AA1664" s="154"/>
      <c r="AB1664" s="154"/>
      <c r="AC1664" s="154"/>
      <c r="AD1664" s="154"/>
    </row>
    <row r="1665" ht="14.45" customHeight="1" spans="1:26">
      <c r="A1665" s="103">
        <v>45087</v>
      </c>
      <c r="B1665" s="104" t="s">
        <v>21</v>
      </c>
      <c r="C1665" s="218">
        <v>316</v>
      </c>
      <c r="D1665" s="218"/>
      <c r="E1665" s="217">
        <v>12</v>
      </c>
      <c r="F1665" s="106">
        <v>0.0379746835443038</v>
      </c>
      <c r="G1665" s="107">
        <v>6</v>
      </c>
      <c r="H1665" s="106">
        <v>0.5</v>
      </c>
      <c r="I1665" s="106"/>
      <c r="J1665" s="106"/>
      <c r="K1665" s="106"/>
      <c r="L1665" s="213">
        <v>40</v>
      </c>
      <c r="M1665" s="213">
        <v>40</v>
      </c>
      <c r="N1665" s="213">
        <v>40</v>
      </c>
      <c r="O1665" s="213">
        <v>40.4285714285714</v>
      </c>
      <c r="P1665" s="108">
        <v>-1</v>
      </c>
      <c r="Q1665" s="108">
        <v>-3.33333333333333</v>
      </c>
      <c r="R1665" s="108">
        <v>-3.6</v>
      </c>
      <c r="S1665" s="108">
        <v>-4.28571428571428</v>
      </c>
      <c r="T1665" s="108">
        <v>0</v>
      </c>
      <c r="U1665" s="108">
        <v>0</v>
      </c>
      <c r="V1665" s="108">
        <v>0</v>
      </c>
      <c r="W1665" s="108">
        <v>0</v>
      </c>
      <c r="X1665" s="215">
        <v>0.144927536231884</v>
      </c>
      <c r="Y1665" s="215">
        <v>-0.0769230769230769</v>
      </c>
      <c r="Z1665" s="215">
        <v>0</v>
      </c>
    </row>
    <row r="1666" ht="18.95" customHeight="1" spans="1:30">
      <c r="A1666" s="103">
        <v>45087</v>
      </c>
      <c r="B1666" s="104" t="s">
        <v>22</v>
      </c>
      <c r="C1666" s="218">
        <v>5254</v>
      </c>
      <c r="D1666" s="218"/>
      <c r="E1666" s="217">
        <v>206</v>
      </c>
      <c r="F1666" s="106">
        <v>0.0392082223068139</v>
      </c>
      <c r="G1666" s="107">
        <v>63</v>
      </c>
      <c r="H1666" s="106">
        <v>0.305825242718447</v>
      </c>
      <c r="I1666" s="106"/>
      <c r="J1666" s="106"/>
      <c r="K1666" s="106"/>
      <c r="L1666" s="213">
        <v>149</v>
      </c>
      <c r="M1666" s="213">
        <v>341.333333333333</v>
      </c>
      <c r="N1666" s="213">
        <v>566.6</v>
      </c>
      <c r="O1666" s="213">
        <v>685.571428571428</v>
      </c>
      <c r="P1666" s="108">
        <v>43</v>
      </c>
      <c r="Q1666" s="108">
        <v>70.3333333333333</v>
      </c>
      <c r="R1666" s="108">
        <v>85.8</v>
      </c>
      <c r="S1666" s="115">
        <v>82</v>
      </c>
      <c r="T1666" s="108">
        <v>17</v>
      </c>
      <c r="U1666" s="108">
        <v>15.3333333333333</v>
      </c>
      <c r="V1666" s="108">
        <v>20</v>
      </c>
      <c r="W1666" s="117">
        <v>18.8571428571429</v>
      </c>
      <c r="X1666" s="215">
        <v>0.0291870714985309</v>
      </c>
      <c r="Y1666" s="215">
        <v>0.263803680981595</v>
      </c>
      <c r="Z1666" s="215">
        <v>0.369565217391304</v>
      </c>
      <c r="AA1666" s="154"/>
      <c r="AB1666" s="154"/>
      <c r="AC1666" s="154"/>
      <c r="AD1666" s="154"/>
    </row>
    <row r="1667" ht="14.45" customHeight="1" spans="1:26">
      <c r="A1667" s="103">
        <v>45087</v>
      </c>
      <c r="B1667" s="104" t="s">
        <v>23</v>
      </c>
      <c r="C1667" s="218">
        <v>1580</v>
      </c>
      <c r="D1667" s="218"/>
      <c r="E1667" s="217">
        <v>11</v>
      </c>
      <c r="F1667" s="106">
        <v>0.0069620253164557</v>
      </c>
      <c r="G1667" s="107">
        <v>2</v>
      </c>
      <c r="H1667" s="106">
        <v>0.181818181818182</v>
      </c>
      <c r="I1667" s="106"/>
      <c r="J1667" s="106"/>
      <c r="K1667" s="106"/>
      <c r="L1667" s="213">
        <v>-9</v>
      </c>
      <c r="M1667" s="213">
        <v>-75</v>
      </c>
      <c r="N1667" s="213">
        <v>-93</v>
      </c>
      <c r="O1667" s="213">
        <v>-127.142857142857</v>
      </c>
      <c r="P1667" s="108">
        <v>8</v>
      </c>
      <c r="Q1667" s="108">
        <v>3.66666666666667</v>
      </c>
      <c r="R1667" s="108">
        <v>3.4</v>
      </c>
      <c r="S1667" s="108">
        <v>3.14285714285714</v>
      </c>
      <c r="T1667" s="108">
        <v>0</v>
      </c>
      <c r="U1667" s="116">
        <v>-1</v>
      </c>
      <c r="V1667" s="108">
        <v>-0.6</v>
      </c>
      <c r="W1667" s="108">
        <v>-0.857142857142857</v>
      </c>
      <c r="X1667" s="215">
        <v>-0.00566393958464443</v>
      </c>
      <c r="Y1667" s="215">
        <v>2.66666666666667</v>
      </c>
      <c r="Z1667" s="215">
        <v>0</v>
      </c>
    </row>
    <row r="1668" ht="14.45" customHeight="1" spans="1:30">
      <c r="A1668" s="103">
        <v>45087</v>
      </c>
      <c r="B1668" s="104" t="s">
        <v>24</v>
      </c>
      <c r="C1668" s="218">
        <v>8711</v>
      </c>
      <c r="D1668" s="218"/>
      <c r="E1668" s="217">
        <v>304</v>
      </c>
      <c r="F1668" s="106">
        <v>0.0348984043163816</v>
      </c>
      <c r="G1668" s="107">
        <v>65</v>
      </c>
      <c r="H1668" s="106">
        <v>0.213815789473684</v>
      </c>
      <c r="I1668" s="106"/>
      <c r="J1668" s="106"/>
      <c r="K1668" s="106"/>
      <c r="L1668" s="213">
        <v>772</v>
      </c>
      <c r="M1668" s="213">
        <v>275</v>
      </c>
      <c r="N1668" s="213">
        <v>227.4</v>
      </c>
      <c r="O1668" s="213">
        <v>1010.57142857143</v>
      </c>
      <c r="P1668" s="115">
        <v>76</v>
      </c>
      <c r="Q1668" s="115">
        <v>95.3333333333333</v>
      </c>
      <c r="R1668" s="115">
        <v>104</v>
      </c>
      <c r="S1668" s="115">
        <v>108.857142857143</v>
      </c>
      <c r="T1668" s="115">
        <v>22</v>
      </c>
      <c r="U1668" s="115">
        <v>12.6666666666667</v>
      </c>
      <c r="V1668" s="115">
        <v>14.2</v>
      </c>
      <c r="W1668" s="115">
        <v>15.8571428571429</v>
      </c>
      <c r="X1668" s="215">
        <v>0.0972414661796196</v>
      </c>
      <c r="Y1668" s="215">
        <v>0.333333333333333</v>
      </c>
      <c r="Z1668" s="215">
        <v>0.511627906976744</v>
      </c>
      <c r="AA1668" s="154"/>
      <c r="AB1668" s="154"/>
      <c r="AC1668" s="154"/>
      <c r="AD1668" s="154"/>
    </row>
    <row r="1669" ht="14.45" customHeight="1" spans="1:26">
      <c r="A1669" s="103">
        <v>45087</v>
      </c>
      <c r="B1669" s="104" t="s">
        <v>25</v>
      </c>
      <c r="C1669" s="218">
        <v>3347</v>
      </c>
      <c r="D1669" s="218"/>
      <c r="E1669" s="217">
        <v>69</v>
      </c>
      <c r="F1669" s="106">
        <v>0.0206154765461607</v>
      </c>
      <c r="G1669" s="107">
        <v>16</v>
      </c>
      <c r="H1669" s="106">
        <v>0.231884057971014</v>
      </c>
      <c r="I1669" s="106"/>
      <c r="J1669" s="106"/>
      <c r="K1669" s="106"/>
      <c r="L1669" s="213">
        <v>852</v>
      </c>
      <c r="M1669" s="213">
        <v>941</v>
      </c>
      <c r="N1669" s="213">
        <v>942.6</v>
      </c>
      <c r="O1669" s="213">
        <v>822.142857142857</v>
      </c>
      <c r="P1669" s="116">
        <v>31</v>
      </c>
      <c r="Q1669" s="115">
        <v>33.3333333333333</v>
      </c>
      <c r="R1669" s="115">
        <v>36.8</v>
      </c>
      <c r="S1669" s="115">
        <v>36</v>
      </c>
      <c r="T1669" s="108">
        <v>4</v>
      </c>
      <c r="U1669" s="108">
        <v>2</v>
      </c>
      <c r="V1669" s="108">
        <v>3</v>
      </c>
      <c r="W1669" s="108">
        <v>2.42857142857143</v>
      </c>
      <c r="X1669" s="215">
        <v>0.341482965931864</v>
      </c>
      <c r="Y1669" s="215">
        <v>0.815789473684211</v>
      </c>
      <c r="Z1669" s="215">
        <v>0.333333333333333</v>
      </c>
    </row>
    <row r="1670" ht="14.45" customHeight="1" spans="1:26">
      <c r="A1670" s="103">
        <v>45087</v>
      </c>
      <c r="B1670" s="104" t="s">
        <v>26</v>
      </c>
      <c r="C1670" s="218">
        <v>1485</v>
      </c>
      <c r="D1670" s="218"/>
      <c r="E1670" s="217">
        <v>5</v>
      </c>
      <c r="F1670" s="106">
        <v>0.00336700336700337</v>
      </c>
      <c r="G1670" s="107">
        <v>0</v>
      </c>
      <c r="H1670" s="106">
        <v>0</v>
      </c>
      <c r="I1670" s="106"/>
      <c r="J1670" s="106"/>
      <c r="K1670" s="106"/>
      <c r="L1670" s="213">
        <v>-20</v>
      </c>
      <c r="M1670" s="213">
        <v>-1</v>
      </c>
      <c r="N1670" s="213">
        <v>-13.8</v>
      </c>
      <c r="O1670" s="213">
        <v>-28.8571428571429</v>
      </c>
      <c r="P1670" s="108">
        <v>2</v>
      </c>
      <c r="Q1670" s="108">
        <v>-0.333333333333333</v>
      </c>
      <c r="R1670" s="108">
        <v>-0.2</v>
      </c>
      <c r="S1670" s="108">
        <v>-0.285714285714286</v>
      </c>
      <c r="T1670" s="108">
        <v>-3</v>
      </c>
      <c r="U1670" s="108">
        <v>-2.66666666666667</v>
      </c>
      <c r="V1670" s="108">
        <v>-2.6</v>
      </c>
      <c r="W1670" s="108">
        <v>-2.57142857142857</v>
      </c>
      <c r="X1670" s="215">
        <v>-0.0132890365448505</v>
      </c>
      <c r="Y1670" s="215">
        <v>0.666666666666667</v>
      </c>
      <c r="Z1670" s="215">
        <v>-1</v>
      </c>
    </row>
    <row r="1671" ht="14.45" customHeight="1" spans="1:26">
      <c r="A1671" s="103">
        <v>45087</v>
      </c>
      <c r="B1671" s="104" t="s">
        <v>27</v>
      </c>
      <c r="C1671" s="218">
        <v>3321</v>
      </c>
      <c r="D1671" s="218"/>
      <c r="E1671" s="217">
        <v>53</v>
      </c>
      <c r="F1671" s="106">
        <v>0.0159590484793737</v>
      </c>
      <c r="G1671" s="107">
        <v>7</v>
      </c>
      <c r="H1671" s="106">
        <v>0.132075471698113</v>
      </c>
      <c r="I1671" s="106"/>
      <c r="J1671" s="106"/>
      <c r="K1671" s="106"/>
      <c r="L1671" s="213">
        <v>455</v>
      </c>
      <c r="M1671" s="213">
        <v>305.666666666667</v>
      </c>
      <c r="N1671" s="213">
        <v>151.8</v>
      </c>
      <c r="O1671" s="213">
        <v>-146</v>
      </c>
      <c r="P1671" s="108">
        <v>5</v>
      </c>
      <c r="Q1671" s="108">
        <v>-0.666666666666664</v>
      </c>
      <c r="R1671" s="108">
        <v>-4</v>
      </c>
      <c r="S1671" s="108">
        <v>-13.2857142857143</v>
      </c>
      <c r="T1671" s="108">
        <v>-3</v>
      </c>
      <c r="U1671" s="108">
        <v>-7.66666666666667</v>
      </c>
      <c r="V1671" s="108">
        <v>-7</v>
      </c>
      <c r="W1671" s="108">
        <v>-10.2857142857143</v>
      </c>
      <c r="X1671" s="215">
        <v>0.158757850662945</v>
      </c>
      <c r="Y1671" s="215">
        <v>0.104166666666667</v>
      </c>
      <c r="Z1671" s="215">
        <v>-0.3</v>
      </c>
    </row>
    <row r="1672" ht="14.45" customHeight="1" spans="1:26">
      <c r="A1672" s="103">
        <v>45087</v>
      </c>
      <c r="B1672" s="104" t="s">
        <v>28</v>
      </c>
      <c r="C1672" s="145">
        <v>0</v>
      </c>
      <c r="D1672" s="145"/>
      <c r="E1672" s="104">
        <v>0</v>
      </c>
      <c r="F1672" s="106">
        <v>0</v>
      </c>
      <c r="G1672" s="107">
        <v>0</v>
      </c>
      <c r="H1672" s="106">
        <v>0</v>
      </c>
      <c r="I1672" s="106"/>
      <c r="J1672" s="106"/>
      <c r="K1672" s="106"/>
      <c r="L1672" s="213">
        <v>0</v>
      </c>
      <c r="M1672" s="213">
        <v>0</v>
      </c>
      <c r="N1672" s="213">
        <v>0</v>
      </c>
      <c r="O1672" s="213">
        <v>0</v>
      </c>
      <c r="P1672" s="108">
        <v>0</v>
      </c>
      <c r="Q1672" s="108">
        <v>0</v>
      </c>
      <c r="R1672" s="108">
        <v>0</v>
      </c>
      <c r="S1672" s="108">
        <v>0</v>
      </c>
      <c r="T1672" s="108">
        <v>0</v>
      </c>
      <c r="U1672" s="108">
        <v>0</v>
      </c>
      <c r="V1672" s="108">
        <v>0</v>
      </c>
      <c r="W1672" s="108">
        <v>0</v>
      </c>
      <c r="X1672" s="215" t="e">
        <v>#DIV/0!</v>
      </c>
      <c r="Y1672" s="215" t="e">
        <v>#DIV/0!</v>
      </c>
      <c r="Z1672" s="215" t="e">
        <v>#DIV/0!</v>
      </c>
    </row>
    <row r="1673" ht="14.45" customHeight="1" spans="1:26">
      <c r="A1673" s="103">
        <v>45087</v>
      </c>
      <c r="B1673" s="104" t="s">
        <v>29</v>
      </c>
      <c r="C1673" s="145">
        <v>0</v>
      </c>
      <c r="D1673" s="145"/>
      <c r="E1673" s="104">
        <v>0</v>
      </c>
      <c r="F1673" s="106">
        <v>0</v>
      </c>
      <c r="G1673" s="107">
        <v>0</v>
      </c>
      <c r="H1673" s="106">
        <v>0</v>
      </c>
      <c r="I1673" s="106"/>
      <c r="J1673" s="106"/>
      <c r="K1673" s="106"/>
      <c r="L1673" s="213">
        <v>0</v>
      </c>
      <c r="M1673" s="213">
        <v>0</v>
      </c>
      <c r="N1673" s="213">
        <v>0</v>
      </c>
      <c r="O1673" s="213">
        <v>0</v>
      </c>
      <c r="P1673" s="108">
        <v>0</v>
      </c>
      <c r="Q1673" s="108">
        <v>0</v>
      </c>
      <c r="R1673" s="108">
        <v>0</v>
      </c>
      <c r="S1673" s="108">
        <v>0</v>
      </c>
      <c r="T1673" s="108">
        <v>0</v>
      </c>
      <c r="U1673" s="108">
        <v>0</v>
      </c>
      <c r="V1673" s="108">
        <v>0</v>
      </c>
      <c r="W1673" s="108">
        <v>0</v>
      </c>
      <c r="X1673" s="215" t="e">
        <v>#DIV/0!</v>
      </c>
      <c r="Y1673" s="215" t="e">
        <v>#DIV/0!</v>
      </c>
      <c r="Z1673" s="215" t="e">
        <v>#DIV/0!</v>
      </c>
    </row>
    <row r="1674" ht="14.45" customHeight="1" spans="1:27">
      <c r="A1674" s="103">
        <v>45087</v>
      </c>
      <c r="B1674" s="104" t="s">
        <v>30</v>
      </c>
      <c r="C1674" s="145">
        <v>0</v>
      </c>
      <c r="D1674" s="145"/>
      <c r="E1674" s="104">
        <v>0</v>
      </c>
      <c r="F1674" s="106">
        <v>0</v>
      </c>
      <c r="G1674" s="107">
        <v>0</v>
      </c>
      <c r="H1674" s="106">
        <v>0</v>
      </c>
      <c r="I1674" s="106"/>
      <c r="J1674" s="106"/>
      <c r="K1674" s="106"/>
      <c r="L1674" s="213">
        <v>0</v>
      </c>
      <c r="M1674" s="213">
        <v>0</v>
      </c>
      <c r="N1674" s="213">
        <v>0</v>
      </c>
      <c r="O1674" s="213">
        <v>0</v>
      </c>
      <c r="P1674" s="108">
        <v>0</v>
      </c>
      <c r="Q1674" s="108">
        <v>0</v>
      </c>
      <c r="R1674" s="108">
        <v>0</v>
      </c>
      <c r="S1674" s="108">
        <v>0</v>
      </c>
      <c r="T1674" s="108">
        <v>0</v>
      </c>
      <c r="U1674" s="108">
        <v>0</v>
      </c>
      <c r="V1674" s="108">
        <v>0</v>
      </c>
      <c r="W1674" s="108">
        <v>0</v>
      </c>
      <c r="X1674" s="168"/>
      <c r="Y1674" s="168"/>
      <c r="Z1674" s="169"/>
      <c r="AA1674" s="169"/>
    </row>
    <row r="1675" ht="14.45" customHeight="1" spans="1:27">
      <c r="A1675" s="103">
        <v>45087</v>
      </c>
      <c r="B1675" s="104" t="s">
        <v>31</v>
      </c>
      <c r="C1675" s="145">
        <v>0</v>
      </c>
      <c r="D1675" s="145"/>
      <c r="E1675" s="104">
        <v>0</v>
      </c>
      <c r="F1675" s="106">
        <v>0</v>
      </c>
      <c r="G1675" s="107">
        <v>0</v>
      </c>
      <c r="H1675" s="106">
        <v>0</v>
      </c>
      <c r="I1675" s="106"/>
      <c r="J1675" s="106"/>
      <c r="K1675" s="106"/>
      <c r="L1675" s="213">
        <v>0</v>
      </c>
      <c r="M1675" s="213">
        <v>0</v>
      </c>
      <c r="N1675" s="213">
        <v>0</v>
      </c>
      <c r="O1675" s="213">
        <v>0</v>
      </c>
      <c r="P1675" s="108">
        <v>0</v>
      </c>
      <c r="Q1675" s="108">
        <v>0</v>
      </c>
      <c r="R1675" s="108">
        <v>0</v>
      </c>
      <c r="S1675" s="108">
        <v>0</v>
      </c>
      <c r="T1675" s="108">
        <v>0</v>
      </c>
      <c r="U1675" s="108">
        <v>0</v>
      </c>
      <c r="V1675" s="108">
        <v>0</v>
      </c>
      <c r="W1675" s="108">
        <v>0</v>
      </c>
      <c r="X1675" s="168"/>
      <c r="Y1675" s="168"/>
      <c r="Z1675" s="169"/>
      <c r="AA1675" s="169"/>
    </row>
    <row r="1676" ht="14.45" customHeight="1" spans="1:27">
      <c r="A1676" s="103">
        <v>45087</v>
      </c>
      <c r="B1676" s="104" t="s">
        <v>32</v>
      </c>
      <c r="C1676" s="145">
        <v>0</v>
      </c>
      <c r="D1676" s="145"/>
      <c r="E1676" s="104">
        <v>0</v>
      </c>
      <c r="F1676" s="106">
        <v>0</v>
      </c>
      <c r="G1676" s="107">
        <v>0</v>
      </c>
      <c r="H1676" s="106">
        <v>0</v>
      </c>
      <c r="I1676" s="106"/>
      <c r="J1676" s="106"/>
      <c r="K1676" s="106"/>
      <c r="L1676" s="213">
        <v>0</v>
      </c>
      <c r="M1676" s="213">
        <v>0</v>
      </c>
      <c r="N1676" s="213">
        <v>0</v>
      </c>
      <c r="O1676" s="213">
        <v>0</v>
      </c>
      <c r="P1676" s="108">
        <v>0</v>
      </c>
      <c r="Q1676" s="108">
        <v>0</v>
      </c>
      <c r="R1676" s="108">
        <v>0</v>
      </c>
      <c r="S1676" s="108">
        <v>0</v>
      </c>
      <c r="T1676" s="108">
        <v>0</v>
      </c>
      <c r="U1676" s="108">
        <v>0</v>
      </c>
      <c r="V1676" s="108">
        <v>0</v>
      </c>
      <c r="W1676" s="108">
        <v>0</v>
      </c>
      <c r="X1676" s="168"/>
      <c r="Y1676" s="168"/>
      <c r="Z1676" s="169"/>
      <c r="AA1676" s="169"/>
    </row>
    <row r="1677" spans="1:23">
      <c r="A1677" s="103">
        <v>45087</v>
      </c>
      <c r="B1677" s="104" t="s">
        <v>33</v>
      </c>
      <c r="C1677" s="145">
        <v>0</v>
      </c>
      <c r="D1677" s="145"/>
      <c r="E1677" s="104">
        <v>0</v>
      </c>
      <c r="F1677" s="106">
        <v>0</v>
      </c>
      <c r="G1677" s="107">
        <v>0</v>
      </c>
      <c r="H1677" s="106">
        <v>0</v>
      </c>
      <c r="I1677" s="106"/>
      <c r="J1677" s="106"/>
      <c r="K1677" s="106"/>
      <c r="L1677" s="213">
        <v>0</v>
      </c>
      <c r="M1677" s="213">
        <v>0</v>
      </c>
      <c r="N1677" s="213">
        <v>0</v>
      </c>
      <c r="O1677" s="213">
        <v>0</v>
      </c>
      <c r="P1677" s="108">
        <v>0</v>
      </c>
      <c r="Q1677" s="108">
        <v>0</v>
      </c>
      <c r="R1677" s="108">
        <v>0</v>
      </c>
      <c r="S1677" s="108">
        <v>0</v>
      </c>
      <c r="T1677" s="108">
        <v>0</v>
      </c>
      <c r="U1677" s="108">
        <v>0</v>
      </c>
      <c r="V1677" s="108">
        <v>0</v>
      </c>
      <c r="W1677" s="108">
        <v>0</v>
      </c>
    </row>
    <row r="1678" spans="1:23">
      <c r="A1678" s="103">
        <v>45087</v>
      </c>
      <c r="B1678" s="104" t="s">
        <v>34</v>
      </c>
      <c r="C1678" s="145">
        <v>0</v>
      </c>
      <c r="D1678" s="145"/>
      <c r="E1678" s="104">
        <v>0</v>
      </c>
      <c r="F1678" s="106">
        <v>0</v>
      </c>
      <c r="G1678" s="107">
        <v>0</v>
      </c>
      <c r="H1678" s="106">
        <v>0</v>
      </c>
      <c r="I1678" s="106"/>
      <c r="J1678" s="106"/>
      <c r="K1678" s="106"/>
      <c r="L1678" s="213">
        <v>0</v>
      </c>
      <c r="M1678" s="213">
        <v>0</v>
      </c>
      <c r="N1678" s="213">
        <v>0</v>
      </c>
      <c r="O1678" s="213">
        <v>0</v>
      </c>
      <c r="P1678" s="108">
        <v>0</v>
      </c>
      <c r="Q1678" s="108">
        <v>0</v>
      </c>
      <c r="R1678" s="108">
        <v>0</v>
      </c>
      <c r="S1678" s="108">
        <v>-0.142857142857143</v>
      </c>
      <c r="T1678" s="108">
        <v>0</v>
      </c>
      <c r="U1678" s="108">
        <v>0</v>
      </c>
      <c r="V1678" s="108">
        <v>0</v>
      </c>
      <c r="W1678" s="108">
        <v>-0.142857142857143</v>
      </c>
    </row>
    <row r="1679" spans="1:23">
      <c r="A1679" s="103">
        <v>45087</v>
      </c>
      <c r="B1679" s="104" t="s">
        <v>35</v>
      </c>
      <c r="C1679" s="145">
        <v>0</v>
      </c>
      <c r="D1679" s="145"/>
      <c r="E1679" s="104">
        <v>0</v>
      </c>
      <c r="F1679" s="106">
        <v>0</v>
      </c>
      <c r="G1679" s="107">
        <v>0</v>
      </c>
      <c r="H1679" s="106">
        <v>0</v>
      </c>
      <c r="I1679" s="106"/>
      <c r="J1679" s="106"/>
      <c r="K1679" s="106"/>
      <c r="L1679" s="213">
        <v>0</v>
      </c>
      <c r="M1679" s="213">
        <v>0</v>
      </c>
      <c r="N1679" s="213">
        <v>0</v>
      </c>
      <c r="O1679" s="213">
        <v>0</v>
      </c>
      <c r="P1679" s="108">
        <v>0</v>
      </c>
      <c r="Q1679" s="108">
        <v>0</v>
      </c>
      <c r="R1679" s="108">
        <v>0</v>
      </c>
      <c r="S1679" s="108">
        <v>0</v>
      </c>
      <c r="T1679" s="108">
        <v>0</v>
      </c>
      <c r="U1679" s="108">
        <v>0</v>
      </c>
      <c r="V1679" s="108">
        <v>0</v>
      </c>
      <c r="W1679" s="108">
        <v>0</v>
      </c>
    </row>
    <row r="1680" spans="1:23">
      <c r="A1680" s="103">
        <v>45087</v>
      </c>
      <c r="B1680" s="104" t="s">
        <v>36</v>
      </c>
      <c r="C1680" s="145">
        <v>0</v>
      </c>
      <c r="D1680" s="145"/>
      <c r="E1680" s="104">
        <v>0</v>
      </c>
      <c r="F1680" s="106">
        <v>0</v>
      </c>
      <c r="G1680" s="107">
        <v>0</v>
      </c>
      <c r="H1680" s="106">
        <v>0</v>
      </c>
      <c r="I1680" s="106"/>
      <c r="J1680" s="106"/>
      <c r="K1680" s="106"/>
      <c r="L1680" s="213">
        <v>0</v>
      </c>
      <c r="M1680" s="213">
        <v>0</v>
      </c>
      <c r="N1680" s="213">
        <v>0</v>
      </c>
      <c r="O1680" s="213">
        <v>0</v>
      </c>
      <c r="P1680" s="108">
        <v>0</v>
      </c>
      <c r="Q1680" s="108">
        <v>0</v>
      </c>
      <c r="R1680" s="108">
        <v>0</v>
      </c>
      <c r="S1680" s="108">
        <v>0</v>
      </c>
      <c r="T1680" s="108">
        <v>0</v>
      </c>
      <c r="U1680" s="108">
        <v>0</v>
      </c>
      <c r="V1680" s="108">
        <v>0</v>
      </c>
      <c r="W1680" s="108">
        <v>0</v>
      </c>
    </row>
    <row r="1681" spans="1:23">
      <c r="A1681" s="103">
        <v>45087</v>
      </c>
      <c r="B1681" s="104" t="s">
        <v>37</v>
      </c>
      <c r="C1681" s="145">
        <v>0</v>
      </c>
      <c r="D1681" s="145"/>
      <c r="E1681" s="104">
        <v>0</v>
      </c>
      <c r="F1681" s="106">
        <v>0</v>
      </c>
      <c r="G1681" s="107">
        <v>0</v>
      </c>
      <c r="H1681" s="106">
        <v>0</v>
      </c>
      <c r="I1681" s="106"/>
      <c r="J1681" s="106"/>
      <c r="K1681" s="106"/>
      <c r="L1681" s="213">
        <v>0</v>
      </c>
      <c r="M1681" s="213">
        <v>0</v>
      </c>
      <c r="N1681" s="213">
        <v>0</v>
      </c>
      <c r="O1681" s="213">
        <v>0</v>
      </c>
      <c r="P1681" s="108">
        <v>0</v>
      </c>
      <c r="Q1681" s="108">
        <v>-0.333333333333333</v>
      </c>
      <c r="R1681" s="108">
        <v>-0.6</v>
      </c>
      <c r="S1681" s="108">
        <v>-0.428571428571429</v>
      </c>
      <c r="T1681" s="108">
        <v>-1</v>
      </c>
      <c r="U1681" s="108">
        <v>-0.666666666666667</v>
      </c>
      <c r="V1681" s="108">
        <v>-0.4</v>
      </c>
      <c r="W1681" s="108">
        <v>-0.285714285714286</v>
      </c>
    </row>
    <row r="1682" spans="1:23">
      <c r="A1682" s="103">
        <v>45087</v>
      </c>
      <c r="B1682" s="104" t="s">
        <v>38</v>
      </c>
      <c r="C1682" s="145">
        <v>0</v>
      </c>
      <c r="D1682" s="145"/>
      <c r="E1682" s="104">
        <v>0</v>
      </c>
      <c r="F1682" s="106">
        <v>0</v>
      </c>
      <c r="G1682" s="107">
        <v>0</v>
      </c>
      <c r="H1682" s="106">
        <v>0</v>
      </c>
      <c r="I1682" s="106"/>
      <c r="J1682" s="106"/>
      <c r="K1682" s="106"/>
      <c r="L1682" s="213">
        <v>0</v>
      </c>
      <c r="M1682" s="213">
        <v>0</v>
      </c>
      <c r="N1682" s="213">
        <v>0</v>
      </c>
      <c r="O1682" s="213">
        <v>0</v>
      </c>
      <c r="P1682" s="108">
        <v>0</v>
      </c>
      <c r="Q1682" s="108">
        <v>0</v>
      </c>
      <c r="R1682" s="108">
        <v>0</v>
      </c>
      <c r="S1682" s="108">
        <v>0</v>
      </c>
      <c r="T1682" s="108">
        <v>0</v>
      </c>
      <c r="U1682" s="108">
        <v>0</v>
      </c>
      <c r="V1682" s="108">
        <v>0</v>
      </c>
      <c r="W1682" s="108">
        <v>0</v>
      </c>
    </row>
    <row r="1683" spans="1:23">
      <c r="A1683" s="103">
        <v>45087</v>
      </c>
      <c r="B1683" s="111" t="s">
        <v>39</v>
      </c>
      <c r="C1683" s="112">
        <v>24604</v>
      </c>
      <c r="D1683" s="112"/>
      <c r="E1683" s="112">
        <v>703</v>
      </c>
      <c r="F1683" s="113">
        <v>0.028572589822793</v>
      </c>
      <c r="G1683" s="112">
        <v>174</v>
      </c>
      <c r="H1683" s="113">
        <v>0.2475106685633</v>
      </c>
      <c r="I1683" s="113"/>
      <c r="J1683" s="113"/>
      <c r="K1683" s="113"/>
      <c r="L1683" s="213"/>
      <c r="M1683" s="213"/>
      <c r="N1683" s="213"/>
      <c r="O1683" s="213"/>
      <c r="P1683" s="108"/>
      <c r="Q1683" s="108"/>
      <c r="R1683" s="108"/>
      <c r="S1683" s="108"/>
      <c r="T1683" s="108"/>
      <c r="U1683" s="108"/>
      <c r="V1683" s="108"/>
      <c r="W1683" s="108"/>
    </row>
    <row r="1684" ht="14.45" customHeight="1" spans="1:30">
      <c r="A1684" s="103">
        <v>45088</v>
      </c>
      <c r="B1684" s="104" t="s">
        <v>17</v>
      </c>
      <c r="C1684" s="216">
        <v>2</v>
      </c>
      <c r="D1684" s="216"/>
      <c r="E1684" s="217">
        <v>33</v>
      </c>
      <c r="F1684" s="106">
        <v>16.5</v>
      </c>
      <c r="G1684" s="107">
        <v>3</v>
      </c>
      <c r="H1684" s="106">
        <v>0.0909090909090909</v>
      </c>
      <c r="I1684" s="106"/>
      <c r="J1684" s="106"/>
      <c r="K1684" s="106"/>
      <c r="L1684" s="213">
        <v>-1</v>
      </c>
      <c r="M1684" s="213">
        <v>-0.333333333333333</v>
      </c>
      <c r="N1684" s="213">
        <v>-0.4</v>
      </c>
      <c r="O1684" s="213">
        <v>-0.285714285714286</v>
      </c>
      <c r="P1684" s="108">
        <v>6</v>
      </c>
      <c r="Q1684" s="108">
        <v>8.33333333333333</v>
      </c>
      <c r="R1684" s="108">
        <v>7</v>
      </c>
      <c r="S1684" s="108">
        <v>9</v>
      </c>
      <c r="T1684" s="108">
        <v>-3</v>
      </c>
      <c r="U1684" s="108">
        <v>-1.66666666666667</v>
      </c>
      <c r="V1684" s="108">
        <v>-2.4</v>
      </c>
      <c r="W1684" s="108">
        <v>-1.71428571428571</v>
      </c>
      <c r="X1684" s="215">
        <v>-0.333333333333333</v>
      </c>
      <c r="Y1684" s="215">
        <v>0.222222222222222</v>
      </c>
      <c r="Z1684" s="215">
        <v>-0.5</v>
      </c>
      <c r="AD1684" t="s">
        <v>18</v>
      </c>
    </row>
    <row r="1685" ht="14.45" customHeight="1" spans="1:30">
      <c r="A1685" s="103">
        <v>45088</v>
      </c>
      <c r="B1685" s="104" t="s">
        <v>19</v>
      </c>
      <c r="C1685" s="216">
        <v>638</v>
      </c>
      <c r="D1685" s="216"/>
      <c r="E1685" s="217">
        <v>13</v>
      </c>
      <c r="F1685" s="106">
        <v>0.0203761755485893</v>
      </c>
      <c r="G1685" s="107">
        <v>10</v>
      </c>
      <c r="H1685" s="106">
        <v>0.769230769230769</v>
      </c>
      <c r="I1685" s="106"/>
      <c r="J1685" s="106"/>
      <c r="K1685" s="106"/>
      <c r="L1685" s="213">
        <v>51</v>
      </c>
      <c r="M1685" s="213">
        <v>46.6666666666666</v>
      </c>
      <c r="N1685" s="213">
        <v>105.4</v>
      </c>
      <c r="O1685" s="213">
        <v>144.857142857143</v>
      </c>
      <c r="P1685" s="108">
        <v>-3</v>
      </c>
      <c r="Q1685" s="108">
        <v>-2</v>
      </c>
      <c r="R1685" s="108">
        <v>-1.8</v>
      </c>
      <c r="S1685" s="108">
        <v>-1</v>
      </c>
      <c r="T1685" s="108">
        <v>1</v>
      </c>
      <c r="U1685" s="108">
        <v>2.66666666666667</v>
      </c>
      <c r="V1685" s="108">
        <v>2.2</v>
      </c>
      <c r="W1685" s="115">
        <v>3.57142857142857</v>
      </c>
      <c r="X1685" s="215">
        <v>0.0868824531516184</v>
      </c>
      <c r="Y1685" s="215">
        <v>-0.1875</v>
      </c>
      <c r="Z1685" s="215">
        <v>0.111111111111111</v>
      </c>
      <c r="AA1685" s="154"/>
      <c r="AB1685" s="154"/>
      <c r="AC1685" s="154"/>
      <c r="AD1685" s="154"/>
    </row>
    <row r="1686" ht="14.45" customHeight="1" spans="1:26">
      <c r="A1686" s="103">
        <v>45088</v>
      </c>
      <c r="B1686" s="104" t="s">
        <v>21</v>
      </c>
      <c r="C1686" s="218">
        <v>215</v>
      </c>
      <c r="D1686" s="218"/>
      <c r="E1686" s="217">
        <v>12</v>
      </c>
      <c r="F1686" s="106">
        <v>0.0558139534883721</v>
      </c>
      <c r="G1686" s="107">
        <v>6</v>
      </c>
      <c r="H1686" s="106">
        <v>0.5</v>
      </c>
      <c r="I1686" s="106"/>
      <c r="J1686" s="106"/>
      <c r="K1686" s="106"/>
      <c r="L1686" s="213">
        <v>-101</v>
      </c>
      <c r="M1686" s="213">
        <v>-75.6666666666667</v>
      </c>
      <c r="N1686" s="213">
        <v>-76.4</v>
      </c>
      <c r="O1686" s="213">
        <v>-68.7142857142857</v>
      </c>
      <c r="P1686" s="108">
        <v>0</v>
      </c>
      <c r="Q1686" s="108">
        <v>-2</v>
      </c>
      <c r="R1686" s="108">
        <v>-2.8</v>
      </c>
      <c r="S1686" s="108">
        <v>-3.42857142857143</v>
      </c>
      <c r="T1686" s="108">
        <v>0</v>
      </c>
      <c r="U1686" s="108">
        <v>0.333333333333333</v>
      </c>
      <c r="V1686" s="108">
        <v>0.4</v>
      </c>
      <c r="W1686" s="108">
        <v>0.142857142857143</v>
      </c>
      <c r="X1686" s="215">
        <v>-0.319620253164557</v>
      </c>
      <c r="Y1686" s="215">
        <v>0</v>
      </c>
      <c r="Z1686" s="215">
        <v>0</v>
      </c>
    </row>
    <row r="1687" ht="18.95" customHeight="1" spans="1:30">
      <c r="A1687" s="103">
        <v>45088</v>
      </c>
      <c r="B1687" s="104" t="s">
        <v>22</v>
      </c>
      <c r="C1687" s="218">
        <v>4993</v>
      </c>
      <c r="D1687" s="218"/>
      <c r="E1687" s="217">
        <v>192</v>
      </c>
      <c r="F1687" s="106">
        <v>0.0384538353695173</v>
      </c>
      <c r="G1687" s="107">
        <v>57</v>
      </c>
      <c r="H1687" s="106">
        <v>0.296875</v>
      </c>
      <c r="I1687" s="106"/>
      <c r="J1687" s="106"/>
      <c r="K1687" s="106"/>
      <c r="L1687" s="213">
        <v>-261</v>
      </c>
      <c r="M1687" s="213">
        <v>-153.333333333333</v>
      </c>
      <c r="N1687" s="213">
        <v>101</v>
      </c>
      <c r="O1687" s="213">
        <v>277.428571428572</v>
      </c>
      <c r="P1687" s="108">
        <v>-14</v>
      </c>
      <c r="Q1687" s="108">
        <v>27.6666666666667</v>
      </c>
      <c r="R1687" s="108">
        <v>46.4</v>
      </c>
      <c r="S1687" s="115">
        <v>56.5714285714286</v>
      </c>
      <c r="T1687" s="108">
        <v>-6</v>
      </c>
      <c r="U1687" s="108">
        <v>4</v>
      </c>
      <c r="V1687" s="108">
        <v>7.6</v>
      </c>
      <c r="W1687" s="117">
        <v>10.7142857142857</v>
      </c>
      <c r="X1687" s="215">
        <v>-0.0496764370003807</v>
      </c>
      <c r="Y1687" s="215">
        <v>-0.0679611650485437</v>
      </c>
      <c r="Z1687" s="215">
        <v>-0.0952380952380952</v>
      </c>
      <c r="AA1687" s="154"/>
      <c r="AB1687" s="154"/>
      <c r="AC1687" s="154"/>
      <c r="AD1687" s="154"/>
    </row>
    <row r="1688" ht="14.45" customHeight="1" spans="1:26">
      <c r="A1688" s="103">
        <v>45088</v>
      </c>
      <c r="B1688" s="104" t="s">
        <v>23</v>
      </c>
      <c r="C1688" s="218">
        <v>1666</v>
      </c>
      <c r="D1688" s="218"/>
      <c r="E1688" s="217">
        <v>6</v>
      </c>
      <c r="F1688" s="106">
        <v>0.00360144057623049</v>
      </c>
      <c r="G1688" s="107">
        <v>3</v>
      </c>
      <c r="H1688" s="106">
        <v>0.5</v>
      </c>
      <c r="I1688" s="106"/>
      <c r="J1688" s="106"/>
      <c r="K1688" s="106"/>
      <c r="L1688" s="213">
        <v>86</v>
      </c>
      <c r="M1688" s="213">
        <v>44</v>
      </c>
      <c r="N1688" s="213">
        <v>24.2</v>
      </c>
      <c r="O1688" s="213">
        <v>-4.57142857142867</v>
      </c>
      <c r="P1688" s="108">
        <v>-5</v>
      </c>
      <c r="Q1688" s="108">
        <v>-1.66666666666667</v>
      </c>
      <c r="R1688" s="108">
        <v>-2.2</v>
      </c>
      <c r="S1688" s="108">
        <v>-2.28571428571429</v>
      </c>
      <c r="T1688" s="108">
        <v>1</v>
      </c>
      <c r="U1688" s="116">
        <v>0.666666666666667</v>
      </c>
      <c r="V1688" s="108">
        <v>0.4</v>
      </c>
      <c r="W1688" s="108">
        <v>0.142857142857143</v>
      </c>
      <c r="X1688" s="215">
        <v>0.0544303797468354</v>
      </c>
      <c r="Y1688" s="215">
        <v>-0.454545454545455</v>
      </c>
      <c r="Z1688" s="215">
        <v>0.5</v>
      </c>
    </row>
    <row r="1689" ht="14.45" customHeight="1" spans="1:30">
      <c r="A1689" s="103">
        <v>45088</v>
      </c>
      <c r="B1689" s="104" t="s">
        <v>24</v>
      </c>
      <c r="C1689" s="218">
        <v>6924</v>
      </c>
      <c r="D1689" s="218"/>
      <c r="E1689" s="217">
        <v>354</v>
      </c>
      <c r="F1689" s="106">
        <v>0.0511265164644714</v>
      </c>
      <c r="G1689" s="107">
        <v>107</v>
      </c>
      <c r="H1689" s="106">
        <v>0.30225988700565</v>
      </c>
      <c r="I1689" s="106"/>
      <c r="J1689" s="106"/>
      <c r="K1689" s="106"/>
      <c r="L1689" s="213">
        <v>-1787</v>
      </c>
      <c r="M1689" s="213">
        <v>-1524.66666666667</v>
      </c>
      <c r="N1689" s="213">
        <v>-1607.8</v>
      </c>
      <c r="O1689" s="213">
        <v>-1361.28571428571</v>
      </c>
      <c r="P1689" s="115">
        <v>50</v>
      </c>
      <c r="Q1689" s="115">
        <v>106</v>
      </c>
      <c r="R1689" s="115">
        <v>124.2</v>
      </c>
      <c r="S1689" s="115">
        <v>142.714285714286</v>
      </c>
      <c r="T1689" s="115">
        <v>42</v>
      </c>
      <c r="U1689" s="115">
        <v>51.6666666666667</v>
      </c>
      <c r="V1689" s="115">
        <v>52</v>
      </c>
      <c r="W1689" s="115">
        <v>55</v>
      </c>
      <c r="X1689" s="215">
        <v>-0.205142922741362</v>
      </c>
      <c r="Y1689" s="215">
        <v>0.164473684210526</v>
      </c>
      <c r="Z1689" s="215">
        <v>0.646153846153846</v>
      </c>
      <c r="AA1689" s="154"/>
      <c r="AB1689" s="154"/>
      <c r="AC1689" s="154"/>
      <c r="AD1689" s="154"/>
    </row>
    <row r="1690" ht="14.45" customHeight="1" spans="1:26">
      <c r="A1690" s="103">
        <v>45088</v>
      </c>
      <c r="B1690" s="104" t="s">
        <v>25</v>
      </c>
      <c r="C1690" s="218">
        <v>3643</v>
      </c>
      <c r="D1690" s="218"/>
      <c r="E1690" s="217">
        <v>106</v>
      </c>
      <c r="F1690" s="106">
        <v>0.0290968981608564</v>
      </c>
      <c r="G1690" s="107">
        <v>42</v>
      </c>
      <c r="H1690" s="106">
        <v>0.39622641509434</v>
      </c>
      <c r="I1690" s="106"/>
      <c r="J1690" s="106"/>
      <c r="K1690" s="106"/>
      <c r="L1690" s="213">
        <v>296</v>
      </c>
      <c r="M1690" s="213">
        <v>900.333333333333</v>
      </c>
      <c r="N1690" s="213">
        <v>1057.6</v>
      </c>
      <c r="O1690" s="213">
        <v>1056.85714285714</v>
      </c>
      <c r="P1690" s="116">
        <v>37</v>
      </c>
      <c r="Q1690" s="115">
        <v>59</v>
      </c>
      <c r="R1690" s="115">
        <v>65.2</v>
      </c>
      <c r="S1690" s="115">
        <v>69</v>
      </c>
      <c r="T1690" s="108">
        <v>26</v>
      </c>
      <c r="U1690" s="108">
        <v>28.6666666666667</v>
      </c>
      <c r="V1690" s="108">
        <v>28.4</v>
      </c>
      <c r="W1690" s="108">
        <v>28.5714285714286</v>
      </c>
      <c r="X1690" s="215">
        <v>0.0884374066328055</v>
      </c>
      <c r="Y1690" s="215">
        <v>0.536231884057971</v>
      </c>
      <c r="Z1690" s="215">
        <v>1.625</v>
      </c>
    </row>
    <row r="1691" ht="14.45" customHeight="1" spans="1:26">
      <c r="A1691" s="103">
        <v>45088</v>
      </c>
      <c r="B1691" s="104" t="s">
        <v>26</v>
      </c>
      <c r="C1691" s="218">
        <v>1484</v>
      </c>
      <c r="D1691" s="218"/>
      <c r="E1691" s="217">
        <v>0</v>
      </c>
      <c r="F1691" s="106">
        <v>0</v>
      </c>
      <c r="G1691" s="107">
        <v>3</v>
      </c>
      <c r="H1691" s="106">
        <v>3</v>
      </c>
      <c r="I1691" s="106"/>
      <c r="J1691" s="106"/>
      <c r="K1691" s="106"/>
      <c r="L1691" s="213">
        <v>-1</v>
      </c>
      <c r="M1691" s="213">
        <v>-11.3333333333333</v>
      </c>
      <c r="N1691" s="213">
        <v>4.20000000000005</v>
      </c>
      <c r="O1691" s="213">
        <v>-18.1428571428571</v>
      </c>
      <c r="P1691" s="108">
        <v>-5</v>
      </c>
      <c r="Q1691" s="108">
        <v>-5.66666666666667</v>
      </c>
      <c r="R1691" s="108">
        <v>-5</v>
      </c>
      <c r="S1691" s="108">
        <v>-5.42857142857143</v>
      </c>
      <c r="T1691" s="108">
        <v>3</v>
      </c>
      <c r="U1691" s="108">
        <v>1.33333333333333</v>
      </c>
      <c r="V1691" s="108">
        <v>0.6</v>
      </c>
      <c r="W1691" s="108">
        <v>1</v>
      </c>
      <c r="X1691" s="215">
        <v>-0.000673400673400673</v>
      </c>
      <c r="Y1691" s="215">
        <v>-1</v>
      </c>
      <c r="Z1691" s="215" t="e">
        <v>#DIV/0!</v>
      </c>
    </row>
    <row r="1692" ht="14.45" customHeight="1" spans="1:26">
      <c r="A1692" s="103">
        <v>45088</v>
      </c>
      <c r="B1692" s="104" t="s">
        <v>27</v>
      </c>
      <c r="C1692" s="218">
        <v>3283</v>
      </c>
      <c r="D1692" s="218"/>
      <c r="E1692" s="217">
        <v>66</v>
      </c>
      <c r="F1692" s="106">
        <v>0.0201035638135851</v>
      </c>
      <c r="G1692" s="107">
        <v>14</v>
      </c>
      <c r="H1692" s="106">
        <v>0.212121212121212</v>
      </c>
      <c r="I1692" s="106"/>
      <c r="J1692" s="106"/>
      <c r="K1692" s="106"/>
      <c r="L1692" s="213">
        <v>-38</v>
      </c>
      <c r="M1692" s="213">
        <v>208.333333333333</v>
      </c>
      <c r="N1692" s="213">
        <v>168</v>
      </c>
      <c r="O1692" s="213">
        <v>-44.5714285714284</v>
      </c>
      <c r="P1692" s="108">
        <v>13</v>
      </c>
      <c r="Q1692" s="108">
        <v>14.6666666666667</v>
      </c>
      <c r="R1692" s="108">
        <v>11.4</v>
      </c>
      <c r="S1692" s="108">
        <v>4.85714285714285</v>
      </c>
      <c r="T1692" s="108">
        <v>7</v>
      </c>
      <c r="U1692" s="108">
        <v>5</v>
      </c>
      <c r="V1692" s="108">
        <v>0.800000000000001</v>
      </c>
      <c r="W1692" s="108">
        <v>-0.714285714285714</v>
      </c>
      <c r="X1692" s="215">
        <v>-0.0114423366455887</v>
      </c>
      <c r="Y1692" s="215">
        <v>0.245283018867925</v>
      </c>
      <c r="Z1692" s="215">
        <v>1</v>
      </c>
    </row>
    <row r="1693" ht="14.45" customHeight="1" spans="1:26">
      <c r="A1693" s="103">
        <v>45088</v>
      </c>
      <c r="B1693" s="104" t="s">
        <v>28</v>
      </c>
      <c r="C1693" s="145">
        <v>0</v>
      </c>
      <c r="D1693" s="145"/>
      <c r="E1693" s="104">
        <v>0</v>
      </c>
      <c r="F1693" s="106">
        <v>0</v>
      </c>
      <c r="G1693" s="107">
        <v>0</v>
      </c>
      <c r="H1693" s="106">
        <v>0</v>
      </c>
      <c r="I1693" s="106"/>
      <c r="J1693" s="106"/>
      <c r="K1693" s="106"/>
      <c r="L1693" s="213">
        <v>0</v>
      </c>
      <c r="M1693" s="213">
        <v>0</v>
      </c>
      <c r="N1693" s="213">
        <v>0</v>
      </c>
      <c r="O1693" s="213">
        <v>0</v>
      </c>
      <c r="P1693" s="108">
        <v>0</v>
      </c>
      <c r="Q1693" s="108">
        <v>0</v>
      </c>
      <c r="R1693" s="108">
        <v>0</v>
      </c>
      <c r="S1693" s="108">
        <v>0</v>
      </c>
      <c r="T1693" s="108">
        <v>0</v>
      </c>
      <c r="U1693" s="108">
        <v>0</v>
      </c>
      <c r="V1693" s="108">
        <v>0</v>
      </c>
      <c r="W1693" s="108">
        <v>0</v>
      </c>
      <c r="X1693" s="215" t="e">
        <v>#DIV/0!</v>
      </c>
      <c r="Y1693" s="215" t="e">
        <v>#DIV/0!</v>
      </c>
      <c r="Z1693" s="215" t="e">
        <v>#DIV/0!</v>
      </c>
    </row>
    <row r="1694" ht="14.45" customHeight="1" spans="1:26">
      <c r="A1694" s="103">
        <v>45088</v>
      </c>
      <c r="B1694" s="104" t="s">
        <v>29</v>
      </c>
      <c r="C1694" s="145">
        <v>0</v>
      </c>
      <c r="D1694" s="145"/>
      <c r="E1694" s="104">
        <v>0</v>
      </c>
      <c r="F1694" s="106">
        <v>0</v>
      </c>
      <c r="G1694" s="107">
        <v>0</v>
      </c>
      <c r="H1694" s="106">
        <v>0</v>
      </c>
      <c r="I1694" s="106"/>
      <c r="J1694" s="106"/>
      <c r="K1694" s="106"/>
      <c r="L1694" s="213">
        <v>0</v>
      </c>
      <c r="M1694" s="213">
        <v>0</v>
      </c>
      <c r="N1694" s="213">
        <v>0</v>
      </c>
      <c r="O1694" s="213">
        <v>0</v>
      </c>
      <c r="P1694" s="108">
        <v>0</v>
      </c>
      <c r="Q1694" s="108">
        <v>0</v>
      </c>
      <c r="R1694" s="108">
        <v>0</v>
      </c>
      <c r="S1694" s="108">
        <v>0</v>
      </c>
      <c r="T1694" s="108">
        <v>0</v>
      </c>
      <c r="U1694" s="108">
        <v>0</v>
      </c>
      <c r="V1694" s="108">
        <v>0</v>
      </c>
      <c r="W1694" s="108">
        <v>0</v>
      </c>
      <c r="X1694" s="215" t="e">
        <v>#DIV/0!</v>
      </c>
      <c r="Y1694" s="215" t="e">
        <v>#DIV/0!</v>
      </c>
      <c r="Z1694" s="215" t="e">
        <v>#DIV/0!</v>
      </c>
    </row>
    <row r="1695" ht="14.45" customHeight="1" spans="1:27">
      <c r="A1695" s="103">
        <v>45088</v>
      </c>
      <c r="B1695" s="104" t="s">
        <v>30</v>
      </c>
      <c r="C1695" s="145">
        <v>0</v>
      </c>
      <c r="D1695" s="145"/>
      <c r="E1695" s="104">
        <v>0</v>
      </c>
      <c r="F1695" s="106">
        <v>0</v>
      </c>
      <c r="G1695" s="107">
        <v>0</v>
      </c>
      <c r="H1695" s="106">
        <v>0</v>
      </c>
      <c r="I1695" s="106"/>
      <c r="J1695" s="106"/>
      <c r="K1695" s="106"/>
      <c r="L1695" s="213">
        <v>0</v>
      </c>
      <c r="M1695" s="213">
        <v>0</v>
      </c>
      <c r="N1695" s="213">
        <v>0</v>
      </c>
      <c r="O1695" s="213">
        <v>0</v>
      </c>
      <c r="P1695" s="108">
        <v>0</v>
      </c>
      <c r="Q1695" s="108">
        <v>0</v>
      </c>
      <c r="R1695" s="108">
        <v>0</v>
      </c>
      <c r="S1695" s="108">
        <v>0</v>
      </c>
      <c r="T1695" s="108">
        <v>0</v>
      </c>
      <c r="U1695" s="108">
        <v>0</v>
      </c>
      <c r="V1695" s="108">
        <v>0</v>
      </c>
      <c r="W1695" s="108">
        <v>0</v>
      </c>
      <c r="X1695" s="168"/>
      <c r="Y1695" s="168"/>
      <c r="Z1695" s="169"/>
      <c r="AA1695" s="169"/>
    </row>
    <row r="1696" ht="14.45" customHeight="1" spans="1:27">
      <c r="A1696" s="103">
        <v>45088</v>
      </c>
      <c r="B1696" s="104" t="s">
        <v>31</v>
      </c>
      <c r="C1696" s="145">
        <v>0</v>
      </c>
      <c r="D1696" s="145"/>
      <c r="E1696" s="104">
        <v>0</v>
      </c>
      <c r="F1696" s="106">
        <v>0</v>
      </c>
      <c r="G1696" s="107">
        <v>0</v>
      </c>
      <c r="H1696" s="106">
        <v>0</v>
      </c>
      <c r="I1696" s="106"/>
      <c r="J1696" s="106"/>
      <c r="K1696" s="106"/>
      <c r="L1696" s="213">
        <v>0</v>
      </c>
      <c r="M1696" s="213">
        <v>0</v>
      </c>
      <c r="N1696" s="213">
        <v>0</v>
      </c>
      <c r="O1696" s="213">
        <v>0</v>
      </c>
      <c r="P1696" s="108">
        <v>0</v>
      </c>
      <c r="Q1696" s="108">
        <v>0</v>
      </c>
      <c r="R1696" s="108">
        <v>0</v>
      </c>
      <c r="S1696" s="108">
        <v>0</v>
      </c>
      <c r="T1696" s="108">
        <v>0</v>
      </c>
      <c r="U1696" s="108">
        <v>0</v>
      </c>
      <c r="V1696" s="108">
        <v>0</v>
      </c>
      <c r="W1696" s="108">
        <v>0</v>
      </c>
      <c r="X1696" s="168"/>
      <c r="Y1696" s="168"/>
      <c r="Z1696" s="169"/>
      <c r="AA1696" s="169"/>
    </row>
    <row r="1697" ht="14.45" customHeight="1" spans="1:27">
      <c r="A1697" s="103">
        <v>45088</v>
      </c>
      <c r="B1697" s="104" t="s">
        <v>32</v>
      </c>
      <c r="C1697" s="145">
        <v>0</v>
      </c>
      <c r="D1697" s="145"/>
      <c r="E1697" s="104">
        <v>0</v>
      </c>
      <c r="F1697" s="106">
        <v>0</v>
      </c>
      <c r="G1697" s="107">
        <v>0</v>
      </c>
      <c r="H1697" s="106">
        <v>0</v>
      </c>
      <c r="I1697" s="106"/>
      <c r="J1697" s="106"/>
      <c r="K1697" s="106"/>
      <c r="L1697" s="213">
        <v>0</v>
      </c>
      <c r="M1697" s="213">
        <v>0</v>
      </c>
      <c r="N1697" s="213">
        <v>0</v>
      </c>
      <c r="O1697" s="213">
        <v>0</v>
      </c>
      <c r="P1697" s="108">
        <v>0</v>
      </c>
      <c r="Q1697" s="108">
        <v>0</v>
      </c>
      <c r="R1697" s="108">
        <v>0</v>
      </c>
      <c r="S1697" s="108">
        <v>0</v>
      </c>
      <c r="T1697" s="108">
        <v>0</v>
      </c>
      <c r="U1697" s="108">
        <v>0</v>
      </c>
      <c r="V1697" s="108">
        <v>0</v>
      </c>
      <c r="W1697" s="108">
        <v>0</v>
      </c>
      <c r="X1697" s="168"/>
      <c r="Y1697" s="168"/>
      <c r="Z1697" s="169"/>
      <c r="AA1697" s="169"/>
    </row>
    <row r="1698" spans="1:23">
      <c r="A1698" s="103">
        <v>45088</v>
      </c>
      <c r="B1698" s="104" t="s">
        <v>33</v>
      </c>
      <c r="C1698" s="145">
        <v>0</v>
      </c>
      <c r="D1698" s="145"/>
      <c r="E1698" s="104">
        <v>0</v>
      </c>
      <c r="F1698" s="106">
        <v>0</v>
      </c>
      <c r="G1698" s="107">
        <v>0</v>
      </c>
      <c r="H1698" s="106">
        <v>0</v>
      </c>
      <c r="I1698" s="106"/>
      <c r="J1698" s="106"/>
      <c r="K1698" s="106"/>
      <c r="L1698" s="213">
        <v>0</v>
      </c>
      <c r="M1698" s="213">
        <v>0</v>
      </c>
      <c r="N1698" s="213">
        <v>0</v>
      </c>
      <c r="O1698" s="213">
        <v>0</v>
      </c>
      <c r="P1698" s="108">
        <v>0</v>
      </c>
      <c r="Q1698" s="108">
        <v>0</v>
      </c>
      <c r="R1698" s="108">
        <v>0</v>
      </c>
      <c r="S1698" s="108">
        <v>0</v>
      </c>
      <c r="T1698" s="108">
        <v>0</v>
      </c>
      <c r="U1698" s="108">
        <v>0</v>
      </c>
      <c r="V1698" s="108">
        <v>0</v>
      </c>
      <c r="W1698" s="108">
        <v>0</v>
      </c>
    </row>
    <row r="1699" spans="1:23">
      <c r="A1699" s="103">
        <v>45088</v>
      </c>
      <c r="B1699" s="104" t="s">
        <v>34</v>
      </c>
      <c r="C1699" s="145">
        <v>0</v>
      </c>
      <c r="D1699" s="145"/>
      <c r="E1699" s="104">
        <v>0</v>
      </c>
      <c r="F1699" s="106">
        <v>0</v>
      </c>
      <c r="G1699" s="107">
        <v>0</v>
      </c>
      <c r="H1699" s="106">
        <v>0</v>
      </c>
      <c r="I1699" s="106"/>
      <c r="J1699" s="106"/>
      <c r="K1699" s="106"/>
      <c r="L1699" s="213">
        <v>0</v>
      </c>
      <c r="M1699" s="213">
        <v>0</v>
      </c>
      <c r="N1699" s="213">
        <v>0</v>
      </c>
      <c r="O1699" s="213">
        <v>0</v>
      </c>
      <c r="P1699" s="108">
        <v>0</v>
      </c>
      <c r="Q1699" s="108">
        <v>0</v>
      </c>
      <c r="R1699" s="108">
        <v>0</v>
      </c>
      <c r="S1699" s="108">
        <v>-0.142857142857143</v>
      </c>
      <c r="T1699" s="108">
        <v>0</v>
      </c>
      <c r="U1699" s="108">
        <v>0</v>
      </c>
      <c r="V1699" s="108">
        <v>0</v>
      </c>
      <c r="W1699" s="108">
        <v>-0.142857142857143</v>
      </c>
    </row>
    <row r="1700" spans="1:23">
      <c r="A1700" s="103">
        <v>45088</v>
      </c>
      <c r="B1700" s="104" t="s">
        <v>35</v>
      </c>
      <c r="C1700" s="145">
        <v>0</v>
      </c>
      <c r="D1700" s="145"/>
      <c r="E1700" s="104">
        <v>0</v>
      </c>
      <c r="F1700" s="106">
        <v>0</v>
      </c>
      <c r="G1700" s="107">
        <v>0</v>
      </c>
      <c r="H1700" s="106">
        <v>0</v>
      </c>
      <c r="I1700" s="106"/>
      <c r="J1700" s="106"/>
      <c r="K1700" s="106"/>
      <c r="L1700" s="213">
        <v>0</v>
      </c>
      <c r="M1700" s="213">
        <v>0</v>
      </c>
      <c r="N1700" s="213">
        <v>0</v>
      </c>
      <c r="O1700" s="213">
        <v>0</v>
      </c>
      <c r="P1700" s="108">
        <v>0</v>
      </c>
      <c r="Q1700" s="108">
        <v>0</v>
      </c>
      <c r="R1700" s="108">
        <v>0</v>
      </c>
      <c r="S1700" s="108">
        <v>0</v>
      </c>
      <c r="T1700" s="108">
        <v>0</v>
      </c>
      <c r="U1700" s="108">
        <v>0</v>
      </c>
      <c r="V1700" s="108">
        <v>0</v>
      </c>
      <c r="W1700" s="108">
        <v>0</v>
      </c>
    </row>
    <row r="1701" spans="1:23">
      <c r="A1701" s="103">
        <v>45088</v>
      </c>
      <c r="B1701" s="104" t="s">
        <v>36</v>
      </c>
      <c r="C1701" s="145">
        <v>0</v>
      </c>
      <c r="D1701" s="145"/>
      <c r="E1701" s="104">
        <v>0</v>
      </c>
      <c r="F1701" s="106">
        <v>0</v>
      </c>
      <c r="G1701" s="107">
        <v>0</v>
      </c>
      <c r="H1701" s="106">
        <v>0</v>
      </c>
      <c r="I1701" s="106"/>
      <c r="J1701" s="106"/>
      <c r="K1701" s="106"/>
      <c r="L1701" s="213">
        <v>0</v>
      </c>
      <c r="M1701" s="213">
        <v>0</v>
      </c>
      <c r="N1701" s="213">
        <v>0</v>
      </c>
      <c r="O1701" s="213">
        <v>0</v>
      </c>
      <c r="P1701" s="108">
        <v>0</v>
      </c>
      <c r="Q1701" s="108">
        <v>0</v>
      </c>
      <c r="R1701" s="108">
        <v>0</v>
      </c>
      <c r="S1701" s="108">
        <v>0</v>
      </c>
      <c r="T1701" s="108">
        <v>0</v>
      </c>
      <c r="U1701" s="108">
        <v>0</v>
      </c>
      <c r="V1701" s="108">
        <v>0</v>
      </c>
      <c r="W1701" s="108">
        <v>0</v>
      </c>
    </row>
    <row r="1702" spans="1:23">
      <c r="A1702" s="103">
        <v>45088</v>
      </c>
      <c r="B1702" s="104" t="s">
        <v>37</v>
      </c>
      <c r="C1702" s="145">
        <v>0</v>
      </c>
      <c r="D1702" s="145"/>
      <c r="E1702" s="104">
        <v>0</v>
      </c>
      <c r="F1702" s="106">
        <v>0</v>
      </c>
      <c r="G1702" s="107">
        <v>0</v>
      </c>
      <c r="H1702" s="106">
        <v>0</v>
      </c>
      <c r="I1702" s="106"/>
      <c r="J1702" s="106"/>
      <c r="K1702" s="106"/>
      <c r="L1702" s="213">
        <v>0</v>
      </c>
      <c r="M1702" s="213">
        <v>0</v>
      </c>
      <c r="N1702" s="213">
        <v>0</v>
      </c>
      <c r="O1702" s="213">
        <v>0</v>
      </c>
      <c r="P1702" s="108">
        <v>0</v>
      </c>
      <c r="Q1702" s="108">
        <v>0</v>
      </c>
      <c r="R1702" s="108">
        <v>-0.2</v>
      </c>
      <c r="S1702" s="108">
        <v>-0.428571428571429</v>
      </c>
      <c r="T1702" s="108">
        <v>0</v>
      </c>
      <c r="U1702" s="108">
        <v>-0.333333333333333</v>
      </c>
      <c r="V1702" s="108">
        <v>-0.4</v>
      </c>
      <c r="W1702" s="108">
        <v>-0.285714285714286</v>
      </c>
    </row>
    <row r="1703" spans="1:23">
      <c r="A1703" s="103">
        <v>45088</v>
      </c>
      <c r="B1703" s="104" t="s">
        <v>38</v>
      </c>
      <c r="C1703" s="145">
        <v>0</v>
      </c>
      <c r="D1703" s="145"/>
      <c r="E1703" s="104">
        <v>0</v>
      </c>
      <c r="F1703" s="106">
        <v>0</v>
      </c>
      <c r="G1703" s="107">
        <v>0</v>
      </c>
      <c r="H1703" s="106">
        <v>0</v>
      </c>
      <c r="I1703" s="106"/>
      <c r="J1703" s="106"/>
      <c r="K1703" s="106"/>
      <c r="L1703" s="213">
        <v>0</v>
      </c>
      <c r="M1703" s="213">
        <v>0</v>
      </c>
      <c r="N1703" s="213">
        <v>0</v>
      </c>
      <c r="O1703" s="213">
        <v>0</v>
      </c>
      <c r="P1703" s="108">
        <v>0</v>
      </c>
      <c r="Q1703" s="108">
        <v>0</v>
      </c>
      <c r="R1703" s="108">
        <v>0</v>
      </c>
      <c r="S1703" s="108">
        <v>0</v>
      </c>
      <c r="T1703" s="108">
        <v>0</v>
      </c>
      <c r="U1703" s="108">
        <v>0</v>
      </c>
      <c r="V1703" s="108">
        <v>0</v>
      </c>
      <c r="W1703" s="108">
        <v>0</v>
      </c>
    </row>
    <row r="1704" spans="1:23">
      <c r="A1704" s="103">
        <v>45088</v>
      </c>
      <c r="B1704" s="111" t="s">
        <v>39</v>
      </c>
      <c r="C1704" s="112">
        <v>22848</v>
      </c>
      <c r="D1704" s="112"/>
      <c r="E1704" s="112">
        <v>782</v>
      </c>
      <c r="F1704" s="113">
        <v>0.0342261904761905</v>
      </c>
      <c r="G1704" s="112">
        <v>245</v>
      </c>
      <c r="H1704" s="113">
        <v>0.313299232736573</v>
      </c>
      <c r="I1704" s="113"/>
      <c r="J1704" s="113"/>
      <c r="K1704" s="113"/>
      <c r="L1704" s="213"/>
      <c r="M1704" s="213"/>
      <c r="N1704" s="213"/>
      <c r="O1704" s="213"/>
      <c r="P1704" s="108"/>
      <c r="Q1704" s="108"/>
      <c r="R1704" s="108"/>
      <c r="S1704" s="108"/>
      <c r="T1704" s="108"/>
      <c r="U1704" s="108"/>
      <c r="V1704" s="108"/>
      <c r="W1704" s="108"/>
    </row>
    <row r="1705" ht="14.45" customHeight="1" spans="1:30">
      <c r="A1705" s="103">
        <v>45089</v>
      </c>
      <c r="B1705" s="104" t="s">
        <v>17</v>
      </c>
      <c r="C1705" s="216">
        <v>2</v>
      </c>
      <c r="D1705" s="216"/>
      <c r="E1705" s="217">
        <v>37</v>
      </c>
      <c r="F1705" s="106">
        <v>18.5</v>
      </c>
      <c r="G1705" s="107">
        <v>14</v>
      </c>
      <c r="H1705" s="106">
        <v>0.378378378378378</v>
      </c>
      <c r="I1705" s="106"/>
      <c r="J1705" s="106"/>
      <c r="K1705" s="106"/>
      <c r="L1705" s="213">
        <v>0</v>
      </c>
      <c r="M1705" s="213">
        <v>-0.333333333333333</v>
      </c>
      <c r="N1705" s="213">
        <v>-0.4</v>
      </c>
      <c r="O1705" s="213">
        <v>-0.285714285714286</v>
      </c>
      <c r="P1705" s="108">
        <v>4</v>
      </c>
      <c r="Q1705" s="108">
        <v>9.33333333333333</v>
      </c>
      <c r="R1705" s="108">
        <v>10.6</v>
      </c>
      <c r="S1705" s="108">
        <v>10.5714285714286</v>
      </c>
      <c r="T1705" s="108">
        <v>11</v>
      </c>
      <c r="U1705" s="108">
        <v>9.33333333333333</v>
      </c>
      <c r="V1705" s="108">
        <v>9.8</v>
      </c>
      <c r="W1705" s="108">
        <v>9.28571428571428</v>
      </c>
      <c r="X1705" s="215">
        <v>0</v>
      </c>
      <c r="Y1705" s="215">
        <v>0.121212121212121</v>
      </c>
      <c r="Z1705" s="215">
        <v>3.66666666666667</v>
      </c>
      <c r="AD1705" t="s">
        <v>18</v>
      </c>
    </row>
    <row r="1706" ht="14.45" customHeight="1" spans="1:30">
      <c r="A1706" s="103">
        <v>45089</v>
      </c>
      <c r="B1706" s="104" t="s">
        <v>19</v>
      </c>
      <c r="C1706" s="216">
        <v>654</v>
      </c>
      <c r="D1706" s="216"/>
      <c r="E1706" s="217">
        <v>16</v>
      </c>
      <c r="F1706" s="106">
        <v>0.0244648318042813</v>
      </c>
      <c r="G1706" s="107">
        <v>7</v>
      </c>
      <c r="H1706" s="106">
        <v>0.4375</v>
      </c>
      <c r="I1706" s="106"/>
      <c r="J1706" s="106"/>
      <c r="K1706" s="106"/>
      <c r="L1706" s="213">
        <v>16</v>
      </c>
      <c r="M1706" s="213">
        <v>46.3333333333334</v>
      </c>
      <c r="N1706" s="213">
        <v>71.2</v>
      </c>
      <c r="O1706" s="213">
        <v>127.857142857143</v>
      </c>
      <c r="P1706" s="108">
        <v>3</v>
      </c>
      <c r="Q1706" s="108">
        <v>2.66666666666667</v>
      </c>
      <c r="R1706" s="108">
        <v>1.4</v>
      </c>
      <c r="S1706" s="108">
        <v>2.14285714285714</v>
      </c>
      <c r="T1706" s="108">
        <v>-3</v>
      </c>
      <c r="U1706" s="108">
        <v>-1.66666666666667</v>
      </c>
      <c r="V1706" s="108">
        <v>-1</v>
      </c>
      <c r="W1706" s="115">
        <v>-0.428571428571429</v>
      </c>
      <c r="X1706" s="215">
        <v>0.0250783699059561</v>
      </c>
      <c r="Y1706" s="215">
        <v>0.230769230769231</v>
      </c>
      <c r="Z1706" s="215">
        <v>-0.3</v>
      </c>
      <c r="AA1706" s="154"/>
      <c r="AB1706" s="154"/>
      <c r="AC1706" s="154"/>
      <c r="AD1706" s="154"/>
    </row>
    <row r="1707" ht="14.45" customHeight="1" spans="1:26">
      <c r="A1707" s="103">
        <v>45089</v>
      </c>
      <c r="B1707" s="104" t="s">
        <v>21</v>
      </c>
      <c r="C1707" s="218">
        <v>198</v>
      </c>
      <c r="D1707" s="218"/>
      <c r="E1707" s="217">
        <v>14</v>
      </c>
      <c r="F1707" s="106">
        <v>0.0707070707070707</v>
      </c>
      <c r="G1707" s="107">
        <v>5</v>
      </c>
      <c r="H1707" s="106">
        <v>0.357142857142857</v>
      </c>
      <c r="I1707" s="106"/>
      <c r="J1707" s="106"/>
      <c r="K1707" s="106"/>
      <c r="L1707" s="213">
        <v>-17</v>
      </c>
      <c r="M1707" s="213">
        <v>-71</v>
      </c>
      <c r="N1707" s="213">
        <v>-73.8</v>
      </c>
      <c r="O1707" s="213">
        <v>-75</v>
      </c>
      <c r="P1707" s="108">
        <v>2</v>
      </c>
      <c r="Q1707" s="108">
        <v>1.66666666666667</v>
      </c>
      <c r="R1707" s="108">
        <v>0</v>
      </c>
      <c r="S1707" s="108">
        <v>-0.571428571428571</v>
      </c>
      <c r="T1707" s="108">
        <v>-1</v>
      </c>
      <c r="U1707" s="108">
        <v>-1</v>
      </c>
      <c r="V1707" s="108">
        <v>-1</v>
      </c>
      <c r="W1707" s="108">
        <v>-1</v>
      </c>
      <c r="X1707" s="215">
        <v>-0.0790697674418605</v>
      </c>
      <c r="Y1707" s="215">
        <v>0.166666666666667</v>
      </c>
      <c r="Z1707" s="215">
        <v>-0.166666666666667</v>
      </c>
    </row>
    <row r="1708" ht="18.95" customHeight="1" spans="1:30">
      <c r="A1708" s="103">
        <v>45089</v>
      </c>
      <c r="B1708" s="104" t="s">
        <v>22</v>
      </c>
      <c r="C1708" s="218">
        <v>4333</v>
      </c>
      <c r="D1708" s="218"/>
      <c r="E1708" s="217">
        <v>126</v>
      </c>
      <c r="F1708" s="106">
        <v>0.0290791599353796</v>
      </c>
      <c r="G1708" s="107">
        <v>51</v>
      </c>
      <c r="H1708" s="106">
        <v>0.404761904761905</v>
      </c>
      <c r="I1708" s="106"/>
      <c r="J1708" s="106"/>
      <c r="K1708" s="106"/>
      <c r="L1708" s="213">
        <v>-660</v>
      </c>
      <c r="M1708" s="213">
        <v>-784.333333333333</v>
      </c>
      <c r="N1708" s="213">
        <v>-664</v>
      </c>
      <c r="O1708" s="213">
        <v>-479</v>
      </c>
      <c r="P1708" s="108">
        <v>-66</v>
      </c>
      <c r="Q1708" s="108">
        <v>-61</v>
      </c>
      <c r="R1708" s="108">
        <v>-35</v>
      </c>
      <c r="S1708" s="115">
        <v>-16.7142857142857</v>
      </c>
      <c r="T1708" s="108">
        <v>-6</v>
      </c>
      <c r="U1708" s="108">
        <v>-4.33333333333334</v>
      </c>
      <c r="V1708" s="108">
        <v>-1.6</v>
      </c>
      <c r="W1708" s="117">
        <v>3.14285714285715</v>
      </c>
      <c r="X1708" s="215">
        <v>-0.132185059082716</v>
      </c>
      <c r="Y1708" s="215">
        <v>-0.34375</v>
      </c>
      <c r="Z1708" s="215">
        <v>-0.105263157894737</v>
      </c>
      <c r="AA1708" s="154"/>
      <c r="AB1708" s="154"/>
      <c r="AC1708" s="154"/>
      <c r="AD1708" s="154"/>
    </row>
    <row r="1709" ht="14.45" customHeight="1" spans="1:26">
      <c r="A1709" s="103">
        <v>45089</v>
      </c>
      <c r="B1709" s="104" t="s">
        <v>23</v>
      </c>
      <c r="C1709" s="218">
        <v>1595</v>
      </c>
      <c r="D1709" s="218"/>
      <c r="E1709" s="217">
        <v>9</v>
      </c>
      <c r="F1709" s="106">
        <v>0.00564263322884012</v>
      </c>
      <c r="G1709" s="107">
        <v>6</v>
      </c>
      <c r="H1709" s="106">
        <v>0.666666666666667</v>
      </c>
      <c r="I1709" s="106"/>
      <c r="J1709" s="106"/>
      <c r="K1709" s="106"/>
      <c r="L1709" s="213">
        <v>-71</v>
      </c>
      <c r="M1709" s="213">
        <v>-16.6666666666667</v>
      </c>
      <c r="N1709" s="213">
        <v>-47.2</v>
      </c>
      <c r="O1709" s="213">
        <v>-63.7142857142858</v>
      </c>
      <c r="P1709" s="108">
        <v>3</v>
      </c>
      <c r="Q1709" s="108">
        <v>2.33333333333333</v>
      </c>
      <c r="R1709" s="108">
        <v>1.2</v>
      </c>
      <c r="S1709" s="108">
        <v>1.14285714285714</v>
      </c>
      <c r="T1709" s="108">
        <v>3</v>
      </c>
      <c r="U1709" s="116">
        <v>3.66666666666667</v>
      </c>
      <c r="V1709" s="108">
        <v>3.2</v>
      </c>
      <c r="W1709" s="108">
        <v>3.42857142857143</v>
      </c>
      <c r="X1709" s="215">
        <v>-0.0426170468187275</v>
      </c>
      <c r="Y1709" s="215">
        <v>0.5</v>
      </c>
      <c r="Z1709" s="215">
        <v>1</v>
      </c>
    </row>
    <row r="1710" ht="14.45" customHeight="1" spans="1:30">
      <c r="A1710" s="103">
        <v>45089</v>
      </c>
      <c r="B1710" s="104" t="s">
        <v>24</v>
      </c>
      <c r="C1710" s="218">
        <v>5093</v>
      </c>
      <c r="D1710" s="218"/>
      <c r="E1710" s="217">
        <v>210</v>
      </c>
      <c r="F1710" s="106">
        <v>0.0412330649911643</v>
      </c>
      <c r="G1710" s="107">
        <v>64</v>
      </c>
      <c r="H1710" s="106">
        <v>0.304761904761905</v>
      </c>
      <c r="I1710" s="106"/>
      <c r="J1710" s="106"/>
      <c r="K1710" s="106"/>
      <c r="L1710" s="213">
        <v>-1831</v>
      </c>
      <c r="M1710" s="213">
        <v>-2765</v>
      </c>
      <c r="N1710" s="213">
        <v>-3095.6</v>
      </c>
      <c r="O1710" s="213">
        <v>-3200.28571428571</v>
      </c>
      <c r="P1710" s="115">
        <v>-144</v>
      </c>
      <c r="Q1710" s="115">
        <v>-85.3333333333333</v>
      </c>
      <c r="R1710" s="115">
        <v>-46.8</v>
      </c>
      <c r="S1710" s="115">
        <v>-26.8571428571429</v>
      </c>
      <c r="T1710" s="115">
        <v>-43</v>
      </c>
      <c r="U1710" s="115">
        <v>-7.66666666666667</v>
      </c>
      <c r="V1710" s="115">
        <v>-1.8</v>
      </c>
      <c r="W1710" s="115">
        <v>3.14285714285715</v>
      </c>
      <c r="X1710" s="215">
        <v>-0.264442518775274</v>
      </c>
      <c r="Y1710" s="215">
        <v>-0.406779661016949</v>
      </c>
      <c r="Z1710" s="215">
        <v>-0.401869158878505</v>
      </c>
      <c r="AA1710" s="154"/>
      <c r="AB1710" s="154"/>
      <c r="AC1710" s="154"/>
      <c r="AD1710" s="154"/>
    </row>
    <row r="1711" ht="14.45" customHeight="1" spans="1:26">
      <c r="A1711" s="103">
        <v>45089</v>
      </c>
      <c r="B1711" s="104" t="s">
        <v>25</v>
      </c>
      <c r="C1711" s="218">
        <v>3037</v>
      </c>
      <c r="D1711" s="218"/>
      <c r="E1711" s="217">
        <v>85</v>
      </c>
      <c r="F1711" s="106">
        <v>0.0279881461969048</v>
      </c>
      <c r="G1711" s="107">
        <v>32</v>
      </c>
      <c r="H1711" s="106">
        <v>0.376470588235294</v>
      </c>
      <c r="I1711" s="106"/>
      <c r="J1711" s="106"/>
      <c r="K1711" s="106"/>
      <c r="L1711" s="213">
        <v>-606</v>
      </c>
      <c r="M1711" s="213">
        <v>-124.666666666667</v>
      </c>
      <c r="N1711" s="213">
        <v>195.4</v>
      </c>
      <c r="O1711" s="213">
        <v>321</v>
      </c>
      <c r="P1711" s="116">
        <v>-21</v>
      </c>
      <c r="Q1711" s="115">
        <v>14</v>
      </c>
      <c r="R1711" s="115">
        <v>28.6</v>
      </c>
      <c r="S1711" s="115">
        <v>37</v>
      </c>
      <c r="T1711" s="108">
        <v>-10</v>
      </c>
      <c r="U1711" s="108">
        <v>8.66666666666667</v>
      </c>
      <c r="V1711" s="108">
        <v>12</v>
      </c>
      <c r="W1711" s="108">
        <v>14.4285714285714</v>
      </c>
      <c r="X1711" s="215">
        <v>-0.166346417787538</v>
      </c>
      <c r="Y1711" s="215">
        <v>-0.19811320754717</v>
      </c>
      <c r="Z1711" s="215">
        <v>-0.238095238095238</v>
      </c>
    </row>
    <row r="1712" ht="14.45" customHeight="1" spans="1:26">
      <c r="A1712" s="103">
        <v>45089</v>
      </c>
      <c r="B1712" s="104" t="s">
        <v>26</v>
      </c>
      <c r="C1712" s="218">
        <v>1454</v>
      </c>
      <c r="D1712" s="218"/>
      <c r="E1712" s="217">
        <v>1</v>
      </c>
      <c r="F1712" s="106">
        <v>0.000687757909215956</v>
      </c>
      <c r="G1712" s="107">
        <v>0</v>
      </c>
      <c r="H1712" s="106">
        <v>0</v>
      </c>
      <c r="I1712" s="106"/>
      <c r="J1712" s="106"/>
      <c r="K1712" s="106"/>
      <c r="L1712" s="213">
        <v>-30</v>
      </c>
      <c r="M1712" s="213">
        <v>-37.3333333333333</v>
      </c>
      <c r="N1712" s="213">
        <v>-31.4000000000001</v>
      </c>
      <c r="O1712" s="213">
        <v>-40.7142857142858</v>
      </c>
      <c r="P1712" s="108">
        <v>1</v>
      </c>
      <c r="Q1712" s="108">
        <v>-1.66666666666667</v>
      </c>
      <c r="R1712" s="108">
        <v>-3.2</v>
      </c>
      <c r="S1712" s="108">
        <v>-3.42857142857143</v>
      </c>
      <c r="T1712" s="108">
        <v>-3</v>
      </c>
      <c r="U1712" s="108">
        <v>-2</v>
      </c>
      <c r="V1712" s="108">
        <v>-2.2</v>
      </c>
      <c r="W1712" s="108">
        <v>-2.28571428571429</v>
      </c>
      <c r="X1712" s="215">
        <v>-0.0202156334231806</v>
      </c>
      <c r="Y1712" s="215" t="e">
        <v>#DIV/0!</v>
      </c>
      <c r="Z1712" s="215">
        <v>-1</v>
      </c>
    </row>
    <row r="1713" ht="14.45" customHeight="1" spans="1:26">
      <c r="A1713" s="103">
        <v>45089</v>
      </c>
      <c r="B1713" s="104" t="s">
        <v>27</v>
      </c>
      <c r="C1713" s="218">
        <v>2980</v>
      </c>
      <c r="D1713" s="218"/>
      <c r="E1713" s="217">
        <v>32</v>
      </c>
      <c r="F1713" s="106">
        <v>0.010738255033557</v>
      </c>
      <c r="G1713" s="107">
        <v>8</v>
      </c>
      <c r="H1713" s="106">
        <v>0.25</v>
      </c>
      <c r="I1713" s="106"/>
      <c r="J1713" s="106"/>
      <c r="K1713" s="106"/>
      <c r="L1713" s="213">
        <v>-303</v>
      </c>
      <c r="M1713" s="213">
        <v>-176.666666666667</v>
      </c>
      <c r="N1713" s="213">
        <v>-150</v>
      </c>
      <c r="O1713" s="213">
        <v>-227.142857142857</v>
      </c>
      <c r="P1713" s="108">
        <v>-34</v>
      </c>
      <c r="Q1713" s="108">
        <v>-23.6666666666667</v>
      </c>
      <c r="R1713" s="108">
        <v>-24</v>
      </c>
      <c r="S1713" s="108">
        <v>-25.7142857142857</v>
      </c>
      <c r="T1713" s="108">
        <v>-6</v>
      </c>
      <c r="U1713" s="108">
        <v>-2.33333333333333</v>
      </c>
      <c r="V1713" s="108">
        <v>-5</v>
      </c>
      <c r="W1713" s="108">
        <v>-5</v>
      </c>
      <c r="X1713" s="215">
        <v>-0.092293633871459</v>
      </c>
      <c r="Y1713" s="215">
        <v>-0.515151515151515</v>
      </c>
      <c r="Z1713" s="215">
        <v>-0.428571428571429</v>
      </c>
    </row>
    <row r="1714" ht="14.45" customHeight="1" spans="1:26">
      <c r="A1714" s="103">
        <v>45089</v>
      </c>
      <c r="B1714" s="104" t="s">
        <v>28</v>
      </c>
      <c r="C1714" s="145">
        <v>0</v>
      </c>
      <c r="D1714" s="145"/>
      <c r="E1714" s="104">
        <v>0</v>
      </c>
      <c r="F1714" s="106">
        <v>0</v>
      </c>
      <c r="G1714" s="107">
        <v>0</v>
      </c>
      <c r="H1714" s="106">
        <v>0</v>
      </c>
      <c r="I1714" s="106"/>
      <c r="J1714" s="106"/>
      <c r="K1714" s="106"/>
      <c r="L1714" s="213">
        <v>0</v>
      </c>
      <c r="M1714" s="213">
        <v>0</v>
      </c>
      <c r="N1714" s="213">
        <v>0</v>
      </c>
      <c r="O1714" s="213">
        <v>0</v>
      </c>
      <c r="P1714" s="108">
        <v>0</v>
      </c>
      <c r="Q1714" s="108">
        <v>0</v>
      </c>
      <c r="R1714" s="108">
        <v>0</v>
      </c>
      <c r="S1714" s="108">
        <v>0</v>
      </c>
      <c r="T1714" s="108">
        <v>0</v>
      </c>
      <c r="U1714" s="108">
        <v>0</v>
      </c>
      <c r="V1714" s="108">
        <v>0</v>
      </c>
      <c r="W1714" s="108">
        <v>0</v>
      </c>
      <c r="X1714" s="215" t="e">
        <v>#DIV/0!</v>
      </c>
      <c r="Y1714" s="215" t="e">
        <v>#DIV/0!</v>
      </c>
      <c r="Z1714" s="215" t="e">
        <v>#DIV/0!</v>
      </c>
    </row>
    <row r="1715" ht="14.45" customHeight="1" spans="1:26">
      <c r="A1715" s="103">
        <v>45089</v>
      </c>
      <c r="B1715" s="104" t="s">
        <v>29</v>
      </c>
      <c r="C1715" s="145">
        <v>0</v>
      </c>
      <c r="D1715" s="145"/>
      <c r="E1715" s="104">
        <v>0</v>
      </c>
      <c r="F1715" s="106">
        <v>0</v>
      </c>
      <c r="G1715" s="107">
        <v>0</v>
      </c>
      <c r="H1715" s="106">
        <v>0</v>
      </c>
      <c r="I1715" s="106"/>
      <c r="J1715" s="106"/>
      <c r="K1715" s="106"/>
      <c r="L1715" s="213">
        <v>0</v>
      </c>
      <c r="M1715" s="213">
        <v>0</v>
      </c>
      <c r="N1715" s="213">
        <v>0</v>
      </c>
      <c r="O1715" s="213">
        <v>0</v>
      </c>
      <c r="P1715" s="108">
        <v>0</v>
      </c>
      <c r="Q1715" s="108">
        <v>0</v>
      </c>
      <c r="R1715" s="108">
        <v>0</v>
      </c>
      <c r="S1715" s="108">
        <v>0</v>
      </c>
      <c r="T1715" s="108">
        <v>0</v>
      </c>
      <c r="U1715" s="108">
        <v>0</v>
      </c>
      <c r="V1715" s="108">
        <v>0</v>
      </c>
      <c r="W1715" s="108">
        <v>0</v>
      </c>
      <c r="X1715" s="215" t="e">
        <v>#DIV/0!</v>
      </c>
      <c r="Y1715" s="215" t="e">
        <v>#DIV/0!</v>
      </c>
      <c r="Z1715" s="215" t="e">
        <v>#DIV/0!</v>
      </c>
    </row>
    <row r="1716" ht="14.45" customHeight="1" spans="1:27">
      <c r="A1716" s="103">
        <v>45089</v>
      </c>
      <c r="B1716" s="104" t="s">
        <v>30</v>
      </c>
      <c r="C1716" s="145">
        <v>0</v>
      </c>
      <c r="D1716" s="145"/>
      <c r="E1716" s="104">
        <v>0</v>
      </c>
      <c r="F1716" s="106">
        <v>0</v>
      </c>
      <c r="G1716" s="107">
        <v>0</v>
      </c>
      <c r="H1716" s="106">
        <v>0</v>
      </c>
      <c r="I1716" s="106"/>
      <c r="J1716" s="106"/>
      <c r="K1716" s="106"/>
      <c r="L1716" s="213">
        <v>0</v>
      </c>
      <c r="M1716" s="213">
        <v>0</v>
      </c>
      <c r="N1716" s="213">
        <v>0</v>
      </c>
      <c r="O1716" s="213">
        <v>0</v>
      </c>
      <c r="P1716" s="108">
        <v>0</v>
      </c>
      <c r="Q1716" s="108">
        <v>0</v>
      </c>
      <c r="R1716" s="108">
        <v>0</v>
      </c>
      <c r="S1716" s="108">
        <v>0</v>
      </c>
      <c r="T1716" s="108">
        <v>0</v>
      </c>
      <c r="U1716" s="108">
        <v>0</v>
      </c>
      <c r="V1716" s="108">
        <v>0</v>
      </c>
      <c r="W1716" s="108">
        <v>0</v>
      </c>
      <c r="X1716" s="168"/>
      <c r="Y1716" s="168"/>
      <c r="Z1716" s="169"/>
      <c r="AA1716" s="169"/>
    </row>
    <row r="1717" ht="14.45" customHeight="1" spans="1:27">
      <c r="A1717" s="103">
        <v>45089</v>
      </c>
      <c r="B1717" s="104" t="s">
        <v>31</v>
      </c>
      <c r="C1717" s="145">
        <v>0</v>
      </c>
      <c r="D1717" s="145"/>
      <c r="E1717" s="104">
        <v>0</v>
      </c>
      <c r="F1717" s="106">
        <v>0</v>
      </c>
      <c r="G1717" s="107">
        <v>0</v>
      </c>
      <c r="H1717" s="106">
        <v>0</v>
      </c>
      <c r="I1717" s="106"/>
      <c r="J1717" s="106"/>
      <c r="K1717" s="106"/>
      <c r="L1717" s="213">
        <v>0</v>
      </c>
      <c r="M1717" s="213">
        <v>0</v>
      </c>
      <c r="N1717" s="213">
        <v>0</v>
      </c>
      <c r="O1717" s="213">
        <v>0</v>
      </c>
      <c r="P1717" s="108">
        <v>0</v>
      </c>
      <c r="Q1717" s="108">
        <v>0</v>
      </c>
      <c r="R1717" s="108">
        <v>0</v>
      </c>
      <c r="S1717" s="108">
        <v>0</v>
      </c>
      <c r="T1717" s="108">
        <v>0</v>
      </c>
      <c r="U1717" s="108">
        <v>0</v>
      </c>
      <c r="V1717" s="108">
        <v>0</v>
      </c>
      <c r="W1717" s="108">
        <v>0</v>
      </c>
      <c r="X1717" s="168"/>
      <c r="Y1717" s="168"/>
      <c r="Z1717" s="169"/>
      <c r="AA1717" s="169"/>
    </row>
    <row r="1718" ht="14.45" customHeight="1" spans="1:27">
      <c r="A1718" s="103">
        <v>45089</v>
      </c>
      <c r="B1718" s="104" t="s">
        <v>32</v>
      </c>
      <c r="C1718" s="145">
        <v>0</v>
      </c>
      <c r="D1718" s="145"/>
      <c r="E1718" s="104">
        <v>0</v>
      </c>
      <c r="F1718" s="106">
        <v>0</v>
      </c>
      <c r="G1718" s="107">
        <v>0</v>
      </c>
      <c r="H1718" s="106">
        <v>0</v>
      </c>
      <c r="I1718" s="106"/>
      <c r="J1718" s="106"/>
      <c r="K1718" s="106"/>
      <c r="L1718" s="213">
        <v>0</v>
      </c>
      <c r="M1718" s="213">
        <v>0</v>
      </c>
      <c r="N1718" s="213">
        <v>0</v>
      </c>
      <c r="O1718" s="213">
        <v>0</v>
      </c>
      <c r="P1718" s="108">
        <v>0</v>
      </c>
      <c r="Q1718" s="108">
        <v>0</v>
      </c>
      <c r="R1718" s="108">
        <v>0</v>
      </c>
      <c r="S1718" s="108">
        <v>0</v>
      </c>
      <c r="T1718" s="108">
        <v>0</v>
      </c>
      <c r="U1718" s="108">
        <v>0</v>
      </c>
      <c r="V1718" s="108">
        <v>0</v>
      </c>
      <c r="W1718" s="108">
        <v>0</v>
      </c>
      <c r="X1718" s="168"/>
      <c r="Y1718" s="168"/>
      <c r="Z1718" s="169"/>
      <c r="AA1718" s="169"/>
    </row>
    <row r="1719" spans="1:23">
      <c r="A1719" s="103">
        <v>45089</v>
      </c>
      <c r="B1719" s="104" t="s">
        <v>33</v>
      </c>
      <c r="C1719" s="145">
        <v>0</v>
      </c>
      <c r="D1719" s="145"/>
      <c r="E1719" s="104">
        <v>0</v>
      </c>
      <c r="F1719" s="106">
        <v>0</v>
      </c>
      <c r="G1719" s="107">
        <v>0</v>
      </c>
      <c r="H1719" s="106">
        <v>0</v>
      </c>
      <c r="I1719" s="106"/>
      <c r="J1719" s="106"/>
      <c r="K1719" s="106"/>
      <c r="L1719" s="213">
        <v>0</v>
      </c>
      <c r="M1719" s="213">
        <v>0</v>
      </c>
      <c r="N1719" s="213">
        <v>0</v>
      </c>
      <c r="O1719" s="213">
        <v>0</v>
      </c>
      <c r="P1719" s="108">
        <v>0</v>
      </c>
      <c r="Q1719" s="108">
        <v>0</v>
      </c>
      <c r="R1719" s="108">
        <v>0</v>
      </c>
      <c r="S1719" s="108">
        <v>0</v>
      </c>
      <c r="T1719" s="108">
        <v>0</v>
      </c>
      <c r="U1719" s="108">
        <v>0</v>
      </c>
      <c r="V1719" s="108">
        <v>0</v>
      </c>
      <c r="W1719" s="108">
        <v>0</v>
      </c>
    </row>
    <row r="1720" spans="1:23">
      <c r="A1720" s="103">
        <v>45089</v>
      </c>
      <c r="B1720" s="104" t="s">
        <v>34</v>
      </c>
      <c r="C1720" s="145">
        <v>0</v>
      </c>
      <c r="D1720" s="145"/>
      <c r="E1720" s="104">
        <v>0</v>
      </c>
      <c r="F1720" s="106">
        <v>0</v>
      </c>
      <c r="G1720" s="107">
        <v>0</v>
      </c>
      <c r="H1720" s="106">
        <v>0</v>
      </c>
      <c r="I1720" s="106"/>
      <c r="J1720" s="106"/>
      <c r="K1720" s="106"/>
      <c r="L1720" s="213">
        <v>0</v>
      </c>
      <c r="M1720" s="213">
        <v>0</v>
      </c>
      <c r="N1720" s="213">
        <v>0</v>
      </c>
      <c r="O1720" s="213">
        <v>0</v>
      </c>
      <c r="P1720" s="108">
        <v>0</v>
      </c>
      <c r="Q1720" s="108">
        <v>0</v>
      </c>
      <c r="R1720" s="108">
        <v>0</v>
      </c>
      <c r="S1720" s="108">
        <v>0</v>
      </c>
      <c r="T1720" s="108">
        <v>0</v>
      </c>
      <c r="U1720" s="108">
        <v>0</v>
      </c>
      <c r="V1720" s="108">
        <v>0</v>
      </c>
      <c r="W1720" s="108">
        <v>0</v>
      </c>
    </row>
    <row r="1721" spans="1:23">
      <c r="A1721" s="103">
        <v>45089</v>
      </c>
      <c r="B1721" s="104" t="s">
        <v>35</v>
      </c>
      <c r="C1721" s="145">
        <v>0</v>
      </c>
      <c r="D1721" s="145"/>
      <c r="E1721" s="104">
        <v>0</v>
      </c>
      <c r="F1721" s="106">
        <v>0</v>
      </c>
      <c r="G1721" s="107">
        <v>0</v>
      </c>
      <c r="H1721" s="106">
        <v>0</v>
      </c>
      <c r="I1721" s="106"/>
      <c r="J1721" s="106"/>
      <c r="K1721" s="106"/>
      <c r="L1721" s="213">
        <v>0</v>
      </c>
      <c r="M1721" s="213">
        <v>0</v>
      </c>
      <c r="N1721" s="213">
        <v>0</v>
      </c>
      <c r="O1721" s="213">
        <v>0</v>
      </c>
      <c r="P1721" s="108">
        <v>0</v>
      </c>
      <c r="Q1721" s="108">
        <v>0</v>
      </c>
      <c r="R1721" s="108">
        <v>0</v>
      </c>
      <c r="S1721" s="108">
        <v>0</v>
      </c>
      <c r="T1721" s="108">
        <v>0</v>
      </c>
      <c r="U1721" s="108">
        <v>0</v>
      </c>
      <c r="V1721" s="108">
        <v>0</v>
      </c>
      <c r="W1721" s="108">
        <v>0</v>
      </c>
    </row>
    <row r="1722" spans="1:23">
      <c r="A1722" s="103">
        <v>45089</v>
      </c>
      <c r="B1722" s="104" t="s">
        <v>36</v>
      </c>
      <c r="C1722" s="145">
        <v>0</v>
      </c>
      <c r="D1722" s="145"/>
      <c r="E1722" s="104">
        <v>0</v>
      </c>
      <c r="F1722" s="106">
        <v>0</v>
      </c>
      <c r="G1722" s="107">
        <v>0</v>
      </c>
      <c r="H1722" s="106">
        <v>0</v>
      </c>
      <c r="I1722" s="106"/>
      <c r="J1722" s="106"/>
      <c r="K1722" s="106"/>
      <c r="L1722" s="213">
        <v>0</v>
      </c>
      <c r="M1722" s="213">
        <v>0</v>
      </c>
      <c r="N1722" s="213">
        <v>0</v>
      </c>
      <c r="O1722" s="213">
        <v>0</v>
      </c>
      <c r="P1722" s="108">
        <v>0</v>
      </c>
      <c r="Q1722" s="108">
        <v>0</v>
      </c>
      <c r="R1722" s="108">
        <v>0</v>
      </c>
      <c r="S1722" s="108">
        <v>0</v>
      </c>
      <c r="T1722" s="108">
        <v>0</v>
      </c>
      <c r="U1722" s="108">
        <v>0</v>
      </c>
      <c r="V1722" s="108">
        <v>0</v>
      </c>
      <c r="W1722" s="108">
        <v>0</v>
      </c>
    </row>
    <row r="1723" spans="1:23">
      <c r="A1723" s="103">
        <v>45089</v>
      </c>
      <c r="B1723" s="104" t="s">
        <v>37</v>
      </c>
      <c r="C1723" s="145">
        <v>0</v>
      </c>
      <c r="D1723" s="145"/>
      <c r="E1723" s="104">
        <v>0</v>
      </c>
      <c r="F1723" s="106">
        <v>0</v>
      </c>
      <c r="G1723" s="107">
        <v>0</v>
      </c>
      <c r="H1723" s="106">
        <v>0</v>
      </c>
      <c r="I1723" s="106"/>
      <c r="J1723" s="106"/>
      <c r="K1723" s="106"/>
      <c r="L1723" s="213">
        <v>0</v>
      </c>
      <c r="M1723" s="213">
        <v>0</v>
      </c>
      <c r="N1723" s="213">
        <v>0</v>
      </c>
      <c r="O1723" s="213">
        <v>0</v>
      </c>
      <c r="P1723" s="108">
        <v>0</v>
      </c>
      <c r="Q1723" s="108">
        <v>0</v>
      </c>
      <c r="R1723" s="108">
        <v>-0.2</v>
      </c>
      <c r="S1723" s="108">
        <v>-0.428571428571429</v>
      </c>
      <c r="T1723" s="108">
        <v>0</v>
      </c>
      <c r="U1723" s="108">
        <v>-0.333333333333333</v>
      </c>
      <c r="V1723" s="108">
        <v>-0.4</v>
      </c>
      <c r="W1723" s="108">
        <v>-0.285714285714286</v>
      </c>
    </row>
    <row r="1724" spans="1:23">
      <c r="A1724" s="103">
        <v>45089</v>
      </c>
      <c r="B1724" s="104" t="s">
        <v>38</v>
      </c>
      <c r="C1724" s="145">
        <v>0</v>
      </c>
      <c r="D1724" s="145"/>
      <c r="E1724" s="104">
        <v>0</v>
      </c>
      <c r="F1724" s="106">
        <v>0</v>
      </c>
      <c r="G1724" s="107">
        <v>0</v>
      </c>
      <c r="H1724" s="106">
        <v>0</v>
      </c>
      <c r="I1724" s="106"/>
      <c r="J1724" s="106"/>
      <c r="K1724" s="106"/>
      <c r="L1724" s="213">
        <v>0</v>
      </c>
      <c r="M1724" s="213">
        <v>0</v>
      </c>
      <c r="N1724" s="213">
        <v>0</v>
      </c>
      <c r="O1724" s="213">
        <v>0</v>
      </c>
      <c r="P1724" s="108">
        <v>0</v>
      </c>
      <c r="Q1724" s="108">
        <v>0</v>
      </c>
      <c r="R1724" s="108">
        <v>0</v>
      </c>
      <c r="S1724" s="108">
        <v>0</v>
      </c>
      <c r="T1724" s="108">
        <v>0</v>
      </c>
      <c r="U1724" s="108">
        <v>0</v>
      </c>
      <c r="V1724" s="108">
        <v>0</v>
      </c>
      <c r="W1724" s="108">
        <v>0</v>
      </c>
    </row>
    <row r="1725" spans="1:23">
      <c r="A1725" s="103">
        <v>45089</v>
      </c>
      <c r="B1725" s="111" t="s">
        <v>39</v>
      </c>
      <c r="C1725" s="112">
        <v>19346</v>
      </c>
      <c r="D1725" s="112"/>
      <c r="E1725" s="112">
        <v>530</v>
      </c>
      <c r="F1725" s="113">
        <v>0.02739584410214</v>
      </c>
      <c r="G1725" s="112">
        <v>187</v>
      </c>
      <c r="H1725" s="113">
        <v>0.352830188679245</v>
      </c>
      <c r="I1725" s="113"/>
      <c r="J1725" s="113"/>
      <c r="K1725" s="113"/>
      <c r="L1725" s="213"/>
      <c r="M1725" s="213"/>
      <c r="N1725" s="213"/>
      <c r="O1725" s="213"/>
      <c r="P1725" s="108"/>
      <c r="Q1725" s="108"/>
      <c r="R1725" s="108"/>
      <c r="S1725" s="108"/>
      <c r="T1725" s="108"/>
      <c r="U1725" s="108"/>
      <c r="V1725" s="108"/>
      <c r="W1725" s="108"/>
    </row>
    <row r="1726" spans="1:24">
      <c r="A1726" s="103">
        <v>45090</v>
      </c>
      <c r="B1726" s="104" t="s">
        <v>17</v>
      </c>
      <c r="C1726" s="216">
        <v>2</v>
      </c>
      <c r="D1726" s="216"/>
      <c r="E1726" s="217">
        <v>30</v>
      </c>
      <c r="F1726" s="106">
        <v>15</v>
      </c>
      <c r="G1726" s="107">
        <v>7</v>
      </c>
      <c r="H1726" s="106">
        <v>0.233333333333333</v>
      </c>
      <c r="I1726" s="104">
        <v>6</v>
      </c>
      <c r="J1726" s="106">
        <v>0.2</v>
      </c>
      <c r="K1726" s="106">
        <v>0</v>
      </c>
      <c r="L1726" s="213">
        <v>-0.333333333333333</v>
      </c>
      <c r="M1726" s="213">
        <v>-0.2</v>
      </c>
      <c r="N1726" s="213">
        <v>-0.285714285714286</v>
      </c>
      <c r="O1726" s="213">
        <v>-7</v>
      </c>
      <c r="P1726" s="108">
        <v>-2.33333333333334</v>
      </c>
      <c r="Q1726" s="108">
        <v>1.2</v>
      </c>
      <c r="R1726" s="108">
        <v>1.42857142857143</v>
      </c>
      <c r="S1726" s="108">
        <v>-7</v>
      </c>
      <c r="T1726" s="108">
        <v>-0.666666666666667</v>
      </c>
      <c r="U1726" s="108">
        <v>0.8</v>
      </c>
      <c r="V1726" s="108">
        <v>0.714285714285714</v>
      </c>
      <c r="W1726" s="108"/>
      <c r="X1726" t="s">
        <v>18</v>
      </c>
    </row>
    <row r="1727" spans="1:23">
      <c r="A1727" s="103">
        <v>45090</v>
      </c>
      <c r="B1727" s="104" t="s">
        <v>19</v>
      </c>
      <c r="C1727" s="216">
        <v>577</v>
      </c>
      <c r="D1727" s="216"/>
      <c r="E1727" s="217">
        <v>15</v>
      </c>
      <c r="F1727" s="106">
        <v>0.0259965337954939</v>
      </c>
      <c r="G1727" s="107">
        <v>5</v>
      </c>
      <c r="H1727" s="106">
        <v>0.333333333333333</v>
      </c>
      <c r="I1727" s="104">
        <v>2</v>
      </c>
      <c r="J1727" s="106">
        <v>0.133333333333333</v>
      </c>
      <c r="K1727" s="106">
        <v>-77</v>
      </c>
      <c r="L1727" s="213">
        <v>-49.3333333333334</v>
      </c>
      <c r="M1727" s="213">
        <v>-36.2</v>
      </c>
      <c r="N1727" s="213">
        <v>12</v>
      </c>
      <c r="O1727" s="213">
        <v>-1</v>
      </c>
      <c r="P1727" s="108">
        <v>0</v>
      </c>
      <c r="Q1727" s="108">
        <v>0.199999999999999</v>
      </c>
      <c r="R1727" s="108">
        <v>0.285714285714286</v>
      </c>
      <c r="S1727" s="108">
        <v>-2</v>
      </c>
      <c r="T1727" s="108">
        <v>-3.66666666666667</v>
      </c>
      <c r="U1727" s="108">
        <v>-2.8</v>
      </c>
      <c r="V1727" s="108">
        <v>-3</v>
      </c>
      <c r="W1727" s="115"/>
    </row>
    <row r="1728" spans="1:23">
      <c r="A1728" s="103">
        <v>45090</v>
      </c>
      <c r="B1728" s="104" t="s">
        <v>21</v>
      </c>
      <c r="C1728" s="218">
        <v>237</v>
      </c>
      <c r="D1728" s="218"/>
      <c r="E1728" s="217">
        <v>12</v>
      </c>
      <c r="F1728" s="106">
        <v>0.0506329113924051</v>
      </c>
      <c r="G1728" s="107">
        <v>3</v>
      </c>
      <c r="H1728" s="106">
        <v>0.25</v>
      </c>
      <c r="I1728" s="104">
        <v>2</v>
      </c>
      <c r="J1728" s="106">
        <v>0.166666666666667</v>
      </c>
      <c r="K1728" s="106">
        <v>39</v>
      </c>
      <c r="L1728" s="213">
        <v>-6</v>
      </c>
      <c r="M1728" s="213">
        <v>-20</v>
      </c>
      <c r="N1728" s="213">
        <v>-30.1428571428572</v>
      </c>
      <c r="O1728" s="213">
        <v>-2</v>
      </c>
      <c r="P1728" s="108">
        <v>-0.666666666666666</v>
      </c>
      <c r="Q1728" s="108">
        <v>-1.6</v>
      </c>
      <c r="R1728" s="108">
        <v>-2.28571428571429</v>
      </c>
      <c r="S1728" s="108">
        <v>-2</v>
      </c>
      <c r="T1728" s="108">
        <v>-2.66666666666667</v>
      </c>
      <c r="U1728" s="108">
        <v>-2.6</v>
      </c>
      <c r="V1728" s="108">
        <v>-2.57142857142857</v>
      </c>
      <c r="W1728" s="108"/>
    </row>
    <row r="1729" spans="1:23">
      <c r="A1729" s="103">
        <v>45090</v>
      </c>
      <c r="B1729" s="104" t="s">
        <v>22</v>
      </c>
      <c r="C1729" s="218">
        <v>3501</v>
      </c>
      <c r="D1729" s="218"/>
      <c r="E1729" s="217">
        <v>93</v>
      </c>
      <c r="F1729" s="106">
        <v>0.0265638389031705</v>
      </c>
      <c r="G1729" s="107">
        <v>40</v>
      </c>
      <c r="H1729" s="106">
        <v>0.43010752688172</v>
      </c>
      <c r="I1729" s="104">
        <v>31</v>
      </c>
      <c r="J1729" s="106">
        <v>0.333333333333333</v>
      </c>
      <c r="K1729" s="106">
        <v>-832</v>
      </c>
      <c r="L1729" s="213">
        <v>-1359</v>
      </c>
      <c r="M1729" s="213">
        <v>-1452</v>
      </c>
      <c r="N1729" s="213">
        <v>-1325.57142857143</v>
      </c>
      <c r="O1729" s="213">
        <v>-33</v>
      </c>
      <c r="P1729" s="108">
        <v>-81.6666666666667</v>
      </c>
      <c r="Q1729" s="108">
        <v>-69.2</v>
      </c>
      <c r="R1729" s="108">
        <v>-56.4285714285714</v>
      </c>
      <c r="S1729" s="115">
        <v>-11</v>
      </c>
      <c r="T1729" s="108">
        <v>-17</v>
      </c>
      <c r="U1729" s="108">
        <v>-13.4</v>
      </c>
      <c r="V1729" s="108">
        <v>-10.7142857142857</v>
      </c>
      <c r="W1729" s="117"/>
    </row>
    <row r="1730" spans="1:23">
      <c r="A1730" s="103">
        <v>45090</v>
      </c>
      <c r="B1730" s="104" t="s">
        <v>23</v>
      </c>
      <c r="C1730" s="218">
        <v>1688</v>
      </c>
      <c r="D1730" s="218"/>
      <c r="E1730" s="217">
        <v>5</v>
      </c>
      <c r="F1730" s="106">
        <v>0.00296208530805687</v>
      </c>
      <c r="G1730" s="107">
        <v>2</v>
      </c>
      <c r="H1730" s="106">
        <v>0.4</v>
      </c>
      <c r="I1730" s="104">
        <v>0</v>
      </c>
      <c r="J1730" s="106">
        <v>0</v>
      </c>
      <c r="K1730" s="106">
        <v>93</v>
      </c>
      <c r="L1730" s="213">
        <v>74.3333333333333</v>
      </c>
      <c r="M1730" s="213">
        <v>62.5999999999999</v>
      </c>
      <c r="N1730" s="213">
        <v>49.4285714285713</v>
      </c>
      <c r="O1730" s="213">
        <v>-4</v>
      </c>
      <c r="P1730" s="108">
        <v>-3.66666666666667</v>
      </c>
      <c r="Q1730" s="108">
        <v>-2.6</v>
      </c>
      <c r="R1730" s="108">
        <v>-3</v>
      </c>
      <c r="S1730" s="108">
        <v>-4</v>
      </c>
      <c r="T1730" s="108">
        <v>-1.66666666666667</v>
      </c>
      <c r="U1730" s="116">
        <v>-1.2</v>
      </c>
      <c r="V1730" s="108">
        <v>-1.14285714285714</v>
      </c>
      <c r="W1730" s="108"/>
    </row>
    <row r="1731" spans="1:23">
      <c r="A1731" s="103">
        <v>45090</v>
      </c>
      <c r="B1731" s="104" t="s">
        <v>24</v>
      </c>
      <c r="C1731" s="218">
        <v>4217</v>
      </c>
      <c r="D1731" s="218"/>
      <c r="E1731" s="217">
        <v>145</v>
      </c>
      <c r="F1731" s="106">
        <v>0.0343846336258003</v>
      </c>
      <c r="G1731" s="107">
        <v>39</v>
      </c>
      <c r="H1731" s="106">
        <v>0.268965517241379</v>
      </c>
      <c r="I1731" s="104">
        <v>28</v>
      </c>
      <c r="J1731" s="106">
        <v>0.193103448275862</v>
      </c>
      <c r="K1731" s="106">
        <v>-876</v>
      </c>
      <c r="L1731" s="213">
        <v>-2692.33333333333</v>
      </c>
      <c r="M1731" s="213">
        <v>-3255.6</v>
      </c>
      <c r="N1731" s="213">
        <v>-3593.85714285714</v>
      </c>
      <c r="O1731" s="213">
        <v>-65</v>
      </c>
      <c r="P1731" s="115">
        <v>-144.333333333333</v>
      </c>
      <c r="Q1731" s="115">
        <v>-116.6</v>
      </c>
      <c r="R1731" s="115">
        <v>-99.7142857142857</v>
      </c>
      <c r="S1731" s="115">
        <v>-25</v>
      </c>
      <c r="T1731" s="115">
        <v>-39.6666666666667</v>
      </c>
      <c r="U1731" s="115">
        <v>-28.4</v>
      </c>
      <c r="V1731" s="115">
        <v>-24.7142857142857</v>
      </c>
      <c r="W1731" s="115"/>
    </row>
    <row r="1732" spans="1:23">
      <c r="A1732" s="103">
        <v>45090</v>
      </c>
      <c r="B1732" s="104" t="s">
        <v>25</v>
      </c>
      <c r="C1732" s="218">
        <v>2762</v>
      </c>
      <c r="D1732" s="218"/>
      <c r="E1732" s="217">
        <v>69</v>
      </c>
      <c r="F1732" s="106">
        <v>0.0249818971759595</v>
      </c>
      <c r="G1732" s="107">
        <v>22</v>
      </c>
      <c r="H1732" s="106">
        <v>0.318840579710145</v>
      </c>
      <c r="I1732" s="104">
        <v>20</v>
      </c>
      <c r="J1732" s="106">
        <v>0.289855072463768</v>
      </c>
      <c r="K1732" s="106">
        <v>-275</v>
      </c>
      <c r="L1732" s="213">
        <v>-580.333333333333</v>
      </c>
      <c r="M1732" s="213">
        <v>-219.6</v>
      </c>
      <c r="N1732" s="213">
        <v>-39</v>
      </c>
      <c r="O1732" s="213">
        <v>-16</v>
      </c>
      <c r="P1732" s="116">
        <v>-17.6666666666667</v>
      </c>
      <c r="Q1732" s="115">
        <v>2.59999999999999</v>
      </c>
      <c r="R1732" s="115">
        <v>12.5714285714286</v>
      </c>
      <c r="S1732" s="115">
        <v>-10</v>
      </c>
      <c r="T1732" s="108">
        <v>-8</v>
      </c>
      <c r="U1732" s="108">
        <v>-0.800000000000001</v>
      </c>
      <c r="V1732" s="108">
        <v>1.71428571428572</v>
      </c>
      <c r="W1732" s="108"/>
    </row>
    <row r="1733" spans="1:23">
      <c r="A1733" s="103">
        <v>45090</v>
      </c>
      <c r="B1733" s="104" t="s">
        <v>26</v>
      </c>
      <c r="C1733" s="218">
        <v>1439</v>
      </c>
      <c r="D1733" s="218"/>
      <c r="E1733" s="217">
        <v>2</v>
      </c>
      <c r="F1733" s="106">
        <v>0.00138985406532314</v>
      </c>
      <c r="G1733" s="107">
        <v>2</v>
      </c>
      <c r="H1733" s="106">
        <v>1</v>
      </c>
      <c r="I1733" s="104">
        <v>0</v>
      </c>
      <c r="J1733" s="106">
        <v>0</v>
      </c>
      <c r="K1733" s="106">
        <v>-15</v>
      </c>
      <c r="L1733" s="213">
        <v>-35.3333333333333</v>
      </c>
      <c r="M1733" s="213">
        <v>-45.8</v>
      </c>
      <c r="N1733" s="213">
        <v>-37.7142857142858</v>
      </c>
      <c r="O1733" s="213">
        <v>1</v>
      </c>
      <c r="P1733" s="108">
        <v>0</v>
      </c>
      <c r="Q1733" s="108">
        <v>-1.6</v>
      </c>
      <c r="R1733" s="108">
        <v>-1.71428571428571</v>
      </c>
      <c r="S1733" s="108">
        <v>2</v>
      </c>
      <c r="T1733" s="108">
        <v>1</v>
      </c>
      <c r="U1733" s="108">
        <v>0.4</v>
      </c>
      <c r="V1733" s="108">
        <v>-0.142857142857143</v>
      </c>
      <c r="W1733" s="108"/>
    </row>
    <row r="1734" spans="1:23">
      <c r="A1734" s="103">
        <v>45090</v>
      </c>
      <c r="B1734" s="104" t="s">
        <v>27</v>
      </c>
      <c r="C1734" s="218">
        <v>3157</v>
      </c>
      <c r="D1734" s="218"/>
      <c r="E1734" s="217">
        <v>41</v>
      </c>
      <c r="F1734" s="106">
        <v>0.012987012987013</v>
      </c>
      <c r="G1734" s="107">
        <v>6</v>
      </c>
      <c r="H1734" s="106">
        <v>0.146341463414634</v>
      </c>
      <c r="I1734" s="104">
        <v>5</v>
      </c>
      <c r="J1734" s="106">
        <v>0.121951219512195</v>
      </c>
      <c r="K1734" s="106">
        <v>177</v>
      </c>
      <c r="L1734" s="213">
        <v>-37.6666666666665</v>
      </c>
      <c r="M1734" s="213">
        <v>59.5999999999999</v>
      </c>
      <c r="N1734" s="213">
        <v>37.2857142857142</v>
      </c>
      <c r="O1734" s="213">
        <v>9</v>
      </c>
      <c r="P1734" s="108">
        <v>-9.33333333333334</v>
      </c>
      <c r="Q1734" s="108">
        <v>-9.4</v>
      </c>
      <c r="R1734" s="108">
        <v>-12</v>
      </c>
      <c r="S1734" s="108">
        <v>-2</v>
      </c>
      <c r="T1734" s="108">
        <v>-3.66666666666667</v>
      </c>
      <c r="U1734" s="108">
        <v>-3.8</v>
      </c>
      <c r="V1734" s="108">
        <v>-6.57142857142857</v>
      </c>
      <c r="W1734" s="108"/>
    </row>
    <row r="1735" spans="1:23">
      <c r="A1735" s="103">
        <v>45090</v>
      </c>
      <c r="B1735" s="104" t="s">
        <v>28</v>
      </c>
      <c r="C1735" s="145">
        <v>0</v>
      </c>
      <c r="D1735" s="145"/>
      <c r="E1735" s="104">
        <v>0</v>
      </c>
      <c r="F1735" s="106">
        <v>0</v>
      </c>
      <c r="G1735" s="107">
        <v>0</v>
      </c>
      <c r="H1735" s="106">
        <v>0</v>
      </c>
      <c r="I1735" s="104">
        <v>0</v>
      </c>
      <c r="J1735" s="106">
        <v>0</v>
      </c>
      <c r="K1735" s="106">
        <v>0</v>
      </c>
      <c r="L1735" s="213">
        <v>0</v>
      </c>
      <c r="M1735" s="213">
        <v>0</v>
      </c>
      <c r="N1735" s="213">
        <v>0</v>
      </c>
      <c r="O1735" s="213">
        <v>0</v>
      </c>
      <c r="P1735" s="108">
        <v>0</v>
      </c>
      <c r="Q1735" s="108">
        <v>0</v>
      </c>
      <c r="R1735" s="108">
        <v>0</v>
      </c>
      <c r="S1735" s="108">
        <v>0</v>
      </c>
      <c r="T1735" s="108">
        <v>0</v>
      </c>
      <c r="U1735" s="108">
        <v>0</v>
      </c>
      <c r="V1735" s="108">
        <v>0</v>
      </c>
      <c r="W1735" s="108"/>
    </row>
    <row r="1736" spans="1:23">
      <c r="A1736" s="103">
        <v>45090</v>
      </c>
      <c r="B1736" s="104" t="s">
        <v>29</v>
      </c>
      <c r="C1736" s="145">
        <v>0</v>
      </c>
      <c r="D1736" s="145"/>
      <c r="E1736" s="104">
        <v>0</v>
      </c>
      <c r="F1736" s="106">
        <v>0</v>
      </c>
      <c r="G1736" s="107">
        <v>0</v>
      </c>
      <c r="H1736" s="106">
        <v>0</v>
      </c>
      <c r="I1736" s="104">
        <v>0</v>
      </c>
      <c r="J1736" s="106">
        <v>0</v>
      </c>
      <c r="K1736" s="106">
        <v>0</v>
      </c>
      <c r="L1736" s="213">
        <v>0</v>
      </c>
      <c r="M1736" s="213">
        <v>0</v>
      </c>
      <c r="N1736" s="213">
        <v>0</v>
      </c>
      <c r="O1736" s="213">
        <v>0</v>
      </c>
      <c r="P1736" s="108">
        <v>0</v>
      </c>
      <c r="Q1736" s="108">
        <v>0</v>
      </c>
      <c r="R1736" s="108">
        <v>0</v>
      </c>
      <c r="S1736" s="108">
        <v>0</v>
      </c>
      <c r="T1736" s="108">
        <v>0</v>
      </c>
      <c r="U1736" s="108">
        <v>0</v>
      </c>
      <c r="V1736" s="108">
        <v>0</v>
      </c>
      <c r="W1736" s="108"/>
    </row>
    <row r="1737" spans="1:23">
      <c r="A1737" s="103">
        <v>45090</v>
      </c>
      <c r="B1737" s="104" t="s">
        <v>30</v>
      </c>
      <c r="C1737" s="145">
        <v>0</v>
      </c>
      <c r="D1737" s="145"/>
      <c r="E1737" s="104">
        <v>0</v>
      </c>
      <c r="F1737" s="106">
        <v>0</v>
      </c>
      <c r="G1737" s="107">
        <v>0</v>
      </c>
      <c r="H1737" s="106">
        <v>0</v>
      </c>
      <c r="I1737" s="104">
        <v>0</v>
      </c>
      <c r="J1737" s="106">
        <v>0</v>
      </c>
      <c r="K1737" s="106">
        <v>0</v>
      </c>
      <c r="L1737" s="213">
        <v>0</v>
      </c>
      <c r="M1737" s="213">
        <v>0</v>
      </c>
      <c r="N1737" s="213">
        <v>0</v>
      </c>
      <c r="O1737" s="213">
        <v>0</v>
      </c>
      <c r="P1737" s="108">
        <v>0</v>
      </c>
      <c r="Q1737" s="108">
        <v>0</v>
      </c>
      <c r="R1737" s="108">
        <v>0</v>
      </c>
      <c r="S1737" s="108">
        <v>0</v>
      </c>
      <c r="T1737" s="108">
        <v>0</v>
      </c>
      <c r="U1737" s="108">
        <v>0</v>
      </c>
      <c r="V1737" s="108">
        <v>0</v>
      </c>
      <c r="W1737" s="108"/>
    </row>
    <row r="1738" spans="1:23">
      <c r="A1738" s="103">
        <v>45090</v>
      </c>
      <c r="B1738" s="104" t="s">
        <v>31</v>
      </c>
      <c r="C1738" s="145">
        <v>0</v>
      </c>
      <c r="D1738" s="145"/>
      <c r="E1738" s="104">
        <v>0</v>
      </c>
      <c r="F1738" s="106">
        <v>0</v>
      </c>
      <c r="G1738" s="107">
        <v>0</v>
      </c>
      <c r="H1738" s="106">
        <v>0</v>
      </c>
      <c r="I1738" s="104">
        <v>0</v>
      </c>
      <c r="J1738" s="106">
        <v>0</v>
      </c>
      <c r="K1738" s="106">
        <v>0</v>
      </c>
      <c r="L1738" s="213">
        <v>0</v>
      </c>
      <c r="M1738" s="213">
        <v>0</v>
      </c>
      <c r="N1738" s="213">
        <v>0</v>
      </c>
      <c r="O1738" s="213">
        <v>0</v>
      </c>
      <c r="P1738" s="108">
        <v>0</v>
      </c>
      <c r="Q1738" s="108">
        <v>0</v>
      </c>
      <c r="R1738" s="108">
        <v>0</v>
      </c>
      <c r="S1738" s="108">
        <v>0</v>
      </c>
      <c r="T1738" s="108">
        <v>0</v>
      </c>
      <c r="U1738" s="108">
        <v>0</v>
      </c>
      <c r="V1738" s="108">
        <v>0</v>
      </c>
      <c r="W1738" s="108"/>
    </row>
    <row r="1739" spans="1:23">
      <c r="A1739" s="103">
        <v>45090</v>
      </c>
      <c r="B1739" s="104" t="s">
        <v>32</v>
      </c>
      <c r="C1739" s="145">
        <v>0</v>
      </c>
      <c r="D1739" s="145"/>
      <c r="E1739" s="104">
        <v>0</v>
      </c>
      <c r="F1739" s="106">
        <v>0</v>
      </c>
      <c r="G1739" s="107">
        <v>0</v>
      </c>
      <c r="H1739" s="106">
        <v>0</v>
      </c>
      <c r="I1739" s="104">
        <v>0</v>
      </c>
      <c r="J1739" s="106">
        <v>0</v>
      </c>
      <c r="K1739" s="106">
        <v>0</v>
      </c>
      <c r="L1739" s="213">
        <v>0</v>
      </c>
      <c r="M1739" s="213">
        <v>0</v>
      </c>
      <c r="N1739" s="213">
        <v>0</v>
      </c>
      <c r="O1739" s="213">
        <v>0</v>
      </c>
      <c r="P1739" s="108">
        <v>0</v>
      </c>
      <c r="Q1739" s="108">
        <v>0</v>
      </c>
      <c r="R1739" s="108">
        <v>0</v>
      </c>
      <c r="S1739" s="108">
        <v>0</v>
      </c>
      <c r="T1739" s="108">
        <v>0</v>
      </c>
      <c r="U1739" s="108">
        <v>0</v>
      </c>
      <c r="V1739" s="108">
        <v>0</v>
      </c>
      <c r="W1739" s="108"/>
    </row>
    <row r="1740" spans="1:23">
      <c r="A1740" s="103">
        <v>45090</v>
      </c>
      <c r="B1740" s="104" t="s">
        <v>33</v>
      </c>
      <c r="C1740" s="145">
        <v>0</v>
      </c>
      <c r="D1740" s="145"/>
      <c r="E1740" s="104">
        <v>0</v>
      </c>
      <c r="F1740" s="106">
        <v>0</v>
      </c>
      <c r="G1740" s="107">
        <v>0</v>
      </c>
      <c r="H1740" s="106">
        <v>0</v>
      </c>
      <c r="I1740" s="104">
        <v>0</v>
      </c>
      <c r="J1740" s="106">
        <v>0</v>
      </c>
      <c r="K1740" s="106">
        <v>0</v>
      </c>
      <c r="L1740" s="213">
        <v>0</v>
      </c>
      <c r="M1740" s="213">
        <v>0</v>
      </c>
      <c r="N1740" s="213">
        <v>0</v>
      </c>
      <c r="O1740" s="213">
        <v>0</v>
      </c>
      <c r="P1740" s="108">
        <v>0</v>
      </c>
      <c r="Q1740" s="108">
        <v>0</v>
      </c>
      <c r="R1740" s="108">
        <v>0</v>
      </c>
      <c r="S1740" s="108">
        <v>0</v>
      </c>
      <c r="T1740" s="108">
        <v>0</v>
      </c>
      <c r="U1740" s="108">
        <v>0</v>
      </c>
      <c r="V1740" s="108">
        <v>0</v>
      </c>
      <c r="W1740" s="108"/>
    </row>
    <row r="1741" spans="1:23">
      <c r="A1741" s="103">
        <v>45090</v>
      </c>
      <c r="B1741" s="104" t="s">
        <v>34</v>
      </c>
      <c r="C1741" s="145">
        <v>0</v>
      </c>
      <c r="D1741" s="145"/>
      <c r="E1741" s="104">
        <v>0</v>
      </c>
      <c r="F1741" s="106">
        <v>0</v>
      </c>
      <c r="G1741" s="107">
        <v>0</v>
      </c>
      <c r="H1741" s="106">
        <v>0</v>
      </c>
      <c r="I1741" s="104">
        <v>0</v>
      </c>
      <c r="J1741" s="106">
        <v>0</v>
      </c>
      <c r="K1741" s="106">
        <v>0</v>
      </c>
      <c r="L1741" s="213">
        <v>0</v>
      </c>
      <c r="M1741" s="213">
        <v>0</v>
      </c>
      <c r="N1741" s="213">
        <v>0</v>
      </c>
      <c r="O1741" s="213">
        <v>0</v>
      </c>
      <c r="P1741" s="108">
        <v>0</v>
      </c>
      <c r="Q1741" s="108">
        <v>0</v>
      </c>
      <c r="R1741" s="108">
        <v>0</v>
      </c>
      <c r="S1741" s="108">
        <v>0</v>
      </c>
      <c r="T1741" s="108">
        <v>0</v>
      </c>
      <c r="U1741" s="108">
        <v>0</v>
      </c>
      <c r="V1741" s="108">
        <v>0</v>
      </c>
      <c r="W1741" s="108"/>
    </row>
    <row r="1742" spans="1:23">
      <c r="A1742" s="103">
        <v>45090</v>
      </c>
      <c r="B1742" s="104" t="s">
        <v>35</v>
      </c>
      <c r="C1742" s="145">
        <v>0</v>
      </c>
      <c r="D1742" s="145"/>
      <c r="E1742" s="104">
        <v>0</v>
      </c>
      <c r="F1742" s="106">
        <v>0</v>
      </c>
      <c r="G1742" s="107">
        <v>0</v>
      </c>
      <c r="H1742" s="106">
        <v>0</v>
      </c>
      <c r="I1742" s="104">
        <v>0</v>
      </c>
      <c r="J1742" s="106">
        <v>0</v>
      </c>
      <c r="K1742" s="106">
        <v>0</v>
      </c>
      <c r="L1742" s="213">
        <v>0</v>
      </c>
      <c r="M1742" s="213">
        <v>0</v>
      </c>
      <c r="N1742" s="213">
        <v>0</v>
      </c>
      <c r="O1742" s="213">
        <v>0</v>
      </c>
      <c r="P1742" s="108">
        <v>0</v>
      </c>
      <c r="Q1742" s="108">
        <v>0</v>
      </c>
      <c r="R1742" s="108">
        <v>0</v>
      </c>
      <c r="S1742" s="108">
        <v>0</v>
      </c>
      <c r="T1742" s="108">
        <v>0</v>
      </c>
      <c r="U1742" s="108">
        <v>0</v>
      </c>
      <c r="V1742" s="108">
        <v>0</v>
      </c>
      <c r="W1742" s="108"/>
    </row>
    <row r="1743" spans="1:23">
      <c r="A1743" s="103">
        <v>45090</v>
      </c>
      <c r="B1743" s="104" t="s">
        <v>36</v>
      </c>
      <c r="C1743" s="145">
        <v>0</v>
      </c>
      <c r="D1743" s="145"/>
      <c r="E1743" s="104">
        <v>0</v>
      </c>
      <c r="F1743" s="106">
        <v>0</v>
      </c>
      <c r="G1743" s="107">
        <v>0</v>
      </c>
      <c r="H1743" s="106">
        <v>0</v>
      </c>
      <c r="I1743" s="104">
        <v>0</v>
      </c>
      <c r="J1743" s="106">
        <v>0</v>
      </c>
      <c r="K1743" s="106">
        <v>0</v>
      </c>
      <c r="L1743" s="213">
        <v>0</v>
      </c>
      <c r="M1743" s="213">
        <v>0</v>
      </c>
      <c r="N1743" s="213">
        <v>0</v>
      </c>
      <c r="O1743" s="213">
        <v>0</v>
      </c>
      <c r="P1743" s="108">
        <v>0</v>
      </c>
      <c r="Q1743" s="108">
        <v>0</v>
      </c>
      <c r="R1743" s="108">
        <v>0</v>
      </c>
      <c r="S1743" s="108">
        <v>0</v>
      </c>
      <c r="T1743" s="108">
        <v>0</v>
      </c>
      <c r="U1743" s="108">
        <v>0</v>
      </c>
      <c r="V1743" s="108">
        <v>0</v>
      </c>
      <c r="W1743" s="108"/>
    </row>
    <row r="1744" spans="1:23">
      <c r="A1744" s="103">
        <v>45090</v>
      </c>
      <c r="B1744" s="104" t="s">
        <v>37</v>
      </c>
      <c r="C1744" s="145">
        <v>0</v>
      </c>
      <c r="D1744" s="145"/>
      <c r="E1744" s="104">
        <v>1</v>
      </c>
      <c r="F1744" s="106">
        <v>1</v>
      </c>
      <c r="G1744" s="107">
        <v>0</v>
      </c>
      <c r="H1744" s="106">
        <v>0</v>
      </c>
      <c r="I1744" s="104">
        <v>0</v>
      </c>
      <c r="J1744" s="106">
        <v>0</v>
      </c>
      <c r="K1744" s="106">
        <v>0</v>
      </c>
      <c r="L1744" s="213">
        <v>0</v>
      </c>
      <c r="M1744" s="213">
        <v>0</v>
      </c>
      <c r="N1744" s="213">
        <v>0</v>
      </c>
      <c r="O1744" s="213">
        <v>1</v>
      </c>
      <c r="P1744" s="108">
        <v>1</v>
      </c>
      <c r="Q1744" s="108">
        <v>1</v>
      </c>
      <c r="R1744" s="108">
        <v>0.857142857142857</v>
      </c>
      <c r="S1744" s="108">
        <v>0</v>
      </c>
      <c r="T1744" s="108">
        <v>0</v>
      </c>
      <c r="U1744" s="108">
        <v>-0.2</v>
      </c>
      <c r="V1744" s="108">
        <v>-0.285714285714286</v>
      </c>
      <c r="W1744" s="108"/>
    </row>
    <row r="1745" spans="1:23">
      <c r="A1745" s="103">
        <v>45090</v>
      </c>
      <c r="B1745" s="104" t="s">
        <v>38</v>
      </c>
      <c r="C1745" s="145">
        <v>0</v>
      </c>
      <c r="D1745" s="145"/>
      <c r="E1745" s="104">
        <v>0</v>
      </c>
      <c r="F1745" s="106">
        <v>0</v>
      </c>
      <c r="G1745" s="107">
        <v>0</v>
      </c>
      <c r="H1745" s="106">
        <v>0</v>
      </c>
      <c r="I1745" s="104">
        <v>0</v>
      </c>
      <c r="J1745" s="106">
        <v>0</v>
      </c>
      <c r="K1745" s="106">
        <v>0</v>
      </c>
      <c r="L1745" s="213">
        <v>0</v>
      </c>
      <c r="M1745" s="213">
        <v>0</v>
      </c>
      <c r="N1745" s="213">
        <v>0</v>
      </c>
      <c r="O1745" s="213">
        <v>0</v>
      </c>
      <c r="P1745" s="108">
        <v>0</v>
      </c>
      <c r="Q1745" s="108">
        <v>0</v>
      </c>
      <c r="R1745" s="108">
        <v>0</v>
      </c>
      <c r="S1745" s="108">
        <v>0</v>
      </c>
      <c r="T1745" s="108">
        <v>0</v>
      </c>
      <c r="U1745" s="108">
        <v>0</v>
      </c>
      <c r="V1745" s="108">
        <v>0</v>
      </c>
      <c r="W1745" s="108"/>
    </row>
    <row r="1746" spans="1:23">
      <c r="A1746" s="103">
        <v>45090</v>
      </c>
      <c r="B1746" s="111" t="s">
        <v>39</v>
      </c>
      <c r="C1746" s="112">
        <v>17580</v>
      </c>
      <c r="D1746" s="112"/>
      <c r="E1746" s="112">
        <v>413</v>
      </c>
      <c r="F1746" s="113">
        <v>0.0234926052332196</v>
      </c>
      <c r="G1746" s="112">
        <v>126</v>
      </c>
      <c r="H1746" s="113">
        <v>0.305084745762712</v>
      </c>
      <c r="I1746" s="112">
        <v>94</v>
      </c>
      <c r="J1746" s="106">
        <v>0.227602905569007</v>
      </c>
      <c r="K1746" s="113"/>
      <c r="L1746" s="213"/>
      <c r="M1746" s="213"/>
      <c r="N1746" s="213"/>
      <c r="O1746" s="213"/>
      <c r="P1746" s="108"/>
      <c r="Q1746" s="108"/>
      <c r="R1746" s="108"/>
      <c r="S1746" s="108"/>
      <c r="T1746" s="108"/>
      <c r="U1746" s="108"/>
      <c r="V1746" s="108"/>
      <c r="W1746" s="108"/>
    </row>
    <row r="1747" ht="14.45" customHeight="1" spans="1:24">
      <c r="A1747" s="214">
        <v>45091</v>
      </c>
      <c r="B1747" s="104" t="s">
        <v>17</v>
      </c>
      <c r="C1747" s="216">
        <v>3</v>
      </c>
      <c r="D1747" s="216"/>
      <c r="E1747" s="217">
        <v>21</v>
      </c>
      <c r="F1747" s="106">
        <v>7</v>
      </c>
      <c r="G1747" s="107">
        <v>9</v>
      </c>
      <c r="H1747" s="106">
        <v>0.428571428571429</v>
      </c>
      <c r="I1747" s="104">
        <v>3</v>
      </c>
      <c r="J1747" s="106">
        <v>0.142857142857143</v>
      </c>
      <c r="K1747" s="213">
        <v>1</v>
      </c>
      <c r="L1747" s="213">
        <v>1</v>
      </c>
      <c r="M1747" s="213">
        <v>0.8</v>
      </c>
      <c r="N1747" s="213">
        <v>0.714285714285714</v>
      </c>
      <c r="O1747" s="213">
        <v>-9</v>
      </c>
      <c r="P1747" s="108">
        <v>-12.3333333333333</v>
      </c>
      <c r="Q1747" s="108">
        <v>-9</v>
      </c>
      <c r="R1747" s="108">
        <v>-7.42857142857143</v>
      </c>
      <c r="S1747" s="108">
        <v>2</v>
      </c>
      <c r="T1747" s="108">
        <v>1</v>
      </c>
      <c r="U1747" s="108">
        <v>2</v>
      </c>
      <c r="V1747" s="108">
        <v>3</v>
      </c>
      <c r="X1747" t="s">
        <v>18</v>
      </c>
    </row>
    <row r="1748" ht="14.45" customHeight="1" spans="1:24">
      <c r="A1748" s="214">
        <v>45091</v>
      </c>
      <c r="B1748" s="104" t="s">
        <v>19</v>
      </c>
      <c r="C1748" s="216">
        <v>566</v>
      </c>
      <c r="D1748" s="216"/>
      <c r="E1748" s="217">
        <v>18</v>
      </c>
      <c r="F1748" s="106">
        <v>0.0318021201413428</v>
      </c>
      <c r="G1748" s="107">
        <v>3</v>
      </c>
      <c r="H1748" s="106">
        <v>0.166666666666667</v>
      </c>
      <c r="I1748" s="104">
        <v>2</v>
      </c>
      <c r="J1748" s="106">
        <v>0.111111111111111</v>
      </c>
      <c r="K1748" s="213">
        <v>-11</v>
      </c>
      <c r="L1748" s="213">
        <v>-57</v>
      </c>
      <c r="M1748" s="213">
        <v>-44.8</v>
      </c>
      <c r="N1748" s="213">
        <v>-26.1428571428571</v>
      </c>
      <c r="O1748" s="213">
        <v>3</v>
      </c>
      <c r="P1748" s="108">
        <v>3.33333333333333</v>
      </c>
      <c r="Q1748" s="108">
        <v>3.8</v>
      </c>
      <c r="R1748" s="108">
        <v>3.14285714285714</v>
      </c>
      <c r="S1748" s="108">
        <v>-2</v>
      </c>
      <c r="T1748" s="108">
        <v>-4.33333333333333</v>
      </c>
      <c r="U1748" s="108">
        <v>-4.6</v>
      </c>
      <c r="V1748" s="115">
        <v>-4.42857142857143</v>
      </c>
      <c r="W1748" s="154"/>
      <c r="X1748" s="154"/>
    </row>
    <row r="1749" ht="14.45" customHeight="1" spans="1:22">
      <c r="A1749" s="214">
        <v>45091</v>
      </c>
      <c r="B1749" s="104" t="s">
        <v>21</v>
      </c>
      <c r="C1749" s="218">
        <v>248</v>
      </c>
      <c r="D1749" s="218"/>
      <c r="E1749" s="217">
        <v>4</v>
      </c>
      <c r="F1749" s="106">
        <v>0.0161290322580645</v>
      </c>
      <c r="G1749" s="107">
        <v>1</v>
      </c>
      <c r="H1749" s="106">
        <v>0.25</v>
      </c>
      <c r="I1749" s="104">
        <v>0</v>
      </c>
      <c r="J1749" s="106">
        <v>0</v>
      </c>
      <c r="K1749" s="213">
        <v>11</v>
      </c>
      <c r="L1749" s="213">
        <v>31.3333333333333</v>
      </c>
      <c r="M1749" s="213">
        <v>-0.400000000000006</v>
      </c>
      <c r="N1749" s="213">
        <v>-8.28571428571428</v>
      </c>
      <c r="O1749" s="213">
        <v>-8</v>
      </c>
      <c r="P1749" s="108">
        <v>-8.66666666666667</v>
      </c>
      <c r="Q1749" s="108">
        <v>-8.6</v>
      </c>
      <c r="R1749" s="108">
        <v>-9.71428571428571</v>
      </c>
      <c r="S1749" s="108">
        <v>-2</v>
      </c>
      <c r="T1749" s="108">
        <v>-3.66666666666667</v>
      </c>
      <c r="U1749" s="108">
        <v>-4.2</v>
      </c>
      <c r="V1749" s="108">
        <v>-4.42857142857143</v>
      </c>
    </row>
    <row r="1750" ht="18.95" customHeight="1" spans="1:24">
      <c r="A1750" s="214">
        <v>45091</v>
      </c>
      <c r="B1750" s="104" t="s">
        <v>22</v>
      </c>
      <c r="C1750" s="218">
        <v>2855</v>
      </c>
      <c r="D1750" s="218"/>
      <c r="E1750" s="217">
        <v>79</v>
      </c>
      <c r="F1750" s="106">
        <v>0.0276707530647986</v>
      </c>
      <c r="G1750" s="107">
        <v>34</v>
      </c>
      <c r="H1750" s="106">
        <v>0.430379746835443</v>
      </c>
      <c r="I1750" s="104">
        <v>23</v>
      </c>
      <c r="J1750" s="106">
        <v>0.291139240506329</v>
      </c>
      <c r="K1750" s="213">
        <v>-646</v>
      </c>
      <c r="L1750" s="213">
        <v>-1420.66666666667</v>
      </c>
      <c r="M1750" s="213">
        <v>-1782.2</v>
      </c>
      <c r="N1750" s="213">
        <v>-1833.42857142857</v>
      </c>
      <c r="O1750" s="213">
        <v>-14</v>
      </c>
      <c r="P1750" s="108">
        <v>-58</v>
      </c>
      <c r="Q1750" s="108">
        <v>-77</v>
      </c>
      <c r="R1750" s="115">
        <v>-67.2857142857143</v>
      </c>
      <c r="S1750" s="108">
        <v>-6</v>
      </c>
      <c r="T1750" s="108">
        <v>-15.3333333333333</v>
      </c>
      <c r="U1750" s="108">
        <v>-17.4</v>
      </c>
      <c r="V1750" s="117">
        <v>-16.5714285714286</v>
      </c>
      <c r="W1750" s="154"/>
      <c r="X1750" s="154"/>
    </row>
    <row r="1751" ht="14.45" customHeight="1" spans="1:22">
      <c r="A1751" s="214">
        <v>45091</v>
      </c>
      <c r="B1751" s="104" t="s">
        <v>23</v>
      </c>
      <c r="C1751" s="218">
        <v>1751</v>
      </c>
      <c r="D1751" s="218"/>
      <c r="E1751" s="217">
        <v>7</v>
      </c>
      <c r="F1751" s="106">
        <v>0.00399771559109081</v>
      </c>
      <c r="G1751" s="107">
        <v>3</v>
      </c>
      <c r="H1751" s="106">
        <v>0.428571428571429</v>
      </c>
      <c r="I1751" s="104">
        <v>2</v>
      </c>
      <c r="J1751" s="106">
        <v>0.285714285714286</v>
      </c>
      <c r="K1751" s="213">
        <v>63</v>
      </c>
      <c r="L1751" s="213">
        <v>101.333333333333</v>
      </c>
      <c r="M1751" s="213">
        <v>127.4</v>
      </c>
      <c r="N1751" s="213">
        <v>109</v>
      </c>
      <c r="O1751" s="213">
        <v>2</v>
      </c>
      <c r="P1751" s="108">
        <v>0.333333333333333</v>
      </c>
      <c r="Q1751" s="108">
        <v>0.2</v>
      </c>
      <c r="R1751" s="108">
        <v>-0.571428571428571</v>
      </c>
      <c r="S1751" s="108">
        <v>1</v>
      </c>
      <c r="T1751" s="116">
        <v>-0.666666666666667</v>
      </c>
      <c r="U1751" s="108">
        <v>0</v>
      </c>
      <c r="V1751" s="108">
        <v>-0.142857142857143</v>
      </c>
    </row>
    <row r="1752" ht="14.45" customHeight="1" spans="1:24">
      <c r="A1752" s="214">
        <v>45091</v>
      </c>
      <c r="B1752" s="104" t="s">
        <v>24</v>
      </c>
      <c r="C1752" s="218">
        <v>3728</v>
      </c>
      <c r="D1752" s="218"/>
      <c r="E1752" s="217">
        <v>127</v>
      </c>
      <c r="F1752" s="106">
        <v>0.0340665236051502</v>
      </c>
      <c r="G1752" s="107">
        <v>35</v>
      </c>
      <c r="H1752" s="106">
        <v>0.275590551181102</v>
      </c>
      <c r="I1752" s="104">
        <v>27</v>
      </c>
      <c r="J1752" s="106">
        <v>0.21259842519685</v>
      </c>
      <c r="K1752" s="213">
        <v>-489</v>
      </c>
      <c r="L1752" s="213">
        <v>-1683.33333333333</v>
      </c>
      <c r="M1752" s="213">
        <v>-2848.8</v>
      </c>
      <c r="N1752" s="213">
        <v>-3451</v>
      </c>
      <c r="O1752" s="219">
        <v>-18</v>
      </c>
      <c r="P1752" s="115">
        <v>-109.333333333333</v>
      </c>
      <c r="Q1752" s="115">
        <v>-121.2</v>
      </c>
      <c r="R1752" s="115">
        <v>-107.142857142857</v>
      </c>
      <c r="S1752" s="115">
        <v>-4</v>
      </c>
      <c r="T1752" s="115">
        <v>-35</v>
      </c>
      <c r="U1752" s="115">
        <v>-28.6</v>
      </c>
      <c r="V1752" s="115">
        <v>-26.7142857142857</v>
      </c>
      <c r="W1752" s="154"/>
      <c r="X1752" s="154"/>
    </row>
    <row r="1753" ht="14.45" customHeight="1" spans="1:22">
      <c r="A1753" s="214">
        <v>45091</v>
      </c>
      <c r="B1753" s="104" t="s">
        <v>25</v>
      </c>
      <c r="C1753" s="218">
        <v>2645</v>
      </c>
      <c r="D1753" s="218"/>
      <c r="E1753" s="217">
        <v>65</v>
      </c>
      <c r="F1753" s="106">
        <v>0.0245746691871456</v>
      </c>
      <c r="G1753" s="107">
        <v>30</v>
      </c>
      <c r="H1753" s="106">
        <v>0.461538461538462</v>
      </c>
      <c r="I1753" s="104">
        <v>23</v>
      </c>
      <c r="J1753" s="106">
        <v>0.353846153846154</v>
      </c>
      <c r="K1753" s="213">
        <v>-117</v>
      </c>
      <c r="L1753" s="213">
        <v>-502.333333333333</v>
      </c>
      <c r="M1753" s="213">
        <v>-411.8</v>
      </c>
      <c r="N1753" s="213">
        <v>-213.142857142857</v>
      </c>
      <c r="O1753" s="220">
        <v>-4</v>
      </c>
      <c r="P1753" s="115">
        <v>-21.6666666666667</v>
      </c>
      <c r="Q1753" s="115">
        <v>-8.40000000000001</v>
      </c>
      <c r="R1753" s="115">
        <v>2.71428571428572</v>
      </c>
      <c r="S1753" s="108">
        <v>8</v>
      </c>
      <c r="T1753" s="108">
        <v>-2</v>
      </c>
      <c r="U1753" s="108">
        <v>5.2</v>
      </c>
      <c r="V1753" s="108">
        <v>8</v>
      </c>
    </row>
    <row r="1754" ht="14.45" customHeight="1" spans="1:22">
      <c r="A1754" s="214">
        <v>45091</v>
      </c>
      <c r="B1754" s="104" t="s">
        <v>26</v>
      </c>
      <c r="C1754" s="218">
        <v>1408</v>
      </c>
      <c r="D1754" s="218"/>
      <c r="E1754" s="217">
        <v>0</v>
      </c>
      <c r="F1754" s="106">
        <v>0</v>
      </c>
      <c r="G1754" s="107">
        <v>1</v>
      </c>
      <c r="H1754" s="106">
        <v>1</v>
      </c>
      <c r="I1754" s="104">
        <v>0</v>
      </c>
      <c r="J1754" s="106">
        <v>0</v>
      </c>
      <c r="K1754" s="213">
        <v>-31</v>
      </c>
      <c r="L1754" s="213">
        <v>-51</v>
      </c>
      <c r="M1754" s="213">
        <v>-65.4000000000001</v>
      </c>
      <c r="N1754" s="213">
        <v>-66.2857142857142</v>
      </c>
      <c r="O1754" s="213">
        <v>-2</v>
      </c>
      <c r="P1754" s="108">
        <v>-1</v>
      </c>
      <c r="Q1754" s="108">
        <v>-2.2</v>
      </c>
      <c r="R1754" s="108">
        <v>-3.42857142857143</v>
      </c>
      <c r="S1754" s="108">
        <v>-1</v>
      </c>
      <c r="T1754" s="108">
        <v>-0.666666666666667</v>
      </c>
      <c r="U1754" s="108">
        <v>-0.6</v>
      </c>
      <c r="V1754" s="108">
        <v>-0.857142857142857</v>
      </c>
    </row>
    <row r="1755" ht="14.45" customHeight="1" spans="1:22">
      <c r="A1755" s="214">
        <v>45091</v>
      </c>
      <c r="B1755" s="104" t="s">
        <v>27</v>
      </c>
      <c r="C1755" s="218">
        <v>2804</v>
      </c>
      <c r="D1755" s="218"/>
      <c r="E1755" s="217">
        <v>42</v>
      </c>
      <c r="F1755" s="106">
        <v>0.0149786019971469</v>
      </c>
      <c r="G1755" s="107">
        <v>11</v>
      </c>
      <c r="H1755" s="106">
        <v>0.261904761904762</v>
      </c>
      <c r="I1755" s="104">
        <v>8</v>
      </c>
      <c r="J1755" s="106">
        <v>0.19047619047619</v>
      </c>
      <c r="K1755" s="213">
        <v>-353</v>
      </c>
      <c r="L1755" s="213">
        <v>-336</v>
      </c>
      <c r="M1755" s="213">
        <v>-317.4</v>
      </c>
      <c r="N1755" s="213">
        <v>-308.428571428572</v>
      </c>
      <c r="O1755" s="213">
        <v>1</v>
      </c>
      <c r="P1755" s="108">
        <v>-4.33333333333334</v>
      </c>
      <c r="Q1755" s="108">
        <v>-6</v>
      </c>
      <c r="R1755" s="108">
        <v>-8.42857142857143</v>
      </c>
      <c r="S1755" s="108">
        <v>5</v>
      </c>
      <c r="T1755" s="108">
        <v>1.66666666666667</v>
      </c>
      <c r="U1755" s="108">
        <v>2</v>
      </c>
      <c r="V1755" s="108">
        <v>-0.285714285714286</v>
      </c>
    </row>
    <row r="1756" ht="14.45" customHeight="1" spans="1:22">
      <c r="A1756" s="214">
        <v>45091</v>
      </c>
      <c r="B1756" s="104" t="s">
        <v>28</v>
      </c>
      <c r="C1756" s="145">
        <v>0</v>
      </c>
      <c r="D1756" s="145"/>
      <c r="E1756" s="104">
        <v>0</v>
      </c>
      <c r="F1756" s="106">
        <v>0</v>
      </c>
      <c r="G1756" s="107">
        <v>0</v>
      </c>
      <c r="H1756" s="106">
        <v>0</v>
      </c>
      <c r="I1756" s="104">
        <v>0</v>
      </c>
      <c r="J1756" s="106">
        <v>0</v>
      </c>
      <c r="K1756" s="213">
        <v>0</v>
      </c>
      <c r="L1756" s="213">
        <v>0</v>
      </c>
      <c r="M1756" s="213">
        <v>0</v>
      </c>
      <c r="N1756" s="213">
        <v>0</v>
      </c>
      <c r="O1756" s="213">
        <v>0</v>
      </c>
      <c r="P1756" s="108">
        <v>0</v>
      </c>
      <c r="Q1756" s="108">
        <v>0</v>
      </c>
      <c r="R1756" s="108">
        <v>0</v>
      </c>
      <c r="S1756" s="108">
        <v>0</v>
      </c>
      <c r="T1756" s="108">
        <v>0</v>
      </c>
      <c r="U1756" s="108">
        <v>0</v>
      </c>
      <c r="V1756" s="108">
        <v>0</v>
      </c>
    </row>
    <row r="1757" ht="14.45" customHeight="1" spans="1:22">
      <c r="A1757" s="214">
        <v>45091</v>
      </c>
      <c r="B1757" s="104" t="s">
        <v>29</v>
      </c>
      <c r="C1757" s="145">
        <v>0</v>
      </c>
      <c r="D1757" s="145"/>
      <c r="E1757" s="104">
        <v>0</v>
      </c>
      <c r="F1757" s="106">
        <v>0</v>
      </c>
      <c r="G1757" s="107">
        <v>0</v>
      </c>
      <c r="H1757" s="106">
        <v>0</v>
      </c>
      <c r="I1757" s="104">
        <v>0</v>
      </c>
      <c r="J1757" s="106">
        <v>0</v>
      </c>
      <c r="K1757" s="213">
        <v>0</v>
      </c>
      <c r="L1757" s="213">
        <v>0</v>
      </c>
      <c r="M1757" s="213">
        <v>0</v>
      </c>
      <c r="N1757" s="213">
        <v>0</v>
      </c>
      <c r="O1757" s="213">
        <v>0</v>
      </c>
      <c r="P1757" s="108">
        <v>0</v>
      </c>
      <c r="Q1757" s="108">
        <v>0</v>
      </c>
      <c r="R1757" s="108">
        <v>0</v>
      </c>
      <c r="S1757" s="108">
        <v>0</v>
      </c>
      <c r="T1757" s="108">
        <v>0</v>
      </c>
      <c r="U1757" s="108">
        <v>0</v>
      </c>
      <c r="V1757" s="108">
        <v>0</v>
      </c>
    </row>
    <row r="1758" ht="14.45" customHeight="1" spans="1:22">
      <c r="A1758" s="214">
        <v>45091</v>
      </c>
      <c r="B1758" s="104" t="s">
        <v>30</v>
      </c>
      <c r="C1758" s="145">
        <v>0</v>
      </c>
      <c r="D1758" s="145"/>
      <c r="E1758" s="104">
        <v>0</v>
      </c>
      <c r="F1758" s="106">
        <v>0</v>
      </c>
      <c r="G1758" s="107">
        <v>0</v>
      </c>
      <c r="H1758" s="106">
        <v>0</v>
      </c>
      <c r="I1758" s="104">
        <v>0</v>
      </c>
      <c r="J1758" s="106">
        <v>0</v>
      </c>
      <c r="K1758" s="213">
        <v>0</v>
      </c>
      <c r="L1758" s="213">
        <v>0</v>
      </c>
      <c r="M1758" s="213">
        <v>0</v>
      </c>
      <c r="N1758" s="213">
        <v>0</v>
      </c>
      <c r="O1758" s="213">
        <v>0</v>
      </c>
      <c r="P1758" s="108">
        <v>0</v>
      </c>
      <c r="Q1758" s="108">
        <v>0</v>
      </c>
      <c r="R1758" s="108">
        <v>0</v>
      </c>
      <c r="S1758" s="108">
        <v>0</v>
      </c>
      <c r="T1758" s="108">
        <v>0</v>
      </c>
      <c r="U1758" s="108">
        <v>0</v>
      </c>
      <c r="V1758" s="108">
        <v>0</v>
      </c>
    </row>
    <row r="1759" ht="14.45" customHeight="1" spans="1:22">
      <c r="A1759" s="214">
        <v>45091</v>
      </c>
      <c r="B1759" s="104" t="s">
        <v>31</v>
      </c>
      <c r="C1759" s="145">
        <v>0</v>
      </c>
      <c r="D1759" s="145"/>
      <c r="E1759" s="104">
        <v>0</v>
      </c>
      <c r="F1759" s="106">
        <v>0</v>
      </c>
      <c r="G1759" s="107">
        <v>0</v>
      </c>
      <c r="H1759" s="106">
        <v>0</v>
      </c>
      <c r="I1759" s="104">
        <v>0</v>
      </c>
      <c r="J1759" s="106">
        <v>0</v>
      </c>
      <c r="K1759" s="213">
        <v>0</v>
      </c>
      <c r="L1759" s="213">
        <v>0</v>
      </c>
      <c r="M1759" s="213">
        <v>0</v>
      </c>
      <c r="N1759" s="213">
        <v>0</v>
      </c>
      <c r="O1759" s="213">
        <v>0</v>
      </c>
      <c r="P1759" s="108">
        <v>0</v>
      </c>
      <c r="Q1759" s="108">
        <v>0</v>
      </c>
      <c r="R1759" s="108">
        <v>0</v>
      </c>
      <c r="S1759" s="108">
        <v>0</v>
      </c>
      <c r="T1759" s="108">
        <v>0</v>
      </c>
      <c r="U1759" s="108">
        <v>0</v>
      </c>
      <c r="V1759" s="108">
        <v>0</v>
      </c>
    </row>
    <row r="1760" ht="14.45" customHeight="1" spans="1:22">
      <c r="A1760" s="214">
        <v>45091</v>
      </c>
      <c r="B1760" s="104" t="s">
        <v>32</v>
      </c>
      <c r="C1760" s="145">
        <v>0</v>
      </c>
      <c r="D1760" s="145"/>
      <c r="E1760" s="104">
        <v>0</v>
      </c>
      <c r="F1760" s="106">
        <v>0</v>
      </c>
      <c r="G1760" s="107">
        <v>0</v>
      </c>
      <c r="H1760" s="106">
        <v>0</v>
      </c>
      <c r="I1760" s="104">
        <v>0</v>
      </c>
      <c r="J1760" s="106">
        <v>0</v>
      </c>
      <c r="K1760" s="213">
        <v>0</v>
      </c>
      <c r="L1760" s="213">
        <v>0</v>
      </c>
      <c r="M1760" s="213">
        <v>0</v>
      </c>
      <c r="N1760" s="213">
        <v>0</v>
      </c>
      <c r="O1760" s="213">
        <v>0</v>
      </c>
      <c r="P1760" s="108">
        <v>0</v>
      </c>
      <c r="Q1760" s="108">
        <v>0</v>
      </c>
      <c r="R1760" s="108">
        <v>0</v>
      </c>
      <c r="S1760" s="108">
        <v>0</v>
      </c>
      <c r="T1760" s="108">
        <v>0</v>
      </c>
      <c r="U1760" s="108">
        <v>0</v>
      </c>
      <c r="V1760" s="108">
        <v>0</v>
      </c>
    </row>
    <row r="1761" spans="1:22">
      <c r="A1761" s="214">
        <v>45091</v>
      </c>
      <c r="B1761" s="104" t="s">
        <v>33</v>
      </c>
      <c r="C1761" s="145">
        <v>0</v>
      </c>
      <c r="D1761" s="145"/>
      <c r="E1761" s="104">
        <v>0</v>
      </c>
      <c r="F1761" s="106">
        <v>0</v>
      </c>
      <c r="G1761" s="107">
        <v>0</v>
      </c>
      <c r="H1761" s="106">
        <v>0</v>
      </c>
      <c r="I1761" s="104">
        <v>0</v>
      </c>
      <c r="J1761" s="106">
        <v>0</v>
      </c>
      <c r="K1761" s="213">
        <v>0</v>
      </c>
      <c r="L1761" s="213">
        <v>0</v>
      </c>
      <c r="M1761" s="213">
        <v>0</v>
      </c>
      <c r="N1761" s="213">
        <v>0</v>
      </c>
      <c r="O1761" s="213">
        <v>0</v>
      </c>
      <c r="P1761" s="108">
        <v>0</v>
      </c>
      <c r="Q1761" s="108">
        <v>0</v>
      </c>
      <c r="R1761" s="108">
        <v>0</v>
      </c>
      <c r="S1761" s="108">
        <v>0</v>
      </c>
      <c r="T1761" s="108">
        <v>0</v>
      </c>
      <c r="U1761" s="108">
        <v>0</v>
      </c>
      <c r="V1761" s="108">
        <v>0</v>
      </c>
    </row>
    <row r="1762" spans="1:22">
      <c r="A1762" s="214">
        <v>45091</v>
      </c>
      <c r="B1762" s="104" t="s">
        <v>34</v>
      </c>
      <c r="C1762" s="145">
        <v>0</v>
      </c>
      <c r="D1762" s="145"/>
      <c r="E1762" s="104">
        <v>0</v>
      </c>
      <c r="F1762" s="106">
        <v>0</v>
      </c>
      <c r="G1762" s="107">
        <v>0</v>
      </c>
      <c r="H1762" s="106">
        <v>0</v>
      </c>
      <c r="I1762" s="104">
        <v>0</v>
      </c>
      <c r="J1762" s="106">
        <v>0</v>
      </c>
      <c r="K1762" s="213">
        <v>0</v>
      </c>
      <c r="L1762" s="213">
        <v>0</v>
      </c>
      <c r="M1762" s="213">
        <v>0</v>
      </c>
      <c r="N1762" s="213">
        <v>0</v>
      </c>
      <c r="O1762" s="213">
        <v>0</v>
      </c>
      <c r="P1762" s="108">
        <v>0</v>
      </c>
      <c r="Q1762" s="108">
        <v>0</v>
      </c>
      <c r="R1762" s="108">
        <v>0</v>
      </c>
      <c r="S1762" s="108">
        <v>0</v>
      </c>
      <c r="T1762" s="108">
        <v>0</v>
      </c>
      <c r="U1762" s="108">
        <v>0</v>
      </c>
      <c r="V1762" s="108">
        <v>0</v>
      </c>
    </row>
    <row r="1763" spans="1:22">
      <c r="A1763" s="214">
        <v>45091</v>
      </c>
      <c r="B1763" s="104" t="s">
        <v>35</v>
      </c>
      <c r="C1763" s="145">
        <v>0</v>
      </c>
      <c r="D1763" s="145"/>
      <c r="E1763" s="104">
        <v>0</v>
      </c>
      <c r="F1763" s="106">
        <v>0</v>
      </c>
      <c r="G1763" s="107">
        <v>0</v>
      </c>
      <c r="H1763" s="106">
        <v>0</v>
      </c>
      <c r="I1763" s="104">
        <v>0</v>
      </c>
      <c r="J1763" s="106">
        <v>0</v>
      </c>
      <c r="K1763" s="213">
        <v>0</v>
      </c>
      <c r="L1763" s="213">
        <v>0</v>
      </c>
      <c r="M1763" s="213">
        <v>0</v>
      </c>
      <c r="N1763" s="213">
        <v>0</v>
      </c>
      <c r="O1763" s="213">
        <v>0</v>
      </c>
      <c r="P1763" s="108">
        <v>0</v>
      </c>
      <c r="Q1763" s="108">
        <v>0</v>
      </c>
      <c r="R1763" s="108">
        <v>0</v>
      </c>
      <c r="S1763" s="108">
        <v>0</v>
      </c>
      <c r="T1763" s="108">
        <v>0</v>
      </c>
      <c r="U1763" s="108">
        <v>0</v>
      </c>
      <c r="V1763" s="108">
        <v>0</v>
      </c>
    </row>
    <row r="1764" spans="1:22">
      <c r="A1764" s="214">
        <v>45091</v>
      </c>
      <c r="B1764" s="104" t="s">
        <v>36</v>
      </c>
      <c r="C1764" s="145">
        <v>0</v>
      </c>
      <c r="D1764" s="145"/>
      <c r="E1764" s="104">
        <v>0</v>
      </c>
      <c r="F1764" s="106">
        <v>0</v>
      </c>
      <c r="G1764" s="107">
        <v>0</v>
      </c>
      <c r="H1764" s="106">
        <v>0</v>
      </c>
      <c r="I1764" s="104">
        <v>0</v>
      </c>
      <c r="J1764" s="106">
        <v>0</v>
      </c>
      <c r="K1764" s="213">
        <v>0</v>
      </c>
      <c r="L1764" s="213">
        <v>0</v>
      </c>
      <c r="M1764" s="213">
        <v>0</v>
      </c>
      <c r="N1764" s="213">
        <v>0</v>
      </c>
      <c r="O1764" s="213">
        <v>0</v>
      </c>
      <c r="P1764" s="108">
        <v>0</v>
      </c>
      <c r="Q1764" s="108">
        <v>0</v>
      </c>
      <c r="R1764" s="108">
        <v>0</v>
      </c>
      <c r="S1764" s="108">
        <v>0</v>
      </c>
      <c r="T1764" s="108">
        <v>0</v>
      </c>
      <c r="U1764" s="108">
        <v>0</v>
      </c>
      <c r="V1764" s="108">
        <v>0</v>
      </c>
    </row>
    <row r="1765" spans="1:22">
      <c r="A1765" s="214">
        <v>45091</v>
      </c>
      <c r="B1765" s="104" t="s">
        <v>37</v>
      </c>
      <c r="C1765" s="145">
        <v>0</v>
      </c>
      <c r="D1765" s="145"/>
      <c r="E1765" s="104">
        <v>0</v>
      </c>
      <c r="F1765" s="106">
        <v>0</v>
      </c>
      <c r="G1765" s="107">
        <v>0</v>
      </c>
      <c r="H1765" s="106">
        <v>0</v>
      </c>
      <c r="I1765" s="104">
        <v>0</v>
      </c>
      <c r="J1765" s="106">
        <v>0</v>
      </c>
      <c r="K1765" s="213">
        <v>0</v>
      </c>
      <c r="L1765" s="213">
        <v>0</v>
      </c>
      <c r="M1765" s="213">
        <v>0</v>
      </c>
      <c r="N1765" s="213">
        <v>0</v>
      </c>
      <c r="O1765" s="213">
        <v>-1</v>
      </c>
      <c r="P1765" s="108">
        <v>-0.333333333333333</v>
      </c>
      <c r="Q1765" s="108">
        <v>-0.2</v>
      </c>
      <c r="R1765" s="108">
        <v>-0.285714285714286</v>
      </c>
      <c r="S1765" s="108">
        <v>0</v>
      </c>
      <c r="T1765" s="108">
        <v>0</v>
      </c>
      <c r="U1765" s="108">
        <v>-0.2</v>
      </c>
      <c r="V1765" s="108">
        <v>-0.285714285714286</v>
      </c>
    </row>
    <row r="1766" spans="1:22">
      <c r="A1766" s="214">
        <v>45091</v>
      </c>
      <c r="B1766" s="104" t="s">
        <v>38</v>
      </c>
      <c r="C1766" s="145">
        <v>0</v>
      </c>
      <c r="D1766" s="145"/>
      <c r="E1766" s="104">
        <v>0</v>
      </c>
      <c r="F1766" s="106">
        <v>0</v>
      </c>
      <c r="G1766" s="107">
        <v>0</v>
      </c>
      <c r="H1766" s="106">
        <v>0</v>
      </c>
      <c r="I1766" s="104">
        <v>0</v>
      </c>
      <c r="J1766" s="106">
        <v>0</v>
      </c>
      <c r="K1766" s="213">
        <v>0</v>
      </c>
      <c r="L1766" s="213">
        <v>0</v>
      </c>
      <c r="M1766" s="213">
        <v>0</v>
      </c>
      <c r="N1766" s="213">
        <v>0</v>
      </c>
      <c r="O1766" s="213">
        <v>0</v>
      </c>
      <c r="P1766" s="108">
        <v>0</v>
      </c>
      <c r="Q1766" s="108">
        <v>0</v>
      </c>
      <c r="R1766" s="108">
        <v>0</v>
      </c>
      <c r="S1766" s="108">
        <v>0</v>
      </c>
      <c r="T1766" s="108">
        <v>0</v>
      </c>
      <c r="U1766" s="108">
        <v>0</v>
      </c>
      <c r="V1766" s="108">
        <v>0</v>
      </c>
    </row>
    <row r="1767" spans="1:22">
      <c r="A1767" s="214">
        <v>45091</v>
      </c>
      <c r="B1767" s="111" t="s">
        <v>39</v>
      </c>
      <c r="C1767" s="112">
        <v>16008</v>
      </c>
      <c r="D1767" s="112"/>
      <c r="E1767" s="112">
        <v>363</v>
      </c>
      <c r="F1767" s="113">
        <v>0.0226761619190405</v>
      </c>
      <c r="G1767" s="112">
        <v>127</v>
      </c>
      <c r="H1767" s="113">
        <v>0.349862258953168</v>
      </c>
      <c r="I1767" s="112">
        <v>88</v>
      </c>
      <c r="J1767" s="106">
        <v>0.242424242424242</v>
      </c>
      <c r="K1767" s="213"/>
      <c r="L1767" s="213"/>
      <c r="M1767" s="213"/>
      <c r="N1767" s="213"/>
      <c r="O1767" s="213"/>
      <c r="P1767" s="108"/>
      <c r="Q1767" s="108"/>
      <c r="R1767" s="108"/>
      <c r="S1767" s="108"/>
      <c r="T1767" s="108"/>
      <c r="U1767" s="108"/>
      <c r="V1767" s="108"/>
    </row>
    <row r="1768" spans="1:23">
      <c r="A1768" s="103">
        <v>45092</v>
      </c>
      <c r="B1768" s="104" t="s">
        <v>17</v>
      </c>
      <c r="C1768" s="216">
        <v>2</v>
      </c>
      <c r="D1768" s="216"/>
      <c r="E1768" s="217">
        <v>25</v>
      </c>
      <c r="F1768" s="106">
        <v>12.5</v>
      </c>
      <c r="G1768" s="107">
        <v>4</v>
      </c>
      <c r="H1768" s="106">
        <v>0.16</v>
      </c>
      <c r="I1768" s="106"/>
      <c r="J1768" s="106"/>
      <c r="K1768" s="106"/>
      <c r="L1768" s="213">
        <v>-1</v>
      </c>
      <c r="M1768" s="213">
        <v>-0.333333333333333</v>
      </c>
      <c r="N1768" s="213">
        <v>-0.4</v>
      </c>
      <c r="O1768" s="213">
        <v>-0.285714285714286</v>
      </c>
      <c r="P1768" s="108">
        <v>4</v>
      </c>
      <c r="Q1768" s="108">
        <v>-5</v>
      </c>
      <c r="R1768" s="108">
        <v>-5</v>
      </c>
      <c r="S1768" s="108">
        <v>-3.14285714285714</v>
      </c>
      <c r="T1768" s="108">
        <v>-5</v>
      </c>
      <c r="U1768" s="108">
        <v>-6</v>
      </c>
      <c r="V1768" s="108">
        <v>-3.8</v>
      </c>
      <c r="W1768" s="108">
        <v>-2.71428571428571</v>
      </c>
    </row>
    <row r="1769" spans="1:23">
      <c r="A1769" s="103">
        <v>45092</v>
      </c>
      <c r="B1769" s="104" t="s">
        <v>19</v>
      </c>
      <c r="C1769" s="216">
        <v>606</v>
      </c>
      <c r="D1769" s="216"/>
      <c r="E1769" s="217">
        <v>25</v>
      </c>
      <c r="F1769" s="106">
        <v>0.0412541254125413</v>
      </c>
      <c r="G1769" s="107">
        <v>7</v>
      </c>
      <c r="H1769" s="106">
        <v>0.28</v>
      </c>
      <c r="I1769" s="106"/>
      <c r="J1769" s="106"/>
      <c r="K1769" s="106"/>
      <c r="L1769" s="213">
        <v>40</v>
      </c>
      <c r="M1769" s="213">
        <v>7</v>
      </c>
      <c r="N1769" s="213">
        <v>1.60000000000002</v>
      </c>
      <c r="O1769" s="213">
        <v>4.71428571428567</v>
      </c>
      <c r="P1769" s="108">
        <v>3</v>
      </c>
      <c r="Q1769" s="108">
        <v>6.33333333333333</v>
      </c>
      <c r="R1769" s="108">
        <v>8</v>
      </c>
      <c r="S1769" s="108">
        <v>8.71428571428572</v>
      </c>
      <c r="T1769" s="108">
        <v>4</v>
      </c>
      <c r="U1769" s="108">
        <v>2</v>
      </c>
      <c r="V1769" s="108">
        <v>0.2</v>
      </c>
      <c r="W1769" s="115">
        <v>0.285714285714286</v>
      </c>
    </row>
    <row r="1770" spans="1:23">
      <c r="A1770" s="103">
        <v>45092</v>
      </c>
      <c r="B1770" s="104" t="s">
        <v>21</v>
      </c>
      <c r="C1770" s="218">
        <v>223</v>
      </c>
      <c r="D1770" s="218"/>
      <c r="E1770" s="217">
        <v>7</v>
      </c>
      <c r="F1770" s="106">
        <v>0.031390134529148</v>
      </c>
      <c r="G1770" s="107">
        <v>2</v>
      </c>
      <c r="H1770" s="106">
        <v>0.285714285714286</v>
      </c>
      <c r="I1770" s="106"/>
      <c r="J1770" s="106"/>
      <c r="K1770" s="106"/>
      <c r="L1770" s="213">
        <v>-25</v>
      </c>
      <c r="M1770" s="213">
        <v>-4.66666666666666</v>
      </c>
      <c r="N1770" s="213">
        <v>-19.8</v>
      </c>
      <c r="O1770" s="213">
        <v>-29.8571428571429</v>
      </c>
      <c r="P1770" s="108">
        <v>-8</v>
      </c>
      <c r="Q1770" s="108">
        <v>-9.66666666666667</v>
      </c>
      <c r="R1770" s="108">
        <v>-7.8</v>
      </c>
      <c r="S1770" s="108">
        <v>-7.85714285714286</v>
      </c>
      <c r="T1770" s="108">
        <v>1</v>
      </c>
      <c r="U1770" s="108">
        <v>-1</v>
      </c>
      <c r="V1770" s="108">
        <v>-2.2</v>
      </c>
      <c r="W1770" s="108">
        <v>-2.57142857142857</v>
      </c>
    </row>
    <row r="1771" spans="1:23">
      <c r="A1771" s="103">
        <v>45092</v>
      </c>
      <c r="B1771" s="104" t="s">
        <v>22</v>
      </c>
      <c r="C1771" s="218">
        <v>2902</v>
      </c>
      <c r="D1771" s="218"/>
      <c r="E1771" s="217">
        <v>74</v>
      </c>
      <c r="F1771" s="106">
        <v>0.025499655410062</v>
      </c>
      <c r="G1771" s="107">
        <v>31</v>
      </c>
      <c r="H1771" s="106">
        <v>0.418918918918919</v>
      </c>
      <c r="I1771" s="106"/>
      <c r="J1771" s="106"/>
      <c r="K1771" s="106"/>
      <c r="L1771" s="213">
        <v>47</v>
      </c>
      <c r="M1771" s="213">
        <v>-661</v>
      </c>
      <c r="N1771" s="213">
        <v>-1285.2</v>
      </c>
      <c r="O1771" s="213">
        <v>-1543.85714285714</v>
      </c>
      <c r="P1771" s="108">
        <v>-7</v>
      </c>
      <c r="Q1771" s="108">
        <v>-27</v>
      </c>
      <c r="R1771" s="108">
        <v>-66.2</v>
      </c>
      <c r="S1771" s="115">
        <v>-67.1428571428571</v>
      </c>
      <c r="T1771" s="108">
        <v>-3</v>
      </c>
      <c r="U1771" s="108">
        <v>-10.6666666666667</v>
      </c>
      <c r="V1771" s="108">
        <v>-18</v>
      </c>
      <c r="W1771" s="117">
        <v>-17.7142857142857</v>
      </c>
    </row>
    <row r="1772" spans="1:23">
      <c r="A1772" s="103">
        <v>45092</v>
      </c>
      <c r="B1772" s="104" t="s">
        <v>23</v>
      </c>
      <c r="C1772" s="218">
        <v>1860</v>
      </c>
      <c r="D1772" s="218"/>
      <c r="E1772" s="217">
        <v>4</v>
      </c>
      <c r="F1772" s="106">
        <v>0.0021505376344086</v>
      </c>
      <c r="G1772" s="107">
        <v>0</v>
      </c>
      <c r="H1772" s="106">
        <v>0</v>
      </c>
      <c r="I1772" s="106"/>
      <c r="J1772" s="106"/>
      <c r="K1772" s="106"/>
      <c r="L1772" s="213">
        <v>109</v>
      </c>
      <c r="M1772" s="213">
        <v>182</v>
      </c>
      <c r="N1772" s="213">
        <v>204</v>
      </c>
      <c r="O1772" s="213">
        <v>207.714285714286</v>
      </c>
      <c r="P1772" s="108">
        <v>-14</v>
      </c>
      <c r="Q1772" s="108">
        <v>-10.6666666666667</v>
      </c>
      <c r="R1772" s="108">
        <v>-8.2</v>
      </c>
      <c r="S1772" s="108">
        <v>-6.42857142857143</v>
      </c>
      <c r="T1772" s="108">
        <v>-3</v>
      </c>
      <c r="U1772" s="116">
        <v>-3.66666666666667</v>
      </c>
      <c r="V1772" s="108">
        <v>-3.2</v>
      </c>
      <c r="W1772" s="108">
        <v>-3</v>
      </c>
    </row>
    <row r="1773" spans="1:23">
      <c r="A1773" s="103">
        <v>45092</v>
      </c>
      <c r="B1773" s="104" t="s">
        <v>24</v>
      </c>
      <c r="C1773" s="218">
        <v>3627</v>
      </c>
      <c r="D1773" s="218"/>
      <c r="E1773" s="217">
        <v>129</v>
      </c>
      <c r="F1773" s="106">
        <v>0.0355665839536807</v>
      </c>
      <c r="G1773" s="107">
        <v>33</v>
      </c>
      <c r="H1773" s="106">
        <v>0.255813953488372</v>
      </c>
      <c r="I1773" s="106"/>
      <c r="J1773" s="106"/>
      <c r="K1773" s="106"/>
      <c r="L1773" s="213">
        <v>-101</v>
      </c>
      <c r="M1773" s="213">
        <v>-719</v>
      </c>
      <c r="N1773" s="213">
        <v>-2107.6</v>
      </c>
      <c r="O1773" s="213">
        <v>-2845.57142857143</v>
      </c>
      <c r="P1773" s="115">
        <v>-11</v>
      </c>
      <c r="Q1773" s="115">
        <v>-40</v>
      </c>
      <c r="R1773" s="115">
        <v>-104</v>
      </c>
      <c r="S1773" s="115">
        <v>-100.285714285714</v>
      </c>
      <c r="T1773" s="115">
        <v>-2</v>
      </c>
      <c r="U1773" s="115">
        <v>-13</v>
      </c>
      <c r="V1773" s="115">
        <v>-29</v>
      </c>
      <c r="W1773" s="115">
        <v>-25.7142857142857</v>
      </c>
    </row>
    <row r="1774" spans="1:23">
      <c r="A1774" s="103">
        <v>45092</v>
      </c>
      <c r="B1774" s="104" t="s">
        <v>25</v>
      </c>
      <c r="C1774" s="218">
        <v>2854</v>
      </c>
      <c r="D1774" s="218"/>
      <c r="E1774" s="217">
        <v>63</v>
      </c>
      <c r="F1774" s="106">
        <v>0.0220742817098809</v>
      </c>
      <c r="G1774" s="107">
        <v>20</v>
      </c>
      <c r="H1774" s="106">
        <v>0.317460317460317</v>
      </c>
      <c r="I1774" s="106"/>
      <c r="J1774" s="106"/>
      <c r="K1774" s="106"/>
      <c r="L1774" s="213">
        <v>209</v>
      </c>
      <c r="M1774" s="213">
        <v>39.3333333333335</v>
      </c>
      <c r="N1774" s="213">
        <v>-232.8</v>
      </c>
      <c r="O1774" s="213">
        <v>-48.1428571428573</v>
      </c>
      <c r="P1774" s="116">
        <v>-12</v>
      </c>
      <c r="Q1774" s="115">
        <v>-17.3333333333333</v>
      </c>
      <c r="R1774" s="115">
        <v>-20.2</v>
      </c>
      <c r="S1774" s="115">
        <v>-6.71428571428571</v>
      </c>
      <c r="T1774" s="108">
        <v>-10</v>
      </c>
      <c r="U1774" s="108">
        <v>-8</v>
      </c>
      <c r="V1774" s="108">
        <v>-8.4</v>
      </c>
      <c r="W1774" s="108">
        <v>-3.71428571428572</v>
      </c>
    </row>
    <row r="1775" spans="1:23">
      <c r="A1775" s="103">
        <v>45092</v>
      </c>
      <c r="B1775" s="104" t="s">
        <v>26</v>
      </c>
      <c r="C1775" s="218">
        <v>1387</v>
      </c>
      <c r="D1775" s="218"/>
      <c r="E1775" s="217">
        <v>2</v>
      </c>
      <c r="F1775" s="106">
        <v>0.00144196106705119</v>
      </c>
      <c r="G1775" s="107">
        <v>1</v>
      </c>
      <c r="H1775" s="106">
        <v>0.5</v>
      </c>
      <c r="I1775" s="106"/>
      <c r="J1775" s="106"/>
      <c r="K1775" s="106"/>
      <c r="L1775" s="213">
        <v>-21</v>
      </c>
      <c r="M1775" s="213">
        <v>-46.6666666666667</v>
      </c>
      <c r="N1775" s="213">
        <v>-67</v>
      </c>
      <c r="O1775" s="213">
        <v>-80.2857142857142</v>
      </c>
      <c r="P1775" s="108">
        <v>2</v>
      </c>
      <c r="Q1775" s="108">
        <v>1</v>
      </c>
      <c r="R1775" s="108">
        <v>0.4</v>
      </c>
      <c r="S1775" s="108">
        <v>-0.857142857142857</v>
      </c>
      <c r="T1775" s="108">
        <v>0</v>
      </c>
      <c r="U1775" s="108">
        <v>0</v>
      </c>
      <c r="V1775" s="108">
        <v>-0.2</v>
      </c>
      <c r="W1775" s="108">
        <v>-0.571428571428571</v>
      </c>
    </row>
    <row r="1776" spans="1:23">
      <c r="A1776" s="103">
        <v>45092</v>
      </c>
      <c r="B1776" s="104" t="s">
        <v>27</v>
      </c>
      <c r="C1776" s="218">
        <v>2569</v>
      </c>
      <c r="D1776" s="218"/>
      <c r="E1776" s="217">
        <v>49</v>
      </c>
      <c r="F1776" s="106">
        <v>0.0190735694822888</v>
      </c>
      <c r="G1776" s="107">
        <v>17</v>
      </c>
      <c r="H1776" s="106">
        <v>0.346938775510204</v>
      </c>
      <c r="I1776" s="106"/>
      <c r="J1776" s="106"/>
      <c r="K1776" s="106"/>
      <c r="L1776" s="213">
        <v>-235</v>
      </c>
      <c r="M1776" s="213">
        <v>-411.333333333333</v>
      </c>
      <c r="N1776" s="213">
        <v>-540</v>
      </c>
      <c r="O1776" s="213">
        <v>-495</v>
      </c>
      <c r="P1776" s="108">
        <v>0</v>
      </c>
      <c r="Q1776" s="108">
        <v>5.66666666666666</v>
      </c>
      <c r="R1776" s="108">
        <v>-0.799999999999997</v>
      </c>
      <c r="S1776" s="108">
        <v>-1</v>
      </c>
      <c r="T1776" s="108">
        <v>6</v>
      </c>
      <c r="U1776" s="108">
        <v>8.66666666666667</v>
      </c>
      <c r="V1776" s="108">
        <v>7.8</v>
      </c>
      <c r="W1776" s="108">
        <v>7.57142857142857</v>
      </c>
    </row>
    <row r="1777" spans="1:23">
      <c r="A1777" s="103">
        <v>45092</v>
      </c>
      <c r="B1777" s="104" t="s">
        <v>28</v>
      </c>
      <c r="C1777" s="145">
        <v>0</v>
      </c>
      <c r="D1777" s="145"/>
      <c r="E1777" s="104">
        <v>0</v>
      </c>
      <c r="F1777" s="106">
        <v>0</v>
      </c>
      <c r="G1777" s="107">
        <v>0</v>
      </c>
      <c r="H1777" s="106">
        <v>0</v>
      </c>
      <c r="I1777" s="106"/>
      <c r="J1777" s="106"/>
      <c r="K1777" s="106"/>
      <c r="L1777" s="213">
        <v>0</v>
      </c>
      <c r="M1777" s="213">
        <v>0</v>
      </c>
      <c r="N1777" s="213">
        <v>0</v>
      </c>
      <c r="O1777" s="213">
        <v>0</v>
      </c>
      <c r="P1777" s="108">
        <v>0</v>
      </c>
      <c r="Q1777" s="108">
        <v>0</v>
      </c>
      <c r="R1777" s="108">
        <v>0</v>
      </c>
      <c r="S1777" s="108">
        <v>0</v>
      </c>
      <c r="T1777" s="108">
        <v>0</v>
      </c>
      <c r="U1777" s="108">
        <v>0</v>
      </c>
      <c r="V1777" s="108">
        <v>0</v>
      </c>
      <c r="W1777" s="108">
        <v>0</v>
      </c>
    </row>
    <row r="1778" spans="1:23">
      <c r="A1778" s="103">
        <v>45092</v>
      </c>
      <c r="B1778" s="104" t="s">
        <v>29</v>
      </c>
      <c r="C1778" s="145">
        <v>0</v>
      </c>
      <c r="D1778" s="145"/>
      <c r="E1778" s="104">
        <v>0</v>
      </c>
      <c r="F1778" s="106">
        <v>0</v>
      </c>
      <c r="G1778" s="107">
        <v>0</v>
      </c>
      <c r="H1778" s="106">
        <v>0</v>
      </c>
      <c r="I1778" s="106"/>
      <c r="J1778" s="106"/>
      <c r="K1778" s="106"/>
      <c r="L1778" s="213">
        <v>0</v>
      </c>
      <c r="M1778" s="213">
        <v>0</v>
      </c>
      <c r="N1778" s="213">
        <v>0</v>
      </c>
      <c r="O1778" s="213">
        <v>0</v>
      </c>
      <c r="P1778" s="108">
        <v>0</v>
      </c>
      <c r="Q1778" s="108">
        <v>0</v>
      </c>
      <c r="R1778" s="108">
        <v>0</v>
      </c>
      <c r="S1778" s="108">
        <v>0</v>
      </c>
      <c r="T1778" s="108">
        <v>0</v>
      </c>
      <c r="U1778" s="108">
        <v>0</v>
      </c>
      <c r="V1778" s="108">
        <v>0</v>
      </c>
      <c r="W1778" s="108">
        <v>0</v>
      </c>
    </row>
    <row r="1779" spans="1:23">
      <c r="A1779" s="103">
        <v>45092</v>
      </c>
      <c r="B1779" s="104" t="s">
        <v>30</v>
      </c>
      <c r="C1779" s="145">
        <v>0</v>
      </c>
      <c r="D1779" s="145"/>
      <c r="E1779" s="104">
        <v>0</v>
      </c>
      <c r="F1779" s="106">
        <v>0</v>
      </c>
      <c r="G1779" s="107">
        <v>0</v>
      </c>
      <c r="H1779" s="106">
        <v>0</v>
      </c>
      <c r="I1779" s="106"/>
      <c r="J1779" s="106"/>
      <c r="K1779" s="106"/>
      <c r="L1779" s="213">
        <v>0</v>
      </c>
      <c r="M1779" s="213">
        <v>0</v>
      </c>
      <c r="N1779" s="213">
        <v>0</v>
      </c>
      <c r="O1779" s="213">
        <v>0</v>
      </c>
      <c r="P1779" s="108">
        <v>0</v>
      </c>
      <c r="Q1779" s="108">
        <v>0</v>
      </c>
      <c r="R1779" s="108">
        <v>0</v>
      </c>
      <c r="S1779" s="108">
        <v>0</v>
      </c>
      <c r="T1779" s="108">
        <v>0</v>
      </c>
      <c r="U1779" s="108">
        <v>0</v>
      </c>
      <c r="V1779" s="108">
        <v>0</v>
      </c>
      <c r="W1779" s="108">
        <v>0</v>
      </c>
    </row>
    <row r="1780" spans="1:23">
      <c r="A1780" s="103">
        <v>45092</v>
      </c>
      <c r="B1780" s="104" t="s">
        <v>31</v>
      </c>
      <c r="C1780" s="145">
        <v>0</v>
      </c>
      <c r="D1780" s="145"/>
      <c r="E1780" s="104">
        <v>0</v>
      </c>
      <c r="F1780" s="106">
        <v>0</v>
      </c>
      <c r="G1780" s="107">
        <v>0</v>
      </c>
      <c r="H1780" s="106">
        <v>0</v>
      </c>
      <c r="I1780" s="106"/>
      <c r="J1780" s="106"/>
      <c r="K1780" s="106"/>
      <c r="L1780" s="213">
        <v>0</v>
      </c>
      <c r="M1780" s="213">
        <v>0</v>
      </c>
      <c r="N1780" s="213">
        <v>0</v>
      </c>
      <c r="O1780" s="213">
        <v>0</v>
      </c>
      <c r="P1780" s="108">
        <v>0</v>
      </c>
      <c r="Q1780" s="108">
        <v>0</v>
      </c>
      <c r="R1780" s="108">
        <v>0</v>
      </c>
      <c r="S1780" s="108">
        <v>0</v>
      </c>
      <c r="T1780" s="108">
        <v>0</v>
      </c>
      <c r="U1780" s="108">
        <v>0</v>
      </c>
      <c r="V1780" s="108">
        <v>0</v>
      </c>
      <c r="W1780" s="108">
        <v>0</v>
      </c>
    </row>
    <row r="1781" spans="1:23">
      <c r="A1781" s="103">
        <v>45092</v>
      </c>
      <c r="B1781" s="104" t="s">
        <v>32</v>
      </c>
      <c r="C1781" s="145">
        <v>0</v>
      </c>
      <c r="D1781" s="145"/>
      <c r="E1781" s="104">
        <v>0</v>
      </c>
      <c r="F1781" s="106">
        <v>0</v>
      </c>
      <c r="G1781" s="107">
        <v>0</v>
      </c>
      <c r="H1781" s="106">
        <v>0</v>
      </c>
      <c r="I1781" s="106"/>
      <c r="J1781" s="106"/>
      <c r="K1781" s="106"/>
      <c r="L1781" s="213">
        <v>0</v>
      </c>
      <c r="M1781" s="213">
        <v>0</v>
      </c>
      <c r="N1781" s="213">
        <v>0</v>
      </c>
      <c r="O1781" s="213">
        <v>0</v>
      </c>
      <c r="P1781" s="108">
        <v>0</v>
      </c>
      <c r="Q1781" s="108">
        <v>0</v>
      </c>
      <c r="R1781" s="108">
        <v>0</v>
      </c>
      <c r="S1781" s="108">
        <v>0</v>
      </c>
      <c r="T1781" s="108">
        <v>0</v>
      </c>
      <c r="U1781" s="108">
        <v>0</v>
      </c>
      <c r="V1781" s="108">
        <v>0</v>
      </c>
      <c r="W1781" s="108">
        <v>0</v>
      </c>
    </row>
    <row r="1782" spans="1:23">
      <c r="A1782" s="103">
        <v>45092</v>
      </c>
      <c r="B1782" s="104" t="s">
        <v>33</v>
      </c>
      <c r="C1782" s="145">
        <v>0</v>
      </c>
      <c r="D1782" s="145"/>
      <c r="E1782" s="104">
        <v>0</v>
      </c>
      <c r="F1782" s="106">
        <v>0</v>
      </c>
      <c r="G1782" s="107">
        <v>0</v>
      </c>
      <c r="H1782" s="106">
        <v>0</v>
      </c>
      <c r="I1782" s="106"/>
      <c r="J1782" s="106"/>
      <c r="K1782" s="106"/>
      <c r="L1782" s="213">
        <v>0</v>
      </c>
      <c r="M1782" s="213">
        <v>0</v>
      </c>
      <c r="N1782" s="213">
        <v>0</v>
      </c>
      <c r="O1782" s="213">
        <v>0</v>
      </c>
      <c r="P1782" s="108">
        <v>0</v>
      </c>
      <c r="Q1782" s="108">
        <v>0</v>
      </c>
      <c r="R1782" s="108">
        <v>0</v>
      </c>
      <c r="S1782" s="108">
        <v>0</v>
      </c>
      <c r="T1782" s="108">
        <v>0</v>
      </c>
      <c r="U1782" s="108">
        <v>0</v>
      </c>
      <c r="V1782" s="108">
        <v>0</v>
      </c>
      <c r="W1782" s="108">
        <v>0</v>
      </c>
    </row>
    <row r="1783" spans="1:23">
      <c r="A1783" s="103">
        <v>45092</v>
      </c>
      <c r="B1783" s="104" t="s">
        <v>34</v>
      </c>
      <c r="C1783" s="145">
        <v>0</v>
      </c>
      <c r="D1783" s="145"/>
      <c r="E1783" s="104">
        <v>0</v>
      </c>
      <c r="F1783" s="106">
        <v>0</v>
      </c>
      <c r="G1783" s="107">
        <v>0</v>
      </c>
      <c r="H1783" s="106">
        <v>0</v>
      </c>
      <c r="I1783" s="106"/>
      <c r="J1783" s="106"/>
      <c r="K1783" s="106"/>
      <c r="L1783" s="213">
        <v>0</v>
      </c>
      <c r="M1783" s="213">
        <v>0</v>
      </c>
      <c r="N1783" s="213">
        <v>0</v>
      </c>
      <c r="O1783" s="213">
        <v>0</v>
      </c>
      <c r="P1783" s="108">
        <v>0</v>
      </c>
      <c r="Q1783" s="108">
        <v>0</v>
      </c>
      <c r="R1783" s="108">
        <v>0</v>
      </c>
      <c r="S1783" s="108">
        <v>0</v>
      </c>
      <c r="T1783" s="108">
        <v>0</v>
      </c>
      <c r="U1783" s="108">
        <v>0</v>
      </c>
      <c r="V1783" s="108">
        <v>0</v>
      </c>
      <c r="W1783" s="108">
        <v>0</v>
      </c>
    </row>
    <row r="1784" spans="1:23">
      <c r="A1784" s="103">
        <v>45092</v>
      </c>
      <c r="B1784" s="104" t="s">
        <v>35</v>
      </c>
      <c r="C1784" s="145">
        <v>0</v>
      </c>
      <c r="D1784" s="145"/>
      <c r="E1784" s="104">
        <v>0</v>
      </c>
      <c r="F1784" s="106">
        <v>0</v>
      </c>
      <c r="G1784" s="107">
        <v>0</v>
      </c>
      <c r="H1784" s="106">
        <v>0</v>
      </c>
      <c r="I1784" s="106"/>
      <c r="J1784" s="106"/>
      <c r="K1784" s="106"/>
      <c r="L1784" s="213">
        <v>0</v>
      </c>
      <c r="M1784" s="213">
        <v>0</v>
      </c>
      <c r="N1784" s="213">
        <v>0</v>
      </c>
      <c r="O1784" s="213">
        <v>0</v>
      </c>
      <c r="P1784" s="108">
        <v>0</v>
      </c>
      <c r="Q1784" s="108">
        <v>0</v>
      </c>
      <c r="R1784" s="108">
        <v>0</v>
      </c>
      <c r="S1784" s="108">
        <v>0</v>
      </c>
      <c r="T1784" s="108">
        <v>0</v>
      </c>
      <c r="U1784" s="108">
        <v>0</v>
      </c>
      <c r="V1784" s="108">
        <v>0</v>
      </c>
      <c r="W1784" s="108">
        <v>0</v>
      </c>
    </row>
    <row r="1785" spans="1:23">
      <c r="A1785" s="103">
        <v>45092</v>
      </c>
      <c r="B1785" s="104" t="s">
        <v>36</v>
      </c>
      <c r="C1785" s="145">
        <v>0</v>
      </c>
      <c r="D1785" s="145"/>
      <c r="E1785" s="104">
        <v>0</v>
      </c>
      <c r="F1785" s="106">
        <v>0</v>
      </c>
      <c r="G1785" s="107">
        <v>0</v>
      </c>
      <c r="H1785" s="106">
        <v>0</v>
      </c>
      <c r="I1785" s="106"/>
      <c r="J1785" s="106"/>
      <c r="K1785" s="106"/>
      <c r="L1785" s="213">
        <v>0</v>
      </c>
      <c r="M1785" s="213">
        <v>0</v>
      </c>
      <c r="N1785" s="213">
        <v>0</v>
      </c>
      <c r="O1785" s="213">
        <v>0</v>
      </c>
      <c r="P1785" s="108">
        <v>0</v>
      </c>
      <c r="Q1785" s="108">
        <v>0</v>
      </c>
      <c r="R1785" s="108">
        <v>0</v>
      </c>
      <c r="S1785" s="108">
        <v>0</v>
      </c>
      <c r="T1785" s="108">
        <v>0</v>
      </c>
      <c r="U1785" s="108">
        <v>0</v>
      </c>
      <c r="V1785" s="108">
        <v>0</v>
      </c>
      <c r="W1785" s="108">
        <v>0</v>
      </c>
    </row>
    <row r="1786" spans="1:23">
      <c r="A1786" s="103">
        <v>45092</v>
      </c>
      <c r="B1786" s="104" t="s">
        <v>37</v>
      </c>
      <c r="C1786" s="145">
        <v>0</v>
      </c>
      <c r="D1786" s="145"/>
      <c r="E1786" s="104">
        <v>0</v>
      </c>
      <c r="F1786" s="106">
        <v>0</v>
      </c>
      <c r="G1786" s="107">
        <v>0</v>
      </c>
      <c r="H1786" s="106">
        <v>0</v>
      </c>
      <c r="I1786" s="106"/>
      <c r="J1786" s="106"/>
      <c r="K1786" s="106"/>
      <c r="L1786" s="213">
        <v>0</v>
      </c>
      <c r="M1786" s="213">
        <v>0</v>
      </c>
      <c r="N1786" s="213">
        <v>0</v>
      </c>
      <c r="O1786" s="213">
        <v>0</v>
      </c>
      <c r="P1786" s="108">
        <v>0</v>
      </c>
      <c r="Q1786" s="108">
        <v>-0.333333333333333</v>
      </c>
      <c r="R1786" s="108">
        <v>-0.2</v>
      </c>
      <c r="S1786" s="108">
        <v>-0.142857142857143</v>
      </c>
      <c r="T1786" s="108">
        <v>0</v>
      </c>
      <c r="U1786" s="108">
        <v>0</v>
      </c>
      <c r="V1786" s="108">
        <v>0</v>
      </c>
      <c r="W1786" s="108">
        <v>-0.142857142857143</v>
      </c>
    </row>
    <row r="1787" spans="1:23">
      <c r="A1787" s="103">
        <v>45092</v>
      </c>
      <c r="B1787" s="104" t="s">
        <v>38</v>
      </c>
      <c r="C1787" s="145">
        <v>0</v>
      </c>
      <c r="D1787" s="145"/>
      <c r="E1787" s="104">
        <v>0</v>
      </c>
      <c r="F1787" s="106">
        <v>0</v>
      </c>
      <c r="G1787" s="107">
        <v>0</v>
      </c>
      <c r="H1787" s="106">
        <v>0</v>
      </c>
      <c r="I1787" s="106"/>
      <c r="J1787" s="106"/>
      <c r="K1787" s="106"/>
      <c r="L1787" s="213">
        <v>0</v>
      </c>
      <c r="M1787" s="213">
        <v>0</v>
      </c>
      <c r="N1787" s="213">
        <v>0</v>
      </c>
      <c r="O1787" s="213">
        <v>0</v>
      </c>
      <c r="P1787" s="108">
        <v>0</v>
      </c>
      <c r="Q1787" s="108">
        <v>0</v>
      </c>
      <c r="R1787" s="108">
        <v>0</v>
      </c>
      <c r="S1787" s="108">
        <v>0</v>
      </c>
      <c r="T1787" s="108">
        <v>0</v>
      </c>
      <c r="U1787" s="108">
        <v>0</v>
      </c>
      <c r="V1787" s="108">
        <v>0</v>
      </c>
      <c r="W1787" s="108">
        <v>0</v>
      </c>
    </row>
    <row r="1788" spans="1:23">
      <c r="A1788" s="103">
        <v>45092</v>
      </c>
      <c r="B1788" s="111" t="s">
        <v>39</v>
      </c>
      <c r="C1788" s="112">
        <v>16030</v>
      </c>
      <c r="D1788" s="112"/>
      <c r="E1788" s="112">
        <v>378</v>
      </c>
      <c r="F1788" s="113">
        <v>0.0235807860262009</v>
      </c>
      <c r="G1788" s="112">
        <v>115</v>
      </c>
      <c r="H1788" s="113">
        <v>0.304232804232804</v>
      </c>
      <c r="I1788" s="113"/>
      <c r="J1788" s="113"/>
      <c r="K1788" s="113"/>
      <c r="L1788" s="213"/>
      <c r="M1788" s="213"/>
      <c r="N1788" s="213"/>
      <c r="O1788" s="213"/>
      <c r="P1788" s="108"/>
      <c r="Q1788" s="108"/>
      <c r="R1788" s="108"/>
      <c r="S1788" s="108"/>
      <c r="T1788" s="108"/>
      <c r="U1788" s="108"/>
      <c r="V1788" s="108"/>
      <c r="W1788" s="108"/>
    </row>
    <row r="1789" spans="1:23">
      <c r="A1789" s="103">
        <v>45093</v>
      </c>
      <c r="B1789" s="104" t="s">
        <v>17</v>
      </c>
      <c r="C1789" s="216">
        <v>3</v>
      </c>
      <c r="D1789" s="216"/>
      <c r="E1789" s="217">
        <v>34</v>
      </c>
      <c r="F1789" s="106">
        <v>11.3333333333333</v>
      </c>
      <c r="G1789" s="107">
        <v>9</v>
      </c>
      <c r="H1789" s="106">
        <v>0.264705882352941</v>
      </c>
      <c r="I1789" s="106"/>
      <c r="J1789" s="106"/>
      <c r="K1789" s="106"/>
      <c r="L1789" s="213">
        <v>1</v>
      </c>
      <c r="M1789" s="213">
        <v>0.666666666666667</v>
      </c>
      <c r="N1789" s="213">
        <v>0.8</v>
      </c>
      <c r="O1789" s="213">
        <v>0.714285714285714</v>
      </c>
      <c r="P1789" s="108">
        <v>9</v>
      </c>
      <c r="Q1789" s="108">
        <v>8</v>
      </c>
      <c r="R1789" s="108">
        <v>4.4</v>
      </c>
      <c r="S1789" s="108">
        <v>5.71428571428572</v>
      </c>
      <c r="T1789" s="108">
        <v>5</v>
      </c>
      <c r="U1789" s="108">
        <v>2.33333333333333</v>
      </c>
      <c r="V1789" s="108">
        <v>1.6</v>
      </c>
      <c r="W1789" s="108">
        <v>2.14285714285714</v>
      </c>
    </row>
    <row r="1790" spans="1:23">
      <c r="A1790" s="103">
        <v>45093</v>
      </c>
      <c r="B1790" s="104" t="s">
        <v>19</v>
      </c>
      <c r="C1790" s="216">
        <v>562</v>
      </c>
      <c r="D1790" s="216"/>
      <c r="E1790" s="217">
        <v>20</v>
      </c>
      <c r="F1790" s="106">
        <v>0.0355871886120996</v>
      </c>
      <c r="G1790" s="107">
        <v>8</v>
      </c>
      <c r="H1790" s="106">
        <v>0.4</v>
      </c>
      <c r="I1790" s="106"/>
      <c r="J1790" s="106"/>
      <c r="K1790" s="106"/>
      <c r="L1790" s="213">
        <v>-44</v>
      </c>
      <c r="M1790" s="213">
        <v>-21</v>
      </c>
      <c r="N1790" s="213">
        <v>-46.2</v>
      </c>
      <c r="O1790" s="213">
        <v>-41.7142857142857</v>
      </c>
      <c r="P1790" s="108">
        <v>-5</v>
      </c>
      <c r="Q1790" s="108">
        <v>-1.66666666666667</v>
      </c>
      <c r="R1790" s="108">
        <v>1.2</v>
      </c>
      <c r="S1790" s="108">
        <v>2.71428571428572</v>
      </c>
      <c r="T1790" s="108">
        <v>1</v>
      </c>
      <c r="U1790" s="108">
        <v>3</v>
      </c>
      <c r="V1790" s="108">
        <v>1.6</v>
      </c>
      <c r="W1790" s="115">
        <v>1.14285714285714</v>
      </c>
    </row>
    <row r="1791" spans="1:23">
      <c r="A1791" s="103">
        <v>45093</v>
      </c>
      <c r="B1791" s="104" t="s">
        <v>21</v>
      </c>
      <c r="C1791" s="218">
        <v>229</v>
      </c>
      <c r="D1791" s="218"/>
      <c r="E1791" s="217">
        <v>5</v>
      </c>
      <c r="F1791" s="106">
        <v>0.0218340611353712</v>
      </c>
      <c r="G1791" s="107">
        <v>3</v>
      </c>
      <c r="H1791" s="106">
        <v>0.6</v>
      </c>
      <c r="I1791" s="106"/>
      <c r="J1791" s="106"/>
      <c r="K1791" s="106"/>
      <c r="L1791" s="213">
        <v>6</v>
      </c>
      <c r="M1791" s="213">
        <v>-7</v>
      </c>
      <c r="N1791" s="213">
        <v>4.80000000000001</v>
      </c>
      <c r="O1791" s="213">
        <v>-15.7142857142857</v>
      </c>
      <c r="P1791" s="108">
        <v>-2</v>
      </c>
      <c r="Q1791" s="108">
        <v>-9.33333333333333</v>
      </c>
      <c r="R1791" s="108">
        <v>-8.8</v>
      </c>
      <c r="S1791" s="108">
        <v>-8.42857142857143</v>
      </c>
      <c r="T1791" s="108">
        <v>1</v>
      </c>
      <c r="U1791" s="108">
        <v>1</v>
      </c>
      <c r="V1791" s="108">
        <v>-0.4</v>
      </c>
      <c r="W1791" s="108">
        <v>-1.14285714285714</v>
      </c>
    </row>
    <row r="1792" spans="1:23">
      <c r="A1792" s="103">
        <v>45093</v>
      </c>
      <c r="B1792" s="104" t="s">
        <v>22</v>
      </c>
      <c r="C1792" s="218">
        <v>2753</v>
      </c>
      <c r="D1792" s="218"/>
      <c r="E1792" s="217">
        <v>86</v>
      </c>
      <c r="F1792" s="106">
        <v>0.0312386487468217</v>
      </c>
      <c r="G1792" s="107">
        <v>30</v>
      </c>
      <c r="H1792" s="106">
        <v>0.348837209302326</v>
      </c>
      <c r="I1792" s="106"/>
      <c r="J1792" s="106"/>
      <c r="K1792" s="106"/>
      <c r="L1792" s="213">
        <v>-149</v>
      </c>
      <c r="M1792" s="213">
        <v>-333</v>
      </c>
      <c r="N1792" s="213">
        <v>-963.8</v>
      </c>
      <c r="O1792" s="213">
        <v>-1381.71428571429</v>
      </c>
      <c r="P1792" s="108">
        <v>12</v>
      </c>
      <c r="Q1792" s="108">
        <v>2.33333333333333</v>
      </c>
      <c r="R1792" s="108">
        <v>-27.8</v>
      </c>
      <c r="S1792" s="115">
        <v>-48</v>
      </c>
      <c r="T1792" s="108">
        <v>-1</v>
      </c>
      <c r="U1792" s="108">
        <v>-5</v>
      </c>
      <c r="V1792" s="108">
        <v>-12.6</v>
      </c>
      <c r="W1792" s="117">
        <v>-16</v>
      </c>
    </row>
    <row r="1793" spans="1:23">
      <c r="A1793" s="103">
        <v>45093</v>
      </c>
      <c r="B1793" s="104" t="s">
        <v>23</v>
      </c>
      <c r="C1793" s="218">
        <v>1948</v>
      </c>
      <c r="D1793" s="218"/>
      <c r="E1793" s="217">
        <v>6</v>
      </c>
      <c r="F1793" s="106">
        <v>0.00308008213552361</v>
      </c>
      <c r="G1793" s="107">
        <v>3</v>
      </c>
      <c r="H1793" s="106">
        <v>0.5</v>
      </c>
      <c r="I1793" s="106"/>
      <c r="J1793" s="106"/>
      <c r="K1793" s="106"/>
      <c r="L1793" s="213">
        <v>88</v>
      </c>
      <c r="M1793" s="213">
        <v>181.666666666667</v>
      </c>
      <c r="N1793" s="213">
        <v>236</v>
      </c>
      <c r="O1793" s="213">
        <v>272.428571428571</v>
      </c>
      <c r="P1793" s="108">
        <v>2</v>
      </c>
      <c r="Q1793" s="108">
        <v>-7</v>
      </c>
      <c r="R1793" s="108">
        <v>-4.8</v>
      </c>
      <c r="S1793" s="108">
        <v>-3.71428571428571</v>
      </c>
      <c r="T1793" s="108">
        <v>3</v>
      </c>
      <c r="U1793" s="116">
        <v>1.33333333333333</v>
      </c>
      <c r="V1793" s="108">
        <v>0.2</v>
      </c>
      <c r="W1793" s="108">
        <v>0.428571428571428</v>
      </c>
    </row>
    <row r="1794" spans="1:23">
      <c r="A1794" s="103">
        <v>45093</v>
      </c>
      <c r="B1794" s="104" t="s">
        <v>24</v>
      </c>
      <c r="C1794" s="218">
        <v>3135</v>
      </c>
      <c r="D1794" s="218"/>
      <c r="E1794" s="217">
        <v>109</v>
      </c>
      <c r="F1794" s="106">
        <v>0.0347687400318979</v>
      </c>
      <c r="G1794" s="107">
        <v>45</v>
      </c>
      <c r="H1794" s="106">
        <v>0.412844036697248</v>
      </c>
      <c r="I1794" s="106"/>
      <c r="J1794" s="106"/>
      <c r="K1794" s="106"/>
      <c r="L1794" s="213">
        <v>-492</v>
      </c>
      <c r="M1794" s="213">
        <v>-722.333333333333</v>
      </c>
      <c r="N1794" s="213">
        <v>-1582.8</v>
      </c>
      <c r="O1794" s="213">
        <v>-2613.42857142857</v>
      </c>
      <c r="P1794" s="115">
        <v>-20</v>
      </c>
      <c r="Q1794" s="115">
        <v>-33</v>
      </c>
      <c r="R1794" s="115">
        <v>-89</v>
      </c>
      <c r="S1794" s="115">
        <v>-108.428571428571</v>
      </c>
      <c r="T1794" s="115">
        <v>12</v>
      </c>
      <c r="U1794" s="115">
        <v>9.33333333333334</v>
      </c>
      <c r="V1794" s="115">
        <v>-10.6</v>
      </c>
      <c r="W1794" s="115">
        <v>-10.1428571428571</v>
      </c>
    </row>
    <row r="1795" spans="1:23">
      <c r="A1795" s="103">
        <v>45093</v>
      </c>
      <c r="B1795" s="104" t="s">
        <v>25</v>
      </c>
      <c r="C1795" s="218">
        <v>2925</v>
      </c>
      <c r="D1795" s="218"/>
      <c r="E1795" s="217">
        <v>80</v>
      </c>
      <c r="F1795" s="106">
        <v>0.0273504273504274</v>
      </c>
      <c r="G1795" s="107">
        <v>21</v>
      </c>
      <c r="H1795" s="106">
        <v>0.2625</v>
      </c>
      <c r="I1795" s="106"/>
      <c r="J1795" s="106"/>
      <c r="K1795" s="106"/>
      <c r="L1795" s="213">
        <v>71</v>
      </c>
      <c r="M1795" s="213">
        <v>171.333333333333</v>
      </c>
      <c r="N1795" s="213">
        <v>-63.1999999999998</v>
      </c>
      <c r="O1795" s="213">
        <v>-44</v>
      </c>
      <c r="P1795" s="116">
        <v>17</v>
      </c>
      <c r="Q1795" s="115">
        <v>7</v>
      </c>
      <c r="R1795" s="115">
        <v>-2</v>
      </c>
      <c r="S1795" s="115">
        <v>6.14285714285714</v>
      </c>
      <c r="T1795" s="108">
        <v>1</v>
      </c>
      <c r="U1795" s="108">
        <v>-3</v>
      </c>
      <c r="V1795" s="108">
        <v>-8.2</v>
      </c>
      <c r="W1795" s="108">
        <v>-3.85714285714286</v>
      </c>
    </row>
    <row r="1796" spans="1:23">
      <c r="A1796" s="103">
        <v>45093</v>
      </c>
      <c r="B1796" s="104" t="s">
        <v>26</v>
      </c>
      <c r="C1796" s="218">
        <v>1442</v>
      </c>
      <c r="D1796" s="218"/>
      <c r="E1796" s="217">
        <v>1</v>
      </c>
      <c r="F1796" s="106">
        <v>0.000693481276005548</v>
      </c>
      <c r="G1796" s="107">
        <v>0</v>
      </c>
      <c r="H1796" s="106">
        <v>0</v>
      </c>
      <c r="I1796" s="106"/>
      <c r="J1796" s="106"/>
      <c r="K1796" s="106"/>
      <c r="L1796" s="213">
        <v>55</v>
      </c>
      <c r="M1796" s="213">
        <v>30.6666666666667</v>
      </c>
      <c r="N1796" s="213">
        <v>7.59999999999991</v>
      </c>
      <c r="O1796" s="213">
        <v>-9.71428571428578</v>
      </c>
      <c r="P1796" s="108">
        <v>-1</v>
      </c>
      <c r="Q1796" s="108">
        <v>-0.333333333333333</v>
      </c>
      <c r="R1796" s="108">
        <v>0</v>
      </c>
      <c r="S1796" s="108">
        <v>-0.857142857142857</v>
      </c>
      <c r="T1796" s="108">
        <v>-1</v>
      </c>
      <c r="U1796" s="108">
        <v>-1.33333333333333</v>
      </c>
      <c r="V1796" s="108">
        <v>-1.4</v>
      </c>
      <c r="W1796" s="108">
        <v>-1.42857142857143</v>
      </c>
    </row>
    <row r="1797" spans="1:23">
      <c r="A1797" s="103">
        <v>45093</v>
      </c>
      <c r="B1797" s="104" t="s">
        <v>27</v>
      </c>
      <c r="C1797" s="218">
        <v>2819</v>
      </c>
      <c r="D1797" s="218"/>
      <c r="E1797" s="217">
        <v>50</v>
      </c>
      <c r="F1797" s="106">
        <v>0.0177367860943597</v>
      </c>
      <c r="G1797" s="107">
        <v>14</v>
      </c>
      <c r="H1797" s="106">
        <v>0.28</v>
      </c>
      <c r="I1797" s="106"/>
      <c r="J1797" s="106"/>
      <c r="K1797" s="106"/>
      <c r="L1797" s="213">
        <v>250</v>
      </c>
      <c r="M1797" s="213">
        <v>-24.3333333333335</v>
      </c>
      <c r="N1797" s="213">
        <v>-139.6</v>
      </c>
      <c r="O1797" s="213">
        <v>-178.142857142857</v>
      </c>
      <c r="P1797" s="108">
        <v>1</v>
      </c>
      <c r="Q1797" s="108">
        <v>1</v>
      </c>
      <c r="R1797" s="108">
        <v>1</v>
      </c>
      <c r="S1797" s="108">
        <v>0.571428571428569</v>
      </c>
      <c r="T1797" s="108">
        <v>-3</v>
      </c>
      <c r="U1797" s="108">
        <v>2.66666666666667</v>
      </c>
      <c r="V1797" s="108">
        <v>2.8</v>
      </c>
      <c r="W1797" s="108">
        <v>3.57142857142857</v>
      </c>
    </row>
    <row r="1798" spans="1:23">
      <c r="A1798" s="103">
        <v>45093</v>
      </c>
      <c r="B1798" s="104" t="s">
        <v>28</v>
      </c>
      <c r="C1798" s="145">
        <v>0</v>
      </c>
      <c r="D1798" s="145"/>
      <c r="E1798" s="104">
        <v>0</v>
      </c>
      <c r="F1798" s="106">
        <v>0</v>
      </c>
      <c r="G1798" s="107">
        <v>0</v>
      </c>
      <c r="H1798" s="106">
        <v>0</v>
      </c>
      <c r="I1798" s="106"/>
      <c r="J1798" s="106"/>
      <c r="K1798" s="106"/>
      <c r="L1798" s="213">
        <v>0</v>
      </c>
      <c r="M1798" s="213">
        <v>0</v>
      </c>
      <c r="N1798" s="213">
        <v>0</v>
      </c>
      <c r="O1798" s="213">
        <v>0</v>
      </c>
      <c r="P1798" s="108">
        <v>0</v>
      </c>
      <c r="Q1798" s="108">
        <v>0</v>
      </c>
      <c r="R1798" s="108">
        <v>0</v>
      </c>
      <c r="S1798" s="108">
        <v>0</v>
      </c>
      <c r="T1798" s="108">
        <v>0</v>
      </c>
      <c r="U1798" s="108">
        <v>0</v>
      </c>
      <c r="V1798" s="108">
        <v>0</v>
      </c>
      <c r="W1798" s="108">
        <v>0</v>
      </c>
    </row>
    <row r="1799" spans="1:23">
      <c r="A1799" s="103">
        <v>45093</v>
      </c>
      <c r="B1799" s="104" t="s">
        <v>29</v>
      </c>
      <c r="C1799" s="145">
        <v>0</v>
      </c>
      <c r="D1799" s="145"/>
      <c r="E1799" s="104">
        <v>0</v>
      </c>
      <c r="F1799" s="106">
        <v>0</v>
      </c>
      <c r="G1799" s="107">
        <v>0</v>
      </c>
      <c r="H1799" s="106">
        <v>0</v>
      </c>
      <c r="I1799" s="106"/>
      <c r="J1799" s="106"/>
      <c r="K1799" s="106"/>
      <c r="L1799" s="213">
        <v>0</v>
      </c>
      <c r="M1799" s="213">
        <v>0</v>
      </c>
      <c r="N1799" s="213">
        <v>0</v>
      </c>
      <c r="O1799" s="213">
        <v>0</v>
      </c>
      <c r="P1799" s="108">
        <v>0</v>
      </c>
      <c r="Q1799" s="108">
        <v>0</v>
      </c>
      <c r="R1799" s="108">
        <v>0</v>
      </c>
      <c r="S1799" s="108">
        <v>0</v>
      </c>
      <c r="T1799" s="108">
        <v>0</v>
      </c>
      <c r="U1799" s="108">
        <v>0</v>
      </c>
      <c r="V1799" s="108">
        <v>0</v>
      </c>
      <c r="W1799" s="108">
        <v>0</v>
      </c>
    </row>
    <row r="1800" spans="1:23">
      <c r="A1800" s="103">
        <v>45093</v>
      </c>
      <c r="B1800" s="104" t="s">
        <v>30</v>
      </c>
      <c r="C1800" s="145">
        <v>0</v>
      </c>
      <c r="D1800" s="145"/>
      <c r="E1800" s="104">
        <v>0</v>
      </c>
      <c r="F1800" s="106">
        <v>0</v>
      </c>
      <c r="G1800" s="107">
        <v>0</v>
      </c>
      <c r="H1800" s="106">
        <v>0</v>
      </c>
      <c r="I1800" s="106"/>
      <c r="J1800" s="106"/>
      <c r="K1800" s="106"/>
      <c r="L1800" s="213">
        <v>0</v>
      </c>
      <c r="M1800" s="213">
        <v>0</v>
      </c>
      <c r="N1800" s="213">
        <v>0</v>
      </c>
      <c r="O1800" s="213">
        <v>0</v>
      </c>
      <c r="P1800" s="108">
        <v>0</v>
      </c>
      <c r="Q1800" s="108">
        <v>0</v>
      </c>
      <c r="R1800" s="108">
        <v>0</v>
      </c>
      <c r="S1800" s="108">
        <v>0</v>
      </c>
      <c r="T1800" s="108">
        <v>0</v>
      </c>
      <c r="U1800" s="108">
        <v>0</v>
      </c>
      <c r="V1800" s="108">
        <v>0</v>
      </c>
      <c r="W1800" s="108">
        <v>0</v>
      </c>
    </row>
    <row r="1801" spans="1:23">
      <c r="A1801" s="103">
        <v>45093</v>
      </c>
      <c r="B1801" s="104" t="s">
        <v>31</v>
      </c>
      <c r="C1801" s="145">
        <v>0</v>
      </c>
      <c r="D1801" s="145"/>
      <c r="E1801" s="104">
        <v>0</v>
      </c>
      <c r="F1801" s="106">
        <v>0</v>
      </c>
      <c r="G1801" s="107">
        <v>0</v>
      </c>
      <c r="H1801" s="106">
        <v>0</v>
      </c>
      <c r="I1801" s="106"/>
      <c r="J1801" s="106"/>
      <c r="K1801" s="106"/>
      <c r="L1801" s="213">
        <v>0</v>
      </c>
      <c r="M1801" s="213">
        <v>0</v>
      </c>
      <c r="N1801" s="213">
        <v>0</v>
      </c>
      <c r="O1801" s="213">
        <v>0</v>
      </c>
      <c r="P1801" s="108">
        <v>0</v>
      </c>
      <c r="Q1801" s="108">
        <v>0</v>
      </c>
      <c r="R1801" s="108">
        <v>0</v>
      </c>
      <c r="S1801" s="108">
        <v>0</v>
      </c>
      <c r="T1801" s="108">
        <v>0</v>
      </c>
      <c r="U1801" s="108">
        <v>0</v>
      </c>
      <c r="V1801" s="108">
        <v>0</v>
      </c>
      <c r="W1801" s="108">
        <v>0</v>
      </c>
    </row>
    <row r="1802" spans="1:23">
      <c r="A1802" s="103">
        <v>45093</v>
      </c>
      <c r="B1802" s="104" t="s">
        <v>32</v>
      </c>
      <c r="C1802" s="145">
        <v>0</v>
      </c>
      <c r="D1802" s="145"/>
      <c r="E1802" s="104">
        <v>0</v>
      </c>
      <c r="F1802" s="106">
        <v>0</v>
      </c>
      <c r="G1802" s="107">
        <v>0</v>
      </c>
      <c r="H1802" s="106">
        <v>0</v>
      </c>
      <c r="I1802" s="106"/>
      <c r="J1802" s="106"/>
      <c r="K1802" s="106"/>
      <c r="L1802" s="213">
        <v>0</v>
      </c>
      <c r="M1802" s="213">
        <v>0</v>
      </c>
      <c r="N1802" s="213">
        <v>0</v>
      </c>
      <c r="O1802" s="213">
        <v>0</v>
      </c>
      <c r="P1802" s="108">
        <v>0</v>
      </c>
      <c r="Q1802" s="108">
        <v>0</v>
      </c>
      <c r="R1802" s="108">
        <v>0</v>
      </c>
      <c r="S1802" s="108">
        <v>0</v>
      </c>
      <c r="T1802" s="108">
        <v>0</v>
      </c>
      <c r="U1802" s="108">
        <v>0</v>
      </c>
      <c r="V1802" s="108">
        <v>0</v>
      </c>
      <c r="W1802" s="108">
        <v>0</v>
      </c>
    </row>
    <row r="1803" spans="1:23">
      <c r="A1803" s="103">
        <v>45093</v>
      </c>
      <c r="B1803" s="104" t="s">
        <v>33</v>
      </c>
      <c r="C1803" s="145">
        <v>0</v>
      </c>
      <c r="D1803" s="145"/>
      <c r="E1803" s="104">
        <v>0</v>
      </c>
      <c r="F1803" s="106">
        <v>0</v>
      </c>
      <c r="G1803" s="107">
        <v>0</v>
      </c>
      <c r="H1803" s="106">
        <v>0</v>
      </c>
      <c r="I1803" s="106"/>
      <c r="J1803" s="106"/>
      <c r="K1803" s="106"/>
      <c r="L1803" s="213">
        <v>0</v>
      </c>
      <c r="M1803" s="213">
        <v>0</v>
      </c>
      <c r="N1803" s="213">
        <v>0</v>
      </c>
      <c r="O1803" s="213">
        <v>0</v>
      </c>
      <c r="P1803" s="108">
        <v>0</v>
      </c>
      <c r="Q1803" s="108">
        <v>0</v>
      </c>
      <c r="R1803" s="108">
        <v>0</v>
      </c>
      <c r="S1803" s="108">
        <v>0</v>
      </c>
      <c r="T1803" s="108">
        <v>0</v>
      </c>
      <c r="U1803" s="108">
        <v>0</v>
      </c>
      <c r="V1803" s="108">
        <v>0</v>
      </c>
      <c r="W1803" s="108">
        <v>0</v>
      </c>
    </row>
    <row r="1804" spans="1:23">
      <c r="A1804" s="103">
        <v>45093</v>
      </c>
      <c r="B1804" s="104" t="s">
        <v>34</v>
      </c>
      <c r="C1804" s="145">
        <v>0</v>
      </c>
      <c r="D1804" s="145"/>
      <c r="E1804" s="104">
        <v>0</v>
      </c>
      <c r="F1804" s="106">
        <v>0</v>
      </c>
      <c r="G1804" s="107">
        <v>0</v>
      </c>
      <c r="H1804" s="106">
        <v>0</v>
      </c>
      <c r="I1804" s="106"/>
      <c r="J1804" s="106"/>
      <c r="K1804" s="106"/>
      <c r="L1804" s="213">
        <v>0</v>
      </c>
      <c r="M1804" s="213">
        <v>0</v>
      </c>
      <c r="N1804" s="213">
        <v>0</v>
      </c>
      <c r="O1804" s="213">
        <v>0</v>
      </c>
      <c r="P1804" s="108">
        <v>0</v>
      </c>
      <c r="Q1804" s="108">
        <v>0</v>
      </c>
      <c r="R1804" s="108">
        <v>0</v>
      </c>
      <c r="S1804" s="108">
        <v>0</v>
      </c>
      <c r="T1804" s="108">
        <v>0</v>
      </c>
      <c r="U1804" s="108">
        <v>0</v>
      </c>
      <c r="V1804" s="108">
        <v>0</v>
      </c>
      <c r="W1804" s="108">
        <v>0</v>
      </c>
    </row>
    <row r="1805" spans="1:23">
      <c r="A1805" s="103">
        <v>45093</v>
      </c>
      <c r="B1805" s="104" t="s">
        <v>35</v>
      </c>
      <c r="C1805" s="145">
        <v>0</v>
      </c>
      <c r="D1805" s="145"/>
      <c r="E1805" s="104">
        <v>0</v>
      </c>
      <c r="F1805" s="106">
        <v>0</v>
      </c>
      <c r="G1805" s="107">
        <v>0</v>
      </c>
      <c r="H1805" s="106">
        <v>0</v>
      </c>
      <c r="I1805" s="106"/>
      <c r="J1805" s="106"/>
      <c r="K1805" s="106"/>
      <c r="L1805" s="213">
        <v>0</v>
      </c>
      <c r="M1805" s="213">
        <v>0</v>
      </c>
      <c r="N1805" s="213">
        <v>0</v>
      </c>
      <c r="O1805" s="213">
        <v>0</v>
      </c>
      <c r="P1805" s="108">
        <v>0</v>
      </c>
      <c r="Q1805" s="108">
        <v>0</v>
      </c>
      <c r="R1805" s="108">
        <v>0</v>
      </c>
      <c r="S1805" s="108">
        <v>0</v>
      </c>
      <c r="T1805" s="108">
        <v>0</v>
      </c>
      <c r="U1805" s="108">
        <v>0</v>
      </c>
      <c r="V1805" s="108">
        <v>0</v>
      </c>
      <c r="W1805" s="108">
        <v>0</v>
      </c>
    </row>
    <row r="1806" spans="1:23">
      <c r="A1806" s="103">
        <v>45093</v>
      </c>
      <c r="B1806" s="104" t="s">
        <v>36</v>
      </c>
      <c r="C1806" s="145">
        <v>0</v>
      </c>
      <c r="D1806" s="145"/>
      <c r="E1806" s="104">
        <v>0</v>
      </c>
      <c r="F1806" s="106">
        <v>0</v>
      </c>
      <c r="G1806" s="107">
        <v>0</v>
      </c>
      <c r="H1806" s="106">
        <v>0</v>
      </c>
      <c r="I1806" s="106"/>
      <c r="J1806" s="106"/>
      <c r="K1806" s="106"/>
      <c r="L1806" s="213">
        <v>0</v>
      </c>
      <c r="M1806" s="213">
        <v>0</v>
      </c>
      <c r="N1806" s="213">
        <v>0</v>
      </c>
      <c r="O1806" s="213">
        <v>0</v>
      </c>
      <c r="P1806" s="108">
        <v>0</v>
      </c>
      <c r="Q1806" s="108">
        <v>0</v>
      </c>
      <c r="R1806" s="108">
        <v>0</v>
      </c>
      <c r="S1806" s="108">
        <v>0</v>
      </c>
      <c r="T1806" s="108">
        <v>0</v>
      </c>
      <c r="U1806" s="108">
        <v>0</v>
      </c>
      <c r="V1806" s="108">
        <v>0</v>
      </c>
      <c r="W1806" s="108">
        <v>0</v>
      </c>
    </row>
    <row r="1807" spans="1:23">
      <c r="A1807" s="103">
        <v>45093</v>
      </c>
      <c r="B1807" s="104" t="s">
        <v>37</v>
      </c>
      <c r="C1807" s="145">
        <v>0</v>
      </c>
      <c r="D1807" s="145"/>
      <c r="E1807" s="104">
        <v>1</v>
      </c>
      <c r="F1807" s="106">
        <v>1</v>
      </c>
      <c r="G1807" s="107">
        <v>0</v>
      </c>
      <c r="H1807" s="106">
        <v>0</v>
      </c>
      <c r="I1807" s="106"/>
      <c r="J1807" s="106"/>
      <c r="K1807" s="106"/>
      <c r="L1807" s="213">
        <v>0</v>
      </c>
      <c r="M1807" s="213">
        <v>0</v>
      </c>
      <c r="N1807" s="213">
        <v>0</v>
      </c>
      <c r="O1807" s="213">
        <v>0</v>
      </c>
      <c r="P1807" s="108">
        <v>1</v>
      </c>
      <c r="Q1807" s="108">
        <v>0.666666666666667</v>
      </c>
      <c r="R1807" s="108">
        <v>0.8</v>
      </c>
      <c r="S1807" s="108">
        <v>0.857142857142857</v>
      </c>
      <c r="T1807" s="108">
        <v>0</v>
      </c>
      <c r="U1807" s="108">
        <v>0</v>
      </c>
      <c r="V1807" s="108">
        <v>0</v>
      </c>
      <c r="W1807" s="108">
        <v>-0.142857142857143</v>
      </c>
    </row>
    <row r="1808" spans="1:23">
      <c r="A1808" s="103">
        <v>45093</v>
      </c>
      <c r="B1808" s="104" t="s">
        <v>38</v>
      </c>
      <c r="C1808" s="145">
        <v>0</v>
      </c>
      <c r="D1808" s="145"/>
      <c r="E1808" s="104">
        <v>0</v>
      </c>
      <c r="F1808" s="106">
        <v>0</v>
      </c>
      <c r="G1808" s="107">
        <v>0</v>
      </c>
      <c r="H1808" s="106">
        <v>0</v>
      </c>
      <c r="I1808" s="106"/>
      <c r="J1808" s="106"/>
      <c r="K1808" s="106"/>
      <c r="L1808" s="213">
        <v>0</v>
      </c>
      <c r="M1808" s="213">
        <v>0</v>
      </c>
      <c r="N1808" s="213">
        <v>0</v>
      </c>
      <c r="O1808" s="213">
        <v>0</v>
      </c>
      <c r="P1808" s="108">
        <v>0</v>
      </c>
      <c r="Q1808" s="108">
        <v>0</v>
      </c>
      <c r="R1808" s="108">
        <v>0</v>
      </c>
      <c r="S1808" s="108">
        <v>0</v>
      </c>
      <c r="T1808" s="108">
        <v>0</v>
      </c>
      <c r="U1808" s="108">
        <v>0</v>
      </c>
      <c r="V1808" s="108">
        <v>0</v>
      </c>
      <c r="W1808" s="108">
        <v>0</v>
      </c>
    </row>
    <row r="1809" spans="1:23">
      <c r="A1809" s="103">
        <v>45093</v>
      </c>
      <c r="B1809" s="111" t="s">
        <v>39</v>
      </c>
      <c r="C1809" s="112">
        <v>15816</v>
      </c>
      <c r="D1809" s="112"/>
      <c r="E1809" s="112">
        <v>392</v>
      </c>
      <c r="F1809" s="113">
        <v>0.0247850278199292</v>
      </c>
      <c r="G1809" s="112">
        <v>133</v>
      </c>
      <c r="H1809" s="113">
        <v>0.339285714285714</v>
      </c>
      <c r="I1809" s="113"/>
      <c r="J1809" s="113"/>
      <c r="K1809" s="113"/>
      <c r="L1809" s="213"/>
      <c r="M1809" s="213"/>
      <c r="N1809" s="213"/>
      <c r="O1809" s="213"/>
      <c r="P1809" s="108"/>
      <c r="Q1809" s="108"/>
      <c r="R1809" s="108"/>
      <c r="S1809" s="108"/>
      <c r="T1809" s="108"/>
      <c r="U1809" s="108"/>
      <c r="V1809" s="108"/>
      <c r="W1809" s="108"/>
    </row>
    <row r="1810" spans="1:23">
      <c r="A1810" s="103">
        <v>45094</v>
      </c>
      <c r="B1810" s="104" t="s">
        <v>17</v>
      </c>
      <c r="C1810" s="216">
        <v>2</v>
      </c>
      <c r="D1810" s="216"/>
      <c r="E1810" s="217">
        <v>38</v>
      </c>
      <c r="F1810" s="106">
        <v>19</v>
      </c>
      <c r="G1810" s="107">
        <v>11</v>
      </c>
      <c r="H1810" s="106">
        <v>0.289473684210526</v>
      </c>
      <c r="I1810" s="106"/>
      <c r="J1810" s="106"/>
      <c r="K1810" s="106"/>
      <c r="L1810" s="213">
        <v>-1</v>
      </c>
      <c r="M1810" s="213">
        <v>-0.666666666666667</v>
      </c>
      <c r="N1810" s="213">
        <v>-0.4</v>
      </c>
      <c r="O1810" s="213">
        <v>-0.428571428571428</v>
      </c>
      <c r="P1810" s="108">
        <v>4</v>
      </c>
      <c r="Q1810" s="108">
        <v>11.3333333333333</v>
      </c>
      <c r="R1810" s="108">
        <v>8.2</v>
      </c>
      <c r="S1810" s="108">
        <v>8.14285714285714</v>
      </c>
      <c r="T1810" s="108">
        <v>2</v>
      </c>
      <c r="U1810" s="108">
        <v>3.66666666666667</v>
      </c>
      <c r="V1810" s="108">
        <v>2.4</v>
      </c>
      <c r="W1810" s="108">
        <v>3.57142857142857</v>
      </c>
    </row>
    <row r="1811" spans="1:23">
      <c r="A1811" s="103">
        <v>45094</v>
      </c>
      <c r="B1811" s="104" t="s">
        <v>19</v>
      </c>
      <c r="C1811" s="216">
        <v>669</v>
      </c>
      <c r="D1811" s="216"/>
      <c r="E1811" s="217">
        <v>15</v>
      </c>
      <c r="F1811" s="106">
        <v>0.0224215246636771</v>
      </c>
      <c r="G1811" s="107">
        <v>3</v>
      </c>
      <c r="H1811" s="106">
        <v>0.2</v>
      </c>
      <c r="I1811" s="106"/>
      <c r="J1811" s="106"/>
      <c r="K1811" s="106"/>
      <c r="L1811" s="213">
        <v>107</v>
      </c>
      <c r="M1811" s="213">
        <v>91</v>
      </c>
      <c r="N1811" s="213">
        <v>76</v>
      </c>
      <c r="O1811" s="213">
        <v>70.4285714285714</v>
      </c>
      <c r="P1811" s="108">
        <v>-5</v>
      </c>
      <c r="Q1811" s="108">
        <v>-7.33333333333333</v>
      </c>
      <c r="R1811" s="108">
        <v>-5.2</v>
      </c>
      <c r="S1811" s="108">
        <v>-3.57142857142857</v>
      </c>
      <c r="T1811" s="108">
        <v>-5</v>
      </c>
      <c r="U1811" s="108">
        <v>-3</v>
      </c>
      <c r="V1811" s="108">
        <v>-3</v>
      </c>
      <c r="W1811" s="115">
        <v>-4</v>
      </c>
    </row>
    <row r="1812" spans="1:23">
      <c r="A1812" s="103">
        <v>45094</v>
      </c>
      <c r="B1812" s="104" t="s">
        <v>21</v>
      </c>
      <c r="C1812" s="218">
        <v>299</v>
      </c>
      <c r="D1812" s="218"/>
      <c r="E1812" s="217">
        <v>9</v>
      </c>
      <c r="F1812" s="106">
        <v>0.0301003344481605</v>
      </c>
      <c r="G1812" s="107">
        <v>2</v>
      </c>
      <c r="H1812" s="106">
        <v>0.222222222222222</v>
      </c>
      <c r="I1812" s="106"/>
      <c r="J1812" s="106"/>
      <c r="K1812" s="106"/>
      <c r="L1812" s="213">
        <v>70</v>
      </c>
      <c r="M1812" s="213">
        <v>65.6666666666667</v>
      </c>
      <c r="N1812" s="213">
        <v>72</v>
      </c>
      <c r="O1812" s="213">
        <v>61</v>
      </c>
      <c r="P1812" s="108">
        <v>4</v>
      </c>
      <c r="Q1812" s="108">
        <v>0</v>
      </c>
      <c r="R1812" s="108">
        <v>-3.4</v>
      </c>
      <c r="S1812" s="108">
        <v>-3.28571428571429</v>
      </c>
      <c r="T1812" s="108">
        <v>-1</v>
      </c>
      <c r="U1812" s="108">
        <v>0</v>
      </c>
      <c r="V1812" s="108">
        <v>-0.8</v>
      </c>
      <c r="W1812" s="108">
        <v>-1.71428571428571</v>
      </c>
    </row>
    <row r="1813" spans="1:23">
      <c r="A1813" s="103">
        <v>45094</v>
      </c>
      <c r="B1813" s="104" t="s">
        <v>22</v>
      </c>
      <c r="C1813" s="218">
        <v>2587</v>
      </c>
      <c r="D1813" s="218"/>
      <c r="E1813" s="217">
        <v>53</v>
      </c>
      <c r="F1813" s="106">
        <v>0.0204870506378044</v>
      </c>
      <c r="G1813" s="107">
        <v>26</v>
      </c>
      <c r="H1813" s="106">
        <v>0.490566037735849</v>
      </c>
      <c r="I1813" s="106"/>
      <c r="J1813" s="106"/>
      <c r="K1813" s="106"/>
      <c r="L1813" s="213">
        <v>-166</v>
      </c>
      <c r="M1813" s="213">
        <v>-249.666666666667</v>
      </c>
      <c r="N1813" s="213">
        <v>-681.8</v>
      </c>
      <c r="O1813" s="213">
        <v>-1211.71428571429</v>
      </c>
      <c r="P1813" s="108">
        <v>-33</v>
      </c>
      <c r="Q1813" s="108">
        <v>-27.3333333333333</v>
      </c>
      <c r="R1813" s="108">
        <v>-39.6</v>
      </c>
      <c r="S1813" s="115">
        <v>-70</v>
      </c>
      <c r="T1813" s="108">
        <v>-4</v>
      </c>
      <c r="U1813" s="108">
        <v>-5.66666666666667</v>
      </c>
      <c r="V1813" s="108">
        <v>-11.2</v>
      </c>
      <c r="W1813" s="117">
        <v>-17.7142857142857</v>
      </c>
    </row>
    <row r="1814" spans="1:23">
      <c r="A1814" s="103">
        <v>45094</v>
      </c>
      <c r="B1814" s="104" t="s">
        <v>23</v>
      </c>
      <c r="C1814" s="218">
        <v>1924</v>
      </c>
      <c r="D1814" s="218"/>
      <c r="E1814" s="217">
        <v>4</v>
      </c>
      <c r="F1814" s="106">
        <v>0.00207900207900208</v>
      </c>
      <c r="G1814" s="107">
        <v>3</v>
      </c>
      <c r="H1814" s="106">
        <v>0.75</v>
      </c>
      <c r="I1814" s="106"/>
      <c r="J1814" s="106"/>
      <c r="K1814" s="106"/>
      <c r="L1814" s="213">
        <v>-24</v>
      </c>
      <c r="M1814" s="213">
        <v>71</v>
      </c>
      <c r="N1814" s="213">
        <v>155.6</v>
      </c>
      <c r="O1814" s="213">
        <v>197.142857142857</v>
      </c>
      <c r="P1814" s="108">
        <v>-2</v>
      </c>
      <c r="Q1814" s="108">
        <v>-5.33333333333333</v>
      </c>
      <c r="R1814" s="108">
        <v>-6.8</v>
      </c>
      <c r="S1814" s="108">
        <v>-6.14285714285714</v>
      </c>
      <c r="T1814" s="108">
        <v>0</v>
      </c>
      <c r="U1814" s="116">
        <v>1</v>
      </c>
      <c r="V1814" s="108">
        <v>0.2</v>
      </c>
      <c r="W1814" s="108">
        <v>0.285714285714286</v>
      </c>
    </row>
    <row r="1815" spans="1:23">
      <c r="A1815" s="103">
        <v>45094</v>
      </c>
      <c r="B1815" s="104" t="s">
        <v>24</v>
      </c>
      <c r="C1815" s="218">
        <v>2980</v>
      </c>
      <c r="D1815" s="218"/>
      <c r="E1815" s="217">
        <v>111</v>
      </c>
      <c r="F1815" s="106">
        <v>0.037248322147651</v>
      </c>
      <c r="G1815" s="107">
        <v>40</v>
      </c>
      <c r="H1815" s="106">
        <v>0.36036036036036</v>
      </c>
      <c r="I1815" s="106"/>
      <c r="J1815" s="106"/>
      <c r="K1815" s="106"/>
      <c r="L1815" s="213">
        <v>-155</v>
      </c>
      <c r="M1815" s="213">
        <v>-516.666666666667</v>
      </c>
      <c r="N1815" s="213">
        <v>-980</v>
      </c>
      <c r="O1815" s="213">
        <v>-2082.14285714286</v>
      </c>
      <c r="P1815" s="115">
        <v>2</v>
      </c>
      <c r="Q1815" s="115">
        <v>-15</v>
      </c>
      <c r="R1815" s="115">
        <v>-38</v>
      </c>
      <c r="S1815" s="115">
        <v>-89.4285714285714</v>
      </c>
      <c r="T1815" s="115">
        <v>-5</v>
      </c>
      <c r="U1815" s="115">
        <v>2.33333333333334</v>
      </c>
      <c r="V1815" s="115">
        <v>-3.2</v>
      </c>
      <c r="W1815" s="115">
        <v>-15.4285714285714</v>
      </c>
    </row>
    <row r="1816" spans="1:23">
      <c r="A1816" s="103">
        <v>45094</v>
      </c>
      <c r="B1816" s="104" t="s">
        <v>25</v>
      </c>
      <c r="C1816" s="218">
        <v>3047</v>
      </c>
      <c r="D1816" s="218"/>
      <c r="E1816" s="217">
        <v>70</v>
      </c>
      <c r="F1816" s="106">
        <v>0.0229734164752215</v>
      </c>
      <c r="G1816" s="107">
        <v>28</v>
      </c>
      <c r="H1816" s="106">
        <v>0.4</v>
      </c>
      <c r="I1816" s="106"/>
      <c r="J1816" s="106"/>
      <c r="K1816" s="106"/>
      <c r="L1816" s="213">
        <v>122</v>
      </c>
      <c r="M1816" s="213">
        <v>239</v>
      </c>
      <c r="N1816" s="213">
        <v>202.4</v>
      </c>
      <c r="O1816" s="213">
        <v>16.5714285714284</v>
      </c>
      <c r="P1816" s="116">
        <v>-10</v>
      </c>
      <c r="Q1816" s="115">
        <v>-2.66666666666667</v>
      </c>
      <c r="R1816" s="115">
        <v>-6.8</v>
      </c>
      <c r="S1816" s="115">
        <v>-9.85714285714286</v>
      </c>
      <c r="T1816" s="108">
        <v>7</v>
      </c>
      <c r="U1816" s="108">
        <v>4.33333333333333</v>
      </c>
      <c r="V1816" s="108">
        <v>3</v>
      </c>
      <c r="W1816" s="108">
        <v>1.85714285714286</v>
      </c>
    </row>
    <row r="1817" spans="1:23">
      <c r="A1817" s="103">
        <v>45094</v>
      </c>
      <c r="B1817" s="104" t="s">
        <v>26</v>
      </c>
      <c r="C1817" s="218">
        <v>7</v>
      </c>
      <c r="D1817" s="218"/>
      <c r="E1817" s="217">
        <v>0</v>
      </c>
      <c r="F1817" s="106">
        <v>0</v>
      </c>
      <c r="G1817" s="107">
        <v>0</v>
      </c>
      <c r="H1817" s="106">
        <v>0</v>
      </c>
      <c r="I1817" s="106"/>
      <c r="J1817" s="106"/>
      <c r="K1817" s="106"/>
      <c r="L1817" s="213">
        <v>-1435</v>
      </c>
      <c r="M1817" s="213">
        <v>-1405.33333333333</v>
      </c>
      <c r="N1817" s="213">
        <v>-1419</v>
      </c>
      <c r="O1817" s="213">
        <v>-1435.71428571429</v>
      </c>
      <c r="P1817" s="108">
        <v>-1</v>
      </c>
      <c r="Q1817" s="108">
        <v>-1</v>
      </c>
      <c r="R1817" s="108">
        <v>-1.2</v>
      </c>
      <c r="S1817" s="108">
        <v>-1.57142857142857</v>
      </c>
      <c r="T1817" s="108">
        <v>0</v>
      </c>
      <c r="U1817" s="108">
        <v>-0.666666666666667</v>
      </c>
      <c r="V1817" s="108">
        <v>-0.8</v>
      </c>
      <c r="W1817" s="108">
        <v>-1</v>
      </c>
    </row>
    <row r="1818" spans="1:23">
      <c r="A1818" s="103">
        <v>45094</v>
      </c>
      <c r="B1818" s="104" t="s">
        <v>27</v>
      </c>
      <c r="C1818" s="218">
        <v>2898</v>
      </c>
      <c r="D1818" s="218"/>
      <c r="E1818" s="217">
        <v>46</v>
      </c>
      <c r="F1818" s="106">
        <v>0.0158730158730159</v>
      </c>
      <c r="G1818" s="107">
        <v>10</v>
      </c>
      <c r="H1818" s="106">
        <v>0.217391304347826</v>
      </c>
      <c r="I1818" s="106"/>
      <c r="J1818" s="106"/>
      <c r="K1818" s="106"/>
      <c r="L1818" s="213">
        <v>79</v>
      </c>
      <c r="M1818" s="213">
        <v>167.333333333333</v>
      </c>
      <c r="N1818" s="213">
        <v>32.1999999999998</v>
      </c>
      <c r="O1818" s="213">
        <v>-92.4285714285716</v>
      </c>
      <c r="P1818" s="108">
        <v>-4</v>
      </c>
      <c r="Q1818" s="108">
        <v>-3.33333333333334</v>
      </c>
      <c r="R1818" s="108">
        <v>0.200000000000003</v>
      </c>
      <c r="S1818" s="108">
        <v>-3.71428571428572</v>
      </c>
      <c r="T1818" s="108">
        <v>-4</v>
      </c>
      <c r="U1818" s="108">
        <v>-4</v>
      </c>
      <c r="V1818" s="108">
        <v>-1.2</v>
      </c>
      <c r="W1818" s="108">
        <v>-1</v>
      </c>
    </row>
    <row r="1819" spans="1:23">
      <c r="A1819" s="103">
        <v>45094</v>
      </c>
      <c r="B1819" s="104" t="s">
        <v>28</v>
      </c>
      <c r="C1819" s="145">
        <v>0</v>
      </c>
      <c r="D1819" s="145"/>
      <c r="E1819" s="104">
        <v>0</v>
      </c>
      <c r="F1819" s="106">
        <v>0</v>
      </c>
      <c r="G1819" s="107">
        <v>0</v>
      </c>
      <c r="H1819" s="106">
        <v>0</v>
      </c>
      <c r="I1819" s="106"/>
      <c r="J1819" s="106"/>
      <c r="K1819" s="106"/>
      <c r="L1819" s="213">
        <v>0</v>
      </c>
      <c r="M1819" s="213">
        <v>0</v>
      </c>
      <c r="N1819" s="213">
        <v>0</v>
      </c>
      <c r="O1819" s="213">
        <v>0</v>
      </c>
      <c r="P1819" s="108">
        <v>0</v>
      </c>
      <c r="Q1819" s="108">
        <v>0</v>
      </c>
      <c r="R1819" s="108">
        <v>0</v>
      </c>
      <c r="S1819" s="108">
        <v>0</v>
      </c>
      <c r="T1819" s="108">
        <v>0</v>
      </c>
      <c r="U1819" s="108">
        <v>0</v>
      </c>
      <c r="V1819" s="108">
        <v>0</v>
      </c>
      <c r="W1819" s="108">
        <v>0</v>
      </c>
    </row>
    <row r="1820" spans="1:23">
      <c r="A1820" s="103">
        <v>45094</v>
      </c>
      <c r="B1820" s="104" t="s">
        <v>29</v>
      </c>
      <c r="C1820" s="145">
        <v>0</v>
      </c>
      <c r="D1820" s="145"/>
      <c r="E1820" s="104">
        <v>0</v>
      </c>
      <c r="F1820" s="106">
        <v>0</v>
      </c>
      <c r="G1820" s="107">
        <v>0</v>
      </c>
      <c r="H1820" s="106">
        <v>0</v>
      </c>
      <c r="I1820" s="106"/>
      <c r="J1820" s="106"/>
      <c r="K1820" s="106"/>
      <c r="L1820" s="213">
        <v>0</v>
      </c>
      <c r="M1820" s="213">
        <v>0</v>
      </c>
      <c r="N1820" s="213">
        <v>0</v>
      </c>
      <c r="O1820" s="213">
        <v>0</v>
      </c>
      <c r="P1820" s="108">
        <v>0</v>
      </c>
      <c r="Q1820" s="108">
        <v>0</v>
      </c>
      <c r="R1820" s="108">
        <v>0</v>
      </c>
      <c r="S1820" s="108">
        <v>0</v>
      </c>
      <c r="T1820" s="108">
        <v>0</v>
      </c>
      <c r="U1820" s="108">
        <v>0</v>
      </c>
      <c r="V1820" s="108">
        <v>0</v>
      </c>
      <c r="W1820" s="108">
        <v>0</v>
      </c>
    </row>
    <row r="1821" spans="1:23">
      <c r="A1821" s="103">
        <v>45094</v>
      </c>
      <c r="B1821" s="104" t="s">
        <v>30</v>
      </c>
      <c r="C1821" s="145">
        <v>0</v>
      </c>
      <c r="D1821" s="145"/>
      <c r="E1821" s="104">
        <v>0</v>
      </c>
      <c r="F1821" s="106">
        <v>0</v>
      </c>
      <c r="G1821" s="107">
        <v>0</v>
      </c>
      <c r="H1821" s="106">
        <v>0</v>
      </c>
      <c r="I1821" s="106"/>
      <c r="J1821" s="106"/>
      <c r="K1821" s="106"/>
      <c r="L1821" s="213">
        <v>0</v>
      </c>
      <c r="M1821" s="213">
        <v>0</v>
      </c>
      <c r="N1821" s="213">
        <v>0</v>
      </c>
      <c r="O1821" s="213">
        <v>0</v>
      </c>
      <c r="P1821" s="108">
        <v>0</v>
      </c>
      <c r="Q1821" s="108">
        <v>0</v>
      </c>
      <c r="R1821" s="108">
        <v>0</v>
      </c>
      <c r="S1821" s="108">
        <v>0</v>
      </c>
      <c r="T1821" s="108">
        <v>0</v>
      </c>
      <c r="U1821" s="108">
        <v>0</v>
      </c>
      <c r="V1821" s="108">
        <v>0</v>
      </c>
      <c r="W1821" s="108">
        <v>0</v>
      </c>
    </row>
    <row r="1822" spans="1:23">
      <c r="A1822" s="103">
        <v>45094</v>
      </c>
      <c r="B1822" s="104" t="s">
        <v>31</v>
      </c>
      <c r="C1822" s="145">
        <v>0</v>
      </c>
      <c r="D1822" s="145"/>
      <c r="E1822" s="104">
        <v>0</v>
      </c>
      <c r="F1822" s="106">
        <v>0</v>
      </c>
      <c r="G1822" s="107">
        <v>0</v>
      </c>
      <c r="H1822" s="106">
        <v>0</v>
      </c>
      <c r="I1822" s="106"/>
      <c r="J1822" s="106"/>
      <c r="K1822" s="106"/>
      <c r="L1822" s="213">
        <v>0</v>
      </c>
      <c r="M1822" s="213">
        <v>0</v>
      </c>
      <c r="N1822" s="213">
        <v>0</v>
      </c>
      <c r="O1822" s="213">
        <v>0</v>
      </c>
      <c r="P1822" s="108">
        <v>0</v>
      </c>
      <c r="Q1822" s="108">
        <v>0</v>
      </c>
      <c r="R1822" s="108">
        <v>0</v>
      </c>
      <c r="S1822" s="108">
        <v>0</v>
      </c>
      <c r="T1822" s="108">
        <v>0</v>
      </c>
      <c r="U1822" s="108">
        <v>0</v>
      </c>
      <c r="V1822" s="108">
        <v>0</v>
      </c>
      <c r="W1822" s="108">
        <v>0</v>
      </c>
    </row>
    <row r="1823" spans="1:23">
      <c r="A1823" s="103">
        <v>45094</v>
      </c>
      <c r="B1823" s="104" t="s">
        <v>32</v>
      </c>
      <c r="C1823" s="145">
        <v>0</v>
      </c>
      <c r="D1823" s="145"/>
      <c r="E1823" s="104">
        <v>0</v>
      </c>
      <c r="F1823" s="106">
        <v>0</v>
      </c>
      <c r="G1823" s="107">
        <v>0</v>
      </c>
      <c r="H1823" s="106">
        <v>0</v>
      </c>
      <c r="I1823" s="106"/>
      <c r="J1823" s="106"/>
      <c r="K1823" s="106"/>
      <c r="L1823" s="213">
        <v>0</v>
      </c>
      <c r="M1823" s="213">
        <v>0</v>
      </c>
      <c r="N1823" s="213">
        <v>0</v>
      </c>
      <c r="O1823" s="213">
        <v>0</v>
      </c>
      <c r="P1823" s="108">
        <v>0</v>
      </c>
      <c r="Q1823" s="108">
        <v>0</v>
      </c>
      <c r="R1823" s="108">
        <v>0</v>
      </c>
      <c r="S1823" s="108">
        <v>0</v>
      </c>
      <c r="T1823" s="108">
        <v>0</v>
      </c>
      <c r="U1823" s="108">
        <v>0</v>
      </c>
      <c r="V1823" s="108">
        <v>0</v>
      </c>
      <c r="W1823" s="108">
        <v>0</v>
      </c>
    </row>
    <row r="1824" spans="1:23">
      <c r="A1824" s="103">
        <v>45094</v>
      </c>
      <c r="B1824" s="104" t="s">
        <v>33</v>
      </c>
      <c r="C1824" s="145">
        <v>0</v>
      </c>
      <c r="D1824" s="145"/>
      <c r="E1824" s="104">
        <v>0</v>
      </c>
      <c r="F1824" s="106">
        <v>0</v>
      </c>
      <c r="G1824" s="107">
        <v>0</v>
      </c>
      <c r="H1824" s="106">
        <v>0</v>
      </c>
      <c r="I1824" s="106"/>
      <c r="J1824" s="106"/>
      <c r="K1824" s="106"/>
      <c r="L1824" s="213">
        <v>0</v>
      </c>
      <c r="M1824" s="213">
        <v>0</v>
      </c>
      <c r="N1824" s="213">
        <v>0</v>
      </c>
      <c r="O1824" s="213">
        <v>0</v>
      </c>
      <c r="P1824" s="108">
        <v>0</v>
      </c>
      <c r="Q1824" s="108">
        <v>0</v>
      </c>
      <c r="R1824" s="108">
        <v>0</v>
      </c>
      <c r="S1824" s="108">
        <v>0</v>
      </c>
      <c r="T1824" s="108">
        <v>0</v>
      </c>
      <c r="U1824" s="108">
        <v>0</v>
      </c>
      <c r="V1824" s="108">
        <v>0</v>
      </c>
      <c r="W1824" s="108">
        <v>0</v>
      </c>
    </row>
    <row r="1825" spans="1:23">
      <c r="A1825" s="103">
        <v>45094</v>
      </c>
      <c r="B1825" s="104" t="s">
        <v>34</v>
      </c>
      <c r="C1825" s="145">
        <v>0</v>
      </c>
      <c r="D1825" s="145"/>
      <c r="E1825" s="104">
        <v>0</v>
      </c>
      <c r="F1825" s="106">
        <v>0</v>
      </c>
      <c r="G1825" s="107">
        <v>0</v>
      </c>
      <c r="H1825" s="106">
        <v>0</v>
      </c>
      <c r="I1825" s="106"/>
      <c r="J1825" s="106"/>
      <c r="K1825" s="106"/>
      <c r="L1825" s="213">
        <v>0</v>
      </c>
      <c r="M1825" s="213">
        <v>0</v>
      </c>
      <c r="N1825" s="213">
        <v>0</v>
      </c>
      <c r="O1825" s="213">
        <v>0</v>
      </c>
      <c r="P1825" s="108">
        <v>0</v>
      </c>
      <c r="Q1825" s="108">
        <v>0</v>
      </c>
      <c r="R1825" s="108">
        <v>0</v>
      </c>
      <c r="S1825" s="108">
        <v>0</v>
      </c>
      <c r="T1825" s="108">
        <v>0</v>
      </c>
      <c r="U1825" s="108">
        <v>0</v>
      </c>
      <c r="V1825" s="108">
        <v>0</v>
      </c>
      <c r="W1825" s="108">
        <v>0</v>
      </c>
    </row>
    <row r="1826" spans="1:23">
      <c r="A1826" s="103">
        <v>45094</v>
      </c>
      <c r="B1826" s="104" t="s">
        <v>35</v>
      </c>
      <c r="C1826" s="145">
        <v>0</v>
      </c>
      <c r="D1826" s="145"/>
      <c r="E1826" s="104">
        <v>0</v>
      </c>
      <c r="F1826" s="106">
        <v>0</v>
      </c>
      <c r="G1826" s="107">
        <v>0</v>
      </c>
      <c r="H1826" s="106">
        <v>0</v>
      </c>
      <c r="I1826" s="106"/>
      <c r="J1826" s="106"/>
      <c r="K1826" s="106"/>
      <c r="L1826" s="213">
        <v>0</v>
      </c>
      <c r="M1826" s="213">
        <v>0</v>
      </c>
      <c r="N1826" s="213">
        <v>0</v>
      </c>
      <c r="O1826" s="213">
        <v>0</v>
      </c>
      <c r="P1826" s="108">
        <v>0</v>
      </c>
      <c r="Q1826" s="108">
        <v>0</v>
      </c>
      <c r="R1826" s="108">
        <v>0</v>
      </c>
      <c r="S1826" s="108">
        <v>0</v>
      </c>
      <c r="T1826" s="108">
        <v>0</v>
      </c>
      <c r="U1826" s="108">
        <v>0</v>
      </c>
      <c r="V1826" s="108">
        <v>0</v>
      </c>
      <c r="W1826" s="108">
        <v>0</v>
      </c>
    </row>
    <row r="1827" spans="1:23">
      <c r="A1827" s="103">
        <v>45094</v>
      </c>
      <c r="B1827" s="104" t="s">
        <v>36</v>
      </c>
      <c r="C1827" s="145">
        <v>0</v>
      </c>
      <c r="D1827" s="145"/>
      <c r="E1827" s="104">
        <v>0</v>
      </c>
      <c r="F1827" s="106">
        <v>0</v>
      </c>
      <c r="G1827" s="107">
        <v>0</v>
      </c>
      <c r="H1827" s="106">
        <v>0</v>
      </c>
      <c r="I1827" s="106"/>
      <c r="J1827" s="106"/>
      <c r="K1827" s="106"/>
      <c r="L1827" s="213">
        <v>0</v>
      </c>
      <c r="M1827" s="213">
        <v>0</v>
      </c>
      <c r="N1827" s="213">
        <v>0</v>
      </c>
      <c r="O1827" s="213">
        <v>0</v>
      </c>
      <c r="P1827" s="108">
        <v>0</v>
      </c>
      <c r="Q1827" s="108">
        <v>0</v>
      </c>
      <c r="R1827" s="108">
        <v>0</v>
      </c>
      <c r="S1827" s="108">
        <v>0</v>
      </c>
      <c r="T1827" s="108">
        <v>0</v>
      </c>
      <c r="U1827" s="108">
        <v>0</v>
      </c>
      <c r="V1827" s="108">
        <v>0</v>
      </c>
      <c r="W1827" s="108">
        <v>0</v>
      </c>
    </row>
    <row r="1828" spans="1:23">
      <c r="A1828" s="103">
        <v>45094</v>
      </c>
      <c r="B1828" s="104" t="s">
        <v>37</v>
      </c>
      <c r="C1828" s="145">
        <v>0</v>
      </c>
      <c r="D1828" s="145"/>
      <c r="E1828" s="104">
        <v>0</v>
      </c>
      <c r="F1828" s="106">
        <v>0</v>
      </c>
      <c r="G1828" s="107">
        <v>0</v>
      </c>
      <c r="H1828" s="106">
        <v>0</v>
      </c>
      <c r="I1828" s="106"/>
      <c r="J1828" s="106"/>
      <c r="K1828" s="106"/>
      <c r="L1828" s="213">
        <v>0</v>
      </c>
      <c r="M1828" s="213">
        <v>0</v>
      </c>
      <c r="N1828" s="213">
        <v>0</v>
      </c>
      <c r="O1828" s="213">
        <v>0</v>
      </c>
      <c r="P1828" s="108">
        <v>-1</v>
      </c>
      <c r="Q1828" s="108">
        <v>-0.333333333333333</v>
      </c>
      <c r="R1828" s="108">
        <v>-0.4</v>
      </c>
      <c r="S1828" s="108">
        <v>-0.285714285714286</v>
      </c>
      <c r="T1828" s="108">
        <v>0</v>
      </c>
      <c r="U1828" s="108">
        <v>0</v>
      </c>
      <c r="V1828" s="108">
        <v>0</v>
      </c>
      <c r="W1828" s="108">
        <v>0</v>
      </c>
    </row>
    <row r="1829" spans="1:23">
      <c r="A1829" s="103">
        <v>45094</v>
      </c>
      <c r="B1829" s="104" t="s">
        <v>38</v>
      </c>
      <c r="C1829" s="145">
        <v>0</v>
      </c>
      <c r="D1829" s="145"/>
      <c r="E1829" s="104">
        <v>0</v>
      </c>
      <c r="F1829" s="106">
        <v>0</v>
      </c>
      <c r="G1829" s="107">
        <v>0</v>
      </c>
      <c r="H1829" s="106">
        <v>0</v>
      </c>
      <c r="I1829" s="106"/>
      <c r="J1829" s="106"/>
      <c r="K1829" s="106"/>
      <c r="L1829" s="213">
        <v>0</v>
      </c>
      <c r="M1829" s="213">
        <v>0</v>
      </c>
      <c r="N1829" s="213">
        <v>0</v>
      </c>
      <c r="O1829" s="213">
        <v>0</v>
      </c>
      <c r="P1829" s="108">
        <v>0</v>
      </c>
      <c r="Q1829" s="108">
        <v>0</v>
      </c>
      <c r="R1829" s="108">
        <v>0</v>
      </c>
      <c r="S1829" s="108">
        <v>0</v>
      </c>
      <c r="T1829" s="108">
        <v>0</v>
      </c>
      <c r="U1829" s="108">
        <v>0</v>
      </c>
      <c r="V1829" s="108">
        <v>0</v>
      </c>
      <c r="W1829" s="108">
        <v>0</v>
      </c>
    </row>
    <row r="1830" spans="1:23">
      <c r="A1830" s="103">
        <v>45094</v>
      </c>
      <c r="B1830" s="111" t="s">
        <v>39</v>
      </c>
      <c r="C1830" s="112">
        <v>14413</v>
      </c>
      <c r="D1830" s="112"/>
      <c r="E1830" s="112">
        <v>346</v>
      </c>
      <c r="F1830" s="113">
        <v>0.0240061055991119</v>
      </c>
      <c r="G1830" s="112">
        <v>123</v>
      </c>
      <c r="H1830" s="113">
        <v>0.355491329479769</v>
      </c>
      <c r="I1830" s="113"/>
      <c r="J1830" s="113"/>
      <c r="K1830" s="113"/>
      <c r="L1830" s="213"/>
      <c r="M1830" s="213"/>
      <c r="N1830" s="213"/>
      <c r="O1830" s="213"/>
      <c r="P1830" s="108"/>
      <c r="Q1830" s="108"/>
      <c r="R1830" s="108"/>
      <c r="S1830" s="108"/>
      <c r="T1830" s="108"/>
      <c r="U1830" s="108"/>
      <c r="V1830" s="108"/>
      <c r="W1830" s="108"/>
    </row>
    <row r="1831" spans="1:23">
      <c r="A1831" s="103">
        <v>45095</v>
      </c>
      <c r="B1831" s="104" t="s">
        <v>17</v>
      </c>
      <c r="C1831" s="216">
        <v>1</v>
      </c>
      <c r="D1831" s="216"/>
      <c r="E1831" s="217">
        <v>41</v>
      </c>
      <c r="F1831" s="106">
        <v>41</v>
      </c>
      <c r="G1831" s="107">
        <v>10</v>
      </c>
      <c r="H1831" s="106">
        <v>0.24390243902439</v>
      </c>
      <c r="I1831" s="106"/>
      <c r="J1831" s="106"/>
      <c r="K1831" s="106"/>
      <c r="L1831" s="213">
        <v>-1</v>
      </c>
      <c r="M1831" s="213">
        <v>-1.33333333333333</v>
      </c>
      <c r="N1831" s="213">
        <v>-1.4</v>
      </c>
      <c r="O1831" s="213">
        <v>-1.28571428571429</v>
      </c>
      <c r="P1831" s="108">
        <v>3</v>
      </c>
      <c r="Q1831" s="108">
        <v>8.66666666666666</v>
      </c>
      <c r="R1831" s="108">
        <v>11</v>
      </c>
      <c r="S1831" s="108">
        <v>9.57142857142857</v>
      </c>
      <c r="T1831" s="108">
        <v>-1</v>
      </c>
      <c r="U1831" s="108">
        <v>2</v>
      </c>
      <c r="V1831" s="108">
        <v>2</v>
      </c>
      <c r="W1831" s="108">
        <v>1.85714285714286</v>
      </c>
    </row>
    <row r="1832" spans="1:23">
      <c r="A1832" s="103">
        <v>45095</v>
      </c>
      <c r="B1832" s="104" t="s">
        <v>19</v>
      </c>
      <c r="C1832" s="216">
        <v>557</v>
      </c>
      <c r="D1832" s="216"/>
      <c r="E1832" s="217">
        <v>17</v>
      </c>
      <c r="F1832" s="106">
        <v>0.0305206463195691</v>
      </c>
      <c r="G1832" s="107">
        <v>6</v>
      </c>
      <c r="H1832" s="106">
        <v>0.352941176470588</v>
      </c>
      <c r="I1832" s="106"/>
      <c r="J1832" s="106"/>
      <c r="K1832" s="106"/>
      <c r="L1832" s="213">
        <v>-112</v>
      </c>
      <c r="M1832" s="213">
        <v>-55.3333333333334</v>
      </c>
      <c r="N1832" s="213">
        <v>-39</v>
      </c>
      <c r="O1832" s="213">
        <v>-53.2857142857143</v>
      </c>
      <c r="P1832" s="108">
        <v>2</v>
      </c>
      <c r="Q1832" s="108">
        <v>-3</v>
      </c>
      <c r="R1832" s="108">
        <v>-3</v>
      </c>
      <c r="S1832" s="108">
        <v>-1.42857142857143</v>
      </c>
      <c r="T1832" s="108">
        <v>3</v>
      </c>
      <c r="U1832" s="108">
        <v>0</v>
      </c>
      <c r="V1832" s="108">
        <v>0.8</v>
      </c>
      <c r="W1832" s="115">
        <v>-0.142857142857143</v>
      </c>
    </row>
    <row r="1833" spans="1:23">
      <c r="A1833" s="103">
        <v>45095</v>
      </c>
      <c r="B1833" s="104" t="s">
        <v>21</v>
      </c>
      <c r="C1833" s="218">
        <v>244</v>
      </c>
      <c r="D1833" s="218"/>
      <c r="E1833" s="217">
        <v>2</v>
      </c>
      <c r="F1833" s="106">
        <v>0.00819672131147541</v>
      </c>
      <c r="G1833" s="107">
        <v>3</v>
      </c>
      <c r="H1833" s="106">
        <v>1.5</v>
      </c>
      <c r="I1833" s="106"/>
      <c r="J1833" s="106"/>
      <c r="K1833" s="106"/>
      <c r="L1833" s="213">
        <v>-55</v>
      </c>
      <c r="M1833" s="213">
        <v>-6.33333333333334</v>
      </c>
      <c r="N1833" s="213">
        <v>-3.19999999999999</v>
      </c>
      <c r="O1833" s="213">
        <v>8.42857142857142</v>
      </c>
      <c r="P1833" s="108">
        <v>-7</v>
      </c>
      <c r="Q1833" s="108">
        <v>-5</v>
      </c>
      <c r="R1833" s="108">
        <v>-9.4</v>
      </c>
      <c r="S1833" s="108">
        <v>-9.85714285714286</v>
      </c>
      <c r="T1833" s="108">
        <v>1</v>
      </c>
      <c r="U1833" s="108">
        <v>0.666666666666667</v>
      </c>
      <c r="V1833" s="108">
        <v>0.8</v>
      </c>
      <c r="W1833" s="108">
        <v>-0.142857142857143</v>
      </c>
    </row>
    <row r="1834" spans="1:23">
      <c r="A1834" s="103">
        <v>45095</v>
      </c>
      <c r="B1834" s="104" t="s">
        <v>22</v>
      </c>
      <c r="C1834" s="218">
        <v>2526</v>
      </c>
      <c r="D1834" s="218"/>
      <c r="E1834" s="217">
        <v>49</v>
      </c>
      <c r="F1834" s="106">
        <v>0.0193982581155978</v>
      </c>
      <c r="G1834" s="107">
        <v>27</v>
      </c>
      <c r="H1834" s="106">
        <v>0.551020408163265</v>
      </c>
      <c r="I1834" s="106"/>
      <c r="J1834" s="106"/>
      <c r="K1834" s="106"/>
      <c r="L1834" s="213">
        <v>-61</v>
      </c>
      <c r="M1834" s="213">
        <v>-221.333333333333</v>
      </c>
      <c r="N1834" s="213">
        <v>-393.6</v>
      </c>
      <c r="O1834" s="213">
        <v>-891.714285714286</v>
      </c>
      <c r="P1834" s="108">
        <v>-4</v>
      </c>
      <c r="Q1834" s="108">
        <v>-22</v>
      </c>
      <c r="R1834" s="108">
        <v>-29</v>
      </c>
      <c r="S1834" s="115">
        <v>-52.1428571428571</v>
      </c>
      <c r="T1834" s="108">
        <v>1</v>
      </c>
      <c r="U1834" s="108">
        <v>-2</v>
      </c>
      <c r="V1834" s="108">
        <v>-5.2</v>
      </c>
      <c r="W1834" s="117">
        <v>-11.4285714285714</v>
      </c>
    </row>
    <row r="1835" spans="1:23">
      <c r="A1835" s="103">
        <v>45095</v>
      </c>
      <c r="B1835" s="104" t="s">
        <v>23</v>
      </c>
      <c r="C1835" s="218">
        <v>1884</v>
      </c>
      <c r="D1835" s="218"/>
      <c r="E1835" s="217">
        <v>8</v>
      </c>
      <c r="F1835" s="106">
        <v>0.00424628450106157</v>
      </c>
      <c r="G1835" s="107">
        <v>3</v>
      </c>
      <c r="H1835" s="106">
        <v>0.375</v>
      </c>
      <c r="I1835" s="106"/>
      <c r="J1835" s="106"/>
      <c r="K1835" s="106"/>
      <c r="L1835" s="213">
        <v>-40</v>
      </c>
      <c r="M1835" s="213">
        <v>-26.6666666666667</v>
      </c>
      <c r="N1835" s="213">
        <v>49.8</v>
      </c>
      <c r="O1835" s="213">
        <v>108</v>
      </c>
      <c r="P1835" s="108">
        <v>4</v>
      </c>
      <c r="Q1835" s="108">
        <v>3.33333333333333</v>
      </c>
      <c r="R1835" s="108">
        <v>-1.8</v>
      </c>
      <c r="S1835" s="108">
        <v>-1.14285714285714</v>
      </c>
      <c r="T1835" s="108">
        <v>0</v>
      </c>
      <c r="U1835" s="116">
        <v>1</v>
      </c>
      <c r="V1835" s="108">
        <v>0.8</v>
      </c>
      <c r="W1835" s="108">
        <v>0.142857142857143</v>
      </c>
    </row>
    <row r="1836" spans="1:23">
      <c r="A1836" s="103">
        <v>45095</v>
      </c>
      <c r="B1836" s="104" t="s">
        <v>24</v>
      </c>
      <c r="C1836" s="218">
        <v>2606</v>
      </c>
      <c r="D1836" s="218"/>
      <c r="E1836" s="217">
        <v>102</v>
      </c>
      <c r="F1836" s="106">
        <v>0.0391404451266309</v>
      </c>
      <c r="G1836" s="107">
        <v>44</v>
      </c>
      <c r="H1836" s="106">
        <v>0.431372549019608</v>
      </c>
      <c r="I1836" s="106"/>
      <c r="J1836" s="106"/>
      <c r="K1836" s="106"/>
      <c r="L1836" s="213">
        <v>-374</v>
      </c>
      <c r="M1836" s="213">
        <v>-641.333333333333</v>
      </c>
      <c r="N1836" s="213">
        <v>-931.4</v>
      </c>
      <c r="O1836" s="213">
        <v>-1637.42857142857</v>
      </c>
      <c r="P1836" s="115">
        <v>-9</v>
      </c>
      <c r="Q1836" s="115">
        <v>-14.3333333333333</v>
      </c>
      <c r="R1836" s="115">
        <v>-27.2</v>
      </c>
      <c r="S1836" s="115">
        <v>-70.8571428571429</v>
      </c>
      <c r="T1836" s="115">
        <v>4</v>
      </c>
      <c r="U1836" s="115">
        <v>4.66666666666666</v>
      </c>
      <c r="V1836" s="115">
        <v>5.6</v>
      </c>
      <c r="W1836" s="115">
        <v>-7.85714285714285</v>
      </c>
    </row>
    <row r="1837" spans="1:23">
      <c r="A1837" s="103">
        <v>45095</v>
      </c>
      <c r="B1837" s="104" t="s">
        <v>25</v>
      </c>
      <c r="C1837" s="218">
        <v>3084</v>
      </c>
      <c r="D1837" s="218"/>
      <c r="E1837" s="217">
        <v>58</v>
      </c>
      <c r="F1837" s="106">
        <v>0.0188067444876783</v>
      </c>
      <c r="G1837" s="107">
        <v>20</v>
      </c>
      <c r="H1837" s="106">
        <v>0.344827586206897</v>
      </c>
      <c r="I1837" s="106"/>
      <c r="J1837" s="106"/>
      <c r="K1837" s="106"/>
      <c r="L1837" s="213">
        <v>37</v>
      </c>
      <c r="M1837" s="213">
        <v>142</v>
      </c>
      <c r="N1837" s="213">
        <v>237.4</v>
      </c>
      <c r="O1837" s="213">
        <v>96.4285714285716</v>
      </c>
      <c r="P1837" s="116">
        <v>-12</v>
      </c>
      <c r="Q1837" s="115">
        <v>-13</v>
      </c>
      <c r="R1837" s="115">
        <v>-15.8</v>
      </c>
      <c r="S1837" s="115">
        <v>-22</v>
      </c>
      <c r="T1837" s="108">
        <v>-8</v>
      </c>
      <c r="U1837" s="108">
        <v>-3</v>
      </c>
      <c r="V1837" s="108">
        <v>-4.2</v>
      </c>
      <c r="W1837" s="108">
        <v>-7.85714285714286</v>
      </c>
    </row>
    <row r="1838" spans="1:23">
      <c r="A1838" s="103">
        <v>45095</v>
      </c>
      <c r="B1838" s="104" t="s">
        <v>26</v>
      </c>
      <c r="C1838" s="218">
        <v>2</v>
      </c>
      <c r="D1838" s="218"/>
      <c r="E1838" s="217">
        <v>1</v>
      </c>
      <c r="F1838" s="106">
        <v>0.5</v>
      </c>
      <c r="G1838" s="107">
        <v>3</v>
      </c>
      <c r="H1838" s="106">
        <v>3</v>
      </c>
      <c r="I1838" s="106"/>
      <c r="J1838" s="106"/>
      <c r="K1838" s="106"/>
      <c r="L1838" s="213">
        <v>-5</v>
      </c>
      <c r="M1838" s="213">
        <v>-943.333333333333</v>
      </c>
      <c r="N1838" s="213">
        <v>-1134.6</v>
      </c>
      <c r="O1838" s="213">
        <v>-1229.57142857143</v>
      </c>
      <c r="P1838" s="108">
        <v>1</v>
      </c>
      <c r="Q1838" s="108">
        <v>0</v>
      </c>
      <c r="R1838" s="108">
        <v>0</v>
      </c>
      <c r="S1838" s="108">
        <v>0.142857142857143</v>
      </c>
      <c r="T1838" s="108">
        <v>3</v>
      </c>
      <c r="U1838" s="108">
        <v>2.66666666666667</v>
      </c>
      <c r="V1838" s="108">
        <v>2.2</v>
      </c>
      <c r="W1838" s="108">
        <v>2</v>
      </c>
    </row>
    <row r="1839" spans="1:23">
      <c r="A1839" s="103">
        <v>45095</v>
      </c>
      <c r="B1839" s="104" t="s">
        <v>27</v>
      </c>
      <c r="C1839" s="218">
        <v>2981</v>
      </c>
      <c r="D1839" s="218"/>
      <c r="E1839" s="217">
        <v>40</v>
      </c>
      <c r="F1839" s="106">
        <v>0.0134183160013418</v>
      </c>
      <c r="G1839" s="107">
        <v>8</v>
      </c>
      <c r="H1839" s="106">
        <v>0.2</v>
      </c>
      <c r="I1839" s="106"/>
      <c r="J1839" s="106"/>
      <c r="K1839" s="106"/>
      <c r="L1839" s="213">
        <v>83</v>
      </c>
      <c r="M1839" s="213">
        <v>219</v>
      </c>
      <c r="N1839" s="213">
        <v>131.6</v>
      </c>
      <c r="O1839" s="213">
        <v>51</v>
      </c>
      <c r="P1839" s="108">
        <v>-6</v>
      </c>
      <c r="Q1839" s="108">
        <v>-8.33333333333334</v>
      </c>
      <c r="R1839" s="108">
        <v>-8.6</v>
      </c>
      <c r="S1839" s="108">
        <v>-8.71428571428572</v>
      </c>
      <c r="T1839" s="108">
        <v>-2</v>
      </c>
      <c r="U1839" s="108">
        <v>-5.66666666666667</v>
      </c>
      <c r="V1839" s="108">
        <v>-3.6</v>
      </c>
      <c r="W1839" s="108">
        <v>-3.42857142857143</v>
      </c>
    </row>
    <row r="1840" spans="1:23">
      <c r="A1840" s="103">
        <v>45095</v>
      </c>
      <c r="B1840" s="104" t="s">
        <v>28</v>
      </c>
      <c r="C1840" s="145">
        <v>0</v>
      </c>
      <c r="D1840" s="145"/>
      <c r="E1840" s="104">
        <v>0</v>
      </c>
      <c r="F1840" s="106">
        <v>0</v>
      </c>
      <c r="G1840" s="107">
        <v>0</v>
      </c>
      <c r="H1840" s="106">
        <v>0</v>
      </c>
      <c r="I1840" s="106"/>
      <c r="J1840" s="106"/>
      <c r="K1840" s="106"/>
      <c r="L1840" s="213">
        <v>0</v>
      </c>
      <c r="M1840" s="213">
        <v>0</v>
      </c>
      <c r="N1840" s="213">
        <v>0</v>
      </c>
      <c r="O1840" s="213">
        <v>0</v>
      </c>
      <c r="P1840" s="108">
        <v>0</v>
      </c>
      <c r="Q1840" s="108">
        <v>0</v>
      </c>
      <c r="R1840" s="108">
        <v>0</v>
      </c>
      <c r="S1840" s="108">
        <v>0</v>
      </c>
      <c r="T1840" s="108">
        <v>0</v>
      </c>
      <c r="U1840" s="108">
        <v>0</v>
      </c>
      <c r="V1840" s="108">
        <v>0</v>
      </c>
      <c r="W1840" s="108">
        <v>0</v>
      </c>
    </row>
    <row r="1841" spans="1:23">
      <c r="A1841" s="103">
        <v>45095</v>
      </c>
      <c r="B1841" s="104" t="s">
        <v>29</v>
      </c>
      <c r="C1841" s="145">
        <v>0</v>
      </c>
      <c r="D1841" s="145"/>
      <c r="E1841" s="104">
        <v>0</v>
      </c>
      <c r="F1841" s="106">
        <v>0</v>
      </c>
      <c r="G1841" s="107">
        <v>0</v>
      </c>
      <c r="H1841" s="106">
        <v>0</v>
      </c>
      <c r="I1841" s="106"/>
      <c r="J1841" s="106"/>
      <c r="K1841" s="106"/>
      <c r="L1841" s="213">
        <v>0</v>
      </c>
      <c r="M1841" s="213">
        <v>0</v>
      </c>
      <c r="N1841" s="213">
        <v>0</v>
      </c>
      <c r="O1841" s="213">
        <v>0</v>
      </c>
      <c r="P1841" s="108">
        <v>0</v>
      </c>
      <c r="Q1841" s="108">
        <v>0</v>
      </c>
      <c r="R1841" s="108">
        <v>0</v>
      </c>
      <c r="S1841" s="108">
        <v>0</v>
      </c>
      <c r="T1841" s="108">
        <v>0</v>
      </c>
      <c r="U1841" s="108">
        <v>0</v>
      </c>
      <c r="V1841" s="108">
        <v>0</v>
      </c>
      <c r="W1841" s="108">
        <v>0</v>
      </c>
    </row>
    <row r="1842" spans="1:23">
      <c r="A1842" s="103">
        <v>45095</v>
      </c>
      <c r="B1842" s="104" t="s">
        <v>30</v>
      </c>
      <c r="C1842" s="145">
        <v>0</v>
      </c>
      <c r="D1842" s="145"/>
      <c r="E1842" s="104">
        <v>0</v>
      </c>
      <c r="F1842" s="106">
        <v>0</v>
      </c>
      <c r="G1842" s="107">
        <v>0</v>
      </c>
      <c r="H1842" s="106">
        <v>0</v>
      </c>
      <c r="I1842" s="106"/>
      <c r="J1842" s="106"/>
      <c r="K1842" s="106"/>
      <c r="L1842" s="213">
        <v>0</v>
      </c>
      <c r="M1842" s="213">
        <v>0</v>
      </c>
      <c r="N1842" s="213">
        <v>0</v>
      </c>
      <c r="O1842" s="213">
        <v>0</v>
      </c>
      <c r="P1842" s="108">
        <v>0</v>
      </c>
      <c r="Q1842" s="108">
        <v>0</v>
      </c>
      <c r="R1842" s="108">
        <v>0</v>
      </c>
      <c r="S1842" s="108">
        <v>0</v>
      </c>
      <c r="T1842" s="108">
        <v>0</v>
      </c>
      <c r="U1842" s="108">
        <v>0</v>
      </c>
      <c r="V1842" s="108">
        <v>0</v>
      </c>
      <c r="W1842" s="108">
        <v>0</v>
      </c>
    </row>
    <row r="1843" spans="1:23">
      <c r="A1843" s="103">
        <v>45095</v>
      </c>
      <c r="B1843" s="104" t="s">
        <v>31</v>
      </c>
      <c r="C1843" s="145">
        <v>0</v>
      </c>
      <c r="D1843" s="145"/>
      <c r="E1843" s="104">
        <v>0</v>
      </c>
      <c r="F1843" s="106">
        <v>0</v>
      </c>
      <c r="G1843" s="107">
        <v>0</v>
      </c>
      <c r="H1843" s="106">
        <v>0</v>
      </c>
      <c r="I1843" s="106"/>
      <c r="J1843" s="106"/>
      <c r="K1843" s="106"/>
      <c r="L1843" s="213">
        <v>0</v>
      </c>
      <c r="M1843" s="213">
        <v>0</v>
      </c>
      <c r="N1843" s="213">
        <v>0</v>
      </c>
      <c r="O1843" s="213">
        <v>0</v>
      </c>
      <c r="P1843" s="108">
        <v>0</v>
      </c>
      <c r="Q1843" s="108">
        <v>0</v>
      </c>
      <c r="R1843" s="108">
        <v>0</v>
      </c>
      <c r="S1843" s="108">
        <v>0</v>
      </c>
      <c r="T1843" s="108">
        <v>0</v>
      </c>
      <c r="U1843" s="108">
        <v>0</v>
      </c>
      <c r="V1843" s="108">
        <v>0</v>
      </c>
      <c r="W1843" s="108">
        <v>0</v>
      </c>
    </row>
    <row r="1844" spans="1:23">
      <c r="A1844" s="103">
        <v>45095</v>
      </c>
      <c r="B1844" s="104" t="s">
        <v>32</v>
      </c>
      <c r="C1844" s="145">
        <v>0</v>
      </c>
      <c r="D1844" s="145"/>
      <c r="E1844" s="104">
        <v>0</v>
      </c>
      <c r="F1844" s="106">
        <v>0</v>
      </c>
      <c r="G1844" s="107">
        <v>0</v>
      </c>
      <c r="H1844" s="106">
        <v>0</v>
      </c>
      <c r="I1844" s="106"/>
      <c r="J1844" s="106"/>
      <c r="K1844" s="106"/>
      <c r="L1844" s="213">
        <v>0</v>
      </c>
      <c r="M1844" s="213">
        <v>0</v>
      </c>
      <c r="N1844" s="213">
        <v>0</v>
      </c>
      <c r="O1844" s="213">
        <v>0</v>
      </c>
      <c r="P1844" s="108">
        <v>0</v>
      </c>
      <c r="Q1844" s="108">
        <v>0</v>
      </c>
      <c r="R1844" s="108">
        <v>0</v>
      </c>
      <c r="S1844" s="108">
        <v>0</v>
      </c>
      <c r="T1844" s="108">
        <v>0</v>
      </c>
      <c r="U1844" s="108">
        <v>0</v>
      </c>
      <c r="V1844" s="108">
        <v>0</v>
      </c>
      <c r="W1844" s="108">
        <v>0</v>
      </c>
    </row>
    <row r="1845" spans="1:23">
      <c r="A1845" s="103">
        <v>45095</v>
      </c>
      <c r="B1845" s="104" t="s">
        <v>33</v>
      </c>
      <c r="C1845" s="145">
        <v>0</v>
      </c>
      <c r="D1845" s="145"/>
      <c r="E1845" s="104">
        <v>0</v>
      </c>
      <c r="F1845" s="106">
        <v>0</v>
      </c>
      <c r="G1845" s="107">
        <v>0</v>
      </c>
      <c r="H1845" s="106">
        <v>0</v>
      </c>
      <c r="I1845" s="106"/>
      <c r="J1845" s="106"/>
      <c r="K1845" s="106"/>
      <c r="L1845" s="213">
        <v>0</v>
      </c>
      <c r="M1845" s="213">
        <v>0</v>
      </c>
      <c r="N1845" s="213">
        <v>0</v>
      </c>
      <c r="O1845" s="213">
        <v>0</v>
      </c>
      <c r="P1845" s="108">
        <v>0</v>
      </c>
      <c r="Q1845" s="108">
        <v>0</v>
      </c>
      <c r="R1845" s="108">
        <v>0</v>
      </c>
      <c r="S1845" s="108">
        <v>0</v>
      </c>
      <c r="T1845" s="108">
        <v>0</v>
      </c>
      <c r="U1845" s="108">
        <v>0</v>
      </c>
      <c r="V1845" s="108">
        <v>0</v>
      </c>
      <c r="W1845" s="108">
        <v>0</v>
      </c>
    </row>
    <row r="1846" spans="1:23">
      <c r="A1846" s="103">
        <v>45095</v>
      </c>
      <c r="B1846" s="104" t="s">
        <v>34</v>
      </c>
      <c r="C1846" s="145">
        <v>0</v>
      </c>
      <c r="D1846" s="145"/>
      <c r="E1846" s="104">
        <v>0</v>
      </c>
      <c r="F1846" s="106">
        <v>0</v>
      </c>
      <c r="G1846" s="107">
        <v>0</v>
      </c>
      <c r="H1846" s="106">
        <v>0</v>
      </c>
      <c r="I1846" s="106"/>
      <c r="J1846" s="106"/>
      <c r="K1846" s="106"/>
      <c r="L1846" s="213">
        <v>0</v>
      </c>
      <c r="M1846" s="213">
        <v>0</v>
      </c>
      <c r="N1846" s="213">
        <v>0</v>
      </c>
      <c r="O1846" s="213">
        <v>0</v>
      </c>
      <c r="P1846" s="108">
        <v>0</v>
      </c>
      <c r="Q1846" s="108">
        <v>0</v>
      </c>
      <c r="R1846" s="108">
        <v>0</v>
      </c>
      <c r="S1846" s="108">
        <v>0</v>
      </c>
      <c r="T1846" s="108">
        <v>0</v>
      </c>
      <c r="U1846" s="108">
        <v>0</v>
      </c>
      <c r="V1846" s="108">
        <v>0</v>
      </c>
      <c r="W1846" s="108">
        <v>0</v>
      </c>
    </row>
    <row r="1847" spans="1:23">
      <c r="A1847" s="103">
        <v>45095</v>
      </c>
      <c r="B1847" s="104" t="s">
        <v>35</v>
      </c>
      <c r="C1847" s="145">
        <v>0</v>
      </c>
      <c r="D1847" s="145"/>
      <c r="E1847" s="104">
        <v>0</v>
      </c>
      <c r="F1847" s="106">
        <v>0</v>
      </c>
      <c r="G1847" s="107">
        <v>0</v>
      </c>
      <c r="H1847" s="106">
        <v>0</v>
      </c>
      <c r="I1847" s="106"/>
      <c r="J1847" s="106"/>
      <c r="K1847" s="106"/>
      <c r="L1847" s="213">
        <v>0</v>
      </c>
      <c r="M1847" s="213">
        <v>0</v>
      </c>
      <c r="N1847" s="213">
        <v>0</v>
      </c>
      <c r="O1847" s="213">
        <v>0</v>
      </c>
      <c r="P1847" s="108">
        <v>0</v>
      </c>
      <c r="Q1847" s="108">
        <v>0</v>
      </c>
      <c r="R1847" s="108">
        <v>0</v>
      </c>
      <c r="S1847" s="108">
        <v>0</v>
      </c>
      <c r="T1847" s="108">
        <v>0</v>
      </c>
      <c r="U1847" s="108">
        <v>0</v>
      </c>
      <c r="V1847" s="108">
        <v>0</v>
      </c>
      <c r="W1847" s="108">
        <v>0</v>
      </c>
    </row>
    <row r="1848" spans="1:23">
      <c r="A1848" s="103">
        <v>45095</v>
      </c>
      <c r="B1848" s="104" t="s">
        <v>36</v>
      </c>
      <c r="C1848" s="145">
        <v>0</v>
      </c>
      <c r="D1848" s="145"/>
      <c r="E1848" s="104">
        <v>0</v>
      </c>
      <c r="F1848" s="106">
        <v>0</v>
      </c>
      <c r="G1848" s="107">
        <v>0</v>
      </c>
      <c r="H1848" s="106">
        <v>0</v>
      </c>
      <c r="I1848" s="106"/>
      <c r="J1848" s="106"/>
      <c r="K1848" s="106"/>
      <c r="L1848" s="213">
        <v>0</v>
      </c>
      <c r="M1848" s="213">
        <v>0</v>
      </c>
      <c r="N1848" s="213">
        <v>0</v>
      </c>
      <c r="O1848" s="213">
        <v>0</v>
      </c>
      <c r="P1848" s="108">
        <v>0</v>
      </c>
      <c r="Q1848" s="108">
        <v>0</v>
      </c>
      <c r="R1848" s="108">
        <v>0</v>
      </c>
      <c r="S1848" s="108">
        <v>0</v>
      </c>
      <c r="T1848" s="108">
        <v>0</v>
      </c>
      <c r="U1848" s="108">
        <v>0</v>
      </c>
      <c r="V1848" s="108">
        <v>0</v>
      </c>
      <c r="W1848" s="108">
        <v>0</v>
      </c>
    </row>
    <row r="1849" spans="1:23">
      <c r="A1849" s="103">
        <v>45095</v>
      </c>
      <c r="B1849" s="104" t="s">
        <v>37</v>
      </c>
      <c r="C1849" s="145">
        <v>0</v>
      </c>
      <c r="D1849" s="145"/>
      <c r="E1849" s="104">
        <v>0</v>
      </c>
      <c r="F1849" s="106">
        <v>0</v>
      </c>
      <c r="G1849" s="107">
        <v>0</v>
      </c>
      <c r="H1849" s="106">
        <v>0</v>
      </c>
      <c r="I1849" s="106"/>
      <c r="J1849" s="106"/>
      <c r="K1849" s="106"/>
      <c r="L1849" s="213">
        <v>0</v>
      </c>
      <c r="M1849" s="213">
        <v>0</v>
      </c>
      <c r="N1849" s="213">
        <v>0</v>
      </c>
      <c r="O1849" s="213">
        <v>0</v>
      </c>
      <c r="P1849" s="108">
        <v>0</v>
      </c>
      <c r="Q1849" s="108">
        <v>-0.333333333333333</v>
      </c>
      <c r="R1849" s="108">
        <v>-0.4</v>
      </c>
      <c r="S1849" s="108">
        <v>-0.285714285714286</v>
      </c>
      <c r="T1849" s="108">
        <v>0</v>
      </c>
      <c r="U1849" s="108">
        <v>0</v>
      </c>
      <c r="V1849" s="108">
        <v>0</v>
      </c>
      <c r="W1849" s="108">
        <v>0</v>
      </c>
    </row>
    <row r="1850" spans="1:23">
      <c r="A1850" s="103">
        <v>45095</v>
      </c>
      <c r="B1850" s="104" t="s">
        <v>38</v>
      </c>
      <c r="C1850" s="145">
        <v>0</v>
      </c>
      <c r="D1850" s="145"/>
      <c r="E1850" s="104">
        <v>0</v>
      </c>
      <c r="F1850" s="106">
        <v>0</v>
      </c>
      <c r="G1850" s="107">
        <v>0</v>
      </c>
      <c r="H1850" s="106">
        <v>0</v>
      </c>
      <c r="I1850" s="106"/>
      <c r="J1850" s="106"/>
      <c r="K1850" s="106"/>
      <c r="L1850" s="213">
        <v>0</v>
      </c>
      <c r="M1850" s="213">
        <v>0</v>
      </c>
      <c r="N1850" s="213">
        <v>0</v>
      </c>
      <c r="O1850" s="213">
        <v>0</v>
      </c>
      <c r="P1850" s="108">
        <v>0</v>
      </c>
      <c r="Q1850" s="108">
        <v>0</v>
      </c>
      <c r="R1850" s="108">
        <v>0</v>
      </c>
      <c r="S1850" s="108">
        <v>0</v>
      </c>
      <c r="T1850" s="108">
        <v>0</v>
      </c>
      <c r="U1850" s="108">
        <v>0</v>
      </c>
      <c r="V1850" s="108">
        <v>0</v>
      </c>
      <c r="W1850" s="108">
        <v>0</v>
      </c>
    </row>
    <row r="1851" spans="1:23">
      <c r="A1851" s="103">
        <v>45095</v>
      </c>
      <c r="B1851" s="111" t="s">
        <v>39</v>
      </c>
      <c r="C1851" s="112">
        <v>13885</v>
      </c>
      <c r="D1851" s="112"/>
      <c r="E1851" s="112">
        <v>318</v>
      </c>
      <c r="F1851" s="113">
        <v>0.0229024126755492</v>
      </c>
      <c r="G1851" s="112">
        <v>124</v>
      </c>
      <c r="H1851" s="113">
        <v>0.389937106918239</v>
      </c>
      <c r="I1851" s="113"/>
      <c r="J1851" s="113"/>
      <c r="K1851" s="113"/>
      <c r="L1851" s="213"/>
      <c r="M1851" s="213"/>
      <c r="N1851" s="213"/>
      <c r="O1851" s="213"/>
      <c r="P1851" s="108"/>
      <c r="Q1851" s="108"/>
      <c r="R1851" s="108"/>
      <c r="S1851" s="108"/>
      <c r="T1851" s="108"/>
      <c r="U1851" s="108"/>
      <c r="V1851" s="108"/>
      <c r="W1851" s="108"/>
    </row>
    <row r="1852" spans="1:12">
      <c r="A1852" s="103">
        <v>45096</v>
      </c>
      <c r="B1852" s="104" t="s">
        <v>17</v>
      </c>
      <c r="C1852" s="216">
        <v>2</v>
      </c>
      <c r="D1852" s="216"/>
      <c r="E1852" s="217">
        <v>39</v>
      </c>
      <c r="F1852" s="106">
        <v>19.5</v>
      </c>
      <c r="G1852" s="107">
        <v>13</v>
      </c>
      <c r="H1852" s="106">
        <v>0.333333333333333</v>
      </c>
      <c r="I1852" s="106"/>
      <c r="J1852" s="106"/>
      <c r="K1852" s="106"/>
      <c r="L1852" s="106"/>
    </row>
    <row r="1853" spans="1:12">
      <c r="A1853" s="103">
        <v>45096</v>
      </c>
      <c r="B1853" s="104" t="s">
        <v>19</v>
      </c>
      <c r="C1853" s="216">
        <v>505</v>
      </c>
      <c r="D1853" s="216"/>
      <c r="E1853" s="217">
        <v>13</v>
      </c>
      <c r="F1853" s="106">
        <v>0.0257425742574257</v>
      </c>
      <c r="G1853" s="107">
        <v>1</v>
      </c>
      <c r="H1853" s="106">
        <v>0.0769230769230769</v>
      </c>
      <c r="I1853" s="106"/>
      <c r="J1853" s="106"/>
      <c r="K1853" s="106"/>
      <c r="L1853" s="106"/>
    </row>
    <row r="1854" spans="1:12">
      <c r="A1854" s="103">
        <v>45096</v>
      </c>
      <c r="B1854" s="104" t="s">
        <v>21</v>
      </c>
      <c r="C1854" s="218">
        <v>225</v>
      </c>
      <c r="D1854" s="218"/>
      <c r="E1854" s="217">
        <v>8</v>
      </c>
      <c r="F1854" s="106">
        <v>0.0355555555555556</v>
      </c>
      <c r="G1854" s="107">
        <v>3</v>
      </c>
      <c r="H1854" s="106">
        <v>0.375</v>
      </c>
      <c r="I1854" s="106"/>
      <c r="J1854" s="106"/>
      <c r="K1854" s="106"/>
      <c r="L1854" s="106"/>
    </row>
    <row r="1855" spans="1:12">
      <c r="A1855" s="103">
        <v>45096</v>
      </c>
      <c r="B1855" s="104" t="s">
        <v>22</v>
      </c>
      <c r="C1855" s="218">
        <v>2446</v>
      </c>
      <c r="D1855" s="218"/>
      <c r="E1855" s="217">
        <v>42</v>
      </c>
      <c r="F1855" s="106">
        <v>0.0171708912510221</v>
      </c>
      <c r="G1855" s="107">
        <v>15</v>
      </c>
      <c r="H1855" s="106">
        <v>0.357142857142857</v>
      </c>
      <c r="I1855" s="106"/>
      <c r="J1855" s="106"/>
      <c r="K1855" s="106"/>
      <c r="L1855" s="106"/>
    </row>
    <row r="1856" spans="1:12">
      <c r="A1856" s="103">
        <v>45096</v>
      </c>
      <c r="B1856" s="104" t="s">
        <v>23</v>
      </c>
      <c r="C1856" s="218">
        <v>1726</v>
      </c>
      <c r="D1856" s="218"/>
      <c r="E1856" s="217">
        <v>4</v>
      </c>
      <c r="F1856" s="106">
        <v>0.00231749710312862</v>
      </c>
      <c r="G1856" s="107">
        <v>2</v>
      </c>
      <c r="H1856" s="106">
        <v>0.5</v>
      </c>
      <c r="I1856" s="106"/>
      <c r="J1856" s="106"/>
      <c r="K1856" s="106"/>
      <c r="L1856" s="106"/>
    </row>
    <row r="1857" spans="1:12">
      <c r="A1857" s="103">
        <v>45096</v>
      </c>
      <c r="B1857" s="104" t="s">
        <v>24</v>
      </c>
      <c r="C1857" s="218">
        <v>2024</v>
      </c>
      <c r="D1857" s="218"/>
      <c r="E1857" s="217">
        <v>75</v>
      </c>
      <c r="F1857" s="106">
        <v>0.0370553359683794</v>
      </c>
      <c r="G1857" s="107">
        <v>17</v>
      </c>
      <c r="H1857" s="106">
        <v>0.226666666666667</v>
      </c>
      <c r="I1857" s="106"/>
      <c r="J1857" s="106"/>
      <c r="K1857" s="106"/>
      <c r="L1857" s="106"/>
    </row>
    <row r="1858" spans="1:12">
      <c r="A1858" s="103">
        <v>45096</v>
      </c>
      <c r="B1858" s="104" t="s">
        <v>25</v>
      </c>
      <c r="C1858" s="218">
        <v>2881</v>
      </c>
      <c r="D1858" s="218"/>
      <c r="E1858" s="217">
        <v>56</v>
      </c>
      <c r="F1858" s="106">
        <v>0.0194376952447067</v>
      </c>
      <c r="G1858" s="107">
        <v>18</v>
      </c>
      <c r="H1858" s="106">
        <v>0.321428571428571</v>
      </c>
      <c r="I1858" s="106"/>
      <c r="J1858" s="106"/>
      <c r="K1858" s="106"/>
      <c r="L1858" s="106"/>
    </row>
    <row r="1859" spans="1:12">
      <c r="A1859" s="103">
        <v>45096</v>
      </c>
      <c r="B1859" s="104" t="s">
        <v>26</v>
      </c>
      <c r="C1859" s="218">
        <v>1</v>
      </c>
      <c r="D1859" s="218"/>
      <c r="E1859" s="217">
        <v>0</v>
      </c>
      <c r="F1859" s="106">
        <v>0</v>
      </c>
      <c r="G1859" s="107">
        <v>1</v>
      </c>
      <c r="H1859" s="106">
        <v>1</v>
      </c>
      <c r="I1859" s="106"/>
      <c r="J1859" s="106"/>
      <c r="K1859" s="106"/>
      <c r="L1859" s="106"/>
    </row>
    <row r="1860" spans="1:12">
      <c r="A1860" s="103">
        <v>45096</v>
      </c>
      <c r="B1860" s="104" t="s">
        <v>27</v>
      </c>
      <c r="C1860" s="218">
        <v>3254</v>
      </c>
      <c r="D1860" s="218"/>
      <c r="E1860" s="217">
        <v>58</v>
      </c>
      <c r="F1860" s="106">
        <v>0.0178242163491088</v>
      </c>
      <c r="G1860" s="107">
        <v>14</v>
      </c>
      <c r="H1860" s="106">
        <v>0.241379310344828</v>
      </c>
      <c r="I1860" s="106"/>
      <c r="J1860" s="106"/>
      <c r="K1860" s="106"/>
      <c r="L1860" s="106"/>
    </row>
    <row r="1861" spans="1:12">
      <c r="A1861" s="103">
        <v>45096</v>
      </c>
      <c r="B1861" s="104" t="s">
        <v>28</v>
      </c>
      <c r="C1861" s="145">
        <v>0</v>
      </c>
      <c r="D1861" s="145"/>
      <c r="E1861" s="104">
        <v>0</v>
      </c>
      <c r="F1861" s="106">
        <v>0</v>
      </c>
      <c r="G1861" s="107">
        <v>0</v>
      </c>
      <c r="H1861" s="106">
        <v>0</v>
      </c>
      <c r="I1861" s="106"/>
      <c r="J1861" s="106"/>
      <c r="K1861" s="106"/>
      <c r="L1861" s="106"/>
    </row>
    <row r="1862" spans="1:12">
      <c r="A1862" s="103">
        <v>45096</v>
      </c>
      <c r="B1862" s="104" t="s">
        <v>29</v>
      </c>
      <c r="C1862" s="145">
        <v>0</v>
      </c>
      <c r="D1862" s="145"/>
      <c r="E1862" s="104">
        <v>0</v>
      </c>
      <c r="F1862" s="106">
        <v>0</v>
      </c>
      <c r="G1862" s="107">
        <v>0</v>
      </c>
      <c r="H1862" s="106">
        <v>0</v>
      </c>
      <c r="I1862" s="106"/>
      <c r="J1862" s="106"/>
      <c r="K1862" s="106"/>
      <c r="L1862" s="106"/>
    </row>
    <row r="1863" spans="1:12">
      <c r="A1863" s="103">
        <v>45096</v>
      </c>
      <c r="B1863" s="104" t="s">
        <v>30</v>
      </c>
      <c r="C1863" s="145">
        <v>0</v>
      </c>
      <c r="D1863" s="145"/>
      <c r="E1863" s="104">
        <v>0</v>
      </c>
      <c r="F1863" s="106">
        <v>0</v>
      </c>
      <c r="G1863" s="107">
        <v>0</v>
      </c>
      <c r="H1863" s="106">
        <v>0</v>
      </c>
      <c r="I1863" s="106"/>
      <c r="J1863" s="106"/>
      <c r="K1863" s="106"/>
      <c r="L1863" s="106"/>
    </row>
    <row r="1864" spans="1:12">
      <c r="A1864" s="103">
        <v>45096</v>
      </c>
      <c r="B1864" s="104" t="s">
        <v>31</v>
      </c>
      <c r="C1864" s="145">
        <v>0</v>
      </c>
      <c r="D1864" s="145"/>
      <c r="E1864" s="104">
        <v>0</v>
      </c>
      <c r="F1864" s="106">
        <v>0</v>
      </c>
      <c r="G1864" s="107">
        <v>0</v>
      </c>
      <c r="H1864" s="106">
        <v>0</v>
      </c>
      <c r="I1864" s="106"/>
      <c r="J1864" s="106"/>
      <c r="K1864" s="106"/>
      <c r="L1864" s="106"/>
    </row>
    <row r="1865" spans="1:12">
      <c r="A1865" s="103">
        <v>45096</v>
      </c>
      <c r="B1865" s="104" t="s">
        <v>32</v>
      </c>
      <c r="C1865" s="145">
        <v>0</v>
      </c>
      <c r="D1865" s="145"/>
      <c r="E1865" s="104">
        <v>0</v>
      </c>
      <c r="F1865" s="106">
        <v>0</v>
      </c>
      <c r="G1865" s="107">
        <v>0</v>
      </c>
      <c r="H1865" s="106">
        <v>0</v>
      </c>
      <c r="I1865" s="106"/>
      <c r="J1865" s="106"/>
      <c r="K1865" s="106"/>
      <c r="L1865" s="106"/>
    </row>
    <row r="1866" spans="1:12">
      <c r="A1866" s="103">
        <v>45096</v>
      </c>
      <c r="B1866" s="104" t="s">
        <v>33</v>
      </c>
      <c r="C1866" s="145">
        <v>0</v>
      </c>
      <c r="D1866" s="145"/>
      <c r="E1866" s="104">
        <v>0</v>
      </c>
      <c r="F1866" s="106">
        <v>0</v>
      </c>
      <c r="G1866" s="107">
        <v>0</v>
      </c>
      <c r="H1866" s="106">
        <v>0</v>
      </c>
      <c r="I1866" s="106"/>
      <c r="J1866" s="106"/>
      <c r="K1866" s="106"/>
      <c r="L1866" s="106"/>
    </row>
    <row r="1867" spans="1:12">
      <c r="A1867" s="103">
        <v>45096</v>
      </c>
      <c r="B1867" s="104" t="s">
        <v>34</v>
      </c>
      <c r="C1867" s="145">
        <v>0</v>
      </c>
      <c r="D1867" s="145"/>
      <c r="E1867" s="104">
        <v>0</v>
      </c>
      <c r="F1867" s="106">
        <v>0</v>
      </c>
      <c r="G1867" s="107">
        <v>0</v>
      </c>
      <c r="H1867" s="106">
        <v>0</v>
      </c>
      <c r="I1867" s="106"/>
      <c r="J1867" s="106"/>
      <c r="K1867" s="106"/>
      <c r="L1867" s="106"/>
    </row>
    <row r="1868" spans="1:12">
      <c r="A1868" s="103">
        <v>45096</v>
      </c>
      <c r="B1868" s="104" t="s">
        <v>35</v>
      </c>
      <c r="C1868" s="145">
        <v>0</v>
      </c>
      <c r="D1868" s="145"/>
      <c r="E1868" s="104">
        <v>0</v>
      </c>
      <c r="F1868" s="106">
        <v>0</v>
      </c>
      <c r="G1868" s="107">
        <v>0</v>
      </c>
      <c r="H1868" s="106">
        <v>0</v>
      </c>
      <c r="I1868" s="106"/>
      <c r="J1868" s="106"/>
      <c r="K1868" s="106"/>
      <c r="L1868" s="106"/>
    </row>
    <row r="1869" spans="1:12">
      <c r="A1869" s="103">
        <v>45096</v>
      </c>
      <c r="B1869" s="104" t="s">
        <v>36</v>
      </c>
      <c r="C1869" s="145">
        <v>0</v>
      </c>
      <c r="D1869" s="145"/>
      <c r="E1869" s="104">
        <v>0</v>
      </c>
      <c r="F1869" s="106">
        <v>0</v>
      </c>
      <c r="G1869" s="107">
        <v>0</v>
      </c>
      <c r="H1869" s="106">
        <v>0</v>
      </c>
      <c r="I1869" s="106"/>
      <c r="J1869" s="106"/>
      <c r="K1869" s="106"/>
      <c r="L1869" s="106"/>
    </row>
    <row r="1870" spans="1:12">
      <c r="A1870" s="103">
        <v>45096</v>
      </c>
      <c r="B1870" s="104" t="s">
        <v>37</v>
      </c>
      <c r="C1870" s="145">
        <v>0</v>
      </c>
      <c r="D1870" s="145"/>
      <c r="E1870" s="104">
        <v>0</v>
      </c>
      <c r="F1870" s="106">
        <v>0</v>
      </c>
      <c r="G1870" s="107">
        <v>0</v>
      </c>
      <c r="H1870" s="106">
        <v>0</v>
      </c>
      <c r="I1870" s="106"/>
      <c r="J1870" s="106"/>
      <c r="K1870" s="106"/>
      <c r="L1870" s="106"/>
    </row>
    <row r="1871" spans="1:12">
      <c r="A1871" s="103">
        <v>45096</v>
      </c>
      <c r="B1871" s="104" t="s">
        <v>38</v>
      </c>
      <c r="C1871" s="145">
        <v>0</v>
      </c>
      <c r="D1871" s="145"/>
      <c r="E1871" s="104">
        <v>0</v>
      </c>
      <c r="F1871" s="106">
        <v>0</v>
      </c>
      <c r="G1871" s="107">
        <v>0</v>
      </c>
      <c r="H1871" s="106">
        <v>0</v>
      </c>
      <c r="I1871" s="106"/>
      <c r="J1871" s="106"/>
      <c r="K1871" s="106"/>
      <c r="L1871" s="106"/>
    </row>
    <row r="1872" spans="1:12">
      <c r="A1872" s="103">
        <v>45096</v>
      </c>
      <c r="B1872" s="111" t="s">
        <v>39</v>
      </c>
      <c r="C1872" s="112">
        <v>13064</v>
      </c>
      <c r="D1872" s="112"/>
      <c r="E1872" s="112">
        <v>295</v>
      </c>
      <c r="F1872" s="113">
        <v>0.0225811390079608</v>
      </c>
      <c r="G1872" s="112">
        <v>84</v>
      </c>
      <c r="H1872" s="113">
        <v>0.284745762711864</v>
      </c>
      <c r="I1872" s="113"/>
      <c r="J1872" s="113"/>
      <c r="K1872" s="113"/>
      <c r="L1872" s="113"/>
    </row>
    <row r="1873" ht="14.45" customHeight="1" spans="1:24">
      <c r="A1873" s="103">
        <v>45097</v>
      </c>
      <c r="B1873" s="104" t="s">
        <v>17</v>
      </c>
      <c r="C1873" s="216">
        <v>3</v>
      </c>
      <c r="D1873" s="216"/>
      <c r="E1873" s="217">
        <v>59</v>
      </c>
      <c r="F1873" s="106">
        <v>19.6666666666667</v>
      </c>
      <c r="G1873" s="107">
        <v>15</v>
      </c>
      <c r="H1873" s="106">
        <v>0.254237288135593</v>
      </c>
      <c r="I1873" s="104">
        <v>12</v>
      </c>
      <c r="J1873" s="106">
        <v>0.203389830508475</v>
      </c>
      <c r="K1873" s="213">
        <v>1</v>
      </c>
      <c r="L1873" s="213">
        <v>1.33333333333333</v>
      </c>
      <c r="M1873" s="213">
        <v>1</v>
      </c>
      <c r="N1873" s="213">
        <v>0.857142857142857</v>
      </c>
      <c r="O1873" s="213">
        <v>20</v>
      </c>
      <c r="P1873" s="108">
        <v>19.6666666666667</v>
      </c>
      <c r="Q1873" s="108">
        <v>23.6</v>
      </c>
      <c r="R1873" s="108">
        <v>26.1428571428571</v>
      </c>
      <c r="S1873" s="108">
        <v>2</v>
      </c>
      <c r="T1873" s="108">
        <v>3.66666666666667</v>
      </c>
      <c r="U1873" s="108">
        <v>5.6</v>
      </c>
      <c r="V1873" s="108">
        <v>6</v>
      </c>
      <c r="X1873" t="s">
        <v>18</v>
      </c>
    </row>
    <row r="1874" ht="14.45" customHeight="1" spans="1:24">
      <c r="A1874" s="103">
        <v>45097</v>
      </c>
      <c r="B1874" s="104" t="s">
        <v>19</v>
      </c>
      <c r="C1874" s="216">
        <v>466</v>
      </c>
      <c r="D1874" s="216"/>
      <c r="E1874" s="217">
        <v>20</v>
      </c>
      <c r="F1874" s="106">
        <v>0.0429184549356223</v>
      </c>
      <c r="G1874" s="107">
        <v>6</v>
      </c>
      <c r="H1874" s="106">
        <v>0.3</v>
      </c>
      <c r="I1874" s="104">
        <v>4</v>
      </c>
      <c r="J1874" s="106">
        <v>0.2</v>
      </c>
      <c r="K1874" s="213">
        <v>-39</v>
      </c>
      <c r="L1874" s="213">
        <v>-111</v>
      </c>
      <c r="M1874" s="213">
        <v>-113.8</v>
      </c>
      <c r="N1874" s="213">
        <v>-111.428571428571</v>
      </c>
      <c r="O1874" s="213">
        <v>7</v>
      </c>
      <c r="P1874" s="108">
        <v>5</v>
      </c>
      <c r="Q1874" s="108">
        <v>2</v>
      </c>
      <c r="R1874" s="108">
        <v>1.42857142857143</v>
      </c>
      <c r="S1874" s="108">
        <v>5</v>
      </c>
      <c r="T1874" s="108">
        <v>2.66666666666667</v>
      </c>
      <c r="U1874" s="108">
        <v>1</v>
      </c>
      <c r="V1874" s="115">
        <v>1.28571428571429</v>
      </c>
      <c r="W1874" s="154"/>
      <c r="X1874" s="154"/>
    </row>
    <row r="1875" ht="14.45" customHeight="1" spans="1:22">
      <c r="A1875" s="103">
        <v>45097</v>
      </c>
      <c r="B1875" s="104" t="s">
        <v>21</v>
      </c>
      <c r="C1875" s="218">
        <v>294</v>
      </c>
      <c r="D1875" s="218"/>
      <c r="E1875" s="217">
        <v>4</v>
      </c>
      <c r="F1875" s="106">
        <v>0.0136054421768707</v>
      </c>
      <c r="G1875" s="107">
        <v>2</v>
      </c>
      <c r="H1875" s="106">
        <v>0.5</v>
      </c>
      <c r="I1875" s="104">
        <v>0</v>
      </c>
      <c r="J1875" s="106">
        <v>0</v>
      </c>
      <c r="K1875" s="213">
        <v>69</v>
      </c>
      <c r="L1875" s="213">
        <v>38</v>
      </c>
      <c r="M1875" s="213">
        <v>50</v>
      </c>
      <c r="N1875" s="213">
        <v>50.4285714285714</v>
      </c>
      <c r="O1875" s="213">
        <v>-4</v>
      </c>
      <c r="P1875" s="108">
        <v>-2.33333333333333</v>
      </c>
      <c r="Q1875" s="108">
        <v>-2.2</v>
      </c>
      <c r="R1875" s="108">
        <v>-5.57142857142857</v>
      </c>
      <c r="S1875" s="108">
        <v>-1</v>
      </c>
      <c r="T1875" s="108">
        <v>-0.666666666666667</v>
      </c>
      <c r="U1875" s="108">
        <v>-0.6</v>
      </c>
      <c r="V1875" s="108">
        <v>-0.428571428571428</v>
      </c>
    </row>
    <row r="1876" ht="18.95" customHeight="1" spans="1:24">
      <c r="A1876" s="103">
        <v>45097</v>
      </c>
      <c r="B1876" s="104" t="s">
        <v>22</v>
      </c>
      <c r="C1876" s="218">
        <v>2324</v>
      </c>
      <c r="D1876" s="218"/>
      <c r="E1876" s="217">
        <v>47</v>
      </c>
      <c r="F1876" s="106">
        <v>0.020223752151463</v>
      </c>
      <c r="G1876" s="107">
        <v>17</v>
      </c>
      <c r="H1876" s="106">
        <v>0.361702127659574</v>
      </c>
      <c r="I1876" s="104">
        <v>11</v>
      </c>
      <c r="J1876" s="106">
        <v>0.234042553191489</v>
      </c>
      <c r="K1876" s="213">
        <v>-122</v>
      </c>
      <c r="L1876" s="213">
        <v>-195.666666666667</v>
      </c>
      <c r="M1876" s="213">
        <v>-318.8</v>
      </c>
      <c r="N1876" s="213">
        <v>-471.714285714286</v>
      </c>
      <c r="O1876" s="213">
        <v>5</v>
      </c>
      <c r="P1876" s="108">
        <v>-1</v>
      </c>
      <c r="Q1876" s="108">
        <v>-13.8</v>
      </c>
      <c r="R1876" s="115">
        <v>-21.7142857142857</v>
      </c>
      <c r="S1876" s="108">
        <v>2</v>
      </c>
      <c r="T1876" s="108">
        <v>-5.66666666666667</v>
      </c>
      <c r="U1876" s="108">
        <v>-8.8</v>
      </c>
      <c r="V1876" s="117">
        <v>-12</v>
      </c>
      <c r="W1876" s="154"/>
      <c r="X1876" s="154"/>
    </row>
    <row r="1877" ht="14.45" customHeight="1" spans="1:22">
      <c r="A1877" s="103">
        <v>45097</v>
      </c>
      <c r="B1877" s="104" t="s">
        <v>23</v>
      </c>
      <c r="C1877" s="218">
        <v>1788</v>
      </c>
      <c r="D1877" s="218"/>
      <c r="E1877" s="217">
        <v>11</v>
      </c>
      <c r="F1877" s="106">
        <v>0.00615212527964206</v>
      </c>
      <c r="G1877" s="107">
        <v>3</v>
      </c>
      <c r="H1877" s="106">
        <v>0.272727272727273</v>
      </c>
      <c r="I1877" s="104">
        <v>3</v>
      </c>
      <c r="J1877" s="106">
        <v>0.272727272727273</v>
      </c>
      <c r="K1877" s="213">
        <v>62</v>
      </c>
      <c r="L1877" s="213">
        <v>-56.6666666666667</v>
      </c>
      <c r="M1877" s="213">
        <v>-80.4000000000001</v>
      </c>
      <c r="N1877" s="213">
        <v>-37.8571428571429</v>
      </c>
      <c r="O1877" s="213">
        <v>7</v>
      </c>
      <c r="P1877" s="108">
        <v>5.66666666666667</v>
      </c>
      <c r="Q1877" s="108">
        <v>5.8</v>
      </c>
      <c r="R1877" s="108">
        <v>2.28571428571429</v>
      </c>
      <c r="S1877" s="108">
        <v>1</v>
      </c>
      <c r="T1877" s="116">
        <v>0.333333333333333</v>
      </c>
      <c r="U1877" s="108">
        <v>0.8</v>
      </c>
      <c r="V1877" s="108">
        <v>0.714285714285714</v>
      </c>
    </row>
    <row r="1878" ht="14.45" customHeight="1" spans="1:24">
      <c r="A1878" s="103">
        <v>45097</v>
      </c>
      <c r="B1878" s="104" t="s">
        <v>24</v>
      </c>
      <c r="C1878" s="218">
        <v>1776</v>
      </c>
      <c r="D1878" s="218"/>
      <c r="E1878" s="217">
        <v>59</v>
      </c>
      <c r="F1878" s="106">
        <v>0.0332207207207207</v>
      </c>
      <c r="G1878" s="107">
        <v>22</v>
      </c>
      <c r="H1878" s="106">
        <v>0.372881355932203</v>
      </c>
      <c r="I1878" s="104">
        <v>13</v>
      </c>
      <c r="J1878" s="106">
        <v>0.220338983050847</v>
      </c>
      <c r="K1878" s="213">
        <v>-248</v>
      </c>
      <c r="L1878" s="213">
        <v>-760.666666666667</v>
      </c>
      <c r="M1878" s="213">
        <v>-1098.4</v>
      </c>
      <c r="N1878" s="213">
        <v>-1412.14285714286</v>
      </c>
      <c r="O1878" s="219">
        <v>-16</v>
      </c>
      <c r="P1878" s="115">
        <v>-37</v>
      </c>
      <c r="Q1878" s="115">
        <v>-46.2</v>
      </c>
      <c r="R1878" s="115">
        <v>-58.5714285714286</v>
      </c>
      <c r="S1878" s="115">
        <v>5</v>
      </c>
      <c r="T1878" s="115">
        <v>-11.6666666666667</v>
      </c>
      <c r="U1878" s="115">
        <v>-13.8</v>
      </c>
      <c r="V1878" s="115">
        <v>-14.1428571428571</v>
      </c>
      <c r="W1878" s="154"/>
      <c r="X1878" s="154"/>
    </row>
    <row r="1879" ht="14.45" customHeight="1" spans="1:22">
      <c r="A1879" s="103">
        <v>45097</v>
      </c>
      <c r="B1879" s="104" t="s">
        <v>25</v>
      </c>
      <c r="C1879" s="218">
        <v>2735</v>
      </c>
      <c r="D1879" s="218"/>
      <c r="E1879" s="217">
        <v>78</v>
      </c>
      <c r="F1879" s="106">
        <v>0.0285191956124314</v>
      </c>
      <c r="G1879" s="107">
        <v>20</v>
      </c>
      <c r="H1879" s="106">
        <v>0.256410256410256</v>
      </c>
      <c r="I1879" s="104">
        <v>14</v>
      </c>
      <c r="J1879" s="106">
        <v>0.179487179487179</v>
      </c>
      <c r="K1879" s="213">
        <v>-146</v>
      </c>
      <c r="L1879" s="213">
        <v>-269</v>
      </c>
      <c r="M1879" s="213">
        <v>-223.2</v>
      </c>
      <c r="N1879" s="213">
        <v>-150.428571428572</v>
      </c>
      <c r="O1879" s="220">
        <v>22</v>
      </c>
      <c r="P1879" s="115">
        <v>16.6666666666667</v>
      </c>
      <c r="Q1879" s="115">
        <v>12.6</v>
      </c>
      <c r="R1879" s="115">
        <v>9</v>
      </c>
      <c r="S1879" s="108">
        <v>2</v>
      </c>
      <c r="T1879" s="108">
        <v>-2</v>
      </c>
      <c r="U1879" s="108">
        <v>-1.4</v>
      </c>
      <c r="V1879" s="108">
        <v>-2.71428571428572</v>
      </c>
    </row>
    <row r="1880" ht="14.45" customHeight="1" spans="1:22">
      <c r="A1880" s="103">
        <v>45097</v>
      </c>
      <c r="B1880" s="104" t="s">
        <v>26</v>
      </c>
      <c r="C1880" s="218">
        <v>2</v>
      </c>
      <c r="D1880" s="218"/>
      <c r="E1880" s="217">
        <v>0</v>
      </c>
      <c r="F1880" s="106">
        <v>0</v>
      </c>
      <c r="G1880" s="107">
        <v>0</v>
      </c>
      <c r="H1880" s="106">
        <v>0</v>
      </c>
      <c r="I1880" s="104">
        <v>0</v>
      </c>
      <c r="J1880" s="106">
        <v>0</v>
      </c>
      <c r="K1880" s="213">
        <v>1</v>
      </c>
      <c r="L1880" s="213">
        <v>-1.33333333333333</v>
      </c>
      <c r="M1880" s="213">
        <v>-565.8</v>
      </c>
      <c r="N1880" s="213">
        <v>-810.285714285714</v>
      </c>
      <c r="O1880" s="213">
        <v>0</v>
      </c>
      <c r="P1880" s="108">
        <v>-0.333333333333333</v>
      </c>
      <c r="Q1880" s="108">
        <v>-0.8</v>
      </c>
      <c r="R1880" s="108">
        <v>-0.857142857142857</v>
      </c>
      <c r="S1880" s="108">
        <v>-1</v>
      </c>
      <c r="T1880" s="108">
        <v>-1.33333333333333</v>
      </c>
      <c r="U1880" s="108">
        <v>-1</v>
      </c>
      <c r="V1880" s="108">
        <v>-1.14285714285714</v>
      </c>
    </row>
    <row r="1881" ht="14.45" customHeight="1" spans="1:22">
      <c r="A1881" s="103">
        <v>45097</v>
      </c>
      <c r="B1881" s="104" t="s">
        <v>27</v>
      </c>
      <c r="C1881" s="218">
        <v>3339</v>
      </c>
      <c r="D1881" s="218"/>
      <c r="E1881" s="217">
        <v>54</v>
      </c>
      <c r="F1881" s="106">
        <v>0.0161725067385445</v>
      </c>
      <c r="G1881" s="107">
        <v>9</v>
      </c>
      <c r="H1881" s="106">
        <v>0.166666666666667</v>
      </c>
      <c r="I1881" s="104">
        <v>9</v>
      </c>
      <c r="J1881" s="106">
        <v>0.166666666666667</v>
      </c>
      <c r="K1881" s="213">
        <v>85</v>
      </c>
      <c r="L1881" s="213">
        <v>294.666666666667</v>
      </c>
      <c r="M1881" s="213">
        <v>434.8</v>
      </c>
      <c r="N1881" s="213">
        <v>413</v>
      </c>
      <c r="O1881" s="213">
        <v>-4</v>
      </c>
      <c r="P1881" s="108">
        <v>6</v>
      </c>
      <c r="Q1881" s="108">
        <v>5.4</v>
      </c>
      <c r="R1881" s="108">
        <v>5.28571428571428</v>
      </c>
      <c r="S1881" s="108">
        <v>-5</v>
      </c>
      <c r="T1881" s="108">
        <v>-1.66666666666667</v>
      </c>
      <c r="U1881" s="108">
        <v>-3.6</v>
      </c>
      <c r="V1881" s="108">
        <v>-2.42857142857143</v>
      </c>
    </row>
    <row r="1882" ht="14.45" customHeight="1" spans="1:22">
      <c r="A1882" s="103">
        <v>45097</v>
      </c>
      <c r="B1882" s="104" t="s">
        <v>28</v>
      </c>
      <c r="C1882" s="145">
        <v>0</v>
      </c>
      <c r="D1882" s="145"/>
      <c r="E1882" s="104">
        <v>1</v>
      </c>
      <c r="F1882" s="106">
        <v>1</v>
      </c>
      <c r="G1882" s="107">
        <v>1</v>
      </c>
      <c r="H1882" s="106">
        <v>1</v>
      </c>
      <c r="I1882" s="104">
        <v>1</v>
      </c>
      <c r="J1882" s="106">
        <v>1</v>
      </c>
      <c r="K1882" s="213">
        <v>0</v>
      </c>
      <c r="L1882" s="213">
        <v>0</v>
      </c>
      <c r="M1882" s="213">
        <v>0</v>
      </c>
      <c r="N1882" s="213">
        <v>0</v>
      </c>
      <c r="O1882" s="213">
        <v>1</v>
      </c>
      <c r="P1882" s="108">
        <v>1</v>
      </c>
      <c r="Q1882" s="108">
        <v>1</v>
      </c>
      <c r="R1882" s="108">
        <v>1</v>
      </c>
      <c r="S1882" s="108">
        <v>1</v>
      </c>
      <c r="T1882" s="108">
        <v>1</v>
      </c>
      <c r="U1882" s="108">
        <v>1</v>
      </c>
      <c r="V1882" s="108">
        <v>1</v>
      </c>
    </row>
    <row r="1883" ht="14.45" customHeight="1" spans="1:22">
      <c r="A1883" s="103">
        <v>45097</v>
      </c>
      <c r="B1883" s="104" t="s">
        <v>29</v>
      </c>
      <c r="C1883" s="145">
        <v>0</v>
      </c>
      <c r="D1883" s="145"/>
      <c r="E1883" s="104">
        <v>0</v>
      </c>
      <c r="F1883" s="106">
        <v>0</v>
      </c>
      <c r="G1883" s="107">
        <v>0</v>
      </c>
      <c r="H1883" s="106">
        <v>0</v>
      </c>
      <c r="I1883" s="104">
        <v>0</v>
      </c>
      <c r="J1883" s="106">
        <v>0</v>
      </c>
      <c r="K1883" s="213">
        <v>0</v>
      </c>
      <c r="L1883" s="213">
        <v>0</v>
      </c>
      <c r="M1883" s="213">
        <v>0</v>
      </c>
      <c r="N1883" s="213">
        <v>0</v>
      </c>
      <c r="O1883" s="213">
        <v>0</v>
      </c>
      <c r="P1883" s="108">
        <v>0</v>
      </c>
      <c r="Q1883" s="108">
        <v>0</v>
      </c>
      <c r="R1883" s="108">
        <v>0</v>
      </c>
      <c r="S1883" s="108">
        <v>0</v>
      </c>
      <c r="T1883" s="108">
        <v>0</v>
      </c>
      <c r="U1883" s="108">
        <v>0</v>
      </c>
      <c r="V1883" s="108">
        <v>0</v>
      </c>
    </row>
    <row r="1884" ht="14.45" customHeight="1" spans="1:22">
      <c r="A1884" s="103">
        <v>45097</v>
      </c>
      <c r="B1884" s="104" t="s">
        <v>30</v>
      </c>
      <c r="C1884" s="145">
        <v>0</v>
      </c>
      <c r="D1884" s="145"/>
      <c r="E1884" s="104">
        <v>0</v>
      </c>
      <c r="F1884" s="106">
        <v>0</v>
      </c>
      <c r="G1884" s="107">
        <v>0</v>
      </c>
      <c r="H1884" s="106">
        <v>0</v>
      </c>
      <c r="I1884" s="104">
        <v>0</v>
      </c>
      <c r="J1884" s="106">
        <v>0</v>
      </c>
      <c r="K1884" s="213">
        <v>0</v>
      </c>
      <c r="L1884" s="213">
        <v>0</v>
      </c>
      <c r="M1884" s="213">
        <v>0</v>
      </c>
      <c r="N1884" s="213">
        <v>0</v>
      </c>
      <c r="O1884" s="213">
        <v>0</v>
      </c>
      <c r="P1884" s="108">
        <v>0</v>
      </c>
      <c r="Q1884" s="108">
        <v>0</v>
      </c>
      <c r="R1884" s="108">
        <v>0</v>
      </c>
      <c r="S1884" s="108">
        <v>0</v>
      </c>
      <c r="T1884" s="108">
        <v>0</v>
      </c>
      <c r="U1884" s="108">
        <v>0</v>
      </c>
      <c r="V1884" s="108">
        <v>0</v>
      </c>
    </row>
    <row r="1885" ht="14.45" customHeight="1" spans="1:22">
      <c r="A1885" s="103">
        <v>45097</v>
      </c>
      <c r="B1885" s="104" t="s">
        <v>31</v>
      </c>
      <c r="C1885" s="145">
        <v>0</v>
      </c>
      <c r="D1885" s="145"/>
      <c r="E1885" s="104">
        <v>0</v>
      </c>
      <c r="F1885" s="106">
        <v>0</v>
      </c>
      <c r="G1885" s="107">
        <v>0</v>
      </c>
      <c r="H1885" s="106">
        <v>0</v>
      </c>
      <c r="I1885" s="104">
        <v>0</v>
      </c>
      <c r="J1885" s="106">
        <v>0</v>
      </c>
      <c r="K1885" s="213">
        <v>0</v>
      </c>
      <c r="L1885" s="213">
        <v>0</v>
      </c>
      <c r="M1885" s="213">
        <v>0</v>
      </c>
      <c r="N1885" s="213">
        <v>0</v>
      </c>
      <c r="O1885" s="213">
        <v>0</v>
      </c>
      <c r="P1885" s="108">
        <v>0</v>
      </c>
      <c r="Q1885" s="108">
        <v>0</v>
      </c>
      <c r="R1885" s="108">
        <v>0</v>
      </c>
      <c r="S1885" s="108">
        <v>0</v>
      </c>
      <c r="T1885" s="108">
        <v>0</v>
      </c>
      <c r="U1885" s="108">
        <v>0</v>
      </c>
      <c r="V1885" s="108">
        <v>0</v>
      </c>
    </row>
    <row r="1886" ht="14.45" customHeight="1" spans="1:22">
      <c r="A1886" s="103">
        <v>45097</v>
      </c>
      <c r="B1886" s="104" t="s">
        <v>32</v>
      </c>
      <c r="C1886" s="145">
        <v>0</v>
      </c>
      <c r="D1886" s="145"/>
      <c r="E1886" s="104">
        <v>0</v>
      </c>
      <c r="F1886" s="106">
        <v>0</v>
      </c>
      <c r="G1886" s="107">
        <v>0</v>
      </c>
      <c r="H1886" s="106">
        <v>0</v>
      </c>
      <c r="I1886" s="104">
        <v>0</v>
      </c>
      <c r="J1886" s="106">
        <v>0</v>
      </c>
      <c r="K1886" s="213">
        <v>0</v>
      </c>
      <c r="L1886" s="213">
        <v>0</v>
      </c>
      <c r="M1886" s="213">
        <v>0</v>
      </c>
      <c r="N1886" s="213">
        <v>0</v>
      </c>
      <c r="O1886" s="213">
        <v>0</v>
      </c>
      <c r="P1886" s="108">
        <v>0</v>
      </c>
      <c r="Q1886" s="108">
        <v>0</v>
      </c>
      <c r="R1886" s="108">
        <v>0</v>
      </c>
      <c r="S1886" s="108">
        <v>0</v>
      </c>
      <c r="T1886" s="108">
        <v>0</v>
      </c>
      <c r="U1886" s="108">
        <v>0</v>
      </c>
      <c r="V1886" s="108">
        <v>0</v>
      </c>
    </row>
    <row r="1887" spans="1:22">
      <c r="A1887" s="103">
        <v>45097</v>
      </c>
      <c r="B1887" s="104" t="s">
        <v>33</v>
      </c>
      <c r="C1887" s="145">
        <v>0</v>
      </c>
      <c r="D1887" s="145"/>
      <c r="E1887" s="104">
        <v>0</v>
      </c>
      <c r="F1887" s="106">
        <v>0</v>
      </c>
      <c r="G1887" s="107">
        <v>0</v>
      </c>
      <c r="H1887" s="106">
        <v>0</v>
      </c>
      <c r="I1887" s="104">
        <v>0</v>
      </c>
      <c r="J1887" s="106">
        <v>0</v>
      </c>
      <c r="K1887" s="213">
        <v>0</v>
      </c>
      <c r="L1887" s="213">
        <v>0</v>
      </c>
      <c r="M1887" s="213">
        <v>0</v>
      </c>
      <c r="N1887" s="213">
        <v>0</v>
      </c>
      <c r="O1887" s="213">
        <v>0</v>
      </c>
      <c r="P1887" s="108">
        <v>0</v>
      </c>
      <c r="Q1887" s="108">
        <v>0</v>
      </c>
      <c r="R1887" s="108">
        <v>0</v>
      </c>
      <c r="S1887" s="108">
        <v>0</v>
      </c>
      <c r="T1887" s="108">
        <v>0</v>
      </c>
      <c r="U1887" s="108">
        <v>0</v>
      </c>
      <c r="V1887" s="108">
        <v>0</v>
      </c>
    </row>
    <row r="1888" spans="1:22">
      <c r="A1888" s="103">
        <v>45097</v>
      </c>
      <c r="B1888" s="104" t="s">
        <v>34</v>
      </c>
      <c r="C1888" s="145">
        <v>0</v>
      </c>
      <c r="D1888" s="145"/>
      <c r="E1888" s="104">
        <v>0</v>
      </c>
      <c r="F1888" s="106">
        <v>0</v>
      </c>
      <c r="G1888" s="107">
        <v>0</v>
      </c>
      <c r="H1888" s="106">
        <v>0</v>
      </c>
      <c r="I1888" s="104">
        <v>0</v>
      </c>
      <c r="J1888" s="106">
        <v>0</v>
      </c>
      <c r="K1888" s="213">
        <v>0</v>
      </c>
      <c r="L1888" s="213">
        <v>0</v>
      </c>
      <c r="M1888" s="213">
        <v>0</v>
      </c>
      <c r="N1888" s="213">
        <v>0</v>
      </c>
      <c r="O1888" s="213">
        <v>0</v>
      </c>
      <c r="P1888" s="108">
        <v>0</v>
      </c>
      <c r="Q1888" s="108">
        <v>0</v>
      </c>
      <c r="R1888" s="108">
        <v>0</v>
      </c>
      <c r="S1888" s="108">
        <v>0</v>
      </c>
      <c r="T1888" s="108">
        <v>0</v>
      </c>
      <c r="U1888" s="108">
        <v>0</v>
      </c>
      <c r="V1888" s="108">
        <v>0</v>
      </c>
    </row>
    <row r="1889" spans="1:22">
      <c r="A1889" s="103">
        <v>45097</v>
      </c>
      <c r="B1889" s="104" t="s">
        <v>35</v>
      </c>
      <c r="C1889" s="145">
        <v>0</v>
      </c>
      <c r="D1889" s="145"/>
      <c r="E1889" s="104">
        <v>0</v>
      </c>
      <c r="F1889" s="106">
        <v>0</v>
      </c>
      <c r="G1889" s="107">
        <v>0</v>
      </c>
      <c r="H1889" s="106">
        <v>0</v>
      </c>
      <c r="I1889" s="104">
        <v>0</v>
      </c>
      <c r="J1889" s="106">
        <v>0</v>
      </c>
      <c r="K1889" s="213">
        <v>0</v>
      </c>
      <c r="L1889" s="213">
        <v>0</v>
      </c>
      <c r="M1889" s="213">
        <v>0</v>
      </c>
      <c r="N1889" s="213">
        <v>0</v>
      </c>
      <c r="O1889" s="213">
        <v>0</v>
      </c>
      <c r="P1889" s="108">
        <v>0</v>
      </c>
      <c r="Q1889" s="108">
        <v>0</v>
      </c>
      <c r="R1889" s="108">
        <v>0</v>
      </c>
      <c r="S1889" s="108">
        <v>0</v>
      </c>
      <c r="T1889" s="108">
        <v>0</v>
      </c>
      <c r="U1889" s="108">
        <v>0</v>
      </c>
      <c r="V1889" s="108">
        <v>0</v>
      </c>
    </row>
    <row r="1890" spans="1:22">
      <c r="A1890" s="103">
        <v>45097</v>
      </c>
      <c r="B1890" s="104" t="s">
        <v>36</v>
      </c>
      <c r="C1890" s="145">
        <v>0</v>
      </c>
      <c r="D1890" s="145"/>
      <c r="E1890" s="104">
        <v>0</v>
      </c>
      <c r="F1890" s="106">
        <v>0</v>
      </c>
      <c r="G1890" s="107">
        <v>0</v>
      </c>
      <c r="H1890" s="106">
        <v>0</v>
      </c>
      <c r="I1890" s="104">
        <v>0</v>
      </c>
      <c r="J1890" s="106">
        <v>0</v>
      </c>
      <c r="K1890" s="213">
        <v>0</v>
      </c>
      <c r="L1890" s="213">
        <v>0</v>
      </c>
      <c r="M1890" s="213">
        <v>0</v>
      </c>
      <c r="N1890" s="213">
        <v>0</v>
      </c>
      <c r="O1890" s="213">
        <v>0</v>
      </c>
      <c r="P1890" s="108">
        <v>0</v>
      </c>
      <c r="Q1890" s="108">
        <v>0</v>
      </c>
      <c r="R1890" s="108">
        <v>0</v>
      </c>
      <c r="S1890" s="108">
        <v>0</v>
      </c>
      <c r="T1890" s="108">
        <v>0</v>
      </c>
      <c r="U1890" s="108">
        <v>0</v>
      </c>
      <c r="V1890" s="108">
        <v>0</v>
      </c>
    </row>
    <row r="1891" spans="1:22">
      <c r="A1891" s="103">
        <v>45097</v>
      </c>
      <c r="B1891" s="104" t="s">
        <v>37</v>
      </c>
      <c r="C1891" s="145">
        <v>0</v>
      </c>
      <c r="D1891" s="145"/>
      <c r="E1891" s="104">
        <v>0</v>
      </c>
      <c r="F1891" s="106">
        <v>0</v>
      </c>
      <c r="G1891" s="107">
        <v>0</v>
      </c>
      <c r="H1891" s="106">
        <v>0</v>
      </c>
      <c r="I1891" s="104">
        <v>0</v>
      </c>
      <c r="J1891" s="106">
        <v>0</v>
      </c>
      <c r="K1891" s="213">
        <v>0</v>
      </c>
      <c r="L1891" s="213">
        <v>0</v>
      </c>
      <c r="M1891" s="213">
        <v>0</v>
      </c>
      <c r="N1891" s="213">
        <v>0</v>
      </c>
      <c r="O1891" s="213">
        <v>0</v>
      </c>
      <c r="P1891" s="108">
        <v>0</v>
      </c>
      <c r="Q1891" s="108">
        <v>-0.2</v>
      </c>
      <c r="R1891" s="108">
        <v>-0.285714285714286</v>
      </c>
      <c r="S1891" s="108">
        <v>0</v>
      </c>
      <c r="T1891" s="108">
        <v>0</v>
      </c>
      <c r="U1891" s="108">
        <v>0</v>
      </c>
      <c r="V1891" s="108">
        <v>0</v>
      </c>
    </row>
    <row r="1892" spans="1:22">
      <c r="A1892" s="103">
        <v>45097</v>
      </c>
      <c r="B1892" s="104" t="s">
        <v>38</v>
      </c>
      <c r="C1892" s="145">
        <v>0</v>
      </c>
      <c r="D1892" s="145"/>
      <c r="E1892" s="104">
        <v>0</v>
      </c>
      <c r="F1892" s="106">
        <v>0</v>
      </c>
      <c r="G1892" s="107">
        <v>0</v>
      </c>
      <c r="H1892" s="106">
        <v>0</v>
      </c>
      <c r="I1892" s="104">
        <v>0</v>
      </c>
      <c r="J1892" s="106">
        <v>0</v>
      </c>
      <c r="K1892" s="213">
        <v>0</v>
      </c>
      <c r="L1892" s="213">
        <v>0</v>
      </c>
      <c r="M1892" s="213">
        <v>0</v>
      </c>
      <c r="N1892" s="213">
        <v>0</v>
      </c>
      <c r="O1892" s="213">
        <v>0</v>
      </c>
      <c r="P1892" s="108">
        <v>0</v>
      </c>
      <c r="Q1892" s="108">
        <v>0</v>
      </c>
      <c r="R1892" s="108">
        <v>0</v>
      </c>
      <c r="S1892" s="108">
        <v>0</v>
      </c>
      <c r="T1892" s="108">
        <v>0</v>
      </c>
      <c r="U1892" s="108">
        <v>0</v>
      </c>
      <c r="V1892" s="108">
        <v>0</v>
      </c>
    </row>
    <row r="1893" spans="1:22">
      <c r="A1893" s="103">
        <v>45097</v>
      </c>
      <c r="B1893" s="111" t="s">
        <v>39</v>
      </c>
      <c r="C1893" s="112">
        <v>12727</v>
      </c>
      <c r="D1893" s="112"/>
      <c r="E1893" s="112">
        <v>333</v>
      </c>
      <c r="F1893" s="113">
        <v>0.0261648463895655</v>
      </c>
      <c r="G1893" s="112">
        <v>95</v>
      </c>
      <c r="H1893" s="113">
        <v>0.285285285285285</v>
      </c>
      <c r="I1893" s="112">
        <v>67</v>
      </c>
      <c r="J1893" s="106">
        <v>0.201201201201201</v>
      </c>
      <c r="K1893" s="213"/>
      <c r="L1893" s="213"/>
      <c r="M1893" s="213"/>
      <c r="N1893" s="213"/>
      <c r="O1893" s="213"/>
      <c r="P1893" s="108"/>
      <c r="Q1893" s="108"/>
      <c r="R1893" s="108"/>
      <c r="S1893" s="108"/>
      <c r="T1893" s="108"/>
      <c r="U1893" s="108"/>
      <c r="V1893" s="108"/>
    </row>
    <row r="1894" ht="14.45" customHeight="1" spans="1:24">
      <c r="A1894" s="103">
        <v>45098</v>
      </c>
      <c r="B1894" s="104" t="s">
        <v>17</v>
      </c>
      <c r="C1894" s="216">
        <v>3</v>
      </c>
      <c r="D1894" s="216"/>
      <c r="E1894" s="217">
        <v>44</v>
      </c>
      <c r="F1894" s="106">
        <v>14.6666666666667</v>
      </c>
      <c r="G1894" s="107">
        <v>9</v>
      </c>
      <c r="H1894" s="106">
        <v>0.204545454545455</v>
      </c>
      <c r="I1894" s="104">
        <v>7</v>
      </c>
      <c r="J1894" s="106">
        <v>0.159090909090909</v>
      </c>
      <c r="K1894" s="213">
        <v>0</v>
      </c>
      <c r="L1894" s="213">
        <v>1</v>
      </c>
      <c r="M1894" s="213">
        <v>0.8</v>
      </c>
      <c r="N1894" s="213">
        <v>0.714285714285714</v>
      </c>
      <c r="O1894" s="213">
        <v>-15</v>
      </c>
      <c r="P1894" s="108">
        <v>-2.33333333333334</v>
      </c>
      <c r="Q1894" s="108">
        <v>1.8</v>
      </c>
      <c r="R1894" s="108">
        <v>7.28571428571428</v>
      </c>
      <c r="S1894" s="108">
        <v>-6</v>
      </c>
      <c r="T1894" s="108">
        <v>-3.66666666666667</v>
      </c>
      <c r="U1894" s="108">
        <v>-2.6</v>
      </c>
      <c r="V1894" s="108">
        <v>-1.14285714285714</v>
      </c>
      <c r="X1894" t="s">
        <v>18</v>
      </c>
    </row>
    <row r="1895" ht="14.45" customHeight="1" spans="1:24">
      <c r="A1895" s="103">
        <v>45098</v>
      </c>
      <c r="B1895" s="104" t="s">
        <v>19</v>
      </c>
      <c r="C1895" s="216">
        <v>566</v>
      </c>
      <c r="D1895" s="216"/>
      <c r="E1895" s="217">
        <v>9</v>
      </c>
      <c r="F1895" s="106">
        <v>0.0159010600706714</v>
      </c>
      <c r="G1895" s="107">
        <v>4</v>
      </c>
      <c r="H1895" s="106">
        <v>0.444444444444444</v>
      </c>
      <c r="I1895" s="104">
        <v>0</v>
      </c>
      <c r="J1895" s="106">
        <v>0</v>
      </c>
      <c r="K1895" s="213">
        <v>100</v>
      </c>
      <c r="L1895" s="213">
        <v>56.6666666666667</v>
      </c>
      <c r="M1895" s="213">
        <v>14.2</v>
      </c>
      <c r="N1895" s="213">
        <v>4.42857142857144</v>
      </c>
      <c r="O1895" s="213">
        <v>-11</v>
      </c>
      <c r="P1895" s="108">
        <v>-7.66666666666667</v>
      </c>
      <c r="Q1895" s="108">
        <v>-8</v>
      </c>
      <c r="R1895" s="108">
        <v>-9.28571428571428</v>
      </c>
      <c r="S1895" s="108">
        <v>-2</v>
      </c>
      <c r="T1895" s="108">
        <v>-0.333333333333333</v>
      </c>
      <c r="U1895" s="108">
        <v>-0.8</v>
      </c>
      <c r="V1895" s="115">
        <v>-0.857142857142857</v>
      </c>
      <c r="W1895" s="154"/>
      <c r="X1895" s="154"/>
    </row>
    <row r="1896" ht="14.45" customHeight="1" spans="1:22">
      <c r="A1896" s="103">
        <v>45098</v>
      </c>
      <c r="B1896" s="104" t="s">
        <v>21</v>
      </c>
      <c r="C1896" s="218">
        <v>275</v>
      </c>
      <c r="D1896" s="218"/>
      <c r="E1896" s="217">
        <v>3</v>
      </c>
      <c r="F1896" s="106">
        <v>0.0109090909090909</v>
      </c>
      <c r="G1896" s="107">
        <v>3</v>
      </c>
      <c r="H1896" s="106">
        <v>1</v>
      </c>
      <c r="I1896" s="104">
        <v>2</v>
      </c>
      <c r="J1896" s="106">
        <v>0.666666666666667</v>
      </c>
      <c r="K1896" s="213">
        <v>-19</v>
      </c>
      <c r="L1896" s="213">
        <v>20.6666666666667</v>
      </c>
      <c r="M1896" s="213">
        <v>16.8</v>
      </c>
      <c r="N1896" s="213">
        <v>23.2857142857143</v>
      </c>
      <c r="O1896" s="213">
        <v>-1</v>
      </c>
      <c r="P1896" s="108">
        <v>-1.66666666666667</v>
      </c>
      <c r="Q1896" s="108">
        <v>-2.6</v>
      </c>
      <c r="R1896" s="108">
        <v>-2.57142857142857</v>
      </c>
      <c r="S1896" s="108">
        <v>1</v>
      </c>
      <c r="T1896" s="108">
        <v>0.333333333333333</v>
      </c>
      <c r="U1896" s="108">
        <v>0.4</v>
      </c>
      <c r="V1896" s="108">
        <v>0.714285714285714</v>
      </c>
    </row>
    <row r="1897" ht="18.95" customHeight="1" spans="1:24">
      <c r="A1897" s="103">
        <v>45098</v>
      </c>
      <c r="B1897" s="104" t="s">
        <v>22</v>
      </c>
      <c r="C1897" s="218">
        <v>2311</v>
      </c>
      <c r="D1897" s="218"/>
      <c r="E1897" s="217">
        <v>47</v>
      </c>
      <c r="F1897" s="106">
        <v>0.0203375162267417</v>
      </c>
      <c r="G1897" s="107">
        <v>17</v>
      </c>
      <c r="H1897" s="106">
        <v>0.361702127659574</v>
      </c>
      <c r="I1897" s="104">
        <v>13</v>
      </c>
      <c r="J1897" s="106">
        <v>0.276595744680851</v>
      </c>
      <c r="K1897" s="213">
        <v>-13</v>
      </c>
      <c r="L1897" s="213">
        <v>-121</v>
      </c>
      <c r="M1897" s="213">
        <v>-216.2</v>
      </c>
      <c r="N1897" s="213">
        <v>-316.571428571428</v>
      </c>
      <c r="O1897" s="213">
        <v>0</v>
      </c>
      <c r="P1897" s="108">
        <v>1</v>
      </c>
      <c r="Q1897" s="108">
        <v>-8.4</v>
      </c>
      <c r="R1897" s="115">
        <v>-14.4285714285714</v>
      </c>
      <c r="S1897" s="108">
        <v>0</v>
      </c>
      <c r="T1897" s="108">
        <v>-2.66666666666667</v>
      </c>
      <c r="U1897" s="108">
        <v>-6</v>
      </c>
      <c r="V1897" s="117">
        <v>-8.71428571428572</v>
      </c>
      <c r="W1897" s="154"/>
      <c r="X1897" s="154"/>
    </row>
    <row r="1898" ht="14.45" customHeight="1" spans="1:22">
      <c r="A1898" s="103">
        <v>45098</v>
      </c>
      <c r="B1898" s="104" t="s">
        <v>23</v>
      </c>
      <c r="C1898" s="218">
        <v>1883</v>
      </c>
      <c r="D1898" s="218"/>
      <c r="E1898" s="217">
        <v>11</v>
      </c>
      <c r="F1898" s="106">
        <v>0.00584174190122146</v>
      </c>
      <c r="G1898" s="107">
        <v>3</v>
      </c>
      <c r="H1898" s="106">
        <v>0.272727272727273</v>
      </c>
      <c r="I1898" s="104">
        <v>3</v>
      </c>
      <c r="J1898" s="106">
        <v>0.272727272727273</v>
      </c>
      <c r="K1898" s="213">
        <v>95</v>
      </c>
      <c r="L1898" s="213">
        <v>83.6666666666667</v>
      </c>
      <c r="M1898" s="213">
        <v>29</v>
      </c>
      <c r="N1898" s="213">
        <v>42.8571428571429</v>
      </c>
      <c r="O1898" s="213">
        <v>0</v>
      </c>
      <c r="P1898" s="108">
        <v>3.33333333333333</v>
      </c>
      <c r="Q1898" s="108">
        <v>4.4</v>
      </c>
      <c r="R1898" s="108">
        <v>4.71428571428571</v>
      </c>
      <c r="S1898" s="108">
        <v>0</v>
      </c>
      <c r="T1898" s="116">
        <v>0.333333333333333</v>
      </c>
      <c r="U1898" s="108">
        <v>0.2</v>
      </c>
      <c r="V1898" s="108">
        <v>0.571428571428572</v>
      </c>
    </row>
    <row r="1899" ht="14.45" customHeight="1" spans="1:24">
      <c r="A1899" s="103">
        <v>45098</v>
      </c>
      <c r="B1899" s="104" t="s">
        <v>24</v>
      </c>
      <c r="C1899" s="218">
        <v>1773</v>
      </c>
      <c r="D1899" s="218"/>
      <c r="E1899" s="217">
        <v>46</v>
      </c>
      <c r="F1899" s="106">
        <v>0.0259447264523407</v>
      </c>
      <c r="G1899" s="107">
        <v>14</v>
      </c>
      <c r="H1899" s="106">
        <v>0.304347826086957</v>
      </c>
      <c r="I1899" s="104">
        <v>9</v>
      </c>
      <c r="J1899" s="106">
        <v>0.195652173913043</v>
      </c>
      <c r="K1899" s="213">
        <v>-3</v>
      </c>
      <c r="L1899" s="213">
        <v>-362.333333333333</v>
      </c>
      <c r="M1899" s="213">
        <v>-731.2</v>
      </c>
      <c r="N1899" s="213">
        <v>-1066.42857142857</v>
      </c>
      <c r="O1899" s="219">
        <v>-13</v>
      </c>
      <c r="P1899" s="115">
        <v>-32.6666666666667</v>
      </c>
      <c r="Q1899" s="115">
        <v>-45.2</v>
      </c>
      <c r="R1899" s="115">
        <v>-55.7142857142857</v>
      </c>
      <c r="S1899" s="115">
        <v>-8</v>
      </c>
      <c r="T1899" s="115">
        <v>-13.6666666666667</v>
      </c>
      <c r="U1899" s="115">
        <v>-19.6</v>
      </c>
      <c r="V1899" s="115">
        <v>-19.7142857142857</v>
      </c>
      <c r="W1899" s="154"/>
      <c r="X1899" s="154"/>
    </row>
    <row r="1900" ht="14.45" customHeight="1" spans="1:22">
      <c r="A1900" s="103">
        <v>45098</v>
      </c>
      <c r="B1900" s="104" t="s">
        <v>25</v>
      </c>
      <c r="C1900" s="218">
        <v>2813</v>
      </c>
      <c r="D1900" s="218"/>
      <c r="E1900" s="217">
        <v>57</v>
      </c>
      <c r="F1900" s="106">
        <v>0.0202630643441166</v>
      </c>
      <c r="G1900" s="107">
        <v>22</v>
      </c>
      <c r="H1900" s="106">
        <v>0.385964912280702</v>
      </c>
      <c r="I1900" s="104">
        <v>14</v>
      </c>
      <c r="J1900" s="106">
        <v>0.245614035087719</v>
      </c>
      <c r="K1900" s="213">
        <v>78</v>
      </c>
      <c r="L1900" s="213">
        <v>-87</v>
      </c>
      <c r="M1900" s="213">
        <v>-121.4</v>
      </c>
      <c r="N1900" s="213">
        <v>-68.5714285714284</v>
      </c>
      <c r="O1900" s="220">
        <v>-21</v>
      </c>
      <c r="P1900" s="115">
        <v>-7</v>
      </c>
      <c r="Q1900" s="115">
        <v>-11.4</v>
      </c>
      <c r="R1900" s="115">
        <v>-10.1428571428571</v>
      </c>
      <c r="S1900" s="108">
        <v>2</v>
      </c>
      <c r="T1900" s="108">
        <v>2.66666666666667</v>
      </c>
      <c r="U1900" s="108">
        <v>0.600000000000001</v>
      </c>
      <c r="V1900" s="108">
        <v>-0.428571428571427</v>
      </c>
    </row>
    <row r="1901" ht="14.45" customHeight="1" spans="1:22">
      <c r="A1901" s="103">
        <v>45098</v>
      </c>
      <c r="B1901" s="104" t="s">
        <v>26</v>
      </c>
      <c r="C1901" s="218">
        <v>0</v>
      </c>
      <c r="D1901" s="218"/>
      <c r="E1901" s="217">
        <v>0</v>
      </c>
      <c r="F1901" s="106">
        <v>0</v>
      </c>
      <c r="G1901" s="107">
        <v>0</v>
      </c>
      <c r="H1901" s="106">
        <v>0</v>
      </c>
      <c r="I1901" s="104">
        <v>0</v>
      </c>
      <c r="J1901" s="106">
        <v>0</v>
      </c>
      <c r="K1901" s="213">
        <v>-2</v>
      </c>
      <c r="L1901" s="213">
        <v>-1.66666666666667</v>
      </c>
      <c r="M1901" s="213">
        <v>-290.8</v>
      </c>
      <c r="N1901" s="213">
        <v>-607</v>
      </c>
      <c r="O1901" s="213">
        <v>0</v>
      </c>
      <c r="P1901" s="108">
        <v>-0.333333333333333</v>
      </c>
      <c r="Q1901" s="108">
        <v>-0.4</v>
      </c>
      <c r="R1901" s="108">
        <v>-0.571428571428571</v>
      </c>
      <c r="S1901" s="108">
        <v>0</v>
      </c>
      <c r="T1901" s="108">
        <v>-1.33333333333333</v>
      </c>
      <c r="U1901" s="108">
        <v>-0.8</v>
      </c>
      <c r="V1901" s="108">
        <v>-0.857142857142857</v>
      </c>
    </row>
    <row r="1902" ht="14.45" customHeight="1" spans="1:22">
      <c r="A1902" s="103">
        <v>45098</v>
      </c>
      <c r="B1902" s="104" t="s">
        <v>27</v>
      </c>
      <c r="C1902" s="218">
        <v>1957</v>
      </c>
      <c r="D1902" s="218"/>
      <c r="E1902" s="217">
        <v>39</v>
      </c>
      <c r="F1902" s="106">
        <v>0.0199284619315278</v>
      </c>
      <c r="G1902" s="107">
        <v>12</v>
      </c>
      <c r="H1902" s="106">
        <v>0.307692307692308</v>
      </c>
      <c r="I1902" s="104">
        <v>8</v>
      </c>
      <c r="J1902" s="106">
        <v>0.205128205128205</v>
      </c>
      <c r="K1902" s="213">
        <v>-1382</v>
      </c>
      <c r="L1902" s="213">
        <v>-1234.33333333333</v>
      </c>
      <c r="M1902" s="213">
        <v>-1101.2</v>
      </c>
      <c r="N1902" s="213">
        <v>-995</v>
      </c>
      <c r="O1902" s="213">
        <v>-15</v>
      </c>
      <c r="P1902" s="108">
        <v>-11.6666666666667</v>
      </c>
      <c r="Q1902" s="108">
        <v>-10.6</v>
      </c>
      <c r="R1902" s="108">
        <v>-9.42857142857143</v>
      </c>
      <c r="S1902" s="108">
        <v>3</v>
      </c>
      <c r="T1902" s="108">
        <v>1.66666666666667</v>
      </c>
      <c r="U1902" s="108">
        <v>1</v>
      </c>
      <c r="V1902" s="108">
        <v>0.142857142857142</v>
      </c>
    </row>
    <row r="1903" ht="14.45" customHeight="1" spans="1:22">
      <c r="A1903" s="103">
        <v>45098</v>
      </c>
      <c r="B1903" s="104" t="s">
        <v>28</v>
      </c>
      <c r="C1903" s="145">
        <v>0</v>
      </c>
      <c r="D1903" s="145"/>
      <c r="E1903" s="104">
        <v>0</v>
      </c>
      <c r="F1903" s="106">
        <v>0</v>
      </c>
      <c r="G1903" s="107">
        <v>0</v>
      </c>
      <c r="H1903" s="106">
        <v>0</v>
      </c>
      <c r="I1903" s="104">
        <v>0</v>
      </c>
      <c r="J1903" s="106">
        <v>0</v>
      </c>
      <c r="K1903" s="213">
        <v>0</v>
      </c>
      <c r="L1903" s="213">
        <v>0</v>
      </c>
      <c r="M1903" s="213">
        <v>0</v>
      </c>
      <c r="N1903" s="213">
        <v>0</v>
      </c>
      <c r="O1903" s="213">
        <v>-1</v>
      </c>
      <c r="P1903" s="108">
        <v>-0.333333333333333</v>
      </c>
      <c r="Q1903" s="108">
        <v>-0.2</v>
      </c>
      <c r="R1903" s="108">
        <v>-0.142857142857143</v>
      </c>
      <c r="S1903" s="108">
        <v>-1</v>
      </c>
      <c r="T1903" s="108">
        <v>-0.333333333333333</v>
      </c>
      <c r="U1903" s="108">
        <v>-0.2</v>
      </c>
      <c r="V1903" s="108">
        <v>-0.142857142857143</v>
      </c>
    </row>
    <row r="1904" ht="14.45" customHeight="1" spans="1:22">
      <c r="A1904" s="103">
        <v>45098</v>
      </c>
      <c r="B1904" s="104" t="s">
        <v>29</v>
      </c>
      <c r="C1904" s="145">
        <v>0</v>
      </c>
      <c r="D1904" s="145"/>
      <c r="E1904" s="104">
        <v>0</v>
      </c>
      <c r="F1904" s="106">
        <v>0</v>
      </c>
      <c r="G1904" s="107">
        <v>0</v>
      </c>
      <c r="H1904" s="106">
        <v>0</v>
      </c>
      <c r="I1904" s="104">
        <v>0</v>
      </c>
      <c r="J1904" s="106">
        <v>0</v>
      </c>
      <c r="K1904" s="213">
        <v>0</v>
      </c>
      <c r="L1904" s="213">
        <v>0</v>
      </c>
      <c r="M1904" s="213">
        <v>0</v>
      </c>
      <c r="N1904" s="213">
        <v>0</v>
      </c>
      <c r="O1904" s="213">
        <v>0</v>
      </c>
      <c r="P1904" s="108">
        <v>0</v>
      </c>
      <c r="Q1904" s="108">
        <v>0</v>
      </c>
      <c r="R1904" s="108">
        <v>0</v>
      </c>
      <c r="S1904" s="108">
        <v>0</v>
      </c>
      <c r="T1904" s="108">
        <v>0</v>
      </c>
      <c r="U1904" s="108">
        <v>0</v>
      </c>
      <c r="V1904" s="108">
        <v>0</v>
      </c>
    </row>
    <row r="1905" ht="14.45" customHeight="1" spans="1:22">
      <c r="A1905" s="103">
        <v>45098</v>
      </c>
      <c r="B1905" s="104" t="s">
        <v>30</v>
      </c>
      <c r="C1905" s="145">
        <v>0</v>
      </c>
      <c r="D1905" s="145"/>
      <c r="E1905" s="104">
        <v>0</v>
      </c>
      <c r="F1905" s="106">
        <v>0</v>
      </c>
      <c r="G1905" s="107">
        <v>0</v>
      </c>
      <c r="H1905" s="106">
        <v>0</v>
      </c>
      <c r="I1905" s="104">
        <v>0</v>
      </c>
      <c r="J1905" s="106">
        <v>0</v>
      </c>
      <c r="K1905" s="213">
        <v>0</v>
      </c>
      <c r="L1905" s="213">
        <v>0</v>
      </c>
      <c r="M1905" s="213">
        <v>0</v>
      </c>
      <c r="N1905" s="213">
        <v>0</v>
      </c>
      <c r="O1905" s="213">
        <v>0</v>
      </c>
      <c r="P1905" s="108">
        <v>0</v>
      </c>
      <c r="Q1905" s="108">
        <v>0</v>
      </c>
      <c r="R1905" s="108">
        <v>0</v>
      </c>
      <c r="S1905" s="108">
        <v>0</v>
      </c>
      <c r="T1905" s="108">
        <v>0</v>
      </c>
      <c r="U1905" s="108">
        <v>0</v>
      </c>
      <c r="V1905" s="108">
        <v>0</v>
      </c>
    </row>
    <row r="1906" ht="14.45" customHeight="1" spans="1:22">
      <c r="A1906" s="103">
        <v>45098</v>
      </c>
      <c r="B1906" s="104" t="s">
        <v>31</v>
      </c>
      <c r="C1906" s="145">
        <v>0</v>
      </c>
      <c r="D1906" s="145"/>
      <c r="E1906" s="104">
        <v>0</v>
      </c>
      <c r="F1906" s="106">
        <v>0</v>
      </c>
      <c r="G1906" s="107">
        <v>0</v>
      </c>
      <c r="H1906" s="106">
        <v>0</v>
      </c>
      <c r="I1906" s="104">
        <v>0</v>
      </c>
      <c r="J1906" s="106">
        <v>0</v>
      </c>
      <c r="K1906" s="213">
        <v>0</v>
      </c>
      <c r="L1906" s="213">
        <v>0</v>
      </c>
      <c r="M1906" s="213">
        <v>0</v>
      </c>
      <c r="N1906" s="213">
        <v>0</v>
      </c>
      <c r="O1906" s="213">
        <v>0</v>
      </c>
      <c r="P1906" s="108">
        <v>0</v>
      </c>
      <c r="Q1906" s="108">
        <v>0</v>
      </c>
      <c r="R1906" s="108">
        <v>0</v>
      </c>
      <c r="S1906" s="108">
        <v>0</v>
      </c>
      <c r="T1906" s="108">
        <v>0</v>
      </c>
      <c r="U1906" s="108">
        <v>0</v>
      </c>
      <c r="V1906" s="108">
        <v>0</v>
      </c>
    </row>
    <row r="1907" ht="14.45" customHeight="1" spans="1:22">
      <c r="A1907" s="103">
        <v>45098</v>
      </c>
      <c r="B1907" s="104" t="s">
        <v>32</v>
      </c>
      <c r="C1907" s="145">
        <v>0</v>
      </c>
      <c r="D1907" s="145"/>
      <c r="E1907" s="104">
        <v>0</v>
      </c>
      <c r="F1907" s="106">
        <v>0</v>
      </c>
      <c r="G1907" s="107">
        <v>0</v>
      </c>
      <c r="H1907" s="106">
        <v>0</v>
      </c>
      <c r="I1907" s="104">
        <v>0</v>
      </c>
      <c r="J1907" s="106">
        <v>0</v>
      </c>
      <c r="K1907" s="213">
        <v>0</v>
      </c>
      <c r="L1907" s="213">
        <v>0</v>
      </c>
      <c r="M1907" s="213">
        <v>0</v>
      </c>
      <c r="N1907" s="213">
        <v>0</v>
      </c>
      <c r="O1907" s="213">
        <v>0</v>
      </c>
      <c r="P1907" s="108">
        <v>0</v>
      </c>
      <c r="Q1907" s="108">
        <v>0</v>
      </c>
      <c r="R1907" s="108">
        <v>0</v>
      </c>
      <c r="S1907" s="108">
        <v>0</v>
      </c>
      <c r="T1907" s="108">
        <v>0</v>
      </c>
      <c r="U1907" s="108">
        <v>0</v>
      </c>
      <c r="V1907" s="108">
        <v>0</v>
      </c>
    </row>
    <row r="1908" spans="1:22">
      <c r="A1908" s="103">
        <v>45098</v>
      </c>
      <c r="B1908" s="104" t="s">
        <v>33</v>
      </c>
      <c r="C1908" s="145">
        <v>0</v>
      </c>
      <c r="D1908" s="145"/>
      <c r="E1908" s="104">
        <v>0</v>
      </c>
      <c r="F1908" s="106">
        <v>0</v>
      </c>
      <c r="G1908" s="107">
        <v>0</v>
      </c>
      <c r="H1908" s="106">
        <v>0</v>
      </c>
      <c r="I1908" s="104">
        <v>0</v>
      </c>
      <c r="J1908" s="106">
        <v>0</v>
      </c>
      <c r="K1908" s="213">
        <v>0</v>
      </c>
      <c r="L1908" s="213">
        <v>0</v>
      </c>
      <c r="M1908" s="213">
        <v>0</v>
      </c>
      <c r="N1908" s="213">
        <v>0</v>
      </c>
      <c r="O1908" s="213">
        <v>0</v>
      </c>
      <c r="P1908" s="108">
        <v>0</v>
      </c>
      <c r="Q1908" s="108">
        <v>0</v>
      </c>
      <c r="R1908" s="108">
        <v>0</v>
      </c>
      <c r="S1908" s="108">
        <v>0</v>
      </c>
      <c r="T1908" s="108">
        <v>0</v>
      </c>
      <c r="U1908" s="108">
        <v>0</v>
      </c>
      <c r="V1908" s="108">
        <v>0</v>
      </c>
    </row>
    <row r="1909" spans="1:22">
      <c r="A1909" s="103">
        <v>45098</v>
      </c>
      <c r="B1909" s="104" t="s">
        <v>34</v>
      </c>
      <c r="C1909" s="145">
        <v>0</v>
      </c>
      <c r="D1909" s="145"/>
      <c r="E1909" s="104">
        <v>0</v>
      </c>
      <c r="F1909" s="106">
        <v>0</v>
      </c>
      <c r="G1909" s="107">
        <v>0</v>
      </c>
      <c r="H1909" s="106">
        <v>0</v>
      </c>
      <c r="I1909" s="104">
        <v>0</v>
      </c>
      <c r="J1909" s="106">
        <v>0</v>
      </c>
      <c r="K1909" s="213">
        <v>0</v>
      </c>
      <c r="L1909" s="213">
        <v>0</v>
      </c>
      <c r="M1909" s="213">
        <v>0</v>
      </c>
      <c r="N1909" s="213">
        <v>0</v>
      </c>
      <c r="O1909" s="213">
        <v>0</v>
      </c>
      <c r="P1909" s="108">
        <v>0</v>
      </c>
      <c r="Q1909" s="108">
        <v>0</v>
      </c>
      <c r="R1909" s="108">
        <v>0</v>
      </c>
      <c r="S1909" s="108">
        <v>0</v>
      </c>
      <c r="T1909" s="108">
        <v>0</v>
      </c>
      <c r="U1909" s="108">
        <v>0</v>
      </c>
      <c r="V1909" s="108">
        <v>0</v>
      </c>
    </row>
    <row r="1910" spans="1:22">
      <c r="A1910" s="103">
        <v>45098</v>
      </c>
      <c r="B1910" s="104" t="s">
        <v>35</v>
      </c>
      <c r="C1910" s="145">
        <v>0</v>
      </c>
      <c r="D1910" s="145"/>
      <c r="E1910" s="104">
        <v>0</v>
      </c>
      <c r="F1910" s="106">
        <v>0</v>
      </c>
      <c r="G1910" s="107">
        <v>0</v>
      </c>
      <c r="H1910" s="106">
        <v>0</v>
      </c>
      <c r="I1910" s="104">
        <v>0</v>
      </c>
      <c r="J1910" s="106">
        <v>0</v>
      </c>
      <c r="K1910" s="213">
        <v>0</v>
      </c>
      <c r="L1910" s="213">
        <v>0</v>
      </c>
      <c r="M1910" s="213">
        <v>0</v>
      </c>
      <c r="N1910" s="213">
        <v>0</v>
      </c>
      <c r="O1910" s="213">
        <v>0</v>
      </c>
      <c r="P1910" s="108">
        <v>0</v>
      </c>
      <c r="Q1910" s="108">
        <v>0</v>
      </c>
      <c r="R1910" s="108">
        <v>0</v>
      </c>
      <c r="S1910" s="108">
        <v>0</v>
      </c>
      <c r="T1910" s="108">
        <v>0</v>
      </c>
      <c r="U1910" s="108">
        <v>0</v>
      </c>
      <c r="V1910" s="108">
        <v>0</v>
      </c>
    </row>
    <row r="1911" spans="1:22">
      <c r="A1911" s="103">
        <v>45098</v>
      </c>
      <c r="B1911" s="104" t="s">
        <v>36</v>
      </c>
      <c r="C1911" s="145">
        <v>0</v>
      </c>
      <c r="D1911" s="145"/>
      <c r="E1911" s="104">
        <v>0</v>
      </c>
      <c r="F1911" s="106">
        <v>0</v>
      </c>
      <c r="G1911" s="107">
        <v>0</v>
      </c>
      <c r="H1911" s="106">
        <v>0</v>
      </c>
      <c r="I1911" s="104">
        <v>0</v>
      </c>
      <c r="J1911" s="106">
        <v>0</v>
      </c>
      <c r="K1911" s="213">
        <v>0</v>
      </c>
      <c r="L1911" s="213">
        <v>0</v>
      </c>
      <c r="M1911" s="213">
        <v>0</v>
      </c>
      <c r="N1911" s="213">
        <v>0</v>
      </c>
      <c r="O1911" s="213">
        <v>0</v>
      </c>
      <c r="P1911" s="108">
        <v>0</v>
      </c>
      <c r="Q1911" s="108">
        <v>0</v>
      </c>
      <c r="R1911" s="108">
        <v>0</v>
      </c>
      <c r="S1911" s="108">
        <v>0</v>
      </c>
      <c r="T1911" s="108">
        <v>0</v>
      </c>
      <c r="U1911" s="108">
        <v>0</v>
      </c>
      <c r="V1911" s="108">
        <v>0</v>
      </c>
    </row>
    <row r="1912" spans="1:22">
      <c r="A1912" s="103">
        <v>45098</v>
      </c>
      <c r="B1912" s="104" t="s">
        <v>37</v>
      </c>
      <c r="C1912" s="145">
        <v>0</v>
      </c>
      <c r="D1912" s="145"/>
      <c r="E1912" s="104">
        <v>0</v>
      </c>
      <c r="F1912" s="106">
        <v>0</v>
      </c>
      <c r="G1912" s="107">
        <v>0</v>
      </c>
      <c r="H1912" s="106">
        <v>0</v>
      </c>
      <c r="I1912" s="104">
        <v>0</v>
      </c>
      <c r="J1912" s="106">
        <v>0</v>
      </c>
      <c r="K1912" s="213">
        <v>0</v>
      </c>
      <c r="L1912" s="213">
        <v>0</v>
      </c>
      <c r="M1912" s="213">
        <v>0</v>
      </c>
      <c r="N1912" s="213">
        <v>0</v>
      </c>
      <c r="O1912" s="213">
        <v>0</v>
      </c>
      <c r="P1912" s="108">
        <v>0</v>
      </c>
      <c r="Q1912" s="108">
        <v>-0.2</v>
      </c>
      <c r="R1912" s="108">
        <v>-0.142857142857143</v>
      </c>
      <c r="S1912" s="108">
        <v>0</v>
      </c>
      <c r="T1912" s="108">
        <v>0</v>
      </c>
      <c r="U1912" s="108">
        <v>0</v>
      </c>
      <c r="V1912" s="108">
        <v>0</v>
      </c>
    </row>
    <row r="1913" spans="1:22">
      <c r="A1913" s="103">
        <v>45098</v>
      </c>
      <c r="B1913" s="104" t="s">
        <v>38</v>
      </c>
      <c r="C1913" s="145">
        <v>0</v>
      </c>
      <c r="D1913" s="145"/>
      <c r="E1913" s="104">
        <v>0</v>
      </c>
      <c r="F1913" s="106">
        <v>0</v>
      </c>
      <c r="G1913" s="107">
        <v>0</v>
      </c>
      <c r="H1913" s="106">
        <v>0</v>
      </c>
      <c r="I1913" s="104">
        <v>0</v>
      </c>
      <c r="J1913" s="106">
        <v>0</v>
      </c>
      <c r="K1913" s="213">
        <v>0</v>
      </c>
      <c r="L1913" s="213">
        <v>0</v>
      </c>
      <c r="M1913" s="213">
        <v>0</v>
      </c>
      <c r="N1913" s="213">
        <v>0</v>
      </c>
      <c r="O1913" s="213">
        <v>0</v>
      </c>
      <c r="P1913" s="108">
        <v>0</v>
      </c>
      <c r="Q1913" s="108">
        <v>0</v>
      </c>
      <c r="R1913" s="108">
        <v>0</v>
      </c>
      <c r="S1913" s="108">
        <v>0</v>
      </c>
      <c r="T1913" s="108">
        <v>0</v>
      </c>
      <c r="U1913" s="108">
        <v>0</v>
      </c>
      <c r="V1913" s="108">
        <v>0</v>
      </c>
    </row>
    <row r="1914" spans="1:22">
      <c r="A1914" s="103">
        <v>45098</v>
      </c>
      <c r="B1914" s="111" t="s">
        <v>39</v>
      </c>
      <c r="C1914" s="112">
        <v>11581</v>
      </c>
      <c r="D1914" s="112"/>
      <c r="E1914" s="112">
        <v>256</v>
      </c>
      <c r="F1914" s="113">
        <v>0.0221051722649167</v>
      </c>
      <c r="G1914" s="112">
        <v>84</v>
      </c>
      <c r="H1914" s="113">
        <v>0.328125</v>
      </c>
      <c r="I1914" s="112">
        <v>56</v>
      </c>
      <c r="J1914" s="106">
        <v>0.21875</v>
      </c>
      <c r="K1914" s="213"/>
      <c r="L1914" s="213"/>
      <c r="M1914" s="213"/>
      <c r="N1914" s="213"/>
      <c r="O1914" s="213"/>
      <c r="P1914" s="108"/>
      <c r="Q1914" s="108"/>
      <c r="R1914" s="108"/>
      <c r="S1914" s="108"/>
      <c r="T1914" s="108"/>
      <c r="U1914" s="108"/>
      <c r="V1914" s="108"/>
    </row>
    <row r="1915" spans="1:22">
      <c r="A1915" s="214">
        <v>45099</v>
      </c>
      <c r="B1915" s="104" t="s">
        <v>17</v>
      </c>
      <c r="C1915" s="216">
        <v>3</v>
      </c>
      <c r="D1915" s="216"/>
      <c r="E1915" s="217">
        <v>48</v>
      </c>
      <c r="F1915" s="106">
        <v>16</v>
      </c>
      <c r="G1915" s="107">
        <v>12</v>
      </c>
      <c r="H1915" s="106">
        <v>0.25</v>
      </c>
      <c r="I1915" s="104">
        <v>9</v>
      </c>
      <c r="J1915" s="106">
        <v>0.1875</v>
      </c>
      <c r="K1915" s="213">
        <v>0</v>
      </c>
      <c r="L1915" s="213">
        <v>0.333333333333333</v>
      </c>
      <c r="M1915" s="213">
        <v>0.8</v>
      </c>
      <c r="N1915" s="213">
        <v>0.714285714285714</v>
      </c>
      <c r="O1915" s="213">
        <v>4</v>
      </c>
      <c r="P1915" s="108">
        <v>0.666666666666664</v>
      </c>
      <c r="Q1915" s="108">
        <v>3.8</v>
      </c>
      <c r="R1915" s="108">
        <v>8</v>
      </c>
      <c r="S1915" s="108">
        <v>3</v>
      </c>
      <c r="T1915" s="108">
        <v>0.4</v>
      </c>
      <c r="U1915" s="108">
        <v>0.4</v>
      </c>
      <c r="V1915" s="108">
        <v>1.85714285714286</v>
      </c>
    </row>
    <row r="1916" spans="1:22">
      <c r="A1916" s="214">
        <v>45099</v>
      </c>
      <c r="B1916" s="104" t="s">
        <v>19</v>
      </c>
      <c r="C1916" s="216">
        <v>561</v>
      </c>
      <c r="D1916" s="216"/>
      <c r="E1916" s="217">
        <v>13</v>
      </c>
      <c r="F1916" s="106">
        <v>0.0231729055258467</v>
      </c>
      <c r="G1916" s="107">
        <v>2</v>
      </c>
      <c r="H1916" s="106">
        <v>0.153846153846154</v>
      </c>
      <c r="I1916" s="104">
        <v>2</v>
      </c>
      <c r="J1916" s="106">
        <v>0.153846153846154</v>
      </c>
      <c r="K1916" s="213">
        <v>-5</v>
      </c>
      <c r="L1916" s="213">
        <v>48.6666666666666</v>
      </c>
      <c r="M1916" s="213">
        <v>8.39999999999998</v>
      </c>
      <c r="N1916" s="213">
        <v>-0.571428571428555</v>
      </c>
      <c r="O1916" s="213">
        <v>4</v>
      </c>
      <c r="P1916" s="108">
        <v>-1</v>
      </c>
      <c r="Q1916" s="108">
        <v>-1.8</v>
      </c>
      <c r="R1916" s="108">
        <v>-4</v>
      </c>
      <c r="S1916" s="108">
        <v>-2</v>
      </c>
      <c r="T1916" s="108">
        <v>-1.66666666666667</v>
      </c>
      <c r="U1916" s="108">
        <v>-2</v>
      </c>
      <c r="V1916" s="115">
        <v>-3</v>
      </c>
    </row>
    <row r="1917" spans="1:22">
      <c r="A1917" s="214">
        <v>45099</v>
      </c>
      <c r="B1917" s="104" t="s">
        <v>21</v>
      </c>
      <c r="C1917" s="218">
        <v>342</v>
      </c>
      <c r="D1917" s="218"/>
      <c r="E1917" s="217">
        <v>3</v>
      </c>
      <c r="F1917" s="106">
        <v>0.0087719298245614</v>
      </c>
      <c r="G1917" s="107">
        <v>2</v>
      </c>
      <c r="H1917" s="106">
        <v>0.666666666666667</v>
      </c>
      <c r="I1917" s="104">
        <v>1</v>
      </c>
      <c r="J1917" s="106">
        <v>0.333333333333333</v>
      </c>
      <c r="K1917" s="213">
        <v>67</v>
      </c>
      <c r="L1917" s="213">
        <v>77.3333333333333</v>
      </c>
      <c r="M1917" s="213">
        <v>74.6</v>
      </c>
      <c r="N1917" s="213">
        <v>86.4285714285714</v>
      </c>
      <c r="O1917" s="213">
        <v>0</v>
      </c>
      <c r="P1917" s="108">
        <v>-2</v>
      </c>
      <c r="Q1917" s="108">
        <v>-2.2</v>
      </c>
      <c r="R1917" s="108">
        <v>-2.42857142857143</v>
      </c>
      <c r="S1917" s="108">
        <v>-1</v>
      </c>
      <c r="T1917" s="108">
        <v>-0.666666666666667</v>
      </c>
      <c r="U1917" s="108">
        <v>-0.6</v>
      </c>
      <c r="V1917" s="108">
        <v>-0.571428571428572</v>
      </c>
    </row>
    <row r="1918" spans="1:22">
      <c r="A1918" s="214">
        <v>45099</v>
      </c>
      <c r="B1918" s="104" t="s">
        <v>22</v>
      </c>
      <c r="C1918" s="218">
        <v>2388</v>
      </c>
      <c r="D1918" s="218"/>
      <c r="E1918" s="217">
        <v>42</v>
      </c>
      <c r="F1918" s="106">
        <v>0.0175879396984925</v>
      </c>
      <c r="G1918" s="107">
        <v>18</v>
      </c>
      <c r="H1918" s="106">
        <v>0.428571428571429</v>
      </c>
      <c r="I1918" s="104">
        <v>12</v>
      </c>
      <c r="J1918" s="106">
        <v>0.285714285714286</v>
      </c>
      <c r="K1918" s="213">
        <v>77</v>
      </c>
      <c r="L1918" s="213">
        <v>27.6666666666665</v>
      </c>
      <c r="M1918" s="213">
        <v>-50.8000000000002</v>
      </c>
      <c r="N1918" s="213">
        <v>-161.857142857143</v>
      </c>
      <c r="O1918" s="213">
        <v>-5</v>
      </c>
      <c r="P1918" s="108">
        <v>-3.33333333333334</v>
      </c>
      <c r="Q1918" s="108">
        <v>-5.6</v>
      </c>
      <c r="R1918" s="115">
        <v>-14.8571428571429</v>
      </c>
      <c r="S1918" s="108">
        <v>1</v>
      </c>
      <c r="T1918" s="108">
        <v>1.66666666666667</v>
      </c>
      <c r="U1918" s="108">
        <v>-2.4</v>
      </c>
      <c r="V1918" s="117">
        <v>-5.28571428571428</v>
      </c>
    </row>
    <row r="1919" spans="1:22">
      <c r="A1919" s="214">
        <v>45099</v>
      </c>
      <c r="B1919" s="104" t="s">
        <v>23</v>
      </c>
      <c r="C1919" s="218">
        <v>1903</v>
      </c>
      <c r="D1919" s="218"/>
      <c r="E1919" s="217">
        <v>3</v>
      </c>
      <c r="F1919" s="106">
        <v>0.00157645822385707</v>
      </c>
      <c r="G1919" s="107">
        <v>6</v>
      </c>
      <c r="H1919" s="106">
        <v>2</v>
      </c>
      <c r="I1919" s="104">
        <v>3</v>
      </c>
      <c r="J1919" s="106">
        <v>1</v>
      </c>
      <c r="K1919" s="213">
        <v>20</v>
      </c>
      <c r="L1919" s="213">
        <v>104</v>
      </c>
      <c r="M1919" s="213">
        <v>62</v>
      </c>
      <c r="N1919" s="213">
        <v>44</v>
      </c>
      <c r="O1919" s="213">
        <v>-8</v>
      </c>
      <c r="P1919" s="108">
        <v>-5.66666666666667</v>
      </c>
      <c r="Q1919" s="108">
        <v>-4.6</v>
      </c>
      <c r="R1919" s="108">
        <v>-3.85714285714286</v>
      </c>
      <c r="S1919" s="108">
        <v>3</v>
      </c>
      <c r="T1919" s="108">
        <v>3</v>
      </c>
      <c r="U1919" s="108">
        <v>3.2</v>
      </c>
      <c r="V1919" s="108">
        <v>3.57142857142857</v>
      </c>
    </row>
    <row r="1920" spans="1:22">
      <c r="A1920" s="214">
        <v>45099</v>
      </c>
      <c r="B1920" s="104" t="s">
        <v>24</v>
      </c>
      <c r="C1920" s="218">
        <v>2148</v>
      </c>
      <c r="D1920" s="218"/>
      <c r="E1920" s="217">
        <v>70</v>
      </c>
      <c r="F1920" s="106">
        <v>0.0325884543761639</v>
      </c>
      <c r="G1920" s="107">
        <v>13</v>
      </c>
      <c r="H1920" s="106">
        <v>0.185714285714286</v>
      </c>
      <c r="I1920" s="104">
        <v>9</v>
      </c>
      <c r="J1920" s="106">
        <v>0.128571428571429</v>
      </c>
      <c r="K1920" s="213">
        <v>375</v>
      </c>
      <c r="L1920" s="213">
        <v>290.333333333333</v>
      </c>
      <c r="M1920" s="213">
        <v>-83.8000000000002</v>
      </c>
      <c r="N1920" s="213">
        <v>-412.142857142857</v>
      </c>
      <c r="O1920" s="219">
        <v>24</v>
      </c>
      <c r="P1920" s="115">
        <v>10</v>
      </c>
      <c r="Q1920" s="115">
        <v>-8.59999999999999</v>
      </c>
      <c r="R1920" s="115">
        <v>-20.1428571428571</v>
      </c>
      <c r="S1920" s="115">
        <v>-1</v>
      </c>
      <c r="T1920" s="115">
        <v>-4.66666666666667</v>
      </c>
      <c r="U1920" s="115">
        <v>-14.4</v>
      </c>
      <c r="V1920" s="115">
        <v>-17.7142857142857</v>
      </c>
    </row>
    <row r="1921" spans="1:22">
      <c r="A1921" s="214">
        <v>45099</v>
      </c>
      <c r="B1921" s="104" t="s">
        <v>25</v>
      </c>
      <c r="C1921" s="218">
        <v>3028</v>
      </c>
      <c r="D1921" s="218"/>
      <c r="E1921" s="217">
        <v>50</v>
      </c>
      <c r="F1921" s="106">
        <v>0.0165125495376486</v>
      </c>
      <c r="G1921" s="107">
        <v>16</v>
      </c>
      <c r="H1921" s="106">
        <v>0.32</v>
      </c>
      <c r="I1921" s="104">
        <v>10</v>
      </c>
      <c r="J1921" s="106">
        <v>0.2</v>
      </c>
      <c r="K1921" s="213">
        <v>215</v>
      </c>
      <c r="L1921" s="213">
        <v>218.333333333333</v>
      </c>
      <c r="M1921" s="213">
        <v>116</v>
      </c>
      <c r="N1921" s="213">
        <v>122.428571428572</v>
      </c>
      <c r="O1921" s="220">
        <v>-7</v>
      </c>
      <c r="P1921" s="115">
        <v>-13.6666666666667</v>
      </c>
      <c r="Q1921" s="115">
        <v>-13.8</v>
      </c>
      <c r="R1921" s="115">
        <v>-16</v>
      </c>
      <c r="S1921" s="108">
        <v>-6</v>
      </c>
      <c r="T1921" s="108">
        <v>-4</v>
      </c>
      <c r="U1921" s="108">
        <v>-5.6</v>
      </c>
      <c r="V1921" s="108">
        <v>-5.28571428571428</v>
      </c>
    </row>
    <row r="1922" spans="1:22">
      <c r="A1922" s="214">
        <v>45099</v>
      </c>
      <c r="B1922" s="104" t="s">
        <v>26</v>
      </c>
      <c r="C1922" s="218">
        <v>1</v>
      </c>
      <c r="D1922" s="218"/>
      <c r="E1922" s="217">
        <v>0</v>
      </c>
      <c r="F1922" s="106">
        <v>0</v>
      </c>
      <c r="G1922" s="107">
        <v>3</v>
      </c>
      <c r="H1922" s="106">
        <v>3</v>
      </c>
      <c r="I1922" s="104">
        <v>0</v>
      </c>
      <c r="J1922" s="106">
        <v>0</v>
      </c>
      <c r="K1922" s="213">
        <v>1</v>
      </c>
      <c r="L1922" s="213">
        <v>0</v>
      </c>
      <c r="M1922" s="213">
        <v>-1.4</v>
      </c>
      <c r="N1922" s="213">
        <v>-404.857142857143</v>
      </c>
      <c r="O1922" s="213">
        <v>0</v>
      </c>
      <c r="P1922" s="108">
        <v>0</v>
      </c>
      <c r="Q1922" s="108">
        <v>0</v>
      </c>
      <c r="R1922" s="108">
        <v>-0.571428571428571</v>
      </c>
      <c r="S1922" s="108">
        <v>3</v>
      </c>
      <c r="T1922" s="108">
        <v>2.66666666666667</v>
      </c>
      <c r="U1922" s="108">
        <v>2.2</v>
      </c>
      <c r="V1922" s="108">
        <v>2.28571428571429</v>
      </c>
    </row>
    <row r="1923" spans="1:22">
      <c r="A1923" s="214">
        <v>45099</v>
      </c>
      <c r="B1923" s="104" t="s">
        <v>27</v>
      </c>
      <c r="C1923" s="218">
        <v>1846</v>
      </c>
      <c r="D1923" s="218"/>
      <c r="E1923" s="217">
        <v>30</v>
      </c>
      <c r="F1923" s="106">
        <v>0.0162513542795233</v>
      </c>
      <c r="G1923" s="107">
        <v>5</v>
      </c>
      <c r="H1923" s="106">
        <v>0.166666666666667</v>
      </c>
      <c r="I1923" s="104">
        <v>3</v>
      </c>
      <c r="J1923" s="106">
        <v>0.1</v>
      </c>
      <c r="K1923" s="213">
        <v>-111</v>
      </c>
      <c r="L1923" s="213">
        <v>-1004</v>
      </c>
      <c r="M1923" s="213">
        <v>-1039.8</v>
      </c>
      <c r="N1923" s="213">
        <v>-985</v>
      </c>
      <c r="O1923" s="213">
        <v>-9</v>
      </c>
      <c r="P1923" s="108">
        <v>-20.3333333333333</v>
      </c>
      <c r="Q1923" s="108">
        <v>-17.4</v>
      </c>
      <c r="R1923" s="108">
        <v>-18</v>
      </c>
      <c r="S1923" s="108">
        <v>-7</v>
      </c>
      <c r="T1923" s="108">
        <v>-6.66666666666667</v>
      </c>
      <c r="U1923" s="108">
        <v>-5.6</v>
      </c>
      <c r="V1923" s="108">
        <v>-7</v>
      </c>
    </row>
    <row r="1924" spans="1:22">
      <c r="A1924" s="214">
        <v>45099</v>
      </c>
      <c r="B1924" s="104" t="s">
        <v>28</v>
      </c>
      <c r="C1924" s="145">
        <v>0</v>
      </c>
      <c r="D1924" s="145"/>
      <c r="E1924" s="104">
        <v>0</v>
      </c>
      <c r="F1924" s="106">
        <v>0</v>
      </c>
      <c r="G1924" s="107">
        <v>0</v>
      </c>
      <c r="H1924" s="106">
        <v>0</v>
      </c>
      <c r="I1924" s="104">
        <v>0</v>
      </c>
      <c r="J1924" s="106">
        <v>0</v>
      </c>
      <c r="K1924" s="213">
        <v>0</v>
      </c>
      <c r="L1924" s="213">
        <v>0</v>
      </c>
      <c r="M1924" s="213">
        <v>0</v>
      </c>
      <c r="N1924" s="213">
        <v>0</v>
      </c>
      <c r="O1924" s="213">
        <v>0</v>
      </c>
      <c r="P1924" s="108">
        <v>-0.333333333333333</v>
      </c>
      <c r="Q1924" s="108">
        <v>-0.2</v>
      </c>
      <c r="R1924" s="108">
        <v>-0.142857142857143</v>
      </c>
      <c r="S1924" s="108">
        <v>0</v>
      </c>
      <c r="T1924" s="108">
        <v>-0.333333333333333</v>
      </c>
      <c r="U1924" s="108">
        <v>-0.2</v>
      </c>
      <c r="V1924" s="108">
        <v>-0.142857142857143</v>
      </c>
    </row>
    <row r="1925" spans="1:22">
      <c r="A1925" s="214">
        <v>45099</v>
      </c>
      <c r="B1925" s="104" t="s">
        <v>29</v>
      </c>
      <c r="C1925" s="145">
        <v>0</v>
      </c>
      <c r="D1925" s="145"/>
      <c r="E1925" s="104">
        <v>0</v>
      </c>
      <c r="F1925" s="106">
        <v>0</v>
      </c>
      <c r="G1925" s="107">
        <v>0</v>
      </c>
      <c r="H1925" s="106">
        <v>0</v>
      </c>
      <c r="I1925" s="104">
        <v>0</v>
      </c>
      <c r="J1925" s="106">
        <v>0</v>
      </c>
      <c r="K1925" s="213">
        <v>0</v>
      </c>
      <c r="L1925" s="213">
        <v>0</v>
      </c>
      <c r="M1925" s="213">
        <v>0</v>
      </c>
      <c r="N1925" s="213">
        <v>0</v>
      </c>
      <c r="O1925" s="213">
        <v>0</v>
      </c>
      <c r="P1925" s="108">
        <v>0</v>
      </c>
      <c r="Q1925" s="108">
        <v>0</v>
      </c>
      <c r="R1925" s="108">
        <v>0</v>
      </c>
      <c r="S1925" s="108">
        <v>0</v>
      </c>
      <c r="T1925" s="108">
        <v>0</v>
      </c>
      <c r="U1925" s="108">
        <v>0</v>
      </c>
      <c r="V1925" s="108">
        <v>0</v>
      </c>
    </row>
    <row r="1926" spans="1:22">
      <c r="A1926" s="214">
        <v>45099</v>
      </c>
      <c r="B1926" s="104" t="s">
        <v>30</v>
      </c>
      <c r="C1926" s="145">
        <v>0</v>
      </c>
      <c r="D1926" s="145"/>
      <c r="E1926" s="104">
        <v>0</v>
      </c>
      <c r="F1926" s="106">
        <v>0</v>
      </c>
      <c r="G1926" s="107">
        <v>0</v>
      </c>
      <c r="H1926" s="106">
        <v>0</v>
      </c>
      <c r="I1926" s="104">
        <v>0</v>
      </c>
      <c r="J1926" s="106">
        <v>0</v>
      </c>
      <c r="K1926" s="213">
        <v>0</v>
      </c>
      <c r="L1926" s="213">
        <v>0</v>
      </c>
      <c r="M1926" s="213">
        <v>0</v>
      </c>
      <c r="N1926" s="213">
        <v>0</v>
      </c>
      <c r="O1926" s="213">
        <v>0</v>
      </c>
      <c r="P1926" s="108">
        <v>0</v>
      </c>
      <c r="Q1926" s="108">
        <v>0</v>
      </c>
      <c r="R1926" s="108">
        <v>0</v>
      </c>
      <c r="S1926" s="108">
        <v>0</v>
      </c>
      <c r="T1926" s="108">
        <v>0</v>
      </c>
      <c r="U1926" s="108">
        <v>0</v>
      </c>
      <c r="V1926" s="108">
        <v>0</v>
      </c>
    </row>
    <row r="1927" spans="1:22">
      <c r="A1927" s="214">
        <v>45099</v>
      </c>
      <c r="B1927" s="104" t="s">
        <v>31</v>
      </c>
      <c r="C1927" s="145">
        <v>0</v>
      </c>
      <c r="D1927" s="145"/>
      <c r="E1927" s="104">
        <v>0</v>
      </c>
      <c r="F1927" s="106">
        <v>0</v>
      </c>
      <c r="G1927" s="107">
        <v>0</v>
      </c>
      <c r="H1927" s="106">
        <v>0</v>
      </c>
      <c r="I1927" s="104">
        <v>0</v>
      </c>
      <c r="J1927" s="106">
        <v>0</v>
      </c>
      <c r="K1927" s="213">
        <v>0</v>
      </c>
      <c r="L1927" s="213">
        <v>0</v>
      </c>
      <c r="M1927" s="213">
        <v>0</v>
      </c>
      <c r="N1927" s="213">
        <v>0</v>
      </c>
      <c r="O1927" s="213">
        <v>0</v>
      </c>
      <c r="P1927" s="108">
        <v>0</v>
      </c>
      <c r="Q1927" s="108">
        <v>0</v>
      </c>
      <c r="R1927" s="108">
        <v>0</v>
      </c>
      <c r="S1927" s="108">
        <v>0</v>
      </c>
      <c r="T1927" s="108">
        <v>0</v>
      </c>
      <c r="U1927" s="108">
        <v>0</v>
      </c>
      <c r="V1927" s="108">
        <v>0</v>
      </c>
    </row>
    <row r="1928" spans="1:22">
      <c r="A1928" s="214">
        <v>45099</v>
      </c>
      <c r="B1928" s="104" t="s">
        <v>32</v>
      </c>
      <c r="C1928" s="145">
        <v>0</v>
      </c>
      <c r="D1928" s="145"/>
      <c r="E1928" s="104">
        <v>0</v>
      </c>
      <c r="F1928" s="106">
        <v>0</v>
      </c>
      <c r="G1928" s="107">
        <v>0</v>
      </c>
      <c r="H1928" s="106">
        <v>0</v>
      </c>
      <c r="I1928" s="104">
        <v>0</v>
      </c>
      <c r="J1928" s="106">
        <v>0</v>
      </c>
      <c r="K1928" s="213">
        <v>0</v>
      </c>
      <c r="L1928" s="213">
        <v>0</v>
      </c>
      <c r="M1928" s="213">
        <v>0</v>
      </c>
      <c r="N1928" s="213">
        <v>0</v>
      </c>
      <c r="O1928" s="213">
        <v>0</v>
      </c>
      <c r="P1928" s="108">
        <v>0</v>
      </c>
      <c r="Q1928" s="108">
        <v>0</v>
      </c>
      <c r="R1928" s="108">
        <v>0</v>
      </c>
      <c r="S1928" s="108">
        <v>0</v>
      </c>
      <c r="T1928" s="108">
        <v>0</v>
      </c>
      <c r="U1928" s="108">
        <v>0</v>
      </c>
      <c r="V1928" s="108">
        <v>0</v>
      </c>
    </row>
    <row r="1929" spans="1:22">
      <c r="A1929" s="214">
        <v>45099</v>
      </c>
      <c r="B1929" s="104" t="s">
        <v>33</v>
      </c>
      <c r="C1929" s="145">
        <v>0</v>
      </c>
      <c r="D1929" s="145"/>
      <c r="E1929" s="104">
        <v>0</v>
      </c>
      <c r="F1929" s="106">
        <v>0</v>
      </c>
      <c r="G1929" s="107">
        <v>0</v>
      </c>
      <c r="H1929" s="106">
        <v>0</v>
      </c>
      <c r="I1929" s="104">
        <v>0</v>
      </c>
      <c r="J1929" s="106">
        <v>0</v>
      </c>
      <c r="K1929" s="213">
        <v>0</v>
      </c>
      <c r="L1929" s="213">
        <v>0</v>
      </c>
      <c r="M1929" s="213">
        <v>0</v>
      </c>
      <c r="N1929" s="213">
        <v>0</v>
      </c>
      <c r="O1929" s="213">
        <v>0</v>
      </c>
      <c r="P1929" s="108">
        <v>0</v>
      </c>
      <c r="Q1929" s="108">
        <v>0</v>
      </c>
      <c r="R1929" s="108">
        <v>0</v>
      </c>
      <c r="S1929" s="108">
        <v>0</v>
      </c>
      <c r="T1929" s="108">
        <v>0</v>
      </c>
      <c r="U1929" s="108">
        <v>0</v>
      </c>
      <c r="V1929" s="108">
        <v>0</v>
      </c>
    </row>
    <row r="1930" spans="1:22">
      <c r="A1930" s="214">
        <v>45099</v>
      </c>
      <c r="B1930" s="104" t="s">
        <v>34</v>
      </c>
      <c r="C1930" s="145">
        <v>0</v>
      </c>
      <c r="D1930" s="145"/>
      <c r="E1930" s="104">
        <v>0</v>
      </c>
      <c r="F1930" s="106">
        <v>0</v>
      </c>
      <c r="G1930" s="107">
        <v>0</v>
      </c>
      <c r="H1930" s="106">
        <v>0</v>
      </c>
      <c r="I1930" s="104">
        <v>0</v>
      </c>
      <c r="J1930" s="106">
        <v>0</v>
      </c>
      <c r="K1930" s="213">
        <v>0</v>
      </c>
      <c r="L1930" s="213">
        <v>0</v>
      </c>
      <c r="M1930" s="213">
        <v>0</v>
      </c>
      <c r="N1930" s="213">
        <v>0</v>
      </c>
      <c r="O1930" s="213">
        <v>0</v>
      </c>
      <c r="P1930" s="108">
        <v>0</v>
      </c>
      <c r="Q1930" s="108">
        <v>0</v>
      </c>
      <c r="R1930" s="108">
        <v>0</v>
      </c>
      <c r="S1930" s="108">
        <v>0</v>
      </c>
      <c r="T1930" s="108">
        <v>0</v>
      </c>
      <c r="U1930" s="108">
        <v>0</v>
      </c>
      <c r="V1930" s="108">
        <v>0</v>
      </c>
    </row>
    <row r="1931" spans="1:22">
      <c r="A1931" s="214">
        <v>45099</v>
      </c>
      <c r="B1931" s="104" t="s">
        <v>35</v>
      </c>
      <c r="C1931" s="145">
        <v>0</v>
      </c>
      <c r="D1931" s="145"/>
      <c r="E1931" s="104">
        <v>0</v>
      </c>
      <c r="F1931" s="106">
        <v>0</v>
      </c>
      <c r="G1931" s="107">
        <v>0</v>
      </c>
      <c r="H1931" s="106">
        <v>0</v>
      </c>
      <c r="I1931" s="104">
        <v>0</v>
      </c>
      <c r="J1931" s="106">
        <v>0</v>
      </c>
      <c r="K1931" s="213">
        <v>0</v>
      </c>
      <c r="L1931" s="213">
        <v>0</v>
      </c>
      <c r="M1931" s="213">
        <v>0</v>
      </c>
      <c r="N1931" s="213">
        <v>0</v>
      </c>
      <c r="O1931" s="213">
        <v>0</v>
      </c>
      <c r="P1931" s="108">
        <v>0</v>
      </c>
      <c r="Q1931" s="108">
        <v>0</v>
      </c>
      <c r="R1931" s="108">
        <v>0</v>
      </c>
      <c r="S1931" s="108">
        <v>0</v>
      </c>
      <c r="T1931" s="108">
        <v>0</v>
      </c>
      <c r="U1931" s="108">
        <v>0</v>
      </c>
      <c r="V1931" s="108">
        <v>0</v>
      </c>
    </row>
    <row r="1932" spans="1:22">
      <c r="A1932" s="214">
        <v>45099</v>
      </c>
      <c r="B1932" s="104" t="s">
        <v>36</v>
      </c>
      <c r="C1932" s="145">
        <v>0</v>
      </c>
      <c r="D1932" s="145"/>
      <c r="E1932" s="104">
        <v>0</v>
      </c>
      <c r="F1932" s="106">
        <v>0</v>
      </c>
      <c r="G1932" s="107">
        <v>0</v>
      </c>
      <c r="H1932" s="106">
        <v>0</v>
      </c>
      <c r="I1932" s="104">
        <v>0</v>
      </c>
      <c r="J1932" s="106">
        <v>0</v>
      </c>
      <c r="K1932" s="213">
        <v>0</v>
      </c>
      <c r="L1932" s="213">
        <v>0</v>
      </c>
      <c r="M1932" s="213">
        <v>0</v>
      </c>
      <c r="N1932" s="213">
        <v>0</v>
      </c>
      <c r="O1932" s="213">
        <v>0</v>
      </c>
      <c r="P1932" s="108">
        <v>0</v>
      </c>
      <c r="Q1932" s="108">
        <v>0</v>
      </c>
      <c r="R1932" s="108">
        <v>0</v>
      </c>
      <c r="S1932" s="108">
        <v>0</v>
      </c>
      <c r="T1932" s="108">
        <v>0</v>
      </c>
      <c r="U1932" s="108">
        <v>0</v>
      </c>
      <c r="V1932" s="108">
        <v>0</v>
      </c>
    </row>
    <row r="1933" spans="1:22">
      <c r="A1933" s="214">
        <v>45099</v>
      </c>
      <c r="B1933" s="104" t="s">
        <v>37</v>
      </c>
      <c r="C1933" s="145">
        <v>0</v>
      </c>
      <c r="D1933" s="145"/>
      <c r="E1933" s="104">
        <v>0</v>
      </c>
      <c r="F1933" s="106">
        <v>0</v>
      </c>
      <c r="G1933" s="107">
        <v>0</v>
      </c>
      <c r="H1933" s="106">
        <v>0</v>
      </c>
      <c r="I1933" s="104">
        <v>0</v>
      </c>
      <c r="J1933" s="106">
        <v>0</v>
      </c>
      <c r="K1933" s="213">
        <v>0</v>
      </c>
      <c r="L1933" s="213">
        <v>0</v>
      </c>
      <c r="M1933" s="213">
        <v>0</v>
      </c>
      <c r="N1933" s="213">
        <v>0</v>
      </c>
      <c r="O1933" s="213">
        <v>0</v>
      </c>
      <c r="P1933" s="108">
        <v>0</v>
      </c>
      <c r="Q1933" s="108">
        <v>0</v>
      </c>
      <c r="R1933" s="108">
        <v>-0.142857142857143</v>
      </c>
      <c r="S1933" s="108">
        <v>0</v>
      </c>
      <c r="T1933" s="108">
        <v>0</v>
      </c>
      <c r="U1933" s="108">
        <v>0</v>
      </c>
      <c r="V1933" s="108">
        <v>0</v>
      </c>
    </row>
    <row r="1934" spans="1:22">
      <c r="A1934" s="214">
        <v>45099</v>
      </c>
      <c r="B1934" s="104" t="s">
        <v>38</v>
      </c>
      <c r="C1934" s="145">
        <v>0</v>
      </c>
      <c r="D1934" s="145"/>
      <c r="E1934" s="104">
        <v>0</v>
      </c>
      <c r="F1934" s="106">
        <v>0</v>
      </c>
      <c r="G1934" s="107">
        <v>0</v>
      </c>
      <c r="H1934" s="106">
        <v>0</v>
      </c>
      <c r="I1934" s="104">
        <v>0</v>
      </c>
      <c r="J1934" s="106">
        <v>0</v>
      </c>
      <c r="K1934" s="213">
        <v>0</v>
      </c>
      <c r="L1934" s="213">
        <v>0</v>
      </c>
      <c r="M1934" s="213">
        <v>0</v>
      </c>
      <c r="N1934" s="213">
        <v>0</v>
      </c>
      <c r="O1934" s="213">
        <v>0</v>
      </c>
      <c r="P1934" s="108">
        <v>0</v>
      </c>
      <c r="Q1934" s="108">
        <v>0</v>
      </c>
      <c r="R1934" s="108">
        <v>0</v>
      </c>
      <c r="S1934" s="108">
        <v>0</v>
      </c>
      <c r="T1934" s="108">
        <v>0</v>
      </c>
      <c r="U1934" s="108">
        <v>0</v>
      </c>
      <c r="V1934" s="108">
        <v>0</v>
      </c>
    </row>
    <row r="1935" spans="1:22">
      <c r="A1935" s="214">
        <v>45099</v>
      </c>
      <c r="B1935" s="111" t="s">
        <v>39</v>
      </c>
      <c r="C1935" s="112">
        <v>12220</v>
      </c>
      <c r="D1935" s="112"/>
      <c r="E1935" s="112">
        <v>259</v>
      </c>
      <c r="F1935" s="106">
        <v>0.0211947626841244</v>
      </c>
      <c r="G1935" s="112">
        <v>77</v>
      </c>
      <c r="H1935" s="113">
        <v>0.297297297297297</v>
      </c>
      <c r="I1935" s="112">
        <v>49</v>
      </c>
      <c r="J1935" s="106">
        <v>0.189189189189189</v>
      </c>
      <c r="K1935" s="213"/>
      <c r="L1935" s="213"/>
      <c r="M1935" s="213"/>
      <c r="N1935" s="213"/>
      <c r="O1935" s="213"/>
      <c r="P1935" s="108"/>
      <c r="Q1935" s="108"/>
      <c r="R1935" s="108"/>
      <c r="S1935" s="108"/>
      <c r="T1935" s="108"/>
      <c r="U1935" s="108"/>
      <c r="V1935" s="108"/>
    </row>
    <row r="1936" spans="1:22">
      <c r="A1936" s="103">
        <v>45100</v>
      </c>
      <c r="B1936" s="104" t="s">
        <v>17</v>
      </c>
      <c r="C1936" s="216">
        <v>1</v>
      </c>
      <c r="D1936" s="216">
        <v>1143</v>
      </c>
      <c r="E1936" s="217">
        <v>58</v>
      </c>
      <c r="F1936" s="106">
        <v>58</v>
      </c>
      <c r="G1936" s="107">
        <v>13</v>
      </c>
      <c r="H1936" s="106">
        <v>0.224137931034483</v>
      </c>
      <c r="I1936" s="104">
        <v>9</v>
      </c>
      <c r="J1936" s="106">
        <v>0.155172413793103</v>
      </c>
      <c r="K1936" s="213">
        <v>-2</v>
      </c>
      <c r="L1936" s="213">
        <v>-2</v>
      </c>
      <c r="M1936" s="213">
        <v>-1.4</v>
      </c>
      <c r="N1936" s="213">
        <v>-1.42857142857143</v>
      </c>
      <c r="O1936" s="213">
        <v>10</v>
      </c>
      <c r="P1936" s="108">
        <v>7.66666666666666</v>
      </c>
      <c r="Q1936" s="108">
        <v>11.8</v>
      </c>
      <c r="R1936" s="108">
        <v>14.7142857142857</v>
      </c>
      <c r="S1936" s="108">
        <v>1</v>
      </c>
      <c r="T1936" s="108">
        <v>1</v>
      </c>
      <c r="U1936" s="108">
        <v>1.2</v>
      </c>
      <c r="V1936" s="108">
        <v>1.71428571428571</v>
      </c>
    </row>
    <row r="1937" spans="1:22">
      <c r="A1937" s="103">
        <v>45100</v>
      </c>
      <c r="B1937" s="104" t="s">
        <v>19</v>
      </c>
      <c r="C1937" s="216">
        <v>683</v>
      </c>
      <c r="D1937" s="216">
        <v>532</v>
      </c>
      <c r="E1937" s="217">
        <v>17</v>
      </c>
      <c r="F1937" s="106">
        <v>0.0248901903367496</v>
      </c>
      <c r="G1937" s="107">
        <v>8</v>
      </c>
      <c r="H1937" s="106">
        <v>0.470588235294118</v>
      </c>
      <c r="I1937" s="104">
        <v>7</v>
      </c>
      <c r="J1937" s="106">
        <v>0.411764705882353</v>
      </c>
      <c r="K1937" s="213">
        <v>122</v>
      </c>
      <c r="L1937" s="213">
        <v>152</v>
      </c>
      <c r="M1937" s="213">
        <v>152</v>
      </c>
      <c r="N1937" s="213">
        <v>127.857142857143</v>
      </c>
      <c r="O1937" s="213">
        <v>4</v>
      </c>
      <c r="P1937" s="108">
        <v>3</v>
      </c>
      <c r="Q1937" s="108">
        <v>2.6</v>
      </c>
      <c r="R1937" s="108">
        <v>1.71428571428571</v>
      </c>
      <c r="S1937" s="108">
        <v>6</v>
      </c>
      <c r="T1937" s="108">
        <v>4</v>
      </c>
      <c r="U1937" s="108">
        <v>4.2</v>
      </c>
      <c r="V1937" s="115">
        <v>3.71428571428571</v>
      </c>
    </row>
    <row r="1938" spans="1:22">
      <c r="A1938" s="103">
        <v>45100</v>
      </c>
      <c r="B1938" s="104" t="s">
        <v>21</v>
      </c>
      <c r="C1938" s="218">
        <v>255</v>
      </c>
      <c r="D1938" s="218">
        <v>320</v>
      </c>
      <c r="E1938" s="217">
        <v>3</v>
      </c>
      <c r="F1938" s="106">
        <v>0.0117647058823529</v>
      </c>
      <c r="G1938" s="107">
        <v>2</v>
      </c>
      <c r="H1938" s="106">
        <v>0.666666666666667</v>
      </c>
      <c r="I1938" s="104">
        <v>0</v>
      </c>
      <c r="J1938" s="106">
        <v>0</v>
      </c>
      <c r="K1938" s="213">
        <v>-87</v>
      </c>
      <c r="L1938" s="213">
        <v>-48.6666666666667</v>
      </c>
      <c r="M1938" s="213">
        <v>-21</v>
      </c>
      <c r="N1938" s="213">
        <v>-17.5714285714286</v>
      </c>
      <c r="O1938" s="213">
        <v>0</v>
      </c>
      <c r="P1938" s="108">
        <v>-0.333333333333333</v>
      </c>
      <c r="Q1938" s="108">
        <v>-1</v>
      </c>
      <c r="R1938" s="108">
        <v>-1.85714285714286</v>
      </c>
      <c r="S1938" s="108">
        <v>0</v>
      </c>
      <c r="T1938" s="108">
        <v>-0.333333333333333</v>
      </c>
      <c r="U1938" s="108">
        <v>-0.6</v>
      </c>
      <c r="V1938" s="108">
        <v>-0.571428571428572</v>
      </c>
    </row>
    <row r="1939" spans="1:22">
      <c r="A1939" s="103">
        <v>45100</v>
      </c>
      <c r="B1939" s="104" t="s">
        <v>22</v>
      </c>
      <c r="C1939" s="218">
        <v>2044</v>
      </c>
      <c r="D1939" s="218">
        <v>1819</v>
      </c>
      <c r="E1939" s="217">
        <v>34</v>
      </c>
      <c r="F1939" s="106">
        <v>0.0166340508806262</v>
      </c>
      <c r="G1939" s="107">
        <v>8</v>
      </c>
      <c r="H1939" s="106">
        <v>0.235294117647059</v>
      </c>
      <c r="I1939" s="104">
        <v>4</v>
      </c>
      <c r="J1939" s="106">
        <v>0.117647058823529</v>
      </c>
      <c r="K1939" s="213">
        <v>-344</v>
      </c>
      <c r="L1939" s="213">
        <v>-297</v>
      </c>
      <c r="M1939" s="213">
        <v>-355</v>
      </c>
      <c r="N1939" s="213">
        <v>-432.428571428572</v>
      </c>
      <c r="O1939" s="213">
        <v>-8</v>
      </c>
      <c r="P1939" s="108">
        <v>-11.3333333333333</v>
      </c>
      <c r="Q1939" s="108">
        <v>-11.4</v>
      </c>
      <c r="R1939" s="115">
        <v>-18.2857142857143</v>
      </c>
      <c r="S1939" s="108">
        <v>-10</v>
      </c>
      <c r="T1939" s="108">
        <v>-9.33333333333333</v>
      </c>
      <c r="U1939" s="108">
        <v>-10.8</v>
      </c>
      <c r="V1939" s="117">
        <v>-13.4285714285714</v>
      </c>
    </row>
    <row r="1940" spans="1:22">
      <c r="A1940" s="103">
        <v>45100</v>
      </c>
      <c r="B1940" s="104" t="s">
        <v>23</v>
      </c>
      <c r="C1940" s="218">
        <v>2022</v>
      </c>
      <c r="D1940" s="218">
        <v>161</v>
      </c>
      <c r="E1940" s="217">
        <v>7</v>
      </c>
      <c r="F1940" s="106">
        <v>0.00346191889218595</v>
      </c>
      <c r="G1940" s="107">
        <v>2</v>
      </c>
      <c r="H1940" s="106">
        <v>0.285714285714286</v>
      </c>
      <c r="I1940" s="104">
        <v>1</v>
      </c>
      <c r="J1940" s="106">
        <v>0.142857142857143</v>
      </c>
      <c r="K1940" s="213">
        <v>119</v>
      </c>
      <c r="L1940" s="213">
        <v>164</v>
      </c>
      <c r="M1940" s="213">
        <v>185.2</v>
      </c>
      <c r="N1940" s="213">
        <v>156.857142857143</v>
      </c>
      <c r="O1940" s="213">
        <v>4</v>
      </c>
      <c r="P1940" s="108">
        <v>-1.33333333333333</v>
      </c>
      <c r="Q1940" s="108">
        <v>-0.4</v>
      </c>
      <c r="R1940" s="108">
        <v>0.285714285714286</v>
      </c>
      <c r="S1940" s="108">
        <v>-4</v>
      </c>
      <c r="T1940" s="116">
        <v>-2</v>
      </c>
      <c r="U1940" s="108">
        <v>-1.4</v>
      </c>
      <c r="V1940" s="108">
        <v>-1.28571428571429</v>
      </c>
    </row>
    <row r="1941" spans="1:22">
      <c r="A1941" s="103">
        <v>45100</v>
      </c>
      <c r="B1941" s="104" t="s">
        <v>24</v>
      </c>
      <c r="C1941" s="218">
        <v>1830</v>
      </c>
      <c r="D1941" s="218">
        <v>731</v>
      </c>
      <c r="E1941" s="217">
        <v>52</v>
      </c>
      <c r="F1941" s="106">
        <v>0.0284153005464481</v>
      </c>
      <c r="G1941" s="107">
        <v>14</v>
      </c>
      <c r="H1941" s="106">
        <v>0.269230769230769</v>
      </c>
      <c r="I1941" s="104">
        <v>10</v>
      </c>
      <c r="J1941" s="106">
        <v>0.192307692307692</v>
      </c>
      <c r="K1941" s="213">
        <v>-318</v>
      </c>
      <c r="L1941" s="213">
        <v>-69</v>
      </c>
      <c r="M1941" s="213">
        <v>-235.4</v>
      </c>
      <c r="N1941" s="213">
        <v>-518.857142857143</v>
      </c>
      <c r="O1941" s="219">
        <v>-18</v>
      </c>
      <c r="P1941" s="115">
        <v>-6.33333333333334</v>
      </c>
      <c r="Q1941" s="115">
        <v>-18.4</v>
      </c>
      <c r="R1941" s="115">
        <v>-29.7142857142857</v>
      </c>
      <c r="S1941" s="115">
        <v>1</v>
      </c>
      <c r="T1941" s="115">
        <v>-2.33333333333333</v>
      </c>
      <c r="U1941" s="115">
        <v>-8</v>
      </c>
      <c r="V1941" s="115">
        <v>-13.8571428571429</v>
      </c>
    </row>
    <row r="1942" spans="1:22">
      <c r="A1942" s="103">
        <v>45100</v>
      </c>
      <c r="B1942" s="104" t="s">
        <v>25</v>
      </c>
      <c r="C1942" s="218">
        <v>3076</v>
      </c>
      <c r="D1942" s="218">
        <v>975</v>
      </c>
      <c r="E1942" s="217">
        <v>54</v>
      </c>
      <c r="F1942" s="106">
        <v>0.017555266579974</v>
      </c>
      <c r="G1942" s="107">
        <v>17</v>
      </c>
      <c r="H1942" s="106">
        <v>0.314814814814815</v>
      </c>
      <c r="I1942" s="104">
        <v>12</v>
      </c>
      <c r="J1942" s="106">
        <v>0.222222222222222</v>
      </c>
      <c r="K1942" s="213">
        <v>48</v>
      </c>
      <c r="L1942" s="213">
        <v>217.333333333333</v>
      </c>
      <c r="M1942" s="213">
        <v>167.8</v>
      </c>
      <c r="N1942" s="213">
        <v>145.571428571428</v>
      </c>
      <c r="O1942" s="220">
        <v>4</v>
      </c>
      <c r="P1942" s="115">
        <v>-7.66666666666666</v>
      </c>
      <c r="Q1942" s="115">
        <v>-5.8</v>
      </c>
      <c r="R1942" s="115">
        <v>-10.1428571428571</v>
      </c>
      <c r="S1942" s="108">
        <v>1</v>
      </c>
      <c r="T1942" s="108">
        <v>-2.33333333333333</v>
      </c>
      <c r="U1942" s="108">
        <v>-2.2</v>
      </c>
      <c r="V1942" s="108">
        <v>-3.71428571428572</v>
      </c>
    </row>
    <row r="1943" spans="1:22">
      <c r="A1943" s="103">
        <v>45100</v>
      </c>
      <c r="B1943" s="104" t="s">
        <v>26</v>
      </c>
      <c r="C1943" s="218">
        <v>1</v>
      </c>
      <c r="D1943" s="218">
        <v>609</v>
      </c>
      <c r="E1943" s="217">
        <v>2</v>
      </c>
      <c r="F1943" s="106">
        <v>2</v>
      </c>
      <c r="G1943" s="107">
        <v>3</v>
      </c>
      <c r="H1943" s="106">
        <v>1.5</v>
      </c>
      <c r="I1943" s="104">
        <v>1</v>
      </c>
      <c r="J1943" s="106">
        <v>0.5</v>
      </c>
      <c r="K1943" s="213">
        <v>0</v>
      </c>
      <c r="L1943" s="213">
        <v>0</v>
      </c>
      <c r="M1943" s="213">
        <v>-0.2</v>
      </c>
      <c r="N1943" s="213">
        <v>-206.857142857143</v>
      </c>
      <c r="O1943" s="213">
        <v>2</v>
      </c>
      <c r="P1943" s="108">
        <v>2</v>
      </c>
      <c r="Q1943" s="108">
        <v>1.8</v>
      </c>
      <c r="R1943" s="108">
        <v>1.71428571428571</v>
      </c>
      <c r="S1943" s="108">
        <v>0</v>
      </c>
      <c r="T1943" s="108">
        <v>2</v>
      </c>
      <c r="U1943" s="108">
        <v>1.6</v>
      </c>
      <c r="V1943" s="108">
        <v>2</v>
      </c>
    </row>
    <row r="1944" spans="1:22">
      <c r="A1944" s="103">
        <v>45100</v>
      </c>
      <c r="B1944" s="104" t="s">
        <v>27</v>
      </c>
      <c r="C1944" s="218">
        <v>1962</v>
      </c>
      <c r="D1944" s="218">
        <v>429</v>
      </c>
      <c r="E1944" s="217">
        <v>27</v>
      </c>
      <c r="F1944" s="106">
        <v>0.0137614678899083</v>
      </c>
      <c r="G1944" s="107">
        <v>7</v>
      </c>
      <c r="H1944" s="106">
        <v>0.259259259259259</v>
      </c>
      <c r="I1944" s="104">
        <v>6</v>
      </c>
      <c r="J1944" s="106">
        <v>0.222222222222222</v>
      </c>
      <c r="K1944" s="213">
        <v>116</v>
      </c>
      <c r="L1944" s="213">
        <v>-418.666666666667</v>
      </c>
      <c r="M1944" s="213">
        <v>-713.4</v>
      </c>
      <c r="N1944" s="213">
        <v>-765.714285714286</v>
      </c>
      <c r="O1944" s="213">
        <v>-3</v>
      </c>
      <c r="P1944" s="108">
        <v>-14</v>
      </c>
      <c r="Q1944" s="108">
        <v>-17.2</v>
      </c>
      <c r="R1944" s="108">
        <v>-18.2857142857143</v>
      </c>
      <c r="S1944" s="108">
        <v>2</v>
      </c>
      <c r="T1944" s="108">
        <v>-1.66666666666667</v>
      </c>
      <c r="U1944" s="108">
        <v>-2.6</v>
      </c>
      <c r="V1944" s="108">
        <v>-3.28571428571429</v>
      </c>
    </row>
    <row r="1945" spans="1:22">
      <c r="A1945" s="103">
        <v>45100</v>
      </c>
      <c r="B1945" s="104" t="s">
        <v>28</v>
      </c>
      <c r="C1945" s="145">
        <v>0</v>
      </c>
      <c r="D1945" s="145"/>
      <c r="E1945" s="104">
        <v>0</v>
      </c>
      <c r="F1945" s="106">
        <v>0</v>
      </c>
      <c r="G1945" s="107">
        <v>0</v>
      </c>
      <c r="H1945" s="106">
        <v>0</v>
      </c>
      <c r="I1945" s="104">
        <v>0</v>
      </c>
      <c r="J1945" s="106">
        <v>0</v>
      </c>
      <c r="K1945" s="213">
        <v>0</v>
      </c>
      <c r="L1945" s="213">
        <v>0</v>
      </c>
      <c r="M1945" s="213">
        <v>0</v>
      </c>
      <c r="N1945" s="213">
        <v>0</v>
      </c>
      <c r="O1945" s="213">
        <v>0</v>
      </c>
      <c r="P1945" s="108">
        <v>-0.333333333333333</v>
      </c>
      <c r="Q1945" s="108">
        <v>-0.2</v>
      </c>
      <c r="R1945" s="108">
        <v>-0.142857142857143</v>
      </c>
      <c r="S1945" s="108">
        <v>0</v>
      </c>
      <c r="T1945" s="108">
        <v>-0.333333333333333</v>
      </c>
      <c r="U1945" s="108">
        <v>-0.2</v>
      </c>
      <c r="V1945" s="108">
        <v>-0.142857142857143</v>
      </c>
    </row>
    <row r="1946" spans="1:22">
      <c r="A1946" s="103">
        <v>45100</v>
      </c>
      <c r="B1946" s="104" t="s">
        <v>29</v>
      </c>
      <c r="C1946" s="145">
        <v>0</v>
      </c>
      <c r="D1946" s="145"/>
      <c r="E1946" s="104">
        <v>0</v>
      </c>
      <c r="F1946" s="106">
        <v>0</v>
      </c>
      <c r="G1946" s="107">
        <v>0</v>
      </c>
      <c r="H1946" s="106">
        <v>0</v>
      </c>
      <c r="I1946" s="104">
        <v>0</v>
      </c>
      <c r="J1946" s="106">
        <v>0</v>
      </c>
      <c r="K1946" s="213">
        <v>0</v>
      </c>
      <c r="L1946" s="213">
        <v>0</v>
      </c>
      <c r="M1946" s="213">
        <v>0</v>
      </c>
      <c r="N1946" s="213">
        <v>0</v>
      </c>
      <c r="O1946" s="213">
        <v>0</v>
      </c>
      <c r="P1946" s="108">
        <v>0</v>
      </c>
      <c r="Q1946" s="108">
        <v>0</v>
      </c>
      <c r="R1946" s="108">
        <v>0</v>
      </c>
      <c r="S1946" s="108">
        <v>0</v>
      </c>
      <c r="T1946" s="108">
        <v>0</v>
      </c>
      <c r="U1946" s="108">
        <v>0</v>
      </c>
      <c r="V1946" s="108">
        <v>0</v>
      </c>
    </row>
    <row r="1947" spans="1:22">
      <c r="A1947" s="103">
        <v>45100</v>
      </c>
      <c r="B1947" s="104" t="s">
        <v>30</v>
      </c>
      <c r="C1947" s="145">
        <v>0</v>
      </c>
      <c r="D1947" s="145"/>
      <c r="E1947" s="104">
        <v>0</v>
      </c>
      <c r="F1947" s="106">
        <v>0</v>
      </c>
      <c r="G1947" s="107">
        <v>0</v>
      </c>
      <c r="H1947" s="106">
        <v>0</v>
      </c>
      <c r="I1947" s="104">
        <v>0</v>
      </c>
      <c r="J1947" s="106">
        <v>0</v>
      </c>
      <c r="K1947" s="213">
        <v>0</v>
      </c>
      <c r="L1947" s="213">
        <v>0</v>
      </c>
      <c r="M1947" s="213">
        <v>0</v>
      </c>
      <c r="N1947" s="213">
        <v>0</v>
      </c>
      <c r="O1947" s="213">
        <v>0</v>
      </c>
      <c r="P1947" s="108">
        <v>0</v>
      </c>
      <c r="Q1947" s="108">
        <v>0</v>
      </c>
      <c r="R1947" s="108">
        <v>0</v>
      </c>
      <c r="S1947" s="108">
        <v>0</v>
      </c>
      <c r="T1947" s="108">
        <v>0</v>
      </c>
      <c r="U1947" s="108">
        <v>0</v>
      </c>
      <c r="V1947" s="108">
        <v>0</v>
      </c>
    </row>
    <row r="1948" spans="1:22">
      <c r="A1948" s="103">
        <v>45100</v>
      </c>
      <c r="B1948" s="104" t="s">
        <v>31</v>
      </c>
      <c r="C1948" s="145">
        <v>0</v>
      </c>
      <c r="D1948" s="145"/>
      <c r="E1948" s="104">
        <v>0</v>
      </c>
      <c r="F1948" s="106">
        <v>0</v>
      </c>
      <c r="G1948" s="107">
        <v>0</v>
      </c>
      <c r="H1948" s="106">
        <v>0</v>
      </c>
      <c r="I1948" s="104">
        <v>0</v>
      </c>
      <c r="J1948" s="106">
        <v>0</v>
      </c>
      <c r="K1948" s="213">
        <v>0</v>
      </c>
      <c r="L1948" s="213">
        <v>0</v>
      </c>
      <c r="M1948" s="213">
        <v>0</v>
      </c>
      <c r="N1948" s="213">
        <v>0</v>
      </c>
      <c r="O1948" s="213">
        <v>0</v>
      </c>
      <c r="P1948" s="108">
        <v>0</v>
      </c>
      <c r="Q1948" s="108">
        <v>0</v>
      </c>
      <c r="R1948" s="108">
        <v>0</v>
      </c>
      <c r="S1948" s="108">
        <v>0</v>
      </c>
      <c r="T1948" s="108">
        <v>0</v>
      </c>
      <c r="U1948" s="108">
        <v>0</v>
      </c>
      <c r="V1948" s="108">
        <v>0</v>
      </c>
    </row>
    <row r="1949" spans="1:22">
      <c r="A1949" s="103">
        <v>45100</v>
      </c>
      <c r="B1949" s="104" t="s">
        <v>32</v>
      </c>
      <c r="C1949" s="145">
        <v>0</v>
      </c>
      <c r="D1949" s="145"/>
      <c r="E1949" s="104">
        <v>0</v>
      </c>
      <c r="F1949" s="106">
        <v>0</v>
      </c>
      <c r="G1949" s="107">
        <v>0</v>
      </c>
      <c r="H1949" s="106">
        <v>0</v>
      </c>
      <c r="I1949" s="104">
        <v>0</v>
      </c>
      <c r="J1949" s="106">
        <v>0</v>
      </c>
      <c r="K1949" s="213">
        <v>0</v>
      </c>
      <c r="L1949" s="213">
        <v>0</v>
      </c>
      <c r="M1949" s="213">
        <v>0</v>
      </c>
      <c r="N1949" s="213">
        <v>0</v>
      </c>
      <c r="O1949" s="213">
        <v>0</v>
      </c>
      <c r="P1949" s="108">
        <v>0</v>
      </c>
      <c r="Q1949" s="108">
        <v>0</v>
      </c>
      <c r="R1949" s="108">
        <v>0</v>
      </c>
      <c r="S1949" s="108">
        <v>0</v>
      </c>
      <c r="T1949" s="108">
        <v>0</v>
      </c>
      <c r="U1949" s="108">
        <v>0</v>
      </c>
      <c r="V1949" s="108">
        <v>0</v>
      </c>
    </row>
    <row r="1950" spans="1:22">
      <c r="A1950" s="103">
        <v>45100</v>
      </c>
      <c r="B1950" s="104" t="s">
        <v>33</v>
      </c>
      <c r="C1950" s="145">
        <v>0</v>
      </c>
      <c r="D1950" s="145"/>
      <c r="E1950" s="104">
        <v>0</v>
      </c>
      <c r="F1950" s="106">
        <v>0</v>
      </c>
      <c r="G1950" s="107">
        <v>0</v>
      </c>
      <c r="H1950" s="106">
        <v>0</v>
      </c>
      <c r="I1950" s="104">
        <v>0</v>
      </c>
      <c r="J1950" s="106">
        <v>0</v>
      </c>
      <c r="K1950" s="213">
        <v>0</v>
      </c>
      <c r="L1950" s="213">
        <v>0</v>
      </c>
      <c r="M1950" s="213">
        <v>0</v>
      </c>
      <c r="N1950" s="213">
        <v>0</v>
      </c>
      <c r="O1950" s="213">
        <v>0</v>
      </c>
      <c r="P1950" s="108">
        <v>0</v>
      </c>
      <c r="Q1950" s="108">
        <v>0</v>
      </c>
      <c r="R1950" s="108">
        <v>0</v>
      </c>
      <c r="S1950" s="108">
        <v>0</v>
      </c>
      <c r="T1950" s="108">
        <v>0</v>
      </c>
      <c r="U1950" s="108">
        <v>0</v>
      </c>
      <c r="V1950" s="108">
        <v>0</v>
      </c>
    </row>
    <row r="1951" spans="1:22">
      <c r="A1951" s="103">
        <v>45100</v>
      </c>
      <c r="B1951" s="104" t="s">
        <v>34</v>
      </c>
      <c r="C1951" s="145">
        <v>0</v>
      </c>
      <c r="D1951" s="145"/>
      <c r="E1951" s="104">
        <v>0</v>
      </c>
      <c r="F1951" s="106">
        <v>0</v>
      </c>
      <c r="G1951" s="107">
        <v>0</v>
      </c>
      <c r="H1951" s="106">
        <v>0</v>
      </c>
      <c r="I1951" s="104">
        <v>0</v>
      </c>
      <c r="J1951" s="106">
        <v>0</v>
      </c>
      <c r="K1951" s="213">
        <v>0</v>
      </c>
      <c r="L1951" s="213">
        <v>0</v>
      </c>
      <c r="M1951" s="213">
        <v>0</v>
      </c>
      <c r="N1951" s="213">
        <v>0</v>
      </c>
      <c r="O1951" s="213">
        <v>0</v>
      </c>
      <c r="P1951" s="108">
        <v>0</v>
      </c>
      <c r="Q1951" s="108">
        <v>0</v>
      </c>
      <c r="R1951" s="108">
        <v>0</v>
      </c>
      <c r="S1951" s="108">
        <v>0</v>
      </c>
      <c r="T1951" s="108">
        <v>0</v>
      </c>
      <c r="U1951" s="108">
        <v>0</v>
      </c>
      <c r="V1951" s="108">
        <v>0</v>
      </c>
    </row>
    <row r="1952" spans="1:22">
      <c r="A1952" s="103">
        <v>45100</v>
      </c>
      <c r="B1952" s="104" t="s">
        <v>35</v>
      </c>
      <c r="C1952" s="145">
        <v>0</v>
      </c>
      <c r="D1952" s="145"/>
      <c r="E1952" s="104">
        <v>0</v>
      </c>
      <c r="F1952" s="106">
        <v>0</v>
      </c>
      <c r="G1952" s="107">
        <v>0</v>
      </c>
      <c r="H1952" s="106">
        <v>0</v>
      </c>
      <c r="I1952" s="104">
        <v>0</v>
      </c>
      <c r="J1952" s="106">
        <v>0</v>
      </c>
      <c r="K1952" s="213">
        <v>0</v>
      </c>
      <c r="L1952" s="213">
        <v>0</v>
      </c>
      <c r="M1952" s="213">
        <v>0</v>
      </c>
      <c r="N1952" s="213">
        <v>0</v>
      </c>
      <c r="O1952" s="213">
        <v>0</v>
      </c>
      <c r="P1952" s="108">
        <v>0</v>
      </c>
      <c r="Q1952" s="108">
        <v>0</v>
      </c>
      <c r="R1952" s="108">
        <v>0</v>
      </c>
      <c r="S1952" s="108">
        <v>0</v>
      </c>
      <c r="T1952" s="108">
        <v>0</v>
      </c>
      <c r="U1952" s="108">
        <v>0</v>
      </c>
      <c r="V1952" s="108">
        <v>0</v>
      </c>
    </row>
    <row r="1953" spans="1:22">
      <c r="A1953" s="103">
        <v>45100</v>
      </c>
      <c r="B1953" s="104" t="s">
        <v>36</v>
      </c>
      <c r="C1953" s="145">
        <v>0</v>
      </c>
      <c r="D1953" s="145"/>
      <c r="E1953" s="104">
        <v>0</v>
      </c>
      <c r="F1953" s="106">
        <v>0</v>
      </c>
      <c r="G1953" s="107">
        <v>0</v>
      </c>
      <c r="H1953" s="106">
        <v>0</v>
      </c>
      <c r="I1953" s="104">
        <v>0</v>
      </c>
      <c r="J1953" s="106">
        <v>0</v>
      </c>
      <c r="K1953" s="213">
        <v>0</v>
      </c>
      <c r="L1953" s="213">
        <v>0</v>
      </c>
      <c r="M1953" s="213">
        <v>0</v>
      </c>
      <c r="N1953" s="213">
        <v>0</v>
      </c>
      <c r="O1953" s="213">
        <v>0</v>
      </c>
      <c r="P1953" s="108">
        <v>0</v>
      </c>
      <c r="Q1953" s="108">
        <v>0</v>
      </c>
      <c r="R1953" s="108">
        <v>0</v>
      </c>
      <c r="S1953" s="108">
        <v>0</v>
      </c>
      <c r="T1953" s="108">
        <v>0</v>
      </c>
      <c r="U1953" s="108">
        <v>0</v>
      </c>
      <c r="V1953" s="108">
        <v>0</v>
      </c>
    </row>
    <row r="1954" spans="1:22">
      <c r="A1954" s="103">
        <v>45100</v>
      </c>
      <c r="B1954" s="104" t="s">
        <v>37</v>
      </c>
      <c r="C1954" s="145">
        <v>0</v>
      </c>
      <c r="D1954" s="145"/>
      <c r="E1954" s="104">
        <v>0</v>
      </c>
      <c r="F1954" s="106">
        <v>0</v>
      </c>
      <c r="G1954" s="107">
        <v>0</v>
      </c>
      <c r="H1954" s="106">
        <v>0</v>
      </c>
      <c r="I1954" s="104">
        <v>0</v>
      </c>
      <c r="J1954" s="106">
        <v>0</v>
      </c>
      <c r="K1954" s="213">
        <v>0</v>
      </c>
      <c r="L1954" s="213">
        <v>0</v>
      </c>
      <c r="M1954" s="213">
        <v>0</v>
      </c>
      <c r="N1954" s="213">
        <v>0</v>
      </c>
      <c r="O1954" s="213">
        <v>0</v>
      </c>
      <c r="P1954" s="108">
        <v>0</v>
      </c>
      <c r="Q1954" s="108">
        <v>0</v>
      </c>
      <c r="R1954" s="108">
        <v>-0.142857142857143</v>
      </c>
      <c r="S1954" s="108">
        <v>0</v>
      </c>
      <c r="T1954" s="108">
        <v>0</v>
      </c>
      <c r="U1954" s="108">
        <v>0</v>
      </c>
      <c r="V1954" s="108">
        <v>0</v>
      </c>
    </row>
    <row r="1955" spans="1:22">
      <c r="A1955" s="103">
        <v>45100</v>
      </c>
      <c r="B1955" s="104" t="s">
        <v>38</v>
      </c>
      <c r="C1955" s="145">
        <v>0</v>
      </c>
      <c r="D1955" s="145"/>
      <c r="E1955" s="104">
        <v>0</v>
      </c>
      <c r="F1955" s="106">
        <v>0</v>
      </c>
      <c r="G1955" s="107">
        <v>0</v>
      </c>
      <c r="H1955" s="106">
        <v>0</v>
      </c>
      <c r="I1955" s="104">
        <v>0</v>
      </c>
      <c r="J1955" s="106">
        <v>0</v>
      </c>
      <c r="K1955" s="213">
        <v>0</v>
      </c>
      <c r="L1955" s="213">
        <v>0</v>
      </c>
      <c r="M1955" s="213">
        <v>0</v>
      </c>
      <c r="N1955" s="213">
        <v>0</v>
      </c>
      <c r="O1955" s="213">
        <v>0</v>
      </c>
      <c r="P1955" s="108">
        <v>0</v>
      </c>
      <c r="Q1955" s="108">
        <v>0</v>
      </c>
      <c r="R1955" s="108">
        <v>0</v>
      </c>
      <c r="S1955" s="108">
        <v>0</v>
      </c>
      <c r="T1955" s="108">
        <v>0</v>
      </c>
      <c r="U1955" s="108">
        <v>0</v>
      </c>
      <c r="V1955" s="108">
        <v>0</v>
      </c>
    </row>
    <row r="1956" spans="1:22">
      <c r="A1956" s="103">
        <v>45100</v>
      </c>
      <c r="B1956" s="111" t="s">
        <v>39</v>
      </c>
      <c r="C1956" s="112">
        <v>11874</v>
      </c>
      <c r="D1956" s="112">
        <v>6719</v>
      </c>
      <c r="E1956" s="112">
        <v>254</v>
      </c>
      <c r="F1956" s="106">
        <v>0.0213912750547415</v>
      </c>
      <c r="G1956" s="112">
        <v>74</v>
      </c>
      <c r="H1956" s="113">
        <v>0.291338582677165</v>
      </c>
      <c r="I1956" s="112">
        <v>50</v>
      </c>
      <c r="J1956" s="106">
        <v>0.196850393700787</v>
      </c>
      <c r="K1956" s="213"/>
      <c r="L1956" s="213"/>
      <c r="M1956" s="213"/>
      <c r="N1956" s="213"/>
      <c r="O1956" s="213"/>
      <c r="P1956" s="108"/>
      <c r="Q1956" s="108"/>
      <c r="R1956" s="108"/>
      <c r="S1956" s="108"/>
      <c r="T1956" s="108"/>
      <c r="U1956" s="108"/>
      <c r="V1956" s="108"/>
    </row>
    <row r="1957" customFormat="1" ht="14.45" customHeight="1" spans="1:23">
      <c r="A1957" s="103">
        <v>45101</v>
      </c>
      <c r="B1957" s="104" t="s">
        <v>17</v>
      </c>
      <c r="C1957" s="216">
        <v>1</v>
      </c>
      <c r="D1957" s="216">
        <v>1188</v>
      </c>
      <c r="E1957" s="217">
        <v>61</v>
      </c>
      <c r="F1957" s="106">
        <v>61</v>
      </c>
      <c r="G1957" s="107">
        <v>11</v>
      </c>
      <c r="H1957" s="106">
        <v>0.180327868852459</v>
      </c>
      <c r="I1957" s="104">
        <v>7</v>
      </c>
      <c r="J1957" s="106">
        <v>0.114754098360656</v>
      </c>
      <c r="K1957" s="213">
        <v>0</v>
      </c>
      <c r="L1957" s="213">
        <v>-1.33333333333333</v>
      </c>
      <c r="M1957" s="213">
        <v>-1.4</v>
      </c>
      <c r="N1957" s="213">
        <v>-1.14285714285714</v>
      </c>
      <c r="O1957" s="213">
        <v>3</v>
      </c>
      <c r="P1957" s="108">
        <v>11</v>
      </c>
      <c r="Q1957" s="108">
        <v>11.4</v>
      </c>
      <c r="R1957" s="108">
        <v>14.2857142857143</v>
      </c>
      <c r="S1957" s="108">
        <v>-2</v>
      </c>
      <c r="T1957" s="108">
        <v>-0.333333333333334</v>
      </c>
      <c r="U1957" s="108">
        <v>-1.4</v>
      </c>
      <c r="V1957" s="108">
        <v>-0.857142857142858</v>
      </c>
      <c r="W1957" t="s">
        <v>18</v>
      </c>
    </row>
    <row r="1958" customFormat="1" ht="14.45" customHeight="1" spans="1:23">
      <c r="A1958" s="103">
        <v>45101</v>
      </c>
      <c r="B1958" s="104" t="s">
        <v>19</v>
      </c>
      <c r="C1958" s="216">
        <v>713</v>
      </c>
      <c r="D1958" s="216">
        <v>551</v>
      </c>
      <c r="E1958" s="217">
        <v>15</v>
      </c>
      <c r="F1958" s="106">
        <v>0.0210378681626928</v>
      </c>
      <c r="G1958" s="107">
        <v>8</v>
      </c>
      <c r="H1958" s="106">
        <v>0.533333333333333</v>
      </c>
      <c r="I1958" s="104">
        <v>4</v>
      </c>
      <c r="J1958" s="106">
        <v>0.266666666666667</v>
      </c>
      <c r="K1958" s="213">
        <v>30</v>
      </c>
      <c r="L1958" s="213">
        <v>109.666666666667</v>
      </c>
      <c r="M1958" s="213">
        <v>156.8</v>
      </c>
      <c r="N1958" s="213">
        <v>140.571428571429</v>
      </c>
      <c r="O1958" s="213">
        <v>-2</v>
      </c>
      <c r="P1958" s="108">
        <v>2</v>
      </c>
      <c r="Q1958" s="108">
        <v>0.6</v>
      </c>
      <c r="R1958" s="108">
        <v>0.142857142857142</v>
      </c>
      <c r="S1958" s="108">
        <v>0</v>
      </c>
      <c r="T1958" s="108">
        <v>3.33333333333333</v>
      </c>
      <c r="U1958" s="108">
        <v>3.8</v>
      </c>
      <c r="V1958" s="115">
        <v>3.71428571428571</v>
      </c>
      <c r="W1958" s="154"/>
    </row>
    <row r="1959" customFormat="1" ht="14.45" customHeight="1" spans="1:22">
      <c r="A1959" s="103">
        <v>45101</v>
      </c>
      <c r="B1959" s="104" t="s">
        <v>21</v>
      </c>
      <c r="C1959" s="218">
        <v>303</v>
      </c>
      <c r="D1959" s="218">
        <v>373</v>
      </c>
      <c r="E1959" s="217">
        <v>5</v>
      </c>
      <c r="F1959" s="106">
        <v>0.0165016501650165</v>
      </c>
      <c r="G1959" s="107">
        <v>2</v>
      </c>
      <c r="H1959" s="106">
        <v>0.4</v>
      </c>
      <c r="I1959" s="104">
        <v>0</v>
      </c>
      <c r="J1959" s="106">
        <v>0</v>
      </c>
      <c r="K1959" s="213">
        <v>48</v>
      </c>
      <c r="L1959" s="213">
        <v>12.3333333333333</v>
      </c>
      <c r="M1959" s="213">
        <v>24.8</v>
      </c>
      <c r="N1959" s="213">
        <v>26.7142857142857</v>
      </c>
      <c r="O1959" s="213">
        <v>2</v>
      </c>
      <c r="P1959" s="108">
        <v>2</v>
      </c>
      <c r="Q1959" s="108">
        <v>0.8</v>
      </c>
      <c r="R1959" s="108">
        <v>0.428571428571429</v>
      </c>
      <c r="S1959" s="108">
        <v>0</v>
      </c>
      <c r="T1959" s="108">
        <v>-0.333333333333333</v>
      </c>
      <c r="U1959" s="108">
        <v>-0.4</v>
      </c>
      <c r="V1959" s="108">
        <v>-0.428571428571428</v>
      </c>
    </row>
    <row r="1960" customFormat="1" ht="18.95" customHeight="1" spans="1:23">
      <c r="A1960" s="103">
        <v>45101</v>
      </c>
      <c r="B1960" s="104" t="s">
        <v>22</v>
      </c>
      <c r="C1960" s="218">
        <v>1894</v>
      </c>
      <c r="D1960" s="218">
        <v>1747</v>
      </c>
      <c r="E1960" s="217">
        <v>31</v>
      </c>
      <c r="F1960" s="106">
        <v>0.0163674762407603</v>
      </c>
      <c r="G1960" s="107">
        <v>16</v>
      </c>
      <c r="H1960" s="106">
        <v>0.516129032258065</v>
      </c>
      <c r="I1960" s="104">
        <v>7</v>
      </c>
      <c r="J1960" s="106">
        <v>0.225806451612903</v>
      </c>
      <c r="K1960" s="213">
        <v>-150</v>
      </c>
      <c r="L1960" s="213">
        <v>-353.666666666667</v>
      </c>
      <c r="M1960" s="213">
        <v>-408.6</v>
      </c>
      <c r="N1960" s="213">
        <v>-481.142857142857</v>
      </c>
      <c r="O1960" s="213">
        <v>-3</v>
      </c>
      <c r="P1960" s="108">
        <v>-10</v>
      </c>
      <c r="Q1960" s="108">
        <v>-11.4</v>
      </c>
      <c r="R1960" s="115">
        <v>-13.8571428571429</v>
      </c>
      <c r="S1960" s="108">
        <v>8</v>
      </c>
      <c r="T1960" s="108">
        <v>1.66666666666667</v>
      </c>
      <c r="U1960" s="108">
        <v>1</v>
      </c>
      <c r="V1960" s="117">
        <v>-2.28571428571428</v>
      </c>
      <c r="W1960" s="154"/>
    </row>
    <row r="1961" customFormat="1" ht="14.45" customHeight="1" spans="1:22">
      <c r="A1961" s="103">
        <v>45101</v>
      </c>
      <c r="B1961" s="104" t="s">
        <v>23</v>
      </c>
      <c r="C1961" s="218">
        <v>2106</v>
      </c>
      <c r="D1961" s="218">
        <v>151</v>
      </c>
      <c r="E1961" s="217">
        <v>4</v>
      </c>
      <c r="F1961" s="106">
        <v>0.00189933523266857</v>
      </c>
      <c r="G1961" s="107">
        <v>3</v>
      </c>
      <c r="H1961" s="106">
        <v>0.75</v>
      </c>
      <c r="I1961" s="104">
        <v>2</v>
      </c>
      <c r="J1961" s="106">
        <v>0.5</v>
      </c>
      <c r="K1961" s="213">
        <v>84</v>
      </c>
      <c r="L1961" s="213">
        <v>170</v>
      </c>
      <c r="M1961" s="213">
        <v>241.6</v>
      </c>
      <c r="N1961" s="213">
        <v>230.285714285714</v>
      </c>
      <c r="O1961" s="213">
        <v>-3</v>
      </c>
      <c r="P1961" s="108">
        <v>-3</v>
      </c>
      <c r="Q1961" s="108">
        <v>-3.2</v>
      </c>
      <c r="R1961" s="108">
        <v>-2.85714285714286</v>
      </c>
      <c r="S1961" s="108">
        <v>1</v>
      </c>
      <c r="T1961" s="116">
        <v>-0.666666666666667</v>
      </c>
      <c r="U1961" s="108">
        <v>-0.2</v>
      </c>
      <c r="V1961" s="108">
        <v>-0.142857142857143</v>
      </c>
    </row>
    <row r="1962" customFormat="1" ht="14.45" customHeight="1" spans="1:23">
      <c r="A1962" s="103">
        <v>45101</v>
      </c>
      <c r="B1962" s="104" t="s">
        <v>24</v>
      </c>
      <c r="C1962" s="218">
        <v>1601</v>
      </c>
      <c r="D1962" s="218">
        <v>725</v>
      </c>
      <c r="E1962" s="217">
        <v>47</v>
      </c>
      <c r="F1962" s="106">
        <v>0.0293566520924422</v>
      </c>
      <c r="G1962" s="107">
        <v>18</v>
      </c>
      <c r="H1962" s="106">
        <v>0.382978723404255</v>
      </c>
      <c r="I1962" s="104">
        <v>14</v>
      </c>
      <c r="J1962" s="106">
        <v>0.297872340425532</v>
      </c>
      <c r="K1962" s="213">
        <v>-229</v>
      </c>
      <c r="L1962" s="213">
        <v>-316</v>
      </c>
      <c r="M1962" s="213">
        <v>-309.2</v>
      </c>
      <c r="N1962" s="213">
        <v>-561.428571428572</v>
      </c>
      <c r="O1962" s="219">
        <v>-5</v>
      </c>
      <c r="P1962" s="115">
        <v>-9</v>
      </c>
      <c r="Q1962" s="115">
        <v>-13.4</v>
      </c>
      <c r="R1962" s="115">
        <v>-26.5714285714286</v>
      </c>
      <c r="S1962" s="115">
        <v>4</v>
      </c>
      <c r="T1962" s="115">
        <v>4.33333333333333</v>
      </c>
      <c r="U1962" s="115">
        <v>2</v>
      </c>
      <c r="V1962" s="115">
        <v>-5.42857142857143</v>
      </c>
      <c r="W1962" s="154"/>
    </row>
    <row r="1963" customFormat="1" ht="14.45" customHeight="1" spans="1:22">
      <c r="A1963" s="103">
        <v>45101</v>
      </c>
      <c r="B1963" s="104" t="s">
        <v>25</v>
      </c>
      <c r="C1963" s="218">
        <v>2818</v>
      </c>
      <c r="D1963" s="218">
        <v>898</v>
      </c>
      <c r="E1963" s="217">
        <v>60</v>
      </c>
      <c r="F1963" s="106">
        <v>0.021291696238467</v>
      </c>
      <c r="G1963" s="107">
        <v>22</v>
      </c>
      <c r="H1963" s="106">
        <v>0.366666666666667</v>
      </c>
      <c r="I1963" s="104">
        <v>14</v>
      </c>
      <c r="J1963" s="106">
        <v>0.233333333333333</v>
      </c>
      <c r="K1963" s="213">
        <v>-258</v>
      </c>
      <c r="L1963" s="213">
        <v>-154.333333333333</v>
      </c>
      <c r="M1963" s="213">
        <v>-88.5999999999999</v>
      </c>
      <c r="N1963" s="213">
        <v>-134</v>
      </c>
      <c r="O1963" s="220">
        <v>6</v>
      </c>
      <c r="P1963" s="115">
        <v>6.33333333333334</v>
      </c>
      <c r="Q1963" s="115">
        <v>1</v>
      </c>
      <c r="R1963" s="115">
        <v>-0.428571428571431</v>
      </c>
      <c r="S1963" s="108">
        <v>5</v>
      </c>
      <c r="T1963" s="108">
        <v>3.66666666666667</v>
      </c>
      <c r="U1963" s="108">
        <v>3.4</v>
      </c>
      <c r="V1963" s="108">
        <v>1.85714285714286</v>
      </c>
    </row>
    <row r="1964" customFormat="1" ht="14.45" customHeight="1" spans="1:22">
      <c r="A1964" s="103">
        <v>45101</v>
      </c>
      <c r="B1964" s="104" t="s">
        <v>26</v>
      </c>
      <c r="C1964" s="218">
        <v>3</v>
      </c>
      <c r="D1964" s="218">
        <v>947</v>
      </c>
      <c r="E1964" s="217">
        <v>3</v>
      </c>
      <c r="F1964" s="106">
        <v>1</v>
      </c>
      <c r="G1964" s="107">
        <v>3</v>
      </c>
      <c r="H1964" s="106">
        <v>1</v>
      </c>
      <c r="I1964" s="104">
        <v>2</v>
      </c>
      <c r="J1964" s="106">
        <v>0.666666666666667</v>
      </c>
      <c r="K1964" s="213">
        <v>2</v>
      </c>
      <c r="L1964" s="213">
        <v>2.33333333333333</v>
      </c>
      <c r="M1964" s="213">
        <v>2</v>
      </c>
      <c r="N1964" s="213">
        <v>1</v>
      </c>
      <c r="O1964" s="213">
        <v>1</v>
      </c>
      <c r="P1964" s="108">
        <v>2.33333333333333</v>
      </c>
      <c r="Q1964" s="108">
        <v>2.6</v>
      </c>
      <c r="R1964" s="108">
        <v>2.57142857142857</v>
      </c>
      <c r="S1964" s="108">
        <v>0</v>
      </c>
      <c r="T1964" s="108">
        <v>1</v>
      </c>
      <c r="U1964" s="108">
        <v>1.6</v>
      </c>
      <c r="V1964" s="108">
        <v>1.57142857142857</v>
      </c>
    </row>
    <row r="1965" customFormat="1" ht="14.45" customHeight="1" spans="1:22">
      <c r="A1965" s="103">
        <v>45101</v>
      </c>
      <c r="B1965" s="104" t="s">
        <v>27</v>
      </c>
      <c r="C1965" s="218">
        <v>2238</v>
      </c>
      <c r="D1965" s="218">
        <v>493</v>
      </c>
      <c r="E1965" s="217">
        <v>32</v>
      </c>
      <c r="F1965" s="106">
        <v>0.0142984807864164</v>
      </c>
      <c r="G1965" s="107">
        <v>2</v>
      </c>
      <c r="H1965" s="106">
        <v>0.0625</v>
      </c>
      <c r="I1965" s="104">
        <v>2</v>
      </c>
      <c r="J1965" s="106">
        <v>0.0625</v>
      </c>
      <c r="K1965" s="213">
        <v>276</v>
      </c>
      <c r="L1965" s="213">
        <v>316.333333333333</v>
      </c>
      <c r="M1965" s="213">
        <v>-233.6</v>
      </c>
      <c r="N1965" s="213">
        <v>-367.285714285714</v>
      </c>
      <c r="O1965" s="213">
        <v>5</v>
      </c>
      <c r="P1965" s="108">
        <v>0</v>
      </c>
      <c r="Q1965" s="108">
        <v>-9.6</v>
      </c>
      <c r="R1965" s="108">
        <v>-10</v>
      </c>
      <c r="S1965" s="108">
        <v>-5</v>
      </c>
      <c r="T1965" s="108">
        <v>-6</v>
      </c>
      <c r="U1965" s="108">
        <v>-7.4</v>
      </c>
      <c r="V1965" s="108">
        <v>-7.28571428571429</v>
      </c>
    </row>
    <row r="1966" customFormat="1" ht="14.45" hidden="1" customHeight="1" spans="1:22">
      <c r="A1966" s="103">
        <v>45101</v>
      </c>
      <c r="B1966" s="104" t="s">
        <v>28</v>
      </c>
      <c r="C1966" s="145">
        <v>0</v>
      </c>
      <c r="D1966" s="145"/>
      <c r="E1966" s="104">
        <v>0</v>
      </c>
      <c r="F1966" s="106">
        <v>0</v>
      </c>
      <c r="G1966" s="107">
        <v>0</v>
      </c>
      <c r="H1966" s="106">
        <v>0</v>
      </c>
      <c r="I1966" s="104">
        <v>0</v>
      </c>
      <c r="J1966" s="106">
        <v>0</v>
      </c>
      <c r="K1966" s="213">
        <v>0</v>
      </c>
      <c r="L1966" s="213">
        <v>0</v>
      </c>
      <c r="M1966" s="213">
        <v>0</v>
      </c>
      <c r="N1966" s="213">
        <v>0</v>
      </c>
      <c r="O1966" s="213">
        <v>0</v>
      </c>
      <c r="P1966" s="108">
        <v>0</v>
      </c>
      <c r="Q1966" s="108">
        <v>-0.2</v>
      </c>
      <c r="R1966" s="108">
        <v>-0.142857142857143</v>
      </c>
      <c r="S1966" s="108">
        <v>0</v>
      </c>
      <c r="T1966" s="108">
        <v>0</v>
      </c>
      <c r="U1966" s="108">
        <v>-0.2</v>
      </c>
      <c r="V1966" s="108">
        <v>-0.142857142857143</v>
      </c>
    </row>
    <row r="1967" customFormat="1" ht="14.45" hidden="1" customHeight="1" spans="1:22">
      <c r="A1967" s="103">
        <v>45101</v>
      </c>
      <c r="B1967" s="104" t="s">
        <v>29</v>
      </c>
      <c r="C1967" s="145">
        <v>0</v>
      </c>
      <c r="D1967" s="145"/>
      <c r="E1967" s="104">
        <v>0</v>
      </c>
      <c r="F1967" s="106">
        <v>0</v>
      </c>
      <c r="G1967" s="107">
        <v>0</v>
      </c>
      <c r="H1967" s="106">
        <v>0</v>
      </c>
      <c r="I1967" s="104">
        <v>0</v>
      </c>
      <c r="J1967" s="106">
        <v>0</v>
      </c>
      <c r="K1967" s="213">
        <v>0</v>
      </c>
      <c r="L1967" s="213">
        <v>0</v>
      </c>
      <c r="M1967" s="213">
        <v>0</v>
      </c>
      <c r="N1967" s="213">
        <v>0</v>
      </c>
      <c r="O1967" s="213">
        <v>0</v>
      </c>
      <c r="P1967" s="108">
        <v>0</v>
      </c>
      <c r="Q1967" s="108">
        <v>0</v>
      </c>
      <c r="R1967" s="108">
        <v>0</v>
      </c>
      <c r="S1967" s="108">
        <v>0</v>
      </c>
      <c r="T1967" s="108">
        <v>0</v>
      </c>
      <c r="U1967" s="108">
        <v>0</v>
      </c>
      <c r="V1967" s="108">
        <v>0</v>
      </c>
    </row>
    <row r="1968" customFormat="1" ht="14.45" hidden="1" customHeight="1" spans="1:22">
      <c r="A1968" s="103">
        <v>45101</v>
      </c>
      <c r="B1968" s="104" t="s">
        <v>30</v>
      </c>
      <c r="C1968" s="145">
        <v>0</v>
      </c>
      <c r="D1968" s="145"/>
      <c r="E1968" s="104">
        <v>0</v>
      </c>
      <c r="F1968" s="106">
        <v>0</v>
      </c>
      <c r="G1968" s="107">
        <v>0</v>
      </c>
      <c r="H1968" s="106">
        <v>0</v>
      </c>
      <c r="I1968" s="104">
        <v>0</v>
      </c>
      <c r="J1968" s="106">
        <v>0</v>
      </c>
      <c r="K1968" s="213">
        <v>0</v>
      </c>
      <c r="L1968" s="213">
        <v>0</v>
      </c>
      <c r="M1968" s="213">
        <v>0</v>
      </c>
      <c r="N1968" s="213">
        <v>0</v>
      </c>
      <c r="O1968" s="213">
        <v>0</v>
      </c>
      <c r="P1968" s="108">
        <v>0</v>
      </c>
      <c r="Q1968" s="108">
        <v>0</v>
      </c>
      <c r="R1968" s="108">
        <v>0</v>
      </c>
      <c r="S1968" s="108">
        <v>0</v>
      </c>
      <c r="T1968" s="108">
        <v>0</v>
      </c>
      <c r="U1968" s="108">
        <v>0</v>
      </c>
      <c r="V1968" s="108">
        <v>0</v>
      </c>
    </row>
    <row r="1969" customFormat="1" ht="14.45" hidden="1" customHeight="1" spans="1:22">
      <c r="A1969" s="103">
        <v>45101</v>
      </c>
      <c r="B1969" s="104" t="s">
        <v>31</v>
      </c>
      <c r="C1969" s="145">
        <v>0</v>
      </c>
      <c r="D1969" s="145"/>
      <c r="E1969" s="104">
        <v>0</v>
      </c>
      <c r="F1969" s="106">
        <v>0</v>
      </c>
      <c r="G1969" s="107">
        <v>0</v>
      </c>
      <c r="H1969" s="106">
        <v>0</v>
      </c>
      <c r="I1969" s="104">
        <v>0</v>
      </c>
      <c r="J1969" s="106">
        <v>0</v>
      </c>
      <c r="K1969" s="213">
        <v>0</v>
      </c>
      <c r="L1969" s="213">
        <v>0</v>
      </c>
      <c r="M1969" s="213">
        <v>0</v>
      </c>
      <c r="N1969" s="213">
        <v>0</v>
      </c>
      <c r="O1969" s="213">
        <v>0</v>
      </c>
      <c r="P1969" s="108">
        <v>0</v>
      </c>
      <c r="Q1969" s="108">
        <v>0</v>
      </c>
      <c r="R1969" s="108">
        <v>0</v>
      </c>
      <c r="S1969" s="108">
        <v>0</v>
      </c>
      <c r="T1969" s="108">
        <v>0</v>
      </c>
      <c r="U1969" s="108">
        <v>0</v>
      </c>
      <c r="V1969" s="108">
        <v>0</v>
      </c>
    </row>
    <row r="1970" customFormat="1" ht="14.45" hidden="1" customHeight="1" spans="1:22">
      <c r="A1970" s="103">
        <v>45101</v>
      </c>
      <c r="B1970" s="104" t="s">
        <v>32</v>
      </c>
      <c r="C1970" s="145">
        <v>0</v>
      </c>
      <c r="D1970" s="145"/>
      <c r="E1970" s="104">
        <v>0</v>
      </c>
      <c r="F1970" s="106">
        <v>0</v>
      </c>
      <c r="G1970" s="107">
        <v>0</v>
      </c>
      <c r="H1970" s="106">
        <v>0</v>
      </c>
      <c r="I1970" s="104">
        <v>0</v>
      </c>
      <c r="J1970" s="106">
        <v>0</v>
      </c>
      <c r="K1970" s="213">
        <v>0</v>
      </c>
      <c r="L1970" s="213">
        <v>0</v>
      </c>
      <c r="M1970" s="213">
        <v>0</v>
      </c>
      <c r="N1970" s="213">
        <v>0</v>
      </c>
      <c r="O1970" s="213">
        <v>0</v>
      </c>
      <c r="P1970" s="108">
        <v>0</v>
      </c>
      <c r="Q1970" s="108">
        <v>0</v>
      </c>
      <c r="R1970" s="108">
        <v>0</v>
      </c>
      <c r="S1970" s="108">
        <v>0</v>
      </c>
      <c r="T1970" s="108">
        <v>0</v>
      </c>
      <c r="U1970" s="108">
        <v>0</v>
      </c>
      <c r="V1970" s="108">
        <v>0</v>
      </c>
    </row>
    <row r="1971" customFormat="1" hidden="1" spans="1:22">
      <c r="A1971" s="103">
        <v>45101</v>
      </c>
      <c r="B1971" s="104" t="s">
        <v>33</v>
      </c>
      <c r="C1971" s="145">
        <v>0</v>
      </c>
      <c r="D1971" s="145"/>
      <c r="E1971" s="104">
        <v>0</v>
      </c>
      <c r="F1971" s="106">
        <v>0</v>
      </c>
      <c r="G1971" s="107">
        <v>0</v>
      </c>
      <c r="H1971" s="106">
        <v>0</v>
      </c>
      <c r="I1971" s="104">
        <v>0</v>
      </c>
      <c r="J1971" s="106">
        <v>0</v>
      </c>
      <c r="K1971" s="213">
        <v>0</v>
      </c>
      <c r="L1971" s="213">
        <v>0</v>
      </c>
      <c r="M1971" s="213">
        <v>0</v>
      </c>
      <c r="N1971" s="213">
        <v>0</v>
      </c>
      <c r="O1971" s="213">
        <v>0</v>
      </c>
      <c r="P1971" s="108">
        <v>0</v>
      </c>
      <c r="Q1971" s="108">
        <v>0</v>
      </c>
      <c r="R1971" s="108">
        <v>0</v>
      </c>
      <c r="S1971" s="108">
        <v>0</v>
      </c>
      <c r="T1971" s="108">
        <v>0</v>
      </c>
      <c r="U1971" s="108">
        <v>0</v>
      </c>
      <c r="V1971" s="108">
        <v>0</v>
      </c>
    </row>
    <row r="1972" customFormat="1" hidden="1" spans="1:22">
      <c r="A1972" s="103">
        <v>45101</v>
      </c>
      <c r="B1972" s="104" t="s">
        <v>34</v>
      </c>
      <c r="C1972" s="145">
        <v>0</v>
      </c>
      <c r="D1972" s="145"/>
      <c r="E1972" s="104">
        <v>0</v>
      </c>
      <c r="F1972" s="106">
        <v>0</v>
      </c>
      <c r="G1972" s="107">
        <v>0</v>
      </c>
      <c r="H1972" s="106">
        <v>0</v>
      </c>
      <c r="I1972" s="104">
        <v>0</v>
      </c>
      <c r="J1972" s="106">
        <v>0</v>
      </c>
      <c r="K1972" s="213">
        <v>0</v>
      </c>
      <c r="L1972" s="213">
        <v>0</v>
      </c>
      <c r="M1972" s="213">
        <v>0</v>
      </c>
      <c r="N1972" s="213">
        <v>0</v>
      </c>
      <c r="O1972" s="213">
        <v>0</v>
      </c>
      <c r="P1972" s="108">
        <v>0</v>
      </c>
      <c r="Q1972" s="108">
        <v>0</v>
      </c>
      <c r="R1972" s="108">
        <v>0</v>
      </c>
      <c r="S1972" s="108">
        <v>0</v>
      </c>
      <c r="T1972" s="108">
        <v>0</v>
      </c>
      <c r="U1972" s="108">
        <v>0</v>
      </c>
      <c r="V1972" s="108">
        <v>0</v>
      </c>
    </row>
    <row r="1973" customFormat="1" hidden="1" spans="1:22">
      <c r="A1973" s="103">
        <v>45101</v>
      </c>
      <c r="B1973" s="104" t="s">
        <v>35</v>
      </c>
      <c r="C1973" s="145">
        <v>0</v>
      </c>
      <c r="D1973" s="145"/>
      <c r="E1973" s="104">
        <v>0</v>
      </c>
      <c r="F1973" s="106">
        <v>0</v>
      </c>
      <c r="G1973" s="107">
        <v>0</v>
      </c>
      <c r="H1973" s="106">
        <v>0</v>
      </c>
      <c r="I1973" s="104">
        <v>0</v>
      </c>
      <c r="J1973" s="106">
        <v>0</v>
      </c>
      <c r="K1973" s="213">
        <v>0</v>
      </c>
      <c r="L1973" s="213">
        <v>0</v>
      </c>
      <c r="M1973" s="213">
        <v>0</v>
      </c>
      <c r="N1973" s="213">
        <v>0</v>
      </c>
      <c r="O1973" s="213">
        <v>0</v>
      </c>
      <c r="P1973" s="108">
        <v>0</v>
      </c>
      <c r="Q1973" s="108">
        <v>0</v>
      </c>
      <c r="R1973" s="108">
        <v>0</v>
      </c>
      <c r="S1973" s="108">
        <v>0</v>
      </c>
      <c r="T1973" s="108">
        <v>0</v>
      </c>
      <c r="U1973" s="108">
        <v>0</v>
      </c>
      <c r="V1973" s="108">
        <v>0</v>
      </c>
    </row>
    <row r="1974" customFormat="1" hidden="1" spans="1:22">
      <c r="A1974" s="103">
        <v>45101</v>
      </c>
      <c r="B1974" s="104" t="s">
        <v>36</v>
      </c>
      <c r="C1974" s="145">
        <v>0</v>
      </c>
      <c r="D1974" s="145"/>
      <c r="E1974" s="104">
        <v>0</v>
      </c>
      <c r="F1974" s="106">
        <v>0</v>
      </c>
      <c r="G1974" s="107">
        <v>0</v>
      </c>
      <c r="H1974" s="106">
        <v>0</v>
      </c>
      <c r="I1974" s="104">
        <v>0</v>
      </c>
      <c r="J1974" s="106">
        <v>0</v>
      </c>
      <c r="K1974" s="213">
        <v>0</v>
      </c>
      <c r="L1974" s="213">
        <v>0</v>
      </c>
      <c r="M1974" s="213">
        <v>0</v>
      </c>
      <c r="N1974" s="213">
        <v>0</v>
      </c>
      <c r="O1974" s="213">
        <v>0</v>
      </c>
      <c r="P1974" s="108">
        <v>0</v>
      </c>
      <c r="Q1974" s="108">
        <v>0</v>
      </c>
      <c r="R1974" s="108">
        <v>0</v>
      </c>
      <c r="S1974" s="108">
        <v>0</v>
      </c>
      <c r="T1974" s="108">
        <v>0</v>
      </c>
      <c r="U1974" s="108">
        <v>0</v>
      </c>
      <c r="V1974" s="108">
        <v>0</v>
      </c>
    </row>
    <row r="1975" customFormat="1" hidden="1" spans="1:22">
      <c r="A1975" s="103">
        <v>45101</v>
      </c>
      <c r="B1975" s="104" t="s">
        <v>37</v>
      </c>
      <c r="C1975" s="145">
        <v>0</v>
      </c>
      <c r="D1975" s="145"/>
      <c r="E1975" s="104">
        <v>0</v>
      </c>
      <c r="F1975" s="106">
        <v>0</v>
      </c>
      <c r="G1975" s="107">
        <v>0</v>
      </c>
      <c r="H1975" s="106">
        <v>0</v>
      </c>
      <c r="I1975" s="104">
        <v>0</v>
      </c>
      <c r="J1975" s="106">
        <v>0</v>
      </c>
      <c r="K1975" s="213">
        <v>0</v>
      </c>
      <c r="L1975" s="213">
        <v>0</v>
      </c>
      <c r="M1975" s="213">
        <v>0</v>
      </c>
      <c r="N1975" s="213">
        <v>0</v>
      </c>
      <c r="O1975" s="213">
        <v>0</v>
      </c>
      <c r="P1975" s="108">
        <v>0</v>
      </c>
      <c r="Q1975" s="108">
        <v>0</v>
      </c>
      <c r="R1975" s="108">
        <v>0</v>
      </c>
      <c r="S1975" s="108">
        <v>0</v>
      </c>
      <c r="T1975" s="108">
        <v>0</v>
      </c>
      <c r="U1975" s="108">
        <v>0</v>
      </c>
      <c r="V1975" s="108">
        <v>0</v>
      </c>
    </row>
    <row r="1976" customFormat="1" hidden="1" spans="1:22">
      <c r="A1976" s="103">
        <v>45101</v>
      </c>
      <c r="B1976" s="104" t="s">
        <v>38</v>
      </c>
      <c r="C1976" s="145">
        <v>0</v>
      </c>
      <c r="D1976" s="145"/>
      <c r="E1976" s="104">
        <v>0</v>
      </c>
      <c r="F1976" s="106">
        <v>0</v>
      </c>
      <c r="G1976" s="107">
        <v>0</v>
      </c>
      <c r="H1976" s="106">
        <v>0</v>
      </c>
      <c r="I1976" s="104">
        <v>0</v>
      </c>
      <c r="J1976" s="106">
        <v>0</v>
      </c>
      <c r="K1976" s="213">
        <v>0</v>
      </c>
      <c r="L1976" s="213">
        <v>0</v>
      </c>
      <c r="M1976" s="213">
        <v>0</v>
      </c>
      <c r="N1976" s="213">
        <v>0</v>
      </c>
      <c r="O1976" s="213">
        <v>0</v>
      </c>
      <c r="P1976" s="108">
        <v>0</v>
      </c>
      <c r="Q1976" s="108">
        <v>0</v>
      </c>
      <c r="R1976" s="108">
        <v>0</v>
      </c>
      <c r="S1976" s="108">
        <v>0</v>
      </c>
      <c r="T1976" s="108">
        <v>0</v>
      </c>
      <c r="U1976" s="108">
        <v>0</v>
      </c>
      <c r="V1976" s="108">
        <v>0</v>
      </c>
    </row>
    <row r="1977" customFormat="1" spans="1:22">
      <c r="A1977" s="103">
        <v>45101</v>
      </c>
      <c r="B1977" s="111" t="s">
        <v>39</v>
      </c>
      <c r="C1977" s="112">
        <v>11677</v>
      </c>
      <c r="D1977" s="112">
        <v>7073</v>
      </c>
      <c r="E1977" s="112">
        <v>258</v>
      </c>
      <c r="F1977" s="106">
        <v>0.0220947161085895</v>
      </c>
      <c r="G1977" s="112">
        <v>85</v>
      </c>
      <c r="H1977" s="113">
        <v>0.329457364341085</v>
      </c>
      <c r="I1977" s="112">
        <v>52</v>
      </c>
      <c r="J1977" s="106">
        <v>0.201550387596899</v>
      </c>
      <c r="K1977" s="213"/>
      <c r="L1977" s="213"/>
      <c r="M1977" s="213"/>
      <c r="N1977" s="213"/>
      <c r="O1977" s="213"/>
      <c r="P1977" s="108"/>
      <c r="Q1977" s="108"/>
      <c r="R1977" s="108"/>
      <c r="S1977" s="108"/>
      <c r="T1977" s="108"/>
      <c r="U1977" s="108"/>
      <c r="V1977" s="108"/>
    </row>
    <row r="1978" customFormat="1" ht="14.45" customHeight="1" spans="1:24">
      <c r="A1978" s="103">
        <v>45102</v>
      </c>
      <c r="B1978" s="104" t="s">
        <v>17</v>
      </c>
      <c r="C1978" s="216">
        <v>2</v>
      </c>
      <c r="D1978" s="216">
        <v>1191</v>
      </c>
      <c r="E1978" s="217">
        <v>70</v>
      </c>
      <c r="F1978" s="106">
        <v>35</v>
      </c>
      <c r="G1978" s="107">
        <v>15</v>
      </c>
      <c r="H1978" s="106">
        <v>0.214285714285714</v>
      </c>
      <c r="I1978" s="104">
        <v>14</v>
      </c>
      <c r="J1978" s="106">
        <v>0.2</v>
      </c>
      <c r="K1978" s="213">
        <v>1</v>
      </c>
      <c r="L1978" s="213">
        <v>0.333333333333333</v>
      </c>
      <c r="M1978" s="213">
        <v>-0.2</v>
      </c>
      <c r="N1978" s="213">
        <v>0</v>
      </c>
      <c r="O1978" s="213">
        <v>9</v>
      </c>
      <c r="P1978" s="108">
        <v>14.3333333333333</v>
      </c>
      <c r="Q1978" s="108">
        <v>16</v>
      </c>
      <c r="R1978" s="108">
        <v>20</v>
      </c>
      <c r="S1978" s="108">
        <v>4</v>
      </c>
      <c r="T1978" s="108">
        <v>3</v>
      </c>
      <c r="U1978" s="108">
        <v>3</v>
      </c>
      <c r="V1978" s="108">
        <v>3.14285714285714</v>
      </c>
      <c r="X1978" t="s">
        <v>18</v>
      </c>
    </row>
    <row r="1979" customFormat="1" ht="14.45" customHeight="1" spans="1:23">
      <c r="A1979" s="103">
        <v>45102</v>
      </c>
      <c r="B1979" s="104" t="s">
        <v>19</v>
      </c>
      <c r="C1979" s="216">
        <v>787</v>
      </c>
      <c r="D1979" s="216">
        <v>603</v>
      </c>
      <c r="E1979" s="217">
        <v>15</v>
      </c>
      <c r="F1979" s="106">
        <v>0.0190597204574333</v>
      </c>
      <c r="G1979" s="107">
        <v>4</v>
      </c>
      <c r="H1979" s="106">
        <v>0.266666666666667</v>
      </c>
      <c r="I1979" s="104">
        <v>3</v>
      </c>
      <c r="J1979" s="106">
        <v>0.2</v>
      </c>
      <c r="K1979" s="213">
        <v>74</v>
      </c>
      <c r="L1979" s="213">
        <v>134.666666666667</v>
      </c>
      <c r="M1979" s="213">
        <v>189.2</v>
      </c>
      <c r="N1979" s="213">
        <v>208.285714285714</v>
      </c>
      <c r="O1979" s="213">
        <v>0</v>
      </c>
      <c r="P1979" s="108">
        <v>0</v>
      </c>
      <c r="Q1979" s="108">
        <v>0.199999999999999</v>
      </c>
      <c r="R1979" s="108">
        <v>0.142857142857142</v>
      </c>
      <c r="S1979" s="108">
        <v>-4</v>
      </c>
      <c r="T1979" s="108">
        <v>-2</v>
      </c>
      <c r="U1979" s="108">
        <v>-1.6</v>
      </c>
      <c r="V1979" s="115">
        <v>-1</v>
      </c>
      <c r="W1979" s="154"/>
    </row>
    <row r="1980" customFormat="1" ht="14.45" customHeight="1" spans="1:22">
      <c r="A1980" s="103">
        <v>45102</v>
      </c>
      <c r="B1980" s="104" t="s">
        <v>21</v>
      </c>
      <c r="C1980" s="218">
        <v>291</v>
      </c>
      <c r="D1980" s="218">
        <v>372</v>
      </c>
      <c r="E1980" s="217">
        <v>5</v>
      </c>
      <c r="F1980" s="106">
        <v>0.0171821305841924</v>
      </c>
      <c r="G1980" s="107">
        <v>2</v>
      </c>
      <c r="H1980" s="106">
        <v>0.4</v>
      </c>
      <c r="I1980" s="104">
        <v>2</v>
      </c>
      <c r="J1980" s="106">
        <v>0.4</v>
      </c>
      <c r="K1980" s="213">
        <v>-12</v>
      </c>
      <c r="L1980" s="213">
        <v>-9</v>
      </c>
      <c r="M1980" s="213">
        <v>-2.80000000000001</v>
      </c>
      <c r="N1980" s="213">
        <v>14.1428571428572</v>
      </c>
      <c r="O1980" s="213">
        <v>0</v>
      </c>
      <c r="P1980" s="108">
        <v>1.33333333333333</v>
      </c>
      <c r="Q1980" s="108">
        <v>1.4</v>
      </c>
      <c r="R1980" s="108">
        <v>1</v>
      </c>
      <c r="S1980" s="108">
        <v>0</v>
      </c>
      <c r="T1980" s="108">
        <v>0</v>
      </c>
      <c r="U1980" s="108">
        <v>-0.2</v>
      </c>
      <c r="V1980" s="108">
        <v>-0.428571428571428</v>
      </c>
    </row>
    <row r="1981" customFormat="1" ht="18.95" customHeight="1" spans="1:23">
      <c r="A1981" s="103">
        <v>45102</v>
      </c>
      <c r="B1981" s="104" t="s">
        <v>22</v>
      </c>
      <c r="C1981" s="218">
        <v>1894</v>
      </c>
      <c r="D1981" s="218">
        <v>1722</v>
      </c>
      <c r="E1981" s="217">
        <v>41</v>
      </c>
      <c r="F1981" s="106">
        <v>0.0216473072861668</v>
      </c>
      <c r="G1981" s="107">
        <v>21</v>
      </c>
      <c r="H1981" s="106">
        <v>0.51219512195122</v>
      </c>
      <c r="I1981" s="104">
        <v>13</v>
      </c>
      <c r="J1981" s="106">
        <v>0.317073170731707</v>
      </c>
      <c r="K1981" s="213">
        <v>0</v>
      </c>
      <c r="L1981" s="213">
        <v>-214.666666666667</v>
      </c>
      <c r="M1981" s="213">
        <v>-298.2</v>
      </c>
      <c r="N1981" s="213">
        <v>-382.142857142857</v>
      </c>
      <c r="O1981" s="213">
        <v>10</v>
      </c>
      <c r="P1981" s="108">
        <v>5.33333333333334</v>
      </c>
      <c r="Q1981" s="108">
        <v>0.799999999999997</v>
      </c>
      <c r="R1981" s="115">
        <v>-0.714285714285715</v>
      </c>
      <c r="S1981" s="108">
        <v>5</v>
      </c>
      <c r="T1981" s="108">
        <v>7</v>
      </c>
      <c r="U1981" s="108">
        <v>5.8</v>
      </c>
      <c r="V1981" s="117">
        <v>4.14285714285714</v>
      </c>
      <c r="W1981" s="154"/>
    </row>
    <row r="1982" customFormat="1" ht="14.45" customHeight="1" spans="1:22">
      <c r="A1982" s="103">
        <v>45102</v>
      </c>
      <c r="B1982" s="104" t="s">
        <v>23</v>
      </c>
      <c r="C1982" s="218">
        <v>2122</v>
      </c>
      <c r="D1982" s="218">
        <v>139</v>
      </c>
      <c r="E1982" s="217">
        <v>4</v>
      </c>
      <c r="F1982" s="106">
        <v>0.00188501413760603</v>
      </c>
      <c r="G1982" s="107">
        <v>2</v>
      </c>
      <c r="H1982" s="106">
        <v>0.5</v>
      </c>
      <c r="I1982" s="104">
        <v>1</v>
      </c>
      <c r="J1982" s="106">
        <v>0.25</v>
      </c>
      <c r="K1982" s="213">
        <v>16</v>
      </c>
      <c r="L1982" s="213">
        <v>111.666666666667</v>
      </c>
      <c r="M1982" s="213">
        <v>181.6</v>
      </c>
      <c r="N1982" s="213">
        <v>220.285714285714</v>
      </c>
      <c r="O1982" s="213">
        <v>0</v>
      </c>
      <c r="P1982" s="108">
        <v>-0.666666666666667</v>
      </c>
      <c r="Q1982" s="108">
        <v>-3.2</v>
      </c>
      <c r="R1982" s="108">
        <v>-2.85714285714286</v>
      </c>
      <c r="S1982" s="108">
        <v>-1</v>
      </c>
      <c r="T1982" s="116">
        <v>-1.66666666666667</v>
      </c>
      <c r="U1982" s="108">
        <v>-1.4</v>
      </c>
      <c r="V1982" s="108">
        <v>-1.14285714285714</v>
      </c>
    </row>
    <row r="1983" customFormat="1" ht="14.45" customHeight="1" spans="1:23">
      <c r="A1983" s="103">
        <v>45102</v>
      </c>
      <c r="B1983" s="104" t="s">
        <v>24</v>
      </c>
      <c r="C1983" s="218">
        <v>1139</v>
      </c>
      <c r="D1983" s="218">
        <v>600</v>
      </c>
      <c r="E1983" s="217">
        <v>32</v>
      </c>
      <c r="F1983" s="106">
        <v>0.0280948200175593</v>
      </c>
      <c r="G1983" s="107">
        <v>11</v>
      </c>
      <c r="H1983" s="106">
        <v>0.34375</v>
      </c>
      <c r="I1983" s="104">
        <v>6</v>
      </c>
      <c r="J1983" s="106">
        <v>0.1875</v>
      </c>
      <c r="K1983" s="213">
        <v>-462</v>
      </c>
      <c r="L1983" s="213">
        <v>-720.666666666667</v>
      </c>
      <c r="M1983" s="213">
        <v>-686.6</v>
      </c>
      <c r="N1983" s="213">
        <v>-826.428571428571</v>
      </c>
      <c r="O1983" s="219">
        <v>-15</v>
      </c>
      <c r="P1983" s="115">
        <v>-24.3333333333333</v>
      </c>
      <c r="Q1983" s="115">
        <v>-22.8</v>
      </c>
      <c r="R1983" s="115">
        <v>-32.4285714285714</v>
      </c>
      <c r="S1983" s="115">
        <v>-7</v>
      </c>
      <c r="T1983" s="115">
        <v>-4</v>
      </c>
      <c r="U1983" s="115">
        <v>-5.2</v>
      </c>
      <c r="V1983" s="115">
        <v>-9.28571428571428</v>
      </c>
      <c r="W1983" s="154"/>
    </row>
    <row r="1984" customFormat="1" ht="14.45" customHeight="1" spans="1:22">
      <c r="A1984" s="103">
        <v>45102</v>
      </c>
      <c r="B1984" s="104" t="s">
        <v>25</v>
      </c>
      <c r="C1984" s="218">
        <v>2517</v>
      </c>
      <c r="D1984" s="218">
        <v>901</v>
      </c>
      <c r="E1984" s="217">
        <v>58</v>
      </c>
      <c r="F1984" s="106">
        <v>0.0230433055224474</v>
      </c>
      <c r="G1984" s="107">
        <v>23</v>
      </c>
      <c r="H1984" s="106">
        <v>0.396551724137931</v>
      </c>
      <c r="I1984" s="104">
        <v>17</v>
      </c>
      <c r="J1984" s="106">
        <v>0.293103448275862</v>
      </c>
      <c r="K1984" s="213">
        <v>-301</v>
      </c>
      <c r="L1984" s="213">
        <v>-457</v>
      </c>
      <c r="M1984" s="213">
        <v>-377</v>
      </c>
      <c r="N1984" s="213">
        <v>-402.285714285714</v>
      </c>
      <c r="O1984" s="220">
        <v>-2</v>
      </c>
      <c r="P1984" s="115">
        <v>3.33333333333334</v>
      </c>
      <c r="Q1984" s="115">
        <v>-1.8</v>
      </c>
      <c r="R1984" s="115">
        <v>-1</v>
      </c>
      <c r="S1984" s="108">
        <v>1</v>
      </c>
      <c r="T1984" s="108">
        <v>4.66666666666667</v>
      </c>
      <c r="U1984" s="108">
        <v>3.6</v>
      </c>
      <c r="V1984" s="108">
        <v>3.71428571428572</v>
      </c>
    </row>
    <row r="1985" customFormat="1" ht="14.45" customHeight="1" spans="1:22">
      <c r="A1985" s="103">
        <v>45102</v>
      </c>
      <c r="B1985" s="104" t="s">
        <v>26</v>
      </c>
      <c r="C1985" s="218">
        <v>2</v>
      </c>
      <c r="D1985" s="218">
        <v>1282</v>
      </c>
      <c r="E1985" s="217">
        <v>3</v>
      </c>
      <c r="F1985" s="106">
        <v>1.5</v>
      </c>
      <c r="G1985" s="107">
        <v>4</v>
      </c>
      <c r="H1985" s="106">
        <v>1.33333333333333</v>
      </c>
      <c r="I1985" s="104">
        <v>0</v>
      </c>
      <c r="J1985" s="106">
        <v>0</v>
      </c>
      <c r="K1985" s="213">
        <v>-1</v>
      </c>
      <c r="L1985" s="213">
        <v>0.333333333333333</v>
      </c>
      <c r="M1985" s="213">
        <v>0.6</v>
      </c>
      <c r="N1985" s="213">
        <v>0.571428571428571</v>
      </c>
      <c r="O1985" s="213">
        <v>0</v>
      </c>
      <c r="P1985" s="108">
        <v>1.33333333333333</v>
      </c>
      <c r="Q1985" s="108">
        <v>2</v>
      </c>
      <c r="R1985" s="108">
        <v>2.14285714285714</v>
      </c>
      <c r="S1985" s="108">
        <v>1</v>
      </c>
      <c r="T1985" s="108">
        <v>1</v>
      </c>
      <c r="U1985" s="108">
        <v>2.2</v>
      </c>
      <c r="V1985" s="108">
        <v>2.14285714285714</v>
      </c>
    </row>
    <row r="1986" customFormat="1" ht="14.45" customHeight="1" spans="1:22">
      <c r="A1986" s="103">
        <v>45102</v>
      </c>
      <c r="B1986" s="104" t="s">
        <v>27</v>
      </c>
      <c r="C1986" s="218">
        <v>1959</v>
      </c>
      <c r="D1986" s="218">
        <v>428</v>
      </c>
      <c r="E1986" s="217">
        <v>27</v>
      </c>
      <c r="F1986" s="106">
        <v>0.0137825421133231</v>
      </c>
      <c r="G1986" s="107">
        <v>5</v>
      </c>
      <c r="H1986" s="106">
        <v>0.185185185185185</v>
      </c>
      <c r="I1986" s="104">
        <v>5</v>
      </c>
      <c r="J1986" s="106">
        <v>0.185185185185185</v>
      </c>
      <c r="K1986" s="213">
        <v>-279</v>
      </c>
      <c r="L1986" s="213">
        <v>-56.3333333333333</v>
      </c>
      <c r="M1986" s="213">
        <v>-309.4</v>
      </c>
      <c r="N1986" s="213">
        <v>-552</v>
      </c>
      <c r="O1986" s="213">
        <v>-5</v>
      </c>
      <c r="P1986" s="108">
        <v>-2.66666666666667</v>
      </c>
      <c r="Q1986" s="108">
        <v>-9.4</v>
      </c>
      <c r="R1986" s="108">
        <v>-13</v>
      </c>
      <c r="S1986" s="108">
        <v>3</v>
      </c>
      <c r="T1986" s="108">
        <v>0.333333333333333</v>
      </c>
      <c r="U1986" s="108">
        <v>-2</v>
      </c>
      <c r="V1986" s="108">
        <v>-3.14285714285714</v>
      </c>
    </row>
    <row r="1987" customFormat="1" ht="14.45" hidden="1" customHeight="1" spans="1:22">
      <c r="A1987" s="103">
        <v>45102</v>
      </c>
      <c r="B1987" s="104" t="s">
        <v>28</v>
      </c>
      <c r="C1987" s="145">
        <v>0</v>
      </c>
      <c r="D1987" s="145"/>
      <c r="E1987" s="104">
        <v>0</v>
      </c>
      <c r="F1987" s="106">
        <v>0</v>
      </c>
      <c r="G1987" s="107">
        <v>0</v>
      </c>
      <c r="H1987" s="106">
        <v>0</v>
      </c>
      <c r="I1987" s="104">
        <v>0</v>
      </c>
      <c r="J1987" s="106">
        <v>0</v>
      </c>
      <c r="K1987" s="213">
        <v>0</v>
      </c>
      <c r="L1987" s="213">
        <v>0</v>
      </c>
      <c r="M1987" s="213">
        <v>0</v>
      </c>
      <c r="N1987" s="213">
        <v>0</v>
      </c>
      <c r="O1987" s="213">
        <v>0</v>
      </c>
      <c r="P1987" s="108">
        <v>0</v>
      </c>
      <c r="Q1987" s="108">
        <v>-0.2</v>
      </c>
      <c r="R1987" s="108">
        <v>-0.142857142857143</v>
      </c>
      <c r="S1987" s="108">
        <v>0</v>
      </c>
      <c r="T1987" s="108">
        <v>0</v>
      </c>
      <c r="U1987" s="108">
        <v>-0.2</v>
      </c>
      <c r="V1987" s="108">
        <v>-0.142857142857143</v>
      </c>
    </row>
    <row r="1988" customFormat="1" ht="14.45" hidden="1" customHeight="1" spans="1:22">
      <c r="A1988" s="103">
        <v>45102</v>
      </c>
      <c r="B1988" s="104" t="s">
        <v>29</v>
      </c>
      <c r="C1988" s="145">
        <v>0</v>
      </c>
      <c r="D1988" s="145"/>
      <c r="E1988" s="104">
        <v>0</v>
      </c>
      <c r="F1988" s="106">
        <v>0</v>
      </c>
      <c r="G1988" s="107">
        <v>0</v>
      </c>
      <c r="H1988" s="106">
        <v>0</v>
      </c>
      <c r="I1988" s="104">
        <v>0</v>
      </c>
      <c r="J1988" s="106">
        <v>0</v>
      </c>
      <c r="K1988" s="213">
        <v>0</v>
      </c>
      <c r="L1988" s="213">
        <v>0</v>
      </c>
      <c r="M1988" s="213">
        <v>0</v>
      </c>
      <c r="N1988" s="213">
        <v>0</v>
      </c>
      <c r="O1988" s="213">
        <v>0</v>
      </c>
      <c r="P1988" s="108">
        <v>0</v>
      </c>
      <c r="Q1988" s="108">
        <v>0</v>
      </c>
      <c r="R1988" s="108">
        <v>0</v>
      </c>
      <c r="S1988" s="108">
        <v>0</v>
      </c>
      <c r="T1988" s="108">
        <v>0</v>
      </c>
      <c r="U1988" s="108">
        <v>0</v>
      </c>
      <c r="V1988" s="108">
        <v>0</v>
      </c>
    </row>
    <row r="1989" customFormat="1" ht="14.45" hidden="1" customHeight="1" spans="1:22">
      <c r="A1989" s="103">
        <v>45102</v>
      </c>
      <c r="B1989" s="104" t="s">
        <v>30</v>
      </c>
      <c r="C1989" s="145">
        <v>0</v>
      </c>
      <c r="D1989" s="145"/>
      <c r="E1989" s="104">
        <v>0</v>
      </c>
      <c r="F1989" s="106">
        <v>0</v>
      </c>
      <c r="G1989" s="107">
        <v>0</v>
      </c>
      <c r="H1989" s="106">
        <v>0</v>
      </c>
      <c r="I1989" s="104">
        <v>0</v>
      </c>
      <c r="J1989" s="106">
        <v>0</v>
      </c>
      <c r="K1989" s="213">
        <v>0</v>
      </c>
      <c r="L1989" s="213">
        <v>0</v>
      </c>
      <c r="M1989" s="213">
        <v>0</v>
      </c>
      <c r="N1989" s="213">
        <v>0</v>
      </c>
      <c r="O1989" s="213">
        <v>0</v>
      </c>
      <c r="P1989" s="108">
        <v>0</v>
      </c>
      <c r="Q1989" s="108">
        <v>0</v>
      </c>
      <c r="R1989" s="108">
        <v>0</v>
      </c>
      <c r="S1989" s="108">
        <v>0</v>
      </c>
      <c r="T1989" s="108">
        <v>0</v>
      </c>
      <c r="U1989" s="108">
        <v>0</v>
      </c>
      <c r="V1989" s="108">
        <v>0</v>
      </c>
    </row>
    <row r="1990" customFormat="1" ht="14.45" hidden="1" customHeight="1" spans="1:22">
      <c r="A1990" s="103">
        <v>45102</v>
      </c>
      <c r="B1990" s="104" t="s">
        <v>31</v>
      </c>
      <c r="C1990" s="145">
        <v>0</v>
      </c>
      <c r="D1990" s="145"/>
      <c r="E1990" s="104">
        <v>0</v>
      </c>
      <c r="F1990" s="106">
        <v>0</v>
      </c>
      <c r="G1990" s="107">
        <v>0</v>
      </c>
      <c r="H1990" s="106">
        <v>0</v>
      </c>
      <c r="I1990" s="104">
        <v>0</v>
      </c>
      <c r="J1990" s="106">
        <v>0</v>
      </c>
      <c r="K1990" s="213">
        <v>0</v>
      </c>
      <c r="L1990" s="213">
        <v>0</v>
      </c>
      <c r="M1990" s="213">
        <v>0</v>
      </c>
      <c r="N1990" s="213">
        <v>0</v>
      </c>
      <c r="O1990" s="213">
        <v>0</v>
      </c>
      <c r="P1990" s="108">
        <v>0</v>
      </c>
      <c r="Q1990" s="108">
        <v>0</v>
      </c>
      <c r="R1990" s="108">
        <v>0</v>
      </c>
      <c r="S1990" s="108">
        <v>0</v>
      </c>
      <c r="T1990" s="108">
        <v>0</v>
      </c>
      <c r="U1990" s="108">
        <v>0</v>
      </c>
      <c r="V1990" s="108">
        <v>0</v>
      </c>
    </row>
    <row r="1991" customFormat="1" ht="14.45" hidden="1" customHeight="1" spans="1:22">
      <c r="A1991" s="103">
        <v>45102</v>
      </c>
      <c r="B1991" s="104" t="s">
        <v>32</v>
      </c>
      <c r="C1991" s="145">
        <v>0</v>
      </c>
      <c r="D1991" s="145"/>
      <c r="E1991" s="104">
        <v>0</v>
      </c>
      <c r="F1991" s="106">
        <v>0</v>
      </c>
      <c r="G1991" s="107">
        <v>0</v>
      </c>
      <c r="H1991" s="106">
        <v>0</v>
      </c>
      <c r="I1991" s="104">
        <v>0</v>
      </c>
      <c r="J1991" s="106">
        <v>0</v>
      </c>
      <c r="K1991" s="213">
        <v>0</v>
      </c>
      <c r="L1991" s="213">
        <v>0</v>
      </c>
      <c r="M1991" s="213">
        <v>0</v>
      </c>
      <c r="N1991" s="213">
        <v>0</v>
      </c>
      <c r="O1991" s="213">
        <v>0</v>
      </c>
      <c r="P1991" s="108">
        <v>0</v>
      </c>
      <c r="Q1991" s="108">
        <v>0</v>
      </c>
      <c r="R1991" s="108">
        <v>0</v>
      </c>
      <c r="S1991" s="108">
        <v>0</v>
      </c>
      <c r="T1991" s="108">
        <v>0</v>
      </c>
      <c r="U1991" s="108">
        <v>0</v>
      </c>
      <c r="V1991" s="108">
        <v>0</v>
      </c>
    </row>
    <row r="1992" customFormat="1" hidden="1" spans="1:22">
      <c r="A1992" s="103">
        <v>45102</v>
      </c>
      <c r="B1992" s="104" t="s">
        <v>33</v>
      </c>
      <c r="C1992" s="145">
        <v>0</v>
      </c>
      <c r="D1992" s="145"/>
      <c r="E1992" s="104">
        <v>0</v>
      </c>
      <c r="F1992" s="106">
        <v>0</v>
      </c>
      <c r="G1992" s="107">
        <v>0</v>
      </c>
      <c r="H1992" s="106">
        <v>0</v>
      </c>
      <c r="I1992" s="104">
        <v>0</v>
      </c>
      <c r="J1992" s="106">
        <v>0</v>
      </c>
      <c r="K1992" s="213">
        <v>0</v>
      </c>
      <c r="L1992" s="213">
        <v>0</v>
      </c>
      <c r="M1992" s="213">
        <v>0</v>
      </c>
      <c r="N1992" s="213">
        <v>0</v>
      </c>
      <c r="O1992" s="213">
        <v>0</v>
      </c>
      <c r="P1992" s="108">
        <v>0</v>
      </c>
      <c r="Q1992" s="108">
        <v>0</v>
      </c>
      <c r="R1992" s="108">
        <v>0</v>
      </c>
      <c r="S1992" s="108">
        <v>0</v>
      </c>
      <c r="T1992" s="108">
        <v>0</v>
      </c>
      <c r="U1992" s="108">
        <v>0</v>
      </c>
      <c r="V1992" s="108">
        <v>0</v>
      </c>
    </row>
    <row r="1993" customFormat="1" hidden="1" spans="1:22">
      <c r="A1993" s="103">
        <v>45102</v>
      </c>
      <c r="B1993" s="104" t="s">
        <v>34</v>
      </c>
      <c r="C1993" s="145">
        <v>0</v>
      </c>
      <c r="D1993" s="145"/>
      <c r="E1993" s="104">
        <v>0</v>
      </c>
      <c r="F1993" s="106">
        <v>0</v>
      </c>
      <c r="G1993" s="107">
        <v>0</v>
      </c>
      <c r="H1993" s="106">
        <v>0</v>
      </c>
      <c r="I1993" s="104">
        <v>0</v>
      </c>
      <c r="J1993" s="106">
        <v>0</v>
      </c>
      <c r="K1993" s="213">
        <v>0</v>
      </c>
      <c r="L1993" s="213">
        <v>0</v>
      </c>
      <c r="M1993" s="213">
        <v>0</v>
      </c>
      <c r="N1993" s="213">
        <v>0</v>
      </c>
      <c r="O1993" s="213">
        <v>0</v>
      </c>
      <c r="P1993" s="108">
        <v>0</v>
      </c>
      <c r="Q1993" s="108">
        <v>0</v>
      </c>
      <c r="R1993" s="108">
        <v>0</v>
      </c>
      <c r="S1993" s="108">
        <v>0</v>
      </c>
      <c r="T1993" s="108">
        <v>0</v>
      </c>
      <c r="U1993" s="108">
        <v>0</v>
      </c>
      <c r="V1993" s="108">
        <v>0</v>
      </c>
    </row>
    <row r="1994" customFormat="1" hidden="1" spans="1:22">
      <c r="A1994" s="103">
        <v>45102</v>
      </c>
      <c r="B1994" s="104" t="s">
        <v>35</v>
      </c>
      <c r="C1994" s="145">
        <v>0</v>
      </c>
      <c r="D1994" s="145"/>
      <c r="E1994" s="104">
        <v>0</v>
      </c>
      <c r="F1994" s="106">
        <v>0</v>
      </c>
      <c r="G1994" s="107">
        <v>0</v>
      </c>
      <c r="H1994" s="106">
        <v>0</v>
      </c>
      <c r="I1994" s="104">
        <v>0</v>
      </c>
      <c r="J1994" s="106">
        <v>0</v>
      </c>
      <c r="K1994" s="213">
        <v>0</v>
      </c>
      <c r="L1994" s="213">
        <v>0</v>
      </c>
      <c r="M1994" s="213">
        <v>0</v>
      </c>
      <c r="N1994" s="213">
        <v>0</v>
      </c>
      <c r="O1994" s="213">
        <v>0</v>
      </c>
      <c r="P1994" s="108">
        <v>0</v>
      </c>
      <c r="Q1994" s="108">
        <v>0</v>
      </c>
      <c r="R1994" s="108">
        <v>0</v>
      </c>
      <c r="S1994" s="108">
        <v>0</v>
      </c>
      <c r="T1994" s="108">
        <v>0</v>
      </c>
      <c r="U1994" s="108">
        <v>0</v>
      </c>
      <c r="V1994" s="108">
        <v>0</v>
      </c>
    </row>
    <row r="1995" customFormat="1" hidden="1" spans="1:22">
      <c r="A1995" s="103">
        <v>45102</v>
      </c>
      <c r="B1995" s="104" t="s">
        <v>36</v>
      </c>
      <c r="C1995" s="145">
        <v>0</v>
      </c>
      <c r="D1995" s="145"/>
      <c r="E1995" s="104">
        <v>0</v>
      </c>
      <c r="F1995" s="106">
        <v>0</v>
      </c>
      <c r="G1995" s="107">
        <v>0</v>
      </c>
      <c r="H1995" s="106">
        <v>0</v>
      </c>
      <c r="I1995" s="104">
        <v>0</v>
      </c>
      <c r="J1995" s="106">
        <v>0</v>
      </c>
      <c r="K1995" s="213">
        <v>0</v>
      </c>
      <c r="L1995" s="213">
        <v>0</v>
      </c>
      <c r="M1995" s="213">
        <v>0</v>
      </c>
      <c r="N1995" s="213">
        <v>0</v>
      </c>
      <c r="O1995" s="213">
        <v>0</v>
      </c>
      <c r="P1995" s="108">
        <v>0</v>
      </c>
      <c r="Q1995" s="108">
        <v>0</v>
      </c>
      <c r="R1995" s="108">
        <v>0</v>
      </c>
      <c r="S1995" s="108">
        <v>0</v>
      </c>
      <c r="T1995" s="108">
        <v>0</v>
      </c>
      <c r="U1995" s="108">
        <v>0</v>
      </c>
      <c r="V1995" s="108">
        <v>0</v>
      </c>
    </row>
    <row r="1996" customFormat="1" hidden="1" spans="1:22">
      <c r="A1996" s="103">
        <v>45102</v>
      </c>
      <c r="B1996" s="104" t="s">
        <v>37</v>
      </c>
      <c r="C1996" s="145">
        <v>0</v>
      </c>
      <c r="D1996" s="145"/>
      <c r="E1996" s="104">
        <v>0</v>
      </c>
      <c r="F1996" s="106">
        <v>0</v>
      </c>
      <c r="G1996" s="107">
        <v>0</v>
      </c>
      <c r="H1996" s="106">
        <v>0</v>
      </c>
      <c r="I1996" s="104">
        <v>0</v>
      </c>
      <c r="J1996" s="106">
        <v>0</v>
      </c>
      <c r="K1996" s="213">
        <v>0</v>
      </c>
      <c r="L1996" s="213">
        <v>0</v>
      </c>
      <c r="M1996" s="213">
        <v>0</v>
      </c>
      <c r="N1996" s="213">
        <v>0</v>
      </c>
      <c r="O1996" s="213">
        <v>0</v>
      </c>
      <c r="P1996" s="108">
        <v>0</v>
      </c>
      <c r="Q1996" s="108">
        <v>0</v>
      </c>
      <c r="R1996" s="108">
        <v>0</v>
      </c>
      <c r="S1996" s="108">
        <v>0</v>
      </c>
      <c r="T1996" s="108">
        <v>0</v>
      </c>
      <c r="U1996" s="108">
        <v>0</v>
      </c>
      <c r="V1996" s="108">
        <v>0</v>
      </c>
    </row>
    <row r="1997" customFormat="1" hidden="1" spans="1:22">
      <c r="A1997" s="103">
        <v>45102</v>
      </c>
      <c r="B1997" s="104" t="s">
        <v>38</v>
      </c>
      <c r="C1997" s="145">
        <v>0</v>
      </c>
      <c r="D1997" s="145"/>
      <c r="E1997" s="104">
        <v>0</v>
      </c>
      <c r="F1997" s="106">
        <v>0</v>
      </c>
      <c r="G1997" s="107">
        <v>0</v>
      </c>
      <c r="H1997" s="106">
        <v>0</v>
      </c>
      <c r="I1997" s="104">
        <v>0</v>
      </c>
      <c r="J1997" s="106">
        <v>0</v>
      </c>
      <c r="K1997" s="213">
        <v>0</v>
      </c>
      <c r="L1997" s="213">
        <v>0</v>
      </c>
      <c r="M1997" s="213">
        <v>0</v>
      </c>
      <c r="N1997" s="213">
        <v>0</v>
      </c>
      <c r="O1997" s="213">
        <v>0</v>
      </c>
      <c r="P1997" s="108">
        <v>0</v>
      </c>
      <c r="Q1997" s="108">
        <v>0</v>
      </c>
      <c r="R1997" s="108">
        <v>0</v>
      </c>
      <c r="S1997" s="108">
        <v>0</v>
      </c>
      <c r="T1997" s="108">
        <v>0</v>
      </c>
      <c r="U1997" s="108">
        <v>0</v>
      </c>
      <c r="V1997" s="108">
        <v>0</v>
      </c>
    </row>
    <row r="1998" customFormat="1" spans="1:22">
      <c r="A1998" s="103">
        <v>45102</v>
      </c>
      <c r="B1998" s="111" t="s">
        <v>39</v>
      </c>
      <c r="C1998" s="112">
        <v>10713</v>
      </c>
      <c r="D1998" s="112">
        <v>7238</v>
      </c>
      <c r="E1998" s="112">
        <v>255</v>
      </c>
      <c r="F1998" s="106">
        <v>0.0238028563427611</v>
      </c>
      <c r="G1998" s="112">
        <v>87</v>
      </c>
      <c r="H1998" s="113">
        <v>0.341176470588235</v>
      </c>
      <c r="I1998" s="112">
        <v>61</v>
      </c>
      <c r="J1998" s="106">
        <v>0.23921568627451</v>
      </c>
      <c r="K1998" s="213"/>
      <c r="L1998" s="213"/>
      <c r="M1998" s="213"/>
      <c r="N1998" s="213"/>
      <c r="O1998" s="213"/>
      <c r="P1998" s="108"/>
      <c r="Q1998" s="108"/>
      <c r="R1998" s="108"/>
      <c r="S1998" s="108"/>
      <c r="T1998" s="108"/>
      <c r="U1998" s="108"/>
      <c r="V1998" s="108"/>
    </row>
    <row r="1999" customFormat="1" ht="14.45" customHeight="1" spans="1:24">
      <c r="A1999" s="103">
        <v>45103</v>
      </c>
      <c r="B1999" s="104" t="s">
        <v>17</v>
      </c>
      <c r="C1999" s="216">
        <v>2</v>
      </c>
      <c r="D1999" s="216">
        <v>1225</v>
      </c>
      <c r="E1999" s="217">
        <v>60</v>
      </c>
      <c r="F1999" s="106">
        <v>30</v>
      </c>
      <c r="G1999" s="107">
        <v>16</v>
      </c>
      <c r="H1999" s="106">
        <v>0.266666666666667</v>
      </c>
      <c r="I1999" s="104">
        <v>13</v>
      </c>
      <c r="J1999" s="106">
        <v>0.216666666666667</v>
      </c>
      <c r="K1999" s="213">
        <v>0</v>
      </c>
      <c r="L1999" s="213">
        <v>0.666666666666667</v>
      </c>
      <c r="M1999" s="213">
        <v>0</v>
      </c>
      <c r="N1999" s="213">
        <v>-0.142857142857143</v>
      </c>
      <c r="O1999" s="213">
        <v>-10</v>
      </c>
      <c r="P1999" s="108">
        <v>-3</v>
      </c>
      <c r="Q1999" s="108">
        <v>3.8</v>
      </c>
      <c r="R1999" s="108">
        <v>5.85714285714285</v>
      </c>
      <c r="S1999" s="108">
        <v>1</v>
      </c>
      <c r="T1999" s="108">
        <v>3</v>
      </c>
      <c r="U1999" s="108">
        <v>4</v>
      </c>
      <c r="V1999" s="108">
        <v>3.42857142857143</v>
      </c>
      <c r="X1999" t="s">
        <v>18</v>
      </c>
    </row>
    <row r="2000" customFormat="1" ht="14.45" customHeight="1" spans="1:24">
      <c r="A2000" s="103">
        <v>45103</v>
      </c>
      <c r="B2000" s="104" t="s">
        <v>19</v>
      </c>
      <c r="C2000" s="216">
        <v>625</v>
      </c>
      <c r="D2000" s="216">
        <v>495</v>
      </c>
      <c r="E2000" s="217">
        <v>18</v>
      </c>
      <c r="F2000" s="106">
        <v>0.0288</v>
      </c>
      <c r="G2000" s="107">
        <v>8</v>
      </c>
      <c r="H2000" s="106">
        <v>0.444444444444444</v>
      </c>
      <c r="I2000" s="104">
        <v>5</v>
      </c>
      <c r="J2000" s="106">
        <v>0.277777777777778</v>
      </c>
      <c r="K2000" s="213">
        <v>-162</v>
      </c>
      <c r="L2000" s="213">
        <v>-102.666666666667</v>
      </c>
      <c r="M2000" s="213">
        <v>-37</v>
      </c>
      <c r="N2000" s="213">
        <v>13.4285714285714</v>
      </c>
      <c r="O2000" s="213">
        <v>3</v>
      </c>
      <c r="P2000" s="108">
        <v>2.33333333333333</v>
      </c>
      <c r="Q2000" s="108">
        <v>4.2</v>
      </c>
      <c r="R2000" s="108">
        <v>3.42857142857143</v>
      </c>
      <c r="S2000" s="108">
        <v>4</v>
      </c>
      <c r="T2000" s="108">
        <v>1.33333333333333</v>
      </c>
      <c r="U2000" s="108">
        <v>2.8</v>
      </c>
      <c r="V2000" s="115">
        <v>3.28571428571429</v>
      </c>
      <c r="W2000" s="154"/>
      <c r="X2000" s="154"/>
    </row>
    <row r="2001" customFormat="1" ht="14.45" customHeight="1" spans="1:22">
      <c r="A2001" s="103">
        <v>45103</v>
      </c>
      <c r="B2001" s="104" t="s">
        <v>21</v>
      </c>
      <c r="C2001" s="218">
        <v>233</v>
      </c>
      <c r="D2001" s="218">
        <v>307</v>
      </c>
      <c r="E2001" s="217">
        <v>2</v>
      </c>
      <c r="F2001" s="106">
        <v>0.00858369098712446</v>
      </c>
      <c r="G2001" s="107">
        <v>0</v>
      </c>
      <c r="H2001" s="106">
        <v>0</v>
      </c>
      <c r="I2001" s="104">
        <v>0</v>
      </c>
      <c r="J2001" s="106">
        <v>0</v>
      </c>
      <c r="K2001" s="213">
        <v>-58</v>
      </c>
      <c r="L2001" s="213">
        <v>-50</v>
      </c>
      <c r="M2001" s="213">
        <v>-60.2</v>
      </c>
      <c r="N2001" s="213">
        <v>-50.5714285714286</v>
      </c>
      <c r="O2001" s="213">
        <v>-3</v>
      </c>
      <c r="P2001" s="108">
        <v>-2.33333333333333</v>
      </c>
      <c r="Q2001" s="108">
        <v>-1.8</v>
      </c>
      <c r="R2001" s="108">
        <v>-2.42857142857143</v>
      </c>
      <c r="S2001" s="108">
        <v>-2</v>
      </c>
      <c r="T2001" s="108">
        <v>-2</v>
      </c>
      <c r="U2001" s="108">
        <v>-2.2</v>
      </c>
      <c r="V2001" s="108">
        <v>-2.28571428571429</v>
      </c>
    </row>
    <row r="2002" customFormat="1" ht="18.95" customHeight="1" spans="1:24">
      <c r="A2002" s="103">
        <v>45103</v>
      </c>
      <c r="B2002" s="104" t="s">
        <v>22</v>
      </c>
      <c r="C2002" s="218">
        <v>1937</v>
      </c>
      <c r="D2002" s="218">
        <v>1671</v>
      </c>
      <c r="E2002" s="217">
        <v>42</v>
      </c>
      <c r="F2002" s="106">
        <v>0.0216830149716056</v>
      </c>
      <c r="G2002" s="107">
        <v>18</v>
      </c>
      <c r="H2002" s="106">
        <v>0.428571428571429</v>
      </c>
      <c r="I2002" s="104">
        <v>12</v>
      </c>
      <c r="J2002" s="106">
        <v>0.285714285714286</v>
      </c>
      <c r="K2002" s="213">
        <v>43</v>
      </c>
      <c r="L2002" s="213">
        <v>-7</v>
      </c>
      <c r="M2002" s="213">
        <v>-169.2</v>
      </c>
      <c r="N2002" s="213">
        <v>-248.857142857143</v>
      </c>
      <c r="O2002" s="213">
        <v>1</v>
      </c>
      <c r="P2002" s="108">
        <v>6.66666666666666</v>
      </c>
      <c r="Q2002" s="108">
        <v>3</v>
      </c>
      <c r="R2002" s="115">
        <v>1.42857142857143</v>
      </c>
      <c r="S2002" s="108">
        <v>-3</v>
      </c>
      <c r="T2002" s="108">
        <v>3</v>
      </c>
      <c r="U2002" s="108">
        <v>2</v>
      </c>
      <c r="V2002" s="117">
        <v>2</v>
      </c>
      <c r="W2002" s="154"/>
      <c r="X2002" s="154"/>
    </row>
    <row r="2003" customFormat="1" ht="14.45" customHeight="1" spans="1:22">
      <c r="A2003" s="103">
        <v>45103</v>
      </c>
      <c r="B2003" s="104" t="s">
        <v>23</v>
      </c>
      <c r="C2003" s="218">
        <v>2165</v>
      </c>
      <c r="D2003" s="218">
        <v>158</v>
      </c>
      <c r="E2003" s="217">
        <v>9</v>
      </c>
      <c r="F2003" s="106">
        <v>0.00415704387990762</v>
      </c>
      <c r="G2003" s="107">
        <v>1</v>
      </c>
      <c r="H2003" s="106">
        <v>0.111111111111111</v>
      </c>
      <c r="I2003" s="104">
        <v>0</v>
      </c>
      <c r="J2003" s="106">
        <v>0</v>
      </c>
      <c r="K2003" s="213">
        <v>43</v>
      </c>
      <c r="L2003" s="213">
        <v>81.6666666666665</v>
      </c>
      <c r="M2003" s="213">
        <v>157.8</v>
      </c>
      <c r="N2003" s="213">
        <v>229.285714285714</v>
      </c>
      <c r="O2003" s="213">
        <v>5</v>
      </c>
      <c r="P2003" s="108">
        <v>4</v>
      </c>
      <c r="Q2003" s="108">
        <v>3.2</v>
      </c>
      <c r="R2003" s="108">
        <v>2.71428571428571</v>
      </c>
      <c r="S2003" s="108">
        <v>-1</v>
      </c>
      <c r="T2003" s="116">
        <v>-1.33333333333333</v>
      </c>
      <c r="U2003" s="108">
        <v>-2.2</v>
      </c>
      <c r="V2003" s="108">
        <v>-2</v>
      </c>
    </row>
    <row r="2004" customFormat="1" ht="14.45" customHeight="1" spans="1:24">
      <c r="A2004" s="103">
        <v>45103</v>
      </c>
      <c r="B2004" s="104" t="s">
        <v>24</v>
      </c>
      <c r="C2004" s="218">
        <v>747</v>
      </c>
      <c r="D2004" s="218">
        <v>543</v>
      </c>
      <c r="E2004" s="217">
        <v>17</v>
      </c>
      <c r="F2004" s="106">
        <v>0.0227576974564926</v>
      </c>
      <c r="G2004" s="107">
        <v>5</v>
      </c>
      <c r="H2004" s="106">
        <v>0.294117647058824</v>
      </c>
      <c r="I2004" s="104">
        <v>3</v>
      </c>
      <c r="J2004" s="106">
        <v>0.176470588235294</v>
      </c>
      <c r="K2004" s="213">
        <v>-392</v>
      </c>
      <c r="L2004" s="213">
        <v>-776.333333333333</v>
      </c>
      <c r="M2004" s="213">
        <v>-951.2</v>
      </c>
      <c r="N2004" s="213">
        <v>-1008.85714285714</v>
      </c>
      <c r="O2004" s="219">
        <v>-15</v>
      </c>
      <c r="P2004" s="115">
        <v>-26.6666666666667</v>
      </c>
      <c r="Q2004" s="115">
        <v>-32.4</v>
      </c>
      <c r="R2004" s="115">
        <v>-37.4285714285714</v>
      </c>
      <c r="S2004" s="115">
        <v>-6</v>
      </c>
      <c r="T2004" s="115">
        <v>-9.33333333333333</v>
      </c>
      <c r="U2004" s="115">
        <v>-9</v>
      </c>
      <c r="V2004" s="115">
        <v>-10.5714285714286</v>
      </c>
      <c r="W2004" s="154"/>
      <c r="X2004" s="154"/>
    </row>
    <row r="2005" customFormat="1" ht="14.45" customHeight="1" spans="1:22">
      <c r="A2005" s="103">
        <v>45103</v>
      </c>
      <c r="B2005" s="104" t="s">
        <v>25</v>
      </c>
      <c r="C2005" s="218">
        <v>2059</v>
      </c>
      <c r="D2005" s="218">
        <v>764</v>
      </c>
      <c r="E2005" s="217">
        <v>34</v>
      </c>
      <c r="F2005" s="106">
        <v>0.0165128703254007</v>
      </c>
      <c r="G2005" s="107">
        <v>14</v>
      </c>
      <c r="H2005" s="106">
        <v>0.411764705882353</v>
      </c>
      <c r="I2005" s="104">
        <v>7</v>
      </c>
      <c r="J2005" s="106">
        <v>0.205882352941176</v>
      </c>
      <c r="K2005" s="213">
        <v>-458</v>
      </c>
      <c r="L2005" s="213">
        <v>-744.666666666667</v>
      </c>
      <c r="M2005" s="213">
        <v>-791.4</v>
      </c>
      <c r="N2005" s="213">
        <v>-779.285714285714</v>
      </c>
      <c r="O2005" s="220">
        <v>-24</v>
      </c>
      <c r="P2005" s="115">
        <v>-23.3333333333333</v>
      </c>
      <c r="Q2005" s="115">
        <v>-21.8</v>
      </c>
      <c r="R2005" s="115">
        <v>-25</v>
      </c>
      <c r="S2005" s="108">
        <v>-9</v>
      </c>
      <c r="T2005" s="108">
        <v>-6.66666666666667</v>
      </c>
      <c r="U2005" s="108">
        <v>-6</v>
      </c>
      <c r="V2005" s="108">
        <v>-5.71428571428572</v>
      </c>
    </row>
    <row r="2006" customFormat="1" ht="14.45" customHeight="1" spans="1:22">
      <c r="A2006" s="103">
        <v>45103</v>
      </c>
      <c r="B2006" s="104" t="s">
        <v>26</v>
      </c>
      <c r="C2006" s="218">
        <v>2</v>
      </c>
      <c r="D2006" s="218">
        <v>1193</v>
      </c>
      <c r="E2006" s="217">
        <v>9</v>
      </c>
      <c r="F2006" s="106">
        <v>4.5</v>
      </c>
      <c r="G2006" s="107">
        <v>3</v>
      </c>
      <c r="H2006" s="106">
        <v>0.333333333333333</v>
      </c>
      <c r="I2006" s="104">
        <v>2</v>
      </c>
      <c r="J2006" s="106">
        <v>0.222222222222222</v>
      </c>
      <c r="K2006" s="213">
        <v>0</v>
      </c>
      <c r="L2006" s="213">
        <v>0</v>
      </c>
      <c r="M2006" s="213">
        <v>0.6</v>
      </c>
      <c r="N2006" s="213">
        <v>0.571428571428571</v>
      </c>
      <c r="O2006" s="213">
        <v>6</v>
      </c>
      <c r="P2006" s="108">
        <v>6.33333333333333</v>
      </c>
      <c r="Q2006" s="108">
        <v>7.4</v>
      </c>
      <c r="R2006" s="108">
        <v>7.85714285714286</v>
      </c>
      <c r="S2006" s="108">
        <v>-1</v>
      </c>
      <c r="T2006" s="108">
        <v>-0.333333333333333</v>
      </c>
      <c r="U2006" s="108">
        <v>0.4</v>
      </c>
      <c r="V2006" s="108">
        <v>1</v>
      </c>
    </row>
    <row r="2007" customFormat="1" ht="14.45" customHeight="1" spans="1:22">
      <c r="A2007" s="103">
        <v>45103</v>
      </c>
      <c r="B2007" s="104" t="s">
        <v>27</v>
      </c>
      <c r="C2007" s="218">
        <v>1722</v>
      </c>
      <c r="D2007" s="218">
        <v>418</v>
      </c>
      <c r="E2007" s="217">
        <v>21</v>
      </c>
      <c r="F2007" s="106">
        <v>0.0121951219512195</v>
      </c>
      <c r="G2007" s="107">
        <v>6</v>
      </c>
      <c r="H2007" s="106">
        <v>0.285714285714286</v>
      </c>
      <c r="I2007" s="104">
        <v>4</v>
      </c>
      <c r="J2007" s="106">
        <v>0.19047619047619</v>
      </c>
      <c r="K2007" s="213">
        <v>-237</v>
      </c>
      <c r="L2007" s="213">
        <v>-331</v>
      </c>
      <c r="M2007" s="213">
        <v>-270.4</v>
      </c>
      <c r="N2007" s="213">
        <v>-643</v>
      </c>
      <c r="O2007" s="213">
        <v>-6</v>
      </c>
      <c r="P2007" s="108">
        <v>-7.66666666666667</v>
      </c>
      <c r="Q2007" s="108">
        <v>-10</v>
      </c>
      <c r="R2007" s="108">
        <v>-17.1428571428571</v>
      </c>
      <c r="S2007" s="108">
        <v>1</v>
      </c>
      <c r="T2007" s="108">
        <v>1.33333333333333</v>
      </c>
      <c r="U2007" s="108">
        <v>-0.2</v>
      </c>
      <c r="V2007" s="108">
        <v>-1.71428571428571</v>
      </c>
    </row>
    <row r="2008" customFormat="1" ht="14.45" hidden="1" customHeight="1" spans="1:22">
      <c r="A2008" s="103">
        <v>45103</v>
      </c>
      <c r="B2008" s="104" t="s">
        <v>28</v>
      </c>
      <c r="C2008" s="145">
        <v>0</v>
      </c>
      <c r="D2008" s="145"/>
      <c r="E2008" s="104">
        <v>0</v>
      </c>
      <c r="F2008" s="106">
        <v>0</v>
      </c>
      <c r="G2008" s="107">
        <v>0</v>
      </c>
      <c r="H2008" s="106">
        <v>0</v>
      </c>
      <c r="I2008" s="104">
        <v>0</v>
      </c>
      <c r="J2008" s="106">
        <v>0</v>
      </c>
      <c r="K2008" s="213">
        <v>0</v>
      </c>
      <c r="L2008" s="213">
        <v>0</v>
      </c>
      <c r="M2008" s="213">
        <v>0</v>
      </c>
      <c r="N2008" s="213">
        <v>0</v>
      </c>
      <c r="O2008" s="213">
        <v>0</v>
      </c>
      <c r="P2008" s="108">
        <v>0</v>
      </c>
      <c r="Q2008" s="108">
        <v>0</v>
      </c>
      <c r="R2008" s="108">
        <v>-0.142857142857143</v>
      </c>
      <c r="S2008" s="108">
        <v>0</v>
      </c>
      <c r="T2008" s="108">
        <v>0</v>
      </c>
      <c r="U2008" s="108">
        <v>0</v>
      </c>
      <c r="V2008" s="108">
        <v>-0.142857142857143</v>
      </c>
    </row>
    <row r="2009" customFormat="1" ht="14.45" hidden="1" customHeight="1" spans="1:22">
      <c r="A2009" s="103">
        <v>45103</v>
      </c>
      <c r="B2009" s="104" t="s">
        <v>29</v>
      </c>
      <c r="C2009" s="145">
        <v>0</v>
      </c>
      <c r="D2009" s="145"/>
      <c r="E2009" s="104">
        <v>0</v>
      </c>
      <c r="F2009" s="106">
        <v>0</v>
      </c>
      <c r="G2009" s="107">
        <v>0</v>
      </c>
      <c r="H2009" s="106">
        <v>0</v>
      </c>
      <c r="I2009" s="104">
        <v>0</v>
      </c>
      <c r="J2009" s="106">
        <v>0</v>
      </c>
      <c r="K2009" s="213">
        <v>0</v>
      </c>
      <c r="L2009" s="213">
        <v>0</v>
      </c>
      <c r="M2009" s="213">
        <v>0</v>
      </c>
      <c r="N2009" s="213">
        <v>0</v>
      </c>
      <c r="O2009" s="213">
        <v>0</v>
      </c>
      <c r="P2009" s="108">
        <v>0</v>
      </c>
      <c r="Q2009" s="108">
        <v>0</v>
      </c>
      <c r="R2009" s="108">
        <v>0</v>
      </c>
      <c r="S2009" s="108">
        <v>0</v>
      </c>
      <c r="T2009" s="108">
        <v>0</v>
      </c>
      <c r="U2009" s="108">
        <v>0</v>
      </c>
      <c r="V2009" s="108">
        <v>0</v>
      </c>
    </row>
    <row r="2010" customFormat="1" ht="14.45" hidden="1" customHeight="1" spans="1:22">
      <c r="A2010" s="103">
        <v>45103</v>
      </c>
      <c r="B2010" s="104" t="s">
        <v>30</v>
      </c>
      <c r="C2010" s="145">
        <v>0</v>
      </c>
      <c r="D2010" s="145"/>
      <c r="E2010" s="104">
        <v>0</v>
      </c>
      <c r="F2010" s="106">
        <v>0</v>
      </c>
      <c r="G2010" s="107">
        <v>0</v>
      </c>
      <c r="H2010" s="106">
        <v>0</v>
      </c>
      <c r="I2010" s="104">
        <v>0</v>
      </c>
      <c r="J2010" s="106">
        <v>0</v>
      </c>
      <c r="K2010" s="213">
        <v>0</v>
      </c>
      <c r="L2010" s="213">
        <v>0</v>
      </c>
      <c r="M2010" s="213">
        <v>0</v>
      </c>
      <c r="N2010" s="213">
        <v>0</v>
      </c>
      <c r="O2010" s="213">
        <v>0</v>
      </c>
      <c r="P2010" s="108">
        <v>0</v>
      </c>
      <c r="Q2010" s="108">
        <v>0</v>
      </c>
      <c r="R2010" s="108">
        <v>0</v>
      </c>
      <c r="S2010" s="108">
        <v>0</v>
      </c>
      <c r="T2010" s="108">
        <v>0</v>
      </c>
      <c r="U2010" s="108">
        <v>0</v>
      </c>
      <c r="V2010" s="108">
        <v>0</v>
      </c>
    </row>
    <row r="2011" customFormat="1" ht="14.45" hidden="1" customHeight="1" spans="1:22">
      <c r="A2011" s="103">
        <v>45103</v>
      </c>
      <c r="B2011" s="104" t="s">
        <v>31</v>
      </c>
      <c r="C2011" s="145">
        <v>0</v>
      </c>
      <c r="D2011" s="145"/>
      <c r="E2011" s="104">
        <v>0</v>
      </c>
      <c r="F2011" s="106">
        <v>0</v>
      </c>
      <c r="G2011" s="107">
        <v>0</v>
      </c>
      <c r="H2011" s="106">
        <v>0</v>
      </c>
      <c r="I2011" s="104">
        <v>0</v>
      </c>
      <c r="J2011" s="106">
        <v>0</v>
      </c>
      <c r="K2011" s="213">
        <v>0</v>
      </c>
      <c r="L2011" s="213">
        <v>0</v>
      </c>
      <c r="M2011" s="213">
        <v>0</v>
      </c>
      <c r="N2011" s="213">
        <v>0</v>
      </c>
      <c r="O2011" s="213">
        <v>0</v>
      </c>
      <c r="P2011" s="108">
        <v>0</v>
      </c>
      <c r="Q2011" s="108">
        <v>0</v>
      </c>
      <c r="R2011" s="108">
        <v>0</v>
      </c>
      <c r="S2011" s="108">
        <v>0</v>
      </c>
      <c r="T2011" s="108">
        <v>0</v>
      </c>
      <c r="U2011" s="108">
        <v>0</v>
      </c>
      <c r="V2011" s="108">
        <v>0</v>
      </c>
    </row>
    <row r="2012" customFormat="1" ht="14.45" hidden="1" customHeight="1" spans="1:22">
      <c r="A2012" s="103">
        <v>45103</v>
      </c>
      <c r="B2012" s="104" t="s">
        <v>32</v>
      </c>
      <c r="C2012" s="145">
        <v>0</v>
      </c>
      <c r="D2012" s="145"/>
      <c r="E2012" s="104">
        <v>0</v>
      </c>
      <c r="F2012" s="106">
        <v>0</v>
      </c>
      <c r="G2012" s="107">
        <v>0</v>
      </c>
      <c r="H2012" s="106">
        <v>0</v>
      </c>
      <c r="I2012" s="104">
        <v>0</v>
      </c>
      <c r="J2012" s="106">
        <v>0</v>
      </c>
      <c r="K2012" s="213">
        <v>0</v>
      </c>
      <c r="L2012" s="213">
        <v>0</v>
      </c>
      <c r="M2012" s="213">
        <v>0</v>
      </c>
      <c r="N2012" s="213">
        <v>0</v>
      </c>
      <c r="O2012" s="213">
        <v>0</v>
      </c>
      <c r="P2012" s="108">
        <v>0</v>
      </c>
      <c r="Q2012" s="108">
        <v>0</v>
      </c>
      <c r="R2012" s="108">
        <v>0</v>
      </c>
      <c r="S2012" s="108">
        <v>0</v>
      </c>
      <c r="T2012" s="108">
        <v>0</v>
      </c>
      <c r="U2012" s="108">
        <v>0</v>
      </c>
      <c r="V2012" s="108">
        <v>0</v>
      </c>
    </row>
    <row r="2013" customFormat="1" hidden="1" spans="1:22">
      <c r="A2013" s="103">
        <v>45103</v>
      </c>
      <c r="B2013" s="104" t="s">
        <v>33</v>
      </c>
      <c r="C2013" s="145">
        <v>0</v>
      </c>
      <c r="D2013" s="145"/>
      <c r="E2013" s="104">
        <v>0</v>
      </c>
      <c r="F2013" s="106">
        <v>0</v>
      </c>
      <c r="G2013" s="107">
        <v>0</v>
      </c>
      <c r="H2013" s="106">
        <v>0</v>
      </c>
      <c r="I2013" s="104">
        <v>0</v>
      </c>
      <c r="J2013" s="106">
        <v>0</v>
      </c>
      <c r="K2013" s="213">
        <v>0</v>
      </c>
      <c r="L2013" s="213">
        <v>0</v>
      </c>
      <c r="M2013" s="213">
        <v>0</v>
      </c>
      <c r="N2013" s="213">
        <v>0</v>
      </c>
      <c r="O2013" s="213">
        <v>0</v>
      </c>
      <c r="P2013" s="108">
        <v>0</v>
      </c>
      <c r="Q2013" s="108">
        <v>0</v>
      </c>
      <c r="R2013" s="108">
        <v>0</v>
      </c>
      <c r="S2013" s="108">
        <v>0</v>
      </c>
      <c r="T2013" s="108">
        <v>0</v>
      </c>
      <c r="U2013" s="108">
        <v>0</v>
      </c>
      <c r="V2013" s="108">
        <v>0</v>
      </c>
    </row>
    <row r="2014" customFormat="1" hidden="1" spans="1:22">
      <c r="A2014" s="103">
        <v>45103</v>
      </c>
      <c r="B2014" s="104" t="s">
        <v>34</v>
      </c>
      <c r="C2014" s="145">
        <v>0</v>
      </c>
      <c r="D2014" s="145"/>
      <c r="E2014" s="104">
        <v>0</v>
      </c>
      <c r="F2014" s="106">
        <v>0</v>
      </c>
      <c r="G2014" s="107">
        <v>0</v>
      </c>
      <c r="H2014" s="106">
        <v>0</v>
      </c>
      <c r="I2014" s="104">
        <v>0</v>
      </c>
      <c r="J2014" s="106">
        <v>0</v>
      </c>
      <c r="K2014" s="213">
        <v>0</v>
      </c>
      <c r="L2014" s="213">
        <v>0</v>
      </c>
      <c r="M2014" s="213">
        <v>0</v>
      </c>
      <c r="N2014" s="213">
        <v>0</v>
      </c>
      <c r="O2014" s="213">
        <v>0</v>
      </c>
      <c r="P2014" s="108">
        <v>0</v>
      </c>
      <c r="Q2014" s="108">
        <v>0</v>
      </c>
      <c r="R2014" s="108">
        <v>0</v>
      </c>
      <c r="S2014" s="108">
        <v>0</v>
      </c>
      <c r="T2014" s="108">
        <v>0</v>
      </c>
      <c r="U2014" s="108">
        <v>0</v>
      </c>
      <c r="V2014" s="108">
        <v>0</v>
      </c>
    </row>
    <row r="2015" customFormat="1" hidden="1" spans="1:22">
      <c r="A2015" s="103">
        <v>45103</v>
      </c>
      <c r="B2015" s="104" t="s">
        <v>35</v>
      </c>
      <c r="C2015" s="145">
        <v>0</v>
      </c>
      <c r="D2015" s="145"/>
      <c r="E2015" s="104">
        <v>0</v>
      </c>
      <c r="F2015" s="106">
        <v>0</v>
      </c>
      <c r="G2015" s="107">
        <v>0</v>
      </c>
      <c r="H2015" s="106">
        <v>0</v>
      </c>
      <c r="I2015" s="104">
        <v>0</v>
      </c>
      <c r="J2015" s="106">
        <v>0</v>
      </c>
      <c r="K2015" s="213">
        <v>0</v>
      </c>
      <c r="L2015" s="213">
        <v>0</v>
      </c>
      <c r="M2015" s="213">
        <v>0</v>
      </c>
      <c r="N2015" s="213">
        <v>0</v>
      </c>
      <c r="O2015" s="213">
        <v>0</v>
      </c>
      <c r="P2015" s="108">
        <v>0</v>
      </c>
      <c r="Q2015" s="108">
        <v>0</v>
      </c>
      <c r="R2015" s="108">
        <v>0</v>
      </c>
      <c r="S2015" s="108">
        <v>0</v>
      </c>
      <c r="T2015" s="108">
        <v>0</v>
      </c>
      <c r="U2015" s="108">
        <v>0</v>
      </c>
      <c r="V2015" s="108">
        <v>0</v>
      </c>
    </row>
    <row r="2016" customFormat="1" hidden="1" spans="1:22">
      <c r="A2016" s="103">
        <v>45103</v>
      </c>
      <c r="B2016" s="104" t="s">
        <v>36</v>
      </c>
      <c r="C2016" s="145">
        <v>0</v>
      </c>
      <c r="D2016" s="145"/>
      <c r="E2016" s="104">
        <v>0</v>
      </c>
      <c r="F2016" s="106">
        <v>0</v>
      </c>
      <c r="G2016" s="107">
        <v>0</v>
      </c>
      <c r="H2016" s="106">
        <v>0</v>
      </c>
      <c r="I2016" s="104">
        <v>0</v>
      </c>
      <c r="J2016" s="106">
        <v>0</v>
      </c>
      <c r="K2016" s="213">
        <v>0</v>
      </c>
      <c r="L2016" s="213">
        <v>0</v>
      </c>
      <c r="M2016" s="213">
        <v>0</v>
      </c>
      <c r="N2016" s="213">
        <v>0</v>
      </c>
      <c r="O2016" s="213">
        <v>0</v>
      </c>
      <c r="P2016" s="108">
        <v>0</v>
      </c>
      <c r="Q2016" s="108">
        <v>0</v>
      </c>
      <c r="R2016" s="108">
        <v>0</v>
      </c>
      <c r="S2016" s="108">
        <v>0</v>
      </c>
      <c r="T2016" s="108">
        <v>0</v>
      </c>
      <c r="U2016" s="108">
        <v>0</v>
      </c>
      <c r="V2016" s="108">
        <v>0</v>
      </c>
    </row>
    <row r="2017" customFormat="1" hidden="1" spans="1:22">
      <c r="A2017" s="103">
        <v>45103</v>
      </c>
      <c r="B2017" s="104" t="s">
        <v>37</v>
      </c>
      <c r="C2017" s="145">
        <v>0</v>
      </c>
      <c r="D2017" s="145"/>
      <c r="E2017" s="104">
        <v>0</v>
      </c>
      <c r="F2017" s="106">
        <v>0</v>
      </c>
      <c r="G2017" s="107">
        <v>0</v>
      </c>
      <c r="H2017" s="106">
        <v>0</v>
      </c>
      <c r="I2017" s="104">
        <v>0</v>
      </c>
      <c r="J2017" s="106">
        <v>0</v>
      </c>
      <c r="K2017" s="213">
        <v>0</v>
      </c>
      <c r="L2017" s="213">
        <v>0</v>
      </c>
      <c r="M2017" s="213">
        <v>0</v>
      </c>
      <c r="N2017" s="213">
        <v>0</v>
      </c>
      <c r="O2017" s="213">
        <v>0</v>
      </c>
      <c r="P2017" s="108">
        <v>0</v>
      </c>
      <c r="Q2017" s="108">
        <v>0</v>
      </c>
      <c r="R2017" s="108">
        <v>0</v>
      </c>
      <c r="S2017" s="108">
        <v>0</v>
      </c>
      <c r="T2017" s="108">
        <v>0</v>
      </c>
      <c r="U2017" s="108">
        <v>0</v>
      </c>
      <c r="V2017" s="108">
        <v>0</v>
      </c>
    </row>
    <row r="2018" customFormat="1" hidden="1" spans="1:22">
      <c r="A2018" s="103">
        <v>45103</v>
      </c>
      <c r="B2018" s="104" t="s">
        <v>38</v>
      </c>
      <c r="C2018" s="145">
        <v>0</v>
      </c>
      <c r="D2018" s="145"/>
      <c r="E2018" s="104">
        <v>0</v>
      </c>
      <c r="F2018" s="106">
        <v>0</v>
      </c>
      <c r="G2018" s="107">
        <v>0</v>
      </c>
      <c r="H2018" s="106">
        <v>0</v>
      </c>
      <c r="I2018" s="104">
        <v>0</v>
      </c>
      <c r="J2018" s="106">
        <v>0</v>
      </c>
      <c r="K2018" s="213">
        <v>0</v>
      </c>
      <c r="L2018" s="213">
        <v>0</v>
      </c>
      <c r="M2018" s="213">
        <v>0</v>
      </c>
      <c r="N2018" s="213">
        <v>0</v>
      </c>
      <c r="O2018" s="213">
        <v>0</v>
      </c>
      <c r="P2018" s="108">
        <v>0</v>
      </c>
      <c r="Q2018" s="108">
        <v>0</v>
      </c>
      <c r="R2018" s="108">
        <v>0</v>
      </c>
      <c r="S2018" s="108">
        <v>0</v>
      </c>
      <c r="T2018" s="108">
        <v>0</v>
      </c>
      <c r="U2018" s="108">
        <v>0</v>
      </c>
      <c r="V2018" s="108">
        <v>0</v>
      </c>
    </row>
    <row r="2019" customFormat="1" spans="1:22">
      <c r="A2019" s="103">
        <v>45103</v>
      </c>
      <c r="B2019" s="111" t="s">
        <v>39</v>
      </c>
      <c r="C2019" s="112">
        <v>9492</v>
      </c>
      <c r="D2019" s="112">
        <v>6774</v>
      </c>
      <c r="E2019" s="112">
        <v>212</v>
      </c>
      <c r="F2019" s="106">
        <v>0.0223345975558365</v>
      </c>
      <c r="G2019" s="112">
        <v>71</v>
      </c>
      <c r="H2019" s="113">
        <v>0.334905660377358</v>
      </c>
      <c r="I2019" s="112">
        <v>46</v>
      </c>
      <c r="J2019" s="106">
        <v>0.216981132075472</v>
      </c>
      <c r="K2019" s="213"/>
      <c r="L2019" s="213"/>
      <c r="M2019" s="213"/>
      <c r="N2019" s="213"/>
      <c r="O2019" s="213"/>
      <c r="P2019" s="108"/>
      <c r="Q2019" s="108"/>
      <c r="R2019" s="108"/>
      <c r="S2019" s="108"/>
      <c r="T2019" s="108"/>
      <c r="U2019" s="108"/>
      <c r="V2019" s="108"/>
    </row>
    <row r="2020" spans="1:22">
      <c r="A2020" s="103">
        <v>45104</v>
      </c>
      <c r="B2020" s="104" t="s">
        <v>17</v>
      </c>
      <c r="C2020" s="216">
        <v>2</v>
      </c>
      <c r="D2020" s="216">
        <v>1204</v>
      </c>
      <c r="E2020" s="217">
        <v>55</v>
      </c>
      <c r="F2020" s="106">
        <v>27.5</v>
      </c>
      <c r="G2020" s="107">
        <v>15</v>
      </c>
      <c r="H2020" s="106">
        <v>0.272727272727273</v>
      </c>
      <c r="I2020" s="104">
        <v>13</v>
      </c>
      <c r="J2020" s="106">
        <v>0.236363636363636</v>
      </c>
      <c r="K2020" s="213">
        <v>0</v>
      </c>
      <c r="L2020" s="213">
        <v>0.333333333333333</v>
      </c>
      <c r="M2020" s="213">
        <v>0.2</v>
      </c>
      <c r="N2020" s="213">
        <v>0.2</v>
      </c>
      <c r="O2020" s="213">
        <v>-5</v>
      </c>
      <c r="P2020" s="108">
        <v>-8.66666666666666</v>
      </c>
      <c r="Q2020" s="108">
        <v>-4.4</v>
      </c>
      <c r="R2020" s="108">
        <v>-2.14285714285715</v>
      </c>
      <c r="S2020" s="108">
        <v>-1</v>
      </c>
      <c r="T2020" s="108">
        <v>1</v>
      </c>
      <c r="U2020" s="108">
        <v>1.6</v>
      </c>
      <c r="V2020" s="108">
        <v>2</v>
      </c>
    </row>
    <row r="2021" spans="1:22">
      <c r="A2021" s="103">
        <v>45104</v>
      </c>
      <c r="B2021" s="104" t="s">
        <v>19</v>
      </c>
      <c r="C2021" s="216">
        <v>598</v>
      </c>
      <c r="D2021" s="216">
        <v>399</v>
      </c>
      <c r="E2021" s="217">
        <v>11</v>
      </c>
      <c r="F2021" s="106">
        <v>0.0183946488294314</v>
      </c>
      <c r="G2021" s="107">
        <v>4</v>
      </c>
      <c r="H2021" s="106">
        <v>0.363636363636364</v>
      </c>
      <c r="I2021" s="104">
        <v>0</v>
      </c>
      <c r="J2021" s="106">
        <v>0</v>
      </c>
      <c r="K2021" s="213">
        <v>-27</v>
      </c>
      <c r="L2021" s="213">
        <v>-110.333333333333</v>
      </c>
      <c r="M2021" s="213">
        <v>-75.8</v>
      </c>
      <c r="N2021" s="213">
        <v>-30.7142857142857</v>
      </c>
      <c r="O2021" s="213">
        <v>-7</v>
      </c>
      <c r="P2021" s="108">
        <v>-5</v>
      </c>
      <c r="Q2021" s="108">
        <v>-4.6</v>
      </c>
      <c r="R2021" s="108">
        <v>-4.28571428571429</v>
      </c>
      <c r="S2021" s="108">
        <v>-4</v>
      </c>
      <c r="T2021" s="108">
        <v>-2.66666666666667</v>
      </c>
      <c r="U2021" s="108">
        <v>-2</v>
      </c>
      <c r="V2021" s="115">
        <v>-1.71428571428571</v>
      </c>
    </row>
    <row r="2022" spans="1:22">
      <c r="A2022" s="103">
        <v>45104</v>
      </c>
      <c r="B2022" s="104" t="s">
        <v>21</v>
      </c>
      <c r="C2022" s="218">
        <v>229</v>
      </c>
      <c r="D2022" s="218">
        <v>306</v>
      </c>
      <c r="E2022" s="217">
        <v>1</v>
      </c>
      <c r="F2022" s="106">
        <v>0.00436681222707424</v>
      </c>
      <c r="G2022" s="107">
        <v>1</v>
      </c>
      <c r="H2022" s="106">
        <v>1</v>
      </c>
      <c r="I2022" s="104">
        <v>0</v>
      </c>
      <c r="J2022" s="106">
        <v>0</v>
      </c>
      <c r="K2022" s="213">
        <v>-4</v>
      </c>
      <c r="L2022" s="213">
        <v>-46.6666666666667</v>
      </c>
      <c r="M2022" s="213">
        <v>-55.8</v>
      </c>
      <c r="N2022" s="213">
        <v>-55.7142857142857</v>
      </c>
      <c r="O2022" s="213">
        <v>-1</v>
      </c>
      <c r="P2022" s="108">
        <v>-3</v>
      </c>
      <c r="Q2022" s="108">
        <v>-2.6</v>
      </c>
      <c r="R2022" s="108">
        <v>-2.57142857142857</v>
      </c>
      <c r="S2022" s="108">
        <v>1</v>
      </c>
      <c r="T2022" s="108">
        <v>0.2</v>
      </c>
      <c r="U2022" s="108">
        <v>-0.6</v>
      </c>
      <c r="V2022" s="108">
        <v>-0.857142857142857</v>
      </c>
    </row>
    <row r="2023" spans="1:22">
      <c r="A2023" s="103">
        <v>45104</v>
      </c>
      <c r="B2023" s="104" t="s">
        <v>22</v>
      </c>
      <c r="C2023" s="218">
        <v>1841</v>
      </c>
      <c r="D2023" s="218">
        <v>1556</v>
      </c>
      <c r="E2023" s="217">
        <v>29</v>
      </c>
      <c r="F2023" s="106">
        <v>0.0157523085279739</v>
      </c>
      <c r="G2023" s="107">
        <v>10</v>
      </c>
      <c r="H2023" s="106">
        <v>0.344827586206897</v>
      </c>
      <c r="I2023" s="104">
        <v>6</v>
      </c>
      <c r="J2023" s="106">
        <v>0.206896551724138</v>
      </c>
      <c r="K2023" s="213">
        <v>-96</v>
      </c>
      <c r="L2023" s="213">
        <v>-67.3333333333333</v>
      </c>
      <c r="M2023" s="213">
        <v>-190.4</v>
      </c>
      <c r="N2023" s="213">
        <v>-272.142857142857</v>
      </c>
      <c r="O2023" s="213">
        <v>-13</v>
      </c>
      <c r="P2023" s="108">
        <v>-9</v>
      </c>
      <c r="Q2023" s="108">
        <v>-9</v>
      </c>
      <c r="R2023" s="115">
        <v>-11.5714285714286</v>
      </c>
      <c r="S2023" s="108">
        <v>-8</v>
      </c>
      <c r="T2023" s="108">
        <v>-8.33333333333333</v>
      </c>
      <c r="U2023" s="108">
        <v>-6.2</v>
      </c>
      <c r="V2023" s="117">
        <v>-6.42857142857143</v>
      </c>
    </row>
    <row r="2024" spans="1:22">
      <c r="A2024" s="103">
        <v>45104</v>
      </c>
      <c r="B2024" s="104" t="s">
        <v>23</v>
      </c>
      <c r="C2024" s="218">
        <v>1977</v>
      </c>
      <c r="D2024" s="218">
        <v>137</v>
      </c>
      <c r="E2024" s="217">
        <v>7</v>
      </c>
      <c r="F2024" s="106">
        <v>0.00354071825998988</v>
      </c>
      <c r="G2024" s="107">
        <v>3</v>
      </c>
      <c r="H2024" s="106">
        <v>0.428571428571429</v>
      </c>
      <c r="I2024" s="104">
        <v>1</v>
      </c>
      <c r="J2024" s="106">
        <v>0.142857142857143</v>
      </c>
      <c r="K2024" s="213">
        <v>-188</v>
      </c>
      <c r="L2024" s="213">
        <v>-154</v>
      </c>
      <c r="M2024" s="213">
        <v>-86.5999999999999</v>
      </c>
      <c r="N2024" s="213">
        <v>-21.4285714285713</v>
      </c>
      <c r="O2024" s="213">
        <v>-2</v>
      </c>
      <c r="P2024" s="108">
        <v>1.33333333333333</v>
      </c>
      <c r="Q2024" s="108">
        <v>1.6</v>
      </c>
      <c r="R2024" s="108">
        <v>0</v>
      </c>
      <c r="S2024" s="108">
        <v>2</v>
      </c>
      <c r="T2024" s="115">
        <v>1</v>
      </c>
      <c r="U2024" s="108">
        <v>0.2</v>
      </c>
      <c r="V2024" s="108">
        <v>0.142857142857143</v>
      </c>
    </row>
    <row r="2025" spans="1:22">
      <c r="A2025" s="103">
        <v>45104</v>
      </c>
      <c r="B2025" s="104" t="s">
        <v>24</v>
      </c>
      <c r="C2025" s="218">
        <v>573</v>
      </c>
      <c r="D2025" s="218">
        <v>474</v>
      </c>
      <c r="E2025" s="217">
        <v>6</v>
      </c>
      <c r="F2025" s="106">
        <v>0.0104712041884817</v>
      </c>
      <c r="G2025" s="107">
        <v>6</v>
      </c>
      <c r="H2025" s="106">
        <v>1</v>
      </c>
      <c r="I2025" s="104">
        <v>3</v>
      </c>
      <c r="J2025" s="106">
        <v>0.5</v>
      </c>
      <c r="K2025" s="213">
        <v>-174</v>
      </c>
      <c r="L2025" s="213">
        <v>-589.333333333333</v>
      </c>
      <c r="M2025" s="213">
        <v>-920</v>
      </c>
      <c r="N2025" s="213">
        <v>-1000.42857142857</v>
      </c>
      <c r="O2025" s="219">
        <v>-11</v>
      </c>
      <c r="P2025" s="115">
        <v>-26</v>
      </c>
      <c r="Q2025" s="115">
        <v>-37.6</v>
      </c>
      <c r="R2025" s="115">
        <v>-40.1428571428571</v>
      </c>
      <c r="S2025" s="115">
        <v>1</v>
      </c>
      <c r="T2025" s="115">
        <v>-5.33333333333333</v>
      </c>
      <c r="U2025" s="115">
        <v>-6.2</v>
      </c>
      <c r="V2025" s="115">
        <v>-7.85714285714286</v>
      </c>
    </row>
    <row r="2026" spans="1:22">
      <c r="A2026" s="103">
        <v>45104</v>
      </c>
      <c r="B2026" s="104" t="s">
        <v>25</v>
      </c>
      <c r="C2026" s="218">
        <v>2050</v>
      </c>
      <c r="D2026" s="218">
        <v>724</v>
      </c>
      <c r="E2026" s="217">
        <v>20</v>
      </c>
      <c r="F2026" s="106">
        <v>0.00975609756097561</v>
      </c>
      <c r="G2026" s="107">
        <v>4</v>
      </c>
      <c r="H2026" s="106">
        <v>0.2</v>
      </c>
      <c r="I2026" s="104">
        <v>4</v>
      </c>
      <c r="J2026" s="106">
        <v>0.2</v>
      </c>
      <c r="K2026" s="213">
        <v>-9</v>
      </c>
      <c r="L2026" s="213">
        <v>-414.666666666667</v>
      </c>
      <c r="M2026" s="213">
        <v>-649.6</v>
      </c>
      <c r="N2026" s="213">
        <v>-670.857142857143</v>
      </c>
      <c r="O2026" s="220">
        <v>-14</v>
      </c>
      <c r="P2026" s="115">
        <v>-30.6666666666667</v>
      </c>
      <c r="Q2026" s="115">
        <v>-31.2</v>
      </c>
      <c r="R2026" s="115">
        <v>-35.8571428571429</v>
      </c>
      <c r="S2026" s="108">
        <v>-10</v>
      </c>
      <c r="T2026" s="108">
        <v>-15.6666666666667</v>
      </c>
      <c r="U2026" s="108">
        <v>-14.4</v>
      </c>
      <c r="V2026" s="108">
        <v>-15.1428571428571</v>
      </c>
    </row>
    <row r="2027" spans="1:22">
      <c r="A2027" s="103">
        <v>45104</v>
      </c>
      <c r="B2027" s="104" t="s">
        <v>26</v>
      </c>
      <c r="C2027" s="218">
        <v>1</v>
      </c>
      <c r="D2027" s="218">
        <v>1083</v>
      </c>
      <c r="E2027" s="217">
        <v>2</v>
      </c>
      <c r="F2027" s="106">
        <v>2</v>
      </c>
      <c r="G2027" s="107">
        <v>2</v>
      </c>
      <c r="H2027" s="106">
        <v>1</v>
      </c>
      <c r="I2027" s="104">
        <v>1</v>
      </c>
      <c r="J2027" s="106">
        <v>0.5</v>
      </c>
      <c r="K2027" s="213">
        <v>-1</v>
      </c>
      <c r="L2027" s="213">
        <v>-1.33333333333333</v>
      </c>
      <c r="M2027" s="213">
        <v>-0.8</v>
      </c>
      <c r="N2027" s="213">
        <v>-0.571428571428571</v>
      </c>
      <c r="O2027" s="213">
        <v>-7</v>
      </c>
      <c r="P2027" s="108">
        <v>-3</v>
      </c>
      <c r="Q2027" s="108">
        <v>-1.4</v>
      </c>
      <c r="R2027" s="108">
        <v>0</v>
      </c>
      <c r="S2027" s="108">
        <v>-1</v>
      </c>
      <c r="T2027" s="108">
        <v>-1.33333333333333</v>
      </c>
      <c r="U2027" s="108">
        <v>-1.2</v>
      </c>
      <c r="V2027" s="108">
        <v>-0.285714285714286</v>
      </c>
    </row>
    <row r="2028" spans="1:22">
      <c r="A2028" s="103">
        <v>45104</v>
      </c>
      <c r="B2028" s="104" t="s">
        <v>27</v>
      </c>
      <c r="C2028" s="218">
        <v>1576</v>
      </c>
      <c r="D2028" s="218">
        <v>389</v>
      </c>
      <c r="E2028" s="217">
        <v>18</v>
      </c>
      <c r="F2028" s="106">
        <v>0.0114213197969543</v>
      </c>
      <c r="G2028" s="107">
        <v>2</v>
      </c>
      <c r="H2028" s="106">
        <v>0.111111111111111</v>
      </c>
      <c r="I2028" s="104">
        <v>1</v>
      </c>
      <c r="J2028" s="106">
        <v>0.0555555555555556</v>
      </c>
      <c r="K2028" s="213">
        <v>-146</v>
      </c>
      <c r="L2028" s="213">
        <v>-397</v>
      </c>
      <c r="M2028" s="213">
        <v>-369.4</v>
      </c>
      <c r="N2028" s="213">
        <v>-570.142857142857</v>
      </c>
      <c r="O2028" s="213">
        <v>-3</v>
      </c>
      <c r="P2028" s="108">
        <v>-8.66666666666667</v>
      </c>
      <c r="Q2028" s="108">
        <v>-9.4</v>
      </c>
      <c r="R2028" s="108">
        <v>-14.8571428571429</v>
      </c>
      <c r="S2028" s="108">
        <v>-4</v>
      </c>
      <c r="T2028" s="108">
        <v>-2.33333333333333</v>
      </c>
      <c r="U2028" s="108">
        <v>-3</v>
      </c>
      <c r="V2028" s="108">
        <v>-4.57142857142857</v>
      </c>
    </row>
    <row r="2029" spans="1:22">
      <c r="A2029" s="103">
        <v>45104</v>
      </c>
      <c r="B2029" s="104" t="s">
        <v>28</v>
      </c>
      <c r="C2029" s="145">
        <v>0</v>
      </c>
      <c r="D2029" s="145"/>
      <c r="E2029" s="104">
        <v>0</v>
      </c>
      <c r="F2029" s="106">
        <v>0</v>
      </c>
      <c r="G2029" s="107">
        <v>0</v>
      </c>
      <c r="H2029" s="106">
        <v>0</v>
      </c>
      <c r="I2029" s="104">
        <v>0</v>
      </c>
      <c r="J2029" s="106">
        <v>0</v>
      </c>
      <c r="K2029" s="213">
        <v>0</v>
      </c>
      <c r="L2029" s="213">
        <v>0</v>
      </c>
      <c r="M2029" s="213">
        <v>0</v>
      </c>
      <c r="N2029" s="213">
        <v>0</v>
      </c>
      <c r="O2029" s="213">
        <v>0</v>
      </c>
      <c r="P2029" s="108">
        <v>0</v>
      </c>
      <c r="Q2029" s="108">
        <v>0</v>
      </c>
      <c r="R2029" s="108">
        <v>-0.142857142857143</v>
      </c>
      <c r="S2029" s="108">
        <v>0</v>
      </c>
      <c r="T2029" s="108">
        <v>0</v>
      </c>
      <c r="U2029" s="108">
        <v>0</v>
      </c>
      <c r="V2029" s="108">
        <v>-0.142857142857143</v>
      </c>
    </row>
    <row r="2030" spans="1:22">
      <c r="A2030" s="103">
        <v>45104</v>
      </c>
      <c r="B2030" s="104" t="s">
        <v>29</v>
      </c>
      <c r="C2030" s="145">
        <v>0</v>
      </c>
      <c r="D2030" s="145"/>
      <c r="E2030" s="104">
        <v>0</v>
      </c>
      <c r="F2030" s="106">
        <v>0</v>
      </c>
      <c r="G2030" s="107">
        <v>0</v>
      </c>
      <c r="H2030" s="106">
        <v>0</v>
      </c>
      <c r="I2030" s="104">
        <v>0</v>
      </c>
      <c r="J2030" s="106">
        <v>0</v>
      </c>
      <c r="K2030" s="213">
        <v>0</v>
      </c>
      <c r="L2030" s="213">
        <v>0</v>
      </c>
      <c r="M2030" s="213">
        <v>0</v>
      </c>
      <c r="N2030" s="213">
        <v>0</v>
      </c>
      <c r="O2030" s="213">
        <v>0</v>
      </c>
      <c r="P2030" s="108">
        <v>0</v>
      </c>
      <c r="Q2030" s="108">
        <v>0</v>
      </c>
      <c r="R2030" s="108">
        <v>0</v>
      </c>
      <c r="S2030" s="108">
        <v>0</v>
      </c>
      <c r="T2030" s="108">
        <v>0</v>
      </c>
      <c r="U2030" s="108">
        <v>0</v>
      </c>
      <c r="V2030" s="108">
        <v>0</v>
      </c>
    </row>
    <row r="2031" spans="1:22">
      <c r="A2031" s="103">
        <v>45104</v>
      </c>
      <c r="B2031" s="104" t="s">
        <v>30</v>
      </c>
      <c r="C2031" s="145">
        <v>0</v>
      </c>
      <c r="D2031" s="145"/>
      <c r="E2031" s="104">
        <v>0</v>
      </c>
      <c r="F2031" s="106">
        <v>0</v>
      </c>
      <c r="G2031" s="107">
        <v>0</v>
      </c>
      <c r="H2031" s="106">
        <v>0</v>
      </c>
      <c r="I2031" s="104">
        <v>0</v>
      </c>
      <c r="J2031" s="106">
        <v>0</v>
      </c>
      <c r="K2031" s="213">
        <v>0</v>
      </c>
      <c r="L2031" s="213">
        <v>0</v>
      </c>
      <c r="M2031" s="213">
        <v>0</v>
      </c>
      <c r="N2031" s="213">
        <v>0</v>
      </c>
      <c r="O2031" s="213">
        <v>0</v>
      </c>
      <c r="P2031" s="108">
        <v>0</v>
      </c>
      <c r="Q2031" s="108">
        <v>0</v>
      </c>
      <c r="R2031" s="108">
        <v>0</v>
      </c>
      <c r="S2031" s="108">
        <v>0</v>
      </c>
      <c r="T2031" s="108">
        <v>0</v>
      </c>
      <c r="U2031" s="108">
        <v>0</v>
      </c>
      <c r="V2031" s="108">
        <v>0</v>
      </c>
    </row>
    <row r="2032" spans="1:22">
      <c r="A2032" s="103">
        <v>45104</v>
      </c>
      <c r="B2032" s="104" t="s">
        <v>31</v>
      </c>
      <c r="C2032" s="145">
        <v>0</v>
      </c>
      <c r="D2032" s="145"/>
      <c r="E2032" s="104">
        <v>0</v>
      </c>
      <c r="F2032" s="106">
        <v>0</v>
      </c>
      <c r="G2032" s="107">
        <v>0</v>
      </c>
      <c r="H2032" s="106">
        <v>0</v>
      </c>
      <c r="I2032" s="104">
        <v>0</v>
      </c>
      <c r="J2032" s="106">
        <v>0</v>
      </c>
      <c r="K2032" s="213">
        <v>0</v>
      </c>
      <c r="L2032" s="213">
        <v>0</v>
      </c>
      <c r="M2032" s="213">
        <v>0</v>
      </c>
      <c r="N2032" s="213">
        <v>0</v>
      </c>
      <c r="O2032" s="213">
        <v>0</v>
      </c>
      <c r="P2032" s="108">
        <v>0</v>
      </c>
      <c r="Q2032" s="108">
        <v>0</v>
      </c>
      <c r="R2032" s="108">
        <v>0</v>
      </c>
      <c r="S2032" s="108">
        <v>0</v>
      </c>
      <c r="T2032" s="108">
        <v>0</v>
      </c>
      <c r="U2032" s="108">
        <v>0</v>
      </c>
      <c r="V2032" s="108">
        <v>0</v>
      </c>
    </row>
    <row r="2033" spans="1:22">
      <c r="A2033" s="103">
        <v>45104</v>
      </c>
      <c r="B2033" s="104" t="s">
        <v>32</v>
      </c>
      <c r="C2033" s="145">
        <v>0</v>
      </c>
      <c r="D2033" s="145"/>
      <c r="E2033" s="104">
        <v>0</v>
      </c>
      <c r="F2033" s="106">
        <v>0</v>
      </c>
      <c r="G2033" s="107">
        <v>0</v>
      </c>
      <c r="H2033" s="106">
        <v>0</v>
      </c>
      <c r="I2033" s="104">
        <v>0</v>
      </c>
      <c r="J2033" s="106">
        <v>0</v>
      </c>
      <c r="K2033" s="213">
        <v>0</v>
      </c>
      <c r="L2033" s="213">
        <v>0</v>
      </c>
      <c r="M2033" s="213">
        <v>0</v>
      </c>
      <c r="N2033" s="213">
        <v>0</v>
      </c>
      <c r="O2033" s="213">
        <v>0</v>
      </c>
      <c r="P2033" s="108">
        <v>0</v>
      </c>
      <c r="Q2033" s="108">
        <v>0</v>
      </c>
      <c r="R2033" s="108">
        <v>0</v>
      </c>
      <c r="S2033" s="108">
        <v>0</v>
      </c>
      <c r="T2033" s="108">
        <v>0</v>
      </c>
      <c r="U2033" s="108">
        <v>0</v>
      </c>
      <c r="V2033" s="108">
        <v>0</v>
      </c>
    </row>
    <row r="2034" spans="1:22">
      <c r="A2034" s="103">
        <v>45104</v>
      </c>
      <c r="B2034" s="104" t="s">
        <v>33</v>
      </c>
      <c r="C2034" s="145">
        <v>0</v>
      </c>
      <c r="D2034" s="145"/>
      <c r="E2034" s="104">
        <v>0</v>
      </c>
      <c r="F2034" s="106">
        <v>0</v>
      </c>
      <c r="G2034" s="107">
        <v>0</v>
      </c>
      <c r="H2034" s="106">
        <v>0</v>
      </c>
      <c r="I2034" s="104">
        <v>0</v>
      </c>
      <c r="J2034" s="106">
        <v>0</v>
      </c>
      <c r="K2034" s="213">
        <v>0</v>
      </c>
      <c r="L2034" s="213">
        <v>0</v>
      </c>
      <c r="M2034" s="213">
        <v>0</v>
      </c>
      <c r="N2034" s="213">
        <v>0</v>
      </c>
      <c r="O2034" s="213">
        <v>0</v>
      </c>
      <c r="P2034" s="108">
        <v>0</v>
      </c>
      <c r="Q2034" s="108">
        <v>0</v>
      </c>
      <c r="R2034" s="108">
        <v>0</v>
      </c>
      <c r="S2034" s="108">
        <v>0</v>
      </c>
      <c r="T2034" s="108">
        <v>0</v>
      </c>
      <c r="U2034" s="108">
        <v>0</v>
      </c>
      <c r="V2034" s="108">
        <v>0</v>
      </c>
    </row>
    <row r="2035" spans="1:22">
      <c r="A2035" s="103">
        <v>45104</v>
      </c>
      <c r="B2035" s="104" t="s">
        <v>34</v>
      </c>
      <c r="C2035" s="145">
        <v>0</v>
      </c>
      <c r="D2035" s="145"/>
      <c r="E2035" s="104">
        <v>0</v>
      </c>
      <c r="F2035" s="106">
        <v>0</v>
      </c>
      <c r="G2035" s="107">
        <v>0</v>
      </c>
      <c r="H2035" s="106">
        <v>0</v>
      </c>
      <c r="I2035" s="104">
        <v>0</v>
      </c>
      <c r="J2035" s="106">
        <v>0</v>
      </c>
      <c r="K2035" s="213">
        <v>0</v>
      </c>
      <c r="L2035" s="213">
        <v>0</v>
      </c>
      <c r="M2035" s="213">
        <v>0</v>
      </c>
      <c r="N2035" s="213">
        <v>0</v>
      </c>
      <c r="O2035" s="213">
        <v>0</v>
      </c>
      <c r="P2035" s="108">
        <v>0</v>
      </c>
      <c r="Q2035" s="108">
        <v>0</v>
      </c>
      <c r="R2035" s="108">
        <v>0</v>
      </c>
      <c r="S2035" s="108">
        <v>0</v>
      </c>
      <c r="T2035" s="108">
        <v>0</v>
      </c>
      <c r="U2035" s="108">
        <v>0</v>
      </c>
      <c r="V2035" s="108">
        <v>0</v>
      </c>
    </row>
    <row r="2036" spans="1:22">
      <c r="A2036" s="103">
        <v>45104</v>
      </c>
      <c r="B2036" s="104" t="s">
        <v>35</v>
      </c>
      <c r="C2036" s="145">
        <v>0</v>
      </c>
      <c r="D2036" s="145"/>
      <c r="E2036" s="104">
        <v>0</v>
      </c>
      <c r="F2036" s="106">
        <v>0</v>
      </c>
      <c r="G2036" s="107">
        <v>0</v>
      </c>
      <c r="H2036" s="106">
        <v>0</v>
      </c>
      <c r="I2036" s="104">
        <v>0</v>
      </c>
      <c r="J2036" s="106">
        <v>0</v>
      </c>
      <c r="K2036" s="213">
        <v>0</v>
      </c>
      <c r="L2036" s="213">
        <v>0</v>
      </c>
      <c r="M2036" s="213">
        <v>0</v>
      </c>
      <c r="N2036" s="213">
        <v>0</v>
      </c>
      <c r="O2036" s="213">
        <v>0</v>
      </c>
      <c r="P2036" s="108">
        <v>0</v>
      </c>
      <c r="Q2036" s="108">
        <v>0</v>
      </c>
      <c r="R2036" s="108">
        <v>0</v>
      </c>
      <c r="S2036" s="108">
        <v>0</v>
      </c>
      <c r="T2036" s="108">
        <v>0</v>
      </c>
      <c r="U2036" s="108">
        <v>0</v>
      </c>
      <c r="V2036" s="108">
        <v>0</v>
      </c>
    </row>
    <row r="2037" spans="1:22">
      <c r="A2037" s="103">
        <v>45104</v>
      </c>
      <c r="B2037" s="104" t="s">
        <v>36</v>
      </c>
      <c r="C2037" s="145">
        <v>0</v>
      </c>
      <c r="D2037" s="145"/>
      <c r="E2037" s="104">
        <v>0</v>
      </c>
      <c r="F2037" s="106">
        <v>0</v>
      </c>
      <c r="G2037" s="107">
        <v>0</v>
      </c>
      <c r="H2037" s="106">
        <v>0</v>
      </c>
      <c r="I2037" s="104">
        <v>0</v>
      </c>
      <c r="J2037" s="106">
        <v>0</v>
      </c>
      <c r="K2037" s="213">
        <v>0</v>
      </c>
      <c r="L2037" s="213">
        <v>0</v>
      </c>
      <c r="M2037" s="213">
        <v>0</v>
      </c>
      <c r="N2037" s="213">
        <v>0</v>
      </c>
      <c r="O2037" s="213">
        <v>0</v>
      </c>
      <c r="P2037" s="108">
        <v>0</v>
      </c>
      <c r="Q2037" s="108">
        <v>0</v>
      </c>
      <c r="R2037" s="108">
        <v>0</v>
      </c>
      <c r="S2037" s="108">
        <v>0</v>
      </c>
      <c r="T2037" s="108">
        <v>0</v>
      </c>
      <c r="U2037" s="108">
        <v>0</v>
      </c>
      <c r="V2037" s="108">
        <v>0</v>
      </c>
    </row>
    <row r="2038" spans="1:22">
      <c r="A2038" s="103">
        <v>45104</v>
      </c>
      <c r="B2038" s="104" t="s">
        <v>37</v>
      </c>
      <c r="C2038" s="145">
        <v>0</v>
      </c>
      <c r="D2038" s="145"/>
      <c r="E2038" s="104">
        <v>0</v>
      </c>
      <c r="F2038" s="106">
        <v>0</v>
      </c>
      <c r="G2038" s="107">
        <v>0</v>
      </c>
      <c r="H2038" s="106">
        <v>0</v>
      </c>
      <c r="I2038" s="104">
        <v>0</v>
      </c>
      <c r="J2038" s="106">
        <v>0</v>
      </c>
      <c r="K2038" s="213">
        <v>0</v>
      </c>
      <c r="L2038" s="213">
        <v>0</v>
      </c>
      <c r="M2038" s="213">
        <v>0</v>
      </c>
      <c r="N2038" s="213">
        <v>0</v>
      </c>
      <c r="O2038" s="213">
        <v>0</v>
      </c>
      <c r="P2038" s="108">
        <v>0</v>
      </c>
      <c r="Q2038" s="108">
        <v>0</v>
      </c>
      <c r="R2038" s="108">
        <v>0</v>
      </c>
      <c r="S2038" s="108">
        <v>0</v>
      </c>
      <c r="T2038" s="108">
        <v>0</v>
      </c>
      <c r="U2038" s="108">
        <v>0</v>
      </c>
      <c r="V2038" s="108">
        <v>0</v>
      </c>
    </row>
    <row r="2039" spans="1:22">
      <c r="A2039" s="103">
        <v>45104</v>
      </c>
      <c r="B2039" s="104" t="s">
        <v>38</v>
      </c>
      <c r="C2039" s="145">
        <v>0</v>
      </c>
      <c r="D2039" s="145"/>
      <c r="E2039" s="104">
        <v>0</v>
      </c>
      <c r="F2039" s="106">
        <v>0</v>
      </c>
      <c r="G2039" s="107">
        <v>0</v>
      </c>
      <c r="H2039" s="106">
        <v>0</v>
      </c>
      <c r="I2039" s="104">
        <v>0</v>
      </c>
      <c r="J2039" s="106">
        <v>0</v>
      </c>
      <c r="K2039" s="213">
        <v>0</v>
      </c>
      <c r="L2039" s="213">
        <v>0</v>
      </c>
      <c r="M2039" s="213">
        <v>0</v>
      </c>
      <c r="N2039" s="213">
        <v>0</v>
      </c>
      <c r="O2039" s="213">
        <v>0</v>
      </c>
      <c r="P2039" s="108">
        <v>0</v>
      </c>
      <c r="Q2039" s="108">
        <v>0</v>
      </c>
      <c r="R2039" s="108">
        <v>0</v>
      </c>
      <c r="S2039" s="108">
        <v>0</v>
      </c>
      <c r="T2039" s="108">
        <v>0</v>
      </c>
      <c r="U2039" s="108">
        <v>0</v>
      </c>
      <c r="V2039" s="108">
        <v>0</v>
      </c>
    </row>
    <row r="2040" spans="1:22">
      <c r="A2040" s="103">
        <v>45104</v>
      </c>
      <c r="B2040" s="111" t="s">
        <v>39</v>
      </c>
      <c r="C2040" s="112">
        <v>8847</v>
      </c>
      <c r="D2040" s="112">
        <v>6272</v>
      </c>
      <c r="E2040" s="112">
        <v>149</v>
      </c>
      <c r="F2040" s="106">
        <v>0.0168418672996496</v>
      </c>
      <c r="G2040" s="112">
        <v>47</v>
      </c>
      <c r="H2040" s="113">
        <v>0.315436241610738</v>
      </c>
      <c r="I2040" s="112">
        <v>29</v>
      </c>
      <c r="J2040" s="106">
        <v>0.194630872483221</v>
      </c>
      <c r="K2040" s="213"/>
      <c r="L2040" s="213"/>
      <c r="M2040" s="213"/>
      <c r="N2040" s="213"/>
      <c r="O2040" s="213"/>
      <c r="P2040" s="108"/>
      <c r="Q2040" s="108"/>
      <c r="R2040" s="108"/>
      <c r="S2040" s="108"/>
      <c r="T2040" s="108"/>
      <c r="U2040" s="108"/>
      <c r="V2040" s="108"/>
    </row>
    <row r="2041" customFormat="1" ht="14.45" customHeight="1" spans="1:24">
      <c r="A2041" s="103">
        <v>45105</v>
      </c>
      <c r="B2041" s="104" t="s">
        <v>17</v>
      </c>
      <c r="C2041" s="216">
        <v>2</v>
      </c>
      <c r="D2041" s="216">
        <v>1053</v>
      </c>
      <c r="E2041" s="217">
        <v>45</v>
      </c>
      <c r="F2041" s="106">
        <v>22.5</v>
      </c>
      <c r="G2041" s="107">
        <v>12</v>
      </c>
      <c r="H2041" s="106">
        <v>0.266666666666667</v>
      </c>
      <c r="I2041" s="104">
        <v>10</v>
      </c>
      <c r="J2041" s="106">
        <v>0.222222222222222</v>
      </c>
      <c r="K2041" s="213">
        <v>0</v>
      </c>
      <c r="L2041" s="213">
        <v>0</v>
      </c>
      <c r="M2041" s="213">
        <v>0.4</v>
      </c>
      <c r="N2041" s="213">
        <v>0</v>
      </c>
      <c r="O2041" s="213">
        <v>-10</v>
      </c>
      <c r="P2041" s="108">
        <v>-16.6666666666667</v>
      </c>
      <c r="Q2041" s="108">
        <v>-15.8</v>
      </c>
      <c r="R2041" s="108">
        <v>-11.5714285714286</v>
      </c>
      <c r="S2041" s="108">
        <v>-3</v>
      </c>
      <c r="T2041" s="108">
        <v>-3.33333333333333</v>
      </c>
      <c r="U2041" s="108">
        <v>-2</v>
      </c>
      <c r="V2041" s="108">
        <v>-1</v>
      </c>
      <c r="X2041" t="s">
        <v>18</v>
      </c>
    </row>
    <row r="2042" customFormat="1" ht="14.45" customHeight="1" spans="1:24">
      <c r="A2042" s="103">
        <v>45105</v>
      </c>
      <c r="B2042" s="104" t="s">
        <v>19</v>
      </c>
      <c r="C2042" s="216">
        <v>683</v>
      </c>
      <c r="D2042" s="216">
        <v>435</v>
      </c>
      <c r="E2042" s="217">
        <v>19</v>
      </c>
      <c r="F2042" s="106">
        <v>0.0278184480234261</v>
      </c>
      <c r="G2042" s="107">
        <v>7</v>
      </c>
      <c r="H2042" s="106">
        <v>0.368421052631579</v>
      </c>
      <c r="I2042" s="104">
        <v>5</v>
      </c>
      <c r="J2042" s="106">
        <v>0.263157894736842</v>
      </c>
      <c r="K2042" s="213">
        <v>85</v>
      </c>
      <c r="L2042" s="213">
        <v>13</v>
      </c>
      <c r="M2042" s="213">
        <v>1.79999999999995</v>
      </c>
      <c r="N2042" s="213">
        <v>35.4285714285714</v>
      </c>
      <c r="O2042" s="213">
        <v>8</v>
      </c>
      <c r="P2042" s="108">
        <v>4.33333333333333</v>
      </c>
      <c r="Q2042" s="108">
        <v>3.8</v>
      </c>
      <c r="R2042" s="108">
        <v>5</v>
      </c>
      <c r="S2042" s="108">
        <v>3</v>
      </c>
      <c r="T2042" s="108">
        <v>1.66666666666667</v>
      </c>
      <c r="U2042" s="108">
        <v>0.6</v>
      </c>
      <c r="V2042" s="115">
        <v>1.57142857142857</v>
      </c>
      <c r="W2042" s="154"/>
      <c r="X2042" s="154"/>
    </row>
    <row r="2043" customFormat="1" ht="14.45" customHeight="1" spans="1:22">
      <c r="A2043" s="103">
        <v>45105</v>
      </c>
      <c r="B2043" s="104" t="s">
        <v>21</v>
      </c>
      <c r="C2043" s="218">
        <v>189</v>
      </c>
      <c r="D2043" s="218">
        <v>319</v>
      </c>
      <c r="E2043" s="217">
        <v>3</v>
      </c>
      <c r="F2043" s="106">
        <v>0.0158730158730159</v>
      </c>
      <c r="G2043" s="107">
        <v>0</v>
      </c>
      <c r="H2043" s="106">
        <v>0</v>
      </c>
      <c r="I2043" s="104">
        <v>0</v>
      </c>
      <c r="J2043" s="106">
        <v>0</v>
      </c>
      <c r="K2043" s="213">
        <v>-40</v>
      </c>
      <c r="L2043" s="213">
        <v>-62</v>
      </c>
      <c r="M2043" s="213">
        <v>-73.2</v>
      </c>
      <c r="N2043" s="213">
        <v>-86.4285714285714</v>
      </c>
      <c r="O2043" s="213">
        <v>2</v>
      </c>
      <c r="P2043" s="108">
        <v>0.333333333333333</v>
      </c>
      <c r="Q2043" s="108">
        <v>-0.2</v>
      </c>
      <c r="R2043" s="108">
        <v>-0.142857142857143</v>
      </c>
      <c r="S2043" s="108">
        <v>-1</v>
      </c>
      <c r="T2043" s="108">
        <v>-1</v>
      </c>
      <c r="U2043" s="108">
        <v>-1.4</v>
      </c>
      <c r="V2043" s="108">
        <v>-1.71428571428571</v>
      </c>
    </row>
    <row r="2044" customFormat="1" ht="18.95" customHeight="1" spans="1:24">
      <c r="A2044" s="103">
        <v>45105</v>
      </c>
      <c r="B2044" s="104" t="s">
        <v>22</v>
      </c>
      <c r="C2044" s="218">
        <v>1859</v>
      </c>
      <c r="D2044" s="218">
        <v>983</v>
      </c>
      <c r="E2044" s="217">
        <v>36</v>
      </c>
      <c r="F2044" s="106">
        <v>0.0193652501344809</v>
      </c>
      <c r="G2044" s="107">
        <v>11</v>
      </c>
      <c r="H2044" s="106">
        <v>0.305555555555556</v>
      </c>
      <c r="I2044" s="104">
        <v>6</v>
      </c>
      <c r="J2044" s="106">
        <v>0.166666666666667</v>
      </c>
      <c r="K2044" s="213">
        <v>18</v>
      </c>
      <c r="L2044" s="213">
        <v>-31.6666666666667</v>
      </c>
      <c r="M2044" s="213">
        <v>-63</v>
      </c>
      <c r="N2044" s="213">
        <v>-185.142857142857</v>
      </c>
      <c r="O2044" s="213">
        <v>7</v>
      </c>
      <c r="P2044" s="108">
        <v>-1.33333333333334</v>
      </c>
      <c r="Q2044" s="108">
        <v>0.600000000000001</v>
      </c>
      <c r="R2044" s="115">
        <v>-2</v>
      </c>
      <c r="S2044" s="108">
        <v>1</v>
      </c>
      <c r="T2044" s="108">
        <v>-5.33333333333333</v>
      </c>
      <c r="U2044" s="108">
        <v>-3.6</v>
      </c>
      <c r="V2044" s="117">
        <v>-4.42857142857143</v>
      </c>
      <c r="W2044" s="154"/>
      <c r="X2044" s="154"/>
    </row>
    <row r="2045" customFormat="1" ht="14.45" customHeight="1" spans="1:22">
      <c r="A2045" s="103">
        <v>45105</v>
      </c>
      <c r="B2045" s="104" t="s">
        <v>23</v>
      </c>
      <c r="C2045" s="218">
        <v>1923</v>
      </c>
      <c r="D2045" s="218">
        <v>134</v>
      </c>
      <c r="E2045" s="217">
        <v>5</v>
      </c>
      <c r="F2045" s="106">
        <v>0.00260010400416017</v>
      </c>
      <c r="G2045" s="107">
        <v>3</v>
      </c>
      <c r="H2045" s="106">
        <v>0.6</v>
      </c>
      <c r="I2045" s="104">
        <v>1</v>
      </c>
      <c r="J2045" s="106">
        <v>0.2</v>
      </c>
      <c r="K2045" s="213">
        <v>-54</v>
      </c>
      <c r="L2045" s="213">
        <v>-165</v>
      </c>
      <c r="M2045" s="213">
        <v>-155.4</v>
      </c>
      <c r="N2045" s="213">
        <v>-102.428571428571</v>
      </c>
      <c r="O2045" s="213">
        <v>-2</v>
      </c>
      <c r="P2045" s="108">
        <v>-1.66666666666667</v>
      </c>
      <c r="Q2045" s="108">
        <v>-1.2</v>
      </c>
      <c r="R2045" s="108">
        <v>-1.42857142857143</v>
      </c>
      <c r="S2045" s="108">
        <v>0</v>
      </c>
      <c r="T2045" s="116">
        <v>1</v>
      </c>
      <c r="U2045" s="108">
        <v>0.8</v>
      </c>
      <c r="V2045" s="108">
        <v>0.142857142857143</v>
      </c>
    </row>
    <row r="2046" customFormat="1" ht="14.45" customHeight="1" spans="1:24">
      <c r="A2046" s="103">
        <v>45105</v>
      </c>
      <c r="B2046" s="104" t="s">
        <v>24</v>
      </c>
      <c r="C2046" s="218">
        <v>545</v>
      </c>
      <c r="D2046" s="218">
        <v>485</v>
      </c>
      <c r="E2046" s="217">
        <v>11</v>
      </c>
      <c r="F2046" s="106">
        <v>0.0201834862385321</v>
      </c>
      <c r="G2046" s="107">
        <v>5</v>
      </c>
      <c r="H2046" s="106">
        <v>0.454545454545455</v>
      </c>
      <c r="I2046" s="104">
        <v>4</v>
      </c>
      <c r="J2046" s="106">
        <v>0.363636363636364</v>
      </c>
      <c r="K2046" s="213">
        <v>-28</v>
      </c>
      <c r="L2046" s="213">
        <v>-274.666666666667</v>
      </c>
      <c r="M2046" s="213">
        <v>-633</v>
      </c>
      <c r="N2046" s="213">
        <v>-856.571428571429</v>
      </c>
      <c r="O2046" s="219">
        <v>5</v>
      </c>
      <c r="P2046" s="115">
        <v>-7.33333333333333</v>
      </c>
      <c r="Q2046" s="115">
        <v>-19.8</v>
      </c>
      <c r="R2046" s="115">
        <v>-27.5714285714286</v>
      </c>
      <c r="S2046" s="115">
        <v>-1</v>
      </c>
      <c r="T2046" s="115">
        <v>-2.33333333333333</v>
      </c>
      <c r="U2046" s="115">
        <v>-5.8</v>
      </c>
      <c r="V2046" s="115">
        <v>-6.57142857142857</v>
      </c>
      <c r="W2046" s="154"/>
      <c r="X2046" s="154"/>
    </row>
    <row r="2047" customFormat="1" ht="14.45" customHeight="1" spans="1:22">
      <c r="A2047" s="103">
        <v>45105</v>
      </c>
      <c r="B2047" s="104" t="s">
        <v>25</v>
      </c>
      <c r="C2047" s="218">
        <v>3511</v>
      </c>
      <c r="D2047" s="218">
        <v>809</v>
      </c>
      <c r="E2047" s="217">
        <v>42</v>
      </c>
      <c r="F2047" s="106">
        <v>0.0119624038735403</v>
      </c>
      <c r="G2047" s="107">
        <v>20</v>
      </c>
      <c r="H2047" s="106">
        <v>0.476190476190476</v>
      </c>
      <c r="I2047" s="104">
        <v>16</v>
      </c>
      <c r="J2047" s="106">
        <v>0.380952380952381</v>
      </c>
      <c r="K2047" s="213">
        <v>1461</v>
      </c>
      <c r="L2047" s="213">
        <v>1302.33333333333</v>
      </c>
      <c r="M2047" s="213">
        <v>1007</v>
      </c>
      <c r="N2047" s="213">
        <v>888</v>
      </c>
      <c r="O2047" s="220">
        <v>22</v>
      </c>
      <c r="P2047" s="115">
        <v>4.66666666666666</v>
      </c>
      <c r="Q2047" s="115">
        <v>-3.2</v>
      </c>
      <c r="R2047" s="115">
        <v>-5.57142857142857</v>
      </c>
      <c r="S2047" s="108">
        <v>16</v>
      </c>
      <c r="T2047" s="108">
        <v>6.33333333333333</v>
      </c>
      <c r="U2047" s="108">
        <v>4</v>
      </c>
      <c r="V2047" s="108">
        <v>3.14285714285714</v>
      </c>
    </row>
    <row r="2048" customFormat="1" ht="14.45" customHeight="1" spans="1:22">
      <c r="A2048" s="103">
        <v>45105</v>
      </c>
      <c r="B2048" s="104" t="s">
        <v>26</v>
      </c>
      <c r="C2048" s="218">
        <v>1</v>
      </c>
      <c r="D2048" s="218">
        <v>1101</v>
      </c>
      <c r="E2048" s="217">
        <v>5</v>
      </c>
      <c r="F2048" s="106">
        <v>5</v>
      </c>
      <c r="G2048" s="107">
        <v>2</v>
      </c>
      <c r="H2048" s="106">
        <v>0.4</v>
      </c>
      <c r="I2048" s="104">
        <v>1</v>
      </c>
      <c r="J2048" s="106">
        <v>0.2</v>
      </c>
      <c r="K2048" s="213">
        <v>0</v>
      </c>
      <c r="L2048" s="213">
        <v>-0.666666666666667</v>
      </c>
      <c r="M2048" s="213">
        <v>-0.8</v>
      </c>
      <c r="N2048" s="213">
        <v>-0.428571428571429</v>
      </c>
      <c r="O2048" s="213">
        <v>3</v>
      </c>
      <c r="P2048" s="108">
        <v>0.333333333333333</v>
      </c>
      <c r="Q2048" s="108">
        <v>1.2</v>
      </c>
      <c r="R2048" s="108">
        <v>2.28571428571429</v>
      </c>
      <c r="S2048" s="108">
        <v>0</v>
      </c>
      <c r="T2048" s="108">
        <v>-1</v>
      </c>
      <c r="U2048" s="108">
        <v>-1</v>
      </c>
      <c r="V2048" s="108">
        <v>-0.571428571428572</v>
      </c>
    </row>
    <row r="2049" customFormat="1" ht="14.45" customHeight="1" spans="1:22">
      <c r="A2049" s="103">
        <v>45105</v>
      </c>
      <c r="B2049" s="104" t="s">
        <v>27</v>
      </c>
      <c r="C2049" s="218">
        <v>1254</v>
      </c>
      <c r="D2049" s="218">
        <v>319</v>
      </c>
      <c r="E2049" s="217">
        <v>9</v>
      </c>
      <c r="F2049" s="106">
        <v>0.00717703349282297</v>
      </c>
      <c r="G2049" s="107">
        <v>1</v>
      </c>
      <c r="H2049" s="106">
        <v>0.111111111111111</v>
      </c>
      <c r="I2049" s="104">
        <v>1</v>
      </c>
      <c r="J2049" s="106">
        <v>0.111111111111111</v>
      </c>
      <c r="K2049" s="213">
        <v>-322</v>
      </c>
      <c r="L2049" s="213">
        <v>-498.333333333333</v>
      </c>
      <c r="M2049" s="213">
        <v>-637.4</v>
      </c>
      <c r="N2049" s="213">
        <v>-640.285714285714</v>
      </c>
      <c r="O2049" s="213">
        <v>-9</v>
      </c>
      <c r="P2049" s="108">
        <v>-13</v>
      </c>
      <c r="Q2049" s="108">
        <v>-16</v>
      </c>
      <c r="R2049" s="108">
        <v>-18.7142857142857</v>
      </c>
      <c r="S2049" s="108">
        <v>-1</v>
      </c>
      <c r="T2049" s="108">
        <v>-3.33333333333333</v>
      </c>
      <c r="U2049" s="108">
        <v>-3.4</v>
      </c>
      <c r="V2049" s="108">
        <v>-4.57142857142857</v>
      </c>
    </row>
    <row r="2050" customFormat="1" ht="14.45" hidden="1" customHeight="1" spans="1:22">
      <c r="A2050" s="103">
        <v>45105</v>
      </c>
      <c r="B2050" s="104" t="s">
        <v>28</v>
      </c>
      <c r="C2050" s="145">
        <v>0</v>
      </c>
      <c r="D2050" s="145"/>
      <c r="E2050" s="104">
        <v>0</v>
      </c>
      <c r="F2050" s="106">
        <v>0</v>
      </c>
      <c r="G2050" s="107">
        <v>0</v>
      </c>
      <c r="H2050" s="106">
        <v>0</v>
      </c>
      <c r="I2050" s="104">
        <v>0</v>
      </c>
      <c r="J2050" s="106">
        <v>0</v>
      </c>
      <c r="K2050" s="213">
        <v>0</v>
      </c>
      <c r="L2050" s="213">
        <v>0</v>
      </c>
      <c r="M2050" s="213">
        <v>0</v>
      </c>
      <c r="N2050" s="213">
        <v>0</v>
      </c>
      <c r="O2050" s="213">
        <v>0</v>
      </c>
      <c r="P2050" s="108">
        <v>0</v>
      </c>
      <c r="Q2050" s="108">
        <v>0</v>
      </c>
      <c r="R2050" s="108">
        <v>0</v>
      </c>
      <c r="S2050" s="108">
        <v>0</v>
      </c>
      <c r="T2050" s="108">
        <v>0</v>
      </c>
      <c r="U2050" s="108">
        <v>0</v>
      </c>
      <c r="V2050" s="108">
        <v>0</v>
      </c>
    </row>
    <row r="2051" customFormat="1" ht="14.45" hidden="1" customHeight="1" spans="1:22">
      <c r="A2051" s="103">
        <v>45105</v>
      </c>
      <c r="B2051" s="104" t="s">
        <v>29</v>
      </c>
      <c r="C2051" s="145">
        <v>0</v>
      </c>
      <c r="D2051" s="145"/>
      <c r="E2051" s="104">
        <v>0</v>
      </c>
      <c r="F2051" s="106">
        <v>0</v>
      </c>
      <c r="G2051" s="107">
        <v>0</v>
      </c>
      <c r="H2051" s="106">
        <v>0</v>
      </c>
      <c r="I2051" s="104">
        <v>0</v>
      </c>
      <c r="J2051" s="106">
        <v>0</v>
      </c>
      <c r="K2051" s="213">
        <v>0</v>
      </c>
      <c r="L2051" s="213">
        <v>0</v>
      </c>
      <c r="M2051" s="213">
        <v>0</v>
      </c>
      <c r="N2051" s="213">
        <v>0</v>
      </c>
      <c r="O2051" s="213">
        <v>0</v>
      </c>
      <c r="P2051" s="108">
        <v>0</v>
      </c>
      <c r="Q2051" s="108">
        <v>0</v>
      </c>
      <c r="R2051" s="108">
        <v>0</v>
      </c>
      <c r="S2051" s="108">
        <v>0</v>
      </c>
      <c r="T2051" s="108">
        <v>0</v>
      </c>
      <c r="U2051" s="108">
        <v>0</v>
      </c>
      <c r="V2051" s="108">
        <v>0</v>
      </c>
    </row>
    <row r="2052" customFormat="1" ht="14.45" hidden="1" customHeight="1" spans="1:22">
      <c r="A2052" s="103">
        <v>45105</v>
      </c>
      <c r="B2052" s="104" t="s">
        <v>30</v>
      </c>
      <c r="C2052" s="145">
        <v>0</v>
      </c>
      <c r="D2052" s="145"/>
      <c r="E2052" s="104">
        <v>0</v>
      </c>
      <c r="F2052" s="106">
        <v>0</v>
      </c>
      <c r="G2052" s="107">
        <v>0</v>
      </c>
      <c r="H2052" s="106">
        <v>0</v>
      </c>
      <c r="I2052" s="104">
        <v>0</v>
      </c>
      <c r="J2052" s="106">
        <v>0</v>
      </c>
      <c r="K2052" s="213">
        <v>0</v>
      </c>
      <c r="L2052" s="213">
        <v>0</v>
      </c>
      <c r="M2052" s="213">
        <v>0</v>
      </c>
      <c r="N2052" s="213">
        <v>0</v>
      </c>
      <c r="O2052" s="213">
        <v>0</v>
      </c>
      <c r="P2052" s="108">
        <v>0</v>
      </c>
      <c r="Q2052" s="108">
        <v>0</v>
      </c>
      <c r="R2052" s="108">
        <v>0</v>
      </c>
      <c r="S2052" s="108">
        <v>0</v>
      </c>
      <c r="T2052" s="108">
        <v>0</v>
      </c>
      <c r="U2052" s="108">
        <v>0</v>
      </c>
      <c r="V2052" s="108">
        <v>0</v>
      </c>
    </row>
    <row r="2053" customFormat="1" ht="14.45" hidden="1" customHeight="1" spans="1:22">
      <c r="A2053" s="103">
        <v>45105</v>
      </c>
      <c r="B2053" s="104" t="s">
        <v>31</v>
      </c>
      <c r="C2053" s="145">
        <v>0</v>
      </c>
      <c r="D2053" s="145"/>
      <c r="E2053" s="104">
        <v>0</v>
      </c>
      <c r="F2053" s="106">
        <v>0</v>
      </c>
      <c r="G2053" s="107">
        <v>0</v>
      </c>
      <c r="H2053" s="106">
        <v>0</v>
      </c>
      <c r="I2053" s="104">
        <v>0</v>
      </c>
      <c r="J2053" s="106">
        <v>0</v>
      </c>
      <c r="K2053" s="213">
        <v>0</v>
      </c>
      <c r="L2053" s="213">
        <v>0</v>
      </c>
      <c r="M2053" s="213">
        <v>0</v>
      </c>
      <c r="N2053" s="213">
        <v>0</v>
      </c>
      <c r="O2053" s="213">
        <v>0</v>
      </c>
      <c r="P2053" s="108">
        <v>0</v>
      </c>
      <c r="Q2053" s="108">
        <v>0</v>
      </c>
      <c r="R2053" s="108">
        <v>0</v>
      </c>
      <c r="S2053" s="108">
        <v>0</v>
      </c>
      <c r="T2053" s="108">
        <v>0</v>
      </c>
      <c r="U2053" s="108">
        <v>0</v>
      </c>
      <c r="V2053" s="108">
        <v>0</v>
      </c>
    </row>
    <row r="2054" customFormat="1" ht="14.45" hidden="1" customHeight="1" spans="1:22">
      <c r="A2054" s="103">
        <v>45105</v>
      </c>
      <c r="B2054" s="104" t="s">
        <v>32</v>
      </c>
      <c r="C2054" s="145">
        <v>0</v>
      </c>
      <c r="D2054" s="145"/>
      <c r="E2054" s="104">
        <v>0</v>
      </c>
      <c r="F2054" s="106">
        <v>0</v>
      </c>
      <c r="G2054" s="107">
        <v>0</v>
      </c>
      <c r="H2054" s="106">
        <v>0</v>
      </c>
      <c r="I2054" s="104">
        <v>0</v>
      </c>
      <c r="J2054" s="106">
        <v>0</v>
      </c>
      <c r="K2054" s="213">
        <v>0</v>
      </c>
      <c r="L2054" s="213">
        <v>0</v>
      </c>
      <c r="M2054" s="213">
        <v>0</v>
      </c>
      <c r="N2054" s="213">
        <v>0</v>
      </c>
      <c r="O2054" s="213">
        <v>0</v>
      </c>
      <c r="P2054" s="108">
        <v>0</v>
      </c>
      <c r="Q2054" s="108">
        <v>0</v>
      </c>
      <c r="R2054" s="108">
        <v>0</v>
      </c>
      <c r="S2054" s="108">
        <v>0</v>
      </c>
      <c r="T2054" s="108">
        <v>0</v>
      </c>
      <c r="U2054" s="108">
        <v>0</v>
      </c>
      <c r="V2054" s="108">
        <v>0</v>
      </c>
    </row>
    <row r="2055" customFormat="1" hidden="1" spans="1:22">
      <c r="A2055" s="103">
        <v>45105</v>
      </c>
      <c r="B2055" s="104" t="s">
        <v>33</v>
      </c>
      <c r="C2055" s="145">
        <v>0</v>
      </c>
      <c r="D2055" s="145"/>
      <c r="E2055" s="104">
        <v>0</v>
      </c>
      <c r="F2055" s="106">
        <v>0</v>
      </c>
      <c r="G2055" s="107">
        <v>0</v>
      </c>
      <c r="H2055" s="106">
        <v>0</v>
      </c>
      <c r="I2055" s="104">
        <v>0</v>
      </c>
      <c r="J2055" s="106">
        <v>0</v>
      </c>
      <c r="K2055" s="213">
        <v>0</v>
      </c>
      <c r="L2055" s="213">
        <v>0</v>
      </c>
      <c r="M2055" s="213">
        <v>0</v>
      </c>
      <c r="N2055" s="213">
        <v>0</v>
      </c>
      <c r="O2055" s="213">
        <v>0</v>
      </c>
      <c r="P2055" s="108">
        <v>0</v>
      </c>
      <c r="Q2055" s="108">
        <v>0</v>
      </c>
      <c r="R2055" s="108">
        <v>0</v>
      </c>
      <c r="S2055" s="108">
        <v>0</v>
      </c>
      <c r="T2055" s="108">
        <v>0</v>
      </c>
      <c r="U2055" s="108">
        <v>0</v>
      </c>
      <c r="V2055" s="108">
        <v>0</v>
      </c>
    </row>
    <row r="2056" customFormat="1" hidden="1" spans="1:22">
      <c r="A2056" s="103">
        <v>45105</v>
      </c>
      <c r="B2056" s="104" t="s">
        <v>34</v>
      </c>
      <c r="C2056" s="145">
        <v>0</v>
      </c>
      <c r="D2056" s="145"/>
      <c r="E2056" s="104">
        <v>0</v>
      </c>
      <c r="F2056" s="106">
        <v>0</v>
      </c>
      <c r="G2056" s="107">
        <v>0</v>
      </c>
      <c r="H2056" s="106">
        <v>0</v>
      </c>
      <c r="I2056" s="104">
        <v>0</v>
      </c>
      <c r="J2056" s="106">
        <v>0</v>
      </c>
      <c r="K2056" s="213">
        <v>0</v>
      </c>
      <c r="L2056" s="213">
        <v>0</v>
      </c>
      <c r="M2056" s="213">
        <v>0</v>
      </c>
      <c r="N2056" s="213">
        <v>0</v>
      </c>
      <c r="O2056" s="213">
        <v>0</v>
      </c>
      <c r="P2056" s="108">
        <v>0</v>
      </c>
      <c r="Q2056" s="108">
        <v>0</v>
      </c>
      <c r="R2056" s="108">
        <v>0</v>
      </c>
      <c r="S2056" s="108">
        <v>0</v>
      </c>
      <c r="T2056" s="108">
        <v>0</v>
      </c>
      <c r="U2056" s="108">
        <v>0</v>
      </c>
      <c r="V2056" s="108">
        <v>0</v>
      </c>
    </row>
    <row r="2057" customFormat="1" hidden="1" spans="1:22">
      <c r="A2057" s="103">
        <v>45105</v>
      </c>
      <c r="B2057" s="104" t="s">
        <v>35</v>
      </c>
      <c r="C2057" s="145">
        <v>0</v>
      </c>
      <c r="D2057" s="145"/>
      <c r="E2057" s="104">
        <v>0</v>
      </c>
      <c r="F2057" s="106">
        <v>0</v>
      </c>
      <c r="G2057" s="107">
        <v>0</v>
      </c>
      <c r="H2057" s="106">
        <v>0</v>
      </c>
      <c r="I2057" s="104">
        <v>0</v>
      </c>
      <c r="J2057" s="106">
        <v>0</v>
      </c>
      <c r="K2057" s="213">
        <v>0</v>
      </c>
      <c r="L2057" s="213">
        <v>0</v>
      </c>
      <c r="M2057" s="213">
        <v>0</v>
      </c>
      <c r="N2057" s="213">
        <v>0</v>
      </c>
      <c r="O2057" s="213">
        <v>0</v>
      </c>
      <c r="P2057" s="108">
        <v>0</v>
      </c>
      <c r="Q2057" s="108">
        <v>0</v>
      </c>
      <c r="R2057" s="108">
        <v>0</v>
      </c>
      <c r="S2057" s="108">
        <v>0</v>
      </c>
      <c r="T2057" s="108">
        <v>0</v>
      </c>
      <c r="U2057" s="108">
        <v>0</v>
      </c>
      <c r="V2057" s="108">
        <v>0</v>
      </c>
    </row>
    <row r="2058" customFormat="1" hidden="1" spans="1:22">
      <c r="A2058" s="103">
        <v>45105</v>
      </c>
      <c r="B2058" s="104" t="s">
        <v>36</v>
      </c>
      <c r="C2058" s="145">
        <v>0</v>
      </c>
      <c r="D2058" s="145"/>
      <c r="E2058" s="104">
        <v>0</v>
      </c>
      <c r="F2058" s="106">
        <v>0</v>
      </c>
      <c r="G2058" s="107">
        <v>0</v>
      </c>
      <c r="H2058" s="106">
        <v>0</v>
      </c>
      <c r="I2058" s="104">
        <v>0</v>
      </c>
      <c r="J2058" s="106">
        <v>0</v>
      </c>
      <c r="K2058" s="213">
        <v>0</v>
      </c>
      <c r="L2058" s="213">
        <v>0</v>
      </c>
      <c r="M2058" s="213">
        <v>0</v>
      </c>
      <c r="N2058" s="213">
        <v>0</v>
      </c>
      <c r="O2058" s="213">
        <v>0</v>
      </c>
      <c r="P2058" s="108">
        <v>0</v>
      </c>
      <c r="Q2058" s="108">
        <v>0</v>
      </c>
      <c r="R2058" s="108">
        <v>0</v>
      </c>
      <c r="S2058" s="108">
        <v>0</v>
      </c>
      <c r="T2058" s="108">
        <v>0</v>
      </c>
      <c r="U2058" s="108">
        <v>0</v>
      </c>
      <c r="V2058" s="108">
        <v>0</v>
      </c>
    </row>
    <row r="2059" customFormat="1" hidden="1" spans="1:22">
      <c r="A2059" s="103">
        <v>45105</v>
      </c>
      <c r="B2059" s="104" t="s">
        <v>37</v>
      </c>
      <c r="C2059" s="145">
        <v>0</v>
      </c>
      <c r="D2059" s="145"/>
      <c r="E2059" s="104">
        <v>0</v>
      </c>
      <c r="F2059" s="106">
        <v>0</v>
      </c>
      <c r="G2059" s="107">
        <v>0</v>
      </c>
      <c r="H2059" s="106">
        <v>0</v>
      </c>
      <c r="I2059" s="104">
        <v>0</v>
      </c>
      <c r="J2059" s="106">
        <v>0</v>
      </c>
      <c r="K2059" s="213">
        <v>0</v>
      </c>
      <c r="L2059" s="213">
        <v>0</v>
      </c>
      <c r="M2059" s="213">
        <v>0</v>
      </c>
      <c r="N2059" s="213">
        <v>0</v>
      </c>
      <c r="O2059" s="213">
        <v>0</v>
      </c>
      <c r="P2059" s="108">
        <v>0</v>
      </c>
      <c r="Q2059" s="108">
        <v>0</v>
      </c>
      <c r="R2059" s="108">
        <v>0</v>
      </c>
      <c r="S2059" s="108">
        <v>0</v>
      </c>
      <c r="T2059" s="108">
        <v>0</v>
      </c>
      <c r="U2059" s="108">
        <v>0</v>
      </c>
      <c r="V2059" s="108">
        <v>0</v>
      </c>
    </row>
    <row r="2060" customFormat="1" hidden="1" spans="1:22">
      <c r="A2060" s="103">
        <v>45105</v>
      </c>
      <c r="B2060" s="104" t="s">
        <v>38</v>
      </c>
      <c r="C2060" s="145">
        <v>0</v>
      </c>
      <c r="D2060" s="145"/>
      <c r="E2060" s="104">
        <v>0</v>
      </c>
      <c r="F2060" s="106">
        <v>0</v>
      </c>
      <c r="G2060" s="107">
        <v>0</v>
      </c>
      <c r="H2060" s="106">
        <v>0</v>
      </c>
      <c r="I2060" s="104">
        <v>0</v>
      </c>
      <c r="J2060" s="106">
        <v>0</v>
      </c>
      <c r="K2060" s="213">
        <v>0</v>
      </c>
      <c r="L2060" s="213">
        <v>0</v>
      </c>
      <c r="M2060" s="213">
        <v>0</v>
      </c>
      <c r="N2060" s="213">
        <v>0</v>
      </c>
      <c r="O2060" s="213">
        <v>0</v>
      </c>
      <c r="P2060" s="108">
        <v>0</v>
      </c>
      <c r="Q2060" s="108">
        <v>0</v>
      </c>
      <c r="R2060" s="108">
        <v>0</v>
      </c>
      <c r="S2060" s="108">
        <v>0</v>
      </c>
      <c r="T2060" s="108">
        <v>0</v>
      </c>
      <c r="U2060" s="108">
        <v>0</v>
      </c>
      <c r="V2060" s="108">
        <v>0</v>
      </c>
    </row>
    <row r="2061" customFormat="1" spans="1:22">
      <c r="A2061" s="103">
        <v>45105</v>
      </c>
      <c r="B2061" s="111" t="s">
        <v>39</v>
      </c>
      <c r="C2061" s="112">
        <v>9967</v>
      </c>
      <c r="D2061" s="112">
        <v>5638</v>
      </c>
      <c r="E2061" s="112">
        <v>175</v>
      </c>
      <c r="F2061" s="106">
        <v>0.0175579412059797</v>
      </c>
      <c r="G2061" s="112">
        <v>61</v>
      </c>
      <c r="H2061" s="113">
        <v>0.348571428571429</v>
      </c>
      <c r="I2061" s="112">
        <v>44</v>
      </c>
      <c r="J2061" s="106">
        <v>0.251428571428571</v>
      </c>
      <c r="K2061" s="213"/>
      <c r="L2061" s="213"/>
      <c r="M2061" s="213"/>
      <c r="N2061" s="213"/>
      <c r="O2061" s="213"/>
      <c r="P2061" s="108"/>
      <c r="Q2061" s="108"/>
      <c r="R2061" s="108"/>
      <c r="S2061" s="108"/>
      <c r="T2061" s="108"/>
      <c r="U2061" s="108"/>
      <c r="V2061" s="108"/>
    </row>
    <row r="2062" spans="1:22">
      <c r="A2062" s="103">
        <v>45106</v>
      </c>
      <c r="B2062" s="104" t="s">
        <v>17</v>
      </c>
      <c r="C2062" s="216">
        <v>3</v>
      </c>
      <c r="D2062" s="216">
        <v>559</v>
      </c>
      <c r="E2062" s="217">
        <v>35</v>
      </c>
      <c r="F2062" s="106">
        <v>11.6666666666667</v>
      </c>
      <c r="G2062" s="107">
        <v>11</v>
      </c>
      <c r="H2062" s="106">
        <v>0.314285714285714</v>
      </c>
      <c r="I2062" s="104">
        <v>8</v>
      </c>
      <c r="J2062" s="106">
        <v>0.228571428571429</v>
      </c>
      <c r="K2062" s="213">
        <v>1</v>
      </c>
      <c r="L2062" s="213">
        <v>1</v>
      </c>
      <c r="M2062" s="213">
        <v>1.2</v>
      </c>
      <c r="N2062" s="213">
        <v>1.14285714285714</v>
      </c>
      <c r="O2062" s="213">
        <v>-10</v>
      </c>
      <c r="P2062" s="221">
        <v>-18.3333333333333</v>
      </c>
      <c r="Q2062" s="221">
        <v>-23.2</v>
      </c>
      <c r="R2062" s="221">
        <v>-21.7142857142857</v>
      </c>
      <c r="S2062" s="221">
        <v>-1</v>
      </c>
      <c r="T2062" s="221">
        <v>-3.33333333333333</v>
      </c>
      <c r="U2062" s="221">
        <v>-2.8</v>
      </c>
      <c r="V2062" s="221">
        <v>-2.42857142857143</v>
      </c>
    </row>
    <row r="2063" spans="1:22">
      <c r="A2063" s="103">
        <v>45106</v>
      </c>
      <c r="B2063" s="104" t="s">
        <v>19</v>
      </c>
      <c r="C2063" s="216">
        <v>734</v>
      </c>
      <c r="D2063" s="216">
        <v>408</v>
      </c>
      <c r="E2063" s="217">
        <v>16</v>
      </c>
      <c r="F2063" s="106">
        <v>0.0217983651226158</v>
      </c>
      <c r="G2063" s="107">
        <v>9</v>
      </c>
      <c r="H2063" s="106">
        <v>0.5625</v>
      </c>
      <c r="I2063" s="104">
        <v>5</v>
      </c>
      <c r="J2063" s="106">
        <v>0.3125</v>
      </c>
      <c r="K2063" s="213">
        <v>51</v>
      </c>
      <c r="L2063" s="213">
        <v>98.6666666666666</v>
      </c>
      <c r="M2063" s="213">
        <v>52.8</v>
      </c>
      <c r="N2063" s="213">
        <v>69.7142857142857</v>
      </c>
      <c r="O2063" s="213">
        <v>-3</v>
      </c>
      <c r="P2063" s="221">
        <v>0</v>
      </c>
      <c r="Q2063" s="221">
        <v>0.4</v>
      </c>
      <c r="R2063" s="221">
        <v>0.571428571428571</v>
      </c>
      <c r="S2063" s="221">
        <v>2</v>
      </c>
      <c r="T2063" s="221">
        <v>2.66666666666667</v>
      </c>
      <c r="U2063" s="221">
        <v>2.8</v>
      </c>
      <c r="V2063" s="222">
        <v>3.14285714285714</v>
      </c>
    </row>
    <row r="2064" spans="1:22">
      <c r="A2064" s="103">
        <v>45106</v>
      </c>
      <c r="B2064" s="104" t="s">
        <v>21</v>
      </c>
      <c r="C2064" s="218">
        <v>199</v>
      </c>
      <c r="D2064" s="218">
        <v>277</v>
      </c>
      <c r="E2064" s="217">
        <v>3</v>
      </c>
      <c r="F2064" s="106">
        <v>0.0150753768844221</v>
      </c>
      <c r="G2064" s="107">
        <v>2</v>
      </c>
      <c r="H2064" s="106">
        <v>0.666666666666667</v>
      </c>
      <c r="I2064" s="104">
        <v>1</v>
      </c>
      <c r="J2064" s="106">
        <v>0.333333333333333</v>
      </c>
      <c r="K2064" s="213">
        <v>10</v>
      </c>
      <c r="L2064" s="213">
        <v>-18</v>
      </c>
      <c r="M2064" s="213">
        <v>-50</v>
      </c>
      <c r="N2064" s="213">
        <v>-64.1428571428572</v>
      </c>
      <c r="O2064" s="213">
        <v>0</v>
      </c>
      <c r="P2064" s="221">
        <v>1</v>
      </c>
      <c r="Q2064" s="221">
        <v>-0.2</v>
      </c>
      <c r="R2064" s="221">
        <v>-0.142857142857143</v>
      </c>
      <c r="S2064" s="221">
        <v>2</v>
      </c>
      <c r="T2064" s="221">
        <v>1.66666666666667</v>
      </c>
      <c r="U2064" s="221">
        <v>1</v>
      </c>
      <c r="V2064" s="221">
        <v>0.714285714285714</v>
      </c>
    </row>
    <row r="2065" spans="1:22">
      <c r="A2065" s="103">
        <v>45106</v>
      </c>
      <c r="B2065" s="104" t="s">
        <v>22</v>
      </c>
      <c r="C2065" s="218">
        <v>1900</v>
      </c>
      <c r="D2065" s="218">
        <v>945</v>
      </c>
      <c r="E2065" s="217">
        <v>45</v>
      </c>
      <c r="F2065" s="106">
        <v>0.0236842105263158</v>
      </c>
      <c r="G2065" s="107">
        <v>19</v>
      </c>
      <c r="H2065" s="106">
        <v>0.422222222222222</v>
      </c>
      <c r="I2065" s="104">
        <v>11</v>
      </c>
      <c r="J2065" s="106">
        <v>0.244444444444444</v>
      </c>
      <c r="K2065" s="213">
        <v>41</v>
      </c>
      <c r="L2065" s="213">
        <v>21</v>
      </c>
      <c r="M2065" s="213">
        <v>15</v>
      </c>
      <c r="N2065" s="213">
        <v>-79.5714285714287</v>
      </c>
      <c r="O2065" s="213">
        <v>9</v>
      </c>
      <c r="P2065" s="221">
        <v>9.33333333333334</v>
      </c>
      <c r="Q2065" s="221">
        <v>9.2</v>
      </c>
      <c r="R2065" s="222">
        <v>8.57142857142857</v>
      </c>
      <c r="S2065" s="221">
        <v>8</v>
      </c>
      <c r="T2065" s="221">
        <v>6</v>
      </c>
      <c r="U2065" s="221">
        <v>3.8</v>
      </c>
      <c r="V2065" s="223">
        <v>4.42857142857143</v>
      </c>
    </row>
    <row r="2066" spans="1:22">
      <c r="A2066" s="103">
        <v>45106</v>
      </c>
      <c r="B2066" s="104" t="s">
        <v>23</v>
      </c>
      <c r="C2066" s="218">
        <v>2076</v>
      </c>
      <c r="D2066" s="218">
        <v>142</v>
      </c>
      <c r="E2066" s="217">
        <v>7</v>
      </c>
      <c r="F2066" s="106">
        <v>0.00337186897880539</v>
      </c>
      <c r="G2066" s="107">
        <v>4</v>
      </c>
      <c r="H2066" s="106">
        <v>0.571428571428571</v>
      </c>
      <c r="I2066" s="104">
        <v>2</v>
      </c>
      <c r="J2066" s="106">
        <v>0.285714285714286</v>
      </c>
      <c r="K2066" s="213">
        <v>153</v>
      </c>
      <c r="L2066" s="213">
        <v>54.3333333333333</v>
      </c>
      <c r="M2066" s="213">
        <v>17.4000000000001</v>
      </c>
      <c r="N2066" s="213">
        <v>44.8571428571429</v>
      </c>
      <c r="O2066" s="213">
        <v>2</v>
      </c>
      <c r="P2066" s="221">
        <v>0</v>
      </c>
      <c r="Q2066" s="221">
        <v>1.2</v>
      </c>
      <c r="R2066" s="221">
        <v>1.42857142857143</v>
      </c>
      <c r="S2066" s="221">
        <v>1</v>
      </c>
      <c r="T2066" s="224">
        <v>1.66666666666667</v>
      </c>
      <c r="U2066" s="221">
        <v>1.6</v>
      </c>
      <c r="V2066" s="221">
        <v>1.14285714285714</v>
      </c>
    </row>
    <row r="2067" spans="1:22">
      <c r="A2067" s="103">
        <v>45106</v>
      </c>
      <c r="B2067" s="104" t="s">
        <v>24</v>
      </c>
      <c r="C2067" s="218">
        <v>343</v>
      </c>
      <c r="D2067" s="218">
        <v>373</v>
      </c>
      <c r="E2067" s="217">
        <v>6</v>
      </c>
      <c r="F2067" s="106">
        <v>0.0174927113702624</v>
      </c>
      <c r="G2067" s="107">
        <v>8</v>
      </c>
      <c r="H2067" s="106">
        <v>1.33333333333333</v>
      </c>
      <c r="I2067" s="104">
        <v>4</v>
      </c>
      <c r="J2067" s="106">
        <v>0.666666666666667</v>
      </c>
      <c r="K2067" s="213">
        <v>-202</v>
      </c>
      <c r="L2067" s="213">
        <v>-278.666666666667</v>
      </c>
      <c r="M2067" s="213">
        <v>-578</v>
      </c>
      <c r="N2067" s="213">
        <v>-883.142857142857</v>
      </c>
      <c r="O2067" s="219">
        <v>-5</v>
      </c>
      <c r="P2067" s="222">
        <v>-5.33333333333333</v>
      </c>
      <c r="Q2067" s="222">
        <v>-16.6</v>
      </c>
      <c r="R2067" s="222">
        <v>-27.5714285714286</v>
      </c>
      <c r="S2067" s="222">
        <v>3</v>
      </c>
      <c r="T2067" s="222">
        <v>2.66666666666667</v>
      </c>
      <c r="U2067" s="222">
        <v>-1</v>
      </c>
      <c r="V2067" s="222">
        <v>-2.28571428571429</v>
      </c>
    </row>
    <row r="2068" spans="1:22">
      <c r="A2068" s="103">
        <v>45106</v>
      </c>
      <c r="B2068" s="104" t="s">
        <v>25</v>
      </c>
      <c r="C2068" s="218">
        <v>4572</v>
      </c>
      <c r="D2068" s="218">
        <v>876</v>
      </c>
      <c r="E2068" s="217">
        <v>40</v>
      </c>
      <c r="F2068" s="106">
        <v>0.00874890638670166</v>
      </c>
      <c r="G2068" s="107">
        <v>15</v>
      </c>
      <c r="H2068" s="106">
        <v>0.375</v>
      </c>
      <c r="I2068" s="104">
        <v>10</v>
      </c>
      <c r="J2068" s="106">
        <v>0.25</v>
      </c>
      <c r="K2068" s="213">
        <v>1061</v>
      </c>
      <c r="L2068" s="213">
        <v>2032</v>
      </c>
      <c r="M2068" s="213">
        <v>1981</v>
      </c>
      <c r="N2068" s="213">
        <v>1849.28571428571</v>
      </c>
      <c r="O2068" s="220">
        <v>-2</v>
      </c>
      <c r="P2068" s="222">
        <v>8</v>
      </c>
      <c r="Q2068" s="222">
        <v>-2.8</v>
      </c>
      <c r="R2068" s="222">
        <v>-5.42857142857143</v>
      </c>
      <c r="S2068" s="221">
        <v>-5</v>
      </c>
      <c r="T2068" s="221">
        <v>2.33333333333333</v>
      </c>
      <c r="U2068" s="221">
        <v>-1.6</v>
      </c>
      <c r="V2068" s="221">
        <v>-1.57142857142857</v>
      </c>
    </row>
    <row r="2069" spans="1:22">
      <c r="A2069" s="103">
        <v>45106</v>
      </c>
      <c r="B2069" s="104" t="s">
        <v>26</v>
      </c>
      <c r="C2069" s="218">
        <v>2</v>
      </c>
      <c r="D2069" s="218">
        <v>1223</v>
      </c>
      <c r="E2069" s="217">
        <v>8</v>
      </c>
      <c r="F2069" s="106">
        <v>4</v>
      </c>
      <c r="G2069" s="107">
        <v>2</v>
      </c>
      <c r="H2069" s="106">
        <v>0.25</v>
      </c>
      <c r="I2069" s="104">
        <v>2</v>
      </c>
      <c r="J2069" s="106">
        <v>0.25</v>
      </c>
      <c r="K2069" s="213">
        <v>1</v>
      </c>
      <c r="L2069" s="213">
        <v>0.666666666666667</v>
      </c>
      <c r="M2069" s="213">
        <v>0.2</v>
      </c>
      <c r="N2069" s="213">
        <v>0.428571428571429</v>
      </c>
      <c r="O2069" s="213">
        <v>3</v>
      </c>
      <c r="P2069" s="221">
        <v>2.66666666666667</v>
      </c>
      <c r="Q2069" s="221">
        <v>3.6</v>
      </c>
      <c r="R2069" s="221">
        <v>4.57142857142857</v>
      </c>
      <c r="S2069" s="221">
        <v>0</v>
      </c>
      <c r="T2069" s="221">
        <v>-0.333333333333333</v>
      </c>
      <c r="U2069" s="221">
        <v>-0.8</v>
      </c>
      <c r="V2069" s="221">
        <v>-0.857142857142857</v>
      </c>
    </row>
    <row r="2070" spans="1:22">
      <c r="A2070" s="103">
        <v>45106</v>
      </c>
      <c r="B2070" s="104" t="s">
        <v>27</v>
      </c>
      <c r="C2070" s="218">
        <v>1270</v>
      </c>
      <c r="D2070" s="218">
        <v>274</v>
      </c>
      <c r="E2070" s="217">
        <v>12</v>
      </c>
      <c r="F2070" s="106">
        <v>0.0094488188976378</v>
      </c>
      <c r="G2070" s="107">
        <v>3</v>
      </c>
      <c r="H2070" s="106">
        <v>0.25</v>
      </c>
      <c r="I2070" s="104">
        <v>2</v>
      </c>
      <c r="J2070" s="106">
        <v>0.166666666666667</v>
      </c>
      <c r="K2070" s="213">
        <v>16</v>
      </c>
      <c r="L2070" s="213">
        <v>-247.333333333333</v>
      </c>
      <c r="M2070" s="213">
        <v>-479.8</v>
      </c>
      <c r="N2070" s="213">
        <v>-523.857142857143</v>
      </c>
      <c r="O2070" s="213">
        <v>3</v>
      </c>
      <c r="P2070" s="221">
        <v>-4</v>
      </c>
      <c r="Q2070" s="221">
        <v>-9.4</v>
      </c>
      <c r="R2070" s="221">
        <v>-11.4285714285714</v>
      </c>
      <c r="S2070" s="221">
        <v>2</v>
      </c>
      <c r="T2070" s="221">
        <v>0</v>
      </c>
      <c r="U2070" s="221">
        <v>-0.2</v>
      </c>
      <c r="V2070" s="221">
        <v>-1</v>
      </c>
    </row>
    <row r="2071" hidden="1" spans="1:22">
      <c r="A2071" s="103">
        <v>45106</v>
      </c>
      <c r="B2071" s="104" t="s">
        <v>28</v>
      </c>
      <c r="C2071" s="145">
        <v>0</v>
      </c>
      <c r="D2071" s="145"/>
      <c r="E2071" s="104">
        <v>0</v>
      </c>
      <c r="F2071" s="106">
        <v>0</v>
      </c>
      <c r="G2071" s="107">
        <v>0</v>
      </c>
      <c r="H2071" s="106">
        <v>0</v>
      </c>
      <c r="I2071" s="104">
        <v>0</v>
      </c>
      <c r="J2071" s="106">
        <v>0</v>
      </c>
      <c r="K2071" s="213">
        <v>0</v>
      </c>
      <c r="L2071" s="213">
        <v>0</v>
      </c>
      <c r="M2071" s="213">
        <v>0</v>
      </c>
      <c r="N2071" s="213">
        <v>0</v>
      </c>
      <c r="O2071" s="213">
        <v>0</v>
      </c>
      <c r="P2071" s="221">
        <v>0</v>
      </c>
      <c r="Q2071" s="221">
        <v>0</v>
      </c>
      <c r="R2071" s="221">
        <v>0</v>
      </c>
      <c r="S2071" s="221">
        <v>0</v>
      </c>
      <c r="T2071" s="221">
        <v>0</v>
      </c>
      <c r="U2071" s="221">
        <v>0</v>
      </c>
      <c r="V2071" s="221">
        <v>0</v>
      </c>
    </row>
    <row r="2072" hidden="1" spans="1:22">
      <c r="A2072" s="103">
        <v>45106</v>
      </c>
      <c r="B2072" s="104" t="s">
        <v>29</v>
      </c>
      <c r="C2072" s="145">
        <v>0</v>
      </c>
      <c r="D2072" s="145"/>
      <c r="E2072" s="104">
        <v>0</v>
      </c>
      <c r="F2072" s="106">
        <v>0</v>
      </c>
      <c r="G2072" s="107">
        <v>0</v>
      </c>
      <c r="H2072" s="106">
        <v>0</v>
      </c>
      <c r="I2072" s="104">
        <v>0</v>
      </c>
      <c r="J2072" s="106">
        <v>0</v>
      </c>
      <c r="K2072" s="213">
        <v>0</v>
      </c>
      <c r="L2072" s="213">
        <v>0</v>
      </c>
      <c r="M2072" s="213">
        <v>0</v>
      </c>
      <c r="N2072" s="213">
        <v>0</v>
      </c>
      <c r="O2072" s="213">
        <v>0</v>
      </c>
      <c r="P2072" s="221">
        <v>0</v>
      </c>
      <c r="Q2072" s="221">
        <v>0</v>
      </c>
      <c r="R2072" s="221">
        <v>0</v>
      </c>
      <c r="S2072" s="221">
        <v>0</v>
      </c>
      <c r="T2072" s="221">
        <v>0</v>
      </c>
      <c r="U2072" s="221">
        <v>0</v>
      </c>
      <c r="V2072" s="221">
        <v>0</v>
      </c>
    </row>
    <row r="2073" hidden="1" spans="1:22">
      <c r="A2073" s="103">
        <v>45106</v>
      </c>
      <c r="B2073" s="104" t="s">
        <v>30</v>
      </c>
      <c r="C2073" s="145">
        <v>0</v>
      </c>
      <c r="D2073" s="145"/>
      <c r="E2073" s="104">
        <v>0</v>
      </c>
      <c r="F2073" s="106">
        <v>0</v>
      </c>
      <c r="G2073" s="107">
        <v>0</v>
      </c>
      <c r="H2073" s="106">
        <v>0</v>
      </c>
      <c r="I2073" s="104">
        <v>0</v>
      </c>
      <c r="J2073" s="106">
        <v>0</v>
      </c>
      <c r="K2073" s="213">
        <v>0</v>
      </c>
      <c r="L2073" s="213">
        <v>0</v>
      </c>
      <c r="M2073" s="213">
        <v>0</v>
      </c>
      <c r="N2073" s="213">
        <v>0</v>
      </c>
      <c r="O2073" s="213">
        <v>0</v>
      </c>
      <c r="P2073" s="221">
        <v>0</v>
      </c>
      <c r="Q2073" s="221">
        <v>0</v>
      </c>
      <c r="R2073" s="221">
        <v>0</v>
      </c>
      <c r="S2073" s="221">
        <v>0</v>
      </c>
      <c r="T2073" s="221">
        <v>0</v>
      </c>
      <c r="U2073" s="221">
        <v>0</v>
      </c>
      <c r="V2073" s="221">
        <v>0</v>
      </c>
    </row>
    <row r="2074" hidden="1" spans="1:22">
      <c r="A2074" s="103">
        <v>45106</v>
      </c>
      <c r="B2074" s="104" t="s">
        <v>31</v>
      </c>
      <c r="C2074" s="145">
        <v>0</v>
      </c>
      <c r="D2074" s="145"/>
      <c r="E2074" s="104">
        <v>0</v>
      </c>
      <c r="F2074" s="106">
        <v>0</v>
      </c>
      <c r="G2074" s="107">
        <v>0</v>
      </c>
      <c r="H2074" s="106">
        <v>0</v>
      </c>
      <c r="I2074" s="104">
        <v>0</v>
      </c>
      <c r="J2074" s="106">
        <v>0</v>
      </c>
      <c r="K2074" s="213">
        <v>0</v>
      </c>
      <c r="L2074" s="213">
        <v>0</v>
      </c>
      <c r="M2074" s="213">
        <v>0</v>
      </c>
      <c r="N2074" s="213">
        <v>0</v>
      </c>
      <c r="O2074" s="213">
        <v>0</v>
      </c>
      <c r="P2074" s="221">
        <v>0</v>
      </c>
      <c r="Q2074" s="221">
        <v>0</v>
      </c>
      <c r="R2074" s="221">
        <v>0</v>
      </c>
      <c r="S2074" s="221">
        <v>0</v>
      </c>
      <c r="T2074" s="221">
        <v>0</v>
      </c>
      <c r="U2074" s="221">
        <v>0</v>
      </c>
      <c r="V2074" s="221">
        <v>0</v>
      </c>
    </row>
    <row r="2075" hidden="1" spans="1:22">
      <c r="A2075" s="103">
        <v>45106</v>
      </c>
      <c r="B2075" s="104" t="s">
        <v>32</v>
      </c>
      <c r="C2075" s="145">
        <v>0</v>
      </c>
      <c r="D2075" s="145"/>
      <c r="E2075" s="104">
        <v>0</v>
      </c>
      <c r="F2075" s="106">
        <v>0</v>
      </c>
      <c r="G2075" s="107">
        <v>0</v>
      </c>
      <c r="H2075" s="106">
        <v>0</v>
      </c>
      <c r="I2075" s="104">
        <v>0</v>
      </c>
      <c r="J2075" s="106">
        <v>0</v>
      </c>
      <c r="K2075" s="213">
        <v>0</v>
      </c>
      <c r="L2075" s="213">
        <v>0</v>
      </c>
      <c r="M2075" s="213">
        <v>0</v>
      </c>
      <c r="N2075" s="213">
        <v>0</v>
      </c>
      <c r="O2075" s="213">
        <v>0</v>
      </c>
      <c r="P2075" s="221">
        <v>0</v>
      </c>
      <c r="Q2075" s="221">
        <v>0</v>
      </c>
      <c r="R2075" s="221">
        <v>0</v>
      </c>
      <c r="S2075" s="221">
        <v>0</v>
      </c>
      <c r="T2075" s="221">
        <v>0</v>
      </c>
      <c r="U2075" s="221">
        <v>0</v>
      </c>
      <c r="V2075" s="221">
        <v>0</v>
      </c>
    </row>
    <row r="2076" hidden="1" spans="1:22">
      <c r="A2076" s="103">
        <v>45106</v>
      </c>
      <c r="B2076" s="104" t="s">
        <v>33</v>
      </c>
      <c r="C2076" s="145">
        <v>0</v>
      </c>
      <c r="D2076" s="145"/>
      <c r="E2076" s="104">
        <v>0</v>
      </c>
      <c r="F2076" s="106">
        <v>0</v>
      </c>
      <c r="G2076" s="107">
        <v>0</v>
      </c>
      <c r="H2076" s="106">
        <v>0</v>
      </c>
      <c r="I2076" s="104">
        <v>0</v>
      </c>
      <c r="J2076" s="106">
        <v>0</v>
      </c>
      <c r="K2076" s="213">
        <v>0</v>
      </c>
      <c r="L2076" s="213">
        <v>0</v>
      </c>
      <c r="M2076" s="213">
        <v>0</v>
      </c>
      <c r="N2076" s="213">
        <v>0</v>
      </c>
      <c r="O2076" s="213">
        <v>0</v>
      </c>
      <c r="P2076" s="221">
        <v>0</v>
      </c>
      <c r="Q2076" s="221">
        <v>0</v>
      </c>
      <c r="R2076" s="221">
        <v>0</v>
      </c>
      <c r="S2076" s="221">
        <v>0</v>
      </c>
      <c r="T2076" s="221">
        <v>0</v>
      </c>
      <c r="U2076" s="221">
        <v>0</v>
      </c>
      <c r="V2076" s="221">
        <v>0</v>
      </c>
    </row>
    <row r="2077" hidden="1" spans="1:22">
      <c r="A2077" s="103">
        <v>45106</v>
      </c>
      <c r="B2077" s="104" t="s">
        <v>34</v>
      </c>
      <c r="C2077" s="145">
        <v>0</v>
      </c>
      <c r="D2077" s="145"/>
      <c r="E2077" s="104">
        <v>0</v>
      </c>
      <c r="F2077" s="106">
        <v>0</v>
      </c>
      <c r="G2077" s="107">
        <v>0</v>
      </c>
      <c r="H2077" s="106">
        <v>0</v>
      </c>
      <c r="I2077" s="104">
        <v>0</v>
      </c>
      <c r="J2077" s="106">
        <v>0</v>
      </c>
      <c r="K2077" s="213">
        <v>0</v>
      </c>
      <c r="L2077" s="213">
        <v>0</v>
      </c>
      <c r="M2077" s="213">
        <v>0</v>
      </c>
      <c r="N2077" s="213">
        <v>0</v>
      </c>
      <c r="O2077" s="213">
        <v>0</v>
      </c>
      <c r="P2077" s="221">
        <v>0</v>
      </c>
      <c r="Q2077" s="221">
        <v>0</v>
      </c>
      <c r="R2077" s="221">
        <v>0</v>
      </c>
      <c r="S2077" s="221">
        <v>0</v>
      </c>
      <c r="T2077" s="221">
        <v>0</v>
      </c>
      <c r="U2077" s="221">
        <v>0</v>
      </c>
      <c r="V2077" s="221">
        <v>0</v>
      </c>
    </row>
    <row r="2078" hidden="1" spans="1:22">
      <c r="A2078" s="103">
        <v>45106</v>
      </c>
      <c r="B2078" s="104" t="s">
        <v>35</v>
      </c>
      <c r="C2078" s="145">
        <v>0</v>
      </c>
      <c r="D2078" s="145"/>
      <c r="E2078" s="104">
        <v>0</v>
      </c>
      <c r="F2078" s="106">
        <v>0</v>
      </c>
      <c r="G2078" s="107">
        <v>0</v>
      </c>
      <c r="H2078" s="106">
        <v>0</v>
      </c>
      <c r="I2078" s="104">
        <v>0</v>
      </c>
      <c r="J2078" s="106">
        <v>0</v>
      </c>
      <c r="K2078" s="213">
        <v>0</v>
      </c>
      <c r="L2078" s="213">
        <v>0</v>
      </c>
      <c r="M2078" s="213">
        <v>0</v>
      </c>
      <c r="N2078" s="213">
        <v>0</v>
      </c>
      <c r="O2078" s="213">
        <v>0</v>
      </c>
      <c r="P2078" s="221">
        <v>0</v>
      </c>
      <c r="Q2078" s="221">
        <v>0</v>
      </c>
      <c r="R2078" s="221">
        <v>0</v>
      </c>
      <c r="S2078" s="221">
        <v>0</v>
      </c>
      <c r="T2078" s="221">
        <v>0</v>
      </c>
      <c r="U2078" s="221">
        <v>0</v>
      </c>
      <c r="V2078" s="221">
        <v>0</v>
      </c>
    </row>
    <row r="2079" hidden="1" spans="1:22">
      <c r="A2079" s="103">
        <v>45106</v>
      </c>
      <c r="B2079" s="104" t="s">
        <v>36</v>
      </c>
      <c r="C2079" s="145">
        <v>0</v>
      </c>
      <c r="D2079" s="145"/>
      <c r="E2079" s="104">
        <v>0</v>
      </c>
      <c r="F2079" s="106">
        <v>0</v>
      </c>
      <c r="G2079" s="107">
        <v>0</v>
      </c>
      <c r="H2079" s="106">
        <v>0</v>
      </c>
      <c r="I2079" s="104">
        <v>0</v>
      </c>
      <c r="J2079" s="106">
        <v>0</v>
      </c>
      <c r="K2079" s="213">
        <v>0</v>
      </c>
      <c r="L2079" s="213">
        <v>0</v>
      </c>
      <c r="M2079" s="213">
        <v>0</v>
      </c>
      <c r="N2079" s="213">
        <v>0</v>
      </c>
      <c r="O2079" s="213">
        <v>0</v>
      </c>
      <c r="P2079" s="221">
        <v>0</v>
      </c>
      <c r="Q2079" s="221">
        <v>0</v>
      </c>
      <c r="R2079" s="221">
        <v>0</v>
      </c>
      <c r="S2079" s="221">
        <v>0</v>
      </c>
      <c r="T2079" s="221">
        <v>0</v>
      </c>
      <c r="U2079" s="221">
        <v>0</v>
      </c>
      <c r="V2079" s="221">
        <v>0</v>
      </c>
    </row>
    <row r="2080" hidden="1" spans="1:22">
      <c r="A2080" s="103">
        <v>45106</v>
      </c>
      <c r="B2080" s="104" t="s">
        <v>37</v>
      </c>
      <c r="C2080" s="145">
        <v>0</v>
      </c>
      <c r="D2080" s="145"/>
      <c r="E2080" s="104">
        <v>0</v>
      </c>
      <c r="F2080" s="106">
        <v>0</v>
      </c>
      <c r="G2080" s="107">
        <v>0</v>
      </c>
      <c r="H2080" s="106">
        <v>0</v>
      </c>
      <c r="I2080" s="104">
        <v>0</v>
      </c>
      <c r="J2080" s="106">
        <v>0</v>
      </c>
      <c r="K2080" s="213">
        <v>0</v>
      </c>
      <c r="L2080" s="213">
        <v>0</v>
      </c>
      <c r="M2080" s="213">
        <v>0</v>
      </c>
      <c r="N2080" s="213">
        <v>0</v>
      </c>
      <c r="O2080" s="213">
        <v>0</v>
      </c>
      <c r="P2080" s="221">
        <v>0</v>
      </c>
      <c r="Q2080" s="221">
        <v>0</v>
      </c>
      <c r="R2080" s="221">
        <v>0</v>
      </c>
      <c r="S2080" s="221">
        <v>0</v>
      </c>
      <c r="T2080" s="221">
        <v>0</v>
      </c>
      <c r="U2080" s="221">
        <v>0</v>
      </c>
      <c r="V2080" s="221">
        <v>0</v>
      </c>
    </row>
    <row r="2081" hidden="1" spans="1:22">
      <c r="A2081" s="103">
        <v>45106</v>
      </c>
      <c r="B2081" s="104" t="s">
        <v>38</v>
      </c>
      <c r="C2081" s="145">
        <v>0</v>
      </c>
      <c r="D2081" s="145"/>
      <c r="E2081" s="104">
        <v>0</v>
      </c>
      <c r="F2081" s="106">
        <v>0</v>
      </c>
      <c r="G2081" s="107">
        <v>0</v>
      </c>
      <c r="H2081" s="106">
        <v>0</v>
      </c>
      <c r="I2081" s="104">
        <v>0</v>
      </c>
      <c r="J2081" s="106">
        <v>0</v>
      </c>
      <c r="K2081" s="213">
        <v>0</v>
      </c>
      <c r="L2081" s="213">
        <v>0</v>
      </c>
      <c r="M2081" s="213">
        <v>0</v>
      </c>
      <c r="N2081" s="213">
        <v>0</v>
      </c>
      <c r="O2081" s="213">
        <v>0</v>
      </c>
      <c r="P2081" s="221">
        <v>0</v>
      </c>
      <c r="Q2081" s="221">
        <v>0</v>
      </c>
      <c r="R2081" s="221">
        <v>0</v>
      </c>
      <c r="S2081" s="221">
        <v>0</v>
      </c>
      <c r="T2081" s="221">
        <v>0</v>
      </c>
      <c r="U2081" s="221">
        <v>0</v>
      </c>
      <c r="V2081" s="221">
        <v>0</v>
      </c>
    </row>
    <row r="2082" spans="1:22">
      <c r="A2082" s="103">
        <v>45106</v>
      </c>
      <c r="B2082" s="111" t="s">
        <v>39</v>
      </c>
      <c r="C2082" s="112">
        <v>11099</v>
      </c>
      <c r="D2082" s="112">
        <v>5077</v>
      </c>
      <c r="E2082" s="112">
        <v>172</v>
      </c>
      <c r="F2082" s="106">
        <v>0.0154968916118569</v>
      </c>
      <c r="G2082" s="112">
        <v>73</v>
      </c>
      <c r="H2082" s="113">
        <v>0.424418604651163</v>
      </c>
      <c r="I2082" s="112">
        <v>45</v>
      </c>
      <c r="J2082" s="106">
        <v>0.261627906976744</v>
      </c>
      <c r="K2082" s="213"/>
      <c r="L2082" s="213"/>
      <c r="M2082" s="213"/>
      <c r="N2082" s="213"/>
      <c r="O2082" s="213"/>
      <c r="P2082" s="221"/>
      <c r="Q2082" s="221"/>
      <c r="R2082" s="221"/>
      <c r="S2082" s="221"/>
      <c r="T2082" s="221"/>
      <c r="U2082" s="221"/>
      <c r="V2082" s="221"/>
    </row>
    <row r="2083" customFormat="1" ht="14.45" customHeight="1" spans="1:24">
      <c r="A2083" s="143">
        <v>45107</v>
      </c>
      <c r="B2083" s="104" t="s">
        <v>17</v>
      </c>
      <c r="C2083" s="216">
        <v>1</v>
      </c>
      <c r="D2083" s="216">
        <v>342</v>
      </c>
      <c r="E2083" s="217">
        <v>43</v>
      </c>
      <c r="F2083" s="106">
        <v>43</v>
      </c>
      <c r="G2083" s="107">
        <v>7</v>
      </c>
      <c r="H2083" s="106">
        <v>0.162790697674419</v>
      </c>
      <c r="I2083" s="104">
        <v>7</v>
      </c>
      <c r="J2083" s="106">
        <v>0.162790697674419</v>
      </c>
      <c r="K2083" s="108">
        <v>-2</v>
      </c>
      <c r="L2083" s="108">
        <v>-1.33333333333333</v>
      </c>
      <c r="M2083" s="108">
        <v>-1.2</v>
      </c>
      <c r="N2083" s="108">
        <v>-0.857142857142857</v>
      </c>
      <c r="O2083" s="108">
        <v>8</v>
      </c>
      <c r="P2083" s="108">
        <v>-2</v>
      </c>
      <c r="Q2083" s="108">
        <v>-10</v>
      </c>
      <c r="R2083" s="108">
        <v>-11.8571428571429</v>
      </c>
      <c r="S2083" s="108">
        <v>-4</v>
      </c>
      <c r="T2083" s="108">
        <v>-5.66666666666667</v>
      </c>
      <c r="U2083" s="108">
        <v>-6.8</v>
      </c>
      <c r="V2083" s="108">
        <v>-6.28571428571429</v>
      </c>
      <c r="X2083" t="s">
        <v>18</v>
      </c>
    </row>
    <row r="2084" customFormat="1" ht="14.45" customHeight="1" spans="1:24">
      <c r="A2084" s="143">
        <v>45107</v>
      </c>
      <c r="B2084" s="104" t="s">
        <v>19</v>
      </c>
      <c r="C2084" s="216">
        <v>619</v>
      </c>
      <c r="D2084" s="216">
        <v>356</v>
      </c>
      <c r="E2084" s="217">
        <v>15</v>
      </c>
      <c r="F2084" s="106">
        <v>0.024232633279483</v>
      </c>
      <c r="G2084" s="107">
        <v>5</v>
      </c>
      <c r="H2084" s="106">
        <v>0.333333333333333</v>
      </c>
      <c r="I2084" s="104">
        <v>2</v>
      </c>
      <c r="J2084" s="106">
        <v>0.133333333333333</v>
      </c>
      <c r="K2084" s="108">
        <v>-115</v>
      </c>
      <c r="L2084" s="108">
        <v>-52.6666666666666</v>
      </c>
      <c r="M2084" s="108">
        <v>-66.4</v>
      </c>
      <c r="N2084" s="108">
        <v>-70</v>
      </c>
      <c r="O2084" s="108">
        <v>-1</v>
      </c>
      <c r="P2084" s="108">
        <v>-0.333333333333334</v>
      </c>
      <c r="Q2084" s="108">
        <v>-0.800000000000001</v>
      </c>
      <c r="R2084" s="108">
        <v>-0.857142857142858</v>
      </c>
      <c r="S2084" s="108">
        <v>-4</v>
      </c>
      <c r="T2084" s="108">
        <v>-1.66666666666667</v>
      </c>
      <c r="U2084" s="108">
        <v>-1.4</v>
      </c>
      <c r="V2084" s="115">
        <v>-1.85714285714286</v>
      </c>
      <c r="W2084" s="154"/>
      <c r="X2084" s="154"/>
    </row>
    <row r="2085" customFormat="1" ht="14.45" customHeight="1" spans="1:22">
      <c r="A2085" s="143">
        <v>45107</v>
      </c>
      <c r="B2085" s="104" t="s">
        <v>21</v>
      </c>
      <c r="C2085" s="218">
        <v>227</v>
      </c>
      <c r="D2085" s="218">
        <v>312</v>
      </c>
      <c r="E2085" s="217">
        <v>7</v>
      </c>
      <c r="F2085" s="106">
        <v>0.0308370044052863</v>
      </c>
      <c r="G2085" s="107">
        <v>3</v>
      </c>
      <c r="H2085" s="106">
        <v>0.428571428571429</v>
      </c>
      <c r="I2085" s="104">
        <v>2</v>
      </c>
      <c r="J2085" s="106">
        <v>0.285714285714286</v>
      </c>
      <c r="K2085" s="108">
        <v>28</v>
      </c>
      <c r="L2085" s="108">
        <v>21.3333333333333</v>
      </c>
      <c r="M2085" s="108">
        <v>-1.19999999999999</v>
      </c>
      <c r="N2085" s="108">
        <v>-15.7142857142857</v>
      </c>
      <c r="O2085" s="108">
        <v>4</v>
      </c>
      <c r="P2085" s="108">
        <v>4.66666666666667</v>
      </c>
      <c r="Q2085" s="108">
        <v>4.2</v>
      </c>
      <c r="R2085" s="108">
        <v>3.85714285714286</v>
      </c>
      <c r="S2085" s="108">
        <v>1</v>
      </c>
      <c r="T2085" s="108">
        <v>2</v>
      </c>
      <c r="U2085" s="108">
        <v>2</v>
      </c>
      <c r="V2085" s="108">
        <v>1.71428571428571</v>
      </c>
    </row>
    <row r="2086" customFormat="1" ht="18.95" customHeight="1" spans="1:24">
      <c r="A2086" s="143">
        <v>45107</v>
      </c>
      <c r="B2086" s="104" t="s">
        <v>22</v>
      </c>
      <c r="C2086" s="218">
        <v>1886</v>
      </c>
      <c r="D2086" s="218">
        <v>948</v>
      </c>
      <c r="E2086" s="217">
        <v>48</v>
      </c>
      <c r="F2086" s="106">
        <v>0.0254506892895016</v>
      </c>
      <c r="G2086" s="107">
        <v>15</v>
      </c>
      <c r="H2086" s="106">
        <v>0.3125</v>
      </c>
      <c r="I2086" s="104">
        <v>7</v>
      </c>
      <c r="J2086" s="106">
        <v>0.145833333333333</v>
      </c>
      <c r="K2086" s="108">
        <v>-14</v>
      </c>
      <c r="L2086" s="108">
        <v>19.3333333333333</v>
      </c>
      <c r="M2086" s="108">
        <v>-0.200000000000045</v>
      </c>
      <c r="N2086" s="108">
        <v>-23.8571428571429</v>
      </c>
      <c r="O2086" s="108">
        <v>3</v>
      </c>
      <c r="P2086" s="108">
        <v>11.3333333333333</v>
      </c>
      <c r="Q2086" s="108">
        <v>9.4</v>
      </c>
      <c r="R2086" s="115">
        <v>11.1428571428571</v>
      </c>
      <c r="S2086" s="108">
        <v>-4</v>
      </c>
      <c r="T2086" s="108">
        <v>1.66666666666667</v>
      </c>
      <c r="U2086" s="108">
        <v>-0.800000000000001</v>
      </c>
      <c r="V2086" s="117">
        <v>0.285714285714286</v>
      </c>
      <c r="W2086" s="154"/>
      <c r="X2086" s="154"/>
    </row>
    <row r="2087" customFormat="1" ht="14.45" customHeight="1" spans="1:22">
      <c r="A2087" s="143">
        <v>45107</v>
      </c>
      <c r="B2087" s="104" t="s">
        <v>23</v>
      </c>
      <c r="C2087" s="218">
        <v>2104</v>
      </c>
      <c r="D2087" s="218">
        <v>133</v>
      </c>
      <c r="E2087" s="217">
        <v>7</v>
      </c>
      <c r="F2087" s="106">
        <v>0.00332699619771863</v>
      </c>
      <c r="G2087" s="107">
        <v>3</v>
      </c>
      <c r="H2087" s="106">
        <v>0.428571428571429</v>
      </c>
      <c r="I2087" s="104">
        <v>2</v>
      </c>
      <c r="J2087" s="106">
        <v>0.285714285714286</v>
      </c>
      <c r="K2087" s="108">
        <v>28</v>
      </c>
      <c r="L2087" s="108">
        <v>112</v>
      </c>
      <c r="M2087" s="108">
        <v>51.4000000000001</v>
      </c>
      <c r="N2087" s="108">
        <v>48.1428571428573</v>
      </c>
      <c r="O2087" s="108">
        <v>0</v>
      </c>
      <c r="P2087" s="108">
        <v>0.666666666666667</v>
      </c>
      <c r="Q2087" s="108">
        <v>0.6</v>
      </c>
      <c r="R2087" s="108">
        <v>0.857142857142857</v>
      </c>
      <c r="S2087" s="108">
        <v>-1</v>
      </c>
      <c r="T2087" s="116">
        <v>-0.333333333333333</v>
      </c>
      <c r="U2087" s="108">
        <v>0.4</v>
      </c>
      <c r="V2087" s="108">
        <v>0.428571428571428</v>
      </c>
    </row>
    <row r="2088" customFormat="1" ht="14.45" customHeight="1" spans="1:24">
      <c r="A2088" s="143">
        <v>45107</v>
      </c>
      <c r="B2088" s="104" t="s">
        <v>24</v>
      </c>
      <c r="C2088" s="218">
        <v>355</v>
      </c>
      <c r="D2088" s="218">
        <v>380</v>
      </c>
      <c r="E2088" s="217">
        <v>2</v>
      </c>
      <c r="F2088" s="106">
        <v>0.00563380281690141</v>
      </c>
      <c r="G2088" s="107">
        <v>0</v>
      </c>
      <c r="H2088" s="106">
        <v>0</v>
      </c>
      <c r="I2088" s="104">
        <v>0</v>
      </c>
      <c r="J2088" s="106">
        <v>0</v>
      </c>
      <c r="K2088" s="108">
        <v>12</v>
      </c>
      <c r="L2088" s="108">
        <v>-132</v>
      </c>
      <c r="M2088" s="108">
        <v>-314.4</v>
      </c>
      <c r="N2088" s="108">
        <v>-613.285714285714</v>
      </c>
      <c r="O2088" s="115">
        <v>-4</v>
      </c>
      <c r="P2088" s="115">
        <v>-5.66666666666667</v>
      </c>
      <c r="Q2088" s="115">
        <v>-12.4</v>
      </c>
      <c r="R2088" s="115">
        <v>-22.4285714285714</v>
      </c>
      <c r="S2088" s="115">
        <v>-8</v>
      </c>
      <c r="T2088" s="115">
        <v>-6.33333333333333</v>
      </c>
      <c r="U2088" s="115">
        <v>-7</v>
      </c>
      <c r="V2088" s="115">
        <v>-9.57142857142857</v>
      </c>
      <c r="W2088" s="154"/>
      <c r="X2088" s="154"/>
    </row>
    <row r="2089" customFormat="1" ht="14.45" customHeight="1" spans="1:22">
      <c r="A2089" s="143">
        <v>45107</v>
      </c>
      <c r="B2089" s="104" t="s">
        <v>25</v>
      </c>
      <c r="C2089" s="218">
        <v>4581</v>
      </c>
      <c r="D2089" s="218">
        <v>827</v>
      </c>
      <c r="E2089" s="217">
        <v>40</v>
      </c>
      <c r="F2089" s="106">
        <v>0.00873171796550971</v>
      </c>
      <c r="G2089" s="107">
        <v>18</v>
      </c>
      <c r="H2089" s="106">
        <v>0.45</v>
      </c>
      <c r="I2089" s="104">
        <v>12</v>
      </c>
      <c r="J2089" s="106">
        <v>0.3</v>
      </c>
      <c r="K2089" s="108">
        <v>9</v>
      </c>
      <c r="L2089" s="108">
        <v>1203.33333333333</v>
      </c>
      <c r="M2089" s="108">
        <v>1639.2</v>
      </c>
      <c r="N2089" s="108">
        <v>1637.71428571429</v>
      </c>
      <c r="O2089" s="116">
        <v>0</v>
      </c>
      <c r="P2089" s="115">
        <v>6</v>
      </c>
      <c r="Q2089" s="115">
        <v>1.2</v>
      </c>
      <c r="R2089" s="115">
        <v>-4</v>
      </c>
      <c r="S2089" s="108">
        <v>3</v>
      </c>
      <c r="T2089" s="108">
        <v>5</v>
      </c>
      <c r="U2089" s="108">
        <v>2.8</v>
      </c>
      <c r="V2089" s="108">
        <v>1.57142857142857</v>
      </c>
    </row>
    <row r="2090" customFormat="1" ht="14.45" customHeight="1" spans="1:22">
      <c r="A2090" s="143">
        <v>45107</v>
      </c>
      <c r="B2090" s="104" t="s">
        <v>26</v>
      </c>
      <c r="C2090" s="218">
        <v>2</v>
      </c>
      <c r="D2090" s="218">
        <v>922</v>
      </c>
      <c r="E2090" s="217">
        <v>11</v>
      </c>
      <c r="F2090" s="106">
        <v>5.5</v>
      </c>
      <c r="G2090" s="107">
        <v>4</v>
      </c>
      <c r="H2090" s="106">
        <v>0.363636363636364</v>
      </c>
      <c r="I2090" s="104">
        <v>3</v>
      </c>
      <c r="J2090" s="106">
        <v>0.272727272727273</v>
      </c>
      <c r="K2090" s="108">
        <v>0</v>
      </c>
      <c r="L2090" s="108">
        <v>0.666666666666667</v>
      </c>
      <c r="M2090" s="108">
        <v>0.4</v>
      </c>
      <c r="N2090" s="108">
        <v>0.285714285714286</v>
      </c>
      <c r="O2090" s="108">
        <v>3</v>
      </c>
      <c r="P2090" s="108">
        <v>6</v>
      </c>
      <c r="Q2090" s="108">
        <v>5.6</v>
      </c>
      <c r="R2090" s="108">
        <v>6.42857142857143</v>
      </c>
      <c r="S2090" s="108">
        <v>2</v>
      </c>
      <c r="T2090" s="108">
        <v>2</v>
      </c>
      <c r="U2090" s="108">
        <v>1.4</v>
      </c>
      <c r="V2090" s="108">
        <v>1.28571428571429</v>
      </c>
    </row>
    <row r="2091" customFormat="1" ht="14.45" customHeight="1" spans="1:22">
      <c r="A2091" s="143">
        <v>45107</v>
      </c>
      <c r="B2091" s="104" t="s">
        <v>27</v>
      </c>
      <c r="C2091" s="218">
        <v>1200</v>
      </c>
      <c r="D2091" s="218">
        <v>280</v>
      </c>
      <c r="E2091" s="217">
        <v>16</v>
      </c>
      <c r="F2091" s="106">
        <v>0.0133333333333333</v>
      </c>
      <c r="G2091" s="107">
        <v>4</v>
      </c>
      <c r="H2091" s="106">
        <v>0.25</v>
      </c>
      <c r="I2091" s="104">
        <v>4</v>
      </c>
      <c r="J2091" s="106">
        <v>0.25</v>
      </c>
      <c r="K2091" s="108">
        <v>-70</v>
      </c>
      <c r="L2091" s="108">
        <v>-166.666666666667</v>
      </c>
      <c r="M2091" s="108">
        <v>-356.2</v>
      </c>
      <c r="N2091" s="108">
        <v>-511.571428571429</v>
      </c>
      <c r="O2091" s="108">
        <v>4</v>
      </c>
      <c r="P2091" s="108">
        <v>3</v>
      </c>
      <c r="Q2091" s="108">
        <v>-1.4</v>
      </c>
      <c r="R2091" s="108">
        <v>-4.85714285714286</v>
      </c>
      <c r="S2091" s="108">
        <v>1</v>
      </c>
      <c r="T2091" s="108">
        <v>2</v>
      </c>
      <c r="U2091" s="108">
        <v>0.6</v>
      </c>
      <c r="V2091" s="108">
        <v>0.285714285714286</v>
      </c>
    </row>
    <row r="2092" customFormat="1" ht="14.45" hidden="1" customHeight="1" spans="1:22">
      <c r="A2092" s="143">
        <v>45107</v>
      </c>
      <c r="B2092" s="104" t="s">
        <v>28</v>
      </c>
      <c r="C2092" s="145">
        <v>0</v>
      </c>
      <c r="D2092" s="145"/>
      <c r="E2092" s="104">
        <v>0</v>
      </c>
      <c r="F2092" s="106">
        <v>0</v>
      </c>
      <c r="G2092" s="107">
        <v>0</v>
      </c>
      <c r="H2092" s="106">
        <v>0</v>
      </c>
      <c r="I2092" s="104">
        <v>0</v>
      </c>
      <c r="J2092" s="106">
        <v>0</v>
      </c>
      <c r="K2092" s="108">
        <v>0</v>
      </c>
      <c r="L2092" s="108">
        <v>0</v>
      </c>
      <c r="M2092" s="108">
        <v>0</v>
      </c>
      <c r="N2092" s="108">
        <v>0</v>
      </c>
      <c r="O2092" s="108">
        <v>0</v>
      </c>
      <c r="P2092" s="108">
        <v>0</v>
      </c>
      <c r="Q2092" s="108">
        <v>0</v>
      </c>
      <c r="R2092" s="108">
        <v>0</v>
      </c>
      <c r="S2092" s="108">
        <v>0</v>
      </c>
      <c r="T2092" s="108">
        <v>0</v>
      </c>
      <c r="U2092" s="108">
        <v>0</v>
      </c>
      <c r="V2092" s="108">
        <v>0</v>
      </c>
    </row>
    <row r="2093" customFormat="1" ht="14.45" hidden="1" customHeight="1" spans="1:22">
      <c r="A2093" s="143">
        <v>45107</v>
      </c>
      <c r="B2093" s="104" t="s">
        <v>29</v>
      </c>
      <c r="C2093" s="145">
        <v>0</v>
      </c>
      <c r="D2093" s="145"/>
      <c r="E2093" s="104">
        <v>0</v>
      </c>
      <c r="F2093" s="106">
        <v>0</v>
      </c>
      <c r="G2093" s="107">
        <v>0</v>
      </c>
      <c r="H2093" s="106">
        <v>0</v>
      </c>
      <c r="I2093" s="104">
        <v>0</v>
      </c>
      <c r="J2093" s="106">
        <v>0</v>
      </c>
      <c r="K2093" s="108">
        <v>0</v>
      </c>
      <c r="L2093" s="108">
        <v>0</v>
      </c>
      <c r="M2093" s="108">
        <v>0</v>
      </c>
      <c r="N2093" s="108">
        <v>0</v>
      </c>
      <c r="O2093" s="108">
        <v>0</v>
      </c>
      <c r="P2093" s="108">
        <v>0</v>
      </c>
      <c r="Q2093" s="108">
        <v>0</v>
      </c>
      <c r="R2093" s="108">
        <v>0</v>
      </c>
      <c r="S2093" s="108">
        <v>0</v>
      </c>
      <c r="T2093" s="108">
        <v>0</v>
      </c>
      <c r="U2093" s="108">
        <v>0</v>
      </c>
      <c r="V2093" s="108">
        <v>0</v>
      </c>
    </row>
    <row r="2094" customFormat="1" ht="14.45" hidden="1" customHeight="1" spans="1:22">
      <c r="A2094" s="143">
        <v>45107</v>
      </c>
      <c r="B2094" s="104" t="s">
        <v>30</v>
      </c>
      <c r="C2094" s="145">
        <v>0</v>
      </c>
      <c r="D2094" s="145"/>
      <c r="E2094" s="104">
        <v>0</v>
      </c>
      <c r="F2094" s="106">
        <v>0</v>
      </c>
      <c r="G2094" s="107">
        <v>0</v>
      </c>
      <c r="H2094" s="106">
        <v>0</v>
      </c>
      <c r="I2094" s="104">
        <v>0</v>
      </c>
      <c r="J2094" s="106">
        <v>0</v>
      </c>
      <c r="K2094" s="108">
        <v>0</v>
      </c>
      <c r="L2094" s="108">
        <v>0</v>
      </c>
      <c r="M2094" s="108">
        <v>0</v>
      </c>
      <c r="N2094" s="108">
        <v>0</v>
      </c>
      <c r="O2094" s="108">
        <v>0</v>
      </c>
      <c r="P2094" s="108">
        <v>0</v>
      </c>
      <c r="Q2094" s="108">
        <v>0</v>
      </c>
      <c r="R2094" s="108">
        <v>0</v>
      </c>
      <c r="S2094" s="108">
        <v>0</v>
      </c>
      <c r="T2094" s="108">
        <v>0</v>
      </c>
      <c r="U2094" s="108">
        <v>0</v>
      </c>
      <c r="V2094" s="108">
        <v>0</v>
      </c>
    </row>
    <row r="2095" customFormat="1" ht="14.45" hidden="1" customHeight="1" spans="1:22">
      <c r="A2095" s="143">
        <v>45107</v>
      </c>
      <c r="B2095" s="104" t="s">
        <v>31</v>
      </c>
      <c r="C2095" s="145">
        <v>0</v>
      </c>
      <c r="D2095" s="145"/>
      <c r="E2095" s="104">
        <v>0</v>
      </c>
      <c r="F2095" s="106">
        <v>0</v>
      </c>
      <c r="G2095" s="107">
        <v>0</v>
      </c>
      <c r="H2095" s="106">
        <v>0</v>
      </c>
      <c r="I2095" s="104">
        <v>0</v>
      </c>
      <c r="J2095" s="106">
        <v>0</v>
      </c>
      <c r="K2095" s="108">
        <v>0</v>
      </c>
      <c r="L2095" s="108">
        <v>0</v>
      </c>
      <c r="M2095" s="108">
        <v>0</v>
      </c>
      <c r="N2095" s="108">
        <v>0</v>
      </c>
      <c r="O2095" s="108">
        <v>0</v>
      </c>
      <c r="P2095" s="108">
        <v>0</v>
      </c>
      <c r="Q2095" s="108">
        <v>0</v>
      </c>
      <c r="R2095" s="108">
        <v>0</v>
      </c>
      <c r="S2095" s="108">
        <v>0</v>
      </c>
      <c r="T2095" s="108">
        <v>0</v>
      </c>
      <c r="U2095" s="108">
        <v>0</v>
      </c>
      <c r="V2095" s="108">
        <v>0</v>
      </c>
    </row>
    <row r="2096" customFormat="1" ht="14.45" hidden="1" customHeight="1" spans="1:22">
      <c r="A2096" s="143">
        <v>45107</v>
      </c>
      <c r="B2096" s="104" t="s">
        <v>32</v>
      </c>
      <c r="C2096" s="145">
        <v>0</v>
      </c>
      <c r="D2096" s="145"/>
      <c r="E2096" s="104">
        <v>0</v>
      </c>
      <c r="F2096" s="106">
        <v>0</v>
      </c>
      <c r="G2096" s="107">
        <v>0</v>
      </c>
      <c r="H2096" s="106">
        <v>0</v>
      </c>
      <c r="I2096" s="104">
        <v>0</v>
      </c>
      <c r="J2096" s="106">
        <v>0</v>
      </c>
      <c r="K2096" s="108">
        <v>0</v>
      </c>
      <c r="L2096" s="108">
        <v>0</v>
      </c>
      <c r="M2096" s="108">
        <v>0</v>
      </c>
      <c r="N2096" s="108">
        <v>0</v>
      </c>
      <c r="O2096" s="108">
        <v>0</v>
      </c>
      <c r="P2096" s="108">
        <v>0</v>
      </c>
      <c r="Q2096" s="108">
        <v>0</v>
      </c>
      <c r="R2096" s="108">
        <v>0</v>
      </c>
      <c r="S2096" s="108">
        <v>0</v>
      </c>
      <c r="T2096" s="108">
        <v>0</v>
      </c>
      <c r="U2096" s="108">
        <v>0</v>
      </c>
      <c r="V2096" s="108">
        <v>0</v>
      </c>
    </row>
    <row r="2097" customFormat="1" hidden="1" spans="1:22">
      <c r="A2097" s="143">
        <v>45107</v>
      </c>
      <c r="B2097" s="104" t="s">
        <v>33</v>
      </c>
      <c r="C2097" s="145">
        <v>0</v>
      </c>
      <c r="D2097" s="145"/>
      <c r="E2097" s="104">
        <v>0</v>
      </c>
      <c r="F2097" s="106">
        <v>0</v>
      </c>
      <c r="G2097" s="107">
        <v>0</v>
      </c>
      <c r="H2097" s="106">
        <v>0</v>
      </c>
      <c r="I2097" s="104">
        <v>0</v>
      </c>
      <c r="J2097" s="106">
        <v>0</v>
      </c>
      <c r="K2097" s="108">
        <v>0</v>
      </c>
      <c r="L2097" s="108">
        <v>0</v>
      </c>
      <c r="M2097" s="108">
        <v>0</v>
      </c>
      <c r="N2097" s="108">
        <v>0</v>
      </c>
      <c r="O2097" s="108">
        <v>0</v>
      </c>
      <c r="P2097" s="108">
        <v>0</v>
      </c>
      <c r="Q2097" s="108">
        <v>0</v>
      </c>
      <c r="R2097" s="108">
        <v>0</v>
      </c>
      <c r="S2097" s="108">
        <v>0</v>
      </c>
      <c r="T2097" s="108">
        <v>0</v>
      </c>
      <c r="U2097" s="108">
        <v>0</v>
      </c>
      <c r="V2097" s="108">
        <v>0</v>
      </c>
    </row>
    <row r="2098" customFormat="1" hidden="1" spans="1:22">
      <c r="A2098" s="143">
        <v>45107</v>
      </c>
      <c r="B2098" s="104" t="s">
        <v>34</v>
      </c>
      <c r="C2098" s="145">
        <v>0</v>
      </c>
      <c r="D2098" s="145"/>
      <c r="E2098" s="104">
        <v>0</v>
      </c>
      <c r="F2098" s="106">
        <v>0</v>
      </c>
      <c r="G2098" s="107">
        <v>0</v>
      </c>
      <c r="H2098" s="106">
        <v>0</v>
      </c>
      <c r="I2098" s="104">
        <v>0</v>
      </c>
      <c r="J2098" s="106">
        <v>0</v>
      </c>
      <c r="K2098" s="108">
        <v>0</v>
      </c>
      <c r="L2098" s="108">
        <v>0</v>
      </c>
      <c r="M2098" s="108">
        <v>0</v>
      </c>
      <c r="N2098" s="108">
        <v>0</v>
      </c>
      <c r="O2098" s="108">
        <v>0</v>
      </c>
      <c r="P2098" s="108">
        <v>0</v>
      </c>
      <c r="Q2098" s="108">
        <v>0</v>
      </c>
      <c r="R2098" s="108">
        <v>0</v>
      </c>
      <c r="S2098" s="108">
        <v>0</v>
      </c>
      <c r="T2098" s="108">
        <v>0</v>
      </c>
      <c r="U2098" s="108">
        <v>0</v>
      </c>
      <c r="V2098" s="108">
        <v>0</v>
      </c>
    </row>
    <row r="2099" customFormat="1" hidden="1" spans="1:22">
      <c r="A2099" s="143">
        <v>45107</v>
      </c>
      <c r="B2099" s="104" t="s">
        <v>35</v>
      </c>
      <c r="C2099" s="145">
        <v>0</v>
      </c>
      <c r="D2099" s="145"/>
      <c r="E2099" s="104">
        <v>0</v>
      </c>
      <c r="F2099" s="106">
        <v>0</v>
      </c>
      <c r="G2099" s="107">
        <v>0</v>
      </c>
      <c r="H2099" s="106">
        <v>0</v>
      </c>
      <c r="I2099" s="104">
        <v>0</v>
      </c>
      <c r="J2099" s="106">
        <v>0</v>
      </c>
      <c r="K2099" s="108">
        <v>0</v>
      </c>
      <c r="L2099" s="108">
        <v>0</v>
      </c>
      <c r="M2099" s="108">
        <v>0</v>
      </c>
      <c r="N2099" s="108">
        <v>0</v>
      </c>
      <c r="O2099" s="108">
        <v>0</v>
      </c>
      <c r="P2099" s="108">
        <v>0</v>
      </c>
      <c r="Q2099" s="108">
        <v>0</v>
      </c>
      <c r="R2099" s="108">
        <v>0</v>
      </c>
      <c r="S2099" s="108">
        <v>0</v>
      </c>
      <c r="T2099" s="108">
        <v>0</v>
      </c>
      <c r="U2099" s="108">
        <v>0</v>
      </c>
      <c r="V2099" s="108">
        <v>0</v>
      </c>
    </row>
    <row r="2100" customFormat="1" hidden="1" spans="1:22">
      <c r="A2100" s="143">
        <v>45107</v>
      </c>
      <c r="B2100" s="104" t="s">
        <v>36</v>
      </c>
      <c r="C2100" s="145">
        <v>0</v>
      </c>
      <c r="D2100" s="145"/>
      <c r="E2100" s="104">
        <v>0</v>
      </c>
      <c r="F2100" s="106">
        <v>0</v>
      </c>
      <c r="G2100" s="107">
        <v>0</v>
      </c>
      <c r="H2100" s="106">
        <v>0</v>
      </c>
      <c r="I2100" s="104">
        <v>0</v>
      </c>
      <c r="J2100" s="106">
        <v>0</v>
      </c>
      <c r="K2100" s="108">
        <v>0</v>
      </c>
      <c r="L2100" s="108">
        <v>0</v>
      </c>
      <c r="M2100" s="108">
        <v>0</v>
      </c>
      <c r="N2100" s="108">
        <v>0</v>
      </c>
      <c r="O2100" s="108">
        <v>0</v>
      </c>
      <c r="P2100" s="108">
        <v>0</v>
      </c>
      <c r="Q2100" s="108">
        <v>0</v>
      </c>
      <c r="R2100" s="108">
        <v>0</v>
      </c>
      <c r="S2100" s="108">
        <v>0</v>
      </c>
      <c r="T2100" s="108">
        <v>0</v>
      </c>
      <c r="U2100" s="108">
        <v>0</v>
      </c>
      <c r="V2100" s="108">
        <v>0</v>
      </c>
    </row>
    <row r="2101" customFormat="1" hidden="1" spans="1:22">
      <c r="A2101" s="143">
        <v>45107</v>
      </c>
      <c r="B2101" s="104" t="s">
        <v>37</v>
      </c>
      <c r="C2101" s="145">
        <v>0</v>
      </c>
      <c r="D2101" s="145"/>
      <c r="E2101" s="104">
        <v>1</v>
      </c>
      <c r="F2101" s="106">
        <v>0</v>
      </c>
      <c r="G2101" s="107">
        <v>1</v>
      </c>
      <c r="H2101" s="106">
        <v>1</v>
      </c>
      <c r="I2101" s="104">
        <v>1</v>
      </c>
      <c r="J2101" s="106">
        <v>1</v>
      </c>
      <c r="K2101" s="108">
        <v>0</v>
      </c>
      <c r="L2101" s="108">
        <v>0</v>
      </c>
      <c r="M2101" s="108">
        <v>0</v>
      </c>
      <c r="N2101" s="108">
        <v>0</v>
      </c>
      <c r="O2101" s="108">
        <v>1</v>
      </c>
      <c r="P2101" s="108">
        <v>1</v>
      </c>
      <c r="Q2101" s="108">
        <v>1</v>
      </c>
      <c r="R2101" s="108">
        <v>1</v>
      </c>
      <c r="S2101" s="108">
        <v>1</v>
      </c>
      <c r="T2101" s="108">
        <v>1</v>
      </c>
      <c r="U2101" s="108">
        <v>1</v>
      </c>
      <c r="V2101" s="108">
        <v>1</v>
      </c>
    </row>
    <row r="2102" customFormat="1" hidden="1" spans="1:22">
      <c r="A2102" s="143">
        <v>45107</v>
      </c>
      <c r="B2102" s="104" t="s">
        <v>38</v>
      </c>
      <c r="C2102" s="145">
        <v>0</v>
      </c>
      <c r="D2102" s="145"/>
      <c r="E2102" s="104">
        <v>0</v>
      </c>
      <c r="F2102" s="106">
        <v>0</v>
      </c>
      <c r="G2102" s="107">
        <v>0</v>
      </c>
      <c r="H2102" s="106">
        <v>0</v>
      </c>
      <c r="I2102" s="104">
        <v>0</v>
      </c>
      <c r="J2102" s="106">
        <v>0</v>
      </c>
      <c r="K2102" s="108">
        <v>0</v>
      </c>
      <c r="L2102" s="108">
        <v>0</v>
      </c>
      <c r="M2102" s="108">
        <v>0</v>
      </c>
      <c r="N2102" s="108">
        <v>0</v>
      </c>
      <c r="O2102" s="108">
        <v>0</v>
      </c>
      <c r="P2102" s="108">
        <v>0</v>
      </c>
      <c r="Q2102" s="108">
        <v>0</v>
      </c>
      <c r="R2102" s="108">
        <v>0</v>
      </c>
      <c r="S2102" s="108">
        <v>0</v>
      </c>
      <c r="T2102" s="108">
        <v>0</v>
      </c>
      <c r="U2102" s="108">
        <v>0</v>
      </c>
      <c r="V2102" s="108">
        <v>0</v>
      </c>
    </row>
    <row r="2103" customFormat="1" spans="1:22">
      <c r="A2103" s="143">
        <v>45107</v>
      </c>
      <c r="B2103" s="111" t="s">
        <v>39</v>
      </c>
      <c r="C2103" s="112">
        <v>10975</v>
      </c>
      <c r="D2103" s="112">
        <v>4500</v>
      </c>
      <c r="E2103" s="112">
        <v>190</v>
      </c>
      <c r="F2103" s="106">
        <v>0.0173120728929385</v>
      </c>
      <c r="G2103" s="112">
        <v>60</v>
      </c>
      <c r="H2103" s="113">
        <v>0.315789473684211</v>
      </c>
      <c r="I2103" s="112">
        <v>40</v>
      </c>
      <c r="J2103" s="106">
        <v>0.210526315789474</v>
      </c>
      <c r="K2103" s="108"/>
      <c r="L2103" s="108"/>
      <c r="M2103" s="108"/>
      <c r="N2103" s="108"/>
      <c r="O2103" s="108"/>
      <c r="P2103" s="108"/>
      <c r="Q2103" s="108"/>
      <c r="R2103" s="108"/>
      <c r="S2103" s="108"/>
      <c r="T2103" s="108"/>
      <c r="U2103" s="108"/>
      <c r="V2103" s="108"/>
    </row>
    <row r="2104" customFormat="1" ht="14.45" customHeight="1" spans="1:24">
      <c r="A2104" s="143">
        <v>45108</v>
      </c>
      <c r="B2104" s="104" t="s">
        <v>17</v>
      </c>
      <c r="C2104" s="216">
        <v>1</v>
      </c>
      <c r="D2104" s="216">
        <v>641</v>
      </c>
      <c r="E2104" s="217">
        <v>43</v>
      </c>
      <c r="F2104" s="106">
        <v>43</v>
      </c>
      <c r="G2104" s="107">
        <v>11</v>
      </c>
      <c r="H2104" s="106">
        <v>0.255813953488372</v>
      </c>
      <c r="I2104" s="104">
        <v>6</v>
      </c>
      <c r="J2104" s="106">
        <v>0.13953488372093</v>
      </c>
      <c r="K2104" s="108">
        <v>0</v>
      </c>
      <c r="L2104" s="108">
        <v>-1</v>
      </c>
      <c r="M2104" s="108">
        <v>-1</v>
      </c>
      <c r="N2104" s="108">
        <v>-0.857142857142857</v>
      </c>
      <c r="O2104" s="108">
        <v>0</v>
      </c>
      <c r="P2104" s="108">
        <v>2</v>
      </c>
      <c r="Q2104" s="108">
        <v>-4.6</v>
      </c>
      <c r="R2104" s="108">
        <v>-9.71428571428572</v>
      </c>
      <c r="S2104" s="108">
        <v>4</v>
      </c>
      <c r="T2104" s="108">
        <v>1</v>
      </c>
      <c r="U2104" s="108">
        <v>-1.2</v>
      </c>
      <c r="V2104" s="108">
        <v>-1.42857142857143</v>
      </c>
      <c r="X2104" t="s">
        <v>18</v>
      </c>
    </row>
    <row r="2105" customFormat="1" ht="14.45" customHeight="1" spans="1:24">
      <c r="A2105" s="143">
        <v>45108</v>
      </c>
      <c r="B2105" s="104" t="s">
        <v>19</v>
      </c>
      <c r="C2105" s="216">
        <v>849</v>
      </c>
      <c r="D2105" s="216">
        <v>570</v>
      </c>
      <c r="E2105" s="217">
        <v>12</v>
      </c>
      <c r="F2105" s="106">
        <v>0.0141342756183746</v>
      </c>
      <c r="G2105" s="107">
        <v>8</v>
      </c>
      <c r="H2105" s="106">
        <v>0.666666666666667</v>
      </c>
      <c r="I2105" s="104">
        <v>1</v>
      </c>
      <c r="J2105" s="106">
        <v>0.0833333333333333</v>
      </c>
      <c r="K2105" s="108">
        <v>230</v>
      </c>
      <c r="L2105" s="108">
        <v>170.333333333333</v>
      </c>
      <c r="M2105" s="108">
        <v>197.2</v>
      </c>
      <c r="N2105" s="108">
        <v>169.142857142857</v>
      </c>
      <c r="O2105" s="108">
        <v>-3</v>
      </c>
      <c r="P2105" s="108">
        <v>-4.66666666666667</v>
      </c>
      <c r="Q2105" s="108">
        <v>-3.8</v>
      </c>
      <c r="R2105" s="108">
        <v>-3.57142857142857</v>
      </c>
      <c r="S2105" s="108">
        <v>3</v>
      </c>
      <c r="T2105" s="108">
        <v>1</v>
      </c>
      <c r="U2105" s="108">
        <v>1.4</v>
      </c>
      <c r="V2105" s="115">
        <v>1.57142857142857</v>
      </c>
      <c r="W2105" s="154"/>
      <c r="X2105" s="154"/>
    </row>
    <row r="2106" customFormat="1" ht="14.45" customHeight="1" spans="1:22">
      <c r="A2106" s="143">
        <v>45108</v>
      </c>
      <c r="B2106" s="104" t="s">
        <v>21</v>
      </c>
      <c r="C2106" s="218">
        <v>271</v>
      </c>
      <c r="D2106" s="218">
        <v>327</v>
      </c>
      <c r="E2106" s="217">
        <v>5</v>
      </c>
      <c r="F2106" s="106">
        <v>0.018450184501845</v>
      </c>
      <c r="G2106" s="107">
        <v>3</v>
      </c>
      <c r="H2106" s="106">
        <v>0.6</v>
      </c>
      <c r="I2106" s="104">
        <v>2</v>
      </c>
      <c r="J2106" s="106">
        <v>0.4</v>
      </c>
      <c r="K2106" s="108">
        <v>44</v>
      </c>
      <c r="L2106" s="108">
        <v>66</v>
      </c>
      <c r="M2106" s="108">
        <v>55.6</v>
      </c>
      <c r="N2106" s="108">
        <v>32.2857142857143</v>
      </c>
      <c r="O2106" s="108">
        <v>-2</v>
      </c>
      <c r="P2106" s="108">
        <v>0.666666666666667</v>
      </c>
      <c r="Q2106" s="108">
        <v>1.8</v>
      </c>
      <c r="R2106" s="108">
        <v>1.28571428571429</v>
      </c>
      <c r="S2106" s="108">
        <v>0</v>
      </c>
      <c r="T2106" s="108">
        <v>1.33333333333333</v>
      </c>
      <c r="U2106" s="108">
        <v>1.8</v>
      </c>
      <c r="V2106" s="108">
        <v>1.57142857142857</v>
      </c>
    </row>
    <row r="2107" customFormat="1" ht="18.95" customHeight="1" spans="1:24">
      <c r="A2107" s="143">
        <v>45108</v>
      </c>
      <c r="B2107" s="104" t="s">
        <v>22</v>
      </c>
      <c r="C2107" s="218">
        <v>2163</v>
      </c>
      <c r="D2107" s="218">
        <v>1154</v>
      </c>
      <c r="E2107" s="217">
        <v>56</v>
      </c>
      <c r="F2107" s="106">
        <v>0.0258899676375405</v>
      </c>
      <c r="G2107" s="107">
        <v>19</v>
      </c>
      <c r="H2107" s="106">
        <v>0.339285714285714</v>
      </c>
      <c r="I2107" s="104">
        <v>14</v>
      </c>
      <c r="J2107" s="106">
        <v>0.25</v>
      </c>
      <c r="K2107" s="108">
        <v>277</v>
      </c>
      <c r="L2107" s="108">
        <v>281.333333333333</v>
      </c>
      <c r="M2107" s="108">
        <v>278.4</v>
      </c>
      <c r="N2107" s="108">
        <v>275.714285714286</v>
      </c>
      <c r="O2107" s="108">
        <v>8</v>
      </c>
      <c r="P2107" s="108">
        <v>13</v>
      </c>
      <c r="Q2107" s="108">
        <v>16</v>
      </c>
      <c r="R2107" s="115">
        <v>17.1428571428571</v>
      </c>
      <c r="S2107" s="108">
        <v>4</v>
      </c>
      <c r="T2107" s="108">
        <v>4</v>
      </c>
      <c r="U2107" s="108">
        <v>4.4</v>
      </c>
      <c r="V2107" s="115">
        <v>3.28571428571429</v>
      </c>
      <c r="W2107" s="154"/>
      <c r="X2107" s="154"/>
    </row>
    <row r="2108" customFormat="1" ht="14.45" customHeight="1" spans="1:22">
      <c r="A2108" s="143">
        <v>45108</v>
      </c>
      <c r="B2108" s="104" t="s">
        <v>23</v>
      </c>
      <c r="C2108" s="218">
        <v>2143</v>
      </c>
      <c r="D2108" s="218">
        <v>127</v>
      </c>
      <c r="E2108" s="217">
        <v>4</v>
      </c>
      <c r="F2108" s="106">
        <v>0.00186654223051797</v>
      </c>
      <c r="G2108" s="107">
        <v>4</v>
      </c>
      <c r="H2108" s="106">
        <v>1</v>
      </c>
      <c r="I2108" s="104">
        <v>2</v>
      </c>
      <c r="J2108" s="106">
        <v>0.5</v>
      </c>
      <c r="K2108" s="108">
        <v>39</v>
      </c>
      <c r="L2108" s="108">
        <v>108.666666666667</v>
      </c>
      <c r="M2108" s="108">
        <v>94</v>
      </c>
      <c r="N2108" s="108">
        <v>75.4285714285716</v>
      </c>
      <c r="O2108" s="108">
        <v>-3</v>
      </c>
      <c r="P2108" s="108">
        <v>-2.33333333333333</v>
      </c>
      <c r="Q2108" s="108">
        <v>-3</v>
      </c>
      <c r="R2108" s="108">
        <v>-2.14285714285714</v>
      </c>
      <c r="S2108" s="108">
        <v>1</v>
      </c>
      <c r="T2108" s="116">
        <v>0.666666666666667</v>
      </c>
      <c r="U2108" s="108">
        <v>1.2</v>
      </c>
      <c r="V2108" s="108">
        <v>1.28571428571429</v>
      </c>
    </row>
    <row r="2109" customFormat="1" ht="14.45" customHeight="1" spans="1:24">
      <c r="A2109" s="143">
        <v>45108</v>
      </c>
      <c r="B2109" s="104" t="s">
        <v>24</v>
      </c>
      <c r="C2109" s="218">
        <v>384</v>
      </c>
      <c r="D2109" s="218">
        <v>362</v>
      </c>
      <c r="E2109" s="217">
        <v>4</v>
      </c>
      <c r="F2109" s="106">
        <v>0.0104166666666667</v>
      </c>
      <c r="G2109" s="107">
        <v>4</v>
      </c>
      <c r="H2109" s="106">
        <v>1</v>
      </c>
      <c r="I2109" s="104">
        <v>0</v>
      </c>
      <c r="J2109" s="106">
        <v>0</v>
      </c>
      <c r="K2109" s="108">
        <v>29</v>
      </c>
      <c r="L2109" s="108">
        <v>-30.3333333333333</v>
      </c>
      <c r="M2109" s="108">
        <v>-128.6</v>
      </c>
      <c r="N2109" s="108">
        <v>-373.571428571429</v>
      </c>
      <c r="O2109" s="115">
        <v>2</v>
      </c>
      <c r="P2109" s="115">
        <v>-2.33333333333333</v>
      </c>
      <c r="Q2109" s="115">
        <v>-4.4</v>
      </c>
      <c r="R2109" s="115">
        <v>-13.2857142857143</v>
      </c>
      <c r="S2109" s="115">
        <v>4</v>
      </c>
      <c r="T2109" s="115">
        <v>-0.333333333333333</v>
      </c>
      <c r="U2109" s="115">
        <v>-0.8</v>
      </c>
      <c r="V2109" s="115">
        <v>-3.57142857142857</v>
      </c>
      <c r="W2109" s="154"/>
      <c r="X2109" s="154"/>
    </row>
    <row r="2110" customFormat="1" ht="14.45" customHeight="1" spans="1:22">
      <c r="A2110" s="143">
        <v>45108</v>
      </c>
      <c r="B2110" s="104" t="s">
        <v>25</v>
      </c>
      <c r="C2110" s="218">
        <v>4140</v>
      </c>
      <c r="D2110" s="218">
        <v>727</v>
      </c>
      <c r="E2110" s="217">
        <v>39</v>
      </c>
      <c r="F2110" s="106">
        <v>0.00942028985507246</v>
      </c>
      <c r="G2110" s="107">
        <v>18</v>
      </c>
      <c r="H2110" s="106">
        <v>0.461538461538462</v>
      </c>
      <c r="I2110" s="104">
        <v>9</v>
      </c>
      <c r="J2110" s="106">
        <v>0.230769230769231</v>
      </c>
      <c r="K2110" s="108">
        <v>-441</v>
      </c>
      <c r="L2110" s="108">
        <v>-81.333333333333</v>
      </c>
      <c r="M2110" s="108">
        <v>785.4</v>
      </c>
      <c r="N2110" s="108">
        <v>981.714285714286</v>
      </c>
      <c r="O2110" s="116">
        <v>-1</v>
      </c>
      <c r="P2110" s="115">
        <v>-1.66666666666666</v>
      </c>
      <c r="Q2110" s="115">
        <v>3.8</v>
      </c>
      <c r="R2110" s="115">
        <v>-3</v>
      </c>
      <c r="S2110" s="108">
        <v>0</v>
      </c>
      <c r="T2110" s="108">
        <v>0.333333333333332</v>
      </c>
      <c r="U2110" s="108">
        <v>3.8</v>
      </c>
      <c r="V2110" s="108">
        <v>1.42857142857143</v>
      </c>
    </row>
    <row r="2111" customFormat="1" ht="14.45" customHeight="1" spans="1:22">
      <c r="A2111" s="143">
        <v>45108</v>
      </c>
      <c r="B2111" s="104" t="s">
        <v>26</v>
      </c>
      <c r="C2111" s="218">
        <v>0</v>
      </c>
      <c r="D2111" s="218">
        <v>928</v>
      </c>
      <c r="E2111" s="217">
        <v>12</v>
      </c>
      <c r="F2111" s="106">
        <v>928</v>
      </c>
      <c r="G2111" s="107">
        <v>1</v>
      </c>
      <c r="H2111" s="106">
        <v>0.0833333333333333</v>
      </c>
      <c r="I2111" s="104">
        <v>1</v>
      </c>
      <c r="J2111" s="106">
        <v>0.0833333333333333</v>
      </c>
      <c r="K2111" s="108">
        <v>-2</v>
      </c>
      <c r="L2111" s="108">
        <v>-1.66666666666667</v>
      </c>
      <c r="M2111" s="108">
        <v>-1.6</v>
      </c>
      <c r="N2111" s="108">
        <v>-1.85714285714286</v>
      </c>
      <c r="O2111" s="108">
        <v>1</v>
      </c>
      <c r="P2111" s="108">
        <v>4</v>
      </c>
      <c r="Q2111" s="108">
        <v>5</v>
      </c>
      <c r="R2111" s="108">
        <v>6.14285714285714</v>
      </c>
      <c r="S2111" s="108">
        <v>-3</v>
      </c>
      <c r="T2111" s="108">
        <v>-1.66666666666667</v>
      </c>
      <c r="U2111" s="108">
        <v>-1.6</v>
      </c>
      <c r="V2111" s="108">
        <v>-1.85714285714286</v>
      </c>
    </row>
    <row r="2112" customFormat="1" ht="14.45" customHeight="1" spans="1:22">
      <c r="A2112" s="143">
        <v>45108</v>
      </c>
      <c r="B2112" s="104" t="s">
        <v>27</v>
      </c>
      <c r="C2112" s="218">
        <v>1260</v>
      </c>
      <c r="D2112" s="218">
        <v>293</v>
      </c>
      <c r="E2112" s="217">
        <v>17</v>
      </c>
      <c r="F2112" s="106">
        <v>0.0134920634920635</v>
      </c>
      <c r="G2112" s="107">
        <v>6</v>
      </c>
      <c r="H2112" s="106">
        <v>0.352941176470588</v>
      </c>
      <c r="I2112" s="104">
        <v>3</v>
      </c>
      <c r="J2112" s="106">
        <v>0.176470588235294</v>
      </c>
      <c r="K2112" s="108">
        <v>60</v>
      </c>
      <c r="L2112" s="108">
        <v>18.6666666666667</v>
      </c>
      <c r="M2112" s="108">
        <v>-144.4</v>
      </c>
      <c r="N2112" s="108">
        <v>-342.714285714286</v>
      </c>
      <c r="O2112" s="108">
        <v>1</v>
      </c>
      <c r="P2112" s="108">
        <v>4.66666666666667</v>
      </c>
      <c r="Q2112" s="108">
        <v>1.8</v>
      </c>
      <c r="R2112" s="108">
        <v>-2.28571428571428</v>
      </c>
      <c r="S2112" s="108">
        <v>2</v>
      </c>
      <c r="T2112" s="108">
        <v>3.33333333333333</v>
      </c>
      <c r="U2112" s="108">
        <v>2.8</v>
      </c>
      <c r="V2112" s="108">
        <v>2.71428571428571</v>
      </c>
    </row>
    <row r="2113" customFormat="1" ht="14.45" hidden="1" customHeight="1" spans="1:22">
      <c r="A2113" s="143">
        <v>45108</v>
      </c>
      <c r="B2113" s="104" t="s">
        <v>28</v>
      </c>
      <c r="C2113" s="145">
        <v>0</v>
      </c>
      <c r="D2113" s="145"/>
      <c r="E2113" s="104">
        <v>0</v>
      </c>
      <c r="F2113" s="106">
        <v>0</v>
      </c>
      <c r="G2113" s="107">
        <v>0</v>
      </c>
      <c r="H2113" s="106">
        <v>0</v>
      </c>
      <c r="I2113" s="104">
        <v>0</v>
      </c>
      <c r="J2113" s="106">
        <v>0</v>
      </c>
      <c r="K2113" s="108">
        <v>0</v>
      </c>
      <c r="L2113" s="108">
        <v>0</v>
      </c>
      <c r="M2113" s="108">
        <v>0</v>
      </c>
      <c r="N2113" s="108">
        <v>0</v>
      </c>
      <c r="O2113" s="108">
        <v>0</v>
      </c>
      <c r="P2113" s="108">
        <v>0</v>
      </c>
      <c r="Q2113" s="108">
        <v>0</v>
      </c>
      <c r="R2113" s="108">
        <v>0</v>
      </c>
      <c r="S2113" s="108">
        <v>0</v>
      </c>
      <c r="T2113" s="108">
        <v>0</v>
      </c>
      <c r="U2113" s="108">
        <v>0</v>
      </c>
      <c r="V2113" s="108">
        <v>0</v>
      </c>
    </row>
    <row r="2114" customFormat="1" ht="14.45" hidden="1" customHeight="1" spans="1:22">
      <c r="A2114" s="143">
        <v>45108</v>
      </c>
      <c r="B2114" s="104" t="s">
        <v>29</v>
      </c>
      <c r="C2114" s="145">
        <v>0</v>
      </c>
      <c r="D2114" s="145"/>
      <c r="E2114" s="104">
        <v>0</v>
      </c>
      <c r="F2114" s="106">
        <v>0</v>
      </c>
      <c r="G2114" s="107">
        <v>0</v>
      </c>
      <c r="H2114" s="106">
        <v>0</v>
      </c>
      <c r="I2114" s="104">
        <v>0</v>
      </c>
      <c r="J2114" s="106">
        <v>0</v>
      </c>
      <c r="K2114" s="108">
        <v>0</v>
      </c>
      <c r="L2114" s="108">
        <v>0</v>
      </c>
      <c r="M2114" s="108">
        <v>0</v>
      </c>
      <c r="N2114" s="108">
        <v>0</v>
      </c>
      <c r="O2114" s="108">
        <v>0</v>
      </c>
      <c r="P2114" s="108">
        <v>0</v>
      </c>
      <c r="Q2114" s="108">
        <v>0</v>
      </c>
      <c r="R2114" s="108">
        <v>0</v>
      </c>
      <c r="S2114" s="108">
        <v>0</v>
      </c>
      <c r="T2114" s="108">
        <v>0</v>
      </c>
      <c r="U2114" s="108">
        <v>0</v>
      </c>
      <c r="V2114" s="108">
        <v>0</v>
      </c>
    </row>
    <row r="2115" customFormat="1" ht="14.45" hidden="1" customHeight="1" spans="1:22">
      <c r="A2115" s="143">
        <v>45108</v>
      </c>
      <c r="B2115" s="104" t="s">
        <v>30</v>
      </c>
      <c r="C2115" s="145">
        <v>0</v>
      </c>
      <c r="D2115" s="145"/>
      <c r="E2115" s="104">
        <v>0</v>
      </c>
      <c r="F2115" s="106">
        <v>0</v>
      </c>
      <c r="G2115" s="107">
        <v>0</v>
      </c>
      <c r="H2115" s="106">
        <v>0</v>
      </c>
      <c r="I2115" s="104">
        <v>0</v>
      </c>
      <c r="J2115" s="106">
        <v>0</v>
      </c>
      <c r="K2115" s="108">
        <v>0</v>
      </c>
      <c r="L2115" s="108">
        <v>0</v>
      </c>
      <c r="M2115" s="108">
        <v>0</v>
      </c>
      <c r="N2115" s="108">
        <v>0</v>
      </c>
      <c r="O2115" s="108">
        <v>0</v>
      </c>
      <c r="P2115" s="108">
        <v>0</v>
      </c>
      <c r="Q2115" s="108">
        <v>0</v>
      </c>
      <c r="R2115" s="108">
        <v>0</v>
      </c>
      <c r="S2115" s="108">
        <v>0</v>
      </c>
      <c r="T2115" s="108">
        <v>0</v>
      </c>
      <c r="U2115" s="108">
        <v>0</v>
      </c>
      <c r="V2115" s="108">
        <v>0</v>
      </c>
    </row>
    <row r="2116" customFormat="1" ht="14.45" hidden="1" customHeight="1" spans="1:22">
      <c r="A2116" s="143">
        <v>45108</v>
      </c>
      <c r="B2116" s="104" t="s">
        <v>31</v>
      </c>
      <c r="C2116" s="145">
        <v>0</v>
      </c>
      <c r="D2116" s="145"/>
      <c r="E2116" s="104">
        <v>0</v>
      </c>
      <c r="F2116" s="106">
        <v>0</v>
      </c>
      <c r="G2116" s="107">
        <v>0</v>
      </c>
      <c r="H2116" s="106">
        <v>0</v>
      </c>
      <c r="I2116" s="104">
        <v>0</v>
      </c>
      <c r="J2116" s="106">
        <v>0</v>
      </c>
      <c r="K2116" s="108">
        <v>0</v>
      </c>
      <c r="L2116" s="108">
        <v>0</v>
      </c>
      <c r="M2116" s="108">
        <v>0</v>
      </c>
      <c r="N2116" s="108">
        <v>0</v>
      </c>
      <c r="O2116" s="108">
        <v>0</v>
      </c>
      <c r="P2116" s="108">
        <v>0</v>
      </c>
      <c r="Q2116" s="108">
        <v>0</v>
      </c>
      <c r="R2116" s="108">
        <v>0</v>
      </c>
      <c r="S2116" s="108">
        <v>0</v>
      </c>
      <c r="T2116" s="108">
        <v>0</v>
      </c>
      <c r="U2116" s="108">
        <v>0</v>
      </c>
      <c r="V2116" s="108">
        <v>0</v>
      </c>
    </row>
    <row r="2117" customFormat="1" ht="14.45" hidden="1" customHeight="1" spans="1:22">
      <c r="A2117" s="143">
        <v>45108</v>
      </c>
      <c r="B2117" s="104" t="s">
        <v>32</v>
      </c>
      <c r="C2117" s="145">
        <v>0</v>
      </c>
      <c r="D2117" s="145"/>
      <c r="E2117" s="104">
        <v>0</v>
      </c>
      <c r="F2117" s="106">
        <v>0</v>
      </c>
      <c r="G2117" s="107">
        <v>0</v>
      </c>
      <c r="H2117" s="106">
        <v>0</v>
      </c>
      <c r="I2117" s="104">
        <v>0</v>
      </c>
      <c r="J2117" s="106">
        <v>0</v>
      </c>
      <c r="K2117" s="108">
        <v>0</v>
      </c>
      <c r="L2117" s="108">
        <v>0</v>
      </c>
      <c r="M2117" s="108">
        <v>0</v>
      </c>
      <c r="N2117" s="108">
        <v>0</v>
      </c>
      <c r="O2117" s="108">
        <v>0</v>
      </c>
      <c r="P2117" s="108">
        <v>0</v>
      </c>
      <c r="Q2117" s="108">
        <v>0</v>
      </c>
      <c r="R2117" s="108">
        <v>0</v>
      </c>
      <c r="S2117" s="108">
        <v>0</v>
      </c>
      <c r="T2117" s="108">
        <v>0</v>
      </c>
      <c r="U2117" s="108">
        <v>0</v>
      </c>
      <c r="V2117" s="108">
        <v>0</v>
      </c>
    </row>
    <row r="2118" customFormat="1" hidden="1" spans="1:22">
      <c r="A2118" s="143">
        <v>45108</v>
      </c>
      <c r="B2118" s="104" t="s">
        <v>33</v>
      </c>
      <c r="C2118" s="145">
        <v>0</v>
      </c>
      <c r="D2118" s="145"/>
      <c r="E2118" s="104">
        <v>0</v>
      </c>
      <c r="F2118" s="106">
        <v>0</v>
      </c>
      <c r="G2118" s="107">
        <v>0</v>
      </c>
      <c r="H2118" s="106">
        <v>0</v>
      </c>
      <c r="I2118" s="104">
        <v>0</v>
      </c>
      <c r="J2118" s="106">
        <v>0</v>
      </c>
      <c r="K2118" s="108">
        <v>0</v>
      </c>
      <c r="L2118" s="108">
        <v>0</v>
      </c>
      <c r="M2118" s="108">
        <v>0</v>
      </c>
      <c r="N2118" s="108">
        <v>0</v>
      </c>
      <c r="O2118" s="108">
        <v>0</v>
      </c>
      <c r="P2118" s="108">
        <v>0</v>
      </c>
      <c r="Q2118" s="108">
        <v>0</v>
      </c>
      <c r="R2118" s="108">
        <v>0</v>
      </c>
      <c r="S2118" s="108">
        <v>0</v>
      </c>
      <c r="T2118" s="108">
        <v>0</v>
      </c>
      <c r="U2118" s="108">
        <v>0</v>
      </c>
      <c r="V2118" s="108">
        <v>0</v>
      </c>
    </row>
    <row r="2119" customFormat="1" hidden="1" spans="1:22">
      <c r="A2119" s="143">
        <v>45108</v>
      </c>
      <c r="B2119" s="104" t="s">
        <v>34</v>
      </c>
      <c r="C2119" s="145">
        <v>0</v>
      </c>
      <c r="D2119" s="145"/>
      <c r="E2119" s="104">
        <v>0</v>
      </c>
      <c r="F2119" s="106">
        <v>0</v>
      </c>
      <c r="G2119" s="107">
        <v>0</v>
      </c>
      <c r="H2119" s="106">
        <v>0</v>
      </c>
      <c r="I2119" s="104">
        <v>0</v>
      </c>
      <c r="J2119" s="106">
        <v>0</v>
      </c>
      <c r="K2119" s="108">
        <v>0</v>
      </c>
      <c r="L2119" s="108">
        <v>0</v>
      </c>
      <c r="M2119" s="108">
        <v>0</v>
      </c>
      <c r="N2119" s="108">
        <v>0</v>
      </c>
      <c r="O2119" s="108">
        <v>0</v>
      </c>
      <c r="P2119" s="108">
        <v>0</v>
      </c>
      <c r="Q2119" s="108">
        <v>0</v>
      </c>
      <c r="R2119" s="108">
        <v>0</v>
      </c>
      <c r="S2119" s="108">
        <v>0</v>
      </c>
      <c r="T2119" s="108">
        <v>0</v>
      </c>
      <c r="U2119" s="108">
        <v>0</v>
      </c>
      <c r="V2119" s="108">
        <v>0</v>
      </c>
    </row>
    <row r="2120" customFormat="1" hidden="1" spans="1:22">
      <c r="A2120" s="143">
        <v>45108</v>
      </c>
      <c r="B2120" s="104" t="s">
        <v>35</v>
      </c>
      <c r="C2120" s="145">
        <v>0</v>
      </c>
      <c r="D2120" s="145"/>
      <c r="E2120" s="104">
        <v>0</v>
      </c>
      <c r="F2120" s="106">
        <v>0</v>
      </c>
      <c r="G2120" s="107">
        <v>0</v>
      </c>
      <c r="H2120" s="106">
        <v>0</v>
      </c>
      <c r="I2120" s="104">
        <v>0</v>
      </c>
      <c r="J2120" s="106">
        <v>0</v>
      </c>
      <c r="K2120" s="108">
        <v>0</v>
      </c>
      <c r="L2120" s="108">
        <v>0</v>
      </c>
      <c r="M2120" s="108">
        <v>0</v>
      </c>
      <c r="N2120" s="108">
        <v>0</v>
      </c>
      <c r="O2120" s="108">
        <v>0</v>
      </c>
      <c r="P2120" s="108">
        <v>0</v>
      </c>
      <c r="Q2120" s="108">
        <v>0</v>
      </c>
      <c r="R2120" s="108">
        <v>0</v>
      </c>
      <c r="S2120" s="108">
        <v>0</v>
      </c>
      <c r="T2120" s="108">
        <v>0</v>
      </c>
      <c r="U2120" s="108">
        <v>0</v>
      </c>
      <c r="V2120" s="108">
        <v>0</v>
      </c>
    </row>
    <row r="2121" customFormat="1" hidden="1" spans="1:22">
      <c r="A2121" s="143">
        <v>45108</v>
      </c>
      <c r="B2121" s="104" t="s">
        <v>36</v>
      </c>
      <c r="C2121" s="145">
        <v>0</v>
      </c>
      <c r="D2121" s="145"/>
      <c r="E2121" s="104">
        <v>0</v>
      </c>
      <c r="F2121" s="106">
        <v>0</v>
      </c>
      <c r="G2121" s="107">
        <v>0</v>
      </c>
      <c r="H2121" s="106">
        <v>0</v>
      </c>
      <c r="I2121" s="104">
        <v>0</v>
      </c>
      <c r="J2121" s="106">
        <v>0</v>
      </c>
      <c r="K2121" s="108">
        <v>0</v>
      </c>
      <c r="L2121" s="108">
        <v>0</v>
      </c>
      <c r="M2121" s="108">
        <v>0</v>
      </c>
      <c r="N2121" s="108">
        <v>0</v>
      </c>
      <c r="O2121" s="108">
        <v>0</v>
      </c>
      <c r="P2121" s="108">
        <v>0</v>
      </c>
      <c r="Q2121" s="108">
        <v>0</v>
      </c>
      <c r="R2121" s="108">
        <v>0</v>
      </c>
      <c r="S2121" s="108">
        <v>0</v>
      </c>
      <c r="T2121" s="108">
        <v>0</v>
      </c>
      <c r="U2121" s="108">
        <v>0</v>
      </c>
      <c r="V2121" s="108">
        <v>0</v>
      </c>
    </row>
    <row r="2122" customFormat="1" hidden="1" spans="1:22">
      <c r="A2122" s="143">
        <v>45108</v>
      </c>
      <c r="B2122" s="104" t="s">
        <v>37</v>
      </c>
      <c r="C2122" s="145">
        <v>0</v>
      </c>
      <c r="D2122" s="145"/>
      <c r="E2122" s="104">
        <v>1</v>
      </c>
      <c r="F2122" s="106">
        <v>0</v>
      </c>
      <c r="G2122" s="107">
        <v>0</v>
      </c>
      <c r="H2122" s="106">
        <v>0</v>
      </c>
      <c r="I2122" s="104">
        <v>0</v>
      </c>
      <c r="J2122" s="106">
        <v>0</v>
      </c>
      <c r="K2122" s="108">
        <v>0</v>
      </c>
      <c r="L2122" s="108">
        <v>0</v>
      </c>
      <c r="M2122" s="108">
        <v>0</v>
      </c>
      <c r="N2122" s="108">
        <v>0</v>
      </c>
      <c r="O2122" s="108">
        <v>0</v>
      </c>
      <c r="P2122" s="108">
        <v>0.666666666666667</v>
      </c>
      <c r="Q2122" s="108">
        <v>0.8</v>
      </c>
      <c r="R2122" s="108">
        <v>0.857142857142857</v>
      </c>
      <c r="S2122" s="108">
        <v>-1</v>
      </c>
      <c r="T2122" s="108">
        <v>-0.333333333333333</v>
      </c>
      <c r="U2122" s="108">
        <v>-0.2</v>
      </c>
      <c r="V2122" s="108">
        <v>-0.142857142857143</v>
      </c>
    </row>
    <row r="2123" customFormat="1" hidden="1" spans="1:22">
      <c r="A2123" s="143">
        <v>45108</v>
      </c>
      <c r="B2123" s="104" t="s">
        <v>38</v>
      </c>
      <c r="C2123" s="145">
        <v>0</v>
      </c>
      <c r="D2123" s="145"/>
      <c r="E2123" s="104">
        <v>0</v>
      </c>
      <c r="F2123" s="106">
        <v>0</v>
      </c>
      <c r="G2123" s="107">
        <v>0</v>
      </c>
      <c r="H2123" s="106">
        <v>0</v>
      </c>
      <c r="I2123" s="104">
        <v>0</v>
      </c>
      <c r="J2123" s="106">
        <v>0</v>
      </c>
      <c r="K2123" s="108">
        <v>0</v>
      </c>
      <c r="L2123" s="108">
        <v>0</v>
      </c>
      <c r="M2123" s="108">
        <v>0</v>
      </c>
      <c r="N2123" s="108">
        <v>0</v>
      </c>
      <c r="O2123" s="108">
        <v>0</v>
      </c>
      <c r="P2123" s="108">
        <v>0</v>
      </c>
      <c r="Q2123" s="108">
        <v>0</v>
      </c>
      <c r="R2123" s="108">
        <v>0</v>
      </c>
      <c r="S2123" s="108">
        <v>0</v>
      </c>
      <c r="T2123" s="108">
        <v>0</v>
      </c>
      <c r="U2123" s="108">
        <v>0</v>
      </c>
      <c r="V2123" s="108">
        <v>0</v>
      </c>
    </row>
    <row r="2124" customFormat="1" spans="1:22">
      <c r="A2124" s="143">
        <v>45108</v>
      </c>
      <c r="B2124" s="111" t="s">
        <v>39</v>
      </c>
      <c r="C2124" s="112">
        <v>11211</v>
      </c>
      <c r="D2124" s="112">
        <v>5129</v>
      </c>
      <c r="E2124" s="112">
        <v>193</v>
      </c>
      <c r="F2124" s="106">
        <v>0.0172152350370172</v>
      </c>
      <c r="G2124" s="112">
        <v>74</v>
      </c>
      <c r="H2124" s="113">
        <v>0.383419689119171</v>
      </c>
      <c r="I2124" s="112">
        <v>38</v>
      </c>
      <c r="J2124" s="106">
        <v>0.196891191709845</v>
      </c>
      <c r="K2124" s="108"/>
      <c r="L2124" s="108"/>
      <c r="M2124" s="108"/>
      <c r="N2124" s="108"/>
      <c r="O2124" s="108"/>
      <c r="P2124" s="108"/>
      <c r="Q2124" s="108"/>
      <c r="R2124" s="108"/>
      <c r="S2124" s="108"/>
      <c r="T2124" s="108"/>
      <c r="U2124" s="108"/>
      <c r="V2124" s="108"/>
    </row>
    <row r="2125" spans="1:22">
      <c r="A2125" s="143">
        <v>45109</v>
      </c>
      <c r="B2125" s="104" t="s">
        <v>17</v>
      </c>
      <c r="C2125" s="216">
        <v>1</v>
      </c>
      <c r="D2125" s="216">
        <v>400</v>
      </c>
      <c r="E2125" s="217">
        <v>47</v>
      </c>
      <c r="F2125" s="106">
        <v>47</v>
      </c>
      <c r="G2125" s="107">
        <v>10</v>
      </c>
      <c r="H2125" s="106">
        <v>0.212765957446809</v>
      </c>
      <c r="I2125" s="104">
        <v>7</v>
      </c>
      <c r="J2125" s="106">
        <v>0.148936170212766</v>
      </c>
      <c r="K2125" s="108">
        <v>0</v>
      </c>
      <c r="L2125" s="108">
        <v>-0.666666666666667</v>
      </c>
      <c r="M2125" s="108">
        <v>-0.8</v>
      </c>
      <c r="N2125" s="108">
        <v>-0.857142857142857</v>
      </c>
      <c r="O2125" s="108">
        <v>4</v>
      </c>
      <c r="P2125" s="108">
        <v>6.66666666666666</v>
      </c>
      <c r="Q2125" s="108">
        <v>2.8</v>
      </c>
      <c r="R2125" s="108">
        <v>-3.14285714285715</v>
      </c>
      <c r="S2125" s="108">
        <v>-1</v>
      </c>
      <c r="T2125" s="108">
        <v>0.333333333333334</v>
      </c>
      <c r="U2125" s="108">
        <v>-1.2</v>
      </c>
      <c r="V2125" s="108">
        <v>-2.42857142857143</v>
      </c>
    </row>
    <row r="2126" spans="1:22">
      <c r="A2126" s="143">
        <v>45109</v>
      </c>
      <c r="B2126" s="104" t="s">
        <v>19</v>
      </c>
      <c r="C2126" s="216">
        <v>796</v>
      </c>
      <c r="D2126" s="216">
        <v>511</v>
      </c>
      <c r="E2126" s="217">
        <v>16</v>
      </c>
      <c r="F2126" s="106">
        <v>0.0201005025125628</v>
      </c>
      <c r="G2126" s="107">
        <v>7</v>
      </c>
      <c r="H2126" s="106">
        <v>0.4375</v>
      </c>
      <c r="I2126" s="104">
        <v>5</v>
      </c>
      <c r="J2126" s="106">
        <v>0.3125</v>
      </c>
      <c r="K2126" s="108">
        <v>-53</v>
      </c>
      <c r="L2126" s="108">
        <v>62</v>
      </c>
      <c r="M2126" s="108">
        <v>99.4</v>
      </c>
      <c r="N2126" s="108">
        <v>96.7142857142857</v>
      </c>
      <c r="O2126" s="108">
        <v>4</v>
      </c>
      <c r="P2126" s="108">
        <v>1.66666666666667</v>
      </c>
      <c r="Q2126" s="108">
        <v>1.4</v>
      </c>
      <c r="R2126" s="108">
        <v>0.857142857142858</v>
      </c>
      <c r="S2126" s="108">
        <v>-1</v>
      </c>
      <c r="T2126" s="108">
        <v>-0.333333333333333</v>
      </c>
      <c r="U2126" s="108">
        <v>0.4</v>
      </c>
      <c r="V2126" s="115">
        <v>0.571428571428571</v>
      </c>
    </row>
    <row r="2127" spans="1:22">
      <c r="A2127" s="143">
        <v>45109</v>
      </c>
      <c r="B2127" s="104" t="s">
        <v>21</v>
      </c>
      <c r="C2127" s="218">
        <v>324</v>
      </c>
      <c r="D2127" s="218">
        <v>394</v>
      </c>
      <c r="E2127" s="217">
        <v>3</v>
      </c>
      <c r="F2127" s="106">
        <v>0.00925925925925926</v>
      </c>
      <c r="G2127" s="107">
        <v>2</v>
      </c>
      <c r="H2127" s="106">
        <v>0.666666666666667</v>
      </c>
      <c r="I2127" s="104">
        <v>1</v>
      </c>
      <c r="J2127" s="106">
        <v>0.333333333333333</v>
      </c>
      <c r="K2127" s="108">
        <v>53</v>
      </c>
      <c r="L2127" s="108">
        <v>91.6666666666667</v>
      </c>
      <c r="M2127" s="108">
        <v>101</v>
      </c>
      <c r="N2127" s="108">
        <v>89.8571428571429</v>
      </c>
      <c r="O2127" s="108">
        <v>-2</v>
      </c>
      <c r="P2127" s="108">
        <v>-2</v>
      </c>
      <c r="Q2127" s="108">
        <v>-0.8</v>
      </c>
      <c r="R2127" s="108">
        <v>-0.714285714285714</v>
      </c>
      <c r="S2127" s="108">
        <v>-1</v>
      </c>
      <c r="T2127" s="108">
        <v>-0.666666666666667</v>
      </c>
      <c r="U2127" s="108">
        <v>0.2</v>
      </c>
      <c r="V2127" s="108">
        <v>0.428571428571429</v>
      </c>
    </row>
    <row r="2128" spans="1:22">
      <c r="A2128" s="143">
        <v>45109</v>
      </c>
      <c r="B2128" s="104" t="s">
        <v>22</v>
      </c>
      <c r="C2128" s="218">
        <v>2252</v>
      </c>
      <c r="D2128" s="218">
        <v>1241</v>
      </c>
      <c r="E2128" s="217">
        <v>65</v>
      </c>
      <c r="F2128" s="106">
        <v>0.0288632326820604</v>
      </c>
      <c r="G2128" s="107">
        <v>27</v>
      </c>
      <c r="H2128" s="106">
        <v>0.415384615384615</v>
      </c>
      <c r="I2128" s="104">
        <v>19</v>
      </c>
      <c r="J2128" s="106">
        <v>0.292307692307692</v>
      </c>
      <c r="K2128" s="108">
        <v>89</v>
      </c>
      <c r="L2128" s="108">
        <v>269</v>
      </c>
      <c r="M2128" s="108">
        <v>322.2</v>
      </c>
      <c r="N2128" s="108">
        <v>326.285714285714</v>
      </c>
      <c r="O2128" s="108">
        <v>9</v>
      </c>
      <c r="P2128" s="108">
        <v>15.3333333333333</v>
      </c>
      <c r="Q2128" s="108">
        <v>22.2</v>
      </c>
      <c r="R2128" s="115">
        <v>22.5714285714286</v>
      </c>
      <c r="S2128" s="108">
        <v>8</v>
      </c>
      <c r="T2128" s="108">
        <v>9.33333333333333</v>
      </c>
      <c r="U2128" s="108">
        <v>12.2</v>
      </c>
      <c r="V2128" s="117">
        <v>10.8571428571429</v>
      </c>
    </row>
    <row r="2129" spans="1:22">
      <c r="A2129" s="143">
        <v>45109</v>
      </c>
      <c r="B2129" s="104" t="s">
        <v>23</v>
      </c>
      <c r="C2129" s="218">
        <v>2117</v>
      </c>
      <c r="D2129" s="218">
        <v>116</v>
      </c>
      <c r="E2129" s="217">
        <v>2</v>
      </c>
      <c r="F2129" s="106">
        <v>0.000944733112895607</v>
      </c>
      <c r="G2129" s="107">
        <v>1</v>
      </c>
      <c r="H2129" s="106">
        <v>0.5</v>
      </c>
      <c r="I2129" s="104">
        <v>0</v>
      </c>
      <c r="J2129" s="106">
        <v>0</v>
      </c>
      <c r="K2129" s="108">
        <v>-26</v>
      </c>
      <c r="L2129" s="108">
        <v>9.33333333333348</v>
      </c>
      <c r="M2129" s="108">
        <v>72.4000000000001</v>
      </c>
      <c r="N2129" s="108">
        <v>44.1428571428573</v>
      </c>
      <c r="O2129" s="108">
        <v>-2</v>
      </c>
      <c r="P2129" s="108">
        <v>-4</v>
      </c>
      <c r="Q2129" s="108">
        <v>-4</v>
      </c>
      <c r="R2129" s="108">
        <v>-4.14285714285714</v>
      </c>
      <c r="S2129" s="108">
        <v>-3</v>
      </c>
      <c r="T2129" s="116">
        <v>-2.66666666666667</v>
      </c>
      <c r="U2129" s="108">
        <v>-2.4</v>
      </c>
      <c r="V2129" s="108">
        <v>-1.85714285714286</v>
      </c>
    </row>
    <row r="2130" spans="1:22">
      <c r="A2130" s="143">
        <v>45109</v>
      </c>
      <c r="B2130" s="104" t="s">
        <v>24</v>
      </c>
      <c r="C2130" s="218">
        <v>3455</v>
      </c>
      <c r="D2130" s="218">
        <v>710</v>
      </c>
      <c r="E2130" s="217">
        <v>9</v>
      </c>
      <c r="F2130" s="106">
        <v>0.00260492040520984</v>
      </c>
      <c r="G2130" s="107">
        <v>5</v>
      </c>
      <c r="H2130" s="106">
        <v>0.555555555555556</v>
      </c>
      <c r="I2130" s="104">
        <v>4</v>
      </c>
      <c r="J2130" s="106">
        <v>0.444444444444444</v>
      </c>
      <c r="K2130" s="108">
        <v>3071</v>
      </c>
      <c r="L2130" s="108">
        <v>3094.33333333333</v>
      </c>
      <c r="M2130" s="108">
        <v>3015</v>
      </c>
      <c r="N2130" s="108">
        <v>2871.28571428571</v>
      </c>
      <c r="O2130" s="115">
        <v>5</v>
      </c>
      <c r="P2130" s="115">
        <v>5</v>
      </c>
      <c r="Q2130" s="115">
        <v>3.2</v>
      </c>
      <c r="R2130" s="115">
        <v>-2.14285714285714</v>
      </c>
      <c r="S2130" s="115">
        <v>1</v>
      </c>
      <c r="T2130" s="115">
        <v>1</v>
      </c>
      <c r="U2130" s="115">
        <v>0.4</v>
      </c>
      <c r="V2130" s="115">
        <v>-0.571428571428571</v>
      </c>
    </row>
    <row r="2131" spans="1:22">
      <c r="A2131" s="143">
        <v>45109</v>
      </c>
      <c r="B2131" s="104" t="s">
        <v>25</v>
      </c>
      <c r="C2131" s="218">
        <v>4234</v>
      </c>
      <c r="D2131" s="218">
        <v>755</v>
      </c>
      <c r="E2131" s="217">
        <v>26</v>
      </c>
      <c r="F2131" s="106">
        <v>0.00614076523382145</v>
      </c>
      <c r="G2131" s="107">
        <v>11</v>
      </c>
      <c r="H2131" s="106">
        <v>0.423076923076923</v>
      </c>
      <c r="I2131" s="104">
        <v>7</v>
      </c>
      <c r="J2131" s="106">
        <v>0.269230769230769</v>
      </c>
      <c r="K2131" s="108">
        <v>94</v>
      </c>
      <c r="L2131" s="108">
        <v>-197</v>
      </c>
      <c r="M2131" s="108">
        <v>463.2</v>
      </c>
      <c r="N2131" s="108">
        <v>886.857142857143</v>
      </c>
      <c r="O2131" s="116">
        <v>-13</v>
      </c>
      <c r="P2131" s="115">
        <v>-13.6666666666667</v>
      </c>
      <c r="Q2131" s="115">
        <v>-10.2</v>
      </c>
      <c r="R2131" s="115">
        <v>-13</v>
      </c>
      <c r="S2131" s="108">
        <v>-7</v>
      </c>
      <c r="T2131" s="108">
        <v>-6</v>
      </c>
      <c r="U2131" s="108">
        <v>-4</v>
      </c>
      <c r="V2131" s="108">
        <v>-5</v>
      </c>
    </row>
    <row r="2132" spans="1:22">
      <c r="A2132" s="143">
        <v>45109</v>
      </c>
      <c r="B2132" s="104" t="s">
        <v>26</v>
      </c>
      <c r="C2132" s="218">
        <v>3</v>
      </c>
      <c r="D2132" s="218">
        <v>1002</v>
      </c>
      <c r="E2132" s="217">
        <v>5</v>
      </c>
      <c r="F2132" s="106">
        <v>1.66666666666667</v>
      </c>
      <c r="G2132" s="107">
        <v>1</v>
      </c>
      <c r="H2132" s="106">
        <v>0.2</v>
      </c>
      <c r="I2132" s="104">
        <v>1</v>
      </c>
      <c r="J2132" s="106">
        <v>0.2</v>
      </c>
      <c r="K2132" s="108">
        <v>3</v>
      </c>
      <c r="L2132" s="108">
        <v>1.66666666666667</v>
      </c>
      <c r="M2132" s="108">
        <v>1.8</v>
      </c>
      <c r="N2132" s="108">
        <v>1.57142857142857</v>
      </c>
      <c r="O2132" s="108">
        <v>-7</v>
      </c>
      <c r="P2132" s="108">
        <v>-5.33333333333333</v>
      </c>
      <c r="Q2132" s="108">
        <v>-2.6</v>
      </c>
      <c r="R2132" s="108">
        <v>-2.14285714285714</v>
      </c>
      <c r="S2132" s="108">
        <v>0</v>
      </c>
      <c r="T2132" s="108">
        <v>-1.33333333333333</v>
      </c>
      <c r="U2132" s="108">
        <v>-1.2</v>
      </c>
      <c r="V2132" s="108">
        <v>-1.57142857142857</v>
      </c>
    </row>
    <row r="2133" spans="1:22">
      <c r="A2133" s="143">
        <v>45109</v>
      </c>
      <c r="B2133" s="104" t="s">
        <v>27</v>
      </c>
      <c r="C2133" s="218">
        <v>1327</v>
      </c>
      <c r="D2133" s="218">
        <v>286</v>
      </c>
      <c r="E2133" s="217">
        <v>12</v>
      </c>
      <c r="F2133" s="106">
        <v>0.00904295403165034</v>
      </c>
      <c r="G2133" s="107">
        <v>1</v>
      </c>
      <c r="H2133" s="106">
        <v>0.0833333333333333</v>
      </c>
      <c r="I2133" s="104">
        <v>0</v>
      </c>
      <c r="J2133" s="106">
        <v>0</v>
      </c>
      <c r="K2133" s="108">
        <v>67</v>
      </c>
      <c r="L2133" s="108">
        <v>83.6666666666667</v>
      </c>
      <c r="M2133" s="108">
        <v>15</v>
      </c>
      <c r="N2133" s="108">
        <v>-136</v>
      </c>
      <c r="O2133" s="108">
        <v>-5</v>
      </c>
      <c r="P2133" s="108">
        <v>-3</v>
      </c>
      <c r="Q2133" s="108">
        <v>-2.4</v>
      </c>
      <c r="R2133" s="108">
        <v>-5.14285714285714</v>
      </c>
      <c r="S2133" s="108">
        <v>-5</v>
      </c>
      <c r="T2133" s="108">
        <v>-3.33333333333333</v>
      </c>
      <c r="U2133" s="108">
        <v>-2.2</v>
      </c>
      <c r="V2133" s="108">
        <v>-2.85714285714286</v>
      </c>
    </row>
    <row r="2134" hidden="1" spans="1:22">
      <c r="A2134" s="143">
        <v>45109</v>
      </c>
      <c r="B2134" s="104" t="s">
        <v>28</v>
      </c>
      <c r="C2134" s="145">
        <v>0</v>
      </c>
      <c r="D2134" s="145"/>
      <c r="E2134" s="104">
        <v>0</v>
      </c>
      <c r="F2134" s="106">
        <v>0</v>
      </c>
      <c r="G2134" s="107">
        <v>0</v>
      </c>
      <c r="H2134" s="106">
        <v>0</v>
      </c>
      <c r="I2134" s="104">
        <v>0</v>
      </c>
      <c r="J2134" s="106">
        <v>0</v>
      </c>
      <c r="K2134" s="108">
        <v>0</v>
      </c>
      <c r="L2134" s="108">
        <v>0</v>
      </c>
      <c r="M2134" s="108">
        <v>0</v>
      </c>
      <c r="N2134" s="108">
        <v>0</v>
      </c>
      <c r="O2134" s="108">
        <v>0</v>
      </c>
      <c r="P2134" s="108">
        <v>0</v>
      </c>
      <c r="Q2134" s="108">
        <v>0</v>
      </c>
      <c r="R2134" s="108">
        <v>0</v>
      </c>
      <c r="S2134" s="108">
        <v>0</v>
      </c>
      <c r="T2134" s="108">
        <v>0</v>
      </c>
      <c r="U2134" s="108">
        <v>0</v>
      </c>
      <c r="V2134" s="108">
        <v>0</v>
      </c>
    </row>
    <row r="2135" hidden="1" spans="1:22">
      <c r="A2135" s="143">
        <v>45109</v>
      </c>
      <c r="B2135" s="104" t="s">
        <v>29</v>
      </c>
      <c r="C2135" s="145">
        <v>0</v>
      </c>
      <c r="D2135" s="145"/>
      <c r="E2135" s="104">
        <v>0</v>
      </c>
      <c r="F2135" s="106">
        <v>0</v>
      </c>
      <c r="G2135" s="107">
        <v>0</v>
      </c>
      <c r="H2135" s="106">
        <v>0</v>
      </c>
      <c r="I2135" s="104">
        <v>0</v>
      </c>
      <c r="J2135" s="106">
        <v>0</v>
      </c>
      <c r="K2135" s="108">
        <v>0</v>
      </c>
      <c r="L2135" s="108">
        <v>0</v>
      </c>
      <c r="M2135" s="108">
        <v>0</v>
      </c>
      <c r="N2135" s="108">
        <v>0</v>
      </c>
      <c r="O2135" s="108">
        <v>0</v>
      </c>
      <c r="P2135" s="108">
        <v>0</v>
      </c>
      <c r="Q2135" s="108">
        <v>0</v>
      </c>
      <c r="R2135" s="108">
        <v>0</v>
      </c>
      <c r="S2135" s="108">
        <v>0</v>
      </c>
      <c r="T2135" s="108">
        <v>0</v>
      </c>
      <c r="U2135" s="108">
        <v>0</v>
      </c>
      <c r="V2135" s="108">
        <v>0</v>
      </c>
    </row>
    <row r="2136" hidden="1" spans="1:22">
      <c r="A2136" s="143">
        <v>45109</v>
      </c>
      <c r="B2136" s="104" t="s">
        <v>30</v>
      </c>
      <c r="C2136" s="145">
        <v>0</v>
      </c>
      <c r="D2136" s="145"/>
      <c r="E2136" s="104">
        <v>0</v>
      </c>
      <c r="F2136" s="106">
        <v>0</v>
      </c>
      <c r="G2136" s="107">
        <v>0</v>
      </c>
      <c r="H2136" s="106">
        <v>0</v>
      </c>
      <c r="I2136" s="104">
        <v>0</v>
      </c>
      <c r="J2136" s="106">
        <v>0</v>
      </c>
      <c r="K2136" s="108">
        <v>0</v>
      </c>
      <c r="L2136" s="108">
        <v>0</v>
      </c>
      <c r="M2136" s="108">
        <v>0</v>
      </c>
      <c r="N2136" s="108">
        <v>0</v>
      </c>
      <c r="O2136" s="108">
        <v>0</v>
      </c>
      <c r="P2136" s="108">
        <v>0</v>
      </c>
      <c r="Q2136" s="108">
        <v>0</v>
      </c>
      <c r="R2136" s="108">
        <v>0</v>
      </c>
      <c r="S2136" s="108">
        <v>0</v>
      </c>
      <c r="T2136" s="108">
        <v>0</v>
      </c>
      <c r="U2136" s="108">
        <v>0</v>
      </c>
      <c r="V2136" s="108">
        <v>0</v>
      </c>
    </row>
    <row r="2137" hidden="1" spans="1:22">
      <c r="A2137" s="143">
        <v>45109</v>
      </c>
      <c r="B2137" s="104" t="s">
        <v>31</v>
      </c>
      <c r="C2137" s="145">
        <v>0</v>
      </c>
      <c r="D2137" s="145"/>
      <c r="E2137" s="104">
        <v>0</v>
      </c>
      <c r="F2137" s="106">
        <v>0</v>
      </c>
      <c r="G2137" s="107">
        <v>0</v>
      </c>
      <c r="H2137" s="106">
        <v>0</v>
      </c>
      <c r="I2137" s="104">
        <v>0</v>
      </c>
      <c r="J2137" s="106">
        <v>0</v>
      </c>
      <c r="K2137" s="108">
        <v>0</v>
      </c>
      <c r="L2137" s="108">
        <v>0</v>
      </c>
      <c r="M2137" s="108">
        <v>0</v>
      </c>
      <c r="N2137" s="108">
        <v>0</v>
      </c>
      <c r="O2137" s="108">
        <v>0</v>
      </c>
      <c r="P2137" s="108">
        <v>0</v>
      </c>
      <c r="Q2137" s="108">
        <v>0</v>
      </c>
      <c r="R2137" s="108">
        <v>0</v>
      </c>
      <c r="S2137" s="108">
        <v>0</v>
      </c>
      <c r="T2137" s="108">
        <v>0</v>
      </c>
      <c r="U2137" s="108">
        <v>0</v>
      </c>
      <c r="V2137" s="108">
        <v>0</v>
      </c>
    </row>
    <row r="2138" hidden="1" spans="1:22">
      <c r="A2138" s="143">
        <v>45109</v>
      </c>
      <c r="B2138" s="104" t="s">
        <v>32</v>
      </c>
      <c r="C2138" s="145">
        <v>0</v>
      </c>
      <c r="D2138" s="145"/>
      <c r="E2138" s="104">
        <v>0</v>
      </c>
      <c r="F2138" s="106">
        <v>0</v>
      </c>
      <c r="G2138" s="107">
        <v>0</v>
      </c>
      <c r="H2138" s="106">
        <v>0</v>
      </c>
      <c r="I2138" s="104">
        <v>0</v>
      </c>
      <c r="J2138" s="106">
        <v>0</v>
      </c>
      <c r="K2138" s="108">
        <v>0</v>
      </c>
      <c r="L2138" s="108">
        <v>0</v>
      </c>
      <c r="M2138" s="108">
        <v>0</v>
      </c>
      <c r="N2138" s="108">
        <v>0</v>
      </c>
      <c r="O2138" s="108">
        <v>0</v>
      </c>
      <c r="P2138" s="108">
        <v>0</v>
      </c>
      <c r="Q2138" s="108">
        <v>0</v>
      </c>
      <c r="R2138" s="108">
        <v>0</v>
      </c>
      <c r="S2138" s="108">
        <v>0</v>
      </c>
      <c r="T2138" s="108">
        <v>0</v>
      </c>
      <c r="U2138" s="108">
        <v>0</v>
      </c>
      <c r="V2138" s="108">
        <v>0</v>
      </c>
    </row>
    <row r="2139" hidden="1" spans="1:22">
      <c r="A2139" s="143">
        <v>45109</v>
      </c>
      <c r="B2139" s="104" t="s">
        <v>33</v>
      </c>
      <c r="C2139" s="145">
        <v>0</v>
      </c>
      <c r="D2139" s="145"/>
      <c r="E2139" s="104">
        <v>0</v>
      </c>
      <c r="F2139" s="106">
        <v>0</v>
      </c>
      <c r="G2139" s="107">
        <v>0</v>
      </c>
      <c r="H2139" s="106">
        <v>0</v>
      </c>
      <c r="I2139" s="104">
        <v>0</v>
      </c>
      <c r="J2139" s="106">
        <v>0</v>
      </c>
      <c r="K2139" s="108">
        <v>0</v>
      </c>
      <c r="L2139" s="108">
        <v>0</v>
      </c>
      <c r="M2139" s="108">
        <v>0</v>
      </c>
      <c r="N2139" s="108">
        <v>0</v>
      </c>
      <c r="O2139" s="108">
        <v>0</v>
      </c>
      <c r="P2139" s="108">
        <v>0</v>
      </c>
      <c r="Q2139" s="108">
        <v>0</v>
      </c>
      <c r="R2139" s="108">
        <v>0</v>
      </c>
      <c r="S2139" s="108">
        <v>0</v>
      </c>
      <c r="T2139" s="108">
        <v>0</v>
      </c>
      <c r="U2139" s="108">
        <v>0</v>
      </c>
      <c r="V2139" s="108">
        <v>0</v>
      </c>
    </row>
    <row r="2140" hidden="1" spans="1:22">
      <c r="A2140" s="143">
        <v>45109</v>
      </c>
      <c r="B2140" s="104" t="s">
        <v>34</v>
      </c>
      <c r="C2140" s="145">
        <v>0</v>
      </c>
      <c r="D2140" s="145"/>
      <c r="E2140" s="104">
        <v>0</v>
      </c>
      <c r="F2140" s="106">
        <v>0</v>
      </c>
      <c r="G2140" s="107">
        <v>0</v>
      </c>
      <c r="H2140" s="106">
        <v>0</v>
      </c>
      <c r="I2140" s="104">
        <v>0</v>
      </c>
      <c r="J2140" s="106">
        <v>0</v>
      </c>
      <c r="K2140" s="108">
        <v>0</v>
      </c>
      <c r="L2140" s="108">
        <v>0</v>
      </c>
      <c r="M2140" s="108">
        <v>0</v>
      </c>
      <c r="N2140" s="108">
        <v>0</v>
      </c>
      <c r="O2140" s="108">
        <v>0</v>
      </c>
      <c r="P2140" s="108">
        <v>0</v>
      </c>
      <c r="Q2140" s="108">
        <v>0</v>
      </c>
      <c r="R2140" s="108">
        <v>0</v>
      </c>
      <c r="S2140" s="108">
        <v>0</v>
      </c>
      <c r="T2140" s="108">
        <v>0</v>
      </c>
      <c r="U2140" s="108">
        <v>0</v>
      </c>
      <c r="V2140" s="108">
        <v>0</v>
      </c>
    </row>
    <row r="2141" hidden="1" spans="1:22">
      <c r="A2141" s="143">
        <v>45109</v>
      </c>
      <c r="B2141" s="104" t="s">
        <v>35</v>
      </c>
      <c r="C2141" s="145">
        <v>0</v>
      </c>
      <c r="D2141" s="145"/>
      <c r="E2141" s="104">
        <v>0</v>
      </c>
      <c r="F2141" s="106">
        <v>0</v>
      </c>
      <c r="G2141" s="107">
        <v>0</v>
      </c>
      <c r="H2141" s="106">
        <v>0</v>
      </c>
      <c r="I2141" s="104">
        <v>0</v>
      </c>
      <c r="J2141" s="106">
        <v>0</v>
      </c>
      <c r="K2141" s="108">
        <v>0</v>
      </c>
      <c r="L2141" s="108">
        <v>0</v>
      </c>
      <c r="M2141" s="108">
        <v>0</v>
      </c>
      <c r="N2141" s="108">
        <v>0</v>
      </c>
      <c r="O2141" s="108">
        <v>0</v>
      </c>
      <c r="P2141" s="108">
        <v>0</v>
      </c>
      <c r="Q2141" s="108">
        <v>0</v>
      </c>
      <c r="R2141" s="108">
        <v>0</v>
      </c>
      <c r="S2141" s="108">
        <v>0</v>
      </c>
      <c r="T2141" s="108">
        <v>0</v>
      </c>
      <c r="U2141" s="108">
        <v>0</v>
      </c>
      <c r="V2141" s="108">
        <v>0</v>
      </c>
    </row>
    <row r="2142" hidden="1" spans="1:22">
      <c r="A2142" s="143">
        <v>45109</v>
      </c>
      <c r="B2142" s="104" t="s">
        <v>36</v>
      </c>
      <c r="C2142" s="145">
        <v>0</v>
      </c>
      <c r="D2142" s="145"/>
      <c r="E2142" s="104">
        <v>0</v>
      </c>
      <c r="F2142" s="106">
        <v>0</v>
      </c>
      <c r="G2142" s="107">
        <v>0</v>
      </c>
      <c r="H2142" s="106">
        <v>0</v>
      </c>
      <c r="I2142" s="104">
        <v>0</v>
      </c>
      <c r="J2142" s="106">
        <v>0</v>
      </c>
      <c r="K2142" s="108">
        <v>0</v>
      </c>
      <c r="L2142" s="108">
        <v>0</v>
      </c>
      <c r="M2142" s="108">
        <v>0</v>
      </c>
      <c r="N2142" s="108">
        <v>0</v>
      </c>
      <c r="O2142" s="108">
        <v>0</v>
      </c>
      <c r="P2142" s="108">
        <v>0</v>
      </c>
      <c r="Q2142" s="108">
        <v>0</v>
      </c>
      <c r="R2142" s="108">
        <v>0</v>
      </c>
      <c r="S2142" s="108">
        <v>0</v>
      </c>
      <c r="T2142" s="108">
        <v>0</v>
      </c>
      <c r="U2142" s="108">
        <v>0</v>
      </c>
      <c r="V2142" s="108">
        <v>0</v>
      </c>
    </row>
    <row r="2143" hidden="1" spans="1:22">
      <c r="A2143" s="143">
        <v>45109</v>
      </c>
      <c r="B2143" s="104" t="s">
        <v>37</v>
      </c>
      <c r="C2143" s="145">
        <v>0</v>
      </c>
      <c r="D2143" s="145"/>
      <c r="E2143" s="104">
        <v>0</v>
      </c>
      <c r="F2143" s="106">
        <v>0</v>
      </c>
      <c r="G2143" s="107">
        <v>0</v>
      </c>
      <c r="H2143" s="106">
        <v>0</v>
      </c>
      <c r="I2143" s="104">
        <v>0</v>
      </c>
      <c r="J2143" s="106">
        <v>0</v>
      </c>
      <c r="K2143" s="108">
        <v>0</v>
      </c>
      <c r="L2143" s="108">
        <v>0</v>
      </c>
      <c r="M2143" s="108">
        <v>0</v>
      </c>
      <c r="N2143" s="108">
        <v>0</v>
      </c>
      <c r="O2143" s="108">
        <v>-1</v>
      </c>
      <c r="P2143" s="108">
        <v>-0.666666666666667</v>
      </c>
      <c r="Q2143" s="108">
        <v>-0.4</v>
      </c>
      <c r="R2143" s="108">
        <v>-0.285714285714286</v>
      </c>
      <c r="S2143" s="108">
        <v>0</v>
      </c>
      <c r="T2143" s="108">
        <v>-0.333333333333333</v>
      </c>
      <c r="U2143" s="108">
        <v>-0.2</v>
      </c>
      <c r="V2143" s="108">
        <v>-0.142857142857143</v>
      </c>
    </row>
    <row r="2144" hidden="1" spans="1:22">
      <c r="A2144" s="143">
        <v>45109</v>
      </c>
      <c r="B2144" s="104" t="s">
        <v>38</v>
      </c>
      <c r="C2144" s="145">
        <v>0</v>
      </c>
      <c r="D2144" s="145"/>
      <c r="E2144" s="104">
        <v>0</v>
      </c>
      <c r="F2144" s="106">
        <v>0</v>
      </c>
      <c r="G2144" s="107">
        <v>0</v>
      </c>
      <c r="H2144" s="106">
        <v>0</v>
      </c>
      <c r="I2144" s="104">
        <v>0</v>
      </c>
      <c r="J2144" s="106">
        <v>0</v>
      </c>
      <c r="K2144" s="108">
        <v>0</v>
      </c>
      <c r="L2144" s="108">
        <v>0</v>
      </c>
      <c r="M2144" s="108">
        <v>0</v>
      </c>
      <c r="N2144" s="108">
        <v>0</v>
      </c>
      <c r="O2144" s="108">
        <v>0</v>
      </c>
      <c r="P2144" s="108">
        <v>0</v>
      </c>
      <c r="Q2144" s="108">
        <v>0</v>
      </c>
      <c r="R2144" s="108">
        <v>0</v>
      </c>
      <c r="S2144" s="108">
        <v>0</v>
      </c>
      <c r="T2144" s="108">
        <v>0</v>
      </c>
      <c r="U2144" s="108">
        <v>0</v>
      </c>
      <c r="V2144" s="108">
        <v>0</v>
      </c>
    </row>
    <row r="2145" spans="1:22">
      <c r="A2145" s="143">
        <v>45109</v>
      </c>
      <c r="B2145" s="111" t="s">
        <v>39</v>
      </c>
      <c r="C2145" s="112">
        <v>14509</v>
      </c>
      <c r="D2145" s="112">
        <v>5415</v>
      </c>
      <c r="E2145" s="112">
        <v>185</v>
      </c>
      <c r="F2145" s="106">
        <v>0.0127507064580605</v>
      </c>
      <c r="G2145" s="112">
        <v>65</v>
      </c>
      <c r="H2145" s="113">
        <v>0.351351351351351</v>
      </c>
      <c r="I2145" s="112">
        <v>44</v>
      </c>
      <c r="J2145" s="106">
        <v>0.237837837837838</v>
      </c>
      <c r="K2145" s="108"/>
      <c r="L2145" s="108"/>
      <c r="M2145" s="108"/>
      <c r="N2145" s="108"/>
      <c r="O2145" s="108"/>
      <c r="P2145" s="108"/>
      <c r="Q2145" s="108"/>
      <c r="R2145" s="108"/>
      <c r="S2145" s="108"/>
      <c r="T2145" s="108"/>
      <c r="U2145" s="108"/>
      <c r="V2145" s="108"/>
    </row>
    <row r="2146" customFormat="1" ht="14.45" customHeight="1" spans="1:24">
      <c r="A2146" s="143">
        <v>45110</v>
      </c>
      <c r="B2146" s="104" t="s">
        <v>17</v>
      </c>
      <c r="C2146" s="216">
        <v>2</v>
      </c>
      <c r="D2146" s="216">
        <v>353</v>
      </c>
      <c r="E2146" s="217">
        <v>50</v>
      </c>
      <c r="F2146" s="106">
        <v>25</v>
      </c>
      <c r="G2146" s="107">
        <v>11</v>
      </c>
      <c r="H2146" s="106">
        <v>0.22</v>
      </c>
      <c r="I2146" s="104">
        <v>7</v>
      </c>
      <c r="J2146" s="106">
        <v>0.14</v>
      </c>
      <c r="K2146" s="108">
        <v>1</v>
      </c>
      <c r="L2146" s="108">
        <v>1</v>
      </c>
      <c r="M2146" s="108">
        <v>0.4</v>
      </c>
      <c r="N2146" s="108">
        <v>0.285714285714286</v>
      </c>
      <c r="O2146" s="108">
        <v>3</v>
      </c>
      <c r="P2146" s="108">
        <v>5.66666666666666</v>
      </c>
      <c r="Q2146" s="108">
        <v>7.4</v>
      </c>
      <c r="R2146" s="108">
        <v>3.14285714285715</v>
      </c>
      <c r="S2146" s="108">
        <v>1</v>
      </c>
      <c r="T2146" s="108">
        <v>1.66666666666667</v>
      </c>
      <c r="U2146" s="108">
        <v>0.800000000000001</v>
      </c>
      <c r="V2146" s="108">
        <v>-0.714285714285714</v>
      </c>
      <c r="X2146" t="s">
        <v>18</v>
      </c>
    </row>
    <row r="2147" customFormat="1" ht="14.45" customHeight="1" spans="1:24">
      <c r="A2147" s="143">
        <v>45110</v>
      </c>
      <c r="B2147" s="104" t="s">
        <v>19</v>
      </c>
      <c r="C2147" s="216">
        <v>731</v>
      </c>
      <c r="D2147" s="216">
        <v>488</v>
      </c>
      <c r="E2147" s="217">
        <v>17</v>
      </c>
      <c r="F2147" s="106">
        <v>0.0232558139534884</v>
      </c>
      <c r="G2147" s="107">
        <v>2</v>
      </c>
      <c r="H2147" s="106">
        <v>0.117647058823529</v>
      </c>
      <c r="I2147" s="104">
        <v>2</v>
      </c>
      <c r="J2147" s="106">
        <v>0.117647058823529</v>
      </c>
      <c r="K2147" s="108">
        <v>-65</v>
      </c>
      <c r="L2147" s="108">
        <v>-23.6666666666666</v>
      </c>
      <c r="M2147" s="108">
        <v>-5.20000000000005</v>
      </c>
      <c r="N2147" s="108">
        <v>30.4285714285714</v>
      </c>
      <c r="O2147" s="108">
        <v>1</v>
      </c>
      <c r="P2147" s="108">
        <v>2.66666666666667</v>
      </c>
      <c r="Q2147" s="108">
        <v>1.4</v>
      </c>
      <c r="R2147" s="108">
        <v>1.71428571428571</v>
      </c>
      <c r="S2147" s="108">
        <v>-5</v>
      </c>
      <c r="T2147" s="108">
        <v>-4.66666666666667</v>
      </c>
      <c r="U2147" s="108">
        <v>-5.2</v>
      </c>
      <c r="V2147" s="115">
        <v>-4.85714285714286</v>
      </c>
      <c r="W2147" s="154"/>
      <c r="X2147" s="154"/>
    </row>
    <row r="2148" customFormat="1" ht="14.45" customHeight="1" spans="1:22">
      <c r="A2148" s="143">
        <v>45110</v>
      </c>
      <c r="B2148" s="104" t="s">
        <v>21</v>
      </c>
      <c r="C2148" s="218">
        <v>289</v>
      </c>
      <c r="D2148" s="218">
        <v>366</v>
      </c>
      <c r="E2148" s="217">
        <v>6</v>
      </c>
      <c r="F2148" s="106">
        <v>0.0207612456747405</v>
      </c>
      <c r="G2148" s="107">
        <v>1</v>
      </c>
      <c r="H2148" s="106">
        <v>0.166666666666667</v>
      </c>
      <c r="I2148" s="104">
        <v>1</v>
      </c>
      <c r="J2148" s="106">
        <v>0.166666666666667</v>
      </c>
      <c r="K2148" s="108">
        <v>-35</v>
      </c>
      <c r="L2148" s="108">
        <v>15</v>
      </c>
      <c r="M2148" s="108">
        <v>47</v>
      </c>
      <c r="N2148" s="108">
        <v>50.1428571428571</v>
      </c>
      <c r="O2148" s="108">
        <v>3</v>
      </c>
      <c r="P2148" s="108">
        <v>1</v>
      </c>
      <c r="Q2148" s="108">
        <v>1.8</v>
      </c>
      <c r="R2148" s="108">
        <v>2.57142857142857</v>
      </c>
      <c r="S2148" s="108">
        <v>-1</v>
      </c>
      <c r="T2148" s="108">
        <v>-1.66666666666667</v>
      </c>
      <c r="U2148" s="108">
        <v>-1</v>
      </c>
      <c r="V2148" s="108">
        <v>-0.571428571428571</v>
      </c>
    </row>
    <row r="2149" customFormat="1" ht="18.95" customHeight="1" spans="1:24">
      <c r="A2149" s="143">
        <v>45110</v>
      </c>
      <c r="B2149" s="104" t="s">
        <v>22</v>
      </c>
      <c r="C2149" s="218">
        <v>2302</v>
      </c>
      <c r="D2149" s="218">
        <v>1196</v>
      </c>
      <c r="E2149" s="217">
        <v>59</v>
      </c>
      <c r="F2149" s="106">
        <v>0.025629887054735</v>
      </c>
      <c r="G2149" s="107">
        <v>18</v>
      </c>
      <c r="H2149" s="106">
        <v>0.305084745762712</v>
      </c>
      <c r="I2149" s="104">
        <v>12</v>
      </c>
      <c r="J2149" s="106">
        <v>0.203389830508475</v>
      </c>
      <c r="K2149" s="108">
        <v>50</v>
      </c>
      <c r="L2149" s="108">
        <v>201.666666666667</v>
      </c>
      <c r="M2149" s="108">
        <v>290</v>
      </c>
      <c r="N2149" s="108">
        <v>325.142857142857</v>
      </c>
      <c r="O2149" s="108">
        <v>-6</v>
      </c>
      <c r="P2149" s="108">
        <v>2.66666666666666</v>
      </c>
      <c r="Q2149" s="108">
        <v>9</v>
      </c>
      <c r="R2149" s="115">
        <v>13.1428571428571</v>
      </c>
      <c r="S2149" s="108">
        <v>-9</v>
      </c>
      <c r="T2149" s="108">
        <v>-2.33333333333333</v>
      </c>
      <c r="U2149" s="108">
        <v>0</v>
      </c>
      <c r="V2149" s="115">
        <v>1</v>
      </c>
      <c r="W2149" s="154"/>
      <c r="X2149" s="154"/>
    </row>
    <row r="2150" customFormat="1" ht="14.45" customHeight="1" spans="1:22">
      <c r="A2150" s="143">
        <v>45110</v>
      </c>
      <c r="B2150" s="104" t="s">
        <v>23</v>
      </c>
      <c r="C2150" s="218">
        <v>1950</v>
      </c>
      <c r="D2150" s="218">
        <v>130</v>
      </c>
      <c r="E2150" s="217">
        <v>7</v>
      </c>
      <c r="F2150" s="106">
        <v>0.00358974358974359</v>
      </c>
      <c r="G2150" s="107">
        <v>4</v>
      </c>
      <c r="H2150" s="106">
        <v>0.571428571428571</v>
      </c>
      <c r="I2150" s="104">
        <v>3</v>
      </c>
      <c r="J2150" s="106">
        <v>0.428571428571429</v>
      </c>
      <c r="K2150" s="108">
        <v>-167</v>
      </c>
      <c r="L2150" s="108">
        <v>-171.333333333333</v>
      </c>
      <c r="M2150" s="108">
        <v>-122.6</v>
      </c>
      <c r="N2150" s="108">
        <v>-122.142857142857</v>
      </c>
      <c r="O2150" s="108">
        <v>5</v>
      </c>
      <c r="P2150" s="108">
        <v>2.66666666666667</v>
      </c>
      <c r="Q2150" s="108">
        <v>2</v>
      </c>
      <c r="R2150" s="108">
        <v>1.14285714285714</v>
      </c>
      <c r="S2150" s="108">
        <v>3</v>
      </c>
      <c r="T2150" s="108">
        <v>1</v>
      </c>
      <c r="U2150" s="108">
        <v>1</v>
      </c>
      <c r="V2150" s="108">
        <v>1.28571428571429</v>
      </c>
    </row>
    <row r="2151" customFormat="1" ht="14.45" customHeight="1" spans="1:24">
      <c r="A2151" s="143">
        <v>45110</v>
      </c>
      <c r="B2151" s="104" t="s">
        <v>24</v>
      </c>
      <c r="C2151" s="218">
        <v>1481</v>
      </c>
      <c r="D2151" s="218">
        <v>621</v>
      </c>
      <c r="E2151" s="217">
        <v>6</v>
      </c>
      <c r="F2151" s="106">
        <v>0.00405131667792032</v>
      </c>
      <c r="G2151" s="107">
        <v>1</v>
      </c>
      <c r="H2151" s="106">
        <v>0.166666666666667</v>
      </c>
      <c r="I2151" s="104">
        <v>0</v>
      </c>
      <c r="J2151" s="106">
        <v>0</v>
      </c>
      <c r="K2151" s="108">
        <v>-1974</v>
      </c>
      <c r="L2151" s="108">
        <v>83</v>
      </c>
      <c r="M2151" s="108">
        <v>464.6</v>
      </c>
      <c r="N2151" s="108">
        <v>566.428571428571</v>
      </c>
      <c r="O2151" s="115">
        <v>-3</v>
      </c>
      <c r="P2151" s="115">
        <v>1</v>
      </c>
      <c r="Q2151" s="108">
        <v>0</v>
      </c>
      <c r="R2151" s="115">
        <v>-1.85714285714286</v>
      </c>
      <c r="S2151" s="115">
        <v>-4</v>
      </c>
      <c r="T2151" s="115">
        <v>-2</v>
      </c>
      <c r="U2151" s="115">
        <v>-3.4</v>
      </c>
      <c r="V2151" s="115">
        <v>-3.71428571428571</v>
      </c>
      <c r="W2151" s="154"/>
      <c r="X2151" s="154"/>
    </row>
    <row r="2152" customFormat="1" ht="14.45" customHeight="1" spans="1:22">
      <c r="A2152" s="143">
        <v>45110</v>
      </c>
      <c r="B2152" s="104" t="s">
        <v>25</v>
      </c>
      <c r="C2152" s="218">
        <v>4241</v>
      </c>
      <c r="D2152" s="218">
        <v>717</v>
      </c>
      <c r="E2152" s="217">
        <v>44</v>
      </c>
      <c r="F2152" s="106">
        <v>0.0103749115774581</v>
      </c>
      <c r="G2152" s="107">
        <v>7</v>
      </c>
      <c r="H2152" s="106">
        <v>0.159090909090909</v>
      </c>
      <c r="I2152" s="104">
        <v>6</v>
      </c>
      <c r="J2152" s="106">
        <v>0.136363636363636</v>
      </c>
      <c r="K2152" s="108">
        <v>7</v>
      </c>
      <c r="L2152" s="108">
        <v>-77.333333333333</v>
      </c>
      <c r="M2152" s="108">
        <v>33.3999999999996</v>
      </c>
      <c r="N2152" s="108">
        <v>648.571428571428</v>
      </c>
      <c r="O2152" s="116">
        <v>18</v>
      </c>
      <c r="P2152" s="115">
        <v>9</v>
      </c>
      <c r="Q2152" s="115">
        <v>6.6</v>
      </c>
      <c r="R2152" s="115">
        <v>9.57142857142857</v>
      </c>
      <c r="S2152" s="108">
        <v>-4</v>
      </c>
      <c r="T2152" s="108">
        <v>-8.66666666666667</v>
      </c>
      <c r="U2152" s="108">
        <v>-9.4</v>
      </c>
      <c r="V2152" s="108">
        <v>-7.28571428571429</v>
      </c>
    </row>
    <row r="2153" customFormat="1" ht="14.45" customHeight="1" spans="1:22">
      <c r="A2153" s="143">
        <v>45110</v>
      </c>
      <c r="B2153" s="104" t="s">
        <v>26</v>
      </c>
      <c r="C2153" s="218">
        <v>254</v>
      </c>
      <c r="D2153" s="218">
        <v>1156</v>
      </c>
      <c r="E2153" s="217">
        <v>11</v>
      </c>
      <c r="F2153" s="106">
        <v>0.0433070866141732</v>
      </c>
      <c r="G2153" s="107">
        <v>3</v>
      </c>
      <c r="H2153" s="106">
        <v>0.272727272727273</v>
      </c>
      <c r="I2153" s="104">
        <v>2</v>
      </c>
      <c r="J2153" s="106">
        <v>0.181818181818182</v>
      </c>
      <c r="K2153" s="108">
        <v>251</v>
      </c>
      <c r="L2153" s="108">
        <v>252.333333333333</v>
      </c>
      <c r="M2153" s="108">
        <v>252.4</v>
      </c>
      <c r="N2153" s="108">
        <v>252.428571428571</v>
      </c>
      <c r="O2153" s="108">
        <v>6</v>
      </c>
      <c r="P2153" s="108">
        <v>1.66666666666667</v>
      </c>
      <c r="Q2153" s="108">
        <v>2.8</v>
      </c>
      <c r="R2153" s="108">
        <v>3.57142857142857</v>
      </c>
      <c r="S2153" s="108">
        <v>2</v>
      </c>
      <c r="T2153" s="108">
        <v>1</v>
      </c>
      <c r="U2153" s="108">
        <v>1</v>
      </c>
      <c r="V2153" s="108">
        <v>0.857142857142857</v>
      </c>
    </row>
    <row r="2154" customFormat="1" ht="14.45" customHeight="1" spans="1:22">
      <c r="A2154" s="143">
        <v>45110</v>
      </c>
      <c r="B2154" s="104" t="s">
        <v>27</v>
      </c>
      <c r="C2154" s="218">
        <v>1350</v>
      </c>
      <c r="D2154" s="218">
        <v>328</v>
      </c>
      <c r="E2154" s="217">
        <v>15</v>
      </c>
      <c r="F2154" s="106">
        <v>0.0111111111111111</v>
      </c>
      <c r="G2154" s="107">
        <v>7</v>
      </c>
      <c r="H2154" s="106">
        <v>0.466666666666667</v>
      </c>
      <c r="I2154" s="104">
        <v>4</v>
      </c>
      <c r="J2154" s="106">
        <v>0.266666666666667</v>
      </c>
      <c r="K2154" s="108">
        <v>23</v>
      </c>
      <c r="L2154" s="108">
        <v>87.6666666666667</v>
      </c>
      <c r="M2154" s="108">
        <v>87.8</v>
      </c>
      <c r="N2154" s="108">
        <v>-22.7142857142858</v>
      </c>
      <c r="O2154" s="108">
        <v>3</v>
      </c>
      <c r="P2154" s="108">
        <v>0</v>
      </c>
      <c r="Q2154" s="108">
        <v>1.8</v>
      </c>
      <c r="R2154" s="108">
        <v>0</v>
      </c>
      <c r="S2154" s="108">
        <v>6</v>
      </c>
      <c r="T2154" s="108">
        <v>3.33333333333333</v>
      </c>
      <c r="U2154" s="108">
        <v>4</v>
      </c>
      <c r="V2154" s="108">
        <v>3.71428571428571</v>
      </c>
    </row>
    <row r="2155" customFormat="1" ht="14.45" hidden="1" customHeight="1" spans="1:22">
      <c r="A2155" s="143">
        <v>45110</v>
      </c>
      <c r="B2155" s="104" t="s">
        <v>28</v>
      </c>
      <c r="C2155" s="145">
        <v>0</v>
      </c>
      <c r="D2155" s="145"/>
      <c r="E2155" s="104">
        <v>0</v>
      </c>
      <c r="F2155" s="106">
        <v>0</v>
      </c>
      <c r="G2155" s="107">
        <v>0</v>
      </c>
      <c r="H2155" s="106">
        <v>0</v>
      </c>
      <c r="I2155" s="104">
        <v>0</v>
      </c>
      <c r="J2155" s="106">
        <v>0</v>
      </c>
      <c r="K2155" s="108">
        <v>0</v>
      </c>
      <c r="L2155" s="108">
        <v>0</v>
      </c>
      <c r="M2155" s="108">
        <v>0</v>
      </c>
      <c r="N2155" s="108">
        <v>0</v>
      </c>
      <c r="O2155" s="108">
        <v>0</v>
      </c>
      <c r="P2155" s="108">
        <v>0</v>
      </c>
      <c r="Q2155" s="108">
        <v>0</v>
      </c>
      <c r="R2155" s="108">
        <v>0</v>
      </c>
      <c r="S2155" s="108">
        <v>0</v>
      </c>
      <c r="T2155" s="108">
        <v>0</v>
      </c>
      <c r="U2155" s="108">
        <v>0</v>
      </c>
      <c r="V2155" s="108">
        <v>0</v>
      </c>
    </row>
    <row r="2156" customFormat="1" ht="14.45" hidden="1" customHeight="1" spans="1:22">
      <c r="A2156" s="143">
        <v>45110</v>
      </c>
      <c r="B2156" s="104" t="s">
        <v>29</v>
      </c>
      <c r="C2156" s="145">
        <v>0</v>
      </c>
      <c r="D2156" s="145"/>
      <c r="E2156" s="104">
        <v>0</v>
      </c>
      <c r="F2156" s="106">
        <v>0</v>
      </c>
      <c r="G2156" s="107">
        <v>0</v>
      </c>
      <c r="H2156" s="106">
        <v>0</v>
      </c>
      <c r="I2156" s="104">
        <v>0</v>
      </c>
      <c r="J2156" s="106">
        <v>0</v>
      </c>
      <c r="K2156" s="108">
        <v>0</v>
      </c>
      <c r="L2156" s="108">
        <v>0</v>
      </c>
      <c r="M2156" s="108">
        <v>0</v>
      </c>
      <c r="N2156" s="108">
        <v>0</v>
      </c>
      <c r="O2156" s="108">
        <v>0</v>
      </c>
      <c r="P2156" s="108">
        <v>0</v>
      </c>
      <c r="Q2156" s="108">
        <v>0</v>
      </c>
      <c r="R2156" s="108">
        <v>0</v>
      </c>
      <c r="S2156" s="108">
        <v>0</v>
      </c>
      <c r="T2156" s="108">
        <v>0</v>
      </c>
      <c r="U2156" s="108">
        <v>0</v>
      </c>
      <c r="V2156" s="108">
        <v>0</v>
      </c>
    </row>
    <row r="2157" customFormat="1" ht="14.45" hidden="1" customHeight="1" spans="1:22">
      <c r="A2157" s="143">
        <v>45110</v>
      </c>
      <c r="B2157" s="104" t="s">
        <v>30</v>
      </c>
      <c r="C2157" s="145">
        <v>0</v>
      </c>
      <c r="D2157" s="145"/>
      <c r="E2157" s="104">
        <v>0</v>
      </c>
      <c r="F2157" s="106">
        <v>0</v>
      </c>
      <c r="G2157" s="107">
        <v>0</v>
      </c>
      <c r="H2157" s="106">
        <v>0</v>
      </c>
      <c r="I2157" s="104">
        <v>0</v>
      </c>
      <c r="J2157" s="106">
        <v>0</v>
      </c>
      <c r="K2157" s="108">
        <v>0</v>
      </c>
      <c r="L2157" s="108">
        <v>0</v>
      </c>
      <c r="M2157" s="108">
        <v>0</v>
      </c>
      <c r="N2157" s="108">
        <v>0</v>
      </c>
      <c r="O2157" s="108">
        <v>0</v>
      </c>
      <c r="P2157" s="108">
        <v>0</v>
      </c>
      <c r="Q2157" s="108">
        <v>0</v>
      </c>
      <c r="R2157" s="108">
        <v>0</v>
      </c>
      <c r="S2157" s="108">
        <v>0</v>
      </c>
      <c r="T2157" s="108">
        <v>0</v>
      </c>
      <c r="U2157" s="108">
        <v>0</v>
      </c>
      <c r="V2157" s="108">
        <v>0</v>
      </c>
    </row>
    <row r="2158" customFormat="1" ht="14.45" hidden="1" customHeight="1" spans="1:22">
      <c r="A2158" s="143">
        <v>45110</v>
      </c>
      <c r="B2158" s="104" t="s">
        <v>31</v>
      </c>
      <c r="C2158" s="145">
        <v>0</v>
      </c>
      <c r="D2158" s="145"/>
      <c r="E2158" s="104">
        <v>0</v>
      </c>
      <c r="F2158" s="106">
        <v>0</v>
      </c>
      <c r="G2158" s="107">
        <v>0</v>
      </c>
      <c r="H2158" s="106">
        <v>0</v>
      </c>
      <c r="I2158" s="104">
        <v>0</v>
      </c>
      <c r="J2158" s="106">
        <v>0</v>
      </c>
      <c r="K2158" s="108">
        <v>0</v>
      </c>
      <c r="L2158" s="108">
        <v>0</v>
      </c>
      <c r="M2158" s="108">
        <v>0</v>
      </c>
      <c r="N2158" s="108">
        <v>0</v>
      </c>
      <c r="O2158" s="108">
        <v>0</v>
      </c>
      <c r="P2158" s="108">
        <v>0</v>
      </c>
      <c r="Q2158" s="108">
        <v>0</v>
      </c>
      <c r="R2158" s="108">
        <v>0</v>
      </c>
      <c r="S2158" s="108">
        <v>0</v>
      </c>
      <c r="T2158" s="108">
        <v>0</v>
      </c>
      <c r="U2158" s="108">
        <v>0</v>
      </c>
      <c r="V2158" s="108">
        <v>0</v>
      </c>
    </row>
    <row r="2159" customFormat="1" ht="14.45" hidden="1" customHeight="1" spans="1:22">
      <c r="A2159" s="143">
        <v>45110</v>
      </c>
      <c r="B2159" s="104" t="s">
        <v>32</v>
      </c>
      <c r="C2159" s="145">
        <v>0</v>
      </c>
      <c r="D2159" s="145"/>
      <c r="E2159" s="104">
        <v>0</v>
      </c>
      <c r="F2159" s="106">
        <v>0</v>
      </c>
      <c r="G2159" s="107">
        <v>0</v>
      </c>
      <c r="H2159" s="106">
        <v>0</v>
      </c>
      <c r="I2159" s="104">
        <v>0</v>
      </c>
      <c r="J2159" s="106">
        <v>0</v>
      </c>
      <c r="K2159" s="108">
        <v>0</v>
      </c>
      <c r="L2159" s="108">
        <v>0</v>
      </c>
      <c r="M2159" s="108">
        <v>0</v>
      </c>
      <c r="N2159" s="108">
        <v>0</v>
      </c>
      <c r="O2159" s="108">
        <v>0</v>
      </c>
      <c r="P2159" s="108">
        <v>0</v>
      </c>
      <c r="Q2159" s="108">
        <v>0</v>
      </c>
      <c r="R2159" s="108">
        <v>0</v>
      </c>
      <c r="S2159" s="108">
        <v>0</v>
      </c>
      <c r="T2159" s="108">
        <v>0</v>
      </c>
      <c r="U2159" s="108">
        <v>0</v>
      </c>
      <c r="V2159" s="108">
        <v>0</v>
      </c>
    </row>
    <row r="2160" customFormat="1" hidden="1" spans="1:22">
      <c r="A2160" s="143">
        <v>45110</v>
      </c>
      <c r="B2160" s="104" t="s">
        <v>33</v>
      </c>
      <c r="C2160" s="145">
        <v>0</v>
      </c>
      <c r="D2160" s="145"/>
      <c r="E2160" s="104">
        <v>0</v>
      </c>
      <c r="F2160" s="106">
        <v>0</v>
      </c>
      <c r="G2160" s="107">
        <v>0</v>
      </c>
      <c r="H2160" s="106">
        <v>0</v>
      </c>
      <c r="I2160" s="104">
        <v>0</v>
      </c>
      <c r="J2160" s="106">
        <v>0</v>
      </c>
      <c r="K2160" s="108">
        <v>0</v>
      </c>
      <c r="L2160" s="108">
        <v>0</v>
      </c>
      <c r="M2160" s="108">
        <v>0</v>
      </c>
      <c r="N2160" s="108">
        <v>0</v>
      </c>
      <c r="O2160" s="108">
        <v>0</v>
      </c>
      <c r="P2160" s="108">
        <v>0</v>
      </c>
      <c r="Q2160" s="108">
        <v>0</v>
      </c>
      <c r="R2160" s="108">
        <v>0</v>
      </c>
      <c r="S2160" s="108">
        <v>0</v>
      </c>
      <c r="T2160" s="108">
        <v>0</v>
      </c>
      <c r="U2160" s="108">
        <v>0</v>
      </c>
      <c r="V2160" s="108">
        <v>0</v>
      </c>
    </row>
    <row r="2161" customFormat="1" hidden="1" spans="1:22">
      <c r="A2161" s="143">
        <v>45110</v>
      </c>
      <c r="B2161" s="104" t="s">
        <v>34</v>
      </c>
      <c r="C2161" s="145">
        <v>0</v>
      </c>
      <c r="D2161" s="145"/>
      <c r="E2161" s="104">
        <v>0</v>
      </c>
      <c r="F2161" s="106">
        <v>0</v>
      </c>
      <c r="G2161" s="107">
        <v>0</v>
      </c>
      <c r="H2161" s="106">
        <v>0</v>
      </c>
      <c r="I2161" s="104">
        <v>0</v>
      </c>
      <c r="J2161" s="106">
        <v>0</v>
      </c>
      <c r="K2161" s="108">
        <v>0</v>
      </c>
      <c r="L2161" s="108">
        <v>0</v>
      </c>
      <c r="M2161" s="108">
        <v>0</v>
      </c>
      <c r="N2161" s="108">
        <v>0</v>
      </c>
      <c r="O2161" s="108">
        <v>0</v>
      </c>
      <c r="P2161" s="108">
        <v>0</v>
      </c>
      <c r="Q2161" s="108">
        <v>0</v>
      </c>
      <c r="R2161" s="108">
        <v>0</v>
      </c>
      <c r="S2161" s="108">
        <v>0</v>
      </c>
      <c r="T2161" s="108">
        <v>0</v>
      </c>
      <c r="U2161" s="108">
        <v>0</v>
      </c>
      <c r="V2161" s="108">
        <v>0</v>
      </c>
    </row>
    <row r="2162" customFormat="1" hidden="1" spans="1:22">
      <c r="A2162" s="143">
        <v>45110</v>
      </c>
      <c r="B2162" s="104" t="s">
        <v>35</v>
      </c>
      <c r="C2162" s="145">
        <v>0</v>
      </c>
      <c r="D2162" s="145"/>
      <c r="E2162" s="104">
        <v>0</v>
      </c>
      <c r="F2162" s="106">
        <v>0</v>
      </c>
      <c r="G2162" s="107">
        <v>0</v>
      </c>
      <c r="H2162" s="106">
        <v>0</v>
      </c>
      <c r="I2162" s="104">
        <v>0</v>
      </c>
      <c r="J2162" s="106">
        <v>0</v>
      </c>
      <c r="K2162" s="108">
        <v>0</v>
      </c>
      <c r="L2162" s="108">
        <v>0</v>
      </c>
      <c r="M2162" s="108">
        <v>0</v>
      </c>
      <c r="N2162" s="108">
        <v>0</v>
      </c>
      <c r="O2162" s="108">
        <v>0</v>
      </c>
      <c r="P2162" s="108">
        <v>0</v>
      </c>
      <c r="Q2162" s="108">
        <v>0</v>
      </c>
      <c r="R2162" s="108">
        <v>0</v>
      </c>
      <c r="S2162" s="108">
        <v>0</v>
      </c>
      <c r="T2162" s="108">
        <v>0</v>
      </c>
      <c r="U2162" s="108">
        <v>0</v>
      </c>
      <c r="V2162" s="108">
        <v>0</v>
      </c>
    </row>
    <row r="2163" customFormat="1" hidden="1" spans="1:22">
      <c r="A2163" s="143">
        <v>45110</v>
      </c>
      <c r="B2163" s="104" t="s">
        <v>36</v>
      </c>
      <c r="C2163" s="145">
        <v>0</v>
      </c>
      <c r="D2163" s="145"/>
      <c r="E2163" s="104">
        <v>0</v>
      </c>
      <c r="F2163" s="106">
        <v>0</v>
      </c>
      <c r="G2163" s="107">
        <v>0</v>
      </c>
      <c r="H2163" s="106">
        <v>0</v>
      </c>
      <c r="I2163" s="104">
        <v>0</v>
      </c>
      <c r="J2163" s="106">
        <v>0</v>
      </c>
      <c r="K2163" s="108">
        <v>0</v>
      </c>
      <c r="L2163" s="108">
        <v>0</v>
      </c>
      <c r="M2163" s="108">
        <v>0</v>
      </c>
      <c r="N2163" s="108">
        <v>0</v>
      </c>
      <c r="O2163" s="108">
        <v>0</v>
      </c>
      <c r="P2163" s="108">
        <v>0</v>
      </c>
      <c r="Q2163" s="108">
        <v>0</v>
      </c>
      <c r="R2163" s="108">
        <v>0</v>
      </c>
      <c r="S2163" s="108">
        <v>0</v>
      </c>
      <c r="T2163" s="108">
        <v>0</v>
      </c>
      <c r="U2163" s="108">
        <v>0</v>
      </c>
      <c r="V2163" s="108">
        <v>0</v>
      </c>
    </row>
    <row r="2164" customFormat="1" hidden="1" spans="1:22">
      <c r="A2164" s="143">
        <v>45110</v>
      </c>
      <c r="B2164" s="104" t="s">
        <v>37</v>
      </c>
      <c r="C2164" s="145">
        <v>0</v>
      </c>
      <c r="D2164" s="145"/>
      <c r="E2164" s="104">
        <v>1</v>
      </c>
      <c r="F2164" s="106">
        <v>0</v>
      </c>
      <c r="G2164" s="107">
        <v>0</v>
      </c>
      <c r="H2164" s="106">
        <v>0</v>
      </c>
      <c r="I2164" s="104">
        <v>0</v>
      </c>
      <c r="J2164" s="106">
        <v>0</v>
      </c>
      <c r="K2164" s="108">
        <v>0</v>
      </c>
      <c r="L2164" s="108">
        <v>0</v>
      </c>
      <c r="M2164" s="108">
        <v>0</v>
      </c>
      <c r="N2164" s="108">
        <v>0</v>
      </c>
      <c r="O2164" s="108">
        <v>1</v>
      </c>
      <c r="P2164" s="108">
        <v>0.333333333333333</v>
      </c>
      <c r="Q2164" s="108">
        <v>0.6</v>
      </c>
      <c r="R2164" s="108">
        <v>0.714285714285714</v>
      </c>
      <c r="S2164" s="108">
        <v>0</v>
      </c>
      <c r="T2164" s="108">
        <v>-0.333333333333333</v>
      </c>
      <c r="U2164" s="108">
        <v>-0.2</v>
      </c>
      <c r="V2164" s="108">
        <v>-0.142857142857143</v>
      </c>
    </row>
    <row r="2165" customFormat="1" hidden="1" spans="1:22">
      <c r="A2165" s="143">
        <v>45110</v>
      </c>
      <c r="B2165" s="104" t="s">
        <v>38</v>
      </c>
      <c r="C2165" s="145">
        <v>0</v>
      </c>
      <c r="D2165" s="145"/>
      <c r="E2165" s="104">
        <v>0</v>
      </c>
      <c r="F2165" s="106">
        <v>0</v>
      </c>
      <c r="G2165" s="107">
        <v>0</v>
      </c>
      <c r="H2165" s="106">
        <v>0</v>
      </c>
      <c r="I2165" s="104">
        <v>0</v>
      </c>
      <c r="J2165" s="106">
        <v>0</v>
      </c>
      <c r="K2165" s="108">
        <v>0</v>
      </c>
      <c r="L2165" s="108">
        <v>0</v>
      </c>
      <c r="M2165" s="108">
        <v>0</v>
      </c>
      <c r="N2165" s="108">
        <v>0</v>
      </c>
      <c r="O2165" s="108">
        <v>0</v>
      </c>
      <c r="P2165" s="108">
        <v>0</v>
      </c>
      <c r="Q2165" s="108">
        <v>0</v>
      </c>
      <c r="R2165" s="108">
        <v>0</v>
      </c>
      <c r="S2165" s="108">
        <v>0</v>
      </c>
      <c r="T2165" s="108">
        <v>0</v>
      </c>
      <c r="U2165" s="108">
        <v>0</v>
      </c>
      <c r="V2165" s="108">
        <v>0</v>
      </c>
    </row>
    <row r="2166" customFormat="1" spans="1:22">
      <c r="A2166" s="143">
        <v>45110</v>
      </c>
      <c r="B2166" s="111" t="s">
        <v>39</v>
      </c>
      <c r="C2166" s="112">
        <v>12600</v>
      </c>
      <c r="D2166" s="112">
        <v>5355</v>
      </c>
      <c r="E2166" s="112">
        <v>216</v>
      </c>
      <c r="F2166" s="106">
        <v>0.0171428571428571</v>
      </c>
      <c r="G2166" s="112">
        <v>54</v>
      </c>
      <c r="H2166" s="113">
        <v>0.25</v>
      </c>
      <c r="I2166" s="112">
        <v>37</v>
      </c>
      <c r="J2166" s="106">
        <v>0.171296296296296</v>
      </c>
      <c r="K2166" s="108"/>
      <c r="L2166" s="108"/>
      <c r="M2166" s="108"/>
      <c r="N2166" s="108"/>
      <c r="O2166" s="108"/>
      <c r="P2166" s="108"/>
      <c r="Q2166" s="108"/>
      <c r="R2166" s="108"/>
      <c r="S2166" s="108"/>
      <c r="T2166" s="108"/>
      <c r="U2166" s="108"/>
      <c r="V2166" s="108"/>
    </row>
    <row r="2167" spans="1:24">
      <c r="A2167" s="143">
        <v>45111</v>
      </c>
      <c r="B2167" s="104" t="s">
        <v>17</v>
      </c>
      <c r="C2167" s="216">
        <v>1</v>
      </c>
      <c r="D2167" s="216">
        <v>392</v>
      </c>
      <c r="E2167" s="217">
        <v>40</v>
      </c>
      <c r="F2167" s="106">
        <v>40</v>
      </c>
      <c r="G2167" s="107">
        <v>9</v>
      </c>
      <c r="H2167" s="106">
        <v>0.225</v>
      </c>
      <c r="I2167" s="104">
        <v>6</v>
      </c>
      <c r="J2167" s="106">
        <v>0.15</v>
      </c>
      <c r="K2167" s="108">
        <v>-1</v>
      </c>
      <c r="L2167" s="108">
        <v>0</v>
      </c>
      <c r="M2167" s="108">
        <v>-0.6</v>
      </c>
      <c r="N2167" s="108">
        <v>-0.714285714285714</v>
      </c>
      <c r="O2167" s="108">
        <v>-10</v>
      </c>
      <c r="P2167" s="108">
        <v>-6.66666666666666</v>
      </c>
      <c r="Q2167" s="108">
        <v>-3.6</v>
      </c>
      <c r="R2167" s="108">
        <v>-5.42857142857143</v>
      </c>
      <c r="S2167" s="108">
        <v>-2</v>
      </c>
      <c r="T2167" s="108">
        <v>-1.66666666666667</v>
      </c>
      <c r="U2167" s="108">
        <v>-1</v>
      </c>
      <c r="V2167" s="108">
        <v>-2</v>
      </c>
      <c r="X2167" t="s">
        <v>18</v>
      </c>
    </row>
    <row r="2168" spans="1:22">
      <c r="A2168" s="143">
        <v>45111</v>
      </c>
      <c r="B2168" s="104" t="s">
        <v>19</v>
      </c>
      <c r="C2168" s="216">
        <v>508</v>
      </c>
      <c r="D2168" s="216">
        <v>367</v>
      </c>
      <c r="E2168" s="217">
        <v>11</v>
      </c>
      <c r="F2168" s="106">
        <v>0.0216535433070866</v>
      </c>
      <c r="G2168" s="107">
        <v>3</v>
      </c>
      <c r="H2168" s="106">
        <v>0.272727272727273</v>
      </c>
      <c r="I2168" s="104">
        <v>1</v>
      </c>
      <c r="J2168" s="106">
        <v>0.0909090909090909</v>
      </c>
      <c r="K2168" s="108">
        <v>-223</v>
      </c>
      <c r="L2168" s="108">
        <v>-284</v>
      </c>
      <c r="M2168" s="108">
        <v>-237.8</v>
      </c>
      <c r="N2168" s="108">
        <v>-207.714285714286</v>
      </c>
      <c r="O2168" s="108">
        <v>-6</v>
      </c>
      <c r="P2168" s="108">
        <v>-4</v>
      </c>
      <c r="Q2168" s="108">
        <v>-4.2</v>
      </c>
      <c r="R2168" s="108">
        <v>-4.14285714285714</v>
      </c>
      <c r="S2168" s="108">
        <v>1</v>
      </c>
      <c r="T2168" s="108">
        <v>-2.66666666666667</v>
      </c>
      <c r="U2168" s="108">
        <v>-3.2</v>
      </c>
      <c r="V2168" s="115">
        <v>-3</v>
      </c>
    </row>
    <row r="2169" spans="1:22">
      <c r="A2169" s="143">
        <v>45111</v>
      </c>
      <c r="B2169" s="104" t="s">
        <v>21</v>
      </c>
      <c r="C2169" s="218">
        <v>282</v>
      </c>
      <c r="D2169" s="218">
        <v>347</v>
      </c>
      <c r="E2169" s="217">
        <v>2</v>
      </c>
      <c r="F2169" s="106">
        <v>0.00709219858156028</v>
      </c>
      <c r="G2169" s="107">
        <v>0</v>
      </c>
      <c r="H2169" s="106">
        <v>0</v>
      </c>
      <c r="I2169" s="104">
        <v>0</v>
      </c>
      <c r="J2169" s="106">
        <v>0</v>
      </c>
      <c r="K2169" s="108">
        <v>-7</v>
      </c>
      <c r="L2169" s="108">
        <v>-12.6666666666667</v>
      </c>
      <c r="M2169" s="108">
        <v>20</v>
      </c>
      <c r="N2169" s="108">
        <v>35.1428571428571</v>
      </c>
      <c r="O2169" s="108">
        <v>-4</v>
      </c>
      <c r="P2169" s="108">
        <v>-2.66666666666667</v>
      </c>
      <c r="Q2169" s="108">
        <v>-2.8</v>
      </c>
      <c r="R2169" s="108">
        <v>-2</v>
      </c>
      <c r="S2169" s="108">
        <v>-1</v>
      </c>
      <c r="T2169" s="108">
        <v>-2</v>
      </c>
      <c r="U2169" s="108">
        <v>-2.2</v>
      </c>
      <c r="V2169" s="108">
        <v>-1.71428571428571</v>
      </c>
    </row>
    <row r="2170" spans="1:22">
      <c r="A2170" s="143">
        <v>45111</v>
      </c>
      <c r="B2170" s="104" t="s">
        <v>22</v>
      </c>
      <c r="C2170" s="218">
        <v>2047</v>
      </c>
      <c r="D2170" s="218">
        <v>1144</v>
      </c>
      <c r="E2170" s="217">
        <v>60</v>
      </c>
      <c r="F2170" s="106">
        <v>0.0293111871030777</v>
      </c>
      <c r="G2170" s="107">
        <v>24</v>
      </c>
      <c r="H2170" s="106">
        <v>0.4</v>
      </c>
      <c r="I2170" s="104">
        <v>16</v>
      </c>
      <c r="J2170" s="106">
        <v>0.266666666666667</v>
      </c>
      <c r="K2170" s="108">
        <v>-255</v>
      </c>
      <c r="L2170" s="108">
        <v>-192</v>
      </c>
      <c r="M2170" s="108">
        <v>-53.5999999999999</v>
      </c>
      <c r="N2170" s="108">
        <v>18</v>
      </c>
      <c r="O2170" s="108">
        <v>1</v>
      </c>
      <c r="P2170" s="108">
        <v>0</v>
      </c>
      <c r="Q2170" s="108">
        <v>5.4</v>
      </c>
      <c r="R2170" s="115">
        <v>11.7142857142857</v>
      </c>
      <c r="S2170" s="108">
        <v>6</v>
      </c>
      <c r="T2170" s="108">
        <v>2.66666666666667</v>
      </c>
      <c r="U2170" s="108">
        <v>4.4</v>
      </c>
      <c r="V2170" s="117">
        <v>7</v>
      </c>
    </row>
    <row r="2171" spans="1:22">
      <c r="A2171" s="143">
        <v>45111</v>
      </c>
      <c r="B2171" s="104" t="s">
        <v>23</v>
      </c>
      <c r="C2171" s="218">
        <v>1948</v>
      </c>
      <c r="D2171" s="218">
        <v>121</v>
      </c>
      <c r="E2171" s="217">
        <v>4</v>
      </c>
      <c r="F2171" s="106">
        <v>0.00205338809034908</v>
      </c>
      <c r="G2171" s="107">
        <v>1</v>
      </c>
      <c r="H2171" s="106">
        <v>0.25</v>
      </c>
      <c r="I2171" s="104">
        <v>1</v>
      </c>
      <c r="J2171" s="106">
        <v>0.25</v>
      </c>
      <c r="K2171" s="108">
        <v>-2</v>
      </c>
      <c r="L2171" s="108">
        <v>-122</v>
      </c>
      <c r="M2171" s="108">
        <v>-130</v>
      </c>
      <c r="N2171" s="108">
        <v>-93.4285714285713</v>
      </c>
      <c r="O2171" s="108">
        <v>-3</v>
      </c>
      <c r="P2171" s="108">
        <v>0</v>
      </c>
      <c r="Q2171" s="108">
        <v>-1.4</v>
      </c>
      <c r="R2171" s="108">
        <v>-1.57142857142857</v>
      </c>
      <c r="S2171" s="108">
        <v>-3</v>
      </c>
      <c r="T2171" s="116">
        <v>-2</v>
      </c>
      <c r="U2171" s="108">
        <v>-2.2</v>
      </c>
      <c r="V2171" s="108">
        <v>-2.14285714285714</v>
      </c>
    </row>
    <row r="2172" spans="1:22">
      <c r="A2172" s="143">
        <v>45111</v>
      </c>
      <c r="B2172" s="104" t="s">
        <v>24</v>
      </c>
      <c r="C2172" s="218">
        <v>347</v>
      </c>
      <c r="D2172" s="218">
        <v>574</v>
      </c>
      <c r="E2172" s="217">
        <v>2</v>
      </c>
      <c r="F2172" s="106">
        <v>0.00576368876080692</v>
      </c>
      <c r="G2172" s="107">
        <v>0</v>
      </c>
      <c r="H2172" s="106">
        <v>0</v>
      </c>
      <c r="I2172" s="104">
        <v>0</v>
      </c>
      <c r="J2172" s="106">
        <v>0</v>
      </c>
      <c r="K2172" s="108">
        <v>-1134</v>
      </c>
      <c r="L2172" s="108">
        <v>-1426.33333333333</v>
      </c>
      <c r="M2172" s="108">
        <v>-856.6</v>
      </c>
      <c r="N2172" s="108">
        <v>-672.428571428571</v>
      </c>
      <c r="O2172" s="115">
        <v>-4</v>
      </c>
      <c r="P2172" s="115">
        <v>-4.33333333333333</v>
      </c>
      <c r="Q2172" s="115">
        <v>-3.4</v>
      </c>
      <c r="R2172" s="115">
        <v>-4.28571428571429</v>
      </c>
      <c r="S2172" s="115">
        <v>-1</v>
      </c>
      <c r="T2172" s="115">
        <v>-3.33333333333333</v>
      </c>
      <c r="U2172" s="115">
        <v>-3.6</v>
      </c>
      <c r="V2172" s="115">
        <v>-4.14285714285714</v>
      </c>
    </row>
    <row r="2173" spans="1:22">
      <c r="A2173" s="143">
        <v>45111</v>
      </c>
      <c r="B2173" s="104" t="s">
        <v>25</v>
      </c>
      <c r="C2173" s="218">
        <v>4167</v>
      </c>
      <c r="D2173" s="218">
        <v>640</v>
      </c>
      <c r="E2173" s="217">
        <v>22</v>
      </c>
      <c r="F2173" s="106">
        <v>0.0052795776337893</v>
      </c>
      <c r="G2173" s="107">
        <v>12</v>
      </c>
      <c r="H2173" s="106">
        <v>0.545454545454545</v>
      </c>
      <c r="I2173" s="104">
        <v>5</v>
      </c>
      <c r="J2173" s="106">
        <v>0.227272727272727</v>
      </c>
      <c r="K2173" s="108">
        <v>-74</v>
      </c>
      <c r="L2173" s="108">
        <v>-38</v>
      </c>
      <c r="M2173" s="108">
        <v>-186.6</v>
      </c>
      <c r="N2173" s="108">
        <v>262.857142857143</v>
      </c>
      <c r="O2173" s="116">
        <v>-22</v>
      </c>
      <c r="P2173" s="115">
        <v>-14.3333333333333</v>
      </c>
      <c r="Q2173" s="115">
        <v>-15.8</v>
      </c>
      <c r="R2173" s="115">
        <v>-13.8571428571429</v>
      </c>
      <c r="S2173" s="108">
        <v>5</v>
      </c>
      <c r="T2173" s="108">
        <v>0</v>
      </c>
      <c r="U2173" s="108">
        <v>-1.8</v>
      </c>
      <c r="V2173" s="108">
        <v>-1.28571428571429</v>
      </c>
    </row>
    <row r="2174" spans="1:22">
      <c r="A2174" s="143">
        <v>45111</v>
      </c>
      <c r="B2174" s="104" t="s">
        <v>26</v>
      </c>
      <c r="C2174" s="218">
        <v>1003</v>
      </c>
      <c r="D2174" s="218">
        <v>1209</v>
      </c>
      <c r="E2174" s="217">
        <v>5</v>
      </c>
      <c r="F2174" s="106">
        <v>0.00498504486540379</v>
      </c>
      <c r="G2174" s="107">
        <v>3</v>
      </c>
      <c r="H2174" s="106">
        <v>0.6</v>
      </c>
      <c r="I2174" s="104">
        <v>1</v>
      </c>
      <c r="J2174" s="106">
        <v>0.2</v>
      </c>
      <c r="K2174" s="108">
        <v>749</v>
      </c>
      <c r="L2174" s="108">
        <v>917.333333333333</v>
      </c>
      <c r="M2174" s="108">
        <v>950.8</v>
      </c>
      <c r="N2174" s="108">
        <v>965.428571428571</v>
      </c>
      <c r="O2174" s="108">
        <v>-6</v>
      </c>
      <c r="P2174" s="108">
        <v>-4.33333333333333</v>
      </c>
      <c r="Q2174" s="108">
        <v>-4.4</v>
      </c>
      <c r="R2174" s="108">
        <v>-2.71428571428571</v>
      </c>
      <c r="S2174" s="108">
        <v>0</v>
      </c>
      <c r="T2174" s="108">
        <v>1.33333333333333</v>
      </c>
      <c r="U2174" s="108">
        <v>0.8</v>
      </c>
      <c r="V2174" s="108">
        <v>0.857142857142857</v>
      </c>
    </row>
    <row r="2175" spans="1:22">
      <c r="A2175" s="143">
        <v>45111</v>
      </c>
      <c r="B2175" s="104" t="s">
        <v>27</v>
      </c>
      <c r="C2175" s="218">
        <v>1480</v>
      </c>
      <c r="D2175" s="218">
        <v>351</v>
      </c>
      <c r="E2175" s="217">
        <v>9</v>
      </c>
      <c r="F2175" s="106">
        <v>0.00608108108108108</v>
      </c>
      <c r="G2175" s="107">
        <v>5</v>
      </c>
      <c r="H2175" s="106">
        <v>0.555555555555556</v>
      </c>
      <c r="I2175" s="104">
        <v>2</v>
      </c>
      <c r="J2175" s="106">
        <v>0.222222222222222</v>
      </c>
      <c r="K2175" s="108">
        <v>130</v>
      </c>
      <c r="L2175" s="108">
        <v>167.666666666667</v>
      </c>
      <c r="M2175" s="108">
        <v>198.6</v>
      </c>
      <c r="N2175" s="108">
        <v>160.428571428571</v>
      </c>
      <c r="O2175" s="108">
        <v>-6</v>
      </c>
      <c r="P2175" s="108">
        <v>-5.66666666666667</v>
      </c>
      <c r="Q2175" s="108">
        <v>-5.4</v>
      </c>
      <c r="R2175" s="108">
        <v>-5.14285714285714</v>
      </c>
      <c r="S2175" s="108">
        <v>-2</v>
      </c>
      <c r="T2175" s="108">
        <v>0.333333333333333</v>
      </c>
      <c r="U2175" s="108">
        <v>0.8</v>
      </c>
      <c r="V2175" s="108">
        <v>1.57142857142857</v>
      </c>
    </row>
    <row r="2176" hidden="1" spans="1:22">
      <c r="A2176" s="143">
        <v>45111</v>
      </c>
      <c r="B2176" s="104" t="s">
        <v>28</v>
      </c>
      <c r="C2176" s="145">
        <v>0</v>
      </c>
      <c r="D2176" s="145"/>
      <c r="E2176" s="104">
        <v>0</v>
      </c>
      <c r="F2176" s="106">
        <v>0</v>
      </c>
      <c r="G2176" s="107">
        <v>0</v>
      </c>
      <c r="H2176" s="106">
        <v>0</v>
      </c>
      <c r="I2176" s="104">
        <v>0</v>
      </c>
      <c r="J2176" s="106">
        <v>0</v>
      </c>
      <c r="K2176" s="108">
        <v>0</v>
      </c>
      <c r="L2176" s="108">
        <v>0</v>
      </c>
      <c r="M2176" s="108">
        <v>0</v>
      </c>
      <c r="N2176" s="108">
        <v>0</v>
      </c>
      <c r="O2176" s="108">
        <v>0</v>
      </c>
      <c r="P2176" s="108">
        <v>0</v>
      </c>
      <c r="Q2176" s="108">
        <v>0</v>
      </c>
      <c r="R2176" s="108">
        <v>0</v>
      </c>
      <c r="S2176" s="108">
        <v>0</v>
      </c>
      <c r="T2176" s="108">
        <v>0</v>
      </c>
      <c r="U2176" s="108">
        <v>0</v>
      </c>
      <c r="V2176" s="108">
        <v>0</v>
      </c>
    </row>
    <row r="2177" hidden="1" spans="1:22">
      <c r="A2177" s="143">
        <v>45111</v>
      </c>
      <c r="B2177" s="104" t="s">
        <v>29</v>
      </c>
      <c r="C2177" s="145">
        <v>0</v>
      </c>
      <c r="D2177" s="145"/>
      <c r="E2177" s="104">
        <v>0</v>
      </c>
      <c r="F2177" s="106">
        <v>0</v>
      </c>
      <c r="G2177" s="107">
        <v>0</v>
      </c>
      <c r="H2177" s="106">
        <v>0</v>
      </c>
      <c r="I2177" s="104">
        <v>0</v>
      </c>
      <c r="J2177" s="106">
        <v>0</v>
      </c>
      <c r="K2177" s="108">
        <v>0</v>
      </c>
      <c r="L2177" s="108">
        <v>0</v>
      </c>
      <c r="M2177" s="108">
        <v>0</v>
      </c>
      <c r="N2177" s="108">
        <v>0</v>
      </c>
      <c r="O2177" s="108">
        <v>0</v>
      </c>
      <c r="P2177" s="108">
        <v>0</v>
      </c>
      <c r="Q2177" s="108">
        <v>0</v>
      </c>
      <c r="R2177" s="108">
        <v>0</v>
      </c>
      <c r="S2177" s="108">
        <v>0</v>
      </c>
      <c r="T2177" s="108">
        <v>0</v>
      </c>
      <c r="U2177" s="108">
        <v>0</v>
      </c>
      <c r="V2177" s="108">
        <v>0</v>
      </c>
    </row>
    <row r="2178" hidden="1" spans="1:22">
      <c r="A2178" s="143">
        <v>45111</v>
      </c>
      <c r="B2178" s="104" t="s">
        <v>30</v>
      </c>
      <c r="C2178" s="145">
        <v>0</v>
      </c>
      <c r="D2178" s="145"/>
      <c r="E2178" s="104">
        <v>0</v>
      </c>
      <c r="F2178" s="106">
        <v>0</v>
      </c>
      <c r="G2178" s="107">
        <v>0</v>
      </c>
      <c r="H2178" s="106">
        <v>0</v>
      </c>
      <c r="I2178" s="104">
        <v>0</v>
      </c>
      <c r="J2178" s="106">
        <v>0</v>
      </c>
      <c r="K2178" s="108">
        <v>0</v>
      </c>
      <c r="L2178" s="108">
        <v>0</v>
      </c>
      <c r="M2178" s="108">
        <v>0</v>
      </c>
      <c r="N2178" s="108">
        <v>0</v>
      </c>
      <c r="O2178" s="108">
        <v>0</v>
      </c>
      <c r="P2178" s="108">
        <v>0</v>
      </c>
      <c r="Q2178" s="108">
        <v>0</v>
      </c>
      <c r="R2178" s="108">
        <v>0</v>
      </c>
      <c r="S2178" s="108">
        <v>0</v>
      </c>
      <c r="T2178" s="108">
        <v>0</v>
      </c>
      <c r="U2178" s="108">
        <v>0</v>
      </c>
      <c r="V2178" s="108">
        <v>0</v>
      </c>
    </row>
    <row r="2179" hidden="1" spans="1:22">
      <c r="A2179" s="143">
        <v>45111</v>
      </c>
      <c r="B2179" s="104" t="s">
        <v>31</v>
      </c>
      <c r="C2179" s="145">
        <v>0</v>
      </c>
      <c r="D2179" s="145"/>
      <c r="E2179" s="104">
        <v>0</v>
      </c>
      <c r="F2179" s="106">
        <v>0</v>
      </c>
      <c r="G2179" s="107">
        <v>0</v>
      </c>
      <c r="H2179" s="106">
        <v>0</v>
      </c>
      <c r="I2179" s="104">
        <v>0</v>
      </c>
      <c r="J2179" s="106">
        <v>0</v>
      </c>
      <c r="K2179" s="108">
        <v>0</v>
      </c>
      <c r="L2179" s="108">
        <v>0</v>
      </c>
      <c r="M2179" s="108">
        <v>0</v>
      </c>
      <c r="N2179" s="108">
        <v>0</v>
      </c>
      <c r="O2179" s="108">
        <v>0</v>
      </c>
      <c r="P2179" s="108">
        <v>0</v>
      </c>
      <c r="Q2179" s="108">
        <v>0</v>
      </c>
      <c r="R2179" s="108">
        <v>0</v>
      </c>
      <c r="S2179" s="108">
        <v>0</v>
      </c>
      <c r="T2179" s="108">
        <v>0</v>
      </c>
      <c r="U2179" s="108">
        <v>0</v>
      </c>
      <c r="V2179" s="108">
        <v>0</v>
      </c>
    </row>
    <row r="2180" hidden="1" spans="1:22">
      <c r="A2180" s="143">
        <v>45111</v>
      </c>
      <c r="B2180" s="104" t="s">
        <v>32</v>
      </c>
      <c r="C2180" s="145">
        <v>0</v>
      </c>
      <c r="D2180" s="145"/>
      <c r="E2180" s="104">
        <v>0</v>
      </c>
      <c r="F2180" s="106">
        <v>0</v>
      </c>
      <c r="G2180" s="107">
        <v>0</v>
      </c>
      <c r="H2180" s="106">
        <v>0</v>
      </c>
      <c r="I2180" s="104">
        <v>0</v>
      </c>
      <c r="J2180" s="106">
        <v>0</v>
      </c>
      <c r="K2180" s="108">
        <v>0</v>
      </c>
      <c r="L2180" s="108">
        <v>0</v>
      </c>
      <c r="M2180" s="108">
        <v>0</v>
      </c>
      <c r="N2180" s="108">
        <v>0</v>
      </c>
      <c r="O2180" s="108">
        <v>0</v>
      </c>
      <c r="P2180" s="108">
        <v>0</v>
      </c>
      <c r="Q2180" s="108">
        <v>0</v>
      </c>
      <c r="R2180" s="108">
        <v>0</v>
      </c>
      <c r="S2180" s="108">
        <v>0</v>
      </c>
      <c r="T2180" s="108">
        <v>0</v>
      </c>
      <c r="U2180" s="108">
        <v>0</v>
      </c>
      <c r="V2180" s="108">
        <v>0</v>
      </c>
    </row>
    <row r="2181" hidden="1" spans="1:22">
      <c r="A2181" s="143">
        <v>45111</v>
      </c>
      <c r="B2181" s="104" t="s">
        <v>33</v>
      </c>
      <c r="C2181" s="145">
        <v>0</v>
      </c>
      <c r="D2181" s="145"/>
      <c r="E2181" s="104">
        <v>0</v>
      </c>
      <c r="F2181" s="106">
        <v>0</v>
      </c>
      <c r="G2181" s="107">
        <v>0</v>
      </c>
      <c r="H2181" s="106">
        <v>0</v>
      </c>
      <c r="I2181" s="104">
        <v>0</v>
      </c>
      <c r="J2181" s="106">
        <v>0</v>
      </c>
      <c r="K2181" s="108">
        <v>0</v>
      </c>
      <c r="L2181" s="108">
        <v>0</v>
      </c>
      <c r="M2181" s="108">
        <v>0</v>
      </c>
      <c r="N2181" s="108">
        <v>0</v>
      </c>
      <c r="O2181" s="108">
        <v>0</v>
      </c>
      <c r="P2181" s="108">
        <v>0</v>
      </c>
      <c r="Q2181" s="108">
        <v>0</v>
      </c>
      <c r="R2181" s="108">
        <v>0</v>
      </c>
      <c r="S2181" s="108">
        <v>0</v>
      </c>
      <c r="T2181" s="108">
        <v>0</v>
      </c>
      <c r="U2181" s="108">
        <v>0</v>
      </c>
      <c r="V2181" s="108">
        <v>0</v>
      </c>
    </row>
    <row r="2182" hidden="1" spans="1:22">
      <c r="A2182" s="143">
        <v>45111</v>
      </c>
      <c r="B2182" s="104" t="s">
        <v>34</v>
      </c>
      <c r="C2182" s="145">
        <v>0</v>
      </c>
      <c r="D2182" s="145"/>
      <c r="E2182" s="104">
        <v>0</v>
      </c>
      <c r="F2182" s="106">
        <v>0</v>
      </c>
      <c r="G2182" s="107">
        <v>0</v>
      </c>
      <c r="H2182" s="106">
        <v>0</v>
      </c>
      <c r="I2182" s="104">
        <v>0</v>
      </c>
      <c r="J2182" s="106">
        <v>0</v>
      </c>
      <c r="K2182" s="108">
        <v>0</v>
      </c>
      <c r="L2182" s="108">
        <v>0</v>
      </c>
      <c r="M2182" s="108">
        <v>0</v>
      </c>
      <c r="N2182" s="108">
        <v>0</v>
      </c>
      <c r="O2182" s="108">
        <v>0</v>
      </c>
      <c r="P2182" s="108">
        <v>0</v>
      </c>
      <c r="Q2182" s="108">
        <v>0</v>
      </c>
      <c r="R2182" s="108">
        <v>0</v>
      </c>
      <c r="S2182" s="108">
        <v>0</v>
      </c>
      <c r="T2182" s="108">
        <v>0</v>
      </c>
      <c r="U2182" s="108">
        <v>0</v>
      </c>
      <c r="V2182" s="108">
        <v>0</v>
      </c>
    </row>
    <row r="2183" hidden="1" spans="1:22">
      <c r="A2183" s="143">
        <v>45111</v>
      </c>
      <c r="B2183" s="104" t="s">
        <v>35</v>
      </c>
      <c r="C2183" s="145">
        <v>0</v>
      </c>
      <c r="D2183" s="145"/>
      <c r="E2183" s="104">
        <v>0</v>
      </c>
      <c r="F2183" s="106">
        <v>0</v>
      </c>
      <c r="G2183" s="107">
        <v>0</v>
      </c>
      <c r="H2183" s="106">
        <v>0</v>
      </c>
      <c r="I2183" s="104">
        <v>0</v>
      </c>
      <c r="J2183" s="106">
        <v>0</v>
      </c>
      <c r="K2183" s="108">
        <v>0</v>
      </c>
      <c r="L2183" s="108">
        <v>0</v>
      </c>
      <c r="M2183" s="108">
        <v>0</v>
      </c>
      <c r="N2183" s="108">
        <v>0</v>
      </c>
      <c r="O2183" s="108">
        <v>0</v>
      </c>
      <c r="P2183" s="108">
        <v>0</v>
      </c>
      <c r="Q2183" s="108">
        <v>0</v>
      </c>
      <c r="R2183" s="108">
        <v>0</v>
      </c>
      <c r="S2183" s="108">
        <v>0</v>
      </c>
      <c r="T2183" s="108">
        <v>0</v>
      </c>
      <c r="U2183" s="108">
        <v>0</v>
      </c>
      <c r="V2183" s="108">
        <v>0</v>
      </c>
    </row>
    <row r="2184" hidden="1" spans="1:22">
      <c r="A2184" s="143">
        <v>45111</v>
      </c>
      <c r="B2184" s="104" t="s">
        <v>36</v>
      </c>
      <c r="C2184" s="145">
        <v>0</v>
      </c>
      <c r="D2184" s="145"/>
      <c r="E2184" s="104">
        <v>0</v>
      </c>
      <c r="F2184" s="106">
        <v>0</v>
      </c>
      <c r="G2184" s="107">
        <v>0</v>
      </c>
      <c r="H2184" s="106">
        <v>0</v>
      </c>
      <c r="I2184" s="104">
        <v>0</v>
      </c>
      <c r="J2184" s="106">
        <v>0</v>
      </c>
      <c r="K2184" s="108">
        <v>0</v>
      </c>
      <c r="L2184" s="108">
        <v>0</v>
      </c>
      <c r="M2184" s="108">
        <v>0</v>
      </c>
      <c r="N2184" s="108">
        <v>0</v>
      </c>
      <c r="O2184" s="108">
        <v>0</v>
      </c>
      <c r="P2184" s="108">
        <v>0</v>
      </c>
      <c r="Q2184" s="108">
        <v>0</v>
      </c>
      <c r="R2184" s="108">
        <v>0</v>
      </c>
      <c r="S2184" s="108">
        <v>0</v>
      </c>
      <c r="T2184" s="108">
        <v>0</v>
      </c>
      <c r="U2184" s="108">
        <v>0</v>
      </c>
      <c r="V2184" s="108">
        <v>0</v>
      </c>
    </row>
    <row r="2185" hidden="1" spans="1:22">
      <c r="A2185" s="143">
        <v>45111</v>
      </c>
      <c r="B2185" s="104" t="s">
        <v>37</v>
      </c>
      <c r="C2185" s="145">
        <v>0</v>
      </c>
      <c r="D2185" s="145"/>
      <c r="E2185" s="104">
        <v>0</v>
      </c>
      <c r="F2185" s="106">
        <v>0</v>
      </c>
      <c r="G2185" s="107">
        <v>0</v>
      </c>
      <c r="H2185" s="106">
        <v>0</v>
      </c>
      <c r="I2185" s="104">
        <v>0</v>
      </c>
      <c r="J2185" s="106">
        <v>0</v>
      </c>
      <c r="K2185" s="108">
        <v>0</v>
      </c>
      <c r="L2185" s="108">
        <v>0</v>
      </c>
      <c r="M2185" s="108">
        <v>0</v>
      </c>
      <c r="N2185" s="108">
        <v>0</v>
      </c>
      <c r="O2185" s="108">
        <v>-1</v>
      </c>
      <c r="P2185" s="108">
        <v>-0.666666666666667</v>
      </c>
      <c r="Q2185" s="108">
        <v>-0.6</v>
      </c>
      <c r="R2185" s="108">
        <v>-0.428571428571429</v>
      </c>
      <c r="S2185" s="108">
        <v>0</v>
      </c>
      <c r="T2185" s="108">
        <v>0</v>
      </c>
      <c r="U2185" s="108">
        <v>-0.2</v>
      </c>
      <c r="V2185" s="108">
        <v>-0.142857142857143</v>
      </c>
    </row>
    <row r="2186" hidden="1" spans="1:22">
      <c r="A2186" s="143">
        <v>45111</v>
      </c>
      <c r="B2186" s="104" t="s">
        <v>38</v>
      </c>
      <c r="C2186" s="145">
        <v>0</v>
      </c>
      <c r="D2186" s="145"/>
      <c r="E2186" s="104">
        <v>0</v>
      </c>
      <c r="F2186" s="106">
        <v>0</v>
      </c>
      <c r="G2186" s="107">
        <v>0</v>
      </c>
      <c r="H2186" s="106">
        <v>0</v>
      </c>
      <c r="I2186" s="104">
        <v>0</v>
      </c>
      <c r="J2186" s="106">
        <v>0</v>
      </c>
      <c r="K2186" s="108">
        <v>0</v>
      </c>
      <c r="L2186" s="108">
        <v>0</v>
      </c>
      <c r="M2186" s="108">
        <v>0</v>
      </c>
      <c r="N2186" s="108">
        <v>0</v>
      </c>
      <c r="O2186" s="108">
        <v>0</v>
      </c>
      <c r="P2186" s="108">
        <v>0</v>
      </c>
      <c r="Q2186" s="108">
        <v>0</v>
      </c>
      <c r="R2186" s="108">
        <v>0</v>
      </c>
      <c r="S2186" s="108">
        <v>0</v>
      </c>
      <c r="T2186" s="108">
        <v>0</v>
      </c>
      <c r="U2186" s="108">
        <v>0</v>
      </c>
      <c r="V2186" s="108">
        <v>0</v>
      </c>
    </row>
    <row r="2187" spans="1:22">
      <c r="A2187" s="143">
        <v>45111</v>
      </c>
      <c r="B2187" s="111" t="s">
        <v>39</v>
      </c>
      <c r="C2187" s="112">
        <v>11783</v>
      </c>
      <c r="D2187" s="112">
        <v>5145</v>
      </c>
      <c r="E2187" s="112">
        <v>155</v>
      </c>
      <c r="F2187" s="106">
        <v>0.0131545446830179</v>
      </c>
      <c r="G2187" s="112">
        <v>57</v>
      </c>
      <c r="H2187" s="113">
        <v>0.367741935483871</v>
      </c>
      <c r="I2187" s="112">
        <v>32</v>
      </c>
      <c r="J2187" s="106">
        <v>0.206451612903226</v>
      </c>
      <c r="K2187" s="108"/>
      <c r="L2187" s="108"/>
      <c r="M2187" s="108"/>
      <c r="N2187" s="108"/>
      <c r="O2187" s="108"/>
      <c r="P2187" s="108"/>
      <c r="Q2187" s="108"/>
      <c r="R2187" s="108"/>
      <c r="S2187" s="108"/>
      <c r="T2187" s="108"/>
      <c r="U2187" s="108"/>
      <c r="V2187" s="108"/>
    </row>
    <row r="2188" spans="1:22">
      <c r="A2188" s="143">
        <v>45112</v>
      </c>
      <c r="B2188" s="104" t="s">
        <v>17</v>
      </c>
      <c r="C2188" s="216">
        <v>2</v>
      </c>
      <c r="D2188" s="216">
        <v>634</v>
      </c>
      <c r="E2188" s="217">
        <v>36</v>
      </c>
      <c r="F2188" s="106">
        <v>18</v>
      </c>
      <c r="G2188" s="107">
        <v>13</v>
      </c>
      <c r="H2188" s="106">
        <v>0.361111111111111</v>
      </c>
      <c r="I2188" s="104">
        <v>10</v>
      </c>
      <c r="J2188" s="106">
        <v>0.277777777777778</v>
      </c>
      <c r="K2188" s="108">
        <v>1</v>
      </c>
      <c r="L2188" s="108">
        <v>0.666666666666667</v>
      </c>
      <c r="M2188" s="108">
        <v>0.8</v>
      </c>
      <c r="N2188" s="108">
        <v>0.428571428571429</v>
      </c>
      <c r="O2188" s="108">
        <v>-4</v>
      </c>
      <c r="P2188" s="108">
        <v>-9.66666666666666</v>
      </c>
      <c r="Q2188" s="108">
        <v>-8.6</v>
      </c>
      <c r="R2188" s="108">
        <v>-7.28571428571428</v>
      </c>
      <c r="S2188" s="108">
        <v>4</v>
      </c>
      <c r="T2188" s="108">
        <v>3</v>
      </c>
      <c r="U2188" s="108">
        <v>3.4</v>
      </c>
      <c r="V2188" s="108">
        <v>2.85714285714286</v>
      </c>
    </row>
    <row r="2189" spans="1:22">
      <c r="A2189" s="143">
        <v>45112</v>
      </c>
      <c r="B2189" s="104" t="s">
        <v>19</v>
      </c>
      <c r="C2189" s="216">
        <v>515</v>
      </c>
      <c r="D2189" s="216">
        <v>386</v>
      </c>
      <c r="E2189" s="217">
        <v>10</v>
      </c>
      <c r="F2189" s="106">
        <v>0.0194174757281553</v>
      </c>
      <c r="G2189" s="107">
        <v>3</v>
      </c>
      <c r="H2189" s="106">
        <v>0.3</v>
      </c>
      <c r="I2189" s="104">
        <v>3</v>
      </c>
      <c r="J2189" s="106">
        <v>0.3</v>
      </c>
      <c r="K2189" s="108">
        <v>7</v>
      </c>
      <c r="L2189" s="108">
        <v>-163.333333333333</v>
      </c>
      <c r="M2189" s="108">
        <v>-185.6</v>
      </c>
      <c r="N2189" s="108">
        <v>-187.857142857143</v>
      </c>
      <c r="O2189" s="108">
        <v>-1</v>
      </c>
      <c r="P2189" s="108">
        <v>-4.66666666666667</v>
      </c>
      <c r="Q2189" s="108">
        <v>-4.2</v>
      </c>
      <c r="R2189" s="108">
        <v>-5.14285714285714</v>
      </c>
      <c r="S2189" s="108">
        <v>0</v>
      </c>
      <c r="T2189" s="108">
        <v>-1</v>
      </c>
      <c r="U2189" s="108">
        <v>-2</v>
      </c>
      <c r="V2189" s="115">
        <v>-2.85714285714286</v>
      </c>
    </row>
    <row r="2190" spans="1:22">
      <c r="A2190" s="143">
        <v>45112</v>
      </c>
      <c r="B2190" s="104" t="s">
        <v>21</v>
      </c>
      <c r="C2190" s="218">
        <v>262</v>
      </c>
      <c r="D2190" s="218">
        <v>359</v>
      </c>
      <c r="E2190" s="217">
        <v>8</v>
      </c>
      <c r="F2190" s="106">
        <v>0.0305343511450382</v>
      </c>
      <c r="G2190" s="107">
        <v>4</v>
      </c>
      <c r="H2190" s="106">
        <v>0.5</v>
      </c>
      <c r="I2190" s="104">
        <v>1</v>
      </c>
      <c r="J2190" s="106">
        <v>0.125</v>
      </c>
      <c r="K2190" s="108">
        <v>-20</v>
      </c>
      <c r="L2190" s="108">
        <v>-36.3333333333333</v>
      </c>
      <c r="M2190" s="108">
        <v>-16.6</v>
      </c>
      <c r="N2190" s="108">
        <v>7.57142857142858</v>
      </c>
      <c r="O2190" s="108">
        <v>6</v>
      </c>
      <c r="P2190" s="108">
        <v>4.33333333333333</v>
      </c>
      <c r="Q2190" s="108">
        <v>3.4</v>
      </c>
      <c r="R2190" s="108">
        <v>3.85714285714286</v>
      </c>
      <c r="S2190" s="108">
        <v>4</v>
      </c>
      <c r="T2190" s="108">
        <v>3</v>
      </c>
      <c r="U2190" s="108">
        <v>2.2</v>
      </c>
      <c r="V2190" s="108">
        <v>2.42857142857143</v>
      </c>
    </row>
    <row r="2191" spans="1:22">
      <c r="A2191" s="143">
        <v>45112</v>
      </c>
      <c r="B2191" s="104" t="s">
        <v>22</v>
      </c>
      <c r="C2191" s="218">
        <v>1909</v>
      </c>
      <c r="D2191" s="218">
        <v>1022</v>
      </c>
      <c r="E2191" s="217">
        <v>45</v>
      </c>
      <c r="F2191" s="106">
        <v>0.0235725510738607</v>
      </c>
      <c r="G2191" s="107">
        <v>15</v>
      </c>
      <c r="H2191" s="106">
        <v>0.333333333333333</v>
      </c>
      <c r="I2191" s="104">
        <v>10</v>
      </c>
      <c r="J2191" s="106">
        <v>0.222222222222222</v>
      </c>
      <c r="K2191" s="108">
        <v>-138</v>
      </c>
      <c r="L2191" s="108">
        <v>-291.333333333333</v>
      </c>
      <c r="M2191" s="108">
        <v>-221</v>
      </c>
      <c r="N2191" s="108">
        <v>-149.428571428572</v>
      </c>
      <c r="O2191" s="108">
        <v>-15</v>
      </c>
      <c r="P2191" s="108">
        <v>-16.3333333333333</v>
      </c>
      <c r="Q2191" s="108">
        <v>-12.6</v>
      </c>
      <c r="R2191" s="115">
        <v>-7.71428571428572</v>
      </c>
      <c r="S2191" s="108">
        <v>-9</v>
      </c>
      <c r="T2191" s="108">
        <v>-8</v>
      </c>
      <c r="U2191" s="108">
        <v>-5.6</v>
      </c>
      <c r="V2191" s="108">
        <v>-4</v>
      </c>
    </row>
    <row r="2192" spans="1:22">
      <c r="A2192" s="143">
        <v>45112</v>
      </c>
      <c r="B2192" s="104" t="s">
        <v>23</v>
      </c>
      <c r="C2192" s="218">
        <v>2036</v>
      </c>
      <c r="D2192" s="218">
        <v>143</v>
      </c>
      <c r="E2192" s="217">
        <v>5</v>
      </c>
      <c r="F2192" s="106">
        <v>0.00245579567779961</v>
      </c>
      <c r="G2192" s="107">
        <v>0</v>
      </c>
      <c r="H2192" s="106">
        <v>0</v>
      </c>
      <c r="I2192" s="104">
        <v>0</v>
      </c>
      <c r="J2192" s="106">
        <v>0</v>
      </c>
      <c r="K2192" s="108">
        <v>88</v>
      </c>
      <c r="L2192" s="108">
        <v>31</v>
      </c>
      <c r="M2192" s="108">
        <v>-16.4000000000001</v>
      </c>
      <c r="N2192" s="108">
        <v>-1.28571428571422</v>
      </c>
      <c r="O2192" s="108">
        <v>1</v>
      </c>
      <c r="P2192" s="108">
        <v>0.666666666666667</v>
      </c>
      <c r="Q2192" s="108">
        <v>0.2</v>
      </c>
      <c r="R2192" s="108">
        <v>0.2</v>
      </c>
      <c r="S2192" s="108">
        <v>-1</v>
      </c>
      <c r="T2192" s="116">
        <v>-2</v>
      </c>
      <c r="U2192" s="108">
        <v>-2.6</v>
      </c>
      <c r="V2192" s="108">
        <v>-2.85714285714286</v>
      </c>
    </row>
    <row r="2193" spans="1:22">
      <c r="A2193" s="143">
        <v>45112</v>
      </c>
      <c r="B2193" s="104" t="s">
        <v>24</v>
      </c>
      <c r="C2193" s="218">
        <v>246</v>
      </c>
      <c r="D2193" s="218">
        <v>538</v>
      </c>
      <c r="E2193" s="217">
        <v>4</v>
      </c>
      <c r="F2193" s="106">
        <v>0.016260162601626</v>
      </c>
      <c r="G2193" s="107">
        <v>2</v>
      </c>
      <c r="H2193" s="106">
        <v>0.5</v>
      </c>
      <c r="I2193" s="104">
        <v>0</v>
      </c>
      <c r="J2193" s="106">
        <v>0</v>
      </c>
      <c r="K2193" s="108">
        <v>-101</v>
      </c>
      <c r="L2193" s="108">
        <v>-1515</v>
      </c>
      <c r="M2193" s="108">
        <v>-958.4</v>
      </c>
      <c r="N2193" s="108">
        <v>-741.142857142857</v>
      </c>
      <c r="O2193" s="115">
        <v>2</v>
      </c>
      <c r="P2193" s="115">
        <v>-1.66666666666667</v>
      </c>
      <c r="Q2193" s="115">
        <v>-0.6</v>
      </c>
      <c r="R2193" s="115">
        <v>-1.71428571428571</v>
      </c>
      <c r="S2193" s="115">
        <v>2</v>
      </c>
      <c r="T2193" s="115">
        <v>0</v>
      </c>
      <c r="U2193" s="115">
        <v>0</v>
      </c>
      <c r="V2193" s="115">
        <v>-1.28571428571429</v>
      </c>
    </row>
    <row r="2194" spans="1:22">
      <c r="A2194" s="143">
        <v>45112</v>
      </c>
      <c r="B2194" s="104" t="s">
        <v>25</v>
      </c>
      <c r="C2194" s="218">
        <v>3651</v>
      </c>
      <c r="D2194" s="218">
        <v>693</v>
      </c>
      <c r="E2194" s="217">
        <v>33</v>
      </c>
      <c r="F2194" s="106">
        <v>0.00903861955628595</v>
      </c>
      <c r="G2194" s="107">
        <v>11</v>
      </c>
      <c r="H2194" s="106">
        <v>0.333333333333333</v>
      </c>
      <c r="I2194" s="104">
        <v>9</v>
      </c>
      <c r="J2194" s="106">
        <v>0.272727272727273</v>
      </c>
      <c r="K2194" s="108">
        <v>-516</v>
      </c>
      <c r="L2194" s="108">
        <v>-563</v>
      </c>
      <c r="M2194" s="108">
        <v>-621.6</v>
      </c>
      <c r="N2194" s="108">
        <v>-555.571428571428</v>
      </c>
      <c r="O2194" s="115">
        <v>11</v>
      </c>
      <c r="P2194" s="115">
        <v>2.33333333333333</v>
      </c>
      <c r="Q2194" s="115">
        <v>-1.2</v>
      </c>
      <c r="R2194" s="115">
        <v>-3.14285714285715</v>
      </c>
      <c r="S2194" s="108">
        <v>-1</v>
      </c>
      <c r="T2194" s="108">
        <v>1</v>
      </c>
      <c r="U2194" s="108">
        <v>-2.2</v>
      </c>
      <c r="V2194" s="108">
        <v>-3.42857142857143</v>
      </c>
    </row>
    <row r="2195" spans="1:22">
      <c r="A2195" s="143">
        <v>45112</v>
      </c>
      <c r="B2195" s="104" t="s">
        <v>26</v>
      </c>
      <c r="C2195" s="218">
        <v>1029</v>
      </c>
      <c r="D2195" s="218">
        <v>1294</v>
      </c>
      <c r="E2195" s="217">
        <v>14</v>
      </c>
      <c r="F2195" s="106">
        <v>0.0136054421768707</v>
      </c>
      <c r="G2195" s="107">
        <v>1</v>
      </c>
      <c r="H2195" s="106">
        <v>0.0714285714285714</v>
      </c>
      <c r="I2195" s="104">
        <v>1</v>
      </c>
      <c r="J2195" s="106">
        <v>0.0714285714285714</v>
      </c>
      <c r="K2195" s="108">
        <v>26</v>
      </c>
      <c r="L2195" s="108">
        <v>609</v>
      </c>
      <c r="M2195" s="108">
        <v>776.6</v>
      </c>
      <c r="N2195" s="108">
        <v>848.285714285714</v>
      </c>
      <c r="O2195" s="108">
        <v>9</v>
      </c>
      <c r="P2195" s="108">
        <v>7</v>
      </c>
      <c r="Q2195" s="108">
        <v>5.2</v>
      </c>
      <c r="R2195" s="108">
        <v>5.85714285714286</v>
      </c>
      <c r="S2195" s="108">
        <v>-2</v>
      </c>
      <c r="T2195" s="108">
        <v>-1.33333333333333</v>
      </c>
      <c r="U2195" s="108">
        <v>-1.4</v>
      </c>
      <c r="V2195" s="108">
        <v>-1.28571428571429</v>
      </c>
    </row>
    <row r="2196" spans="1:22">
      <c r="A2196" s="143">
        <v>45112</v>
      </c>
      <c r="B2196" s="104" t="s">
        <v>27</v>
      </c>
      <c r="C2196" s="218">
        <v>1506</v>
      </c>
      <c r="D2196" s="218">
        <v>316</v>
      </c>
      <c r="E2196" s="217">
        <v>10</v>
      </c>
      <c r="F2196" s="106">
        <v>0.00664010624169987</v>
      </c>
      <c r="G2196" s="107">
        <v>2</v>
      </c>
      <c r="H2196" s="106">
        <v>0.2</v>
      </c>
      <c r="I2196" s="104">
        <v>1</v>
      </c>
      <c r="J2196" s="106">
        <v>0.1</v>
      </c>
      <c r="K2196" s="108">
        <v>26</v>
      </c>
      <c r="L2196" s="108">
        <v>120.333333333333</v>
      </c>
      <c r="M2196" s="108">
        <v>182.6</v>
      </c>
      <c r="N2196" s="108">
        <v>200.142857142857</v>
      </c>
      <c r="O2196" s="108">
        <v>1</v>
      </c>
      <c r="P2196" s="108">
        <v>-2</v>
      </c>
      <c r="Q2196" s="108">
        <v>-3.8</v>
      </c>
      <c r="R2196" s="108">
        <v>-2.85714285714286</v>
      </c>
      <c r="S2196" s="108">
        <v>-3</v>
      </c>
      <c r="T2196" s="108">
        <v>-2.33333333333333</v>
      </c>
      <c r="U2196" s="108">
        <v>-2.6</v>
      </c>
      <c r="V2196" s="108">
        <v>-1.85714285714286</v>
      </c>
    </row>
    <row r="2197" hidden="1" spans="1:22">
      <c r="A2197" s="143">
        <v>45112</v>
      </c>
      <c r="B2197" s="104" t="s">
        <v>28</v>
      </c>
      <c r="C2197" s="145">
        <v>0</v>
      </c>
      <c r="D2197" s="145"/>
      <c r="E2197" s="104">
        <v>0</v>
      </c>
      <c r="F2197" s="106">
        <v>0</v>
      </c>
      <c r="G2197" s="107">
        <v>0</v>
      </c>
      <c r="H2197" s="106">
        <v>0</v>
      </c>
      <c r="I2197" s="104">
        <v>0</v>
      </c>
      <c r="J2197" s="106">
        <v>0</v>
      </c>
      <c r="K2197" s="108">
        <v>0</v>
      </c>
      <c r="L2197" s="108">
        <v>0</v>
      </c>
      <c r="M2197" s="108">
        <v>0</v>
      </c>
      <c r="N2197" s="108">
        <v>0</v>
      </c>
      <c r="O2197" s="108">
        <v>0</v>
      </c>
      <c r="P2197" s="108">
        <v>0</v>
      </c>
      <c r="Q2197" s="108">
        <v>0</v>
      </c>
      <c r="R2197" s="108">
        <v>0</v>
      </c>
      <c r="S2197" s="108">
        <v>0</v>
      </c>
      <c r="T2197" s="108">
        <v>0</v>
      </c>
      <c r="U2197" s="108">
        <v>0</v>
      </c>
      <c r="V2197" s="108">
        <v>0</v>
      </c>
    </row>
    <row r="2198" hidden="1" spans="1:22">
      <c r="A2198" s="143">
        <v>45112</v>
      </c>
      <c r="B2198" s="104" t="s">
        <v>29</v>
      </c>
      <c r="C2198" s="145">
        <v>0</v>
      </c>
      <c r="D2198" s="145"/>
      <c r="E2198" s="104">
        <v>1</v>
      </c>
      <c r="F2198" s="106">
        <v>0</v>
      </c>
      <c r="G2198" s="107">
        <v>0</v>
      </c>
      <c r="H2198" s="106">
        <v>0</v>
      </c>
      <c r="I2198" s="104">
        <v>0</v>
      </c>
      <c r="J2198" s="106">
        <v>0</v>
      </c>
      <c r="K2198" s="108">
        <v>0</v>
      </c>
      <c r="L2198" s="108">
        <v>0</v>
      </c>
      <c r="M2198" s="108">
        <v>0</v>
      </c>
      <c r="N2198" s="108">
        <v>0</v>
      </c>
      <c r="O2198" s="108">
        <v>1</v>
      </c>
      <c r="P2198" s="108">
        <v>1</v>
      </c>
      <c r="Q2198" s="108">
        <v>1</v>
      </c>
      <c r="R2198" s="108">
        <v>1</v>
      </c>
      <c r="S2198" s="108">
        <v>0</v>
      </c>
      <c r="T2198" s="108">
        <v>0</v>
      </c>
      <c r="U2198" s="108">
        <v>0</v>
      </c>
      <c r="V2198" s="108">
        <v>0</v>
      </c>
    </row>
    <row r="2199" hidden="1" spans="1:22">
      <c r="A2199" s="143">
        <v>45112</v>
      </c>
      <c r="B2199" s="104" t="s">
        <v>30</v>
      </c>
      <c r="C2199" s="145">
        <v>0</v>
      </c>
      <c r="D2199" s="145"/>
      <c r="E2199" s="104">
        <v>0</v>
      </c>
      <c r="F2199" s="106">
        <v>0</v>
      </c>
      <c r="G2199" s="107">
        <v>0</v>
      </c>
      <c r="H2199" s="106">
        <v>0</v>
      </c>
      <c r="I2199" s="104">
        <v>0</v>
      </c>
      <c r="J2199" s="106">
        <v>0</v>
      </c>
      <c r="K2199" s="108">
        <v>0</v>
      </c>
      <c r="L2199" s="108">
        <v>0</v>
      </c>
      <c r="M2199" s="108">
        <v>0</v>
      </c>
      <c r="N2199" s="108">
        <v>0</v>
      </c>
      <c r="O2199" s="108">
        <v>0</v>
      </c>
      <c r="P2199" s="108">
        <v>0</v>
      </c>
      <c r="Q2199" s="108">
        <v>0</v>
      </c>
      <c r="R2199" s="108">
        <v>0</v>
      </c>
      <c r="S2199" s="108">
        <v>0</v>
      </c>
      <c r="T2199" s="108">
        <v>0</v>
      </c>
      <c r="U2199" s="108">
        <v>0</v>
      </c>
      <c r="V2199" s="108">
        <v>0</v>
      </c>
    </row>
    <row r="2200" hidden="1" spans="1:22">
      <c r="A2200" s="143">
        <v>45112</v>
      </c>
      <c r="B2200" s="104" t="s">
        <v>31</v>
      </c>
      <c r="C2200" s="145">
        <v>0</v>
      </c>
      <c r="D2200" s="145"/>
      <c r="E2200" s="104">
        <v>0</v>
      </c>
      <c r="F2200" s="106">
        <v>0</v>
      </c>
      <c r="G2200" s="107">
        <v>0</v>
      </c>
      <c r="H2200" s="106">
        <v>0</v>
      </c>
      <c r="I2200" s="104">
        <v>0</v>
      </c>
      <c r="J2200" s="106">
        <v>0</v>
      </c>
      <c r="K2200" s="108">
        <v>0</v>
      </c>
      <c r="L2200" s="108">
        <v>0</v>
      </c>
      <c r="M2200" s="108">
        <v>0</v>
      </c>
      <c r="N2200" s="108">
        <v>0</v>
      </c>
      <c r="O2200" s="108">
        <v>0</v>
      </c>
      <c r="P2200" s="108">
        <v>0</v>
      </c>
      <c r="Q2200" s="108">
        <v>0</v>
      </c>
      <c r="R2200" s="108">
        <v>0</v>
      </c>
      <c r="S2200" s="108">
        <v>0</v>
      </c>
      <c r="T2200" s="108">
        <v>0</v>
      </c>
      <c r="U2200" s="108">
        <v>0</v>
      </c>
      <c r="V2200" s="108">
        <v>0</v>
      </c>
    </row>
    <row r="2201" hidden="1" spans="1:22">
      <c r="A2201" s="143">
        <v>45112</v>
      </c>
      <c r="B2201" s="104" t="s">
        <v>32</v>
      </c>
      <c r="C2201" s="145">
        <v>0</v>
      </c>
      <c r="D2201" s="145"/>
      <c r="E2201" s="104">
        <v>0</v>
      </c>
      <c r="F2201" s="106">
        <v>0</v>
      </c>
      <c r="G2201" s="107">
        <v>0</v>
      </c>
      <c r="H2201" s="106">
        <v>0</v>
      </c>
      <c r="I2201" s="104">
        <v>0</v>
      </c>
      <c r="J2201" s="106">
        <v>0</v>
      </c>
      <c r="K2201" s="108">
        <v>0</v>
      </c>
      <c r="L2201" s="108">
        <v>0</v>
      </c>
      <c r="M2201" s="108">
        <v>0</v>
      </c>
      <c r="N2201" s="108">
        <v>0</v>
      </c>
      <c r="O2201" s="108">
        <v>0</v>
      </c>
      <c r="P2201" s="108">
        <v>0</v>
      </c>
      <c r="Q2201" s="108">
        <v>0</v>
      </c>
      <c r="R2201" s="108">
        <v>0</v>
      </c>
      <c r="S2201" s="108">
        <v>0</v>
      </c>
      <c r="T2201" s="108">
        <v>0</v>
      </c>
      <c r="U2201" s="108">
        <v>0</v>
      </c>
      <c r="V2201" s="108">
        <v>0</v>
      </c>
    </row>
    <row r="2202" hidden="1" spans="1:22">
      <c r="A2202" s="143">
        <v>45112</v>
      </c>
      <c r="B2202" s="104" t="s">
        <v>33</v>
      </c>
      <c r="C2202" s="145">
        <v>0</v>
      </c>
      <c r="D2202" s="145"/>
      <c r="E2202" s="104">
        <v>0</v>
      </c>
      <c r="F2202" s="106">
        <v>0</v>
      </c>
      <c r="G2202" s="107">
        <v>0</v>
      </c>
      <c r="H2202" s="106">
        <v>0</v>
      </c>
      <c r="I2202" s="104">
        <v>0</v>
      </c>
      <c r="J2202" s="106">
        <v>0</v>
      </c>
      <c r="K2202" s="108">
        <v>0</v>
      </c>
      <c r="L2202" s="108">
        <v>0</v>
      </c>
      <c r="M2202" s="108">
        <v>0</v>
      </c>
      <c r="N2202" s="108">
        <v>0</v>
      </c>
      <c r="O2202" s="108">
        <v>0</v>
      </c>
      <c r="P2202" s="108">
        <v>0</v>
      </c>
      <c r="Q2202" s="108">
        <v>0</v>
      </c>
      <c r="R2202" s="108">
        <v>0</v>
      </c>
      <c r="S2202" s="108">
        <v>0</v>
      </c>
      <c r="T2202" s="108">
        <v>0</v>
      </c>
      <c r="U2202" s="108">
        <v>0</v>
      </c>
      <c r="V2202" s="108">
        <v>0</v>
      </c>
    </row>
    <row r="2203" hidden="1" spans="1:22">
      <c r="A2203" s="143">
        <v>45112</v>
      </c>
      <c r="B2203" s="104" t="s">
        <v>34</v>
      </c>
      <c r="C2203" s="145">
        <v>0</v>
      </c>
      <c r="D2203" s="145"/>
      <c r="E2203" s="104">
        <v>0</v>
      </c>
      <c r="F2203" s="106">
        <v>0</v>
      </c>
      <c r="G2203" s="107">
        <v>0</v>
      </c>
      <c r="H2203" s="106">
        <v>0</v>
      </c>
      <c r="I2203" s="104">
        <v>0</v>
      </c>
      <c r="J2203" s="106">
        <v>0</v>
      </c>
      <c r="K2203" s="108">
        <v>0</v>
      </c>
      <c r="L2203" s="108">
        <v>0</v>
      </c>
      <c r="M2203" s="108">
        <v>0</v>
      </c>
      <c r="N2203" s="108">
        <v>0</v>
      </c>
      <c r="O2203" s="108">
        <v>0</v>
      </c>
      <c r="P2203" s="108">
        <v>0</v>
      </c>
      <c r="Q2203" s="108">
        <v>0</v>
      </c>
      <c r="R2203" s="108">
        <v>0</v>
      </c>
      <c r="S2203" s="108">
        <v>0</v>
      </c>
      <c r="T2203" s="108">
        <v>0</v>
      </c>
      <c r="U2203" s="108">
        <v>0</v>
      </c>
      <c r="V2203" s="108">
        <v>0</v>
      </c>
    </row>
    <row r="2204" hidden="1" spans="1:22">
      <c r="A2204" s="143">
        <v>45112</v>
      </c>
      <c r="B2204" s="104" t="s">
        <v>35</v>
      </c>
      <c r="C2204" s="145">
        <v>0</v>
      </c>
      <c r="D2204" s="145"/>
      <c r="E2204" s="104">
        <v>0</v>
      </c>
      <c r="F2204" s="106">
        <v>0</v>
      </c>
      <c r="G2204" s="107">
        <v>0</v>
      </c>
      <c r="H2204" s="106">
        <v>0</v>
      </c>
      <c r="I2204" s="104">
        <v>0</v>
      </c>
      <c r="J2204" s="106">
        <v>0</v>
      </c>
      <c r="K2204" s="108">
        <v>0</v>
      </c>
      <c r="L2204" s="108">
        <v>0</v>
      </c>
      <c r="M2204" s="108">
        <v>0</v>
      </c>
      <c r="N2204" s="108">
        <v>0</v>
      </c>
      <c r="O2204" s="108">
        <v>0</v>
      </c>
      <c r="P2204" s="108">
        <v>0</v>
      </c>
      <c r="Q2204" s="108">
        <v>0</v>
      </c>
      <c r="R2204" s="108">
        <v>0</v>
      </c>
      <c r="S2204" s="108">
        <v>0</v>
      </c>
      <c r="T2204" s="108">
        <v>0</v>
      </c>
      <c r="U2204" s="108">
        <v>0</v>
      </c>
      <c r="V2204" s="108">
        <v>0</v>
      </c>
    </row>
    <row r="2205" hidden="1" spans="1:22">
      <c r="A2205" s="143">
        <v>45112</v>
      </c>
      <c r="B2205" s="104" t="s">
        <v>36</v>
      </c>
      <c r="C2205" s="145">
        <v>0</v>
      </c>
      <c r="D2205" s="145"/>
      <c r="E2205" s="104">
        <v>0</v>
      </c>
      <c r="F2205" s="106">
        <v>0</v>
      </c>
      <c r="G2205" s="107">
        <v>0</v>
      </c>
      <c r="H2205" s="106">
        <v>0</v>
      </c>
      <c r="I2205" s="104">
        <v>0</v>
      </c>
      <c r="J2205" s="106">
        <v>0</v>
      </c>
      <c r="K2205" s="108">
        <v>0</v>
      </c>
      <c r="L2205" s="108">
        <v>0</v>
      </c>
      <c r="M2205" s="108">
        <v>0</v>
      </c>
      <c r="N2205" s="108">
        <v>0</v>
      </c>
      <c r="O2205" s="108">
        <v>0</v>
      </c>
      <c r="P2205" s="108">
        <v>0</v>
      </c>
      <c r="Q2205" s="108">
        <v>0</v>
      </c>
      <c r="R2205" s="108">
        <v>0</v>
      </c>
      <c r="S2205" s="108">
        <v>0</v>
      </c>
      <c r="T2205" s="108">
        <v>0</v>
      </c>
      <c r="U2205" s="108">
        <v>0</v>
      </c>
      <c r="V2205" s="108">
        <v>0</v>
      </c>
    </row>
    <row r="2206" hidden="1" spans="1:22">
      <c r="A2206" s="143">
        <v>45112</v>
      </c>
      <c r="B2206" s="104" t="s">
        <v>37</v>
      </c>
      <c r="C2206" s="145">
        <v>0</v>
      </c>
      <c r="D2206" s="145"/>
      <c r="E2206" s="104">
        <v>0</v>
      </c>
      <c r="F2206" s="106">
        <v>0</v>
      </c>
      <c r="G2206" s="107">
        <v>0</v>
      </c>
      <c r="H2206" s="106">
        <v>0</v>
      </c>
      <c r="I2206" s="104">
        <v>0</v>
      </c>
      <c r="J2206" s="106">
        <v>0</v>
      </c>
      <c r="K2206" s="108">
        <v>0</v>
      </c>
      <c r="L2206" s="108">
        <v>0</v>
      </c>
      <c r="M2206" s="108">
        <v>0</v>
      </c>
      <c r="N2206" s="108">
        <v>0</v>
      </c>
      <c r="O2206" s="108">
        <v>0</v>
      </c>
      <c r="P2206" s="108">
        <v>-0.333333333333333</v>
      </c>
      <c r="Q2206" s="108">
        <v>-0.6</v>
      </c>
      <c r="R2206" s="108">
        <v>-0.428571428571429</v>
      </c>
      <c r="S2206" s="108">
        <v>0</v>
      </c>
      <c r="T2206" s="108">
        <v>0</v>
      </c>
      <c r="U2206" s="108">
        <v>-0.2</v>
      </c>
      <c r="V2206" s="108">
        <v>-0.142857142857143</v>
      </c>
    </row>
    <row r="2207" hidden="1" spans="1:22">
      <c r="A2207" s="143">
        <v>45112</v>
      </c>
      <c r="B2207" s="104" t="s">
        <v>38</v>
      </c>
      <c r="C2207" s="145">
        <v>0</v>
      </c>
      <c r="D2207" s="145"/>
      <c r="E2207" s="104">
        <v>0</v>
      </c>
      <c r="F2207" s="106">
        <v>0</v>
      </c>
      <c r="G2207" s="107">
        <v>0</v>
      </c>
      <c r="H2207" s="106">
        <v>0</v>
      </c>
      <c r="I2207" s="104">
        <v>0</v>
      </c>
      <c r="J2207" s="106">
        <v>0</v>
      </c>
      <c r="K2207" s="108">
        <v>0</v>
      </c>
      <c r="L2207" s="108">
        <v>0</v>
      </c>
      <c r="M2207" s="108">
        <v>0</v>
      </c>
      <c r="N2207" s="108">
        <v>0</v>
      </c>
      <c r="O2207" s="108">
        <v>0</v>
      </c>
      <c r="P2207" s="108">
        <v>0</v>
      </c>
      <c r="Q2207" s="108">
        <v>0</v>
      </c>
      <c r="R2207" s="108">
        <v>0</v>
      </c>
      <c r="S2207" s="108">
        <v>0</v>
      </c>
      <c r="T2207" s="108">
        <v>0</v>
      </c>
      <c r="U2207" s="108">
        <v>0</v>
      </c>
      <c r="V2207" s="108">
        <v>0</v>
      </c>
    </row>
    <row r="2208" spans="1:22">
      <c r="A2208" s="143">
        <v>45112</v>
      </c>
      <c r="B2208" s="111" t="s">
        <v>39</v>
      </c>
      <c r="C2208" s="112">
        <v>11156</v>
      </c>
      <c r="D2208" s="112">
        <v>5385</v>
      </c>
      <c r="E2208" s="112">
        <v>166</v>
      </c>
      <c r="F2208" s="106">
        <v>0.0148798852635353</v>
      </c>
      <c r="G2208" s="112">
        <v>51</v>
      </c>
      <c r="H2208" s="113">
        <v>0.307228915662651</v>
      </c>
      <c r="I2208" s="112">
        <v>35</v>
      </c>
      <c r="J2208" s="106">
        <v>0.210843373493976</v>
      </c>
      <c r="K2208" s="108"/>
      <c r="L2208" s="108"/>
      <c r="M2208" s="108"/>
      <c r="N2208" s="108"/>
      <c r="O2208" s="108"/>
      <c r="P2208" s="108"/>
      <c r="Q2208" s="108"/>
      <c r="R2208" s="108"/>
      <c r="S2208" s="108"/>
      <c r="T2208" s="108"/>
      <c r="U2208" s="108"/>
      <c r="V2208" s="108"/>
    </row>
    <row r="2209" customFormat="1" ht="14.45" customHeight="1" spans="1:24">
      <c r="A2209" s="143">
        <v>45113</v>
      </c>
      <c r="B2209" s="104" t="s">
        <v>17</v>
      </c>
      <c r="C2209" s="216">
        <v>0</v>
      </c>
      <c r="D2209" s="216">
        <v>665</v>
      </c>
      <c r="E2209" s="217">
        <v>33</v>
      </c>
      <c r="F2209" s="106">
        <v>665</v>
      </c>
      <c r="G2209" s="107">
        <v>7</v>
      </c>
      <c r="H2209" s="106">
        <v>0.212121212121212</v>
      </c>
      <c r="I2209" s="104">
        <v>5</v>
      </c>
      <c r="J2209" s="106">
        <v>0.151515151515152</v>
      </c>
      <c r="K2209" s="108">
        <v>-2</v>
      </c>
      <c r="L2209" s="108">
        <v>-1.66666666666667</v>
      </c>
      <c r="M2209" s="108">
        <v>-1.4</v>
      </c>
      <c r="N2209" s="108">
        <v>-1.57142857142857</v>
      </c>
      <c r="O2209" s="108">
        <v>-3</v>
      </c>
      <c r="P2209" s="108">
        <v>-9</v>
      </c>
      <c r="Q2209" s="108">
        <v>-10.2</v>
      </c>
      <c r="R2209" s="108">
        <v>-9</v>
      </c>
      <c r="S2209" s="108">
        <v>-6</v>
      </c>
      <c r="T2209" s="108">
        <v>-4</v>
      </c>
      <c r="U2209" s="108">
        <v>-3.8</v>
      </c>
      <c r="V2209" s="108">
        <v>-3.28571428571429</v>
      </c>
      <c r="X2209" t="s">
        <v>18</v>
      </c>
    </row>
    <row r="2210" customFormat="1" ht="14.45" customHeight="1" spans="1:24">
      <c r="A2210" s="143">
        <v>45113</v>
      </c>
      <c r="B2210" s="104" t="s">
        <v>19</v>
      </c>
      <c r="C2210" s="216">
        <v>502</v>
      </c>
      <c r="D2210" s="216">
        <v>365</v>
      </c>
      <c r="E2210" s="217">
        <v>17</v>
      </c>
      <c r="F2210" s="106">
        <v>0.0338645418326693</v>
      </c>
      <c r="G2210" s="107">
        <v>7</v>
      </c>
      <c r="H2210" s="106">
        <v>0.411764705882353</v>
      </c>
      <c r="I2210" s="104">
        <v>4</v>
      </c>
      <c r="J2210" s="106">
        <v>0.235294117647059</v>
      </c>
      <c r="K2210" s="108">
        <v>-13</v>
      </c>
      <c r="L2210" s="108">
        <v>-82.6666666666666</v>
      </c>
      <c r="M2210" s="108">
        <v>-177.8</v>
      </c>
      <c r="N2210" s="108">
        <v>-176.857142857143</v>
      </c>
      <c r="O2210" s="108">
        <v>7</v>
      </c>
      <c r="P2210" s="108">
        <v>4.33333333333333</v>
      </c>
      <c r="Q2210" s="108">
        <v>3.8</v>
      </c>
      <c r="R2210" s="108">
        <v>3.14285714285714</v>
      </c>
      <c r="S2210" s="108">
        <v>4</v>
      </c>
      <c r="T2210" s="108">
        <v>4.33333333333333</v>
      </c>
      <c r="U2210" s="108">
        <v>2.4</v>
      </c>
      <c r="V2210" s="115">
        <v>1.71428571428571</v>
      </c>
      <c r="W2210" s="154"/>
      <c r="X2210" s="154"/>
    </row>
    <row r="2211" customFormat="1" ht="14.45" customHeight="1" spans="1:22">
      <c r="A2211" s="143">
        <v>45113</v>
      </c>
      <c r="B2211" s="104" t="s">
        <v>21</v>
      </c>
      <c r="C2211" s="218">
        <v>201</v>
      </c>
      <c r="D2211" s="218">
        <v>269</v>
      </c>
      <c r="E2211" s="217">
        <v>3</v>
      </c>
      <c r="F2211" s="106">
        <v>0.0149253731343284</v>
      </c>
      <c r="G2211" s="107">
        <v>0</v>
      </c>
      <c r="H2211" s="106">
        <v>0</v>
      </c>
      <c r="I2211" s="104">
        <v>0</v>
      </c>
      <c r="J2211" s="106">
        <v>0</v>
      </c>
      <c r="K2211" s="108">
        <v>-61</v>
      </c>
      <c r="L2211" s="108">
        <v>-76.6666666666667</v>
      </c>
      <c r="M2211" s="108">
        <v>-84.6</v>
      </c>
      <c r="N2211" s="108">
        <v>-63.8571428571428</v>
      </c>
      <c r="O2211" s="108">
        <v>-5</v>
      </c>
      <c r="P2211" s="108">
        <v>-2.33333333333333</v>
      </c>
      <c r="Q2211" s="108">
        <v>-1.8</v>
      </c>
      <c r="R2211" s="108">
        <v>-1.85714285714286</v>
      </c>
      <c r="S2211" s="108">
        <v>-4</v>
      </c>
      <c r="T2211" s="108">
        <v>-1.66666666666667</v>
      </c>
      <c r="U2211" s="108">
        <v>-2</v>
      </c>
      <c r="V2211" s="108">
        <v>-2.14285714285714</v>
      </c>
    </row>
    <row r="2212" customFormat="1" ht="18.95" customHeight="1" spans="1:24">
      <c r="A2212" s="143">
        <v>45113</v>
      </c>
      <c r="B2212" s="104" t="s">
        <v>22</v>
      </c>
      <c r="C2212" s="218">
        <v>2005</v>
      </c>
      <c r="D2212" s="218">
        <v>1041</v>
      </c>
      <c r="E2212" s="217">
        <v>44</v>
      </c>
      <c r="F2212" s="106">
        <v>0.0219451371571072</v>
      </c>
      <c r="G2212" s="107">
        <v>16</v>
      </c>
      <c r="H2212" s="106">
        <v>0.363636363636364</v>
      </c>
      <c r="I2212" s="104">
        <v>10</v>
      </c>
      <c r="J2212" s="106">
        <v>0.227272727272727</v>
      </c>
      <c r="K2212" s="108">
        <v>96</v>
      </c>
      <c r="L2212" s="108">
        <v>-81</v>
      </c>
      <c r="M2212" s="108">
        <v>-129.6</v>
      </c>
      <c r="N2212" s="108">
        <v>-60.5714285714284</v>
      </c>
      <c r="O2212" s="108">
        <v>-1</v>
      </c>
      <c r="P2212" s="108">
        <v>-10.6666666666667</v>
      </c>
      <c r="Q2212" s="108">
        <v>-13</v>
      </c>
      <c r="R2212" s="115">
        <v>-10</v>
      </c>
      <c r="S2212" s="108">
        <v>1</v>
      </c>
      <c r="T2212" s="108">
        <v>-3</v>
      </c>
      <c r="U2212" s="108">
        <v>-4.6</v>
      </c>
      <c r="V2212" s="108">
        <v>-3.57142857142857</v>
      </c>
      <c r="W2212" s="154"/>
      <c r="X2212" s="154"/>
    </row>
    <row r="2213" customFormat="1" ht="14.45" customHeight="1" spans="1:22">
      <c r="A2213" s="143">
        <v>45113</v>
      </c>
      <c r="B2213" s="104" t="s">
        <v>23</v>
      </c>
      <c r="C2213" s="218">
        <v>1977</v>
      </c>
      <c r="D2213" s="218">
        <v>116</v>
      </c>
      <c r="E2213" s="217">
        <v>6</v>
      </c>
      <c r="F2213" s="106">
        <v>0.00303490136570561</v>
      </c>
      <c r="G2213" s="107">
        <v>0</v>
      </c>
      <c r="H2213" s="106">
        <v>0</v>
      </c>
      <c r="I2213" s="104">
        <v>0</v>
      </c>
      <c r="J2213" s="106">
        <v>0</v>
      </c>
      <c r="K2213" s="108">
        <v>-59</v>
      </c>
      <c r="L2213" s="108">
        <v>-1</v>
      </c>
      <c r="M2213" s="108">
        <v>-61.8</v>
      </c>
      <c r="N2213" s="108">
        <v>-76.4285714285716</v>
      </c>
      <c r="O2213" s="108">
        <v>1</v>
      </c>
      <c r="P2213" s="108">
        <v>0.666666666666667</v>
      </c>
      <c r="Q2213" s="108">
        <v>1.6</v>
      </c>
      <c r="R2213" s="108">
        <v>0.857142857142857</v>
      </c>
      <c r="S2213" s="108">
        <v>0</v>
      </c>
      <c r="T2213" s="116">
        <v>-1.66666666666667</v>
      </c>
      <c r="U2213" s="108">
        <v>-2</v>
      </c>
      <c r="V2213" s="108">
        <v>-2.42857142857143</v>
      </c>
    </row>
    <row r="2214" customFormat="1" ht="14.45" customHeight="1" spans="1:24">
      <c r="A2214" s="143">
        <v>45113</v>
      </c>
      <c r="B2214" s="104" t="s">
        <v>24</v>
      </c>
      <c r="C2214" s="218">
        <v>252</v>
      </c>
      <c r="D2214" s="218">
        <v>517</v>
      </c>
      <c r="E2214" s="217">
        <v>9</v>
      </c>
      <c r="F2214" s="106">
        <v>0.0357142857142857</v>
      </c>
      <c r="G2214" s="107">
        <v>7</v>
      </c>
      <c r="H2214" s="106">
        <v>0.777777777777778</v>
      </c>
      <c r="I2214" s="104">
        <v>3</v>
      </c>
      <c r="J2214" s="106">
        <v>0.333333333333333</v>
      </c>
      <c r="K2214" s="108">
        <v>6</v>
      </c>
      <c r="L2214" s="108">
        <v>-439.333333333333</v>
      </c>
      <c r="M2214" s="108">
        <v>-930.6</v>
      </c>
      <c r="N2214" s="108">
        <v>-692.428571428571</v>
      </c>
      <c r="O2214" s="115">
        <v>5</v>
      </c>
      <c r="P2214" s="115">
        <v>5</v>
      </c>
      <c r="Q2214" s="115">
        <v>4</v>
      </c>
      <c r="R2214" s="115">
        <v>4.28571428571429</v>
      </c>
      <c r="S2214" s="115">
        <v>5</v>
      </c>
      <c r="T2214" s="115">
        <v>6</v>
      </c>
      <c r="U2214" s="115">
        <v>4.6</v>
      </c>
      <c r="V2214" s="115">
        <v>4.14285714285714</v>
      </c>
      <c r="W2214" s="154"/>
      <c r="X2214" s="154"/>
    </row>
    <row r="2215" customFormat="1" ht="14.45" customHeight="1" spans="1:22">
      <c r="A2215" s="143">
        <v>45113</v>
      </c>
      <c r="B2215" s="104" t="s">
        <v>25</v>
      </c>
      <c r="C2215" s="218">
        <v>1929</v>
      </c>
      <c r="D2215" s="218">
        <v>789</v>
      </c>
      <c r="E2215" s="217">
        <v>46</v>
      </c>
      <c r="F2215" s="106">
        <v>0.0238465526179368</v>
      </c>
      <c r="G2215" s="107">
        <v>23</v>
      </c>
      <c r="H2215" s="106">
        <v>0.5</v>
      </c>
      <c r="I2215" s="104">
        <v>15</v>
      </c>
      <c r="J2215" s="106">
        <v>0.326086956521739</v>
      </c>
      <c r="K2215" s="108">
        <v>-1722</v>
      </c>
      <c r="L2215" s="108">
        <v>-2090.66666666667</v>
      </c>
      <c r="M2215" s="108">
        <v>-2157.6</v>
      </c>
      <c r="N2215" s="108">
        <v>-2297.57142857143</v>
      </c>
      <c r="O2215" s="115">
        <v>13</v>
      </c>
      <c r="P2215" s="115">
        <v>13</v>
      </c>
      <c r="Q2215" s="115">
        <v>13.2</v>
      </c>
      <c r="R2215" s="115">
        <v>11.1428571428571</v>
      </c>
      <c r="S2215" s="108">
        <v>12</v>
      </c>
      <c r="T2215" s="108">
        <v>13</v>
      </c>
      <c r="U2215" s="108">
        <v>11.2</v>
      </c>
      <c r="V2215" s="108">
        <v>9.85714285714286</v>
      </c>
    </row>
    <row r="2216" customFormat="1" ht="14.45" customHeight="1" spans="1:22">
      <c r="A2216" s="143">
        <v>45113</v>
      </c>
      <c r="B2216" s="104" t="s">
        <v>26</v>
      </c>
      <c r="C2216" s="218">
        <v>1039</v>
      </c>
      <c r="D2216" s="218">
        <v>1223</v>
      </c>
      <c r="E2216" s="217">
        <v>14</v>
      </c>
      <c r="F2216" s="106">
        <v>0.0134744947064485</v>
      </c>
      <c r="G2216" s="107">
        <v>3</v>
      </c>
      <c r="H2216" s="106">
        <v>0.214285714285714</v>
      </c>
      <c r="I2216" s="104">
        <v>2</v>
      </c>
      <c r="J2216" s="106">
        <v>0.142857142857143</v>
      </c>
      <c r="K2216" s="108">
        <v>10</v>
      </c>
      <c r="L2216" s="108">
        <v>277</v>
      </c>
      <c r="M2216" s="108">
        <v>581.2</v>
      </c>
      <c r="N2216" s="108">
        <v>711.428571428571</v>
      </c>
      <c r="O2216" s="108">
        <v>0</v>
      </c>
      <c r="P2216" s="108">
        <v>4</v>
      </c>
      <c r="Q2216" s="108">
        <v>4.6</v>
      </c>
      <c r="R2216" s="108">
        <v>4.57142857142857</v>
      </c>
      <c r="S2216" s="108">
        <v>2</v>
      </c>
      <c r="T2216" s="108">
        <v>0.666666666666667</v>
      </c>
      <c r="U2216" s="108">
        <v>1.2</v>
      </c>
      <c r="V2216" s="108">
        <v>0.857142857142857</v>
      </c>
    </row>
    <row r="2217" customFormat="1" ht="14.45" customHeight="1" spans="1:22">
      <c r="A2217" s="143">
        <v>45113</v>
      </c>
      <c r="B2217" s="104" t="s">
        <v>27</v>
      </c>
      <c r="C2217" s="218">
        <v>1604</v>
      </c>
      <c r="D2217" s="218">
        <v>333</v>
      </c>
      <c r="E2217" s="217">
        <v>11</v>
      </c>
      <c r="F2217" s="106">
        <v>0.00685785536159601</v>
      </c>
      <c r="G2217" s="107">
        <v>1</v>
      </c>
      <c r="H2217" s="106">
        <v>0.0909090909090909</v>
      </c>
      <c r="I2217" s="104">
        <v>1</v>
      </c>
      <c r="J2217" s="106">
        <v>0.0909090909090909</v>
      </c>
      <c r="K2217" s="108">
        <v>98</v>
      </c>
      <c r="L2217" s="108">
        <v>158.666666666667</v>
      </c>
      <c r="M2217" s="108">
        <v>219.4</v>
      </c>
      <c r="N2217" s="108">
        <v>262.142857142857</v>
      </c>
      <c r="O2217" s="108">
        <v>1</v>
      </c>
      <c r="P2217" s="108">
        <v>-0.333333333333334</v>
      </c>
      <c r="Q2217" s="108">
        <v>-1.6</v>
      </c>
      <c r="R2217" s="108">
        <v>-2</v>
      </c>
      <c r="S2217" s="108">
        <v>-1</v>
      </c>
      <c r="T2217" s="108">
        <v>-3.66666666666667</v>
      </c>
      <c r="U2217" s="108">
        <v>-3.2</v>
      </c>
      <c r="V2217" s="108">
        <v>-3</v>
      </c>
    </row>
    <row r="2218" customFormat="1" ht="14.45" hidden="1" customHeight="1" spans="1:22">
      <c r="A2218" s="143">
        <v>45113</v>
      </c>
      <c r="B2218" s="104" t="s">
        <v>28</v>
      </c>
      <c r="C2218" s="145">
        <v>0</v>
      </c>
      <c r="D2218" s="145"/>
      <c r="E2218" s="104">
        <v>0</v>
      </c>
      <c r="F2218" s="106">
        <v>0</v>
      </c>
      <c r="G2218" s="107">
        <v>0</v>
      </c>
      <c r="H2218" s="106">
        <v>0</v>
      </c>
      <c r="I2218" s="104">
        <v>0</v>
      </c>
      <c r="J2218" s="106">
        <v>0</v>
      </c>
      <c r="K2218" s="108">
        <v>0</v>
      </c>
      <c r="L2218" s="108">
        <v>0</v>
      </c>
      <c r="M2218" s="108">
        <v>0</v>
      </c>
      <c r="N2218" s="108">
        <v>0</v>
      </c>
      <c r="O2218" s="108">
        <v>0</v>
      </c>
      <c r="P2218" s="108">
        <v>0</v>
      </c>
      <c r="Q2218" s="108">
        <v>0</v>
      </c>
      <c r="R2218" s="108">
        <v>0</v>
      </c>
      <c r="S2218" s="108">
        <v>0</v>
      </c>
      <c r="T2218" s="108">
        <v>0</v>
      </c>
      <c r="U2218" s="108">
        <v>0</v>
      </c>
      <c r="V2218" s="108">
        <v>0</v>
      </c>
    </row>
    <row r="2219" customFormat="1" ht="14.45" hidden="1" customHeight="1" spans="1:22">
      <c r="A2219" s="143">
        <v>45113</v>
      </c>
      <c r="B2219" s="104" t="s">
        <v>29</v>
      </c>
      <c r="C2219" s="145">
        <v>0</v>
      </c>
      <c r="D2219" s="145"/>
      <c r="E2219" s="104">
        <v>0</v>
      </c>
      <c r="F2219" s="106">
        <v>0</v>
      </c>
      <c r="G2219" s="107">
        <v>0</v>
      </c>
      <c r="H2219" s="106">
        <v>0</v>
      </c>
      <c r="I2219" s="104">
        <v>0</v>
      </c>
      <c r="J2219" s="106">
        <v>0</v>
      </c>
      <c r="K2219" s="108">
        <v>0</v>
      </c>
      <c r="L2219" s="108">
        <v>0</v>
      </c>
      <c r="M2219" s="108">
        <v>0</v>
      </c>
      <c r="N2219" s="108">
        <v>0</v>
      </c>
      <c r="O2219" s="108">
        <v>-1</v>
      </c>
      <c r="P2219" s="108">
        <v>-0.333333333333333</v>
      </c>
      <c r="Q2219" s="108">
        <v>-0.2</v>
      </c>
      <c r="R2219" s="108">
        <v>-0.142857142857143</v>
      </c>
      <c r="S2219" s="108">
        <v>0</v>
      </c>
      <c r="T2219" s="108">
        <v>0</v>
      </c>
      <c r="U2219" s="108">
        <v>0</v>
      </c>
      <c r="V2219" s="108">
        <v>0</v>
      </c>
    </row>
    <row r="2220" customFormat="1" ht="14.45" hidden="1" customHeight="1" spans="1:22">
      <c r="A2220" s="143">
        <v>45113</v>
      </c>
      <c r="B2220" s="104" t="s">
        <v>30</v>
      </c>
      <c r="C2220" s="145">
        <v>0</v>
      </c>
      <c r="D2220" s="145"/>
      <c r="E2220" s="104">
        <v>0</v>
      </c>
      <c r="F2220" s="106">
        <v>0</v>
      </c>
      <c r="G2220" s="107">
        <v>0</v>
      </c>
      <c r="H2220" s="106">
        <v>0</v>
      </c>
      <c r="I2220" s="104">
        <v>0</v>
      </c>
      <c r="J2220" s="106">
        <v>0</v>
      </c>
      <c r="K2220" s="108">
        <v>0</v>
      </c>
      <c r="L2220" s="108">
        <v>0</v>
      </c>
      <c r="M2220" s="108">
        <v>0</v>
      </c>
      <c r="N2220" s="108">
        <v>0</v>
      </c>
      <c r="O2220" s="108">
        <v>0</v>
      </c>
      <c r="P2220" s="108">
        <v>0</v>
      </c>
      <c r="Q2220" s="108">
        <v>0</v>
      </c>
      <c r="R2220" s="108">
        <v>0</v>
      </c>
      <c r="S2220" s="108">
        <v>0</v>
      </c>
      <c r="T2220" s="108">
        <v>0</v>
      </c>
      <c r="U2220" s="108">
        <v>0</v>
      </c>
      <c r="V2220" s="108">
        <v>0</v>
      </c>
    </row>
    <row r="2221" customFormat="1" ht="14.45" hidden="1" customHeight="1" spans="1:22">
      <c r="A2221" s="143">
        <v>45113</v>
      </c>
      <c r="B2221" s="104" t="s">
        <v>31</v>
      </c>
      <c r="C2221" s="145">
        <v>0</v>
      </c>
      <c r="D2221" s="145"/>
      <c r="E2221" s="104">
        <v>0</v>
      </c>
      <c r="F2221" s="106">
        <v>0</v>
      </c>
      <c r="G2221" s="107">
        <v>0</v>
      </c>
      <c r="H2221" s="106">
        <v>0</v>
      </c>
      <c r="I2221" s="104">
        <v>0</v>
      </c>
      <c r="J2221" s="106">
        <v>0</v>
      </c>
      <c r="K2221" s="108">
        <v>0</v>
      </c>
      <c r="L2221" s="108">
        <v>0</v>
      </c>
      <c r="M2221" s="108">
        <v>0</v>
      </c>
      <c r="N2221" s="108">
        <v>0</v>
      </c>
      <c r="O2221" s="108">
        <v>0</v>
      </c>
      <c r="P2221" s="108">
        <v>0</v>
      </c>
      <c r="Q2221" s="108">
        <v>0</v>
      </c>
      <c r="R2221" s="108">
        <v>0</v>
      </c>
      <c r="S2221" s="108">
        <v>0</v>
      </c>
      <c r="T2221" s="108">
        <v>0</v>
      </c>
      <c r="U2221" s="108">
        <v>0</v>
      </c>
      <c r="V2221" s="108">
        <v>0</v>
      </c>
    </row>
    <row r="2222" customFormat="1" ht="14.45" hidden="1" customHeight="1" spans="1:22">
      <c r="A2222" s="143">
        <v>45113</v>
      </c>
      <c r="B2222" s="104" t="s">
        <v>32</v>
      </c>
      <c r="C2222" s="145">
        <v>0</v>
      </c>
      <c r="D2222" s="145"/>
      <c r="E2222" s="104">
        <v>0</v>
      </c>
      <c r="F2222" s="106">
        <v>0</v>
      </c>
      <c r="G2222" s="107">
        <v>0</v>
      </c>
      <c r="H2222" s="106">
        <v>0</v>
      </c>
      <c r="I2222" s="104">
        <v>0</v>
      </c>
      <c r="J2222" s="106">
        <v>0</v>
      </c>
      <c r="K2222" s="108">
        <v>0</v>
      </c>
      <c r="L2222" s="108">
        <v>0</v>
      </c>
      <c r="M2222" s="108">
        <v>0</v>
      </c>
      <c r="N2222" s="108">
        <v>0</v>
      </c>
      <c r="O2222" s="108">
        <v>0</v>
      </c>
      <c r="P2222" s="108">
        <v>0</v>
      </c>
      <c r="Q2222" s="108">
        <v>0</v>
      </c>
      <c r="R2222" s="108">
        <v>0</v>
      </c>
      <c r="S2222" s="108">
        <v>0</v>
      </c>
      <c r="T2222" s="108">
        <v>0</v>
      </c>
      <c r="U2222" s="108">
        <v>0</v>
      </c>
      <c r="V2222" s="108">
        <v>0</v>
      </c>
    </row>
    <row r="2223" customFormat="1" hidden="1" spans="1:22">
      <c r="A2223" s="143">
        <v>45113</v>
      </c>
      <c r="B2223" s="104" t="s">
        <v>33</v>
      </c>
      <c r="C2223" s="145">
        <v>0</v>
      </c>
      <c r="D2223" s="145"/>
      <c r="E2223" s="104">
        <v>0</v>
      </c>
      <c r="F2223" s="106">
        <v>0</v>
      </c>
      <c r="G2223" s="107">
        <v>0</v>
      </c>
      <c r="H2223" s="106">
        <v>0</v>
      </c>
      <c r="I2223" s="104">
        <v>0</v>
      </c>
      <c r="J2223" s="106">
        <v>0</v>
      </c>
      <c r="K2223" s="108">
        <v>0</v>
      </c>
      <c r="L2223" s="108">
        <v>0</v>
      </c>
      <c r="M2223" s="108">
        <v>0</v>
      </c>
      <c r="N2223" s="108">
        <v>0</v>
      </c>
      <c r="O2223" s="108">
        <v>0</v>
      </c>
      <c r="P2223" s="108">
        <v>0</v>
      </c>
      <c r="Q2223" s="108">
        <v>0</v>
      </c>
      <c r="R2223" s="108">
        <v>0</v>
      </c>
      <c r="S2223" s="108">
        <v>0</v>
      </c>
      <c r="T2223" s="108">
        <v>0</v>
      </c>
      <c r="U2223" s="108">
        <v>0</v>
      </c>
      <c r="V2223" s="108">
        <v>0</v>
      </c>
    </row>
    <row r="2224" customFormat="1" hidden="1" spans="1:22">
      <c r="A2224" s="143">
        <v>45113</v>
      </c>
      <c r="B2224" s="104" t="s">
        <v>34</v>
      </c>
      <c r="C2224" s="145">
        <v>0</v>
      </c>
      <c r="D2224" s="145"/>
      <c r="E2224" s="104">
        <v>0</v>
      </c>
      <c r="F2224" s="106">
        <v>0</v>
      </c>
      <c r="G2224" s="107">
        <v>0</v>
      </c>
      <c r="H2224" s="106">
        <v>0</v>
      </c>
      <c r="I2224" s="104">
        <v>0</v>
      </c>
      <c r="J2224" s="106">
        <v>0</v>
      </c>
      <c r="K2224" s="108">
        <v>0</v>
      </c>
      <c r="L2224" s="108">
        <v>0</v>
      </c>
      <c r="M2224" s="108">
        <v>0</v>
      </c>
      <c r="N2224" s="108">
        <v>0</v>
      </c>
      <c r="O2224" s="108">
        <v>0</v>
      </c>
      <c r="P2224" s="108">
        <v>0</v>
      </c>
      <c r="Q2224" s="108">
        <v>0</v>
      </c>
      <c r="R2224" s="108">
        <v>0</v>
      </c>
      <c r="S2224" s="108">
        <v>0</v>
      </c>
      <c r="T2224" s="108">
        <v>0</v>
      </c>
      <c r="U2224" s="108">
        <v>0</v>
      </c>
      <c r="V2224" s="108">
        <v>0</v>
      </c>
    </row>
    <row r="2225" customFormat="1" hidden="1" spans="1:22">
      <c r="A2225" s="143">
        <v>45113</v>
      </c>
      <c r="B2225" s="104" t="s">
        <v>35</v>
      </c>
      <c r="C2225" s="145">
        <v>0</v>
      </c>
      <c r="D2225" s="145"/>
      <c r="E2225" s="104">
        <v>0</v>
      </c>
      <c r="F2225" s="106">
        <v>0</v>
      </c>
      <c r="G2225" s="107">
        <v>0</v>
      </c>
      <c r="H2225" s="106">
        <v>0</v>
      </c>
      <c r="I2225" s="104">
        <v>0</v>
      </c>
      <c r="J2225" s="106">
        <v>0</v>
      </c>
      <c r="K2225" s="108">
        <v>0</v>
      </c>
      <c r="L2225" s="108">
        <v>0</v>
      </c>
      <c r="M2225" s="108">
        <v>0</v>
      </c>
      <c r="N2225" s="108">
        <v>0</v>
      </c>
      <c r="O2225" s="108">
        <v>0</v>
      </c>
      <c r="P2225" s="108">
        <v>0</v>
      </c>
      <c r="Q2225" s="108">
        <v>0</v>
      </c>
      <c r="R2225" s="108">
        <v>0</v>
      </c>
      <c r="S2225" s="108">
        <v>0</v>
      </c>
      <c r="T2225" s="108">
        <v>0</v>
      </c>
      <c r="U2225" s="108">
        <v>0</v>
      </c>
      <c r="V2225" s="108">
        <v>0</v>
      </c>
    </row>
    <row r="2226" customFormat="1" hidden="1" spans="1:22">
      <c r="A2226" s="143">
        <v>45113</v>
      </c>
      <c r="B2226" s="104" t="s">
        <v>36</v>
      </c>
      <c r="C2226" s="145">
        <v>0</v>
      </c>
      <c r="D2226" s="145"/>
      <c r="E2226" s="104">
        <v>0</v>
      </c>
      <c r="F2226" s="106">
        <v>0</v>
      </c>
      <c r="G2226" s="107">
        <v>0</v>
      </c>
      <c r="H2226" s="106">
        <v>0</v>
      </c>
      <c r="I2226" s="104">
        <v>0</v>
      </c>
      <c r="J2226" s="106">
        <v>0</v>
      </c>
      <c r="K2226" s="108">
        <v>0</v>
      </c>
      <c r="L2226" s="108">
        <v>0</v>
      </c>
      <c r="M2226" s="108">
        <v>0</v>
      </c>
      <c r="N2226" s="108">
        <v>0</v>
      </c>
      <c r="O2226" s="108">
        <v>0</v>
      </c>
      <c r="P2226" s="108">
        <v>0</v>
      </c>
      <c r="Q2226" s="108">
        <v>0</v>
      </c>
      <c r="R2226" s="108">
        <v>0</v>
      </c>
      <c r="S2226" s="108">
        <v>0</v>
      </c>
      <c r="T2226" s="108">
        <v>0</v>
      </c>
      <c r="U2226" s="108">
        <v>0</v>
      </c>
      <c r="V2226" s="108">
        <v>0</v>
      </c>
    </row>
    <row r="2227" customFormat="1" hidden="1" spans="1:22">
      <c r="A2227" s="143">
        <v>45113</v>
      </c>
      <c r="B2227" s="104" t="s">
        <v>37</v>
      </c>
      <c r="C2227" s="145">
        <v>0</v>
      </c>
      <c r="D2227" s="145"/>
      <c r="E2227" s="104">
        <v>1</v>
      </c>
      <c r="F2227" s="106">
        <v>0</v>
      </c>
      <c r="G2227" s="107">
        <v>0</v>
      </c>
      <c r="H2227" s="106">
        <v>0</v>
      </c>
      <c r="I2227" s="104">
        <v>0</v>
      </c>
      <c r="J2227" s="106">
        <v>0</v>
      </c>
      <c r="K2227" s="108">
        <v>0</v>
      </c>
      <c r="L2227" s="108">
        <v>0</v>
      </c>
      <c r="M2227" s="108">
        <v>0</v>
      </c>
      <c r="N2227" s="108">
        <v>0</v>
      </c>
      <c r="O2227" s="108">
        <v>1</v>
      </c>
      <c r="P2227" s="108">
        <v>0.666666666666667</v>
      </c>
      <c r="Q2227" s="108">
        <v>0.6</v>
      </c>
      <c r="R2227" s="108">
        <v>0.571428571428571</v>
      </c>
      <c r="S2227" s="108">
        <v>0</v>
      </c>
      <c r="T2227" s="108">
        <v>0</v>
      </c>
      <c r="U2227" s="108">
        <v>0</v>
      </c>
      <c r="V2227" s="108">
        <v>-0.142857142857143</v>
      </c>
    </row>
    <row r="2228" customFormat="1" hidden="1" spans="1:22">
      <c r="A2228" s="143">
        <v>45113</v>
      </c>
      <c r="B2228" s="104" t="s">
        <v>38</v>
      </c>
      <c r="C2228" s="145">
        <v>0</v>
      </c>
      <c r="D2228" s="145"/>
      <c r="E2228" s="104">
        <v>0</v>
      </c>
      <c r="F2228" s="106">
        <v>0</v>
      </c>
      <c r="G2228" s="107">
        <v>0</v>
      </c>
      <c r="H2228" s="106">
        <v>0</v>
      </c>
      <c r="I2228" s="104">
        <v>0</v>
      </c>
      <c r="J2228" s="106">
        <v>0</v>
      </c>
      <c r="K2228" s="108">
        <v>0</v>
      </c>
      <c r="L2228" s="108">
        <v>0</v>
      </c>
      <c r="M2228" s="108">
        <v>0</v>
      </c>
      <c r="N2228" s="108">
        <v>0</v>
      </c>
      <c r="O2228" s="108">
        <v>0</v>
      </c>
      <c r="P2228" s="108">
        <v>0</v>
      </c>
      <c r="Q2228" s="108">
        <v>0</v>
      </c>
      <c r="R2228" s="108">
        <v>0</v>
      </c>
      <c r="S2228" s="108">
        <v>0</v>
      </c>
      <c r="T2228" s="108">
        <v>0</v>
      </c>
      <c r="U2228" s="108">
        <v>0</v>
      </c>
      <c r="V2228" s="108">
        <v>0</v>
      </c>
    </row>
    <row r="2229" customFormat="1" spans="1:22">
      <c r="A2229" s="143">
        <v>45113</v>
      </c>
      <c r="B2229" s="111" t="s">
        <v>39</v>
      </c>
      <c r="C2229" s="112">
        <v>9509</v>
      </c>
      <c r="D2229" s="112">
        <v>5318</v>
      </c>
      <c r="E2229" s="112">
        <v>184</v>
      </c>
      <c r="F2229" s="106">
        <v>0.0193500893889999</v>
      </c>
      <c r="G2229" s="112">
        <v>64</v>
      </c>
      <c r="H2229" s="113">
        <v>0.347826086956522</v>
      </c>
      <c r="I2229" s="112">
        <v>40</v>
      </c>
      <c r="J2229" s="106">
        <v>0.217391304347826</v>
      </c>
      <c r="K2229" s="108"/>
      <c r="L2229" s="108"/>
      <c r="M2229" s="108"/>
      <c r="N2229" s="108"/>
      <c r="O2229" s="108"/>
      <c r="P2229" s="108"/>
      <c r="Q2229" s="108"/>
      <c r="R2229" s="108"/>
      <c r="S2229" s="108"/>
      <c r="T2229" s="108"/>
      <c r="U2229" s="108"/>
      <c r="V2229" s="108"/>
    </row>
    <row r="2230" customFormat="1" ht="14.45" customHeight="1" spans="1:24">
      <c r="A2230" s="143">
        <v>45114</v>
      </c>
      <c r="B2230" s="104" t="s">
        <v>17</v>
      </c>
      <c r="C2230" s="216">
        <v>1</v>
      </c>
      <c r="D2230" s="216">
        <v>627</v>
      </c>
      <c r="E2230" s="217">
        <v>42</v>
      </c>
      <c r="F2230" s="106">
        <v>42</v>
      </c>
      <c r="G2230" s="107">
        <v>5</v>
      </c>
      <c r="H2230" s="106">
        <v>0.119047619047619</v>
      </c>
      <c r="I2230" s="104">
        <v>2</v>
      </c>
      <c r="J2230" s="106">
        <v>0.0476190476190476</v>
      </c>
      <c r="K2230" s="108">
        <v>1</v>
      </c>
      <c r="L2230" s="108">
        <v>0</v>
      </c>
      <c r="M2230" s="108">
        <v>0</v>
      </c>
      <c r="N2230" s="108">
        <v>0</v>
      </c>
      <c r="O2230" s="108">
        <v>9</v>
      </c>
      <c r="P2230" s="108">
        <v>5.66666666666666</v>
      </c>
      <c r="Q2230" s="108">
        <v>0.799999999999997</v>
      </c>
      <c r="R2230" s="108">
        <v>0.285714285714285</v>
      </c>
      <c r="S2230" s="108">
        <v>-2</v>
      </c>
      <c r="T2230" s="108">
        <v>-4.66666666666667</v>
      </c>
      <c r="U2230" s="108">
        <v>-5</v>
      </c>
      <c r="V2230" s="108">
        <v>-4.71428571428571</v>
      </c>
      <c r="X2230" t="s">
        <v>18</v>
      </c>
    </row>
    <row r="2231" customFormat="1" ht="14.45" customHeight="1" spans="1:24">
      <c r="A2231" s="143">
        <v>45114</v>
      </c>
      <c r="B2231" s="104" t="s">
        <v>19</v>
      </c>
      <c r="C2231" s="216">
        <v>453</v>
      </c>
      <c r="D2231" s="216">
        <v>398</v>
      </c>
      <c r="E2231" s="217">
        <v>12</v>
      </c>
      <c r="F2231" s="106">
        <v>0.0264900662251656</v>
      </c>
      <c r="G2231" s="107">
        <v>5</v>
      </c>
      <c r="H2231" s="106">
        <v>0.416666666666667</v>
      </c>
      <c r="I2231" s="104">
        <v>2</v>
      </c>
      <c r="J2231" s="106">
        <v>0.166666666666667</v>
      </c>
      <c r="K2231" s="108">
        <v>-49</v>
      </c>
      <c r="L2231" s="108">
        <v>-55.3333333333333</v>
      </c>
      <c r="M2231" s="108">
        <v>-157.4</v>
      </c>
      <c r="N2231" s="108">
        <v>-192.714285714286</v>
      </c>
      <c r="O2231" s="108">
        <v>-5</v>
      </c>
      <c r="P2231" s="108">
        <v>-0.666666666666666</v>
      </c>
      <c r="Q2231" s="108">
        <v>-2.2</v>
      </c>
      <c r="R2231" s="108">
        <v>-2</v>
      </c>
      <c r="S2231" s="108">
        <v>-2</v>
      </c>
      <c r="T2231" s="108">
        <v>0.666666666666667</v>
      </c>
      <c r="U2231" s="108">
        <v>0.6</v>
      </c>
      <c r="V2231" s="115">
        <v>0</v>
      </c>
      <c r="W2231" s="154"/>
      <c r="X2231" s="154"/>
    </row>
    <row r="2232" customFormat="1" ht="14.45" customHeight="1" spans="1:22">
      <c r="A2232" s="143">
        <v>45114</v>
      </c>
      <c r="B2232" s="104" t="s">
        <v>21</v>
      </c>
      <c r="C2232" s="218">
        <v>99</v>
      </c>
      <c r="D2232" s="218">
        <v>175</v>
      </c>
      <c r="E2232" s="217">
        <v>1</v>
      </c>
      <c r="F2232" s="106">
        <v>0.0101010101010101</v>
      </c>
      <c r="G2232" s="107">
        <v>1</v>
      </c>
      <c r="H2232" s="106">
        <v>1</v>
      </c>
      <c r="I2232" s="104">
        <v>1</v>
      </c>
      <c r="J2232" s="106">
        <v>1</v>
      </c>
      <c r="K2232" s="108">
        <v>-102</v>
      </c>
      <c r="L2232" s="108">
        <v>-149.333333333333</v>
      </c>
      <c r="M2232" s="108">
        <v>-172.6</v>
      </c>
      <c r="N2232" s="108">
        <v>-166.142857142857</v>
      </c>
      <c r="O2232" s="108">
        <v>-2</v>
      </c>
      <c r="P2232" s="108">
        <v>-3.33333333333333</v>
      </c>
      <c r="Q2232" s="108">
        <v>-3.4</v>
      </c>
      <c r="R2232" s="108">
        <v>-3.85714285714286</v>
      </c>
      <c r="S2232" s="108">
        <v>1</v>
      </c>
      <c r="T2232" s="108">
        <v>-0.333333333333333</v>
      </c>
      <c r="U2232" s="108">
        <v>-0.4</v>
      </c>
      <c r="V2232" s="108">
        <v>-0.857142857142857</v>
      </c>
    </row>
    <row r="2233" customFormat="1" ht="18.95" customHeight="1" spans="1:24">
      <c r="A2233" s="143">
        <v>45114</v>
      </c>
      <c r="B2233" s="104" t="s">
        <v>22</v>
      </c>
      <c r="C2233" s="218">
        <v>2076</v>
      </c>
      <c r="D2233" s="218">
        <v>1013</v>
      </c>
      <c r="E2233" s="217">
        <v>36</v>
      </c>
      <c r="F2233" s="106">
        <v>0.0173410404624277</v>
      </c>
      <c r="G2233" s="107">
        <v>8</v>
      </c>
      <c r="H2233" s="106">
        <v>0.222222222222222</v>
      </c>
      <c r="I2233" s="104">
        <v>5</v>
      </c>
      <c r="J2233" s="106">
        <v>0.138888888888889</v>
      </c>
      <c r="K2233" s="108">
        <v>71</v>
      </c>
      <c r="L2233" s="108">
        <v>89</v>
      </c>
      <c r="M2233" s="108">
        <v>-27</v>
      </c>
      <c r="N2233" s="108">
        <v>-4.57142857142844</v>
      </c>
      <c r="O2233" s="108">
        <v>-8</v>
      </c>
      <c r="P2233" s="108">
        <v>-13.6666666666667</v>
      </c>
      <c r="Q2233" s="108">
        <v>-18.6</v>
      </c>
      <c r="R2233" s="115">
        <v>-17.8571428571429</v>
      </c>
      <c r="S2233" s="108">
        <v>-8</v>
      </c>
      <c r="T2233" s="108">
        <v>-10.3333333333333</v>
      </c>
      <c r="U2233" s="108">
        <v>-12</v>
      </c>
      <c r="V2233" s="108">
        <v>-11.1428571428571</v>
      </c>
      <c r="W2233" s="154"/>
      <c r="X2233" s="154"/>
    </row>
    <row r="2234" customFormat="1" ht="14.45" customHeight="1" spans="1:22">
      <c r="A2234" s="143">
        <v>45114</v>
      </c>
      <c r="B2234" s="104" t="s">
        <v>23</v>
      </c>
      <c r="C2234" s="218">
        <v>1932</v>
      </c>
      <c r="D2234" s="218">
        <v>116</v>
      </c>
      <c r="E2234" s="217">
        <v>7</v>
      </c>
      <c r="F2234" s="106">
        <v>0.0036231884057971</v>
      </c>
      <c r="G2234" s="107">
        <v>4</v>
      </c>
      <c r="H2234" s="106">
        <v>0.571428571428571</v>
      </c>
      <c r="I2234" s="104">
        <v>2</v>
      </c>
      <c r="J2234" s="106">
        <v>0.285714285714286</v>
      </c>
      <c r="K2234" s="108">
        <v>-45</v>
      </c>
      <c r="L2234" s="108">
        <v>-55</v>
      </c>
      <c r="M2234" s="108">
        <v>-73.5999999999999</v>
      </c>
      <c r="N2234" s="108">
        <v>-107.285714285714</v>
      </c>
      <c r="O2234" s="108">
        <v>1</v>
      </c>
      <c r="P2234" s="108">
        <v>2</v>
      </c>
      <c r="Q2234" s="108">
        <v>2.2</v>
      </c>
      <c r="R2234" s="108">
        <v>2</v>
      </c>
      <c r="S2234" s="108">
        <v>4</v>
      </c>
      <c r="T2234" s="108">
        <v>4</v>
      </c>
      <c r="U2234" s="108">
        <v>2.8</v>
      </c>
      <c r="V2234" s="108">
        <v>2.14285714285714</v>
      </c>
    </row>
    <row r="2235" customFormat="1" ht="14.45" customHeight="1" spans="1:24">
      <c r="A2235" s="143">
        <v>45114</v>
      </c>
      <c r="B2235" s="104" t="s">
        <v>24</v>
      </c>
      <c r="C2235" s="218">
        <v>241</v>
      </c>
      <c r="D2235" s="218">
        <v>494</v>
      </c>
      <c r="E2235" s="217">
        <v>6</v>
      </c>
      <c r="F2235" s="106">
        <v>0.024896265560166</v>
      </c>
      <c r="G2235" s="107">
        <v>4</v>
      </c>
      <c r="H2235" s="106">
        <v>0.666666666666667</v>
      </c>
      <c r="I2235" s="104">
        <v>4</v>
      </c>
      <c r="J2235" s="106">
        <v>0.666666666666667</v>
      </c>
      <c r="K2235" s="108">
        <v>-11</v>
      </c>
      <c r="L2235" s="108">
        <v>-40.6666666666667</v>
      </c>
      <c r="M2235" s="108">
        <v>-915.2</v>
      </c>
      <c r="N2235" s="108">
        <v>-690.428571428571</v>
      </c>
      <c r="O2235" s="115">
        <v>-3</v>
      </c>
      <c r="P2235" s="115">
        <v>1</v>
      </c>
      <c r="Q2235" s="115">
        <v>0</v>
      </c>
      <c r="R2235" s="115">
        <v>0.857142857142857</v>
      </c>
      <c r="S2235" s="115">
        <v>-3</v>
      </c>
      <c r="T2235" s="115">
        <v>1</v>
      </c>
      <c r="U2235" s="115">
        <v>1</v>
      </c>
      <c r="V2235" s="115">
        <v>1.28571428571429</v>
      </c>
      <c r="W2235" s="154"/>
      <c r="X2235" s="154"/>
    </row>
    <row r="2236" customFormat="1" ht="14.45" customHeight="1" spans="1:22">
      <c r="A2236" s="143">
        <v>45114</v>
      </c>
      <c r="B2236" s="104" t="s">
        <v>25</v>
      </c>
      <c r="C2236" s="218">
        <v>2255</v>
      </c>
      <c r="D2236" s="218">
        <v>894</v>
      </c>
      <c r="E2236" s="217">
        <v>47</v>
      </c>
      <c r="F2236" s="106">
        <v>0.0208425720620843</v>
      </c>
      <c r="G2236" s="107">
        <v>18</v>
      </c>
      <c r="H2236" s="106">
        <v>0.382978723404255</v>
      </c>
      <c r="I2236" s="104">
        <v>15</v>
      </c>
      <c r="J2236" s="106">
        <v>0.319148936170213</v>
      </c>
      <c r="K2236" s="108">
        <v>326</v>
      </c>
      <c r="L2236" s="108">
        <v>-994</v>
      </c>
      <c r="M2236" s="108">
        <v>-1389.4</v>
      </c>
      <c r="N2236" s="108">
        <v>-1594</v>
      </c>
      <c r="O2236" s="115">
        <v>1</v>
      </c>
      <c r="P2236" s="115">
        <v>13.3333333333333</v>
      </c>
      <c r="Q2236" s="115">
        <v>12.8</v>
      </c>
      <c r="R2236" s="115">
        <v>11.2857142857143</v>
      </c>
      <c r="S2236" s="108">
        <v>-5</v>
      </c>
      <c r="T2236" s="108">
        <v>2.66666666666667</v>
      </c>
      <c r="U2236" s="108">
        <v>5.2</v>
      </c>
      <c r="V2236" s="108">
        <v>3.71428571428571</v>
      </c>
    </row>
    <row r="2237" customFormat="1" ht="14.45" customHeight="1" spans="1:22">
      <c r="A2237" s="143">
        <v>45114</v>
      </c>
      <c r="B2237" s="104" t="s">
        <v>26</v>
      </c>
      <c r="C2237" s="218">
        <v>989</v>
      </c>
      <c r="D2237" s="218">
        <v>1195</v>
      </c>
      <c r="E2237" s="217">
        <v>11</v>
      </c>
      <c r="F2237" s="106">
        <v>0.0111223458038423</v>
      </c>
      <c r="G2237" s="107">
        <v>3</v>
      </c>
      <c r="H2237" s="106">
        <v>0.272727272727273</v>
      </c>
      <c r="I2237" s="104">
        <v>1</v>
      </c>
      <c r="J2237" s="106">
        <v>0.0909090909090909</v>
      </c>
      <c r="K2237" s="108">
        <v>-50</v>
      </c>
      <c r="L2237" s="108">
        <v>-34.6666666666666</v>
      </c>
      <c r="M2237" s="108">
        <v>323.4</v>
      </c>
      <c r="N2237" s="108">
        <v>513.285714285714</v>
      </c>
      <c r="O2237" s="108">
        <v>-3</v>
      </c>
      <c r="P2237" s="108">
        <v>0</v>
      </c>
      <c r="Q2237" s="108">
        <v>1.2</v>
      </c>
      <c r="R2237" s="108">
        <v>0.714285714285714</v>
      </c>
      <c r="S2237" s="108">
        <v>0</v>
      </c>
      <c r="T2237" s="108">
        <v>0.666666666666667</v>
      </c>
      <c r="U2237" s="108">
        <v>0.8</v>
      </c>
      <c r="V2237" s="108">
        <v>0.714285714285714</v>
      </c>
    </row>
    <row r="2238" customFormat="1" ht="14.45" customHeight="1" spans="1:22">
      <c r="A2238" s="143">
        <v>45114</v>
      </c>
      <c r="B2238" s="104" t="s">
        <v>27</v>
      </c>
      <c r="C2238" s="218">
        <v>1801</v>
      </c>
      <c r="D2238" s="218">
        <v>352</v>
      </c>
      <c r="E2238" s="217">
        <v>18</v>
      </c>
      <c r="F2238" s="106">
        <v>0.00999444752915047</v>
      </c>
      <c r="G2238" s="107">
        <v>4</v>
      </c>
      <c r="H2238" s="106">
        <v>0.222222222222222</v>
      </c>
      <c r="I2238" s="104">
        <v>3</v>
      </c>
      <c r="J2238" s="106">
        <v>0.166666666666667</v>
      </c>
      <c r="K2238" s="108">
        <v>197</v>
      </c>
      <c r="L2238" s="108">
        <v>271</v>
      </c>
      <c r="M2238" s="108">
        <v>347.6</v>
      </c>
      <c r="N2238" s="108">
        <v>411.428571428571</v>
      </c>
      <c r="O2238" s="108">
        <v>7</v>
      </c>
      <c r="P2238" s="108">
        <v>8</v>
      </c>
      <c r="Q2238" s="108">
        <v>6.6</v>
      </c>
      <c r="R2238" s="108">
        <v>5.14285714285714</v>
      </c>
      <c r="S2238" s="108">
        <v>3</v>
      </c>
      <c r="T2238" s="108">
        <v>1.33333333333333</v>
      </c>
      <c r="U2238" s="108">
        <v>0.8</v>
      </c>
      <c r="V2238" s="108">
        <v>0.285714285714286</v>
      </c>
    </row>
    <row r="2239" customFormat="1" ht="14.45" hidden="1" customHeight="1" spans="1:22">
      <c r="A2239" s="143">
        <v>45114</v>
      </c>
      <c r="B2239" s="104" t="s">
        <v>28</v>
      </c>
      <c r="C2239" s="145">
        <v>0</v>
      </c>
      <c r="D2239" s="145"/>
      <c r="E2239" s="104">
        <v>0</v>
      </c>
      <c r="F2239" s="106">
        <v>0</v>
      </c>
      <c r="G2239" s="107">
        <v>0</v>
      </c>
      <c r="H2239" s="106">
        <v>0</v>
      </c>
      <c r="I2239" s="104">
        <v>0</v>
      </c>
      <c r="J2239" s="106">
        <v>0</v>
      </c>
      <c r="K2239" s="108">
        <v>0</v>
      </c>
      <c r="L2239" s="108">
        <v>0</v>
      </c>
      <c r="M2239" s="108">
        <v>0</v>
      </c>
      <c r="N2239" s="108">
        <v>0</v>
      </c>
      <c r="O2239" s="108">
        <v>0</v>
      </c>
      <c r="P2239" s="108">
        <v>0</v>
      </c>
      <c r="Q2239" s="108">
        <v>0</v>
      </c>
      <c r="R2239" s="108">
        <v>0</v>
      </c>
      <c r="S2239" s="108">
        <v>0</v>
      </c>
      <c r="T2239" s="108">
        <v>0</v>
      </c>
      <c r="U2239" s="108">
        <v>0</v>
      </c>
      <c r="V2239" s="108">
        <v>0</v>
      </c>
    </row>
    <row r="2240" customFormat="1" ht="14.45" hidden="1" customHeight="1" spans="1:22">
      <c r="A2240" s="143">
        <v>45114</v>
      </c>
      <c r="B2240" s="104" t="s">
        <v>29</v>
      </c>
      <c r="C2240" s="145">
        <v>0</v>
      </c>
      <c r="D2240" s="145"/>
      <c r="E2240" s="104">
        <v>0</v>
      </c>
      <c r="F2240" s="106">
        <v>0</v>
      </c>
      <c r="G2240" s="107">
        <v>0</v>
      </c>
      <c r="H2240" s="106">
        <v>0</v>
      </c>
      <c r="I2240" s="104">
        <v>0</v>
      </c>
      <c r="J2240" s="106">
        <v>0</v>
      </c>
      <c r="K2240" s="108">
        <v>0</v>
      </c>
      <c r="L2240" s="108">
        <v>0</v>
      </c>
      <c r="M2240" s="108">
        <v>0</v>
      </c>
      <c r="N2240" s="108">
        <v>0</v>
      </c>
      <c r="O2240" s="108">
        <v>0</v>
      </c>
      <c r="P2240" s="108">
        <v>-0.333333333333333</v>
      </c>
      <c r="Q2240" s="108">
        <v>-0.2</v>
      </c>
      <c r="R2240" s="108">
        <v>-0.142857142857143</v>
      </c>
      <c r="S2240" s="108">
        <v>0</v>
      </c>
      <c r="T2240" s="108">
        <v>0</v>
      </c>
      <c r="U2240" s="108">
        <v>0</v>
      </c>
      <c r="V2240" s="108">
        <v>0</v>
      </c>
    </row>
    <row r="2241" customFormat="1" ht="14.45" hidden="1" customHeight="1" spans="1:22">
      <c r="A2241" s="143">
        <v>45114</v>
      </c>
      <c r="B2241" s="104" t="s">
        <v>30</v>
      </c>
      <c r="C2241" s="145">
        <v>0</v>
      </c>
      <c r="D2241" s="145"/>
      <c r="E2241" s="104">
        <v>0</v>
      </c>
      <c r="F2241" s="106">
        <v>0</v>
      </c>
      <c r="G2241" s="107">
        <v>0</v>
      </c>
      <c r="H2241" s="106">
        <v>0</v>
      </c>
      <c r="I2241" s="104">
        <v>0</v>
      </c>
      <c r="J2241" s="106">
        <v>0</v>
      </c>
      <c r="K2241" s="108">
        <v>0</v>
      </c>
      <c r="L2241" s="108">
        <v>0</v>
      </c>
      <c r="M2241" s="108">
        <v>0</v>
      </c>
      <c r="N2241" s="108">
        <v>0</v>
      </c>
      <c r="O2241" s="108">
        <v>0</v>
      </c>
      <c r="P2241" s="108">
        <v>0</v>
      </c>
      <c r="Q2241" s="108">
        <v>0</v>
      </c>
      <c r="R2241" s="108">
        <v>0</v>
      </c>
      <c r="S2241" s="108">
        <v>0</v>
      </c>
      <c r="T2241" s="108">
        <v>0</v>
      </c>
      <c r="U2241" s="108">
        <v>0</v>
      </c>
      <c r="V2241" s="108">
        <v>0</v>
      </c>
    </row>
    <row r="2242" customFormat="1" ht="14.45" hidden="1" customHeight="1" spans="1:22">
      <c r="A2242" s="143">
        <v>45114</v>
      </c>
      <c r="B2242" s="104" t="s">
        <v>31</v>
      </c>
      <c r="C2242" s="145">
        <v>0</v>
      </c>
      <c r="D2242" s="145"/>
      <c r="E2242" s="104">
        <v>0</v>
      </c>
      <c r="F2242" s="106">
        <v>0</v>
      </c>
      <c r="G2242" s="107">
        <v>0</v>
      </c>
      <c r="H2242" s="106">
        <v>0</v>
      </c>
      <c r="I2242" s="104">
        <v>0</v>
      </c>
      <c r="J2242" s="106">
        <v>0</v>
      </c>
      <c r="K2242" s="108">
        <v>0</v>
      </c>
      <c r="L2242" s="108">
        <v>0</v>
      </c>
      <c r="M2242" s="108">
        <v>0</v>
      </c>
      <c r="N2242" s="108">
        <v>0</v>
      </c>
      <c r="O2242" s="108">
        <v>0</v>
      </c>
      <c r="P2242" s="108">
        <v>0</v>
      </c>
      <c r="Q2242" s="108">
        <v>0</v>
      </c>
      <c r="R2242" s="108">
        <v>0</v>
      </c>
      <c r="S2242" s="108">
        <v>0</v>
      </c>
      <c r="T2242" s="108">
        <v>0</v>
      </c>
      <c r="U2242" s="108">
        <v>0</v>
      </c>
      <c r="V2242" s="108">
        <v>0</v>
      </c>
    </row>
    <row r="2243" customFormat="1" ht="14.45" hidden="1" customHeight="1" spans="1:22">
      <c r="A2243" s="143">
        <v>45114</v>
      </c>
      <c r="B2243" s="104" t="s">
        <v>32</v>
      </c>
      <c r="C2243" s="145">
        <v>0</v>
      </c>
      <c r="D2243" s="145"/>
      <c r="E2243" s="104">
        <v>0</v>
      </c>
      <c r="F2243" s="106">
        <v>0</v>
      </c>
      <c r="G2243" s="107">
        <v>0</v>
      </c>
      <c r="H2243" s="106">
        <v>0</v>
      </c>
      <c r="I2243" s="104">
        <v>0</v>
      </c>
      <c r="J2243" s="106">
        <v>0</v>
      </c>
      <c r="K2243" s="108">
        <v>0</v>
      </c>
      <c r="L2243" s="108">
        <v>0</v>
      </c>
      <c r="M2243" s="108">
        <v>0</v>
      </c>
      <c r="N2243" s="108">
        <v>0</v>
      </c>
      <c r="O2243" s="108">
        <v>0</v>
      </c>
      <c r="P2243" s="108">
        <v>0</v>
      </c>
      <c r="Q2243" s="108">
        <v>0</v>
      </c>
      <c r="R2243" s="108">
        <v>0</v>
      </c>
      <c r="S2243" s="108">
        <v>0</v>
      </c>
      <c r="T2243" s="108">
        <v>0</v>
      </c>
      <c r="U2243" s="108">
        <v>0</v>
      </c>
      <c r="V2243" s="108">
        <v>0</v>
      </c>
    </row>
    <row r="2244" customFormat="1" hidden="1" spans="1:22">
      <c r="A2244" s="143">
        <v>45114</v>
      </c>
      <c r="B2244" s="104" t="s">
        <v>33</v>
      </c>
      <c r="C2244" s="145">
        <v>0</v>
      </c>
      <c r="D2244" s="145"/>
      <c r="E2244" s="104">
        <v>0</v>
      </c>
      <c r="F2244" s="106">
        <v>0</v>
      </c>
      <c r="G2244" s="107">
        <v>0</v>
      </c>
      <c r="H2244" s="106">
        <v>0</v>
      </c>
      <c r="I2244" s="104">
        <v>0</v>
      </c>
      <c r="J2244" s="106">
        <v>0</v>
      </c>
      <c r="K2244" s="108">
        <v>0</v>
      </c>
      <c r="L2244" s="108">
        <v>0</v>
      </c>
      <c r="M2244" s="108">
        <v>0</v>
      </c>
      <c r="N2244" s="108">
        <v>0</v>
      </c>
      <c r="O2244" s="108">
        <v>0</v>
      </c>
      <c r="P2244" s="108">
        <v>0</v>
      </c>
      <c r="Q2244" s="108">
        <v>0</v>
      </c>
      <c r="R2244" s="108">
        <v>0</v>
      </c>
      <c r="S2244" s="108">
        <v>0</v>
      </c>
      <c r="T2244" s="108">
        <v>0</v>
      </c>
      <c r="U2244" s="108">
        <v>0</v>
      </c>
      <c r="V2244" s="108">
        <v>0</v>
      </c>
    </row>
    <row r="2245" customFormat="1" hidden="1" spans="1:22">
      <c r="A2245" s="143">
        <v>45114</v>
      </c>
      <c r="B2245" s="104" t="s">
        <v>34</v>
      </c>
      <c r="C2245" s="145">
        <v>0</v>
      </c>
      <c r="D2245" s="145"/>
      <c r="E2245" s="104">
        <v>0</v>
      </c>
      <c r="F2245" s="106">
        <v>0</v>
      </c>
      <c r="G2245" s="107">
        <v>0</v>
      </c>
      <c r="H2245" s="106">
        <v>0</v>
      </c>
      <c r="I2245" s="104">
        <v>0</v>
      </c>
      <c r="J2245" s="106">
        <v>0</v>
      </c>
      <c r="K2245" s="108">
        <v>0</v>
      </c>
      <c r="L2245" s="108">
        <v>0</v>
      </c>
      <c r="M2245" s="108">
        <v>0</v>
      </c>
      <c r="N2245" s="108">
        <v>0</v>
      </c>
      <c r="O2245" s="108">
        <v>0</v>
      </c>
      <c r="P2245" s="108">
        <v>0</v>
      </c>
      <c r="Q2245" s="108">
        <v>0</v>
      </c>
      <c r="R2245" s="108">
        <v>0</v>
      </c>
      <c r="S2245" s="108">
        <v>0</v>
      </c>
      <c r="T2245" s="108">
        <v>0</v>
      </c>
      <c r="U2245" s="108">
        <v>0</v>
      </c>
      <c r="V2245" s="108">
        <v>0</v>
      </c>
    </row>
    <row r="2246" customFormat="1" hidden="1" spans="1:22">
      <c r="A2246" s="143">
        <v>45114</v>
      </c>
      <c r="B2246" s="104" t="s">
        <v>35</v>
      </c>
      <c r="C2246" s="145">
        <v>0</v>
      </c>
      <c r="D2246" s="145"/>
      <c r="E2246" s="104">
        <v>0</v>
      </c>
      <c r="F2246" s="106">
        <v>0</v>
      </c>
      <c r="G2246" s="107">
        <v>0</v>
      </c>
      <c r="H2246" s="106">
        <v>0</v>
      </c>
      <c r="I2246" s="104">
        <v>0</v>
      </c>
      <c r="J2246" s="106">
        <v>0</v>
      </c>
      <c r="K2246" s="108">
        <v>0</v>
      </c>
      <c r="L2246" s="108">
        <v>0</v>
      </c>
      <c r="M2246" s="108">
        <v>0</v>
      </c>
      <c r="N2246" s="108">
        <v>0</v>
      </c>
      <c r="O2246" s="108">
        <v>0</v>
      </c>
      <c r="P2246" s="108">
        <v>0</v>
      </c>
      <c r="Q2246" s="108">
        <v>0</v>
      </c>
      <c r="R2246" s="108">
        <v>0</v>
      </c>
      <c r="S2246" s="108">
        <v>0</v>
      </c>
      <c r="T2246" s="108">
        <v>0</v>
      </c>
      <c r="U2246" s="108">
        <v>0</v>
      </c>
      <c r="V2246" s="108">
        <v>0</v>
      </c>
    </row>
    <row r="2247" customFormat="1" hidden="1" spans="1:22">
      <c r="A2247" s="143">
        <v>45114</v>
      </c>
      <c r="B2247" s="104" t="s">
        <v>36</v>
      </c>
      <c r="C2247" s="145">
        <v>0</v>
      </c>
      <c r="D2247" s="145"/>
      <c r="E2247" s="104">
        <v>0</v>
      </c>
      <c r="F2247" s="106">
        <v>0</v>
      </c>
      <c r="G2247" s="107">
        <v>0</v>
      </c>
      <c r="H2247" s="106">
        <v>0</v>
      </c>
      <c r="I2247" s="104">
        <v>0</v>
      </c>
      <c r="J2247" s="106">
        <v>0</v>
      </c>
      <c r="K2247" s="108">
        <v>0</v>
      </c>
      <c r="L2247" s="108">
        <v>0</v>
      </c>
      <c r="M2247" s="108">
        <v>0</v>
      </c>
      <c r="N2247" s="108">
        <v>0</v>
      </c>
      <c r="O2247" s="108">
        <v>0</v>
      </c>
      <c r="P2247" s="108">
        <v>0</v>
      </c>
      <c r="Q2247" s="108">
        <v>0</v>
      </c>
      <c r="R2247" s="108">
        <v>0</v>
      </c>
      <c r="S2247" s="108">
        <v>0</v>
      </c>
      <c r="T2247" s="108">
        <v>0</v>
      </c>
      <c r="U2247" s="108">
        <v>0</v>
      </c>
      <c r="V2247" s="108">
        <v>0</v>
      </c>
    </row>
    <row r="2248" customFormat="1" hidden="1" spans="1:22">
      <c r="A2248" s="143">
        <v>45114</v>
      </c>
      <c r="B2248" s="104" t="s">
        <v>37</v>
      </c>
      <c r="C2248" s="145">
        <v>0</v>
      </c>
      <c r="D2248" s="145"/>
      <c r="E2248" s="104">
        <v>1</v>
      </c>
      <c r="F2248" s="106">
        <v>0</v>
      </c>
      <c r="G2248" s="107">
        <v>0</v>
      </c>
      <c r="H2248" s="106">
        <v>0</v>
      </c>
      <c r="I2248" s="104">
        <v>0</v>
      </c>
      <c r="J2248" s="106">
        <v>0</v>
      </c>
      <c r="K2248" s="108">
        <v>0</v>
      </c>
      <c r="L2248" s="108">
        <v>0</v>
      </c>
      <c r="M2248" s="108">
        <v>0</v>
      </c>
      <c r="N2248" s="108">
        <v>0</v>
      </c>
      <c r="O2248" s="108">
        <v>0</v>
      </c>
      <c r="P2248" s="108">
        <v>0.666666666666667</v>
      </c>
      <c r="Q2248" s="108">
        <v>0.6</v>
      </c>
      <c r="R2248" s="108">
        <v>0.428571428571429</v>
      </c>
      <c r="S2248" s="108">
        <v>0</v>
      </c>
      <c r="T2248" s="108">
        <v>0</v>
      </c>
      <c r="U2248" s="108">
        <v>0</v>
      </c>
      <c r="V2248" s="108">
        <v>-0.142857142857143</v>
      </c>
    </row>
    <row r="2249" customFormat="1" hidden="1" spans="1:22">
      <c r="A2249" s="143">
        <v>45114</v>
      </c>
      <c r="B2249" s="104" t="s">
        <v>38</v>
      </c>
      <c r="C2249" s="145">
        <v>0</v>
      </c>
      <c r="D2249" s="145"/>
      <c r="E2249" s="104">
        <v>0</v>
      </c>
      <c r="F2249" s="106">
        <v>0</v>
      </c>
      <c r="G2249" s="107">
        <v>0</v>
      </c>
      <c r="H2249" s="106">
        <v>0</v>
      </c>
      <c r="I2249" s="104">
        <v>0</v>
      </c>
      <c r="J2249" s="106">
        <v>0</v>
      </c>
      <c r="K2249" s="108">
        <v>0</v>
      </c>
      <c r="L2249" s="108">
        <v>0</v>
      </c>
      <c r="M2249" s="108">
        <v>0</v>
      </c>
      <c r="N2249" s="108">
        <v>0</v>
      </c>
      <c r="O2249" s="108">
        <v>0</v>
      </c>
      <c r="P2249" s="108">
        <v>0</v>
      </c>
      <c r="Q2249" s="108">
        <v>0</v>
      </c>
      <c r="R2249" s="108">
        <v>0</v>
      </c>
      <c r="S2249" s="108">
        <v>0</v>
      </c>
      <c r="T2249" s="108">
        <v>0</v>
      </c>
      <c r="U2249" s="108">
        <v>0</v>
      </c>
      <c r="V2249" s="108">
        <v>0</v>
      </c>
    </row>
    <row r="2250" customFormat="1" spans="1:22">
      <c r="A2250" s="143">
        <v>45114</v>
      </c>
      <c r="B2250" s="111" t="s">
        <v>39</v>
      </c>
      <c r="C2250" s="112">
        <v>9847</v>
      </c>
      <c r="D2250" s="112">
        <v>5264</v>
      </c>
      <c r="E2250" s="112">
        <v>181</v>
      </c>
      <c r="F2250" s="106">
        <v>0.0183812328628009</v>
      </c>
      <c r="G2250" s="112">
        <v>52</v>
      </c>
      <c r="H2250" s="113">
        <v>0.287292817679558</v>
      </c>
      <c r="I2250" s="112">
        <v>35</v>
      </c>
      <c r="J2250" s="106">
        <v>0.193370165745856</v>
      </c>
      <c r="K2250" s="108"/>
      <c r="L2250" s="108"/>
      <c r="M2250" s="108"/>
      <c r="N2250" s="108"/>
      <c r="O2250" s="108"/>
      <c r="P2250" s="108"/>
      <c r="Q2250" s="108"/>
      <c r="R2250" s="108"/>
      <c r="S2250" s="108"/>
      <c r="T2250" s="108"/>
      <c r="U2250" s="108"/>
      <c r="V2250" s="108"/>
    </row>
    <row r="2251" spans="1:22">
      <c r="A2251" s="143">
        <v>45115</v>
      </c>
      <c r="B2251" s="104" t="s">
        <v>17</v>
      </c>
      <c r="C2251" s="216">
        <v>3</v>
      </c>
      <c r="D2251" s="216">
        <v>666</v>
      </c>
      <c r="E2251" s="217">
        <v>37</v>
      </c>
      <c r="F2251" s="106">
        <v>12.3333333333333</v>
      </c>
      <c r="G2251" s="107">
        <v>11</v>
      </c>
      <c r="H2251" s="106">
        <v>0.297297297297297</v>
      </c>
      <c r="I2251" s="104">
        <v>9</v>
      </c>
      <c r="J2251" s="106">
        <v>0.243243243243243</v>
      </c>
      <c r="K2251" s="108">
        <v>2</v>
      </c>
      <c r="L2251" s="108">
        <v>2</v>
      </c>
      <c r="M2251" s="108">
        <v>1.8</v>
      </c>
      <c r="N2251" s="108">
        <v>1.85714285714286</v>
      </c>
      <c r="O2251" s="108">
        <v>-5</v>
      </c>
      <c r="P2251" s="108">
        <v>0</v>
      </c>
      <c r="Q2251" s="108">
        <v>-3.2</v>
      </c>
      <c r="R2251" s="108">
        <v>-4.57142857142857</v>
      </c>
      <c r="S2251" s="108">
        <v>6</v>
      </c>
      <c r="T2251" s="108">
        <v>2.66666666666667</v>
      </c>
      <c r="U2251" s="108">
        <v>2</v>
      </c>
      <c r="V2251" s="108">
        <v>1.57142857142857</v>
      </c>
    </row>
    <row r="2252" spans="1:22">
      <c r="A2252" s="143">
        <v>45115</v>
      </c>
      <c r="B2252" s="104" t="s">
        <v>19</v>
      </c>
      <c r="C2252" s="216">
        <v>428</v>
      </c>
      <c r="D2252" s="216">
        <v>318</v>
      </c>
      <c r="E2252" s="217">
        <v>10</v>
      </c>
      <c r="F2252" s="106">
        <v>0.0233644859813084</v>
      </c>
      <c r="G2252" s="107">
        <v>0</v>
      </c>
      <c r="H2252" s="106">
        <v>0</v>
      </c>
      <c r="I2252" s="104">
        <v>0</v>
      </c>
      <c r="J2252" s="106">
        <v>0</v>
      </c>
      <c r="K2252" s="108">
        <v>-25</v>
      </c>
      <c r="L2252" s="108">
        <v>-62</v>
      </c>
      <c r="M2252" s="108">
        <v>-113.8</v>
      </c>
      <c r="N2252" s="108">
        <v>-194</v>
      </c>
      <c r="O2252" s="108">
        <v>-2</v>
      </c>
      <c r="P2252" s="108">
        <v>-3</v>
      </c>
      <c r="Q2252" s="108">
        <v>-3.4</v>
      </c>
      <c r="R2252" s="108">
        <v>-3.57142857142857</v>
      </c>
      <c r="S2252" s="108">
        <v>-5</v>
      </c>
      <c r="T2252" s="108">
        <v>-5</v>
      </c>
      <c r="U2252" s="108">
        <v>-4</v>
      </c>
      <c r="V2252" s="115">
        <v>-5</v>
      </c>
    </row>
    <row r="2253" spans="1:22">
      <c r="A2253" s="143">
        <v>45115</v>
      </c>
      <c r="B2253" s="104" t="s">
        <v>21</v>
      </c>
      <c r="C2253" s="218">
        <v>89</v>
      </c>
      <c r="D2253" s="218">
        <v>173</v>
      </c>
      <c r="E2253" s="217">
        <v>1</v>
      </c>
      <c r="F2253" s="106">
        <v>0.0112359550561798</v>
      </c>
      <c r="G2253" s="107">
        <v>1</v>
      </c>
      <c r="H2253" s="106">
        <v>1</v>
      </c>
      <c r="I2253" s="104">
        <v>0</v>
      </c>
      <c r="J2253" s="106">
        <v>0</v>
      </c>
      <c r="K2253" s="108">
        <v>-10</v>
      </c>
      <c r="L2253" s="108">
        <v>-98.3333333333333</v>
      </c>
      <c r="M2253" s="108">
        <v>-137.6</v>
      </c>
      <c r="N2253" s="108">
        <v>-157.857142857143</v>
      </c>
      <c r="O2253" s="108">
        <v>0</v>
      </c>
      <c r="P2253" s="108">
        <v>-3</v>
      </c>
      <c r="Q2253" s="108">
        <v>-3</v>
      </c>
      <c r="R2253" s="108">
        <v>-3</v>
      </c>
      <c r="S2253" s="108">
        <v>0</v>
      </c>
      <c r="T2253" s="108">
        <v>-0.666666666666667</v>
      </c>
      <c r="U2253" s="108">
        <v>0</v>
      </c>
      <c r="V2253" s="108">
        <v>-0.571428571428571</v>
      </c>
    </row>
    <row r="2254" spans="1:22">
      <c r="A2254" s="143">
        <v>45115</v>
      </c>
      <c r="B2254" s="104" t="s">
        <v>22</v>
      </c>
      <c r="C2254" s="218">
        <v>2151</v>
      </c>
      <c r="D2254" s="218">
        <v>1110</v>
      </c>
      <c r="E2254" s="217">
        <v>47</v>
      </c>
      <c r="F2254" s="106">
        <v>0.0218503021850302</v>
      </c>
      <c r="G2254" s="107">
        <v>22</v>
      </c>
      <c r="H2254" s="106">
        <v>0.468085106382979</v>
      </c>
      <c r="I2254" s="104">
        <v>16</v>
      </c>
      <c r="J2254" s="106">
        <v>0.340425531914894</v>
      </c>
      <c r="K2254" s="108">
        <v>75</v>
      </c>
      <c r="L2254" s="108">
        <v>154.333333333333</v>
      </c>
      <c r="M2254" s="108">
        <v>83.1999999999998</v>
      </c>
      <c r="N2254" s="108">
        <v>43.2857142857142</v>
      </c>
      <c r="O2254" s="108">
        <v>11</v>
      </c>
      <c r="P2254" s="108">
        <v>5.33333333333334</v>
      </c>
      <c r="Q2254" s="108">
        <v>-1.8</v>
      </c>
      <c r="R2254" s="115">
        <v>-5.14285714285715</v>
      </c>
      <c r="S2254" s="108">
        <v>14</v>
      </c>
      <c r="T2254" s="108">
        <v>9</v>
      </c>
      <c r="U2254" s="108">
        <v>5.8</v>
      </c>
      <c r="V2254" s="108">
        <v>3.85714285714286</v>
      </c>
    </row>
    <row r="2255" spans="1:22">
      <c r="A2255" s="143">
        <v>45115</v>
      </c>
      <c r="B2255" s="104" t="s">
        <v>23</v>
      </c>
      <c r="C2255" s="218">
        <v>1639</v>
      </c>
      <c r="D2255" s="218">
        <v>125</v>
      </c>
      <c r="E2255" s="217">
        <v>2</v>
      </c>
      <c r="F2255" s="106">
        <v>0.0012202562538133</v>
      </c>
      <c r="G2255" s="107">
        <v>1</v>
      </c>
      <c r="H2255" s="106">
        <v>0.5</v>
      </c>
      <c r="I2255" s="104">
        <v>1</v>
      </c>
      <c r="J2255" s="106">
        <v>0.5</v>
      </c>
      <c r="K2255" s="108">
        <v>-293</v>
      </c>
      <c r="L2255" s="108">
        <v>-342.666666666667</v>
      </c>
      <c r="M2255" s="108">
        <v>-329.6</v>
      </c>
      <c r="N2255" s="108">
        <v>-375.714285714286</v>
      </c>
      <c r="O2255" s="108">
        <v>-5</v>
      </c>
      <c r="P2255" s="108">
        <v>-4</v>
      </c>
      <c r="Q2255" s="108">
        <v>-3.8</v>
      </c>
      <c r="R2255" s="108">
        <v>-3</v>
      </c>
      <c r="S2255" s="108">
        <v>-3</v>
      </c>
      <c r="T2255" s="108">
        <v>0</v>
      </c>
      <c r="U2255" s="108">
        <v>-0.8</v>
      </c>
      <c r="V2255" s="108">
        <v>-1</v>
      </c>
    </row>
    <row r="2256" spans="1:22">
      <c r="A2256" s="143">
        <v>45115</v>
      </c>
      <c r="B2256" s="104" t="s">
        <v>24</v>
      </c>
      <c r="C2256" s="218">
        <v>202</v>
      </c>
      <c r="D2256" s="218">
        <v>520</v>
      </c>
      <c r="E2256" s="217">
        <v>6</v>
      </c>
      <c r="F2256" s="106">
        <v>0.0297029702970297</v>
      </c>
      <c r="G2256" s="107">
        <v>3</v>
      </c>
      <c r="H2256" s="106">
        <v>0.5</v>
      </c>
      <c r="I2256" s="104">
        <v>1</v>
      </c>
      <c r="J2256" s="106">
        <v>0.166666666666667</v>
      </c>
      <c r="K2256" s="108">
        <v>-39</v>
      </c>
      <c r="L2256" s="108">
        <v>-44.3333333333333</v>
      </c>
      <c r="M2256" s="108">
        <v>-311.4</v>
      </c>
      <c r="N2256" s="108">
        <v>-713.142857142857</v>
      </c>
      <c r="O2256" s="115">
        <v>0</v>
      </c>
      <c r="P2256" s="108">
        <v>0</v>
      </c>
      <c r="Q2256" s="115">
        <v>0.6</v>
      </c>
      <c r="R2256" s="115">
        <v>0.285714285714286</v>
      </c>
      <c r="S2256" s="115">
        <v>-1</v>
      </c>
      <c r="T2256" s="115">
        <v>-1.33333333333333</v>
      </c>
      <c r="U2256" s="115">
        <v>0.2</v>
      </c>
      <c r="V2256" s="115">
        <v>-0.285714285714286</v>
      </c>
    </row>
    <row r="2257" spans="1:22">
      <c r="A2257" s="143">
        <v>45115</v>
      </c>
      <c r="B2257" s="104" t="s">
        <v>25</v>
      </c>
      <c r="C2257" s="218">
        <v>2440</v>
      </c>
      <c r="D2257" s="218">
        <v>1017</v>
      </c>
      <c r="E2257" s="217">
        <v>41</v>
      </c>
      <c r="F2257" s="106">
        <v>0.0168032786885246</v>
      </c>
      <c r="G2257" s="107">
        <v>15</v>
      </c>
      <c r="H2257" s="106">
        <v>0.365853658536585</v>
      </c>
      <c r="I2257" s="104">
        <v>11</v>
      </c>
      <c r="J2257" s="106">
        <v>0.268292682926829</v>
      </c>
      <c r="K2257" s="108">
        <v>185</v>
      </c>
      <c r="L2257" s="108">
        <v>-171.666666666667</v>
      </c>
      <c r="M2257" s="108">
        <v>-808.6</v>
      </c>
      <c r="N2257" s="108">
        <v>-1076.71428571429</v>
      </c>
      <c r="O2257" s="115">
        <v>-6</v>
      </c>
      <c r="P2257" s="115">
        <v>-1</v>
      </c>
      <c r="Q2257" s="115">
        <v>2.6</v>
      </c>
      <c r="R2257" s="115">
        <v>4.28571428571428</v>
      </c>
      <c r="S2257" s="108">
        <v>-3</v>
      </c>
      <c r="T2257" s="108">
        <v>-2.33333333333333</v>
      </c>
      <c r="U2257" s="108">
        <v>0.800000000000001</v>
      </c>
      <c r="V2257" s="108">
        <v>0.714285714285714</v>
      </c>
    </row>
    <row r="2258" spans="1:22">
      <c r="A2258" s="143">
        <v>45115</v>
      </c>
      <c r="B2258" s="104" t="s">
        <v>26</v>
      </c>
      <c r="C2258" s="218">
        <v>955</v>
      </c>
      <c r="D2258" s="218">
        <v>1192</v>
      </c>
      <c r="E2258" s="217">
        <v>20</v>
      </c>
      <c r="F2258" s="106">
        <v>0.0209424083769634</v>
      </c>
      <c r="G2258" s="107">
        <v>8</v>
      </c>
      <c r="H2258" s="106">
        <v>0.4</v>
      </c>
      <c r="I2258" s="104">
        <v>8</v>
      </c>
      <c r="J2258" s="106">
        <v>0.4</v>
      </c>
      <c r="K2258" s="108">
        <v>-34</v>
      </c>
      <c r="L2258" s="108">
        <v>-64</v>
      </c>
      <c r="M2258" s="108">
        <v>92.2</v>
      </c>
      <c r="N2258" s="108">
        <v>338.285714285714</v>
      </c>
      <c r="O2258" s="108">
        <v>9</v>
      </c>
      <c r="P2258" s="108">
        <v>7</v>
      </c>
      <c r="Q2258" s="108">
        <v>9</v>
      </c>
      <c r="R2258" s="108">
        <v>9.71428571428571</v>
      </c>
      <c r="S2258" s="108">
        <v>5</v>
      </c>
      <c r="T2258" s="108">
        <v>5.66666666666667</v>
      </c>
      <c r="U2258" s="108">
        <v>5.4</v>
      </c>
      <c r="V2258" s="108">
        <v>5.85714285714286</v>
      </c>
    </row>
    <row r="2259" spans="1:22">
      <c r="A2259" s="143">
        <v>45115</v>
      </c>
      <c r="B2259" s="104" t="s">
        <v>27</v>
      </c>
      <c r="C2259" s="218">
        <v>1861</v>
      </c>
      <c r="D2259" s="218">
        <v>317</v>
      </c>
      <c r="E2259" s="217">
        <v>12</v>
      </c>
      <c r="F2259" s="106">
        <v>0.00644814615797958</v>
      </c>
      <c r="G2259" s="107">
        <v>5</v>
      </c>
      <c r="H2259" s="106">
        <v>0.416666666666667</v>
      </c>
      <c r="I2259" s="104">
        <v>0</v>
      </c>
      <c r="J2259" s="106">
        <v>0</v>
      </c>
      <c r="K2259" s="108">
        <v>60</v>
      </c>
      <c r="L2259" s="108">
        <v>224</v>
      </c>
      <c r="M2259" s="108">
        <v>312.8</v>
      </c>
      <c r="N2259" s="108">
        <v>385.571428571429</v>
      </c>
      <c r="O2259" s="108">
        <v>-6</v>
      </c>
      <c r="P2259" s="108">
        <v>-1</v>
      </c>
      <c r="Q2259" s="108">
        <v>-0.6</v>
      </c>
      <c r="R2259" s="108">
        <v>-1.14285714285714</v>
      </c>
      <c r="S2259" s="108">
        <v>1</v>
      </c>
      <c r="T2259" s="108">
        <v>2.66666666666667</v>
      </c>
      <c r="U2259" s="108">
        <v>1.2</v>
      </c>
      <c r="V2259" s="108">
        <v>1.28571428571429</v>
      </c>
    </row>
    <row r="2260" hidden="1" spans="1:22">
      <c r="A2260" s="143">
        <v>45115</v>
      </c>
      <c r="B2260" s="104" t="s">
        <v>28</v>
      </c>
      <c r="C2260" s="145">
        <v>0</v>
      </c>
      <c r="D2260" s="145"/>
      <c r="E2260" s="104">
        <v>0</v>
      </c>
      <c r="F2260" s="106">
        <v>0</v>
      </c>
      <c r="G2260" s="107">
        <v>0</v>
      </c>
      <c r="H2260" s="106">
        <v>0</v>
      </c>
      <c r="I2260" s="104">
        <v>0</v>
      </c>
      <c r="J2260" s="106">
        <v>0</v>
      </c>
      <c r="K2260" s="108">
        <v>0</v>
      </c>
      <c r="L2260" s="108">
        <v>0</v>
      </c>
      <c r="M2260" s="108">
        <v>0</v>
      </c>
      <c r="N2260" s="108">
        <v>0</v>
      </c>
      <c r="O2260" s="108">
        <v>0</v>
      </c>
      <c r="P2260" s="108">
        <v>0</v>
      </c>
      <c r="Q2260" s="108">
        <v>0</v>
      </c>
      <c r="R2260" s="108">
        <v>0</v>
      </c>
      <c r="S2260" s="108">
        <v>0</v>
      </c>
      <c r="T2260" s="108">
        <v>0</v>
      </c>
      <c r="U2260" s="108">
        <v>0</v>
      </c>
      <c r="V2260" s="108">
        <v>0</v>
      </c>
    </row>
    <row r="2261" hidden="1" spans="1:22">
      <c r="A2261" s="143">
        <v>45115</v>
      </c>
      <c r="B2261" s="104" t="s">
        <v>29</v>
      </c>
      <c r="C2261" s="145">
        <v>0</v>
      </c>
      <c r="D2261" s="145"/>
      <c r="E2261" s="104">
        <v>0</v>
      </c>
      <c r="F2261" s="106">
        <v>0</v>
      </c>
      <c r="G2261" s="107">
        <v>0</v>
      </c>
      <c r="H2261" s="106">
        <v>0</v>
      </c>
      <c r="I2261" s="104">
        <v>0</v>
      </c>
      <c r="J2261" s="106">
        <v>0</v>
      </c>
      <c r="K2261" s="108">
        <v>0</v>
      </c>
      <c r="L2261" s="108">
        <v>0</v>
      </c>
      <c r="M2261" s="108">
        <v>0</v>
      </c>
      <c r="N2261" s="108">
        <v>0</v>
      </c>
      <c r="O2261" s="108">
        <v>0</v>
      </c>
      <c r="P2261" s="108">
        <v>-0.333333333333333</v>
      </c>
      <c r="Q2261" s="108">
        <v>-0.2</v>
      </c>
      <c r="R2261" s="108">
        <v>-0.142857142857143</v>
      </c>
      <c r="S2261" s="108">
        <v>0</v>
      </c>
      <c r="T2261" s="108">
        <v>0</v>
      </c>
      <c r="U2261" s="108">
        <v>0</v>
      </c>
      <c r="V2261" s="108">
        <v>0</v>
      </c>
    </row>
    <row r="2262" hidden="1" spans="1:22">
      <c r="A2262" s="143">
        <v>45115</v>
      </c>
      <c r="B2262" s="104" t="s">
        <v>30</v>
      </c>
      <c r="C2262" s="145">
        <v>0</v>
      </c>
      <c r="D2262" s="145"/>
      <c r="E2262" s="104">
        <v>0</v>
      </c>
      <c r="F2262" s="106">
        <v>0</v>
      </c>
      <c r="G2262" s="107">
        <v>0</v>
      </c>
      <c r="H2262" s="106">
        <v>0</v>
      </c>
      <c r="I2262" s="104">
        <v>0</v>
      </c>
      <c r="J2262" s="106">
        <v>0</v>
      </c>
      <c r="K2262" s="108">
        <v>0</v>
      </c>
      <c r="L2262" s="108">
        <v>0</v>
      </c>
      <c r="M2262" s="108">
        <v>0</v>
      </c>
      <c r="N2262" s="108">
        <v>0</v>
      </c>
      <c r="O2262" s="108">
        <v>0</v>
      </c>
      <c r="P2262" s="108">
        <v>0</v>
      </c>
      <c r="Q2262" s="108">
        <v>0</v>
      </c>
      <c r="R2262" s="108">
        <v>0</v>
      </c>
      <c r="S2262" s="108">
        <v>0</v>
      </c>
      <c r="T2262" s="108">
        <v>0</v>
      </c>
      <c r="U2262" s="108">
        <v>0</v>
      </c>
      <c r="V2262" s="108">
        <v>0</v>
      </c>
    </row>
    <row r="2263" hidden="1" spans="1:22">
      <c r="A2263" s="143">
        <v>45115</v>
      </c>
      <c r="B2263" s="104" t="s">
        <v>31</v>
      </c>
      <c r="C2263" s="145">
        <v>0</v>
      </c>
      <c r="D2263" s="145"/>
      <c r="E2263" s="104">
        <v>0</v>
      </c>
      <c r="F2263" s="106">
        <v>0</v>
      </c>
      <c r="G2263" s="107">
        <v>0</v>
      </c>
      <c r="H2263" s="106">
        <v>0</v>
      </c>
      <c r="I2263" s="104">
        <v>0</v>
      </c>
      <c r="J2263" s="106">
        <v>0</v>
      </c>
      <c r="K2263" s="108">
        <v>0</v>
      </c>
      <c r="L2263" s="108">
        <v>0</v>
      </c>
      <c r="M2263" s="108">
        <v>0</v>
      </c>
      <c r="N2263" s="108">
        <v>0</v>
      </c>
      <c r="O2263" s="108">
        <v>0</v>
      </c>
      <c r="P2263" s="108">
        <v>0</v>
      </c>
      <c r="Q2263" s="108">
        <v>0</v>
      </c>
      <c r="R2263" s="108">
        <v>0</v>
      </c>
      <c r="S2263" s="108">
        <v>0</v>
      </c>
      <c r="T2263" s="108">
        <v>0</v>
      </c>
      <c r="U2263" s="108">
        <v>0</v>
      </c>
      <c r="V2263" s="108">
        <v>0</v>
      </c>
    </row>
    <row r="2264" hidden="1" spans="1:22">
      <c r="A2264" s="143">
        <v>45115</v>
      </c>
      <c r="B2264" s="104" t="s">
        <v>32</v>
      </c>
      <c r="C2264" s="145">
        <v>0</v>
      </c>
      <c r="D2264" s="145"/>
      <c r="E2264" s="104">
        <v>0</v>
      </c>
      <c r="F2264" s="106">
        <v>0</v>
      </c>
      <c r="G2264" s="107">
        <v>0</v>
      </c>
      <c r="H2264" s="106">
        <v>0</v>
      </c>
      <c r="I2264" s="104">
        <v>0</v>
      </c>
      <c r="J2264" s="106">
        <v>0</v>
      </c>
      <c r="K2264" s="108">
        <v>0</v>
      </c>
      <c r="L2264" s="108">
        <v>0</v>
      </c>
      <c r="M2264" s="108">
        <v>0</v>
      </c>
      <c r="N2264" s="108">
        <v>0</v>
      </c>
      <c r="O2264" s="108">
        <v>0</v>
      </c>
      <c r="P2264" s="108">
        <v>0</v>
      </c>
      <c r="Q2264" s="108">
        <v>0</v>
      </c>
      <c r="R2264" s="108">
        <v>0</v>
      </c>
      <c r="S2264" s="108">
        <v>0</v>
      </c>
      <c r="T2264" s="108">
        <v>0</v>
      </c>
      <c r="U2264" s="108">
        <v>0</v>
      </c>
      <c r="V2264" s="108">
        <v>0</v>
      </c>
    </row>
    <row r="2265" hidden="1" spans="1:22">
      <c r="A2265" s="143">
        <v>45115</v>
      </c>
      <c r="B2265" s="104" t="s">
        <v>33</v>
      </c>
      <c r="C2265" s="145">
        <v>0</v>
      </c>
      <c r="D2265" s="145"/>
      <c r="E2265" s="104">
        <v>0</v>
      </c>
      <c r="F2265" s="106">
        <v>0</v>
      </c>
      <c r="G2265" s="107">
        <v>0</v>
      </c>
      <c r="H2265" s="106">
        <v>0</v>
      </c>
      <c r="I2265" s="104">
        <v>0</v>
      </c>
      <c r="J2265" s="106">
        <v>0</v>
      </c>
      <c r="K2265" s="108">
        <v>0</v>
      </c>
      <c r="L2265" s="108">
        <v>0</v>
      </c>
      <c r="M2265" s="108">
        <v>0</v>
      </c>
      <c r="N2265" s="108">
        <v>0</v>
      </c>
      <c r="O2265" s="108">
        <v>0</v>
      </c>
      <c r="P2265" s="108">
        <v>0</v>
      </c>
      <c r="Q2265" s="108">
        <v>0</v>
      </c>
      <c r="R2265" s="108">
        <v>0</v>
      </c>
      <c r="S2265" s="108">
        <v>0</v>
      </c>
      <c r="T2265" s="108">
        <v>0</v>
      </c>
      <c r="U2265" s="108">
        <v>0</v>
      </c>
      <c r="V2265" s="108">
        <v>0</v>
      </c>
    </row>
    <row r="2266" hidden="1" spans="1:22">
      <c r="A2266" s="143">
        <v>45115</v>
      </c>
      <c r="B2266" s="104" t="s">
        <v>34</v>
      </c>
      <c r="C2266" s="145">
        <v>0</v>
      </c>
      <c r="D2266" s="145"/>
      <c r="E2266" s="104">
        <v>0</v>
      </c>
      <c r="F2266" s="106">
        <v>0</v>
      </c>
      <c r="G2266" s="107">
        <v>0</v>
      </c>
      <c r="H2266" s="106">
        <v>0</v>
      </c>
      <c r="I2266" s="104">
        <v>0</v>
      </c>
      <c r="J2266" s="106">
        <v>0</v>
      </c>
      <c r="K2266" s="108">
        <v>0</v>
      </c>
      <c r="L2266" s="108">
        <v>0</v>
      </c>
      <c r="M2266" s="108">
        <v>0</v>
      </c>
      <c r="N2266" s="108">
        <v>0</v>
      </c>
      <c r="O2266" s="108">
        <v>0</v>
      </c>
      <c r="P2266" s="108">
        <v>0</v>
      </c>
      <c r="Q2266" s="108">
        <v>0</v>
      </c>
      <c r="R2266" s="108">
        <v>0</v>
      </c>
      <c r="S2266" s="108">
        <v>0</v>
      </c>
      <c r="T2266" s="108">
        <v>0</v>
      </c>
      <c r="U2266" s="108">
        <v>0</v>
      </c>
      <c r="V2266" s="108">
        <v>0</v>
      </c>
    </row>
    <row r="2267" hidden="1" spans="1:22">
      <c r="A2267" s="143">
        <v>45115</v>
      </c>
      <c r="B2267" s="104" t="s">
        <v>35</v>
      </c>
      <c r="C2267" s="145">
        <v>0</v>
      </c>
      <c r="D2267" s="145"/>
      <c r="E2267" s="104">
        <v>0</v>
      </c>
      <c r="F2267" s="106">
        <v>0</v>
      </c>
      <c r="G2267" s="107">
        <v>0</v>
      </c>
      <c r="H2267" s="106">
        <v>0</v>
      </c>
      <c r="I2267" s="104">
        <v>0</v>
      </c>
      <c r="J2267" s="106">
        <v>0</v>
      </c>
      <c r="K2267" s="108">
        <v>0</v>
      </c>
      <c r="L2267" s="108">
        <v>0</v>
      </c>
      <c r="M2267" s="108">
        <v>0</v>
      </c>
      <c r="N2267" s="108">
        <v>0</v>
      </c>
      <c r="O2267" s="108">
        <v>0</v>
      </c>
      <c r="P2267" s="108">
        <v>0</v>
      </c>
      <c r="Q2267" s="108">
        <v>0</v>
      </c>
      <c r="R2267" s="108">
        <v>0</v>
      </c>
      <c r="S2267" s="108">
        <v>0</v>
      </c>
      <c r="T2267" s="108">
        <v>0</v>
      </c>
      <c r="U2267" s="108">
        <v>0</v>
      </c>
      <c r="V2267" s="108">
        <v>0</v>
      </c>
    </row>
    <row r="2268" hidden="1" spans="1:22">
      <c r="A2268" s="143">
        <v>45115</v>
      </c>
      <c r="B2268" s="104" t="s">
        <v>36</v>
      </c>
      <c r="C2268" s="145">
        <v>0</v>
      </c>
      <c r="D2268" s="145"/>
      <c r="E2268" s="104">
        <v>0</v>
      </c>
      <c r="F2268" s="106">
        <v>0</v>
      </c>
      <c r="G2268" s="107">
        <v>0</v>
      </c>
      <c r="H2268" s="106">
        <v>0</v>
      </c>
      <c r="I2268" s="104">
        <v>0</v>
      </c>
      <c r="J2268" s="106">
        <v>0</v>
      </c>
      <c r="K2268" s="108">
        <v>0</v>
      </c>
      <c r="L2268" s="108">
        <v>0</v>
      </c>
      <c r="M2268" s="108">
        <v>0</v>
      </c>
      <c r="N2268" s="108">
        <v>0</v>
      </c>
      <c r="O2268" s="108">
        <v>0</v>
      </c>
      <c r="P2268" s="108">
        <v>0</v>
      </c>
      <c r="Q2268" s="108">
        <v>0</v>
      </c>
      <c r="R2268" s="108">
        <v>0</v>
      </c>
      <c r="S2268" s="108">
        <v>0</v>
      </c>
      <c r="T2268" s="108">
        <v>0</v>
      </c>
      <c r="U2268" s="108">
        <v>0</v>
      </c>
      <c r="V2268" s="108">
        <v>0</v>
      </c>
    </row>
    <row r="2269" hidden="1" spans="1:22">
      <c r="A2269" s="143">
        <v>45115</v>
      </c>
      <c r="B2269" s="104" t="s">
        <v>37</v>
      </c>
      <c r="C2269" s="145">
        <v>0</v>
      </c>
      <c r="D2269" s="145"/>
      <c r="E2269" s="104">
        <v>0</v>
      </c>
      <c r="F2269" s="106">
        <v>0</v>
      </c>
      <c r="G2269" s="107">
        <v>0</v>
      </c>
      <c r="H2269" s="106">
        <v>0</v>
      </c>
      <c r="I2269" s="104">
        <v>0</v>
      </c>
      <c r="J2269" s="106">
        <v>0</v>
      </c>
      <c r="K2269" s="108">
        <v>0</v>
      </c>
      <c r="L2269" s="108">
        <v>0</v>
      </c>
      <c r="M2269" s="108">
        <v>0</v>
      </c>
      <c r="N2269" s="108">
        <v>0</v>
      </c>
      <c r="O2269" s="108">
        <v>-1</v>
      </c>
      <c r="P2269" s="108">
        <v>-0.666666666666667</v>
      </c>
      <c r="Q2269" s="108">
        <v>-0.6</v>
      </c>
      <c r="R2269" s="108">
        <v>-0.571428571428571</v>
      </c>
      <c r="S2269" s="108">
        <v>0</v>
      </c>
      <c r="T2269" s="108">
        <v>0</v>
      </c>
      <c r="U2269" s="108">
        <v>0</v>
      </c>
      <c r="V2269" s="108">
        <v>0</v>
      </c>
    </row>
    <row r="2270" hidden="1" spans="1:22">
      <c r="A2270" s="143">
        <v>45115</v>
      </c>
      <c r="B2270" s="104" t="s">
        <v>38</v>
      </c>
      <c r="C2270" s="145">
        <v>0</v>
      </c>
      <c r="D2270" s="145"/>
      <c r="E2270" s="104">
        <v>0</v>
      </c>
      <c r="F2270" s="106">
        <v>0</v>
      </c>
      <c r="G2270" s="107">
        <v>0</v>
      </c>
      <c r="H2270" s="106">
        <v>0</v>
      </c>
      <c r="I2270" s="104">
        <v>0</v>
      </c>
      <c r="J2270" s="106">
        <v>0</v>
      </c>
      <c r="K2270" s="108">
        <v>0</v>
      </c>
      <c r="L2270" s="108">
        <v>0</v>
      </c>
      <c r="M2270" s="108">
        <v>0</v>
      </c>
      <c r="N2270" s="108">
        <v>0</v>
      </c>
      <c r="O2270" s="108">
        <v>0</v>
      </c>
      <c r="P2270" s="108">
        <v>0</v>
      </c>
      <c r="Q2270" s="108">
        <v>0</v>
      </c>
      <c r="R2270" s="108">
        <v>0</v>
      </c>
      <c r="S2270" s="108">
        <v>0</v>
      </c>
      <c r="T2270" s="108">
        <v>0</v>
      </c>
      <c r="U2270" s="108">
        <v>0</v>
      </c>
      <c r="V2270" s="108">
        <v>0</v>
      </c>
    </row>
    <row r="2271" spans="1:22">
      <c r="A2271" s="143">
        <v>45115</v>
      </c>
      <c r="B2271" s="111" t="s">
        <v>39</v>
      </c>
      <c r="C2271" s="112">
        <v>9768</v>
      </c>
      <c r="D2271" s="112">
        <v>5438</v>
      </c>
      <c r="E2271" s="112">
        <v>176</v>
      </c>
      <c r="F2271" s="106">
        <v>0.018018018018018</v>
      </c>
      <c r="G2271" s="112">
        <v>66</v>
      </c>
      <c r="H2271" s="113">
        <v>0.375</v>
      </c>
      <c r="I2271" s="112">
        <v>46</v>
      </c>
      <c r="J2271" s="106">
        <v>0.261363636363636</v>
      </c>
      <c r="K2271" s="108"/>
      <c r="L2271" s="108"/>
      <c r="M2271" s="108"/>
      <c r="N2271" s="108"/>
      <c r="O2271" s="108"/>
      <c r="P2271" s="108"/>
      <c r="Q2271" s="108"/>
      <c r="R2271" s="108"/>
      <c r="S2271" s="108"/>
      <c r="T2271" s="108"/>
      <c r="U2271" s="108"/>
      <c r="V2271" s="108"/>
    </row>
    <row r="2272" spans="1:22">
      <c r="A2272" s="143">
        <v>45116</v>
      </c>
      <c r="B2272" s="104" t="s">
        <v>17</v>
      </c>
      <c r="C2272" s="216">
        <v>1</v>
      </c>
      <c r="D2272" s="216">
        <v>688</v>
      </c>
      <c r="E2272" s="217">
        <v>52</v>
      </c>
      <c r="F2272" s="106">
        <v>52</v>
      </c>
      <c r="G2272" s="107">
        <v>10</v>
      </c>
      <c r="H2272" s="106">
        <v>0.192307692307692</v>
      </c>
      <c r="I2272" s="104">
        <v>6</v>
      </c>
      <c r="J2272" s="106">
        <v>0.115384615384615</v>
      </c>
      <c r="K2272" s="108">
        <v>-2</v>
      </c>
      <c r="L2272" s="108">
        <v>-0.333333333333333</v>
      </c>
      <c r="M2272" s="108">
        <v>-0.4</v>
      </c>
      <c r="N2272" s="108">
        <v>-0.428571428571429</v>
      </c>
      <c r="O2272" s="108">
        <v>15</v>
      </c>
      <c r="P2272" s="108">
        <v>14.6666666666667</v>
      </c>
      <c r="Q2272" s="108">
        <v>14.4</v>
      </c>
      <c r="R2272" s="108">
        <v>11.2857142857143</v>
      </c>
      <c r="S2272" s="108">
        <v>-1</v>
      </c>
      <c r="T2272" s="108">
        <v>2.33333333333333</v>
      </c>
      <c r="U2272" s="108">
        <v>1</v>
      </c>
      <c r="V2272" s="108">
        <v>0.571428571428571</v>
      </c>
    </row>
    <row r="2273" spans="1:22">
      <c r="A2273" s="143">
        <v>45116</v>
      </c>
      <c r="B2273" s="104" t="s">
        <v>19</v>
      </c>
      <c r="C2273" s="216">
        <v>563</v>
      </c>
      <c r="D2273" s="216">
        <v>380</v>
      </c>
      <c r="E2273" s="217">
        <v>8</v>
      </c>
      <c r="F2273" s="106">
        <v>0.0142095914742451</v>
      </c>
      <c r="G2273" s="107">
        <v>3</v>
      </c>
      <c r="H2273" s="106">
        <v>0.375</v>
      </c>
      <c r="I2273" s="104">
        <v>2</v>
      </c>
      <c r="J2273" s="106">
        <v>0.25</v>
      </c>
      <c r="K2273" s="108">
        <v>135</v>
      </c>
      <c r="L2273" s="108">
        <v>102</v>
      </c>
      <c r="M2273" s="108">
        <v>81.8</v>
      </c>
      <c r="N2273" s="108">
        <v>1.14285714285711</v>
      </c>
      <c r="O2273" s="108">
        <v>-2</v>
      </c>
      <c r="P2273" s="108">
        <v>-5</v>
      </c>
      <c r="Q2273" s="108">
        <v>-4</v>
      </c>
      <c r="R2273" s="108">
        <v>-5.28571428571429</v>
      </c>
      <c r="S2273" s="108">
        <v>3</v>
      </c>
      <c r="T2273" s="108">
        <v>-1</v>
      </c>
      <c r="U2273" s="108">
        <v>-0.6</v>
      </c>
      <c r="V2273" s="115">
        <v>-0.857142857142857</v>
      </c>
    </row>
    <row r="2274" spans="1:22">
      <c r="A2274" s="143">
        <v>45116</v>
      </c>
      <c r="B2274" s="104" t="s">
        <v>21</v>
      </c>
      <c r="C2274" s="218">
        <v>78</v>
      </c>
      <c r="D2274" s="218">
        <v>150</v>
      </c>
      <c r="E2274" s="217">
        <v>0</v>
      </c>
      <c r="F2274" s="106">
        <v>0</v>
      </c>
      <c r="G2274" s="107">
        <v>0</v>
      </c>
      <c r="H2274" s="106">
        <v>0</v>
      </c>
      <c r="I2274" s="104">
        <v>0</v>
      </c>
      <c r="J2274" s="106">
        <v>0</v>
      </c>
      <c r="K2274" s="108">
        <v>-11</v>
      </c>
      <c r="L2274" s="108">
        <v>-51.6666666666667</v>
      </c>
      <c r="M2274" s="108">
        <v>-108.6</v>
      </c>
      <c r="N2274" s="108">
        <v>-142.857142857143</v>
      </c>
      <c r="O2274" s="108">
        <v>-1</v>
      </c>
      <c r="P2274" s="108">
        <v>-1.66666666666667</v>
      </c>
      <c r="Q2274" s="108">
        <v>-3</v>
      </c>
      <c r="R2274" s="108">
        <v>-3.42857142857143</v>
      </c>
      <c r="S2274" s="108">
        <v>-1</v>
      </c>
      <c r="T2274" s="108">
        <v>-0.666666666666667</v>
      </c>
      <c r="U2274" s="108">
        <v>-1.2</v>
      </c>
      <c r="V2274" s="108">
        <v>-1.28571428571429</v>
      </c>
    </row>
    <row r="2275" spans="1:22">
      <c r="A2275" s="143">
        <v>45116</v>
      </c>
      <c r="B2275" s="104" t="s">
        <v>22</v>
      </c>
      <c r="C2275" s="218">
        <v>2259</v>
      </c>
      <c r="D2275" s="218">
        <v>1119</v>
      </c>
      <c r="E2275" s="217">
        <v>32</v>
      </c>
      <c r="F2275" s="106">
        <v>0.0141655599822931</v>
      </c>
      <c r="G2275" s="107">
        <v>17</v>
      </c>
      <c r="H2275" s="106">
        <v>0.53125</v>
      </c>
      <c r="I2275" s="104">
        <v>9</v>
      </c>
      <c r="J2275" s="106">
        <v>0.28125</v>
      </c>
      <c r="K2275" s="108">
        <v>108</v>
      </c>
      <c r="L2275" s="108">
        <v>181.666666666667</v>
      </c>
      <c r="M2275" s="108">
        <v>221.4</v>
      </c>
      <c r="N2275" s="108">
        <v>153</v>
      </c>
      <c r="O2275" s="108">
        <v>-15</v>
      </c>
      <c r="P2275" s="108">
        <v>-10.3333333333333</v>
      </c>
      <c r="Q2275" s="108">
        <v>-14.4</v>
      </c>
      <c r="R2275" s="115">
        <v>-18.8571428571429</v>
      </c>
      <c r="S2275" s="108">
        <v>-5</v>
      </c>
      <c r="T2275" s="108">
        <v>1.66666666666667</v>
      </c>
      <c r="U2275" s="108">
        <v>0</v>
      </c>
      <c r="V2275" s="117">
        <v>-1.57142857142857</v>
      </c>
    </row>
    <row r="2276" spans="1:22">
      <c r="A2276" s="143">
        <v>45116</v>
      </c>
      <c r="B2276" s="104" t="s">
        <v>23</v>
      </c>
      <c r="C2276" s="218">
        <v>1907</v>
      </c>
      <c r="D2276" s="218">
        <v>131</v>
      </c>
      <c r="E2276" s="217">
        <v>3</v>
      </c>
      <c r="F2276" s="106">
        <v>0.00157315154693235</v>
      </c>
      <c r="G2276" s="107">
        <v>1</v>
      </c>
      <c r="H2276" s="106">
        <v>0.333333333333333</v>
      </c>
      <c r="I2276" s="104">
        <v>0</v>
      </c>
      <c r="J2276" s="106">
        <v>0</v>
      </c>
      <c r="K2276" s="108">
        <v>268</v>
      </c>
      <c r="L2276" s="108">
        <v>57.6666666666667</v>
      </c>
      <c r="M2276" s="108">
        <v>0.599999999999909</v>
      </c>
      <c r="N2276" s="108">
        <v>-35.7142857142858</v>
      </c>
      <c r="O2276" s="108">
        <v>1</v>
      </c>
      <c r="P2276" s="108">
        <v>-2</v>
      </c>
      <c r="Q2276" s="108">
        <v>-1.8</v>
      </c>
      <c r="R2276" s="108">
        <v>-1.71428571428571</v>
      </c>
      <c r="S2276" s="108">
        <v>0</v>
      </c>
      <c r="T2276" s="116">
        <v>-0.666666666666667</v>
      </c>
      <c r="U2276" s="108">
        <v>-0.2</v>
      </c>
      <c r="V2276" s="108">
        <v>-0.571428571428571</v>
      </c>
    </row>
    <row r="2277" spans="1:22">
      <c r="A2277" s="143">
        <v>45116</v>
      </c>
      <c r="B2277" s="104" t="s">
        <v>24</v>
      </c>
      <c r="C2277" s="218">
        <v>230</v>
      </c>
      <c r="D2277" s="218">
        <v>504</v>
      </c>
      <c r="E2277" s="217">
        <v>3</v>
      </c>
      <c r="F2277" s="106">
        <v>0.0130434782608696</v>
      </c>
      <c r="G2277" s="107">
        <v>1</v>
      </c>
      <c r="H2277" s="106">
        <v>0.333333333333333</v>
      </c>
      <c r="I2277" s="104">
        <v>1</v>
      </c>
      <c r="J2277" s="106">
        <v>0.333333333333333</v>
      </c>
      <c r="K2277" s="108">
        <v>28</v>
      </c>
      <c r="L2277" s="108">
        <v>-1.66666666666666</v>
      </c>
      <c r="M2277" s="108">
        <v>-27.6</v>
      </c>
      <c r="N2277" s="108">
        <v>-659.142857142857</v>
      </c>
      <c r="O2277" s="115">
        <v>-3</v>
      </c>
      <c r="P2277" s="115">
        <v>-4</v>
      </c>
      <c r="Q2277" s="115">
        <v>-2.4</v>
      </c>
      <c r="R2277" s="115">
        <v>-3</v>
      </c>
      <c r="S2277" s="115">
        <v>-2</v>
      </c>
      <c r="T2277" s="115">
        <v>-3.66666666666667</v>
      </c>
      <c r="U2277" s="115">
        <v>-2.2</v>
      </c>
      <c r="V2277" s="115">
        <v>-2.14285714285714</v>
      </c>
    </row>
    <row r="2278" spans="1:22">
      <c r="A2278" s="143">
        <v>45116</v>
      </c>
      <c r="B2278" s="104" t="s">
        <v>25</v>
      </c>
      <c r="C2278" s="218">
        <v>2220</v>
      </c>
      <c r="D2278" s="218">
        <v>997</v>
      </c>
      <c r="E2278" s="217">
        <v>46</v>
      </c>
      <c r="F2278" s="106">
        <v>0.0207207207207207</v>
      </c>
      <c r="G2278" s="107">
        <v>14</v>
      </c>
      <c r="H2278" s="106">
        <v>0.304347826086957</v>
      </c>
      <c r="I2278" s="104">
        <v>12</v>
      </c>
      <c r="J2278" s="106">
        <v>0.260869565217391</v>
      </c>
      <c r="K2278" s="108">
        <v>-220</v>
      </c>
      <c r="L2278" s="108">
        <v>12</v>
      </c>
      <c r="M2278" s="108">
        <v>-668.4</v>
      </c>
      <c r="N2278" s="108">
        <v>-1053.85714285714</v>
      </c>
      <c r="O2278" s="115">
        <v>5</v>
      </c>
      <c r="P2278" s="115">
        <v>1.33333333333334</v>
      </c>
      <c r="Q2278" s="115">
        <v>8.2</v>
      </c>
      <c r="R2278" s="115">
        <v>9</v>
      </c>
      <c r="S2278" s="108">
        <v>-1</v>
      </c>
      <c r="T2278" s="108">
        <v>-4.66666666666667</v>
      </c>
      <c r="U2278" s="108">
        <v>-1.8</v>
      </c>
      <c r="V2278" s="108">
        <v>0.142857142857142</v>
      </c>
    </row>
    <row r="2279" spans="1:22">
      <c r="A2279" s="143">
        <v>45116</v>
      </c>
      <c r="B2279" s="104" t="s">
        <v>26</v>
      </c>
      <c r="C2279" s="218">
        <v>1075</v>
      </c>
      <c r="D2279" s="218">
        <v>1289</v>
      </c>
      <c r="E2279" s="217">
        <v>10</v>
      </c>
      <c r="F2279" s="106">
        <v>0.00930232558139535</v>
      </c>
      <c r="G2279" s="107">
        <v>1</v>
      </c>
      <c r="H2279" s="106">
        <v>0.1</v>
      </c>
      <c r="I2279" s="104">
        <v>0</v>
      </c>
      <c r="J2279" s="106">
        <v>0</v>
      </c>
      <c r="K2279" s="108">
        <v>120</v>
      </c>
      <c r="L2279" s="108">
        <v>80.6666666666666</v>
      </c>
      <c r="M2279" s="108">
        <v>72</v>
      </c>
      <c r="N2279" s="108">
        <v>321.857142857143</v>
      </c>
      <c r="O2279" s="108">
        <v>-10</v>
      </c>
      <c r="P2279" s="108">
        <v>-5</v>
      </c>
      <c r="Q2279" s="108">
        <v>-2.8</v>
      </c>
      <c r="R2279" s="108">
        <v>-1.42857142857143</v>
      </c>
      <c r="S2279" s="108">
        <v>-7</v>
      </c>
      <c r="T2279" s="108">
        <v>-3.66666666666667</v>
      </c>
      <c r="U2279" s="108">
        <v>-2.6</v>
      </c>
      <c r="V2279" s="108">
        <v>-2.14285714285714</v>
      </c>
    </row>
    <row r="2280" spans="1:22">
      <c r="A2280" s="143">
        <v>45116</v>
      </c>
      <c r="B2280" s="104" t="s">
        <v>27</v>
      </c>
      <c r="C2280" s="218">
        <v>1918</v>
      </c>
      <c r="D2280" s="218">
        <v>331</v>
      </c>
      <c r="E2280" s="217">
        <v>16</v>
      </c>
      <c r="F2280" s="106">
        <v>0.00834202294056309</v>
      </c>
      <c r="G2280" s="107">
        <v>4</v>
      </c>
      <c r="H2280" s="106">
        <v>0.25</v>
      </c>
      <c r="I2280" s="104">
        <v>3</v>
      </c>
      <c r="J2280" s="106">
        <v>0.1875</v>
      </c>
      <c r="K2280" s="108">
        <v>57</v>
      </c>
      <c r="L2280" s="108">
        <v>162.666666666667</v>
      </c>
      <c r="M2280" s="108">
        <v>267.6</v>
      </c>
      <c r="N2280" s="108">
        <v>356.714285714286</v>
      </c>
      <c r="O2280" s="108">
        <v>4</v>
      </c>
      <c r="P2280" s="108">
        <v>2.33333333333333</v>
      </c>
      <c r="Q2280" s="108">
        <v>4</v>
      </c>
      <c r="R2280" s="108">
        <v>3.57142857142857</v>
      </c>
      <c r="S2280" s="108">
        <v>-1</v>
      </c>
      <c r="T2280" s="108">
        <v>0.666666666666667</v>
      </c>
      <c r="U2280" s="108">
        <v>0.6</v>
      </c>
      <c r="V2280" s="108">
        <v>0.428571428571428</v>
      </c>
    </row>
    <row r="2281" hidden="1" spans="1:22">
      <c r="A2281" s="143">
        <v>45116</v>
      </c>
      <c r="B2281" s="104" t="s">
        <v>28</v>
      </c>
      <c r="C2281" s="145">
        <v>0</v>
      </c>
      <c r="D2281" s="145"/>
      <c r="E2281" s="104">
        <v>0</v>
      </c>
      <c r="F2281" s="106">
        <v>0</v>
      </c>
      <c r="G2281" s="107">
        <v>0</v>
      </c>
      <c r="H2281" s="106">
        <v>0</v>
      </c>
      <c r="I2281" s="104">
        <v>0</v>
      </c>
      <c r="J2281" s="106">
        <v>0</v>
      </c>
      <c r="K2281" s="108">
        <v>0</v>
      </c>
      <c r="L2281" s="108">
        <v>0</v>
      </c>
      <c r="M2281" s="108">
        <v>0</v>
      </c>
      <c r="N2281" s="108">
        <v>0</v>
      </c>
      <c r="O2281" s="108">
        <v>0</v>
      </c>
      <c r="P2281" s="108">
        <v>0</v>
      </c>
      <c r="Q2281" s="108">
        <v>0</v>
      </c>
      <c r="R2281" s="108">
        <v>0</v>
      </c>
      <c r="S2281" s="108">
        <v>0</v>
      </c>
      <c r="T2281" s="108">
        <v>0</v>
      </c>
      <c r="U2281" s="108">
        <v>0</v>
      </c>
      <c r="V2281" s="108">
        <v>0</v>
      </c>
    </row>
    <row r="2282" hidden="1" spans="1:22">
      <c r="A2282" s="143">
        <v>45116</v>
      </c>
      <c r="B2282" s="104" t="s">
        <v>29</v>
      </c>
      <c r="C2282" s="145">
        <v>0</v>
      </c>
      <c r="D2282" s="145"/>
      <c r="E2282" s="104">
        <v>0</v>
      </c>
      <c r="F2282" s="106">
        <v>0</v>
      </c>
      <c r="G2282" s="107">
        <v>0</v>
      </c>
      <c r="H2282" s="106">
        <v>0</v>
      </c>
      <c r="I2282" s="104">
        <v>0</v>
      </c>
      <c r="J2282" s="106">
        <v>0</v>
      </c>
      <c r="K2282" s="108">
        <v>0</v>
      </c>
      <c r="L2282" s="108">
        <v>0</v>
      </c>
      <c r="M2282" s="108">
        <v>0</v>
      </c>
      <c r="N2282" s="108">
        <v>0</v>
      </c>
      <c r="O2282" s="108">
        <v>0</v>
      </c>
      <c r="P2282" s="108">
        <v>0</v>
      </c>
      <c r="Q2282" s="108">
        <v>-0.2</v>
      </c>
      <c r="R2282" s="108">
        <v>-0.142857142857143</v>
      </c>
      <c r="S2282" s="108">
        <v>0</v>
      </c>
      <c r="T2282" s="108">
        <v>0</v>
      </c>
      <c r="U2282" s="108">
        <v>0</v>
      </c>
      <c r="V2282" s="108">
        <v>0</v>
      </c>
    </row>
    <row r="2283" hidden="1" spans="1:22">
      <c r="A2283" s="143">
        <v>45116</v>
      </c>
      <c r="B2283" s="104" t="s">
        <v>30</v>
      </c>
      <c r="C2283" s="145">
        <v>0</v>
      </c>
      <c r="D2283" s="145"/>
      <c r="E2283" s="104">
        <v>0</v>
      </c>
      <c r="F2283" s="106">
        <v>0</v>
      </c>
      <c r="G2283" s="107">
        <v>0</v>
      </c>
      <c r="H2283" s="106">
        <v>0</v>
      </c>
      <c r="I2283" s="104">
        <v>0</v>
      </c>
      <c r="J2283" s="106">
        <v>0</v>
      </c>
      <c r="K2283" s="108">
        <v>0</v>
      </c>
      <c r="L2283" s="108">
        <v>0</v>
      </c>
      <c r="M2283" s="108">
        <v>0</v>
      </c>
      <c r="N2283" s="108">
        <v>0</v>
      </c>
      <c r="O2283" s="108">
        <v>0</v>
      </c>
      <c r="P2283" s="108">
        <v>0</v>
      </c>
      <c r="Q2283" s="108">
        <v>0</v>
      </c>
      <c r="R2283" s="108">
        <v>0</v>
      </c>
      <c r="S2283" s="108">
        <v>0</v>
      </c>
      <c r="T2283" s="108">
        <v>0</v>
      </c>
      <c r="U2283" s="108">
        <v>0</v>
      </c>
      <c r="V2283" s="108">
        <v>0</v>
      </c>
    </row>
    <row r="2284" hidden="1" spans="1:22">
      <c r="A2284" s="143">
        <v>45116</v>
      </c>
      <c r="B2284" s="104" t="s">
        <v>31</v>
      </c>
      <c r="C2284" s="145">
        <v>0</v>
      </c>
      <c r="D2284" s="145"/>
      <c r="E2284" s="104">
        <v>0</v>
      </c>
      <c r="F2284" s="106">
        <v>0</v>
      </c>
      <c r="G2284" s="107">
        <v>0</v>
      </c>
      <c r="H2284" s="106">
        <v>0</v>
      </c>
      <c r="I2284" s="104">
        <v>0</v>
      </c>
      <c r="J2284" s="106">
        <v>0</v>
      </c>
      <c r="K2284" s="108">
        <v>0</v>
      </c>
      <c r="L2284" s="108">
        <v>0</v>
      </c>
      <c r="M2284" s="108">
        <v>0</v>
      </c>
      <c r="N2284" s="108">
        <v>0</v>
      </c>
      <c r="O2284" s="108">
        <v>0</v>
      </c>
      <c r="P2284" s="108">
        <v>0</v>
      </c>
      <c r="Q2284" s="108">
        <v>0</v>
      </c>
      <c r="R2284" s="108">
        <v>0</v>
      </c>
      <c r="S2284" s="108">
        <v>0</v>
      </c>
      <c r="T2284" s="108">
        <v>0</v>
      </c>
      <c r="U2284" s="108">
        <v>0</v>
      </c>
      <c r="V2284" s="108">
        <v>0</v>
      </c>
    </row>
    <row r="2285" hidden="1" spans="1:22">
      <c r="A2285" s="143">
        <v>45116</v>
      </c>
      <c r="B2285" s="104" t="s">
        <v>32</v>
      </c>
      <c r="C2285" s="145">
        <v>0</v>
      </c>
      <c r="D2285" s="145"/>
      <c r="E2285" s="104">
        <v>0</v>
      </c>
      <c r="F2285" s="106">
        <v>0</v>
      </c>
      <c r="G2285" s="107">
        <v>0</v>
      </c>
      <c r="H2285" s="106">
        <v>0</v>
      </c>
      <c r="I2285" s="104">
        <v>0</v>
      </c>
      <c r="J2285" s="106">
        <v>0</v>
      </c>
      <c r="K2285" s="108">
        <v>0</v>
      </c>
      <c r="L2285" s="108">
        <v>0</v>
      </c>
      <c r="M2285" s="108">
        <v>0</v>
      </c>
      <c r="N2285" s="108">
        <v>0</v>
      </c>
      <c r="O2285" s="108">
        <v>0</v>
      </c>
      <c r="P2285" s="108">
        <v>0</v>
      </c>
      <c r="Q2285" s="108">
        <v>0</v>
      </c>
      <c r="R2285" s="108">
        <v>0</v>
      </c>
      <c r="S2285" s="108">
        <v>0</v>
      </c>
      <c r="T2285" s="108">
        <v>0</v>
      </c>
      <c r="U2285" s="108">
        <v>0</v>
      </c>
      <c r="V2285" s="108">
        <v>0</v>
      </c>
    </row>
    <row r="2286" hidden="1" spans="1:22">
      <c r="A2286" s="143">
        <v>45116</v>
      </c>
      <c r="B2286" s="104" t="s">
        <v>33</v>
      </c>
      <c r="C2286" s="145">
        <v>0</v>
      </c>
      <c r="D2286" s="145"/>
      <c r="E2286" s="104">
        <v>0</v>
      </c>
      <c r="F2286" s="106">
        <v>0</v>
      </c>
      <c r="G2286" s="107">
        <v>0</v>
      </c>
      <c r="H2286" s="106">
        <v>0</v>
      </c>
      <c r="I2286" s="104">
        <v>0</v>
      </c>
      <c r="J2286" s="106">
        <v>0</v>
      </c>
      <c r="K2286" s="108">
        <v>0</v>
      </c>
      <c r="L2286" s="108">
        <v>0</v>
      </c>
      <c r="M2286" s="108">
        <v>0</v>
      </c>
      <c r="N2286" s="108">
        <v>0</v>
      </c>
      <c r="O2286" s="108">
        <v>0</v>
      </c>
      <c r="P2286" s="108">
        <v>0</v>
      </c>
      <c r="Q2286" s="108">
        <v>0</v>
      </c>
      <c r="R2286" s="108">
        <v>0</v>
      </c>
      <c r="S2286" s="108">
        <v>0</v>
      </c>
      <c r="T2286" s="108">
        <v>0</v>
      </c>
      <c r="U2286" s="108">
        <v>0</v>
      </c>
      <c r="V2286" s="108">
        <v>0</v>
      </c>
    </row>
    <row r="2287" hidden="1" spans="1:22">
      <c r="A2287" s="143">
        <v>45116</v>
      </c>
      <c r="B2287" s="104" t="s">
        <v>34</v>
      </c>
      <c r="C2287" s="145">
        <v>0</v>
      </c>
      <c r="D2287" s="145"/>
      <c r="E2287" s="104">
        <v>0</v>
      </c>
      <c r="F2287" s="106">
        <v>0</v>
      </c>
      <c r="G2287" s="107">
        <v>0</v>
      </c>
      <c r="H2287" s="106">
        <v>0</v>
      </c>
      <c r="I2287" s="104">
        <v>0</v>
      </c>
      <c r="J2287" s="106">
        <v>0</v>
      </c>
      <c r="K2287" s="108">
        <v>0</v>
      </c>
      <c r="L2287" s="108">
        <v>0</v>
      </c>
      <c r="M2287" s="108">
        <v>0</v>
      </c>
      <c r="N2287" s="108">
        <v>0</v>
      </c>
      <c r="O2287" s="108">
        <v>0</v>
      </c>
      <c r="P2287" s="108">
        <v>0</v>
      </c>
      <c r="Q2287" s="108">
        <v>0</v>
      </c>
      <c r="R2287" s="108">
        <v>0</v>
      </c>
      <c r="S2287" s="108">
        <v>0</v>
      </c>
      <c r="T2287" s="108">
        <v>0</v>
      </c>
      <c r="U2287" s="108">
        <v>0</v>
      </c>
      <c r="V2287" s="108">
        <v>0</v>
      </c>
    </row>
    <row r="2288" hidden="1" spans="1:22">
      <c r="A2288" s="143">
        <v>45116</v>
      </c>
      <c r="B2288" s="104" t="s">
        <v>35</v>
      </c>
      <c r="C2288" s="145">
        <v>0</v>
      </c>
      <c r="D2288" s="145"/>
      <c r="E2288" s="104">
        <v>0</v>
      </c>
      <c r="F2288" s="106">
        <v>0</v>
      </c>
      <c r="G2288" s="107">
        <v>0</v>
      </c>
      <c r="H2288" s="106">
        <v>0</v>
      </c>
      <c r="I2288" s="104">
        <v>0</v>
      </c>
      <c r="J2288" s="106">
        <v>0</v>
      </c>
      <c r="K2288" s="108">
        <v>0</v>
      </c>
      <c r="L2288" s="108">
        <v>0</v>
      </c>
      <c r="M2288" s="108">
        <v>0</v>
      </c>
      <c r="N2288" s="108">
        <v>0</v>
      </c>
      <c r="O2288" s="108">
        <v>0</v>
      </c>
      <c r="P2288" s="108">
        <v>0</v>
      </c>
      <c r="Q2288" s="108">
        <v>0</v>
      </c>
      <c r="R2288" s="108">
        <v>0</v>
      </c>
      <c r="S2288" s="108">
        <v>0</v>
      </c>
      <c r="T2288" s="108">
        <v>0</v>
      </c>
      <c r="U2288" s="108">
        <v>0</v>
      </c>
      <c r="V2288" s="108">
        <v>0</v>
      </c>
    </row>
    <row r="2289" hidden="1" spans="1:22">
      <c r="A2289" s="143">
        <v>45116</v>
      </c>
      <c r="B2289" s="104" t="s">
        <v>36</v>
      </c>
      <c r="C2289" s="145">
        <v>0</v>
      </c>
      <c r="D2289" s="145"/>
      <c r="E2289" s="104">
        <v>0</v>
      </c>
      <c r="F2289" s="106">
        <v>0</v>
      </c>
      <c r="G2289" s="107">
        <v>0</v>
      </c>
      <c r="H2289" s="106">
        <v>0</v>
      </c>
      <c r="I2289" s="104">
        <v>0</v>
      </c>
      <c r="J2289" s="106">
        <v>0</v>
      </c>
      <c r="K2289" s="108">
        <v>0</v>
      </c>
      <c r="L2289" s="108">
        <v>0</v>
      </c>
      <c r="M2289" s="108">
        <v>0</v>
      </c>
      <c r="N2289" s="108">
        <v>0</v>
      </c>
      <c r="O2289" s="108">
        <v>0</v>
      </c>
      <c r="P2289" s="108">
        <v>0</v>
      </c>
      <c r="Q2289" s="108">
        <v>0</v>
      </c>
      <c r="R2289" s="108">
        <v>0</v>
      </c>
      <c r="S2289" s="108">
        <v>0</v>
      </c>
      <c r="T2289" s="108">
        <v>0</v>
      </c>
      <c r="U2289" s="108">
        <v>0</v>
      </c>
      <c r="V2289" s="108">
        <v>0</v>
      </c>
    </row>
    <row r="2290" hidden="1" spans="1:22">
      <c r="A2290" s="143">
        <v>45116</v>
      </c>
      <c r="B2290" s="104" t="s">
        <v>37</v>
      </c>
      <c r="C2290" s="145">
        <v>0</v>
      </c>
      <c r="D2290" s="145"/>
      <c r="E2290" s="104">
        <v>1</v>
      </c>
      <c r="F2290" s="106">
        <v>0</v>
      </c>
      <c r="G2290" s="107">
        <v>1</v>
      </c>
      <c r="H2290" s="106">
        <v>1</v>
      </c>
      <c r="I2290" s="104">
        <v>1</v>
      </c>
      <c r="J2290" s="106">
        <v>1</v>
      </c>
      <c r="K2290" s="108">
        <v>0</v>
      </c>
      <c r="L2290" s="108">
        <v>0</v>
      </c>
      <c r="M2290" s="108">
        <v>0</v>
      </c>
      <c r="N2290" s="108">
        <v>0</v>
      </c>
      <c r="O2290" s="108">
        <v>1</v>
      </c>
      <c r="P2290" s="108">
        <v>0.333333333333333</v>
      </c>
      <c r="Q2290" s="108">
        <v>0.6</v>
      </c>
      <c r="R2290" s="108">
        <v>0.571428571428571</v>
      </c>
      <c r="S2290" s="108">
        <v>1</v>
      </c>
      <c r="T2290" s="108">
        <v>1</v>
      </c>
      <c r="U2290" s="108">
        <v>1</v>
      </c>
      <c r="V2290" s="108">
        <v>1</v>
      </c>
    </row>
    <row r="2291" hidden="1" spans="1:22">
      <c r="A2291" s="143">
        <v>45116</v>
      </c>
      <c r="B2291" s="104" t="s">
        <v>38</v>
      </c>
      <c r="C2291" s="145">
        <v>0</v>
      </c>
      <c r="D2291" s="145"/>
      <c r="E2291" s="104">
        <v>0</v>
      </c>
      <c r="F2291" s="106">
        <v>0</v>
      </c>
      <c r="G2291" s="107">
        <v>0</v>
      </c>
      <c r="H2291" s="106">
        <v>0</v>
      </c>
      <c r="I2291" s="104">
        <v>0</v>
      </c>
      <c r="J2291" s="106">
        <v>0</v>
      </c>
      <c r="K2291" s="108">
        <v>0</v>
      </c>
      <c r="L2291" s="108">
        <v>0</v>
      </c>
      <c r="M2291" s="108">
        <v>0</v>
      </c>
      <c r="N2291" s="108">
        <v>0</v>
      </c>
      <c r="O2291" s="108">
        <v>0</v>
      </c>
      <c r="P2291" s="108">
        <v>0</v>
      </c>
      <c r="Q2291" s="108">
        <v>0</v>
      </c>
      <c r="R2291" s="108">
        <v>0</v>
      </c>
      <c r="S2291" s="108">
        <v>0</v>
      </c>
      <c r="T2291" s="108">
        <v>0</v>
      </c>
      <c r="U2291" s="108">
        <v>0</v>
      </c>
      <c r="V2291" s="108">
        <v>0</v>
      </c>
    </row>
    <row r="2292" spans="1:22">
      <c r="A2292" s="143">
        <v>45116</v>
      </c>
      <c r="B2292" s="111" t="s">
        <v>39</v>
      </c>
      <c r="C2292" s="112">
        <v>10251</v>
      </c>
      <c r="D2292" s="112">
        <v>5589</v>
      </c>
      <c r="E2292" s="112">
        <v>171</v>
      </c>
      <c r="F2292" s="106">
        <v>0.0166812993854258</v>
      </c>
      <c r="G2292" s="112">
        <v>52</v>
      </c>
      <c r="H2292" s="113">
        <v>0.304093567251462</v>
      </c>
      <c r="I2292" s="112">
        <v>34</v>
      </c>
      <c r="J2292" s="106">
        <v>0.198830409356725</v>
      </c>
      <c r="K2292" s="108"/>
      <c r="L2292" s="108"/>
      <c r="M2292" s="108"/>
      <c r="N2292" s="108"/>
      <c r="O2292" s="108"/>
      <c r="P2292" s="108"/>
      <c r="Q2292" s="108"/>
      <c r="R2292" s="108"/>
      <c r="S2292" s="108"/>
      <c r="T2292" s="108"/>
      <c r="U2292" s="108"/>
      <c r="V2292" s="108"/>
    </row>
    <row r="2293" customFormat="1" ht="14.45" customHeight="1" spans="1:24">
      <c r="A2293" s="143">
        <v>45117</v>
      </c>
      <c r="B2293" s="104" t="s">
        <v>17</v>
      </c>
      <c r="C2293" s="216">
        <v>1</v>
      </c>
      <c r="D2293" s="216">
        <v>688</v>
      </c>
      <c r="E2293" s="217">
        <v>52</v>
      </c>
      <c r="F2293" s="106">
        <v>52</v>
      </c>
      <c r="G2293" s="107">
        <v>10</v>
      </c>
      <c r="H2293" s="106">
        <v>0.192307692307692</v>
      </c>
      <c r="I2293" s="104">
        <v>6</v>
      </c>
      <c r="J2293" s="106">
        <v>0.115384615384615</v>
      </c>
      <c r="K2293" s="108">
        <v>0</v>
      </c>
      <c r="L2293" s="108">
        <v>-0.666666666666667</v>
      </c>
      <c r="M2293" s="108">
        <v>-0.4</v>
      </c>
      <c r="N2293" s="108">
        <v>-0.428571428571429</v>
      </c>
      <c r="O2293" s="108">
        <v>0</v>
      </c>
      <c r="P2293" s="108">
        <v>8.33333333333334</v>
      </c>
      <c r="Q2293" s="108">
        <v>12</v>
      </c>
      <c r="R2293" s="108">
        <v>10.5714285714286</v>
      </c>
      <c r="S2293" s="108">
        <v>0</v>
      </c>
      <c r="T2293" s="108">
        <v>1.33333333333333</v>
      </c>
      <c r="U2293" s="108">
        <v>0.800000000000001</v>
      </c>
      <c r="V2293" s="108">
        <v>0.571428571428571</v>
      </c>
      <c r="X2293" t="s">
        <v>18</v>
      </c>
    </row>
    <row r="2294" customFormat="1" ht="14.45" customHeight="1" spans="1:24">
      <c r="A2294" s="143">
        <v>45117</v>
      </c>
      <c r="B2294" s="104" t="s">
        <v>19</v>
      </c>
      <c r="C2294" s="216">
        <v>563</v>
      </c>
      <c r="D2294" s="216">
        <v>380</v>
      </c>
      <c r="E2294" s="217">
        <v>8</v>
      </c>
      <c r="F2294" s="106">
        <v>0.0142095914742451</v>
      </c>
      <c r="G2294" s="107">
        <v>3</v>
      </c>
      <c r="H2294" s="106">
        <v>0.375</v>
      </c>
      <c r="I2294" s="104">
        <v>2</v>
      </c>
      <c r="J2294" s="106">
        <v>0.25</v>
      </c>
      <c r="K2294" s="108">
        <v>0</v>
      </c>
      <c r="L2294" s="108">
        <v>81.6666666666667</v>
      </c>
      <c r="M2294" s="108">
        <v>70.8</v>
      </c>
      <c r="N2294" s="108">
        <v>34.4285714285714</v>
      </c>
      <c r="O2294" s="108">
        <v>0</v>
      </c>
      <c r="P2294" s="108">
        <v>-2</v>
      </c>
      <c r="Q2294" s="108">
        <v>-3.4</v>
      </c>
      <c r="R2294" s="108">
        <v>-4.14285714285714</v>
      </c>
      <c r="S2294" s="108">
        <v>0</v>
      </c>
      <c r="T2294" s="108">
        <v>0.333333333333333</v>
      </c>
      <c r="U2294" s="108">
        <v>-0.6</v>
      </c>
      <c r="V2294" s="115">
        <v>-0.285714285714286</v>
      </c>
      <c r="W2294" s="154"/>
      <c r="X2294" s="154"/>
    </row>
    <row r="2295" customFormat="1" ht="14.45" customHeight="1" spans="1:22">
      <c r="A2295" s="143">
        <v>45117</v>
      </c>
      <c r="B2295" s="104" t="s">
        <v>21</v>
      </c>
      <c r="C2295" s="218">
        <v>78</v>
      </c>
      <c r="D2295" s="218">
        <v>150</v>
      </c>
      <c r="E2295" s="217">
        <v>0</v>
      </c>
      <c r="F2295" s="106">
        <v>0</v>
      </c>
      <c r="G2295" s="107">
        <v>0</v>
      </c>
      <c r="H2295" s="106">
        <v>0</v>
      </c>
      <c r="I2295" s="104">
        <v>0</v>
      </c>
      <c r="J2295" s="106">
        <v>0</v>
      </c>
      <c r="K2295" s="108">
        <v>0</v>
      </c>
      <c r="L2295" s="108">
        <v>-10.6666666666667</v>
      </c>
      <c r="M2295" s="108">
        <v>-67.8</v>
      </c>
      <c r="N2295" s="108">
        <v>-107.714285714286</v>
      </c>
      <c r="O2295" s="108">
        <v>0</v>
      </c>
      <c r="P2295" s="108">
        <v>-0.666666666666667</v>
      </c>
      <c r="Q2295" s="108">
        <v>-2.6</v>
      </c>
      <c r="R2295" s="108">
        <v>-3</v>
      </c>
      <c r="S2295" s="108">
        <v>0</v>
      </c>
      <c r="T2295" s="108">
        <v>-0.666666666666667</v>
      </c>
      <c r="U2295" s="108">
        <v>-1.2</v>
      </c>
      <c r="V2295" s="108">
        <v>-1</v>
      </c>
    </row>
    <row r="2296" customFormat="1" ht="18.95" customHeight="1" spans="1:24">
      <c r="A2296" s="143">
        <v>45117</v>
      </c>
      <c r="B2296" s="104" t="s">
        <v>22</v>
      </c>
      <c r="C2296" s="218">
        <v>2259</v>
      </c>
      <c r="D2296" s="218">
        <v>1119</v>
      </c>
      <c r="E2296" s="217">
        <v>32</v>
      </c>
      <c r="F2296" s="106">
        <v>0.0141655599822931</v>
      </c>
      <c r="G2296" s="107">
        <v>17</v>
      </c>
      <c r="H2296" s="106">
        <v>0.53125</v>
      </c>
      <c r="I2296" s="104">
        <v>9</v>
      </c>
      <c r="J2296" s="106">
        <v>0.28125</v>
      </c>
      <c r="K2296" s="108">
        <v>0</v>
      </c>
      <c r="L2296" s="108">
        <v>97</v>
      </c>
      <c r="M2296" s="108">
        <v>179</v>
      </c>
      <c r="N2296" s="108">
        <v>152</v>
      </c>
      <c r="O2296" s="108">
        <v>0</v>
      </c>
      <c r="P2296" s="108">
        <v>-6.33333333333334</v>
      </c>
      <c r="Q2296" s="108">
        <v>-8.8</v>
      </c>
      <c r="R2296" s="115">
        <v>-14.1428571428571</v>
      </c>
      <c r="S2296" s="108">
        <v>0</v>
      </c>
      <c r="T2296" s="108">
        <v>1.33333333333333</v>
      </c>
      <c r="U2296" s="108">
        <v>1.4</v>
      </c>
      <c r="V2296" s="117">
        <v>-0.142857142857142</v>
      </c>
      <c r="W2296" s="154"/>
      <c r="X2296" s="154"/>
    </row>
    <row r="2297" customFormat="1" ht="14.45" customHeight="1" spans="1:22">
      <c r="A2297" s="143">
        <v>45117</v>
      </c>
      <c r="B2297" s="104" t="s">
        <v>23</v>
      </c>
      <c r="C2297" s="218">
        <v>1907</v>
      </c>
      <c r="D2297" s="218">
        <v>131</v>
      </c>
      <c r="E2297" s="217">
        <v>3</v>
      </c>
      <c r="F2297" s="106">
        <v>0.00157315154693235</v>
      </c>
      <c r="G2297" s="107">
        <v>1</v>
      </c>
      <c r="H2297" s="106">
        <v>0.333333333333333</v>
      </c>
      <c r="I2297" s="104">
        <v>0</v>
      </c>
      <c r="J2297" s="106">
        <v>0</v>
      </c>
      <c r="K2297" s="108">
        <v>0</v>
      </c>
      <c r="L2297" s="108">
        <v>81</v>
      </c>
      <c r="M2297" s="108">
        <v>8.79999999999995</v>
      </c>
      <c r="N2297" s="108">
        <v>-5.71428571428578</v>
      </c>
      <c r="O2297" s="108">
        <v>0</v>
      </c>
      <c r="P2297" s="108">
        <v>-1</v>
      </c>
      <c r="Q2297" s="108">
        <v>-1.6</v>
      </c>
      <c r="R2297" s="108">
        <v>-1.85714285714286</v>
      </c>
      <c r="S2297" s="108">
        <v>0</v>
      </c>
      <c r="T2297" s="116">
        <v>-1</v>
      </c>
      <c r="U2297" s="108">
        <v>-0.2</v>
      </c>
      <c r="V2297" s="108">
        <v>-0.571428571428571</v>
      </c>
    </row>
    <row r="2298" customFormat="1" ht="14.45" customHeight="1" spans="1:24">
      <c r="A2298" s="143">
        <v>45117</v>
      </c>
      <c r="B2298" s="104" t="s">
        <v>24</v>
      </c>
      <c r="C2298" s="218">
        <v>230</v>
      </c>
      <c r="D2298" s="218">
        <v>504</v>
      </c>
      <c r="E2298" s="217">
        <v>3</v>
      </c>
      <c r="F2298" s="106">
        <v>0.0130434782608696</v>
      </c>
      <c r="G2298" s="107">
        <v>1</v>
      </c>
      <c r="H2298" s="106">
        <v>0.333333333333333</v>
      </c>
      <c r="I2298" s="104">
        <v>1</v>
      </c>
      <c r="J2298" s="106">
        <v>0.333333333333333</v>
      </c>
      <c r="K2298" s="108">
        <v>0</v>
      </c>
      <c r="L2298" s="108">
        <v>5.66666666666666</v>
      </c>
      <c r="M2298" s="108">
        <v>-4.19999999999999</v>
      </c>
      <c r="N2298" s="108">
        <v>-198.428571428571</v>
      </c>
      <c r="O2298" s="115">
        <v>0</v>
      </c>
      <c r="P2298" s="115">
        <v>-2</v>
      </c>
      <c r="Q2298" s="115">
        <v>-2.6</v>
      </c>
      <c r="R2298" s="115">
        <v>-2.14285714285714</v>
      </c>
      <c r="S2298" s="115">
        <v>0</v>
      </c>
      <c r="T2298" s="115">
        <v>-1.66666666666667</v>
      </c>
      <c r="U2298" s="115">
        <v>-2.4</v>
      </c>
      <c r="V2298" s="115">
        <v>-1.57142857142857</v>
      </c>
      <c r="W2298" s="154"/>
      <c r="X2298" s="154"/>
    </row>
    <row r="2299" customFormat="1" ht="14.45" customHeight="1" spans="1:22">
      <c r="A2299" s="143">
        <v>45117</v>
      </c>
      <c r="B2299" s="104" t="s">
        <v>25</v>
      </c>
      <c r="C2299" s="218">
        <v>2220</v>
      </c>
      <c r="D2299" s="218">
        <v>997</v>
      </c>
      <c r="E2299" s="217">
        <v>46</v>
      </c>
      <c r="F2299" s="106">
        <v>0.0207207207207207</v>
      </c>
      <c r="G2299" s="107">
        <v>14</v>
      </c>
      <c r="H2299" s="106">
        <v>0.304347826086957</v>
      </c>
      <c r="I2299" s="104">
        <v>12</v>
      </c>
      <c r="J2299" s="106">
        <v>0.260869565217391</v>
      </c>
      <c r="K2299" s="108">
        <v>0</v>
      </c>
      <c r="L2299" s="108">
        <v>-85</v>
      </c>
      <c r="M2299" s="108">
        <v>-279</v>
      </c>
      <c r="N2299" s="108">
        <v>-766.142857142857</v>
      </c>
      <c r="O2299" s="115">
        <v>0</v>
      </c>
      <c r="P2299" s="115">
        <v>1.33333333333334</v>
      </c>
      <c r="Q2299" s="115">
        <v>3.4</v>
      </c>
      <c r="R2299" s="115">
        <v>6.14285714285715</v>
      </c>
      <c r="S2299" s="108">
        <v>0</v>
      </c>
      <c r="T2299" s="108">
        <v>-1.66666666666667</v>
      </c>
      <c r="U2299" s="108">
        <v>-2.2</v>
      </c>
      <c r="V2299" s="108">
        <v>-0.285714285714286</v>
      </c>
    </row>
    <row r="2300" customFormat="1" ht="14.45" customHeight="1" spans="1:22">
      <c r="A2300" s="143">
        <v>45117</v>
      </c>
      <c r="B2300" s="104" t="s">
        <v>26</v>
      </c>
      <c r="C2300" s="218">
        <v>1075</v>
      </c>
      <c r="D2300" s="218">
        <v>1289</v>
      </c>
      <c r="E2300" s="217">
        <v>10</v>
      </c>
      <c r="F2300" s="106">
        <v>0.00930232558139535</v>
      </c>
      <c r="G2300" s="107">
        <v>1</v>
      </c>
      <c r="H2300" s="106">
        <v>0.1</v>
      </c>
      <c r="I2300" s="104">
        <v>0</v>
      </c>
      <c r="J2300" s="106">
        <v>0</v>
      </c>
      <c r="K2300" s="108">
        <v>0</v>
      </c>
      <c r="L2300" s="108">
        <v>68.6666666666666</v>
      </c>
      <c r="M2300" s="108">
        <v>57.6</v>
      </c>
      <c r="N2300" s="108">
        <v>168.714285714286</v>
      </c>
      <c r="O2300" s="108">
        <v>0</v>
      </c>
      <c r="P2300" s="108">
        <v>-3.66666666666667</v>
      </c>
      <c r="Q2300" s="108">
        <v>-3.8</v>
      </c>
      <c r="R2300" s="108">
        <v>-2.14285714285714</v>
      </c>
      <c r="S2300" s="108">
        <v>0</v>
      </c>
      <c r="T2300" s="108">
        <v>-3</v>
      </c>
      <c r="U2300" s="108">
        <v>-2.2</v>
      </c>
      <c r="V2300" s="108">
        <v>-2.14285714285714</v>
      </c>
    </row>
    <row r="2301" customFormat="1" ht="14.45" customHeight="1" spans="1:22">
      <c r="A2301" s="143">
        <v>45117</v>
      </c>
      <c r="B2301" s="104" t="s">
        <v>27</v>
      </c>
      <c r="C2301" s="218">
        <v>1918</v>
      </c>
      <c r="D2301" s="218">
        <v>331</v>
      </c>
      <c r="E2301" s="217">
        <v>16</v>
      </c>
      <c r="F2301" s="106">
        <v>0.00834202294056309</v>
      </c>
      <c r="G2301" s="107">
        <v>4</v>
      </c>
      <c r="H2301" s="106">
        <v>0.25</v>
      </c>
      <c r="I2301" s="104">
        <v>3</v>
      </c>
      <c r="J2301" s="106">
        <v>0.1875</v>
      </c>
      <c r="K2301" s="108">
        <v>0</v>
      </c>
      <c r="L2301" s="108">
        <v>58</v>
      </c>
      <c r="M2301" s="108">
        <v>180</v>
      </c>
      <c r="N2301" s="108">
        <v>272.285714285714</v>
      </c>
      <c r="O2301" s="108">
        <v>0</v>
      </c>
      <c r="P2301" s="108">
        <v>0.666666666666666</v>
      </c>
      <c r="Q2301" s="108">
        <v>2.6</v>
      </c>
      <c r="R2301" s="108">
        <v>3</v>
      </c>
      <c r="S2301" s="108">
        <v>0</v>
      </c>
      <c r="T2301" s="108">
        <v>-0.333333333333333</v>
      </c>
      <c r="U2301" s="108">
        <v>0.8</v>
      </c>
      <c r="V2301" s="108">
        <v>0</v>
      </c>
    </row>
    <row r="2302" customFormat="1" ht="14.45" hidden="1" customHeight="1" spans="1:22">
      <c r="A2302" s="143">
        <v>45117</v>
      </c>
      <c r="B2302" s="104" t="s">
        <v>28</v>
      </c>
      <c r="C2302" s="145">
        <v>0</v>
      </c>
      <c r="D2302" s="145"/>
      <c r="E2302" s="104">
        <v>0</v>
      </c>
      <c r="F2302" s="106">
        <v>0</v>
      </c>
      <c r="G2302" s="107">
        <v>0</v>
      </c>
      <c r="H2302" s="106">
        <v>0</v>
      </c>
      <c r="I2302" s="104">
        <v>0</v>
      </c>
      <c r="J2302" s="106">
        <v>0</v>
      </c>
      <c r="K2302" s="108">
        <v>0</v>
      </c>
      <c r="L2302" s="108">
        <v>0</v>
      </c>
      <c r="M2302" s="108">
        <v>0</v>
      </c>
      <c r="N2302" s="108">
        <v>0</v>
      </c>
      <c r="O2302" s="108">
        <v>0</v>
      </c>
      <c r="P2302" s="108">
        <v>0</v>
      </c>
      <c r="Q2302" s="108">
        <v>0</v>
      </c>
      <c r="R2302" s="108">
        <v>0</v>
      </c>
      <c r="S2302" s="108">
        <v>0</v>
      </c>
      <c r="T2302" s="108">
        <v>0</v>
      </c>
      <c r="U2302" s="108">
        <v>0</v>
      </c>
      <c r="V2302" s="108">
        <v>0</v>
      </c>
    </row>
    <row r="2303" customFormat="1" ht="14.45" hidden="1" customHeight="1" spans="1:22">
      <c r="A2303" s="143">
        <v>45117</v>
      </c>
      <c r="B2303" s="104" t="s">
        <v>29</v>
      </c>
      <c r="C2303" s="145">
        <v>0</v>
      </c>
      <c r="D2303" s="145"/>
      <c r="E2303" s="104">
        <v>0</v>
      </c>
      <c r="F2303" s="106">
        <v>0</v>
      </c>
      <c r="G2303" s="107">
        <v>0</v>
      </c>
      <c r="H2303" s="106">
        <v>0</v>
      </c>
      <c r="I2303" s="104">
        <v>0</v>
      </c>
      <c r="J2303" s="106">
        <v>0</v>
      </c>
      <c r="K2303" s="108">
        <v>0</v>
      </c>
      <c r="L2303" s="108">
        <v>0</v>
      </c>
      <c r="M2303" s="108">
        <v>0</v>
      </c>
      <c r="N2303" s="108">
        <v>0</v>
      </c>
      <c r="O2303" s="108">
        <v>0</v>
      </c>
      <c r="P2303" s="108">
        <v>0</v>
      </c>
      <c r="Q2303" s="108">
        <v>-0.2</v>
      </c>
      <c r="R2303" s="108">
        <v>-0.142857142857143</v>
      </c>
      <c r="S2303" s="108">
        <v>0</v>
      </c>
      <c r="T2303" s="108">
        <v>0</v>
      </c>
      <c r="U2303" s="108">
        <v>0</v>
      </c>
      <c r="V2303" s="108">
        <v>0</v>
      </c>
    </row>
    <row r="2304" customFormat="1" ht="14.45" hidden="1" customHeight="1" spans="1:22">
      <c r="A2304" s="143">
        <v>45117</v>
      </c>
      <c r="B2304" s="104" t="s">
        <v>30</v>
      </c>
      <c r="C2304" s="145">
        <v>0</v>
      </c>
      <c r="D2304" s="145"/>
      <c r="E2304" s="104">
        <v>0</v>
      </c>
      <c r="F2304" s="106">
        <v>0</v>
      </c>
      <c r="G2304" s="107">
        <v>0</v>
      </c>
      <c r="H2304" s="106">
        <v>0</v>
      </c>
      <c r="I2304" s="104">
        <v>0</v>
      </c>
      <c r="J2304" s="106">
        <v>0</v>
      </c>
      <c r="K2304" s="108">
        <v>0</v>
      </c>
      <c r="L2304" s="108">
        <v>0</v>
      </c>
      <c r="M2304" s="108">
        <v>0</v>
      </c>
      <c r="N2304" s="108">
        <v>0</v>
      </c>
      <c r="O2304" s="108">
        <v>0</v>
      </c>
      <c r="P2304" s="108">
        <v>0</v>
      </c>
      <c r="Q2304" s="108">
        <v>0</v>
      </c>
      <c r="R2304" s="108">
        <v>0</v>
      </c>
      <c r="S2304" s="108">
        <v>0</v>
      </c>
      <c r="T2304" s="108">
        <v>0</v>
      </c>
      <c r="U2304" s="108">
        <v>0</v>
      </c>
      <c r="V2304" s="108">
        <v>0</v>
      </c>
    </row>
    <row r="2305" customFormat="1" ht="14.45" hidden="1" customHeight="1" spans="1:22">
      <c r="A2305" s="143">
        <v>45117</v>
      </c>
      <c r="B2305" s="104" t="s">
        <v>31</v>
      </c>
      <c r="C2305" s="145">
        <v>0</v>
      </c>
      <c r="D2305" s="145"/>
      <c r="E2305" s="104">
        <v>0</v>
      </c>
      <c r="F2305" s="106">
        <v>0</v>
      </c>
      <c r="G2305" s="107">
        <v>0</v>
      </c>
      <c r="H2305" s="106">
        <v>0</v>
      </c>
      <c r="I2305" s="104">
        <v>0</v>
      </c>
      <c r="J2305" s="106">
        <v>0</v>
      </c>
      <c r="K2305" s="108">
        <v>0</v>
      </c>
      <c r="L2305" s="108">
        <v>0</v>
      </c>
      <c r="M2305" s="108">
        <v>0</v>
      </c>
      <c r="N2305" s="108">
        <v>0</v>
      </c>
      <c r="O2305" s="108">
        <v>0</v>
      </c>
      <c r="P2305" s="108">
        <v>0</v>
      </c>
      <c r="Q2305" s="108">
        <v>0</v>
      </c>
      <c r="R2305" s="108">
        <v>0</v>
      </c>
      <c r="S2305" s="108">
        <v>0</v>
      </c>
      <c r="T2305" s="108">
        <v>0</v>
      </c>
      <c r="U2305" s="108">
        <v>0</v>
      </c>
      <c r="V2305" s="108">
        <v>0</v>
      </c>
    </row>
    <row r="2306" customFormat="1" ht="14.45" hidden="1" customHeight="1" spans="1:22">
      <c r="A2306" s="143">
        <v>45117</v>
      </c>
      <c r="B2306" s="104" t="s">
        <v>32</v>
      </c>
      <c r="C2306" s="145">
        <v>0</v>
      </c>
      <c r="D2306" s="145"/>
      <c r="E2306" s="104">
        <v>0</v>
      </c>
      <c r="F2306" s="106">
        <v>0</v>
      </c>
      <c r="G2306" s="107">
        <v>0</v>
      </c>
      <c r="H2306" s="106">
        <v>0</v>
      </c>
      <c r="I2306" s="104">
        <v>0</v>
      </c>
      <c r="J2306" s="106">
        <v>0</v>
      </c>
      <c r="K2306" s="108">
        <v>0</v>
      </c>
      <c r="L2306" s="108">
        <v>0</v>
      </c>
      <c r="M2306" s="108">
        <v>0</v>
      </c>
      <c r="N2306" s="108">
        <v>0</v>
      </c>
      <c r="O2306" s="108">
        <v>0</v>
      </c>
      <c r="P2306" s="108">
        <v>0</v>
      </c>
      <c r="Q2306" s="108">
        <v>0</v>
      </c>
      <c r="R2306" s="108">
        <v>0</v>
      </c>
      <c r="S2306" s="108">
        <v>0</v>
      </c>
      <c r="T2306" s="108">
        <v>0</v>
      </c>
      <c r="U2306" s="108">
        <v>0</v>
      </c>
      <c r="V2306" s="108">
        <v>0</v>
      </c>
    </row>
    <row r="2307" customFormat="1" hidden="1" spans="1:22">
      <c r="A2307" s="143">
        <v>45117</v>
      </c>
      <c r="B2307" s="104" t="s">
        <v>33</v>
      </c>
      <c r="C2307" s="145">
        <v>0</v>
      </c>
      <c r="D2307" s="145"/>
      <c r="E2307" s="104">
        <v>0</v>
      </c>
      <c r="F2307" s="106">
        <v>0</v>
      </c>
      <c r="G2307" s="107">
        <v>0</v>
      </c>
      <c r="H2307" s="106">
        <v>0</v>
      </c>
      <c r="I2307" s="104">
        <v>0</v>
      </c>
      <c r="J2307" s="106">
        <v>0</v>
      </c>
      <c r="K2307" s="108">
        <v>0</v>
      </c>
      <c r="L2307" s="108">
        <v>0</v>
      </c>
      <c r="M2307" s="108">
        <v>0</v>
      </c>
      <c r="N2307" s="108">
        <v>0</v>
      </c>
      <c r="O2307" s="108">
        <v>0</v>
      </c>
      <c r="P2307" s="108">
        <v>0</v>
      </c>
      <c r="Q2307" s="108">
        <v>0</v>
      </c>
      <c r="R2307" s="108">
        <v>0</v>
      </c>
      <c r="S2307" s="108">
        <v>0</v>
      </c>
      <c r="T2307" s="108">
        <v>0</v>
      </c>
      <c r="U2307" s="108">
        <v>0</v>
      </c>
      <c r="V2307" s="108">
        <v>0</v>
      </c>
    </row>
    <row r="2308" customFormat="1" hidden="1" spans="1:22">
      <c r="A2308" s="143">
        <v>45117</v>
      </c>
      <c r="B2308" s="104" t="s">
        <v>34</v>
      </c>
      <c r="C2308" s="145">
        <v>0</v>
      </c>
      <c r="D2308" s="145"/>
      <c r="E2308" s="104">
        <v>0</v>
      </c>
      <c r="F2308" s="106">
        <v>0</v>
      </c>
      <c r="G2308" s="107">
        <v>0</v>
      </c>
      <c r="H2308" s="106">
        <v>0</v>
      </c>
      <c r="I2308" s="104">
        <v>0</v>
      </c>
      <c r="J2308" s="106">
        <v>0</v>
      </c>
      <c r="K2308" s="108">
        <v>0</v>
      </c>
      <c r="L2308" s="108">
        <v>0</v>
      </c>
      <c r="M2308" s="108">
        <v>0</v>
      </c>
      <c r="N2308" s="108">
        <v>0</v>
      </c>
      <c r="O2308" s="108">
        <v>0</v>
      </c>
      <c r="P2308" s="108">
        <v>0</v>
      </c>
      <c r="Q2308" s="108">
        <v>0</v>
      </c>
      <c r="R2308" s="108">
        <v>0</v>
      </c>
      <c r="S2308" s="108">
        <v>0</v>
      </c>
      <c r="T2308" s="108">
        <v>0</v>
      </c>
      <c r="U2308" s="108">
        <v>0</v>
      </c>
      <c r="V2308" s="108">
        <v>0</v>
      </c>
    </row>
    <row r="2309" customFormat="1" hidden="1" spans="1:22">
      <c r="A2309" s="143">
        <v>45117</v>
      </c>
      <c r="B2309" s="104" t="s">
        <v>35</v>
      </c>
      <c r="C2309" s="145">
        <v>0</v>
      </c>
      <c r="D2309" s="145"/>
      <c r="E2309" s="104">
        <v>0</v>
      </c>
      <c r="F2309" s="106">
        <v>0</v>
      </c>
      <c r="G2309" s="107">
        <v>0</v>
      </c>
      <c r="H2309" s="106">
        <v>0</v>
      </c>
      <c r="I2309" s="104">
        <v>0</v>
      </c>
      <c r="J2309" s="106">
        <v>0</v>
      </c>
      <c r="K2309" s="108">
        <v>0</v>
      </c>
      <c r="L2309" s="108">
        <v>0</v>
      </c>
      <c r="M2309" s="108">
        <v>0</v>
      </c>
      <c r="N2309" s="108">
        <v>0</v>
      </c>
      <c r="O2309" s="108">
        <v>0</v>
      </c>
      <c r="P2309" s="108">
        <v>0</v>
      </c>
      <c r="Q2309" s="108">
        <v>0</v>
      </c>
      <c r="R2309" s="108">
        <v>0</v>
      </c>
      <c r="S2309" s="108">
        <v>0</v>
      </c>
      <c r="T2309" s="108">
        <v>0</v>
      </c>
      <c r="U2309" s="108">
        <v>0</v>
      </c>
      <c r="V2309" s="108">
        <v>0</v>
      </c>
    </row>
    <row r="2310" customFormat="1" hidden="1" spans="1:22">
      <c r="A2310" s="143">
        <v>45117</v>
      </c>
      <c r="B2310" s="104" t="s">
        <v>36</v>
      </c>
      <c r="C2310" s="145">
        <v>0</v>
      </c>
      <c r="D2310" s="145"/>
      <c r="E2310" s="104">
        <v>0</v>
      </c>
      <c r="F2310" s="106">
        <v>0</v>
      </c>
      <c r="G2310" s="107">
        <v>0</v>
      </c>
      <c r="H2310" s="106">
        <v>0</v>
      </c>
      <c r="I2310" s="104">
        <v>0</v>
      </c>
      <c r="J2310" s="106">
        <v>0</v>
      </c>
      <c r="K2310" s="108">
        <v>0</v>
      </c>
      <c r="L2310" s="108">
        <v>0</v>
      </c>
      <c r="M2310" s="108">
        <v>0</v>
      </c>
      <c r="N2310" s="108">
        <v>0</v>
      </c>
      <c r="O2310" s="108">
        <v>0</v>
      </c>
      <c r="P2310" s="108">
        <v>0</v>
      </c>
      <c r="Q2310" s="108">
        <v>0</v>
      </c>
      <c r="R2310" s="108">
        <v>0</v>
      </c>
      <c r="S2310" s="108">
        <v>0</v>
      </c>
      <c r="T2310" s="108">
        <v>0</v>
      </c>
      <c r="U2310" s="108">
        <v>0</v>
      </c>
      <c r="V2310" s="108">
        <v>0</v>
      </c>
    </row>
    <row r="2311" customFormat="1" hidden="1" spans="1:22">
      <c r="A2311" s="143">
        <v>45117</v>
      </c>
      <c r="B2311" s="104" t="s">
        <v>37</v>
      </c>
      <c r="C2311" s="145">
        <v>0</v>
      </c>
      <c r="D2311" s="145"/>
      <c r="E2311" s="104">
        <v>1</v>
      </c>
      <c r="F2311" s="106">
        <v>0</v>
      </c>
      <c r="G2311" s="107">
        <v>1</v>
      </c>
      <c r="H2311" s="106">
        <v>1</v>
      </c>
      <c r="I2311" s="104">
        <v>1</v>
      </c>
      <c r="J2311" s="106">
        <v>1</v>
      </c>
      <c r="K2311" s="108">
        <v>0</v>
      </c>
      <c r="L2311" s="108">
        <v>0</v>
      </c>
      <c r="M2311" s="108">
        <v>0</v>
      </c>
      <c r="N2311" s="108">
        <v>0</v>
      </c>
      <c r="O2311" s="108">
        <v>0</v>
      </c>
      <c r="P2311" s="108">
        <v>0.333333333333333</v>
      </c>
      <c r="Q2311" s="108">
        <v>0.4</v>
      </c>
      <c r="R2311" s="108">
        <v>0.428571428571429</v>
      </c>
      <c r="S2311" s="108">
        <v>0</v>
      </c>
      <c r="T2311" s="108">
        <v>0.666666666666667</v>
      </c>
      <c r="U2311" s="108">
        <v>0.8</v>
      </c>
      <c r="V2311" s="108">
        <v>0.857142857142857</v>
      </c>
    </row>
    <row r="2312" customFormat="1" hidden="1" spans="1:22">
      <c r="A2312" s="143">
        <v>45117</v>
      </c>
      <c r="B2312" s="104" t="s">
        <v>38</v>
      </c>
      <c r="C2312" s="145">
        <v>0</v>
      </c>
      <c r="D2312" s="145"/>
      <c r="E2312" s="104">
        <v>0</v>
      </c>
      <c r="F2312" s="106">
        <v>0</v>
      </c>
      <c r="G2312" s="107">
        <v>0</v>
      </c>
      <c r="H2312" s="106">
        <v>0</v>
      </c>
      <c r="I2312" s="104">
        <v>0</v>
      </c>
      <c r="J2312" s="106">
        <v>0</v>
      </c>
      <c r="K2312" s="108">
        <v>0</v>
      </c>
      <c r="L2312" s="108">
        <v>0</v>
      </c>
      <c r="M2312" s="108">
        <v>0</v>
      </c>
      <c r="N2312" s="108">
        <v>0</v>
      </c>
      <c r="O2312" s="108">
        <v>0</v>
      </c>
      <c r="P2312" s="108">
        <v>0</v>
      </c>
      <c r="Q2312" s="108">
        <v>0</v>
      </c>
      <c r="R2312" s="108">
        <v>0</v>
      </c>
      <c r="S2312" s="108">
        <v>0</v>
      </c>
      <c r="T2312" s="108">
        <v>0</v>
      </c>
      <c r="U2312" s="108">
        <v>0</v>
      </c>
      <c r="V2312" s="108">
        <v>0</v>
      </c>
    </row>
    <row r="2313" customFormat="1" spans="1:22">
      <c r="A2313" s="143">
        <v>45117</v>
      </c>
      <c r="B2313" s="111" t="s">
        <v>39</v>
      </c>
      <c r="C2313" s="112">
        <v>10251</v>
      </c>
      <c r="D2313" s="112">
        <v>5589</v>
      </c>
      <c r="E2313" s="112">
        <v>171</v>
      </c>
      <c r="F2313" s="106">
        <v>0.0166812993854258</v>
      </c>
      <c r="G2313" s="112">
        <v>52</v>
      </c>
      <c r="H2313" s="113">
        <v>0.304093567251462</v>
      </c>
      <c r="I2313" s="112">
        <v>34</v>
      </c>
      <c r="J2313" s="106">
        <v>0.198830409356725</v>
      </c>
      <c r="K2313" s="108"/>
      <c r="L2313" s="108"/>
      <c r="M2313" s="108"/>
      <c r="N2313" s="108"/>
      <c r="O2313" s="108"/>
      <c r="P2313" s="108"/>
      <c r="Q2313" s="108"/>
      <c r="R2313" s="108"/>
      <c r="S2313" s="108"/>
      <c r="T2313" s="108"/>
      <c r="U2313" s="108"/>
      <c r="V2313" s="108"/>
    </row>
    <row r="2314" customFormat="1" ht="14.45" customHeight="1" spans="1:24">
      <c r="A2314" s="143">
        <v>45118</v>
      </c>
      <c r="B2314" s="104" t="s">
        <v>17</v>
      </c>
      <c r="C2314" s="216">
        <v>0</v>
      </c>
      <c r="D2314" s="216">
        <v>438</v>
      </c>
      <c r="E2314" s="217">
        <v>27</v>
      </c>
      <c r="F2314" s="106">
        <v>438</v>
      </c>
      <c r="G2314" s="107">
        <v>8</v>
      </c>
      <c r="H2314" s="106">
        <v>0.296296296296296</v>
      </c>
      <c r="I2314" s="104">
        <v>7</v>
      </c>
      <c r="J2314" s="106">
        <v>0.259259259259259</v>
      </c>
      <c r="K2314" s="108">
        <v>-1</v>
      </c>
      <c r="L2314" s="108">
        <v>-1.66666666666667</v>
      </c>
      <c r="M2314" s="108">
        <v>-1.2</v>
      </c>
      <c r="N2314" s="108">
        <v>-1.28571428571429</v>
      </c>
      <c r="O2314" s="108">
        <v>-25</v>
      </c>
      <c r="P2314" s="108">
        <v>-20</v>
      </c>
      <c r="Q2314" s="108">
        <v>-16.2</v>
      </c>
      <c r="R2314" s="108">
        <v>-14.7142857142857</v>
      </c>
      <c r="S2314" s="108">
        <v>-2</v>
      </c>
      <c r="T2314" s="108">
        <v>-2.33333333333333</v>
      </c>
      <c r="U2314" s="108">
        <v>-0.6</v>
      </c>
      <c r="V2314" s="108">
        <v>-1.28571428571429</v>
      </c>
      <c r="X2314" t="s">
        <v>18</v>
      </c>
    </row>
    <row r="2315" customFormat="1" ht="14.45" customHeight="1" spans="1:24">
      <c r="A2315" s="143">
        <v>45118</v>
      </c>
      <c r="B2315" s="104" t="s">
        <v>19</v>
      </c>
      <c r="C2315" s="216">
        <v>481</v>
      </c>
      <c r="D2315" s="216">
        <v>369</v>
      </c>
      <c r="E2315" s="217">
        <v>7</v>
      </c>
      <c r="F2315" s="106">
        <v>0.0145530145530146</v>
      </c>
      <c r="G2315" s="107">
        <v>5</v>
      </c>
      <c r="H2315" s="106">
        <v>0.714285714285714</v>
      </c>
      <c r="I2315" s="104">
        <v>3</v>
      </c>
      <c r="J2315" s="106">
        <v>0.428571428571429</v>
      </c>
      <c r="K2315" s="108">
        <v>-82</v>
      </c>
      <c r="L2315" s="108">
        <v>-37</v>
      </c>
      <c r="M2315" s="108">
        <v>-20.8</v>
      </c>
      <c r="N2315" s="108">
        <v>-23.5714285714286</v>
      </c>
      <c r="O2315" s="108">
        <v>-1</v>
      </c>
      <c r="P2315" s="108">
        <v>-1.66666666666667</v>
      </c>
      <c r="Q2315" s="108">
        <v>-4</v>
      </c>
      <c r="R2315" s="108">
        <v>-3.85714285714286</v>
      </c>
      <c r="S2315" s="108">
        <v>2</v>
      </c>
      <c r="T2315" s="108">
        <v>3</v>
      </c>
      <c r="U2315" s="108">
        <v>1.4</v>
      </c>
      <c r="V2315" s="115">
        <v>1.57142857142857</v>
      </c>
      <c r="W2315" s="154"/>
      <c r="X2315" s="154"/>
    </row>
    <row r="2316" customFormat="1" ht="14.45" customHeight="1" spans="1:22">
      <c r="A2316" s="143">
        <v>45118</v>
      </c>
      <c r="B2316" s="104" t="s">
        <v>21</v>
      </c>
      <c r="C2316" s="218">
        <v>47</v>
      </c>
      <c r="D2316" s="218">
        <v>155</v>
      </c>
      <c r="E2316" s="217">
        <v>1</v>
      </c>
      <c r="F2316" s="106">
        <v>0.0212765957446809</v>
      </c>
      <c r="G2316" s="107">
        <v>4</v>
      </c>
      <c r="H2316" s="106">
        <v>4</v>
      </c>
      <c r="I2316" s="104">
        <v>0</v>
      </c>
      <c r="J2316" s="106">
        <v>0</v>
      </c>
      <c r="K2316" s="108">
        <v>-31</v>
      </c>
      <c r="L2316" s="108">
        <v>-34.6666666666667</v>
      </c>
      <c r="M2316" s="108">
        <v>-62</v>
      </c>
      <c r="N2316" s="108">
        <v>-108.571428571429</v>
      </c>
      <c r="O2316" s="108">
        <v>1</v>
      </c>
      <c r="P2316" s="108">
        <v>0.666666666666667</v>
      </c>
      <c r="Q2316" s="108">
        <v>0</v>
      </c>
      <c r="R2316" s="108">
        <v>-1.14285714285714</v>
      </c>
      <c r="S2316" s="108">
        <v>4</v>
      </c>
      <c r="T2316" s="108">
        <v>3.66666666666667</v>
      </c>
      <c r="U2316" s="108">
        <v>3.6</v>
      </c>
      <c r="V2316" s="108">
        <v>3.14285714285714</v>
      </c>
    </row>
    <row r="2317" customFormat="1" ht="18.95" customHeight="1" spans="1:24">
      <c r="A2317" s="143">
        <v>45118</v>
      </c>
      <c r="B2317" s="104" t="s">
        <v>22</v>
      </c>
      <c r="C2317" s="218">
        <v>2205</v>
      </c>
      <c r="D2317" s="218">
        <v>1039</v>
      </c>
      <c r="E2317" s="217">
        <v>24</v>
      </c>
      <c r="F2317" s="106">
        <v>0.0108843537414966</v>
      </c>
      <c r="G2317" s="107">
        <v>7</v>
      </c>
      <c r="H2317" s="106">
        <v>0.291666666666667</v>
      </c>
      <c r="I2317" s="104">
        <v>5</v>
      </c>
      <c r="J2317" s="106">
        <v>0.208333333333333</v>
      </c>
      <c r="K2317" s="108">
        <v>-54</v>
      </c>
      <c r="L2317" s="108">
        <v>-18</v>
      </c>
      <c r="M2317" s="108">
        <v>55</v>
      </c>
      <c r="N2317" s="108">
        <v>104.142857142857</v>
      </c>
      <c r="O2317" s="108">
        <v>-8</v>
      </c>
      <c r="P2317" s="108">
        <v>-13</v>
      </c>
      <c r="Q2317" s="108">
        <v>-14.2</v>
      </c>
      <c r="R2317" s="115">
        <v>-18.2857142857143</v>
      </c>
      <c r="S2317" s="108">
        <v>-10</v>
      </c>
      <c r="T2317" s="108">
        <v>-11.6666666666667</v>
      </c>
      <c r="U2317" s="108">
        <v>-9</v>
      </c>
      <c r="V2317" s="117">
        <v>-10</v>
      </c>
      <c r="W2317" s="154"/>
      <c r="X2317" s="154"/>
    </row>
    <row r="2318" customFormat="1" ht="14.45" customHeight="1" spans="1:22">
      <c r="A2318" s="143">
        <v>45118</v>
      </c>
      <c r="B2318" s="104" t="s">
        <v>23</v>
      </c>
      <c r="C2318" s="218">
        <v>1724</v>
      </c>
      <c r="D2318" s="218">
        <v>326</v>
      </c>
      <c r="E2318" s="217">
        <v>8</v>
      </c>
      <c r="F2318" s="106">
        <v>0.00464037122969838</v>
      </c>
      <c r="G2318" s="107">
        <v>1</v>
      </c>
      <c r="H2318" s="106">
        <v>0.125</v>
      </c>
      <c r="I2318" s="104">
        <v>1</v>
      </c>
      <c r="J2318" s="106">
        <v>0.125</v>
      </c>
      <c r="K2318" s="108">
        <v>-183</v>
      </c>
      <c r="L2318" s="108">
        <v>-93.6666666666667</v>
      </c>
      <c r="M2318" s="108">
        <v>-148.4</v>
      </c>
      <c r="N2318" s="108">
        <v>-182.571428571429</v>
      </c>
      <c r="O2318" s="108">
        <v>5</v>
      </c>
      <c r="P2318" s="108">
        <v>5.33333333333333</v>
      </c>
      <c r="Q2318" s="108">
        <v>3.8</v>
      </c>
      <c r="R2318" s="108">
        <v>3.71428571428571</v>
      </c>
      <c r="S2318" s="108">
        <v>0</v>
      </c>
      <c r="T2318" s="108">
        <v>0</v>
      </c>
      <c r="U2318" s="108">
        <v>0</v>
      </c>
      <c r="V2318" s="108">
        <v>0</v>
      </c>
    </row>
    <row r="2319" customFormat="1" ht="14.45" customHeight="1" spans="1:24">
      <c r="A2319" s="143">
        <v>45118</v>
      </c>
      <c r="B2319" s="104" t="s">
        <v>24</v>
      </c>
      <c r="C2319" s="218">
        <v>550</v>
      </c>
      <c r="D2319" s="218">
        <v>558</v>
      </c>
      <c r="E2319" s="217">
        <v>4</v>
      </c>
      <c r="F2319" s="106">
        <v>0.00727272727272727</v>
      </c>
      <c r="G2319" s="107">
        <v>5</v>
      </c>
      <c r="H2319" s="106">
        <v>1.25</v>
      </c>
      <c r="I2319" s="104">
        <v>1</v>
      </c>
      <c r="J2319" s="106">
        <v>0.25</v>
      </c>
      <c r="K2319" s="108">
        <v>320</v>
      </c>
      <c r="L2319" s="108">
        <v>329.333333333333</v>
      </c>
      <c r="M2319" s="108">
        <v>319</v>
      </c>
      <c r="N2319" s="108">
        <v>300.285714285714</v>
      </c>
      <c r="O2319" s="115">
        <v>1</v>
      </c>
      <c r="P2319" s="115">
        <v>0</v>
      </c>
      <c r="Q2319" s="115">
        <v>-1.4</v>
      </c>
      <c r="R2319" s="115">
        <v>-0.714285714285714</v>
      </c>
      <c r="S2319" s="115">
        <v>4</v>
      </c>
      <c r="T2319" s="115">
        <v>3.33333333333333</v>
      </c>
      <c r="U2319" s="115">
        <v>1.8</v>
      </c>
      <c r="V2319" s="115">
        <v>2.42857142857143</v>
      </c>
      <c r="W2319" s="154"/>
      <c r="X2319" s="154"/>
    </row>
    <row r="2320" customFormat="1" ht="14.45" customHeight="1" spans="1:22">
      <c r="A2320" s="143">
        <v>45118</v>
      </c>
      <c r="B2320" s="104" t="s">
        <v>25</v>
      </c>
      <c r="C2320" s="218">
        <v>2431</v>
      </c>
      <c r="D2320" s="218">
        <v>0</v>
      </c>
      <c r="E2320" s="217">
        <v>66</v>
      </c>
      <c r="F2320" s="106">
        <v>0.0271493212669683</v>
      </c>
      <c r="G2320" s="107">
        <v>15</v>
      </c>
      <c r="H2320" s="106">
        <v>0.227272727272727</v>
      </c>
      <c r="I2320" s="104">
        <v>11</v>
      </c>
      <c r="J2320" s="106">
        <v>0.166666666666667</v>
      </c>
      <c r="K2320" s="108">
        <v>211</v>
      </c>
      <c r="L2320" s="108">
        <v>137.666666666667</v>
      </c>
      <c r="M2320" s="108">
        <v>218.2</v>
      </c>
      <c r="N2320" s="108">
        <v>-266.428571428572</v>
      </c>
      <c r="O2320" s="115">
        <v>20</v>
      </c>
      <c r="P2320" s="115">
        <v>21.6666666666667</v>
      </c>
      <c r="Q2320" s="115">
        <v>20.8</v>
      </c>
      <c r="R2320" s="115">
        <v>25.8571428571429</v>
      </c>
      <c r="S2320" s="108">
        <v>1</v>
      </c>
      <c r="T2320" s="108">
        <v>0.666666666666666</v>
      </c>
      <c r="U2320" s="108">
        <v>-1.8</v>
      </c>
      <c r="V2320" s="108">
        <v>-0.285714285714286</v>
      </c>
    </row>
    <row r="2321" customFormat="1" ht="14.45" customHeight="1" spans="1:22">
      <c r="A2321" s="143">
        <v>45118</v>
      </c>
      <c r="B2321" s="104" t="s">
        <v>26</v>
      </c>
      <c r="C2321" s="218">
        <v>541</v>
      </c>
      <c r="D2321" s="218">
        <v>1334</v>
      </c>
      <c r="E2321" s="217">
        <v>14</v>
      </c>
      <c r="F2321" s="106">
        <v>0.0258780036968577</v>
      </c>
      <c r="G2321" s="107">
        <v>2</v>
      </c>
      <c r="H2321" s="106">
        <v>0.142857142857143</v>
      </c>
      <c r="I2321" s="104">
        <v>2</v>
      </c>
      <c r="J2321" s="106">
        <v>0.142857142857143</v>
      </c>
      <c r="K2321" s="108">
        <v>-534</v>
      </c>
      <c r="L2321" s="108">
        <v>-494</v>
      </c>
      <c r="M2321" s="108">
        <v>-485.6</v>
      </c>
      <c r="N2321" s="108">
        <v>-482.571428571429</v>
      </c>
      <c r="O2321" s="108">
        <v>4</v>
      </c>
      <c r="P2321" s="108">
        <v>0.666666666666666</v>
      </c>
      <c r="Q2321" s="108">
        <v>1</v>
      </c>
      <c r="R2321" s="108">
        <v>2</v>
      </c>
      <c r="S2321" s="108">
        <v>1</v>
      </c>
      <c r="T2321" s="108">
        <v>-1.33333333333333</v>
      </c>
      <c r="U2321" s="108">
        <v>-1.2</v>
      </c>
      <c r="V2321" s="108">
        <v>-0.857142857142857</v>
      </c>
    </row>
    <row r="2322" customFormat="1" ht="14.45" customHeight="1" spans="1:22">
      <c r="A2322" s="143">
        <v>45118</v>
      </c>
      <c r="B2322" s="104" t="s">
        <v>27</v>
      </c>
      <c r="C2322" s="218">
        <v>2240</v>
      </c>
      <c r="D2322" s="218">
        <v>376</v>
      </c>
      <c r="E2322" s="217">
        <v>23</v>
      </c>
      <c r="F2322" s="106">
        <v>0.0102678571428571</v>
      </c>
      <c r="G2322" s="107">
        <v>5</v>
      </c>
      <c r="H2322" s="106">
        <v>0.217391304347826</v>
      </c>
      <c r="I2322" s="104">
        <v>4</v>
      </c>
      <c r="J2322" s="106">
        <v>0.173913043478261</v>
      </c>
      <c r="K2322" s="108">
        <v>322</v>
      </c>
      <c r="L2322" s="108">
        <v>341</v>
      </c>
      <c r="M2322" s="108">
        <v>419.6</v>
      </c>
      <c r="N2322" s="108">
        <v>513.142857142857</v>
      </c>
      <c r="O2322" s="108">
        <v>7</v>
      </c>
      <c r="P2322" s="108">
        <v>8.33333333333333</v>
      </c>
      <c r="Q2322" s="108">
        <v>8.4</v>
      </c>
      <c r="R2322" s="108">
        <v>9.85714285714286</v>
      </c>
      <c r="S2322" s="108">
        <v>1</v>
      </c>
      <c r="T2322" s="108">
        <v>0.666666666666667</v>
      </c>
      <c r="U2322" s="108">
        <v>1.4</v>
      </c>
      <c r="V2322" s="108">
        <v>1.42857142857143</v>
      </c>
    </row>
    <row r="2323" customFormat="1" ht="14.45" hidden="1" customHeight="1" spans="1:22">
      <c r="A2323" s="143">
        <v>45118</v>
      </c>
      <c r="B2323" s="104" t="s">
        <v>28</v>
      </c>
      <c r="C2323" s="145">
        <v>0</v>
      </c>
      <c r="D2323" s="145"/>
      <c r="E2323" s="104">
        <v>0</v>
      </c>
      <c r="F2323" s="106">
        <v>0</v>
      </c>
      <c r="G2323" s="107">
        <v>0</v>
      </c>
      <c r="H2323" s="106">
        <v>0</v>
      </c>
      <c r="I2323" s="104">
        <v>0</v>
      </c>
      <c r="J2323" s="106">
        <v>0</v>
      </c>
      <c r="K2323" s="108">
        <v>0</v>
      </c>
      <c r="L2323" s="108">
        <v>0</v>
      </c>
      <c r="M2323" s="108">
        <v>0</v>
      </c>
      <c r="N2323" s="108">
        <v>0</v>
      </c>
      <c r="O2323" s="108">
        <v>0</v>
      </c>
      <c r="P2323" s="108">
        <v>0</v>
      </c>
      <c r="Q2323" s="108">
        <v>0</v>
      </c>
      <c r="R2323" s="108">
        <v>0</v>
      </c>
      <c r="S2323" s="108">
        <v>0</v>
      </c>
      <c r="T2323" s="108">
        <v>0</v>
      </c>
      <c r="U2323" s="108">
        <v>0</v>
      </c>
      <c r="V2323" s="108">
        <v>0</v>
      </c>
    </row>
    <row r="2324" customFormat="1" ht="14.45" hidden="1" customHeight="1" spans="1:22">
      <c r="A2324" s="143">
        <v>45118</v>
      </c>
      <c r="B2324" s="104" t="s">
        <v>29</v>
      </c>
      <c r="C2324" s="145">
        <v>0</v>
      </c>
      <c r="D2324" s="145"/>
      <c r="E2324" s="104">
        <v>0</v>
      </c>
      <c r="F2324" s="106">
        <v>0</v>
      </c>
      <c r="G2324" s="107">
        <v>0</v>
      </c>
      <c r="H2324" s="106">
        <v>0</v>
      </c>
      <c r="I2324" s="104">
        <v>0</v>
      </c>
      <c r="J2324" s="106">
        <v>0</v>
      </c>
      <c r="K2324" s="108">
        <v>0</v>
      </c>
      <c r="L2324" s="108">
        <v>0</v>
      </c>
      <c r="M2324" s="108">
        <v>0</v>
      </c>
      <c r="N2324" s="108">
        <v>0</v>
      </c>
      <c r="O2324" s="108">
        <v>0</v>
      </c>
      <c r="P2324" s="108">
        <v>0</v>
      </c>
      <c r="Q2324" s="108">
        <v>0</v>
      </c>
      <c r="R2324" s="108">
        <v>-0.142857142857143</v>
      </c>
      <c r="S2324" s="108">
        <v>0</v>
      </c>
      <c r="T2324" s="108">
        <v>0</v>
      </c>
      <c r="U2324" s="108">
        <v>0</v>
      </c>
      <c r="V2324" s="108">
        <v>0</v>
      </c>
    </row>
    <row r="2325" customFormat="1" ht="14.45" hidden="1" customHeight="1" spans="1:22">
      <c r="A2325" s="143">
        <v>45118</v>
      </c>
      <c r="B2325" s="104" t="s">
        <v>30</v>
      </c>
      <c r="C2325" s="145">
        <v>0</v>
      </c>
      <c r="D2325" s="145"/>
      <c r="E2325" s="104">
        <v>0</v>
      </c>
      <c r="F2325" s="106">
        <v>0</v>
      </c>
      <c r="G2325" s="107">
        <v>0</v>
      </c>
      <c r="H2325" s="106">
        <v>0</v>
      </c>
      <c r="I2325" s="104">
        <v>0</v>
      </c>
      <c r="J2325" s="106">
        <v>0</v>
      </c>
      <c r="K2325" s="108">
        <v>0</v>
      </c>
      <c r="L2325" s="108">
        <v>0</v>
      </c>
      <c r="M2325" s="108">
        <v>0</v>
      </c>
      <c r="N2325" s="108">
        <v>0</v>
      </c>
      <c r="O2325" s="108">
        <v>0</v>
      </c>
      <c r="P2325" s="108">
        <v>0</v>
      </c>
      <c r="Q2325" s="108">
        <v>0</v>
      </c>
      <c r="R2325" s="108">
        <v>0</v>
      </c>
      <c r="S2325" s="108">
        <v>0</v>
      </c>
      <c r="T2325" s="108">
        <v>0</v>
      </c>
      <c r="U2325" s="108">
        <v>0</v>
      </c>
      <c r="V2325" s="108">
        <v>0</v>
      </c>
    </row>
    <row r="2326" customFormat="1" ht="14.45" hidden="1" customHeight="1" spans="1:22">
      <c r="A2326" s="143">
        <v>45118</v>
      </c>
      <c r="B2326" s="104" t="s">
        <v>31</v>
      </c>
      <c r="C2326" s="145">
        <v>0</v>
      </c>
      <c r="D2326" s="145"/>
      <c r="E2326" s="104">
        <v>0</v>
      </c>
      <c r="F2326" s="106">
        <v>0</v>
      </c>
      <c r="G2326" s="107">
        <v>0</v>
      </c>
      <c r="H2326" s="106">
        <v>0</v>
      </c>
      <c r="I2326" s="104">
        <v>0</v>
      </c>
      <c r="J2326" s="106">
        <v>0</v>
      </c>
      <c r="K2326" s="108">
        <v>0</v>
      </c>
      <c r="L2326" s="108">
        <v>0</v>
      </c>
      <c r="M2326" s="108">
        <v>0</v>
      </c>
      <c r="N2326" s="108">
        <v>0</v>
      </c>
      <c r="O2326" s="108">
        <v>0</v>
      </c>
      <c r="P2326" s="108">
        <v>0</v>
      </c>
      <c r="Q2326" s="108">
        <v>0</v>
      </c>
      <c r="R2326" s="108">
        <v>0</v>
      </c>
      <c r="S2326" s="108">
        <v>0</v>
      </c>
      <c r="T2326" s="108">
        <v>0</v>
      </c>
      <c r="U2326" s="108">
        <v>0</v>
      </c>
      <c r="V2326" s="108">
        <v>0</v>
      </c>
    </row>
    <row r="2327" customFormat="1" ht="14.45" hidden="1" customHeight="1" spans="1:22">
      <c r="A2327" s="143">
        <v>45118</v>
      </c>
      <c r="B2327" s="104" t="s">
        <v>32</v>
      </c>
      <c r="C2327" s="145">
        <v>0</v>
      </c>
      <c r="D2327" s="145"/>
      <c r="E2327" s="104">
        <v>0</v>
      </c>
      <c r="F2327" s="106">
        <v>0</v>
      </c>
      <c r="G2327" s="107">
        <v>0</v>
      </c>
      <c r="H2327" s="106">
        <v>0</v>
      </c>
      <c r="I2327" s="104">
        <v>0</v>
      </c>
      <c r="J2327" s="106">
        <v>0</v>
      </c>
      <c r="K2327" s="108">
        <v>0</v>
      </c>
      <c r="L2327" s="108">
        <v>0</v>
      </c>
      <c r="M2327" s="108">
        <v>0</v>
      </c>
      <c r="N2327" s="108">
        <v>0</v>
      </c>
      <c r="O2327" s="108">
        <v>0</v>
      </c>
      <c r="P2327" s="108">
        <v>0</v>
      </c>
      <c r="Q2327" s="108">
        <v>0</v>
      </c>
      <c r="R2327" s="108">
        <v>0</v>
      </c>
      <c r="S2327" s="108">
        <v>0</v>
      </c>
      <c r="T2327" s="108">
        <v>0</v>
      </c>
      <c r="U2327" s="108">
        <v>0</v>
      </c>
      <c r="V2327" s="108">
        <v>0</v>
      </c>
    </row>
    <row r="2328" customFormat="1" hidden="1" spans="1:22">
      <c r="A2328" s="143">
        <v>45118</v>
      </c>
      <c r="B2328" s="104" t="s">
        <v>33</v>
      </c>
      <c r="C2328" s="145">
        <v>0</v>
      </c>
      <c r="D2328" s="145"/>
      <c r="E2328" s="104">
        <v>0</v>
      </c>
      <c r="F2328" s="106">
        <v>0</v>
      </c>
      <c r="G2328" s="107">
        <v>0</v>
      </c>
      <c r="H2328" s="106">
        <v>0</v>
      </c>
      <c r="I2328" s="104">
        <v>0</v>
      </c>
      <c r="J2328" s="106">
        <v>0</v>
      </c>
      <c r="K2328" s="108">
        <v>0</v>
      </c>
      <c r="L2328" s="108">
        <v>0</v>
      </c>
      <c r="M2328" s="108">
        <v>0</v>
      </c>
      <c r="N2328" s="108">
        <v>0</v>
      </c>
      <c r="O2328" s="108">
        <v>0</v>
      </c>
      <c r="P2328" s="108">
        <v>0</v>
      </c>
      <c r="Q2328" s="108">
        <v>0</v>
      </c>
      <c r="R2328" s="108">
        <v>0</v>
      </c>
      <c r="S2328" s="108">
        <v>0</v>
      </c>
      <c r="T2328" s="108">
        <v>0</v>
      </c>
      <c r="U2328" s="108">
        <v>0</v>
      </c>
      <c r="V2328" s="108">
        <v>0</v>
      </c>
    </row>
    <row r="2329" customFormat="1" hidden="1" spans="1:22">
      <c r="A2329" s="143">
        <v>45118</v>
      </c>
      <c r="B2329" s="104" t="s">
        <v>34</v>
      </c>
      <c r="C2329" s="145">
        <v>0</v>
      </c>
      <c r="D2329" s="145"/>
      <c r="E2329" s="104">
        <v>0</v>
      </c>
      <c r="F2329" s="106">
        <v>0</v>
      </c>
      <c r="G2329" s="107">
        <v>0</v>
      </c>
      <c r="H2329" s="106">
        <v>0</v>
      </c>
      <c r="I2329" s="104">
        <v>0</v>
      </c>
      <c r="J2329" s="106">
        <v>0</v>
      </c>
      <c r="K2329" s="108">
        <v>0</v>
      </c>
      <c r="L2329" s="108">
        <v>0</v>
      </c>
      <c r="M2329" s="108">
        <v>0</v>
      </c>
      <c r="N2329" s="108">
        <v>0</v>
      </c>
      <c r="O2329" s="108">
        <v>0</v>
      </c>
      <c r="P2329" s="108">
        <v>0</v>
      </c>
      <c r="Q2329" s="108">
        <v>0</v>
      </c>
      <c r="R2329" s="108">
        <v>0</v>
      </c>
      <c r="S2329" s="108">
        <v>0</v>
      </c>
      <c r="T2329" s="108">
        <v>0</v>
      </c>
      <c r="U2329" s="108">
        <v>0</v>
      </c>
      <c r="V2329" s="108">
        <v>0</v>
      </c>
    </row>
    <row r="2330" customFormat="1" hidden="1" spans="1:22">
      <c r="A2330" s="143">
        <v>45118</v>
      </c>
      <c r="B2330" s="104" t="s">
        <v>35</v>
      </c>
      <c r="C2330" s="145">
        <v>0</v>
      </c>
      <c r="D2330" s="145"/>
      <c r="E2330" s="104">
        <v>0</v>
      </c>
      <c r="F2330" s="106">
        <v>0</v>
      </c>
      <c r="G2330" s="107">
        <v>0</v>
      </c>
      <c r="H2330" s="106">
        <v>0</v>
      </c>
      <c r="I2330" s="104">
        <v>0</v>
      </c>
      <c r="J2330" s="106">
        <v>0</v>
      </c>
      <c r="K2330" s="108">
        <v>0</v>
      </c>
      <c r="L2330" s="108">
        <v>0</v>
      </c>
      <c r="M2330" s="108">
        <v>0</v>
      </c>
      <c r="N2330" s="108">
        <v>0</v>
      </c>
      <c r="O2330" s="108">
        <v>0</v>
      </c>
      <c r="P2330" s="108">
        <v>0</v>
      </c>
      <c r="Q2330" s="108">
        <v>0</v>
      </c>
      <c r="R2330" s="108">
        <v>0</v>
      </c>
      <c r="S2330" s="108">
        <v>0</v>
      </c>
      <c r="T2330" s="108">
        <v>0</v>
      </c>
      <c r="U2330" s="108">
        <v>0</v>
      </c>
      <c r="V2330" s="108">
        <v>0</v>
      </c>
    </row>
    <row r="2331" customFormat="1" hidden="1" spans="1:22">
      <c r="A2331" s="143">
        <v>45118</v>
      </c>
      <c r="B2331" s="104" t="s">
        <v>36</v>
      </c>
      <c r="C2331" s="145">
        <v>0</v>
      </c>
      <c r="D2331" s="145"/>
      <c r="E2331" s="104">
        <v>0</v>
      </c>
      <c r="F2331" s="106">
        <v>0</v>
      </c>
      <c r="G2331" s="107">
        <v>0</v>
      </c>
      <c r="H2331" s="106">
        <v>0</v>
      </c>
      <c r="I2331" s="104">
        <v>0</v>
      </c>
      <c r="J2331" s="106">
        <v>0</v>
      </c>
      <c r="K2331" s="108">
        <v>0</v>
      </c>
      <c r="L2331" s="108">
        <v>0</v>
      </c>
      <c r="M2331" s="108">
        <v>0</v>
      </c>
      <c r="N2331" s="108">
        <v>0</v>
      </c>
      <c r="O2331" s="108">
        <v>0</v>
      </c>
      <c r="P2331" s="108">
        <v>0</v>
      </c>
      <c r="Q2331" s="108">
        <v>0</v>
      </c>
      <c r="R2331" s="108">
        <v>0</v>
      </c>
      <c r="S2331" s="108">
        <v>0</v>
      </c>
      <c r="T2331" s="108">
        <v>0</v>
      </c>
      <c r="U2331" s="108">
        <v>0</v>
      </c>
      <c r="V2331" s="108">
        <v>0</v>
      </c>
    </row>
    <row r="2332" customFormat="1" hidden="1" spans="1:22">
      <c r="A2332" s="143">
        <v>45118</v>
      </c>
      <c r="B2332" s="104" t="s">
        <v>37</v>
      </c>
      <c r="C2332" s="145">
        <v>0</v>
      </c>
      <c r="D2332" s="145"/>
      <c r="E2332" s="104">
        <v>0</v>
      </c>
      <c r="F2332" s="106">
        <v>0</v>
      </c>
      <c r="G2332" s="107">
        <v>0</v>
      </c>
      <c r="H2332" s="106">
        <v>0</v>
      </c>
      <c r="I2332" s="104">
        <v>0</v>
      </c>
      <c r="J2332" s="106">
        <v>0</v>
      </c>
      <c r="K2332" s="108">
        <v>0</v>
      </c>
      <c r="L2332" s="108">
        <v>0</v>
      </c>
      <c r="M2332" s="108">
        <v>0</v>
      </c>
      <c r="N2332" s="108">
        <v>0</v>
      </c>
      <c r="O2332" s="108">
        <v>-1</v>
      </c>
      <c r="P2332" s="108">
        <v>-0.666666666666667</v>
      </c>
      <c r="Q2332" s="108">
        <v>-0.8</v>
      </c>
      <c r="R2332" s="108">
        <v>-0.571428571428571</v>
      </c>
      <c r="S2332" s="108">
        <v>-1</v>
      </c>
      <c r="T2332" s="108">
        <v>-0.666666666666667</v>
      </c>
      <c r="U2332" s="108">
        <v>-0.4</v>
      </c>
      <c r="V2332" s="108">
        <v>-0.285714285714286</v>
      </c>
    </row>
    <row r="2333" customFormat="1" hidden="1" spans="1:22">
      <c r="A2333" s="143">
        <v>45118</v>
      </c>
      <c r="B2333" s="104" t="s">
        <v>38</v>
      </c>
      <c r="C2333" s="145">
        <v>0</v>
      </c>
      <c r="D2333" s="145"/>
      <c r="E2333" s="104">
        <v>0</v>
      </c>
      <c r="F2333" s="106">
        <v>0</v>
      </c>
      <c r="G2333" s="107">
        <v>0</v>
      </c>
      <c r="H2333" s="106">
        <v>0</v>
      </c>
      <c r="I2333" s="104">
        <v>0</v>
      </c>
      <c r="J2333" s="106">
        <v>0</v>
      </c>
      <c r="K2333" s="108">
        <v>0</v>
      </c>
      <c r="L2333" s="108">
        <v>0</v>
      </c>
      <c r="M2333" s="108">
        <v>0</v>
      </c>
      <c r="N2333" s="108">
        <v>0</v>
      </c>
      <c r="O2333" s="108">
        <v>0</v>
      </c>
      <c r="P2333" s="108">
        <v>0</v>
      </c>
      <c r="Q2333" s="108">
        <v>0</v>
      </c>
      <c r="R2333" s="108">
        <v>0</v>
      </c>
      <c r="S2333" s="108">
        <v>0</v>
      </c>
      <c r="T2333" s="108">
        <v>0</v>
      </c>
      <c r="U2333" s="108">
        <v>0</v>
      </c>
      <c r="V2333" s="108">
        <v>0</v>
      </c>
    </row>
    <row r="2334" customFormat="1" spans="1:22">
      <c r="A2334" s="143">
        <v>45118</v>
      </c>
      <c r="B2334" s="111" t="s">
        <v>39</v>
      </c>
      <c r="C2334" s="112">
        <v>10219</v>
      </c>
      <c r="D2334" s="112">
        <v>4595</v>
      </c>
      <c r="E2334" s="112">
        <v>174</v>
      </c>
      <c r="F2334" s="106">
        <v>0.0170271063704864</v>
      </c>
      <c r="G2334" s="112">
        <v>52</v>
      </c>
      <c r="H2334" s="113">
        <v>0.298850574712644</v>
      </c>
      <c r="I2334" s="112">
        <v>34</v>
      </c>
      <c r="J2334" s="106">
        <v>0.195402298850575</v>
      </c>
      <c r="K2334" s="108"/>
      <c r="L2334" s="108"/>
      <c r="M2334" s="108"/>
      <c r="N2334" s="108"/>
      <c r="O2334" s="108"/>
      <c r="P2334" s="108"/>
      <c r="Q2334" s="108"/>
      <c r="R2334" s="108"/>
      <c r="S2334" s="108"/>
      <c r="T2334" s="108"/>
      <c r="U2334" s="108"/>
      <c r="V2334" s="108"/>
    </row>
    <row r="2335" spans="1:22">
      <c r="A2335" s="143">
        <v>45119</v>
      </c>
      <c r="B2335" s="104" t="s">
        <v>17</v>
      </c>
      <c r="C2335" s="216">
        <v>0</v>
      </c>
      <c r="D2335" s="216">
        <v>295</v>
      </c>
      <c r="E2335" s="217">
        <v>7</v>
      </c>
      <c r="F2335" s="106">
        <v>295</v>
      </c>
      <c r="G2335" s="107">
        <v>6</v>
      </c>
      <c r="H2335" s="106">
        <v>0.857142857142857</v>
      </c>
      <c r="I2335" s="104">
        <v>3</v>
      </c>
      <c r="J2335" s="106">
        <v>0.428571428571429</v>
      </c>
      <c r="K2335" s="108">
        <v>0</v>
      </c>
      <c r="L2335" s="108">
        <v>-0.666666666666667</v>
      </c>
      <c r="M2335" s="108">
        <v>-1.2</v>
      </c>
      <c r="N2335" s="108">
        <v>-1.14285714285714</v>
      </c>
      <c r="O2335" s="108">
        <v>-20</v>
      </c>
      <c r="P2335" s="108">
        <v>-36.6666666666667</v>
      </c>
      <c r="Q2335" s="108">
        <v>-35</v>
      </c>
      <c r="R2335" s="108">
        <v>-32.8571428571429</v>
      </c>
      <c r="S2335" s="108">
        <v>-2</v>
      </c>
      <c r="T2335" s="108">
        <v>-3.33333333333333</v>
      </c>
      <c r="U2335" s="108">
        <v>-2.8</v>
      </c>
      <c r="V2335" s="108">
        <v>-3.14285714285714</v>
      </c>
    </row>
    <row r="2336" spans="1:22">
      <c r="A2336" s="143">
        <v>45119</v>
      </c>
      <c r="B2336" s="104" t="s">
        <v>19</v>
      </c>
      <c r="C2336" s="216">
        <v>405</v>
      </c>
      <c r="D2336" s="216">
        <v>357</v>
      </c>
      <c r="E2336" s="217">
        <v>10</v>
      </c>
      <c r="F2336" s="106">
        <v>0.0246913580246914</v>
      </c>
      <c r="G2336" s="107">
        <v>8</v>
      </c>
      <c r="H2336" s="106">
        <v>0.8</v>
      </c>
      <c r="I2336" s="104">
        <v>4</v>
      </c>
      <c r="J2336" s="106">
        <v>0.4</v>
      </c>
      <c r="K2336" s="108">
        <v>-76</v>
      </c>
      <c r="L2336" s="108">
        <v>-130.666666666667</v>
      </c>
      <c r="M2336" s="108">
        <v>-92.6</v>
      </c>
      <c r="N2336" s="108">
        <v>-95.7142857142857</v>
      </c>
      <c r="O2336" s="108">
        <v>3</v>
      </c>
      <c r="P2336" s="108">
        <v>2.33333333333333</v>
      </c>
      <c r="Q2336" s="108">
        <v>1</v>
      </c>
      <c r="R2336" s="108">
        <v>-0.285714285714286</v>
      </c>
      <c r="S2336" s="108">
        <v>3</v>
      </c>
      <c r="T2336" s="108">
        <v>4.33333333333333</v>
      </c>
      <c r="U2336" s="108">
        <v>4.8</v>
      </c>
      <c r="V2336" s="115">
        <v>4.28571428571429</v>
      </c>
    </row>
    <row r="2337" spans="1:22">
      <c r="A2337" s="143">
        <v>45119</v>
      </c>
      <c r="B2337" s="104" t="s">
        <v>21</v>
      </c>
      <c r="C2337" s="218">
        <v>42</v>
      </c>
      <c r="D2337" s="218">
        <v>126</v>
      </c>
      <c r="E2337" s="217">
        <v>0</v>
      </c>
      <c r="F2337" s="106">
        <v>0</v>
      </c>
      <c r="G2337" s="107">
        <v>4</v>
      </c>
      <c r="H2337" s="106">
        <v>4</v>
      </c>
      <c r="I2337" s="104">
        <v>1</v>
      </c>
      <c r="J2337" s="106">
        <v>1</v>
      </c>
      <c r="K2337" s="108">
        <v>-5</v>
      </c>
      <c r="L2337" s="108">
        <v>-25.6666666666667</v>
      </c>
      <c r="M2337" s="108">
        <v>-36.2</v>
      </c>
      <c r="N2337" s="108">
        <v>-80</v>
      </c>
      <c r="O2337" s="108">
        <v>-1</v>
      </c>
      <c r="P2337" s="108">
        <v>-0.333333333333333</v>
      </c>
      <c r="Q2337" s="108">
        <v>-0.6</v>
      </c>
      <c r="R2337" s="108">
        <v>-2</v>
      </c>
      <c r="S2337" s="108">
        <v>0</v>
      </c>
      <c r="T2337" s="108">
        <v>2.66666666666667</v>
      </c>
      <c r="U2337" s="108">
        <v>2.8</v>
      </c>
      <c r="V2337" s="108">
        <v>2.57142857142857</v>
      </c>
    </row>
    <row r="2338" spans="1:22">
      <c r="A2338" s="143">
        <v>45119</v>
      </c>
      <c r="B2338" s="104" t="s">
        <v>22</v>
      </c>
      <c r="C2338" s="218">
        <v>2294</v>
      </c>
      <c r="D2338" s="218">
        <v>1036</v>
      </c>
      <c r="E2338" s="217">
        <v>32</v>
      </c>
      <c r="F2338" s="106">
        <v>0.013949433304272</v>
      </c>
      <c r="G2338" s="107">
        <v>18</v>
      </c>
      <c r="H2338" s="106">
        <v>0.5625</v>
      </c>
      <c r="I2338" s="104">
        <v>13</v>
      </c>
      <c r="J2338" s="106">
        <v>0.40625</v>
      </c>
      <c r="K2338" s="108">
        <v>89</v>
      </c>
      <c r="L2338" s="108">
        <v>53</v>
      </c>
      <c r="M2338" s="108">
        <v>104</v>
      </c>
      <c r="N2338" s="108">
        <v>170.571428571428</v>
      </c>
      <c r="O2338" s="108">
        <v>8</v>
      </c>
      <c r="P2338" s="108">
        <v>2.66666666666667</v>
      </c>
      <c r="Q2338" s="108">
        <v>-2.2</v>
      </c>
      <c r="R2338" s="115">
        <v>-5.14285714285715</v>
      </c>
      <c r="S2338" s="108">
        <v>11</v>
      </c>
      <c r="T2338" s="108">
        <v>4.33333333333333</v>
      </c>
      <c r="U2338" s="108">
        <v>3.8</v>
      </c>
      <c r="V2338" s="117">
        <v>3.42857142857143</v>
      </c>
    </row>
    <row r="2339" spans="1:22">
      <c r="A2339" s="143">
        <v>45119</v>
      </c>
      <c r="B2339" s="104" t="s">
        <v>23</v>
      </c>
      <c r="C2339" s="218">
        <v>1733</v>
      </c>
      <c r="D2339" s="218">
        <v>345</v>
      </c>
      <c r="E2339" s="217">
        <v>8</v>
      </c>
      <c r="F2339" s="106">
        <v>0.00461627236006924</v>
      </c>
      <c r="G2339" s="107">
        <v>4</v>
      </c>
      <c r="H2339" s="106">
        <v>0.5</v>
      </c>
      <c r="I2339" s="104">
        <v>3</v>
      </c>
      <c r="J2339" s="106">
        <v>0.375</v>
      </c>
      <c r="K2339" s="108">
        <v>9</v>
      </c>
      <c r="L2339" s="108">
        <v>-113</v>
      </c>
      <c r="M2339" s="108">
        <v>-88.8</v>
      </c>
      <c r="N2339" s="108">
        <v>-141.571428571429</v>
      </c>
      <c r="O2339" s="108">
        <v>0</v>
      </c>
      <c r="P2339" s="108">
        <v>3.33333333333333</v>
      </c>
      <c r="Q2339" s="108">
        <v>3.4</v>
      </c>
      <c r="R2339" s="108">
        <v>3.14285714285714</v>
      </c>
      <c r="S2339" s="108">
        <v>3</v>
      </c>
      <c r="T2339" s="116">
        <v>3</v>
      </c>
      <c r="U2339" s="108">
        <v>2.4</v>
      </c>
      <c r="V2339" s="108">
        <v>2.85714285714286</v>
      </c>
    </row>
    <row r="2340" spans="1:22">
      <c r="A2340" s="143">
        <v>45119</v>
      </c>
      <c r="B2340" s="104" t="s">
        <v>24</v>
      </c>
      <c r="C2340" s="218">
        <v>728</v>
      </c>
      <c r="D2340" s="218">
        <v>620</v>
      </c>
      <c r="E2340" s="217">
        <v>8</v>
      </c>
      <c r="F2340" s="106">
        <v>0.010989010989011</v>
      </c>
      <c r="G2340" s="107">
        <v>5</v>
      </c>
      <c r="H2340" s="106">
        <v>0.625</v>
      </c>
      <c r="I2340" s="104">
        <v>4</v>
      </c>
      <c r="J2340" s="106">
        <v>0.5</v>
      </c>
      <c r="K2340" s="108">
        <v>178</v>
      </c>
      <c r="L2340" s="108">
        <v>391.333333333333</v>
      </c>
      <c r="M2340" s="108">
        <v>437.4</v>
      </c>
      <c r="N2340" s="108">
        <v>449.285714285714</v>
      </c>
      <c r="O2340" s="115">
        <v>4</v>
      </c>
      <c r="P2340" s="115">
        <v>4.66666666666667</v>
      </c>
      <c r="Q2340" s="115">
        <v>3.6</v>
      </c>
      <c r="R2340" s="115">
        <v>3</v>
      </c>
      <c r="S2340" s="115">
        <v>0</v>
      </c>
      <c r="T2340" s="115">
        <v>2.66666666666667</v>
      </c>
      <c r="U2340" s="115">
        <v>2.2</v>
      </c>
      <c r="V2340" s="115">
        <v>1.71428571428571</v>
      </c>
    </row>
    <row r="2341" spans="1:22">
      <c r="A2341" s="143">
        <v>45119</v>
      </c>
      <c r="B2341" s="104" t="s">
        <v>25</v>
      </c>
      <c r="C2341" s="218">
        <v>2461</v>
      </c>
      <c r="D2341" s="218">
        <v>0</v>
      </c>
      <c r="E2341" s="217">
        <v>41</v>
      </c>
      <c r="F2341" s="106">
        <v>0.0166598943518895</v>
      </c>
      <c r="G2341" s="107">
        <v>28</v>
      </c>
      <c r="H2341" s="106">
        <v>0.682926829268293</v>
      </c>
      <c r="I2341" s="104">
        <v>20</v>
      </c>
      <c r="J2341" s="106">
        <v>0.48780487804878</v>
      </c>
      <c r="K2341" s="108">
        <v>30</v>
      </c>
      <c r="L2341" s="108">
        <v>170.666666666667</v>
      </c>
      <c r="M2341" s="108">
        <v>147.8</v>
      </c>
      <c r="N2341" s="108">
        <v>11.5714285714284</v>
      </c>
      <c r="O2341" s="115">
        <v>-25</v>
      </c>
      <c r="P2341" s="115">
        <v>-11.6666666666667</v>
      </c>
      <c r="Q2341" s="115">
        <v>-8.2</v>
      </c>
      <c r="R2341" s="115">
        <v>-5.42857142857143</v>
      </c>
      <c r="S2341" s="108">
        <v>13</v>
      </c>
      <c r="T2341" s="108">
        <v>13.6666666666667</v>
      </c>
      <c r="U2341" s="108">
        <v>12.8</v>
      </c>
      <c r="V2341" s="108">
        <v>12.2857142857143</v>
      </c>
    </row>
    <row r="2342" spans="1:22">
      <c r="A2342" s="143">
        <v>45119</v>
      </c>
      <c r="B2342" s="104" t="s">
        <v>26</v>
      </c>
      <c r="C2342" s="218">
        <v>5</v>
      </c>
      <c r="D2342" s="218">
        <v>1344</v>
      </c>
      <c r="E2342" s="217">
        <v>11</v>
      </c>
      <c r="F2342" s="106">
        <v>2.2</v>
      </c>
      <c r="G2342" s="107">
        <v>2</v>
      </c>
      <c r="H2342" s="106">
        <v>0.181818181818182</v>
      </c>
      <c r="I2342" s="104">
        <v>1</v>
      </c>
      <c r="J2342" s="106">
        <v>0.0909090909090909</v>
      </c>
      <c r="K2342" s="108">
        <v>-536</v>
      </c>
      <c r="L2342" s="108">
        <v>-892</v>
      </c>
      <c r="M2342" s="108">
        <v>-922</v>
      </c>
      <c r="N2342" s="108">
        <v>-952.571428571429</v>
      </c>
      <c r="O2342" s="108">
        <v>-3</v>
      </c>
      <c r="P2342" s="108">
        <v>-0.333333333333334</v>
      </c>
      <c r="Q2342" s="108">
        <v>-2</v>
      </c>
      <c r="R2342" s="108">
        <v>-2.28571428571429</v>
      </c>
      <c r="S2342" s="108">
        <v>0</v>
      </c>
      <c r="T2342" s="108">
        <v>0.666666666666667</v>
      </c>
      <c r="U2342" s="108">
        <v>-1</v>
      </c>
      <c r="V2342" s="108">
        <v>-0.714285714285714</v>
      </c>
    </row>
    <row r="2343" spans="1:22">
      <c r="A2343" s="143">
        <v>45119</v>
      </c>
      <c r="B2343" s="104" t="s">
        <v>27</v>
      </c>
      <c r="C2343" s="218">
        <v>1859</v>
      </c>
      <c r="D2343" s="218">
        <v>345</v>
      </c>
      <c r="E2343" s="217">
        <v>8</v>
      </c>
      <c r="F2343" s="106">
        <v>0.00430338891877353</v>
      </c>
      <c r="G2343" s="107">
        <v>3</v>
      </c>
      <c r="H2343" s="106">
        <v>0.375</v>
      </c>
      <c r="I2343" s="104">
        <v>2</v>
      </c>
      <c r="J2343" s="106">
        <v>0.25</v>
      </c>
      <c r="K2343" s="108">
        <v>-381</v>
      </c>
      <c r="L2343" s="108">
        <v>-166.333333333333</v>
      </c>
      <c r="M2343" s="108">
        <v>-88.5999999999999</v>
      </c>
      <c r="N2343" s="108">
        <v>23.5714285714287</v>
      </c>
      <c r="O2343" s="108">
        <v>-15</v>
      </c>
      <c r="P2343" s="108">
        <v>-10.3333333333333</v>
      </c>
      <c r="Q2343" s="108">
        <v>-9</v>
      </c>
      <c r="R2343" s="108">
        <v>-7.14285714285714</v>
      </c>
      <c r="S2343" s="108">
        <v>-2</v>
      </c>
      <c r="T2343" s="108">
        <v>-1.33333333333333</v>
      </c>
      <c r="U2343" s="108">
        <v>-1.4</v>
      </c>
      <c r="V2343" s="108">
        <v>-0.571428571428572</v>
      </c>
    </row>
    <row r="2344" hidden="1" spans="1:22">
      <c r="A2344" s="143">
        <v>45119</v>
      </c>
      <c r="B2344" s="104" t="s">
        <v>28</v>
      </c>
      <c r="C2344" s="145">
        <v>0</v>
      </c>
      <c r="D2344" s="145"/>
      <c r="E2344" s="104">
        <v>0</v>
      </c>
      <c r="F2344" s="106">
        <v>0</v>
      </c>
      <c r="G2344" s="107">
        <v>0</v>
      </c>
      <c r="H2344" s="106">
        <v>0</v>
      </c>
      <c r="I2344" s="104">
        <v>0</v>
      </c>
      <c r="J2344" s="106">
        <v>0</v>
      </c>
      <c r="K2344" s="108">
        <v>0</v>
      </c>
      <c r="L2344" s="108">
        <v>0</v>
      </c>
      <c r="M2344" s="108">
        <v>0</v>
      </c>
      <c r="N2344" s="108">
        <v>0</v>
      </c>
      <c r="O2344" s="108">
        <v>0</v>
      </c>
      <c r="P2344" s="108">
        <v>0</v>
      </c>
      <c r="Q2344" s="108">
        <v>0</v>
      </c>
      <c r="R2344" s="108">
        <v>0</v>
      </c>
      <c r="S2344" s="108">
        <v>0</v>
      </c>
      <c r="T2344" s="108">
        <v>0</v>
      </c>
      <c r="U2344" s="108">
        <v>0</v>
      </c>
      <c r="V2344" s="108">
        <v>0</v>
      </c>
    </row>
    <row r="2345" hidden="1" spans="1:22">
      <c r="A2345" s="143">
        <v>45119</v>
      </c>
      <c r="B2345" s="104" t="s">
        <v>29</v>
      </c>
      <c r="C2345" s="145">
        <v>0</v>
      </c>
      <c r="D2345" s="145"/>
      <c r="E2345" s="104">
        <v>0</v>
      </c>
      <c r="F2345" s="106">
        <v>0</v>
      </c>
      <c r="G2345" s="107">
        <v>0</v>
      </c>
      <c r="H2345" s="106">
        <v>0</v>
      </c>
      <c r="I2345" s="104">
        <v>0</v>
      </c>
      <c r="J2345" s="106">
        <v>0</v>
      </c>
      <c r="K2345" s="108">
        <v>0</v>
      </c>
      <c r="L2345" s="108">
        <v>0</v>
      </c>
      <c r="M2345" s="108">
        <v>0</v>
      </c>
      <c r="N2345" s="108">
        <v>0</v>
      </c>
      <c r="O2345" s="108">
        <v>0</v>
      </c>
      <c r="P2345" s="108">
        <v>0</v>
      </c>
      <c r="Q2345" s="108">
        <v>0</v>
      </c>
      <c r="R2345" s="108">
        <v>-0.142857142857143</v>
      </c>
      <c r="S2345" s="108">
        <v>0</v>
      </c>
      <c r="T2345" s="108">
        <v>0</v>
      </c>
      <c r="U2345" s="108">
        <v>0</v>
      </c>
      <c r="V2345" s="108">
        <v>0</v>
      </c>
    </row>
    <row r="2346" hidden="1" spans="1:22">
      <c r="A2346" s="143">
        <v>45119</v>
      </c>
      <c r="B2346" s="104" t="s">
        <v>30</v>
      </c>
      <c r="C2346" s="145">
        <v>0</v>
      </c>
      <c r="D2346" s="145"/>
      <c r="E2346" s="104">
        <v>0</v>
      </c>
      <c r="F2346" s="106">
        <v>0</v>
      </c>
      <c r="G2346" s="107">
        <v>0</v>
      </c>
      <c r="H2346" s="106">
        <v>0</v>
      </c>
      <c r="I2346" s="104">
        <v>0</v>
      </c>
      <c r="J2346" s="106">
        <v>0</v>
      </c>
      <c r="K2346" s="108">
        <v>0</v>
      </c>
      <c r="L2346" s="108">
        <v>0</v>
      </c>
      <c r="M2346" s="108">
        <v>0</v>
      </c>
      <c r="N2346" s="108">
        <v>0</v>
      </c>
      <c r="O2346" s="108">
        <v>0</v>
      </c>
      <c r="P2346" s="108">
        <v>0</v>
      </c>
      <c r="Q2346" s="108">
        <v>0</v>
      </c>
      <c r="R2346" s="108">
        <v>0</v>
      </c>
      <c r="S2346" s="108">
        <v>0</v>
      </c>
      <c r="T2346" s="108">
        <v>0</v>
      </c>
      <c r="U2346" s="108">
        <v>0</v>
      </c>
      <c r="V2346" s="108">
        <v>0</v>
      </c>
    </row>
    <row r="2347" hidden="1" spans="1:22">
      <c r="A2347" s="143">
        <v>45119</v>
      </c>
      <c r="B2347" s="104" t="s">
        <v>31</v>
      </c>
      <c r="C2347" s="145">
        <v>0</v>
      </c>
      <c r="D2347" s="145"/>
      <c r="E2347" s="104">
        <v>0</v>
      </c>
      <c r="F2347" s="106">
        <v>0</v>
      </c>
      <c r="G2347" s="107">
        <v>0</v>
      </c>
      <c r="H2347" s="106">
        <v>0</v>
      </c>
      <c r="I2347" s="104">
        <v>0</v>
      </c>
      <c r="J2347" s="106">
        <v>0</v>
      </c>
      <c r="K2347" s="108">
        <v>0</v>
      </c>
      <c r="L2347" s="108">
        <v>0</v>
      </c>
      <c r="M2347" s="108">
        <v>0</v>
      </c>
      <c r="N2347" s="108">
        <v>0</v>
      </c>
      <c r="O2347" s="108">
        <v>0</v>
      </c>
      <c r="P2347" s="108">
        <v>0</v>
      </c>
      <c r="Q2347" s="108">
        <v>0</v>
      </c>
      <c r="R2347" s="108">
        <v>0</v>
      </c>
      <c r="S2347" s="108">
        <v>0</v>
      </c>
      <c r="T2347" s="108">
        <v>0</v>
      </c>
      <c r="U2347" s="108">
        <v>0</v>
      </c>
      <c r="V2347" s="108">
        <v>0</v>
      </c>
    </row>
    <row r="2348" hidden="1" spans="1:22">
      <c r="A2348" s="143">
        <v>45119</v>
      </c>
      <c r="B2348" s="104" t="s">
        <v>32</v>
      </c>
      <c r="C2348" s="145">
        <v>0</v>
      </c>
      <c r="D2348" s="145"/>
      <c r="E2348" s="104">
        <v>0</v>
      </c>
      <c r="F2348" s="106">
        <v>0</v>
      </c>
      <c r="G2348" s="107">
        <v>0</v>
      </c>
      <c r="H2348" s="106">
        <v>0</v>
      </c>
      <c r="I2348" s="104">
        <v>0</v>
      </c>
      <c r="J2348" s="106">
        <v>0</v>
      </c>
      <c r="K2348" s="108">
        <v>0</v>
      </c>
      <c r="L2348" s="108">
        <v>0</v>
      </c>
      <c r="M2348" s="108">
        <v>0</v>
      </c>
      <c r="N2348" s="108">
        <v>0</v>
      </c>
      <c r="O2348" s="108">
        <v>0</v>
      </c>
      <c r="P2348" s="108">
        <v>0</v>
      </c>
      <c r="Q2348" s="108">
        <v>0</v>
      </c>
      <c r="R2348" s="108">
        <v>0</v>
      </c>
      <c r="S2348" s="108">
        <v>0</v>
      </c>
      <c r="T2348" s="108">
        <v>0</v>
      </c>
      <c r="U2348" s="108">
        <v>0</v>
      </c>
      <c r="V2348" s="108">
        <v>0</v>
      </c>
    </row>
    <row r="2349" hidden="1" spans="1:22">
      <c r="A2349" s="143">
        <v>45119</v>
      </c>
      <c r="B2349" s="104" t="s">
        <v>33</v>
      </c>
      <c r="C2349" s="145">
        <v>0</v>
      </c>
      <c r="D2349" s="145"/>
      <c r="E2349" s="104">
        <v>0</v>
      </c>
      <c r="F2349" s="106">
        <v>0</v>
      </c>
      <c r="G2349" s="107">
        <v>0</v>
      </c>
      <c r="H2349" s="106">
        <v>0</v>
      </c>
      <c r="I2349" s="104">
        <v>0</v>
      </c>
      <c r="J2349" s="106">
        <v>0</v>
      </c>
      <c r="K2349" s="108">
        <v>0</v>
      </c>
      <c r="L2349" s="108">
        <v>0</v>
      </c>
      <c r="M2349" s="108">
        <v>0</v>
      </c>
      <c r="N2349" s="108">
        <v>0</v>
      </c>
      <c r="O2349" s="108">
        <v>0</v>
      </c>
      <c r="P2349" s="108">
        <v>0</v>
      </c>
      <c r="Q2349" s="108">
        <v>0</v>
      </c>
      <c r="R2349" s="108">
        <v>0</v>
      </c>
      <c r="S2349" s="108">
        <v>0</v>
      </c>
      <c r="T2349" s="108">
        <v>0</v>
      </c>
      <c r="U2349" s="108">
        <v>0</v>
      </c>
      <c r="V2349" s="108">
        <v>0</v>
      </c>
    </row>
    <row r="2350" hidden="1" spans="1:22">
      <c r="A2350" s="143">
        <v>45119</v>
      </c>
      <c r="B2350" s="104" t="s">
        <v>34</v>
      </c>
      <c r="C2350" s="145">
        <v>0</v>
      </c>
      <c r="D2350" s="145"/>
      <c r="E2350" s="104">
        <v>0</v>
      </c>
      <c r="F2350" s="106">
        <v>0</v>
      </c>
      <c r="G2350" s="107">
        <v>0</v>
      </c>
      <c r="H2350" s="106">
        <v>0</v>
      </c>
      <c r="I2350" s="104">
        <v>0</v>
      </c>
      <c r="J2350" s="106">
        <v>0</v>
      </c>
      <c r="K2350" s="108">
        <v>0</v>
      </c>
      <c r="L2350" s="108">
        <v>0</v>
      </c>
      <c r="M2350" s="108">
        <v>0</v>
      </c>
      <c r="N2350" s="108">
        <v>0</v>
      </c>
      <c r="O2350" s="108">
        <v>0</v>
      </c>
      <c r="P2350" s="108">
        <v>0</v>
      </c>
      <c r="Q2350" s="108">
        <v>0</v>
      </c>
      <c r="R2350" s="108">
        <v>0</v>
      </c>
      <c r="S2350" s="108">
        <v>0</v>
      </c>
      <c r="T2350" s="108">
        <v>0</v>
      </c>
      <c r="U2350" s="108">
        <v>0</v>
      </c>
      <c r="V2350" s="108">
        <v>0</v>
      </c>
    </row>
    <row r="2351" hidden="1" spans="1:22">
      <c r="A2351" s="143">
        <v>45119</v>
      </c>
      <c r="B2351" s="104" t="s">
        <v>35</v>
      </c>
      <c r="C2351" s="145">
        <v>0</v>
      </c>
      <c r="D2351" s="145"/>
      <c r="E2351" s="104">
        <v>0</v>
      </c>
      <c r="F2351" s="106">
        <v>0</v>
      </c>
      <c r="G2351" s="107">
        <v>0</v>
      </c>
      <c r="H2351" s="106">
        <v>0</v>
      </c>
      <c r="I2351" s="104">
        <v>0</v>
      </c>
      <c r="J2351" s="106">
        <v>0</v>
      </c>
      <c r="K2351" s="108">
        <v>0</v>
      </c>
      <c r="L2351" s="108">
        <v>0</v>
      </c>
      <c r="M2351" s="108">
        <v>0</v>
      </c>
      <c r="N2351" s="108">
        <v>0</v>
      </c>
      <c r="O2351" s="108">
        <v>0</v>
      </c>
      <c r="P2351" s="108">
        <v>0</v>
      </c>
      <c r="Q2351" s="108">
        <v>0</v>
      </c>
      <c r="R2351" s="108">
        <v>0</v>
      </c>
      <c r="S2351" s="108">
        <v>0</v>
      </c>
      <c r="T2351" s="108">
        <v>0</v>
      </c>
      <c r="U2351" s="108">
        <v>0</v>
      </c>
      <c r="V2351" s="108">
        <v>0</v>
      </c>
    </row>
    <row r="2352" hidden="1" spans="1:22">
      <c r="A2352" s="143">
        <v>45119</v>
      </c>
      <c r="B2352" s="104" t="s">
        <v>36</v>
      </c>
      <c r="C2352" s="145">
        <v>0</v>
      </c>
      <c r="D2352" s="145"/>
      <c r="E2352" s="104">
        <v>0</v>
      </c>
      <c r="F2352" s="106">
        <v>0</v>
      </c>
      <c r="G2352" s="107">
        <v>0</v>
      </c>
      <c r="H2352" s="106">
        <v>0</v>
      </c>
      <c r="I2352" s="104">
        <v>0</v>
      </c>
      <c r="J2352" s="106">
        <v>0</v>
      </c>
      <c r="K2352" s="108">
        <v>0</v>
      </c>
      <c r="L2352" s="108">
        <v>0</v>
      </c>
      <c r="M2352" s="108">
        <v>0</v>
      </c>
      <c r="N2352" s="108">
        <v>0</v>
      </c>
      <c r="O2352" s="108">
        <v>0</v>
      </c>
      <c r="P2352" s="108">
        <v>0</v>
      </c>
      <c r="Q2352" s="108">
        <v>0</v>
      </c>
      <c r="R2352" s="108">
        <v>0</v>
      </c>
      <c r="S2352" s="108">
        <v>0</v>
      </c>
      <c r="T2352" s="108">
        <v>0</v>
      </c>
      <c r="U2352" s="108">
        <v>0</v>
      </c>
      <c r="V2352" s="108">
        <v>0</v>
      </c>
    </row>
    <row r="2353" hidden="1" spans="1:22">
      <c r="A2353" s="143">
        <v>45119</v>
      </c>
      <c r="B2353" s="104" t="s">
        <v>37</v>
      </c>
      <c r="C2353" s="145">
        <v>0</v>
      </c>
      <c r="D2353" s="145"/>
      <c r="E2353" s="104">
        <v>0</v>
      </c>
      <c r="F2353" s="106">
        <v>0</v>
      </c>
      <c r="G2353" s="107">
        <v>1</v>
      </c>
      <c r="H2353" s="106">
        <v>1</v>
      </c>
      <c r="I2353" s="104">
        <v>1</v>
      </c>
      <c r="J2353" s="106">
        <v>1</v>
      </c>
      <c r="K2353" s="108">
        <v>0</v>
      </c>
      <c r="L2353" s="108">
        <v>0</v>
      </c>
      <c r="M2353" s="108">
        <v>0</v>
      </c>
      <c r="N2353" s="108">
        <v>0</v>
      </c>
      <c r="O2353" s="108">
        <v>0</v>
      </c>
      <c r="P2353" s="108">
        <v>-0.666666666666667</v>
      </c>
      <c r="Q2353" s="108">
        <v>-0.6</v>
      </c>
      <c r="R2353" s="108">
        <v>-0.571428571428571</v>
      </c>
      <c r="S2353" s="108">
        <v>1</v>
      </c>
      <c r="T2353" s="108">
        <v>0.333333333333333</v>
      </c>
      <c r="U2353" s="108">
        <v>0.6</v>
      </c>
      <c r="V2353" s="108">
        <v>0.714285714285714</v>
      </c>
    </row>
    <row r="2354" hidden="1" spans="1:22">
      <c r="A2354" s="143">
        <v>45119</v>
      </c>
      <c r="B2354" s="104" t="s">
        <v>38</v>
      </c>
      <c r="C2354" s="145">
        <v>0</v>
      </c>
      <c r="D2354" s="145"/>
      <c r="E2354" s="104">
        <v>0</v>
      </c>
      <c r="F2354" s="106">
        <v>0</v>
      </c>
      <c r="G2354" s="107">
        <v>0</v>
      </c>
      <c r="H2354" s="106">
        <v>0</v>
      </c>
      <c r="I2354" s="104">
        <v>0</v>
      </c>
      <c r="J2354" s="106">
        <v>0</v>
      </c>
      <c r="K2354" s="108">
        <v>0</v>
      </c>
      <c r="L2354" s="108">
        <v>0</v>
      </c>
      <c r="M2354" s="108">
        <v>0</v>
      </c>
      <c r="N2354" s="108">
        <v>0</v>
      </c>
      <c r="O2354" s="108">
        <v>0</v>
      </c>
      <c r="P2354" s="108">
        <v>0</v>
      </c>
      <c r="Q2354" s="108">
        <v>0</v>
      </c>
      <c r="R2354" s="108">
        <v>0</v>
      </c>
      <c r="S2354" s="108">
        <v>0</v>
      </c>
      <c r="T2354" s="108">
        <v>0</v>
      </c>
      <c r="U2354" s="108">
        <v>0</v>
      </c>
      <c r="V2354" s="108">
        <v>0</v>
      </c>
    </row>
    <row r="2355" spans="1:22">
      <c r="A2355" s="143">
        <v>45119</v>
      </c>
      <c r="B2355" s="111" t="s">
        <v>39</v>
      </c>
      <c r="C2355" s="112">
        <v>9527</v>
      </c>
      <c r="D2355" s="112">
        <v>4468</v>
      </c>
      <c r="E2355" s="112">
        <v>125</v>
      </c>
      <c r="F2355" s="106">
        <v>0.0131206045974599</v>
      </c>
      <c r="G2355" s="112">
        <v>79</v>
      </c>
      <c r="H2355" s="113">
        <v>0.632</v>
      </c>
      <c r="I2355" s="112">
        <v>52</v>
      </c>
      <c r="J2355" s="106">
        <v>0.416</v>
      </c>
      <c r="K2355" s="108"/>
      <c r="L2355" s="108"/>
      <c r="M2355" s="108"/>
      <c r="N2355" s="108"/>
      <c r="O2355" s="108"/>
      <c r="P2355" s="108"/>
      <c r="Q2355" s="108"/>
      <c r="R2355" s="108"/>
      <c r="S2355" s="108"/>
      <c r="T2355" s="108"/>
      <c r="U2355" s="108"/>
      <c r="V2355" s="108"/>
    </row>
    <row r="2356" spans="1:22">
      <c r="A2356" s="143">
        <v>45120</v>
      </c>
      <c r="B2356" s="104" t="s">
        <v>17</v>
      </c>
      <c r="C2356" s="216">
        <v>0</v>
      </c>
      <c r="D2356" s="216">
        <v>139</v>
      </c>
      <c r="E2356" s="217">
        <v>11</v>
      </c>
      <c r="F2356" s="106">
        <v>139</v>
      </c>
      <c r="G2356" s="107">
        <v>4</v>
      </c>
      <c r="H2356" s="106">
        <v>0.363636363636364</v>
      </c>
      <c r="I2356" s="104">
        <v>2</v>
      </c>
      <c r="J2356" s="106">
        <v>0.181818181818182</v>
      </c>
      <c r="K2356" s="108">
        <v>0</v>
      </c>
      <c r="L2356" s="108">
        <v>0</v>
      </c>
      <c r="M2356" s="108">
        <v>-1</v>
      </c>
      <c r="N2356" s="108">
        <v>-0.857142857142857</v>
      </c>
      <c r="O2356" s="108">
        <v>4</v>
      </c>
      <c r="P2356" s="108">
        <v>-17.6666666666667</v>
      </c>
      <c r="Q2356" s="108">
        <v>-24</v>
      </c>
      <c r="R2356" s="108">
        <v>-24.7142857142857</v>
      </c>
      <c r="S2356" s="108">
        <v>-2</v>
      </c>
      <c r="T2356" s="108">
        <v>-4</v>
      </c>
      <c r="U2356" s="108">
        <v>-5</v>
      </c>
      <c r="V2356" s="108">
        <v>-4.14285714285714</v>
      </c>
    </row>
    <row r="2357" spans="1:22">
      <c r="A2357" s="143">
        <v>45120</v>
      </c>
      <c r="B2357" s="104" t="s">
        <v>19</v>
      </c>
      <c r="C2357" s="216">
        <v>353</v>
      </c>
      <c r="D2357" s="216">
        <v>310</v>
      </c>
      <c r="E2357" s="217">
        <v>13</v>
      </c>
      <c r="F2357" s="106">
        <v>0.0368271954674221</v>
      </c>
      <c r="G2357" s="107">
        <v>4</v>
      </c>
      <c r="H2357" s="106">
        <v>0.307692307692308</v>
      </c>
      <c r="I2357" s="104">
        <v>4</v>
      </c>
      <c r="J2357" s="106">
        <v>0.307692307692308</v>
      </c>
      <c r="K2357" s="108">
        <v>-52</v>
      </c>
      <c r="L2357" s="108">
        <v>-130</v>
      </c>
      <c r="M2357" s="108">
        <v>-135</v>
      </c>
      <c r="N2357" s="108">
        <v>-132</v>
      </c>
      <c r="O2357" s="108">
        <v>3</v>
      </c>
      <c r="P2357" s="108">
        <v>4.66666666666667</v>
      </c>
      <c r="Q2357" s="108">
        <v>4.4</v>
      </c>
      <c r="R2357" s="108">
        <v>2.71428571428571</v>
      </c>
      <c r="S2357" s="108">
        <v>-4</v>
      </c>
      <c r="T2357" s="108">
        <v>-1.33333333333333</v>
      </c>
      <c r="U2357" s="108">
        <v>0.2</v>
      </c>
      <c r="V2357" s="115">
        <v>-0.428571428571429</v>
      </c>
    </row>
    <row r="2358" spans="1:22">
      <c r="A2358" s="143">
        <v>45120</v>
      </c>
      <c r="B2358" s="104" t="s">
        <v>21</v>
      </c>
      <c r="C2358" s="218">
        <v>50</v>
      </c>
      <c r="D2358" s="218">
        <v>141</v>
      </c>
      <c r="E2358" s="217">
        <v>3</v>
      </c>
      <c r="F2358" s="106">
        <v>0.06</v>
      </c>
      <c r="G2358" s="107">
        <v>0</v>
      </c>
      <c r="H2358" s="106">
        <v>0</v>
      </c>
      <c r="I2358" s="104">
        <v>0</v>
      </c>
      <c r="J2358" s="106">
        <v>0</v>
      </c>
      <c r="K2358" s="108">
        <v>8</v>
      </c>
      <c r="L2358" s="108">
        <v>-5.66666666666666</v>
      </c>
      <c r="M2358" s="108">
        <v>-16.8</v>
      </c>
      <c r="N2358" s="108">
        <v>-40.5714285714286</v>
      </c>
      <c r="O2358" s="108">
        <v>3</v>
      </c>
      <c r="P2358" s="108">
        <v>2.66666666666667</v>
      </c>
      <c r="Q2358" s="108">
        <v>2.6</v>
      </c>
      <c r="R2358" s="108">
        <v>2.14285714285714</v>
      </c>
      <c r="S2358" s="108">
        <v>-4</v>
      </c>
      <c r="T2358" s="108">
        <v>-2.66666666666667</v>
      </c>
      <c r="U2358" s="108">
        <v>-1.8</v>
      </c>
      <c r="V2358" s="108">
        <v>-1.42857142857143</v>
      </c>
    </row>
    <row r="2359" spans="1:22">
      <c r="A2359" s="143">
        <v>45120</v>
      </c>
      <c r="B2359" s="104" t="s">
        <v>22</v>
      </c>
      <c r="C2359" s="218">
        <v>2060</v>
      </c>
      <c r="D2359" s="218">
        <v>956</v>
      </c>
      <c r="E2359" s="217">
        <v>48</v>
      </c>
      <c r="F2359" s="106">
        <v>0.0233009708737864</v>
      </c>
      <c r="G2359" s="107">
        <v>14</v>
      </c>
      <c r="H2359" s="106">
        <v>0.291666666666667</v>
      </c>
      <c r="I2359" s="104">
        <v>10</v>
      </c>
      <c r="J2359" s="106">
        <v>0.208333333333333</v>
      </c>
      <c r="K2359" s="108">
        <v>-234</v>
      </c>
      <c r="L2359" s="108">
        <v>-192.666666666667</v>
      </c>
      <c r="M2359" s="108">
        <v>-173.6</v>
      </c>
      <c r="N2359" s="108">
        <v>-118.428571428572</v>
      </c>
      <c r="O2359" s="108">
        <v>16</v>
      </c>
      <c r="P2359" s="108">
        <v>18.6666666666667</v>
      </c>
      <c r="Q2359" s="108">
        <v>14.6</v>
      </c>
      <c r="R2359" s="115">
        <v>12.7142857142857</v>
      </c>
      <c r="S2359" s="108">
        <v>-4</v>
      </c>
      <c r="T2359" s="108">
        <v>0</v>
      </c>
      <c r="U2359" s="108">
        <v>-2.2</v>
      </c>
      <c r="V2359" s="117">
        <v>-1</v>
      </c>
    </row>
    <row r="2360" spans="1:22">
      <c r="A2360" s="143">
        <v>45120</v>
      </c>
      <c r="B2360" s="104" t="s">
        <v>23</v>
      </c>
      <c r="C2360" s="218">
        <v>1739</v>
      </c>
      <c r="D2360" s="218">
        <v>320</v>
      </c>
      <c r="E2360" s="217">
        <v>3</v>
      </c>
      <c r="F2360" s="106">
        <v>0.00172512938470385</v>
      </c>
      <c r="G2360" s="107">
        <v>1</v>
      </c>
      <c r="H2360" s="106">
        <v>0.333333333333333</v>
      </c>
      <c r="I2360" s="104">
        <v>1</v>
      </c>
      <c r="J2360" s="106">
        <v>0.333333333333333</v>
      </c>
      <c r="K2360" s="108">
        <v>6</v>
      </c>
      <c r="L2360" s="108">
        <v>-49</v>
      </c>
      <c r="M2360" s="108">
        <v>-43</v>
      </c>
      <c r="N2360" s="108">
        <v>-92.2857142857142</v>
      </c>
      <c r="O2360" s="108">
        <v>-5</v>
      </c>
      <c r="P2360" s="108">
        <v>-3.33333333333333</v>
      </c>
      <c r="Q2360" s="108">
        <v>-1.8</v>
      </c>
      <c r="R2360" s="108">
        <v>-2.28571428571429</v>
      </c>
      <c r="S2360" s="108">
        <v>-3</v>
      </c>
      <c r="T2360" s="108">
        <v>-1</v>
      </c>
      <c r="U2360" s="108">
        <v>-0.6</v>
      </c>
      <c r="V2360" s="108">
        <v>-0.714285714285714</v>
      </c>
    </row>
    <row r="2361" spans="1:22">
      <c r="A2361" s="143">
        <v>45120</v>
      </c>
      <c r="B2361" s="104" t="s">
        <v>24</v>
      </c>
      <c r="C2361" s="218">
        <v>774</v>
      </c>
      <c r="D2361" s="218">
        <v>659</v>
      </c>
      <c r="E2361" s="217">
        <v>9</v>
      </c>
      <c r="F2361" s="106">
        <v>0.0116279069767442</v>
      </c>
      <c r="G2361" s="107">
        <v>5</v>
      </c>
      <c r="H2361" s="106">
        <v>0.555555555555556</v>
      </c>
      <c r="I2361" s="104">
        <v>1</v>
      </c>
      <c r="J2361" s="106">
        <v>0.111111111111111</v>
      </c>
      <c r="K2361" s="108">
        <v>46</v>
      </c>
      <c r="L2361" s="108">
        <v>271.333333333333</v>
      </c>
      <c r="M2361" s="108">
        <v>386</v>
      </c>
      <c r="N2361" s="108">
        <v>426.428571428571</v>
      </c>
      <c r="O2361" s="115">
        <v>1</v>
      </c>
      <c r="P2361" s="115">
        <v>4</v>
      </c>
      <c r="Q2361" s="115">
        <v>4.2</v>
      </c>
      <c r="R2361" s="115">
        <v>3.42857142857143</v>
      </c>
      <c r="S2361" s="115">
        <v>0</v>
      </c>
      <c r="T2361" s="115">
        <v>1.33333333333333</v>
      </c>
      <c r="U2361" s="115">
        <v>2</v>
      </c>
      <c r="V2361" s="115">
        <v>1.28571428571429</v>
      </c>
    </row>
    <row r="2362" spans="1:22">
      <c r="A2362" s="143">
        <v>45120</v>
      </c>
      <c r="B2362" s="104" t="s">
        <v>25</v>
      </c>
      <c r="C2362" s="218">
        <v>2443</v>
      </c>
      <c r="D2362" s="218">
        <v>0</v>
      </c>
      <c r="E2362" s="217">
        <v>79</v>
      </c>
      <c r="F2362" s="106">
        <v>0.0323372902169464</v>
      </c>
      <c r="G2362" s="107">
        <v>24</v>
      </c>
      <c r="H2362" s="106">
        <v>0.30379746835443</v>
      </c>
      <c r="I2362" s="104">
        <v>18</v>
      </c>
      <c r="J2362" s="106">
        <v>0.227848101265823</v>
      </c>
      <c r="K2362" s="108">
        <v>-18</v>
      </c>
      <c r="L2362" s="108">
        <v>72.3333333333335</v>
      </c>
      <c r="M2362" s="108">
        <v>88.5999999999999</v>
      </c>
      <c r="N2362" s="108">
        <v>163.571428571428</v>
      </c>
      <c r="O2362" s="115">
        <v>38</v>
      </c>
      <c r="P2362" s="115">
        <v>28</v>
      </c>
      <c r="Q2362" s="115">
        <v>31</v>
      </c>
      <c r="R2362" s="115">
        <v>31.4285714285714</v>
      </c>
      <c r="S2362" s="108">
        <v>-4</v>
      </c>
      <c r="T2362" s="108">
        <v>5</v>
      </c>
      <c r="U2362" s="108">
        <v>6.8</v>
      </c>
      <c r="V2362" s="108">
        <v>5.85714285714286</v>
      </c>
    </row>
    <row r="2363" spans="1:22">
      <c r="A2363" s="143">
        <v>45120</v>
      </c>
      <c r="B2363" s="104" t="s">
        <v>26</v>
      </c>
      <c r="C2363" s="218">
        <v>3</v>
      </c>
      <c r="D2363" s="218">
        <v>1274</v>
      </c>
      <c r="E2363" s="217">
        <v>20</v>
      </c>
      <c r="F2363" s="106">
        <v>6.66666666666667</v>
      </c>
      <c r="G2363" s="107">
        <v>8</v>
      </c>
      <c r="H2363" s="106">
        <v>0.4</v>
      </c>
      <c r="I2363" s="104">
        <v>6</v>
      </c>
      <c r="J2363" s="106">
        <v>0.3</v>
      </c>
      <c r="K2363" s="108">
        <v>-2</v>
      </c>
      <c r="L2363" s="108">
        <v>-537.333333333333</v>
      </c>
      <c r="M2363" s="108">
        <v>-727.2</v>
      </c>
      <c r="N2363" s="108">
        <v>-808.285714285714</v>
      </c>
      <c r="O2363" s="108">
        <v>9</v>
      </c>
      <c r="P2363" s="108">
        <v>8.33333333333333</v>
      </c>
      <c r="Q2363" s="108">
        <v>7</v>
      </c>
      <c r="R2363" s="108">
        <v>7.14285714285714</v>
      </c>
      <c r="S2363" s="108">
        <v>6</v>
      </c>
      <c r="T2363" s="108">
        <v>6.33333333333333</v>
      </c>
      <c r="U2363" s="108">
        <v>5.2</v>
      </c>
      <c r="V2363" s="108">
        <v>5.14285714285714</v>
      </c>
    </row>
    <row r="2364" spans="1:22">
      <c r="A2364" s="143">
        <v>45120</v>
      </c>
      <c r="B2364" s="104" t="s">
        <v>27</v>
      </c>
      <c r="C2364" s="218">
        <v>1623</v>
      </c>
      <c r="D2364" s="218">
        <v>312</v>
      </c>
      <c r="E2364" s="217">
        <v>16</v>
      </c>
      <c r="F2364" s="106">
        <v>0.00985828712261245</v>
      </c>
      <c r="G2364" s="107">
        <v>4</v>
      </c>
      <c r="H2364" s="106">
        <v>0.25</v>
      </c>
      <c r="I2364" s="104">
        <v>3</v>
      </c>
      <c r="J2364" s="106">
        <v>0.1875</v>
      </c>
      <c r="K2364" s="108">
        <v>-236</v>
      </c>
      <c r="L2364" s="108">
        <v>-382.666666666667</v>
      </c>
      <c r="M2364" s="108">
        <v>-336.2</v>
      </c>
      <c r="N2364" s="108">
        <v>-262.857142857143</v>
      </c>
      <c r="O2364" s="108">
        <v>8</v>
      </c>
      <c r="P2364" s="108">
        <v>0.333333333333334</v>
      </c>
      <c r="Q2364" s="108">
        <v>1</v>
      </c>
      <c r="R2364" s="108">
        <v>1.14285714285714</v>
      </c>
      <c r="S2364" s="108">
        <v>1</v>
      </c>
      <c r="T2364" s="108">
        <v>0</v>
      </c>
      <c r="U2364" s="108">
        <v>0</v>
      </c>
      <c r="V2364" s="108">
        <v>0.285714285714286</v>
      </c>
    </row>
    <row r="2365" hidden="1" spans="1:22">
      <c r="A2365" s="143">
        <v>45120</v>
      </c>
      <c r="B2365" s="104" t="s">
        <v>28</v>
      </c>
      <c r="C2365" s="145">
        <v>0</v>
      </c>
      <c r="D2365" s="145"/>
      <c r="E2365" s="104">
        <v>0</v>
      </c>
      <c r="F2365" s="106">
        <v>0</v>
      </c>
      <c r="G2365" s="107">
        <v>0</v>
      </c>
      <c r="H2365" s="106">
        <v>0</v>
      </c>
      <c r="I2365" s="104">
        <v>0</v>
      </c>
      <c r="J2365" s="106">
        <v>0</v>
      </c>
      <c r="K2365" s="108">
        <v>0</v>
      </c>
      <c r="L2365" s="108">
        <v>0</v>
      </c>
      <c r="M2365" s="108">
        <v>0</v>
      </c>
      <c r="N2365" s="108">
        <v>0</v>
      </c>
      <c r="O2365" s="108">
        <v>0</v>
      </c>
      <c r="P2365" s="108">
        <v>0</v>
      </c>
      <c r="Q2365" s="108">
        <v>0</v>
      </c>
      <c r="R2365" s="108">
        <v>0</v>
      </c>
      <c r="S2365" s="108">
        <v>0</v>
      </c>
      <c r="T2365" s="108">
        <v>0</v>
      </c>
      <c r="U2365" s="108">
        <v>0</v>
      </c>
      <c r="V2365" s="108">
        <v>0</v>
      </c>
    </row>
    <row r="2366" hidden="1" spans="1:22">
      <c r="A2366" s="143">
        <v>45120</v>
      </c>
      <c r="B2366" s="104" t="s">
        <v>29</v>
      </c>
      <c r="C2366" s="145">
        <v>0</v>
      </c>
      <c r="D2366" s="145"/>
      <c r="E2366" s="104">
        <v>1</v>
      </c>
      <c r="F2366" s="106">
        <v>0</v>
      </c>
      <c r="G2366" s="107">
        <v>0</v>
      </c>
      <c r="H2366" s="106">
        <v>0</v>
      </c>
      <c r="I2366" s="104">
        <v>0</v>
      </c>
      <c r="J2366" s="106">
        <v>0</v>
      </c>
      <c r="K2366" s="108">
        <v>0</v>
      </c>
      <c r="L2366" s="108">
        <v>0</v>
      </c>
      <c r="M2366" s="108">
        <v>0</v>
      </c>
      <c r="N2366" s="108">
        <v>0</v>
      </c>
      <c r="O2366" s="108">
        <v>1</v>
      </c>
      <c r="P2366" s="108">
        <v>1</v>
      </c>
      <c r="Q2366" s="108">
        <v>1</v>
      </c>
      <c r="R2366" s="108">
        <v>1</v>
      </c>
      <c r="S2366" s="108">
        <v>0</v>
      </c>
      <c r="T2366" s="108">
        <v>0</v>
      </c>
      <c r="U2366" s="108">
        <v>0</v>
      </c>
      <c r="V2366" s="108">
        <v>0</v>
      </c>
    </row>
    <row r="2367" hidden="1" spans="1:22">
      <c r="A2367" s="143">
        <v>45120</v>
      </c>
      <c r="B2367" s="104" t="s">
        <v>30</v>
      </c>
      <c r="C2367" s="145">
        <v>0</v>
      </c>
      <c r="D2367" s="145"/>
      <c r="E2367" s="104">
        <v>0</v>
      </c>
      <c r="F2367" s="106">
        <v>0</v>
      </c>
      <c r="G2367" s="107">
        <v>0</v>
      </c>
      <c r="H2367" s="106">
        <v>0</v>
      </c>
      <c r="I2367" s="104">
        <v>0</v>
      </c>
      <c r="J2367" s="106">
        <v>0</v>
      </c>
      <c r="K2367" s="108">
        <v>0</v>
      </c>
      <c r="L2367" s="108">
        <v>0</v>
      </c>
      <c r="M2367" s="108">
        <v>0</v>
      </c>
      <c r="N2367" s="108">
        <v>0</v>
      </c>
      <c r="O2367" s="108">
        <v>0</v>
      </c>
      <c r="P2367" s="108">
        <v>0</v>
      </c>
      <c r="Q2367" s="108">
        <v>0</v>
      </c>
      <c r="R2367" s="108">
        <v>0</v>
      </c>
      <c r="S2367" s="108">
        <v>0</v>
      </c>
      <c r="T2367" s="108">
        <v>0</v>
      </c>
      <c r="U2367" s="108">
        <v>0</v>
      </c>
      <c r="V2367" s="108">
        <v>0</v>
      </c>
    </row>
    <row r="2368" hidden="1" spans="1:22">
      <c r="A2368" s="143">
        <v>45120</v>
      </c>
      <c r="B2368" s="104" t="s">
        <v>31</v>
      </c>
      <c r="C2368" s="145">
        <v>0</v>
      </c>
      <c r="D2368" s="145"/>
      <c r="E2368" s="104">
        <v>0</v>
      </c>
      <c r="F2368" s="106">
        <v>0</v>
      </c>
      <c r="G2368" s="107">
        <v>0</v>
      </c>
      <c r="H2368" s="106">
        <v>0</v>
      </c>
      <c r="I2368" s="104">
        <v>0</v>
      </c>
      <c r="J2368" s="106">
        <v>0</v>
      </c>
      <c r="K2368" s="108">
        <v>0</v>
      </c>
      <c r="L2368" s="108">
        <v>0</v>
      </c>
      <c r="M2368" s="108">
        <v>0</v>
      </c>
      <c r="N2368" s="108">
        <v>0</v>
      </c>
      <c r="O2368" s="108">
        <v>0</v>
      </c>
      <c r="P2368" s="108">
        <v>0</v>
      </c>
      <c r="Q2368" s="108">
        <v>0</v>
      </c>
      <c r="R2368" s="108">
        <v>0</v>
      </c>
      <c r="S2368" s="108">
        <v>0</v>
      </c>
      <c r="T2368" s="108">
        <v>0</v>
      </c>
      <c r="U2368" s="108">
        <v>0</v>
      </c>
      <c r="V2368" s="108">
        <v>0</v>
      </c>
    </row>
    <row r="2369" hidden="1" spans="1:22">
      <c r="A2369" s="143">
        <v>45120</v>
      </c>
      <c r="B2369" s="104" t="s">
        <v>32</v>
      </c>
      <c r="C2369" s="145">
        <v>0</v>
      </c>
      <c r="D2369" s="145"/>
      <c r="E2369" s="104">
        <v>0</v>
      </c>
      <c r="F2369" s="106">
        <v>0</v>
      </c>
      <c r="G2369" s="107">
        <v>0</v>
      </c>
      <c r="H2369" s="106">
        <v>0</v>
      </c>
      <c r="I2369" s="104">
        <v>0</v>
      </c>
      <c r="J2369" s="106">
        <v>0</v>
      </c>
      <c r="K2369" s="108">
        <v>0</v>
      </c>
      <c r="L2369" s="108">
        <v>0</v>
      </c>
      <c r="M2369" s="108">
        <v>0</v>
      </c>
      <c r="N2369" s="108">
        <v>0</v>
      </c>
      <c r="O2369" s="108">
        <v>0</v>
      </c>
      <c r="P2369" s="108">
        <v>0</v>
      </c>
      <c r="Q2369" s="108">
        <v>0</v>
      </c>
      <c r="R2369" s="108">
        <v>0</v>
      </c>
      <c r="S2369" s="108">
        <v>0</v>
      </c>
      <c r="T2369" s="108">
        <v>0</v>
      </c>
      <c r="U2369" s="108">
        <v>0</v>
      </c>
      <c r="V2369" s="108">
        <v>0</v>
      </c>
    </row>
    <row r="2370" hidden="1" spans="1:22">
      <c r="A2370" s="143">
        <v>45120</v>
      </c>
      <c r="B2370" s="104" t="s">
        <v>33</v>
      </c>
      <c r="C2370" s="145">
        <v>0</v>
      </c>
      <c r="D2370" s="145"/>
      <c r="E2370" s="104">
        <v>0</v>
      </c>
      <c r="F2370" s="106">
        <v>0</v>
      </c>
      <c r="G2370" s="107">
        <v>0</v>
      </c>
      <c r="H2370" s="106">
        <v>0</v>
      </c>
      <c r="I2370" s="104">
        <v>0</v>
      </c>
      <c r="J2370" s="106">
        <v>0</v>
      </c>
      <c r="K2370" s="108">
        <v>0</v>
      </c>
      <c r="L2370" s="108">
        <v>0</v>
      </c>
      <c r="M2370" s="108">
        <v>0</v>
      </c>
      <c r="N2370" s="108">
        <v>0</v>
      </c>
      <c r="O2370" s="108">
        <v>0</v>
      </c>
      <c r="P2370" s="108">
        <v>0</v>
      </c>
      <c r="Q2370" s="108">
        <v>0</v>
      </c>
      <c r="R2370" s="108">
        <v>0</v>
      </c>
      <c r="S2370" s="108">
        <v>0</v>
      </c>
      <c r="T2370" s="108">
        <v>0</v>
      </c>
      <c r="U2370" s="108">
        <v>0</v>
      </c>
      <c r="V2370" s="108">
        <v>0</v>
      </c>
    </row>
    <row r="2371" hidden="1" spans="1:22">
      <c r="A2371" s="143">
        <v>45120</v>
      </c>
      <c r="B2371" s="104" t="s">
        <v>34</v>
      </c>
      <c r="C2371" s="145">
        <v>0</v>
      </c>
      <c r="D2371" s="145"/>
      <c r="E2371" s="104">
        <v>0</v>
      </c>
      <c r="F2371" s="106">
        <v>0</v>
      </c>
      <c r="G2371" s="107">
        <v>0</v>
      </c>
      <c r="H2371" s="106">
        <v>0</v>
      </c>
      <c r="I2371" s="104">
        <v>0</v>
      </c>
      <c r="J2371" s="106">
        <v>0</v>
      </c>
      <c r="K2371" s="108">
        <v>0</v>
      </c>
      <c r="L2371" s="108">
        <v>0</v>
      </c>
      <c r="M2371" s="108">
        <v>0</v>
      </c>
      <c r="N2371" s="108">
        <v>0</v>
      </c>
      <c r="O2371" s="108">
        <v>0</v>
      </c>
      <c r="P2371" s="108">
        <v>0</v>
      </c>
      <c r="Q2371" s="108">
        <v>0</v>
      </c>
      <c r="R2371" s="108">
        <v>0</v>
      </c>
      <c r="S2371" s="108">
        <v>0</v>
      </c>
      <c r="T2371" s="108">
        <v>0</v>
      </c>
      <c r="U2371" s="108">
        <v>0</v>
      </c>
      <c r="V2371" s="108">
        <v>0</v>
      </c>
    </row>
    <row r="2372" hidden="1" spans="1:22">
      <c r="A2372" s="143">
        <v>45120</v>
      </c>
      <c r="B2372" s="104" t="s">
        <v>35</v>
      </c>
      <c r="C2372" s="145">
        <v>0</v>
      </c>
      <c r="D2372" s="145"/>
      <c r="E2372" s="104">
        <v>0</v>
      </c>
      <c r="F2372" s="106">
        <v>0</v>
      </c>
      <c r="G2372" s="107">
        <v>0</v>
      </c>
      <c r="H2372" s="106">
        <v>0</v>
      </c>
      <c r="I2372" s="104">
        <v>0</v>
      </c>
      <c r="J2372" s="106">
        <v>0</v>
      </c>
      <c r="K2372" s="108">
        <v>0</v>
      </c>
      <c r="L2372" s="108">
        <v>0</v>
      </c>
      <c r="M2372" s="108">
        <v>0</v>
      </c>
      <c r="N2372" s="108">
        <v>0</v>
      </c>
      <c r="O2372" s="108">
        <v>0</v>
      </c>
      <c r="P2372" s="108">
        <v>0</v>
      </c>
      <c r="Q2372" s="108">
        <v>0</v>
      </c>
      <c r="R2372" s="108">
        <v>0</v>
      </c>
      <c r="S2372" s="108">
        <v>0</v>
      </c>
      <c r="T2372" s="108">
        <v>0</v>
      </c>
      <c r="U2372" s="108">
        <v>0</v>
      </c>
      <c r="V2372" s="108">
        <v>0</v>
      </c>
    </row>
    <row r="2373" hidden="1" spans="1:22">
      <c r="A2373" s="143">
        <v>45120</v>
      </c>
      <c r="B2373" s="104" t="s">
        <v>36</v>
      </c>
      <c r="C2373" s="145">
        <v>0</v>
      </c>
      <c r="D2373" s="145"/>
      <c r="E2373" s="104">
        <v>0</v>
      </c>
      <c r="F2373" s="106">
        <v>0</v>
      </c>
      <c r="G2373" s="107">
        <v>0</v>
      </c>
      <c r="H2373" s="106">
        <v>0</v>
      </c>
      <c r="I2373" s="104">
        <v>0</v>
      </c>
      <c r="J2373" s="106">
        <v>0</v>
      </c>
      <c r="K2373" s="108">
        <v>0</v>
      </c>
      <c r="L2373" s="108">
        <v>0</v>
      </c>
      <c r="M2373" s="108">
        <v>0</v>
      </c>
      <c r="N2373" s="108">
        <v>0</v>
      </c>
      <c r="O2373" s="108">
        <v>0</v>
      </c>
      <c r="P2373" s="108">
        <v>0</v>
      </c>
      <c r="Q2373" s="108">
        <v>0</v>
      </c>
      <c r="R2373" s="108">
        <v>0</v>
      </c>
      <c r="S2373" s="108">
        <v>0</v>
      </c>
      <c r="T2373" s="108">
        <v>0</v>
      </c>
      <c r="U2373" s="108">
        <v>0</v>
      </c>
      <c r="V2373" s="108">
        <v>0</v>
      </c>
    </row>
    <row r="2374" hidden="1" spans="1:22">
      <c r="A2374" s="143">
        <v>45120</v>
      </c>
      <c r="B2374" s="104" t="s">
        <v>37</v>
      </c>
      <c r="C2374" s="145">
        <v>0</v>
      </c>
      <c r="D2374" s="145"/>
      <c r="E2374" s="104">
        <v>0</v>
      </c>
      <c r="F2374" s="106">
        <v>0</v>
      </c>
      <c r="G2374" s="107">
        <v>0</v>
      </c>
      <c r="H2374" s="106">
        <v>0</v>
      </c>
      <c r="I2374" s="104">
        <v>0</v>
      </c>
      <c r="J2374" s="106">
        <v>0</v>
      </c>
      <c r="K2374" s="108">
        <v>0</v>
      </c>
      <c r="L2374" s="108">
        <v>0</v>
      </c>
      <c r="M2374" s="108">
        <v>0</v>
      </c>
      <c r="N2374" s="108">
        <v>0</v>
      </c>
      <c r="O2374" s="108">
        <v>0</v>
      </c>
      <c r="P2374" s="108">
        <v>-0.333333333333333</v>
      </c>
      <c r="Q2374" s="108">
        <v>-0.4</v>
      </c>
      <c r="R2374" s="108">
        <v>-0.571428571428571</v>
      </c>
      <c r="S2374" s="108">
        <v>-1</v>
      </c>
      <c r="T2374" s="108">
        <v>-0.666666666666667</v>
      </c>
      <c r="U2374" s="108">
        <v>-0.6</v>
      </c>
      <c r="V2374" s="108">
        <v>-0.428571428571429</v>
      </c>
    </row>
    <row r="2375" hidden="1" spans="1:22">
      <c r="A2375" s="143">
        <v>45120</v>
      </c>
      <c r="B2375" s="104" t="s">
        <v>38</v>
      </c>
      <c r="C2375" s="145">
        <v>0</v>
      </c>
      <c r="D2375" s="145"/>
      <c r="E2375" s="104">
        <v>0</v>
      </c>
      <c r="F2375" s="106">
        <v>0</v>
      </c>
      <c r="G2375" s="107">
        <v>0</v>
      </c>
      <c r="H2375" s="106">
        <v>0</v>
      </c>
      <c r="I2375" s="104">
        <v>0</v>
      </c>
      <c r="J2375" s="106">
        <v>0</v>
      </c>
      <c r="K2375" s="108">
        <v>0</v>
      </c>
      <c r="L2375" s="108">
        <v>0</v>
      </c>
      <c r="M2375" s="108">
        <v>0</v>
      </c>
      <c r="N2375" s="108">
        <v>0</v>
      </c>
      <c r="O2375" s="108">
        <v>0</v>
      </c>
      <c r="P2375" s="108">
        <v>0</v>
      </c>
      <c r="Q2375" s="108">
        <v>0</v>
      </c>
      <c r="R2375" s="108">
        <v>0</v>
      </c>
      <c r="S2375" s="108">
        <v>0</v>
      </c>
      <c r="T2375" s="108">
        <v>0</v>
      </c>
      <c r="U2375" s="108">
        <v>0</v>
      </c>
      <c r="V2375" s="108">
        <v>0</v>
      </c>
    </row>
    <row r="2376" spans="1:22">
      <c r="A2376" s="143">
        <v>45120</v>
      </c>
      <c r="B2376" s="111" t="s">
        <v>39</v>
      </c>
      <c r="C2376" s="112">
        <v>9045</v>
      </c>
      <c r="D2376" s="112">
        <v>4111</v>
      </c>
      <c r="E2376" s="112">
        <v>203</v>
      </c>
      <c r="F2376" s="106">
        <v>0.0224433388612493</v>
      </c>
      <c r="G2376" s="112">
        <v>64</v>
      </c>
      <c r="H2376" s="113">
        <v>0.315270935960591</v>
      </c>
      <c r="I2376" s="112">
        <v>45</v>
      </c>
      <c r="J2376" s="106">
        <v>0.221674876847291</v>
      </c>
      <c r="K2376" s="108"/>
      <c r="L2376" s="108"/>
      <c r="M2376" s="108"/>
      <c r="N2376" s="108"/>
      <c r="O2376" s="108"/>
      <c r="P2376" s="108"/>
      <c r="Q2376" s="108"/>
      <c r="R2376" s="108"/>
      <c r="S2376" s="108"/>
      <c r="T2376" s="108"/>
      <c r="U2376" s="108"/>
      <c r="V2376" s="108"/>
    </row>
    <row r="2377" customFormat="1" ht="14.45" customHeight="1" spans="1:24">
      <c r="A2377" s="143">
        <v>45121</v>
      </c>
      <c r="B2377" s="104" t="s">
        <v>17</v>
      </c>
      <c r="C2377" s="216">
        <v>0</v>
      </c>
      <c r="D2377" s="216">
        <v>187</v>
      </c>
      <c r="E2377" s="217">
        <v>18</v>
      </c>
      <c r="F2377" s="106">
        <v>187</v>
      </c>
      <c r="G2377" s="107">
        <v>6</v>
      </c>
      <c r="H2377" s="106">
        <v>0.333333333333333</v>
      </c>
      <c r="I2377" s="104">
        <v>3</v>
      </c>
      <c r="J2377" s="106">
        <v>0.166666666666667</v>
      </c>
      <c r="K2377" s="108">
        <v>0</v>
      </c>
      <c r="L2377" s="108">
        <v>0</v>
      </c>
      <c r="M2377" s="108">
        <v>-0.4</v>
      </c>
      <c r="N2377" s="108">
        <v>-0.857142857142857</v>
      </c>
      <c r="O2377" s="108">
        <v>7</v>
      </c>
      <c r="P2377" s="108">
        <v>3</v>
      </c>
      <c r="Q2377" s="108">
        <v>-11.8</v>
      </c>
      <c r="R2377" s="108">
        <v>-14.5714285714286</v>
      </c>
      <c r="S2377" s="108">
        <v>2</v>
      </c>
      <c r="T2377" s="108">
        <v>0</v>
      </c>
      <c r="U2377" s="108">
        <v>-1.6</v>
      </c>
      <c r="V2377" s="108">
        <v>-1.71428571428571</v>
      </c>
      <c r="X2377" t="s">
        <v>18</v>
      </c>
    </row>
    <row r="2378" customFormat="1" ht="14.45" customHeight="1" spans="1:24">
      <c r="A2378" s="143">
        <v>45121</v>
      </c>
      <c r="B2378" s="104" t="s">
        <v>19</v>
      </c>
      <c r="C2378" s="216">
        <v>366</v>
      </c>
      <c r="D2378" s="216">
        <v>343</v>
      </c>
      <c r="E2378" s="217">
        <v>10</v>
      </c>
      <c r="F2378" s="106">
        <v>0.0273224043715847</v>
      </c>
      <c r="G2378" s="107">
        <v>2</v>
      </c>
      <c r="H2378" s="106">
        <v>0.2</v>
      </c>
      <c r="I2378" s="104">
        <v>1</v>
      </c>
      <c r="J2378" s="106">
        <v>0.1</v>
      </c>
      <c r="K2378" s="108">
        <v>13</v>
      </c>
      <c r="L2378" s="108">
        <v>-47</v>
      </c>
      <c r="M2378" s="108">
        <v>-107</v>
      </c>
      <c r="N2378" s="108">
        <v>-97.7142857142857</v>
      </c>
      <c r="O2378" s="108">
        <v>-3</v>
      </c>
      <c r="P2378" s="108">
        <v>0</v>
      </c>
      <c r="Q2378" s="108">
        <v>0.800000000000001</v>
      </c>
      <c r="R2378" s="108">
        <v>0.285714285714286</v>
      </c>
      <c r="S2378" s="108">
        <v>-2</v>
      </c>
      <c r="T2378" s="108">
        <v>-3.66666666666667</v>
      </c>
      <c r="U2378" s="108">
        <v>-2.6</v>
      </c>
      <c r="V2378" s="115">
        <v>-2</v>
      </c>
      <c r="W2378" s="154"/>
      <c r="X2378" s="154"/>
    </row>
    <row r="2379" customFormat="1" ht="14.45" customHeight="1" spans="1:22">
      <c r="A2379" s="143">
        <v>45121</v>
      </c>
      <c r="B2379" s="104" t="s">
        <v>21</v>
      </c>
      <c r="C2379" s="218">
        <v>57</v>
      </c>
      <c r="D2379" s="218">
        <v>126</v>
      </c>
      <c r="E2379" s="217">
        <v>2</v>
      </c>
      <c r="F2379" s="106">
        <v>0.0350877192982456</v>
      </c>
      <c r="G2379" s="107">
        <v>6</v>
      </c>
      <c r="H2379" s="106">
        <v>3</v>
      </c>
      <c r="I2379" s="104">
        <v>2</v>
      </c>
      <c r="J2379" s="106">
        <v>1</v>
      </c>
      <c r="K2379" s="108">
        <v>7</v>
      </c>
      <c r="L2379" s="108">
        <v>10.6666666666667</v>
      </c>
      <c r="M2379" s="108">
        <v>-2</v>
      </c>
      <c r="N2379" s="108">
        <v>-12</v>
      </c>
      <c r="O2379" s="108">
        <v>-1</v>
      </c>
      <c r="P2379" s="108">
        <v>0.666666666666667</v>
      </c>
      <c r="Q2379" s="108">
        <v>1.2</v>
      </c>
      <c r="R2379" s="108">
        <v>1.14285714285714</v>
      </c>
      <c r="S2379" s="108">
        <v>6</v>
      </c>
      <c r="T2379" s="108">
        <v>3.33333333333333</v>
      </c>
      <c r="U2379" s="108">
        <v>4.4</v>
      </c>
      <c r="V2379" s="108">
        <v>4.57142857142857</v>
      </c>
    </row>
    <row r="2380" customFormat="1" ht="18.95" customHeight="1" spans="1:24">
      <c r="A2380" s="143">
        <v>45121</v>
      </c>
      <c r="B2380" s="104" t="s">
        <v>22</v>
      </c>
      <c r="C2380" s="218">
        <v>1959</v>
      </c>
      <c r="D2380" s="218">
        <v>932</v>
      </c>
      <c r="E2380" s="217">
        <v>33</v>
      </c>
      <c r="F2380" s="106">
        <v>0.0168453292496172</v>
      </c>
      <c r="G2380" s="107">
        <v>15</v>
      </c>
      <c r="H2380" s="106">
        <v>0.454545454545455</v>
      </c>
      <c r="I2380" s="104">
        <v>8</v>
      </c>
      <c r="J2380" s="106">
        <v>0.242424242424242</v>
      </c>
      <c r="K2380" s="108">
        <v>-101</v>
      </c>
      <c r="L2380" s="108">
        <v>-227.333333333333</v>
      </c>
      <c r="M2380" s="108">
        <v>-256.4</v>
      </c>
      <c r="N2380" s="108">
        <v>-227.285714285714</v>
      </c>
      <c r="O2380" s="108">
        <v>-15</v>
      </c>
      <c r="P2380" s="108">
        <v>-1.66666666666666</v>
      </c>
      <c r="Q2380" s="108">
        <v>-0.600000000000001</v>
      </c>
      <c r="R2380" s="115">
        <v>-2.85714285714285</v>
      </c>
      <c r="S2380" s="108">
        <v>1</v>
      </c>
      <c r="T2380" s="108">
        <v>2</v>
      </c>
      <c r="U2380" s="108">
        <v>0.4</v>
      </c>
      <c r="V2380" s="108">
        <v>0.4</v>
      </c>
      <c r="W2380" s="154"/>
      <c r="X2380" s="154"/>
    </row>
    <row r="2381" customFormat="1" ht="14.45" customHeight="1" spans="1:22">
      <c r="A2381" s="143">
        <v>45121</v>
      </c>
      <c r="B2381" s="104" t="s">
        <v>23</v>
      </c>
      <c r="C2381" s="218">
        <v>1914</v>
      </c>
      <c r="D2381" s="218">
        <v>330</v>
      </c>
      <c r="E2381" s="217">
        <v>9</v>
      </c>
      <c r="F2381" s="106">
        <v>0.00470219435736677</v>
      </c>
      <c r="G2381" s="107">
        <v>4</v>
      </c>
      <c r="H2381" s="106">
        <v>0.444444444444444</v>
      </c>
      <c r="I2381" s="104">
        <v>3</v>
      </c>
      <c r="J2381" s="106">
        <v>0.333333333333333</v>
      </c>
      <c r="K2381" s="108">
        <v>175</v>
      </c>
      <c r="L2381" s="108">
        <v>182</v>
      </c>
      <c r="M2381" s="108">
        <v>112</v>
      </c>
      <c r="N2381" s="108">
        <v>116.714285714286</v>
      </c>
      <c r="O2381" s="108">
        <v>6</v>
      </c>
      <c r="P2381" s="108">
        <v>2.66666666666667</v>
      </c>
      <c r="Q2381" s="108">
        <v>4</v>
      </c>
      <c r="R2381" s="108">
        <v>4.14285714285714</v>
      </c>
      <c r="S2381" s="108">
        <v>3</v>
      </c>
      <c r="T2381" s="108">
        <v>2</v>
      </c>
      <c r="U2381" s="108">
        <v>2.4</v>
      </c>
      <c r="V2381" s="108">
        <v>2.14285714285714</v>
      </c>
    </row>
    <row r="2382" customFormat="1" ht="14.45" customHeight="1" spans="1:24">
      <c r="A2382" s="143">
        <v>45121</v>
      </c>
      <c r="B2382" s="104" t="s">
        <v>24</v>
      </c>
      <c r="C2382" s="218">
        <v>850</v>
      </c>
      <c r="D2382" s="218">
        <v>652</v>
      </c>
      <c r="E2382" s="217">
        <v>10</v>
      </c>
      <c r="F2382" s="106">
        <v>0.0117647058823529</v>
      </c>
      <c r="G2382" s="107">
        <v>3</v>
      </c>
      <c r="H2382" s="106">
        <v>0.3</v>
      </c>
      <c r="I2382" s="104">
        <v>1</v>
      </c>
      <c r="J2382" s="106">
        <v>0.1</v>
      </c>
      <c r="K2382" s="108">
        <v>76</v>
      </c>
      <c r="L2382" s="108">
        <v>166</v>
      </c>
      <c r="M2382" s="108">
        <v>347.6</v>
      </c>
      <c r="N2382" s="108">
        <v>427.857142857143</v>
      </c>
      <c r="O2382" s="115">
        <v>1</v>
      </c>
      <c r="P2382" s="115">
        <v>3</v>
      </c>
      <c r="Q2382" s="115">
        <v>4.6</v>
      </c>
      <c r="R2382" s="115">
        <v>4.42857142857143</v>
      </c>
      <c r="S2382" s="115">
        <v>-2</v>
      </c>
      <c r="T2382" s="115">
        <v>-2</v>
      </c>
      <c r="U2382" s="108">
        <v>0.4</v>
      </c>
      <c r="V2382" s="108">
        <v>0.4</v>
      </c>
      <c r="W2382" s="154"/>
      <c r="X2382" s="154"/>
    </row>
    <row r="2383" customFormat="1" ht="14.45" customHeight="1" spans="1:22">
      <c r="A2383" s="143">
        <v>45121</v>
      </c>
      <c r="B2383" s="104" t="s">
        <v>25</v>
      </c>
      <c r="C2383" s="218">
        <v>2420</v>
      </c>
      <c r="D2383" s="218">
        <v>0</v>
      </c>
      <c r="E2383" s="217">
        <v>65</v>
      </c>
      <c r="F2383" s="106">
        <v>0.0268595041322314</v>
      </c>
      <c r="G2383" s="107">
        <v>21</v>
      </c>
      <c r="H2383" s="106">
        <v>0.323076923076923</v>
      </c>
      <c r="I2383" s="104">
        <v>15</v>
      </c>
      <c r="J2383" s="106">
        <v>0.230769230769231</v>
      </c>
      <c r="K2383" s="108">
        <v>-23</v>
      </c>
      <c r="L2383" s="108">
        <v>-25</v>
      </c>
      <c r="M2383" s="108">
        <v>65</v>
      </c>
      <c r="N2383" s="108">
        <v>67.1428571428573</v>
      </c>
      <c r="O2383" s="115">
        <v>-14</v>
      </c>
      <c r="P2383" s="115">
        <v>3</v>
      </c>
      <c r="Q2383" s="115">
        <v>9.4</v>
      </c>
      <c r="R2383" s="115">
        <v>12.7142857142857</v>
      </c>
      <c r="S2383" s="108">
        <v>-3</v>
      </c>
      <c r="T2383" s="108">
        <v>-1.33333333333333</v>
      </c>
      <c r="U2383" s="108">
        <v>2</v>
      </c>
      <c r="V2383" s="108">
        <v>2.71428571428572</v>
      </c>
    </row>
    <row r="2384" customFormat="1" ht="14.45" customHeight="1" spans="1:22">
      <c r="A2384" s="143">
        <v>45121</v>
      </c>
      <c r="B2384" s="104" t="s">
        <v>26</v>
      </c>
      <c r="C2384" s="218">
        <v>2</v>
      </c>
      <c r="D2384" s="218">
        <v>1263</v>
      </c>
      <c r="E2384" s="217">
        <v>14</v>
      </c>
      <c r="F2384" s="106">
        <v>7</v>
      </c>
      <c r="G2384" s="107">
        <v>3</v>
      </c>
      <c r="H2384" s="106">
        <v>0.214285714285714</v>
      </c>
      <c r="I2384" s="104">
        <v>3</v>
      </c>
      <c r="J2384" s="106">
        <v>0.214285714285714</v>
      </c>
      <c r="K2384" s="108">
        <v>-1</v>
      </c>
      <c r="L2384" s="108">
        <v>-181</v>
      </c>
      <c r="M2384" s="108">
        <v>-537.8</v>
      </c>
      <c r="N2384" s="108">
        <v>-661.285714285714</v>
      </c>
      <c r="O2384" s="108">
        <v>-6</v>
      </c>
      <c r="P2384" s="108">
        <v>-1</v>
      </c>
      <c r="Q2384" s="108">
        <v>1</v>
      </c>
      <c r="R2384" s="108">
        <v>0.285714285714286</v>
      </c>
      <c r="S2384" s="108">
        <v>-5</v>
      </c>
      <c r="T2384" s="108">
        <v>-1</v>
      </c>
      <c r="U2384" s="108">
        <v>0.2</v>
      </c>
      <c r="V2384" s="108">
        <v>-0.571428571428572</v>
      </c>
    </row>
    <row r="2385" customFormat="1" ht="14.45" customHeight="1" spans="1:22">
      <c r="A2385" s="143">
        <v>45121</v>
      </c>
      <c r="B2385" s="104" t="s">
        <v>27</v>
      </c>
      <c r="C2385" s="218">
        <v>1613</v>
      </c>
      <c r="D2385" s="218">
        <v>284</v>
      </c>
      <c r="E2385" s="217">
        <v>12</v>
      </c>
      <c r="F2385" s="106">
        <v>0.00743955362678239</v>
      </c>
      <c r="G2385" s="107">
        <v>3</v>
      </c>
      <c r="H2385" s="106">
        <v>0.25</v>
      </c>
      <c r="I2385" s="104">
        <v>2</v>
      </c>
      <c r="J2385" s="106">
        <v>0.166666666666667</v>
      </c>
      <c r="K2385" s="108">
        <v>-10</v>
      </c>
      <c r="L2385" s="108">
        <v>-294.333333333333</v>
      </c>
      <c r="M2385" s="108">
        <v>-298.6</v>
      </c>
      <c r="N2385" s="108">
        <v>-275.571428571429</v>
      </c>
      <c r="O2385" s="108">
        <v>-4</v>
      </c>
      <c r="P2385" s="108">
        <v>-3.66666666666667</v>
      </c>
      <c r="Q2385" s="108">
        <v>-3.8</v>
      </c>
      <c r="R2385" s="108">
        <v>-3.57142857142857</v>
      </c>
      <c r="S2385" s="108">
        <v>-1</v>
      </c>
      <c r="T2385" s="108">
        <v>-1</v>
      </c>
      <c r="U2385" s="108">
        <v>-1</v>
      </c>
      <c r="V2385" s="108">
        <v>-1.14285714285714</v>
      </c>
    </row>
    <row r="2386" customFormat="1" ht="14.45" hidden="1" customHeight="1" spans="1:22">
      <c r="A2386" s="143">
        <v>45121</v>
      </c>
      <c r="B2386" s="104" t="s">
        <v>28</v>
      </c>
      <c r="C2386" s="145">
        <v>0</v>
      </c>
      <c r="D2386" s="145"/>
      <c r="E2386" s="104">
        <v>0</v>
      </c>
      <c r="F2386" s="106">
        <v>0</v>
      </c>
      <c r="G2386" s="107">
        <v>0</v>
      </c>
      <c r="H2386" s="106">
        <v>0</v>
      </c>
      <c r="I2386" s="104">
        <v>0</v>
      </c>
      <c r="J2386" s="106">
        <v>0</v>
      </c>
      <c r="K2386" s="108">
        <v>0</v>
      </c>
      <c r="L2386" s="108">
        <v>0</v>
      </c>
      <c r="M2386" s="108">
        <v>0</v>
      </c>
      <c r="N2386" s="108">
        <v>0</v>
      </c>
      <c r="O2386" s="108">
        <v>0</v>
      </c>
      <c r="P2386" s="108">
        <v>0</v>
      </c>
      <c r="Q2386" s="108">
        <v>0</v>
      </c>
      <c r="R2386" s="108">
        <v>0</v>
      </c>
      <c r="S2386" s="108">
        <v>0</v>
      </c>
      <c r="T2386" s="108">
        <v>0</v>
      </c>
      <c r="U2386" s="108">
        <v>0</v>
      </c>
      <c r="V2386" s="108">
        <v>0</v>
      </c>
    </row>
    <row r="2387" customFormat="1" ht="14.45" hidden="1" customHeight="1" spans="1:22">
      <c r="A2387" s="143">
        <v>45121</v>
      </c>
      <c r="B2387" s="104" t="s">
        <v>29</v>
      </c>
      <c r="C2387" s="145">
        <v>0</v>
      </c>
      <c r="D2387" s="145"/>
      <c r="E2387" s="104">
        <v>0</v>
      </c>
      <c r="F2387" s="106">
        <v>0</v>
      </c>
      <c r="G2387" s="107">
        <v>0</v>
      </c>
      <c r="H2387" s="106">
        <v>0</v>
      </c>
      <c r="I2387" s="104">
        <v>0</v>
      </c>
      <c r="J2387" s="106">
        <v>0</v>
      </c>
      <c r="K2387" s="108">
        <v>0</v>
      </c>
      <c r="L2387" s="108">
        <v>0</v>
      </c>
      <c r="M2387" s="108">
        <v>0</v>
      </c>
      <c r="N2387" s="108">
        <v>0</v>
      </c>
      <c r="O2387" s="108">
        <v>-1</v>
      </c>
      <c r="P2387" s="108">
        <v>-0.333333333333333</v>
      </c>
      <c r="Q2387" s="108">
        <v>-0.2</v>
      </c>
      <c r="R2387" s="108">
        <v>-0.142857142857143</v>
      </c>
      <c r="S2387" s="108">
        <v>0</v>
      </c>
      <c r="T2387" s="108">
        <v>0</v>
      </c>
      <c r="U2387" s="108">
        <v>0</v>
      </c>
      <c r="V2387" s="108">
        <v>0</v>
      </c>
    </row>
    <row r="2388" customFormat="1" ht="14.45" hidden="1" customHeight="1" spans="1:22">
      <c r="A2388" s="143">
        <v>45121</v>
      </c>
      <c r="B2388" s="104" t="s">
        <v>30</v>
      </c>
      <c r="C2388" s="145">
        <v>0</v>
      </c>
      <c r="D2388" s="145"/>
      <c r="E2388" s="104">
        <v>0</v>
      </c>
      <c r="F2388" s="106">
        <v>0</v>
      </c>
      <c r="G2388" s="107">
        <v>0</v>
      </c>
      <c r="H2388" s="106">
        <v>0</v>
      </c>
      <c r="I2388" s="104">
        <v>0</v>
      </c>
      <c r="J2388" s="106">
        <v>0</v>
      </c>
      <c r="K2388" s="108">
        <v>0</v>
      </c>
      <c r="L2388" s="108">
        <v>0</v>
      </c>
      <c r="M2388" s="108">
        <v>0</v>
      </c>
      <c r="N2388" s="108">
        <v>0</v>
      </c>
      <c r="O2388" s="108">
        <v>0</v>
      </c>
      <c r="P2388" s="108">
        <v>0</v>
      </c>
      <c r="Q2388" s="108">
        <v>0</v>
      </c>
      <c r="R2388" s="108">
        <v>0</v>
      </c>
      <c r="S2388" s="108">
        <v>0</v>
      </c>
      <c r="T2388" s="108">
        <v>0</v>
      </c>
      <c r="U2388" s="108">
        <v>0</v>
      </c>
      <c r="V2388" s="108">
        <v>0</v>
      </c>
    </row>
    <row r="2389" customFormat="1" ht="14.45" hidden="1" customHeight="1" spans="1:22">
      <c r="A2389" s="143">
        <v>45121</v>
      </c>
      <c r="B2389" s="104" t="s">
        <v>31</v>
      </c>
      <c r="C2389" s="145">
        <v>0</v>
      </c>
      <c r="D2389" s="145"/>
      <c r="E2389" s="104">
        <v>0</v>
      </c>
      <c r="F2389" s="106">
        <v>0</v>
      </c>
      <c r="G2389" s="107">
        <v>0</v>
      </c>
      <c r="H2389" s="106">
        <v>0</v>
      </c>
      <c r="I2389" s="104">
        <v>0</v>
      </c>
      <c r="J2389" s="106">
        <v>0</v>
      </c>
      <c r="K2389" s="108">
        <v>0</v>
      </c>
      <c r="L2389" s="108">
        <v>0</v>
      </c>
      <c r="M2389" s="108">
        <v>0</v>
      </c>
      <c r="N2389" s="108">
        <v>0</v>
      </c>
      <c r="O2389" s="108">
        <v>0</v>
      </c>
      <c r="P2389" s="108">
        <v>0</v>
      </c>
      <c r="Q2389" s="108">
        <v>0</v>
      </c>
      <c r="R2389" s="108">
        <v>0</v>
      </c>
      <c r="S2389" s="108">
        <v>0</v>
      </c>
      <c r="T2389" s="108">
        <v>0</v>
      </c>
      <c r="U2389" s="108">
        <v>0</v>
      </c>
      <c r="V2389" s="108">
        <v>0</v>
      </c>
    </row>
    <row r="2390" customFormat="1" ht="14.45" hidden="1" customHeight="1" spans="1:22">
      <c r="A2390" s="143">
        <v>45121</v>
      </c>
      <c r="B2390" s="104" t="s">
        <v>32</v>
      </c>
      <c r="C2390" s="145">
        <v>0</v>
      </c>
      <c r="D2390" s="145"/>
      <c r="E2390" s="104">
        <v>0</v>
      </c>
      <c r="F2390" s="106">
        <v>0</v>
      </c>
      <c r="G2390" s="107">
        <v>0</v>
      </c>
      <c r="H2390" s="106">
        <v>0</v>
      </c>
      <c r="I2390" s="104">
        <v>0</v>
      </c>
      <c r="J2390" s="106">
        <v>0</v>
      </c>
      <c r="K2390" s="108">
        <v>0</v>
      </c>
      <c r="L2390" s="108">
        <v>0</v>
      </c>
      <c r="M2390" s="108">
        <v>0</v>
      </c>
      <c r="N2390" s="108">
        <v>0</v>
      </c>
      <c r="O2390" s="108">
        <v>0</v>
      </c>
      <c r="P2390" s="108">
        <v>0</v>
      </c>
      <c r="Q2390" s="108">
        <v>0</v>
      </c>
      <c r="R2390" s="108">
        <v>0</v>
      </c>
      <c r="S2390" s="108">
        <v>0</v>
      </c>
      <c r="T2390" s="108">
        <v>0</v>
      </c>
      <c r="U2390" s="108">
        <v>0</v>
      </c>
      <c r="V2390" s="108">
        <v>0</v>
      </c>
    </row>
    <row r="2391" customFormat="1" hidden="1" spans="1:22">
      <c r="A2391" s="143">
        <v>45121</v>
      </c>
      <c r="B2391" s="104" t="s">
        <v>33</v>
      </c>
      <c r="C2391" s="145">
        <v>0</v>
      </c>
      <c r="D2391" s="145"/>
      <c r="E2391" s="104">
        <v>0</v>
      </c>
      <c r="F2391" s="106">
        <v>0</v>
      </c>
      <c r="G2391" s="107">
        <v>0</v>
      </c>
      <c r="H2391" s="106">
        <v>0</v>
      </c>
      <c r="I2391" s="104">
        <v>0</v>
      </c>
      <c r="J2391" s="106">
        <v>0</v>
      </c>
      <c r="K2391" s="108">
        <v>0</v>
      </c>
      <c r="L2391" s="108">
        <v>0</v>
      </c>
      <c r="M2391" s="108">
        <v>0</v>
      </c>
      <c r="N2391" s="108">
        <v>0</v>
      </c>
      <c r="O2391" s="108">
        <v>0</v>
      </c>
      <c r="P2391" s="108">
        <v>0</v>
      </c>
      <c r="Q2391" s="108">
        <v>0</v>
      </c>
      <c r="R2391" s="108">
        <v>0</v>
      </c>
      <c r="S2391" s="108">
        <v>0</v>
      </c>
      <c r="T2391" s="108">
        <v>0</v>
      </c>
      <c r="U2391" s="108">
        <v>0</v>
      </c>
      <c r="V2391" s="108">
        <v>0</v>
      </c>
    </row>
    <row r="2392" customFormat="1" hidden="1" spans="1:22">
      <c r="A2392" s="143">
        <v>45121</v>
      </c>
      <c r="B2392" s="104" t="s">
        <v>34</v>
      </c>
      <c r="C2392" s="145">
        <v>0</v>
      </c>
      <c r="D2392" s="145"/>
      <c r="E2392" s="104">
        <v>0</v>
      </c>
      <c r="F2392" s="106">
        <v>0</v>
      </c>
      <c r="G2392" s="107">
        <v>0</v>
      </c>
      <c r="H2392" s="106">
        <v>0</v>
      </c>
      <c r="I2392" s="104">
        <v>0</v>
      </c>
      <c r="J2392" s="106">
        <v>0</v>
      </c>
      <c r="K2392" s="108">
        <v>0</v>
      </c>
      <c r="L2392" s="108">
        <v>0</v>
      </c>
      <c r="M2392" s="108">
        <v>0</v>
      </c>
      <c r="N2392" s="108">
        <v>0</v>
      </c>
      <c r="O2392" s="108">
        <v>0</v>
      </c>
      <c r="P2392" s="108">
        <v>0</v>
      </c>
      <c r="Q2392" s="108">
        <v>0</v>
      </c>
      <c r="R2392" s="108">
        <v>0</v>
      </c>
      <c r="S2392" s="108">
        <v>0</v>
      </c>
      <c r="T2392" s="108">
        <v>0</v>
      </c>
      <c r="U2392" s="108">
        <v>0</v>
      </c>
      <c r="V2392" s="108">
        <v>0</v>
      </c>
    </row>
    <row r="2393" customFormat="1" hidden="1" spans="1:22">
      <c r="A2393" s="143">
        <v>45121</v>
      </c>
      <c r="B2393" s="104" t="s">
        <v>35</v>
      </c>
      <c r="C2393" s="145">
        <v>0</v>
      </c>
      <c r="D2393" s="145"/>
      <c r="E2393" s="104">
        <v>0</v>
      </c>
      <c r="F2393" s="106">
        <v>0</v>
      </c>
      <c r="G2393" s="107">
        <v>0</v>
      </c>
      <c r="H2393" s="106">
        <v>0</v>
      </c>
      <c r="I2393" s="104">
        <v>0</v>
      </c>
      <c r="J2393" s="106">
        <v>0</v>
      </c>
      <c r="K2393" s="108">
        <v>0</v>
      </c>
      <c r="L2393" s="108">
        <v>0</v>
      </c>
      <c r="M2393" s="108">
        <v>0</v>
      </c>
      <c r="N2393" s="108">
        <v>0</v>
      </c>
      <c r="O2393" s="108">
        <v>0</v>
      </c>
      <c r="P2393" s="108">
        <v>0</v>
      </c>
      <c r="Q2393" s="108">
        <v>0</v>
      </c>
      <c r="R2393" s="108">
        <v>0</v>
      </c>
      <c r="S2393" s="108">
        <v>0</v>
      </c>
      <c r="T2393" s="108">
        <v>0</v>
      </c>
      <c r="U2393" s="108">
        <v>0</v>
      </c>
      <c r="V2393" s="108">
        <v>0</v>
      </c>
    </row>
    <row r="2394" customFormat="1" hidden="1" spans="1:22">
      <c r="A2394" s="143">
        <v>45121</v>
      </c>
      <c r="B2394" s="104" t="s">
        <v>36</v>
      </c>
      <c r="C2394" s="145">
        <v>0</v>
      </c>
      <c r="D2394" s="145"/>
      <c r="E2394" s="104">
        <v>0</v>
      </c>
      <c r="F2394" s="106">
        <v>0</v>
      </c>
      <c r="G2394" s="107">
        <v>0</v>
      </c>
      <c r="H2394" s="106">
        <v>0</v>
      </c>
      <c r="I2394" s="104">
        <v>0</v>
      </c>
      <c r="J2394" s="106">
        <v>0</v>
      </c>
      <c r="K2394" s="108">
        <v>0</v>
      </c>
      <c r="L2394" s="108">
        <v>0</v>
      </c>
      <c r="M2394" s="108">
        <v>0</v>
      </c>
      <c r="N2394" s="108">
        <v>0</v>
      </c>
      <c r="O2394" s="108">
        <v>0</v>
      </c>
      <c r="P2394" s="108">
        <v>0</v>
      </c>
      <c r="Q2394" s="108">
        <v>0</v>
      </c>
      <c r="R2394" s="108">
        <v>0</v>
      </c>
      <c r="S2394" s="108">
        <v>0</v>
      </c>
      <c r="T2394" s="108">
        <v>0</v>
      </c>
      <c r="U2394" s="108">
        <v>0</v>
      </c>
      <c r="V2394" s="108">
        <v>0</v>
      </c>
    </row>
    <row r="2395" customFormat="1" hidden="1" spans="1:22">
      <c r="A2395" s="143">
        <v>45121</v>
      </c>
      <c r="B2395" s="104" t="s">
        <v>37</v>
      </c>
      <c r="C2395" s="145">
        <v>0</v>
      </c>
      <c r="D2395" s="145"/>
      <c r="E2395" s="104">
        <v>2</v>
      </c>
      <c r="F2395" s="106">
        <v>0</v>
      </c>
      <c r="G2395" s="107">
        <v>0</v>
      </c>
      <c r="H2395" s="106">
        <v>0</v>
      </c>
      <c r="I2395" s="104">
        <v>0</v>
      </c>
      <c r="J2395" s="106">
        <v>0</v>
      </c>
      <c r="K2395" s="108">
        <v>0</v>
      </c>
      <c r="L2395" s="108">
        <v>0</v>
      </c>
      <c r="M2395" s="108">
        <v>0</v>
      </c>
      <c r="N2395" s="108">
        <v>0</v>
      </c>
      <c r="O2395" s="108">
        <v>2</v>
      </c>
      <c r="P2395" s="108">
        <v>2</v>
      </c>
      <c r="Q2395" s="108">
        <v>1.6</v>
      </c>
      <c r="R2395" s="108">
        <v>1.57142857142857</v>
      </c>
      <c r="S2395" s="108">
        <v>0</v>
      </c>
      <c r="T2395" s="108">
        <v>-0.333333333333333</v>
      </c>
      <c r="U2395" s="108">
        <v>-0.6</v>
      </c>
      <c r="V2395" s="108">
        <v>-0.428571428571429</v>
      </c>
    </row>
    <row r="2396" customFormat="1" hidden="1" spans="1:22">
      <c r="A2396" s="143">
        <v>45121</v>
      </c>
      <c r="B2396" s="104" t="s">
        <v>38</v>
      </c>
      <c r="C2396" s="145">
        <v>0</v>
      </c>
      <c r="D2396" s="145"/>
      <c r="E2396" s="104">
        <v>0</v>
      </c>
      <c r="F2396" s="106">
        <v>0</v>
      </c>
      <c r="G2396" s="107">
        <v>0</v>
      </c>
      <c r="H2396" s="106">
        <v>0</v>
      </c>
      <c r="I2396" s="104">
        <v>0</v>
      </c>
      <c r="J2396" s="106">
        <v>0</v>
      </c>
      <c r="K2396" s="108">
        <v>0</v>
      </c>
      <c r="L2396" s="108">
        <v>0</v>
      </c>
      <c r="M2396" s="108">
        <v>0</v>
      </c>
      <c r="N2396" s="108">
        <v>0</v>
      </c>
      <c r="O2396" s="108">
        <v>0</v>
      </c>
      <c r="P2396" s="108">
        <v>0</v>
      </c>
      <c r="Q2396" s="108">
        <v>0</v>
      </c>
      <c r="R2396" s="108">
        <v>0</v>
      </c>
      <c r="S2396" s="108">
        <v>0</v>
      </c>
      <c r="T2396" s="108">
        <v>0</v>
      </c>
      <c r="U2396" s="108">
        <v>0</v>
      </c>
      <c r="V2396" s="108">
        <v>0</v>
      </c>
    </row>
    <row r="2397" customFormat="1" spans="1:22">
      <c r="A2397" s="143">
        <v>45121</v>
      </c>
      <c r="B2397" s="111" t="s">
        <v>39</v>
      </c>
      <c r="C2397" s="112">
        <v>9181</v>
      </c>
      <c r="D2397" s="112">
        <v>4117</v>
      </c>
      <c r="E2397" s="112">
        <v>175</v>
      </c>
      <c r="F2397" s="106">
        <v>0.0190611044548524</v>
      </c>
      <c r="G2397" s="112">
        <v>63</v>
      </c>
      <c r="H2397" s="113">
        <v>0.36</v>
      </c>
      <c r="I2397" s="112">
        <v>38</v>
      </c>
      <c r="J2397" s="106">
        <v>0.217142857142857</v>
      </c>
      <c r="K2397" s="108"/>
      <c r="L2397" s="108"/>
      <c r="M2397" s="108"/>
      <c r="N2397" s="108"/>
      <c r="O2397" s="108"/>
      <c r="P2397" s="108"/>
      <c r="Q2397" s="108"/>
      <c r="R2397" s="108"/>
      <c r="S2397" s="108"/>
      <c r="T2397" s="108"/>
      <c r="U2397" s="108"/>
      <c r="V2397" s="108"/>
    </row>
    <row r="2398" customFormat="1" ht="14.45" customHeight="1" spans="1:24">
      <c r="A2398" s="143">
        <v>45122</v>
      </c>
      <c r="B2398" s="104" t="s">
        <v>17</v>
      </c>
      <c r="C2398" s="216">
        <v>206</v>
      </c>
      <c r="D2398" s="216">
        <v>213</v>
      </c>
      <c r="E2398" s="217">
        <v>22</v>
      </c>
      <c r="F2398" s="106">
        <v>0.106796116504854</v>
      </c>
      <c r="G2398" s="107">
        <v>8</v>
      </c>
      <c r="H2398" s="106">
        <v>0.363636363636364</v>
      </c>
      <c r="I2398" s="104">
        <v>5</v>
      </c>
      <c r="J2398" s="106">
        <v>0.227272727272727</v>
      </c>
      <c r="K2398" s="108">
        <v>206</v>
      </c>
      <c r="L2398" s="108">
        <v>206</v>
      </c>
      <c r="M2398" s="108">
        <v>205.8</v>
      </c>
      <c r="N2398" s="108">
        <v>205.285714285714</v>
      </c>
      <c r="O2398" s="108">
        <v>4</v>
      </c>
      <c r="P2398" s="108">
        <v>10</v>
      </c>
      <c r="Q2398" s="108">
        <v>-1</v>
      </c>
      <c r="R2398" s="108">
        <v>-7.14285714285714</v>
      </c>
      <c r="S2398" s="108">
        <v>2</v>
      </c>
      <c r="T2398" s="108">
        <v>2.66666666666667</v>
      </c>
      <c r="U2398" s="108">
        <v>1.2</v>
      </c>
      <c r="V2398" s="108">
        <v>0.142857142857143</v>
      </c>
      <c r="X2398" t="s">
        <v>18</v>
      </c>
    </row>
    <row r="2399" customFormat="1" ht="14.45" customHeight="1" spans="1:24">
      <c r="A2399" s="143">
        <v>45122</v>
      </c>
      <c r="B2399" s="104" t="s">
        <v>19</v>
      </c>
      <c r="C2399" s="216">
        <v>347</v>
      </c>
      <c r="D2399" s="216">
        <v>297</v>
      </c>
      <c r="E2399" s="217">
        <v>10</v>
      </c>
      <c r="F2399" s="106">
        <v>0.0288184438040346</v>
      </c>
      <c r="G2399" s="107">
        <v>7</v>
      </c>
      <c r="H2399" s="106">
        <v>0.7</v>
      </c>
      <c r="I2399" s="104">
        <v>3</v>
      </c>
      <c r="J2399" s="106">
        <v>0.3</v>
      </c>
      <c r="K2399" s="108">
        <v>-19</v>
      </c>
      <c r="L2399" s="108">
        <v>-27.6666666666667</v>
      </c>
      <c r="M2399" s="108">
        <v>-86.6</v>
      </c>
      <c r="N2399" s="108">
        <v>-104.285714285714</v>
      </c>
      <c r="O2399" s="108">
        <v>0</v>
      </c>
      <c r="P2399" s="108">
        <v>-1</v>
      </c>
      <c r="Q2399" s="108">
        <v>0.4</v>
      </c>
      <c r="R2399" s="108">
        <v>0.571428571428571</v>
      </c>
      <c r="S2399" s="108">
        <v>5</v>
      </c>
      <c r="T2399" s="108">
        <v>2.33333333333333</v>
      </c>
      <c r="U2399" s="108">
        <v>2.6</v>
      </c>
      <c r="V2399" s="115">
        <v>3.42857142857143</v>
      </c>
      <c r="W2399" s="154"/>
      <c r="X2399" s="154"/>
    </row>
    <row r="2400" customFormat="1" ht="14.45" customHeight="1" spans="1:22">
      <c r="A2400" s="143">
        <v>45122</v>
      </c>
      <c r="B2400" s="104" t="s">
        <v>21</v>
      </c>
      <c r="C2400" s="218">
        <v>39</v>
      </c>
      <c r="D2400" s="218">
        <v>114</v>
      </c>
      <c r="E2400" s="217">
        <v>1</v>
      </c>
      <c r="F2400" s="106">
        <v>0.0256410256410256</v>
      </c>
      <c r="G2400" s="107">
        <v>2</v>
      </c>
      <c r="H2400" s="106">
        <v>2</v>
      </c>
      <c r="I2400" s="104">
        <v>1</v>
      </c>
      <c r="J2400" s="106">
        <v>1</v>
      </c>
      <c r="K2400" s="108">
        <v>-18</v>
      </c>
      <c r="L2400" s="108">
        <v>-10.6666666666667</v>
      </c>
      <c r="M2400" s="108">
        <v>-15.8</v>
      </c>
      <c r="N2400" s="108">
        <v>-24</v>
      </c>
      <c r="O2400" s="108">
        <v>-1</v>
      </c>
      <c r="P2400" s="108">
        <v>-0.666666666666667</v>
      </c>
      <c r="Q2400" s="108">
        <v>-0.2</v>
      </c>
      <c r="R2400" s="108">
        <v>0</v>
      </c>
      <c r="S2400" s="108">
        <v>-4</v>
      </c>
      <c r="T2400" s="108">
        <v>-1.33333333333333</v>
      </c>
      <c r="U2400" s="108">
        <v>-0.8</v>
      </c>
      <c r="V2400" s="108">
        <v>-0.142857142857143</v>
      </c>
    </row>
    <row r="2401" customFormat="1" ht="18.95" customHeight="1" spans="1:24">
      <c r="A2401" s="143">
        <v>45122</v>
      </c>
      <c r="B2401" s="104" t="s">
        <v>22</v>
      </c>
      <c r="C2401" s="218">
        <v>2061</v>
      </c>
      <c r="D2401" s="218">
        <v>1001</v>
      </c>
      <c r="E2401" s="217">
        <v>70</v>
      </c>
      <c r="F2401" s="106">
        <v>0.0339640950994663</v>
      </c>
      <c r="G2401" s="107">
        <v>27</v>
      </c>
      <c r="H2401" s="106">
        <v>0.385714285714286</v>
      </c>
      <c r="I2401" s="104">
        <v>24</v>
      </c>
      <c r="J2401" s="106">
        <v>0.342857142857143</v>
      </c>
      <c r="K2401" s="108">
        <v>102</v>
      </c>
      <c r="L2401" s="108">
        <v>-43.3333333333335</v>
      </c>
      <c r="M2401" s="108">
        <v>-94.4000000000001</v>
      </c>
      <c r="N2401" s="108">
        <v>-108.571428571428</v>
      </c>
      <c r="O2401" s="108">
        <v>37</v>
      </c>
      <c r="P2401" s="108">
        <v>32.3333333333333</v>
      </c>
      <c r="Q2401" s="108">
        <v>36.2</v>
      </c>
      <c r="R2401" s="115">
        <v>34.5714285714286</v>
      </c>
      <c r="S2401" s="108">
        <v>12</v>
      </c>
      <c r="T2401" s="108">
        <v>11.3333333333333</v>
      </c>
      <c r="U2401" s="108">
        <v>12.8</v>
      </c>
      <c r="V2401" s="117">
        <v>11.2857142857143</v>
      </c>
      <c r="W2401" s="154"/>
      <c r="X2401" s="154"/>
    </row>
    <row r="2402" customFormat="1" ht="14.45" customHeight="1" spans="1:22">
      <c r="A2402" s="143">
        <v>45122</v>
      </c>
      <c r="B2402" s="104" t="s">
        <v>23</v>
      </c>
      <c r="C2402" s="218">
        <v>2138</v>
      </c>
      <c r="D2402" s="218">
        <v>342</v>
      </c>
      <c r="E2402" s="217">
        <v>12</v>
      </c>
      <c r="F2402" s="106">
        <v>0.00561272217025257</v>
      </c>
      <c r="G2402" s="107">
        <v>3</v>
      </c>
      <c r="H2402" s="106">
        <v>0.25</v>
      </c>
      <c r="I2402" s="104">
        <v>3</v>
      </c>
      <c r="J2402" s="106">
        <v>0.25</v>
      </c>
      <c r="K2402" s="108">
        <v>224</v>
      </c>
      <c r="L2402" s="108">
        <v>342.666666666667</v>
      </c>
      <c r="M2402" s="108">
        <v>334.6</v>
      </c>
      <c r="N2402" s="108">
        <v>343.285714285714</v>
      </c>
      <c r="O2402" s="108">
        <v>3</v>
      </c>
      <c r="P2402" s="108">
        <v>5.33333333333333</v>
      </c>
      <c r="Q2402" s="108">
        <v>5.8</v>
      </c>
      <c r="R2402" s="108">
        <v>6.85714285714286</v>
      </c>
      <c r="S2402" s="108">
        <v>-1</v>
      </c>
      <c r="T2402" s="116">
        <v>0</v>
      </c>
      <c r="U2402" s="108">
        <v>0.8</v>
      </c>
      <c r="V2402" s="108">
        <v>1.14285714285714</v>
      </c>
    </row>
    <row r="2403" customFormat="1" ht="14.45" customHeight="1" spans="1:24">
      <c r="A2403" s="143">
        <v>45122</v>
      </c>
      <c r="B2403" s="104" t="s">
        <v>24</v>
      </c>
      <c r="C2403" s="218">
        <v>715</v>
      </c>
      <c r="D2403" s="218">
        <v>622</v>
      </c>
      <c r="E2403" s="217">
        <v>7</v>
      </c>
      <c r="F2403" s="106">
        <v>0.00979020979020979</v>
      </c>
      <c r="G2403" s="107">
        <v>3</v>
      </c>
      <c r="H2403" s="106">
        <v>0.428571428571429</v>
      </c>
      <c r="I2403" s="104">
        <v>2</v>
      </c>
      <c r="J2403" s="106">
        <v>0.285714285714286</v>
      </c>
      <c r="K2403" s="108">
        <v>-135</v>
      </c>
      <c r="L2403" s="108">
        <v>-69</v>
      </c>
      <c r="M2403" s="108">
        <v>88.6</v>
      </c>
      <c r="N2403" s="108">
        <v>205.857142857143</v>
      </c>
      <c r="O2403" s="115">
        <v>-3</v>
      </c>
      <c r="P2403" s="115">
        <v>-2</v>
      </c>
      <c r="Q2403" s="115">
        <v>0.2</v>
      </c>
      <c r="R2403" s="115">
        <v>0.857142857142857</v>
      </c>
      <c r="S2403" s="115">
        <v>0</v>
      </c>
      <c r="T2403" s="115">
        <v>-1.33333333333333</v>
      </c>
      <c r="U2403" s="115">
        <v>-0.8</v>
      </c>
      <c r="V2403" s="115">
        <v>-0.285714285714286</v>
      </c>
      <c r="W2403" s="154"/>
      <c r="X2403" s="154"/>
    </row>
    <row r="2404" customFormat="1" ht="14.45" customHeight="1" spans="1:22">
      <c r="A2404" s="143">
        <v>45122</v>
      </c>
      <c r="B2404" s="104" t="s">
        <v>25</v>
      </c>
      <c r="C2404" s="218">
        <v>2261</v>
      </c>
      <c r="D2404" s="218">
        <v>368</v>
      </c>
      <c r="E2404" s="217">
        <v>74</v>
      </c>
      <c r="F2404" s="106">
        <v>0.0327288810260946</v>
      </c>
      <c r="G2404" s="107">
        <v>24</v>
      </c>
      <c r="H2404" s="106">
        <v>0.324324324324324</v>
      </c>
      <c r="I2404" s="104">
        <v>21</v>
      </c>
      <c r="J2404" s="106">
        <v>0.283783783783784</v>
      </c>
      <c r="K2404" s="108">
        <v>-159</v>
      </c>
      <c r="L2404" s="108">
        <v>-180.333333333333</v>
      </c>
      <c r="M2404" s="108">
        <v>-134</v>
      </c>
      <c r="N2404" s="108">
        <v>-115.428571428572</v>
      </c>
      <c r="O2404" s="115">
        <v>9</v>
      </c>
      <c r="P2404" s="115">
        <v>12.3333333333333</v>
      </c>
      <c r="Q2404" s="115">
        <v>14.6</v>
      </c>
      <c r="R2404" s="115">
        <v>19.1428571428571</v>
      </c>
      <c r="S2404" s="108">
        <v>3</v>
      </c>
      <c r="T2404" s="108">
        <v>-0.333333333333332</v>
      </c>
      <c r="U2404" s="108">
        <v>3.6</v>
      </c>
      <c r="V2404" s="108">
        <v>5.28571428571428</v>
      </c>
    </row>
    <row r="2405" customFormat="1" ht="14.45" customHeight="1" spans="1:22">
      <c r="A2405" s="143">
        <v>45122</v>
      </c>
      <c r="B2405" s="104" t="s">
        <v>26</v>
      </c>
      <c r="C2405" s="218">
        <v>329</v>
      </c>
      <c r="D2405" s="218">
        <v>1138</v>
      </c>
      <c r="E2405" s="217">
        <v>19</v>
      </c>
      <c r="F2405" s="106">
        <v>0.0577507598784195</v>
      </c>
      <c r="G2405" s="107">
        <v>6</v>
      </c>
      <c r="H2405" s="106">
        <v>0.315789473684211</v>
      </c>
      <c r="I2405" s="104">
        <v>4</v>
      </c>
      <c r="J2405" s="106">
        <v>0.210526315789474</v>
      </c>
      <c r="K2405" s="108">
        <v>327</v>
      </c>
      <c r="L2405" s="108">
        <v>325.666666666667</v>
      </c>
      <c r="M2405" s="108">
        <v>3.80000000000001</v>
      </c>
      <c r="N2405" s="108">
        <v>-193.285714285714</v>
      </c>
      <c r="O2405" s="108">
        <v>5</v>
      </c>
      <c r="P2405" s="108">
        <v>4</v>
      </c>
      <c r="Q2405" s="108">
        <v>5.2</v>
      </c>
      <c r="R2405" s="108">
        <v>4.85714285714286</v>
      </c>
      <c r="S2405" s="108">
        <v>3</v>
      </c>
      <c r="T2405" s="108">
        <v>1.66666666666667</v>
      </c>
      <c r="U2405" s="108">
        <v>2.8</v>
      </c>
      <c r="V2405" s="108">
        <v>2.42857142857143</v>
      </c>
    </row>
    <row r="2406" customFormat="1" ht="14.45" customHeight="1" spans="1:22">
      <c r="A2406" s="143">
        <v>45122</v>
      </c>
      <c r="B2406" s="104" t="s">
        <v>27</v>
      </c>
      <c r="C2406" s="218">
        <v>1516</v>
      </c>
      <c r="D2406" s="218">
        <v>298</v>
      </c>
      <c r="E2406" s="217">
        <v>11</v>
      </c>
      <c r="F2406" s="106">
        <v>0.00725593667546174</v>
      </c>
      <c r="G2406" s="107">
        <v>3</v>
      </c>
      <c r="H2406" s="106">
        <v>0.272727272727273</v>
      </c>
      <c r="I2406" s="104">
        <v>2</v>
      </c>
      <c r="J2406" s="106">
        <v>0.181818181818182</v>
      </c>
      <c r="K2406" s="108">
        <v>-97</v>
      </c>
      <c r="L2406" s="108">
        <v>-182.333333333333</v>
      </c>
      <c r="M2406" s="108">
        <v>-334.6</v>
      </c>
      <c r="N2406" s="108">
        <v>-345.714285714286</v>
      </c>
      <c r="O2406" s="108">
        <v>-1</v>
      </c>
      <c r="P2406" s="108">
        <v>-1</v>
      </c>
      <c r="Q2406" s="108">
        <v>-4</v>
      </c>
      <c r="R2406" s="108">
        <v>-3.71428571428571</v>
      </c>
      <c r="S2406" s="108">
        <v>0</v>
      </c>
      <c r="T2406" s="108">
        <v>-0.333333333333333</v>
      </c>
      <c r="U2406" s="108">
        <v>-0.8</v>
      </c>
      <c r="V2406" s="108">
        <v>-1</v>
      </c>
    </row>
    <row r="2407" customFormat="1" ht="14.45" hidden="1" customHeight="1" spans="1:22">
      <c r="A2407" s="143">
        <v>45122</v>
      </c>
      <c r="B2407" s="104" t="s">
        <v>28</v>
      </c>
      <c r="C2407" s="145">
        <v>0</v>
      </c>
      <c r="D2407" s="145"/>
      <c r="E2407" s="104">
        <v>0</v>
      </c>
      <c r="F2407" s="106">
        <v>0</v>
      </c>
      <c r="G2407" s="107">
        <v>0</v>
      </c>
      <c r="H2407" s="106">
        <v>0</v>
      </c>
      <c r="I2407" s="104">
        <v>0</v>
      </c>
      <c r="J2407" s="106">
        <v>0</v>
      </c>
      <c r="K2407" s="108">
        <v>0</v>
      </c>
      <c r="L2407" s="108">
        <v>0</v>
      </c>
      <c r="M2407" s="108">
        <v>0</v>
      </c>
      <c r="N2407" s="108">
        <v>0</v>
      </c>
      <c r="O2407" s="108">
        <v>0</v>
      </c>
      <c r="P2407" s="108">
        <v>0</v>
      </c>
      <c r="Q2407" s="108">
        <v>0</v>
      </c>
      <c r="R2407" s="108">
        <v>0</v>
      </c>
      <c r="S2407" s="108">
        <v>0</v>
      </c>
      <c r="T2407" s="108">
        <v>0</v>
      </c>
      <c r="U2407" s="108">
        <v>0</v>
      </c>
      <c r="V2407" s="108">
        <v>0</v>
      </c>
    </row>
    <row r="2408" customFormat="1" ht="14.45" hidden="1" customHeight="1" spans="1:22">
      <c r="A2408" s="143">
        <v>45122</v>
      </c>
      <c r="B2408" s="104" t="s">
        <v>29</v>
      </c>
      <c r="C2408" s="145">
        <v>0</v>
      </c>
      <c r="D2408" s="145"/>
      <c r="E2408" s="104">
        <v>2</v>
      </c>
      <c r="F2408" s="106">
        <v>0</v>
      </c>
      <c r="G2408" s="107">
        <v>0</v>
      </c>
      <c r="H2408" s="106">
        <v>0</v>
      </c>
      <c r="I2408" s="104">
        <v>0</v>
      </c>
      <c r="J2408" s="106">
        <v>0</v>
      </c>
      <c r="K2408" s="108">
        <v>0</v>
      </c>
      <c r="L2408" s="108">
        <v>0</v>
      </c>
      <c r="M2408" s="108">
        <v>0</v>
      </c>
      <c r="N2408" s="108">
        <v>0</v>
      </c>
      <c r="O2408" s="108">
        <v>2</v>
      </c>
      <c r="P2408" s="108">
        <v>1.66666666666667</v>
      </c>
      <c r="Q2408" s="108">
        <v>1.8</v>
      </c>
      <c r="R2408" s="108">
        <v>1.85714285714286</v>
      </c>
      <c r="S2408" s="108">
        <v>0</v>
      </c>
      <c r="T2408" s="108">
        <v>0</v>
      </c>
      <c r="U2408" s="108">
        <v>0</v>
      </c>
      <c r="V2408" s="108">
        <v>0</v>
      </c>
    </row>
    <row r="2409" customFormat="1" ht="14.45" hidden="1" customHeight="1" spans="1:22">
      <c r="A2409" s="143">
        <v>45122</v>
      </c>
      <c r="B2409" s="104" t="s">
        <v>30</v>
      </c>
      <c r="C2409" s="145">
        <v>0</v>
      </c>
      <c r="D2409" s="145"/>
      <c r="E2409" s="104">
        <v>0</v>
      </c>
      <c r="F2409" s="106">
        <v>0</v>
      </c>
      <c r="G2409" s="107">
        <v>0</v>
      </c>
      <c r="H2409" s="106">
        <v>0</v>
      </c>
      <c r="I2409" s="104">
        <v>0</v>
      </c>
      <c r="J2409" s="106">
        <v>0</v>
      </c>
      <c r="K2409" s="108">
        <v>0</v>
      </c>
      <c r="L2409" s="108">
        <v>0</v>
      </c>
      <c r="M2409" s="108">
        <v>0</v>
      </c>
      <c r="N2409" s="108">
        <v>0</v>
      </c>
      <c r="O2409" s="108">
        <v>0</v>
      </c>
      <c r="P2409" s="108">
        <v>0</v>
      </c>
      <c r="Q2409" s="108">
        <v>0</v>
      </c>
      <c r="R2409" s="108">
        <v>0</v>
      </c>
      <c r="S2409" s="108">
        <v>0</v>
      </c>
      <c r="T2409" s="108">
        <v>0</v>
      </c>
      <c r="U2409" s="108">
        <v>0</v>
      </c>
      <c r="V2409" s="108">
        <v>0</v>
      </c>
    </row>
    <row r="2410" customFormat="1" ht="14.45" hidden="1" customHeight="1" spans="1:22">
      <c r="A2410" s="143">
        <v>45122</v>
      </c>
      <c r="B2410" s="104" t="s">
        <v>31</v>
      </c>
      <c r="C2410" s="145">
        <v>0</v>
      </c>
      <c r="D2410" s="145"/>
      <c r="E2410" s="104">
        <v>0</v>
      </c>
      <c r="F2410" s="106">
        <v>0</v>
      </c>
      <c r="G2410" s="107">
        <v>0</v>
      </c>
      <c r="H2410" s="106">
        <v>0</v>
      </c>
      <c r="I2410" s="104">
        <v>0</v>
      </c>
      <c r="J2410" s="106">
        <v>0</v>
      </c>
      <c r="K2410" s="108">
        <v>0</v>
      </c>
      <c r="L2410" s="108">
        <v>0</v>
      </c>
      <c r="M2410" s="108">
        <v>0</v>
      </c>
      <c r="N2410" s="108">
        <v>0</v>
      </c>
      <c r="O2410" s="108">
        <v>0</v>
      </c>
      <c r="P2410" s="108">
        <v>0</v>
      </c>
      <c r="Q2410" s="108">
        <v>0</v>
      </c>
      <c r="R2410" s="108">
        <v>0</v>
      </c>
      <c r="S2410" s="108">
        <v>0</v>
      </c>
      <c r="T2410" s="108">
        <v>0</v>
      </c>
      <c r="U2410" s="108">
        <v>0</v>
      </c>
      <c r="V2410" s="108">
        <v>0</v>
      </c>
    </row>
    <row r="2411" customFormat="1" ht="14.45" hidden="1" customHeight="1" spans="1:22">
      <c r="A2411" s="143">
        <v>45122</v>
      </c>
      <c r="B2411" s="104" t="s">
        <v>32</v>
      </c>
      <c r="C2411" s="145">
        <v>0</v>
      </c>
      <c r="D2411" s="145"/>
      <c r="E2411" s="104">
        <v>0</v>
      </c>
      <c r="F2411" s="106">
        <v>0</v>
      </c>
      <c r="G2411" s="107">
        <v>0</v>
      </c>
      <c r="H2411" s="106">
        <v>0</v>
      </c>
      <c r="I2411" s="104">
        <v>0</v>
      </c>
      <c r="J2411" s="106">
        <v>0</v>
      </c>
      <c r="K2411" s="108">
        <v>0</v>
      </c>
      <c r="L2411" s="108">
        <v>0</v>
      </c>
      <c r="M2411" s="108">
        <v>0</v>
      </c>
      <c r="N2411" s="108">
        <v>0</v>
      </c>
      <c r="O2411" s="108">
        <v>0</v>
      </c>
      <c r="P2411" s="108">
        <v>0</v>
      </c>
      <c r="Q2411" s="108">
        <v>0</v>
      </c>
      <c r="R2411" s="108">
        <v>0</v>
      </c>
      <c r="S2411" s="108">
        <v>0</v>
      </c>
      <c r="T2411" s="108">
        <v>0</v>
      </c>
      <c r="U2411" s="108">
        <v>0</v>
      </c>
      <c r="V2411" s="108">
        <v>0</v>
      </c>
    </row>
    <row r="2412" customFormat="1" hidden="1" spans="1:22">
      <c r="A2412" s="143">
        <v>45122</v>
      </c>
      <c r="B2412" s="104" t="s">
        <v>33</v>
      </c>
      <c r="C2412" s="145">
        <v>0</v>
      </c>
      <c r="D2412" s="145"/>
      <c r="E2412" s="104">
        <v>0</v>
      </c>
      <c r="F2412" s="106">
        <v>0</v>
      </c>
      <c r="G2412" s="107">
        <v>0</v>
      </c>
      <c r="H2412" s="106">
        <v>0</v>
      </c>
      <c r="I2412" s="104">
        <v>0</v>
      </c>
      <c r="J2412" s="106">
        <v>0</v>
      </c>
      <c r="K2412" s="108">
        <v>0</v>
      </c>
      <c r="L2412" s="108">
        <v>0</v>
      </c>
      <c r="M2412" s="108">
        <v>0</v>
      </c>
      <c r="N2412" s="108">
        <v>0</v>
      </c>
      <c r="O2412" s="108">
        <v>0</v>
      </c>
      <c r="P2412" s="108">
        <v>0</v>
      </c>
      <c r="Q2412" s="108">
        <v>0</v>
      </c>
      <c r="R2412" s="108">
        <v>0</v>
      </c>
      <c r="S2412" s="108">
        <v>0</v>
      </c>
      <c r="T2412" s="108">
        <v>0</v>
      </c>
      <c r="U2412" s="108">
        <v>0</v>
      </c>
      <c r="V2412" s="108">
        <v>0</v>
      </c>
    </row>
    <row r="2413" customFormat="1" hidden="1" spans="1:22">
      <c r="A2413" s="143">
        <v>45122</v>
      </c>
      <c r="B2413" s="104" t="s">
        <v>34</v>
      </c>
      <c r="C2413" s="145">
        <v>0</v>
      </c>
      <c r="D2413" s="145"/>
      <c r="E2413" s="104">
        <v>0</v>
      </c>
      <c r="F2413" s="106">
        <v>0</v>
      </c>
      <c r="G2413" s="107">
        <v>0</v>
      </c>
      <c r="H2413" s="106">
        <v>0</v>
      </c>
      <c r="I2413" s="104">
        <v>0</v>
      </c>
      <c r="J2413" s="106">
        <v>0</v>
      </c>
      <c r="K2413" s="108">
        <v>0</v>
      </c>
      <c r="L2413" s="108">
        <v>0</v>
      </c>
      <c r="M2413" s="108">
        <v>0</v>
      </c>
      <c r="N2413" s="108">
        <v>0</v>
      </c>
      <c r="O2413" s="108">
        <v>0</v>
      </c>
      <c r="P2413" s="108">
        <v>0</v>
      </c>
      <c r="Q2413" s="108">
        <v>0</v>
      </c>
      <c r="R2413" s="108">
        <v>0</v>
      </c>
      <c r="S2413" s="108">
        <v>0</v>
      </c>
      <c r="T2413" s="108">
        <v>0</v>
      </c>
      <c r="U2413" s="108">
        <v>0</v>
      </c>
      <c r="V2413" s="108">
        <v>0</v>
      </c>
    </row>
    <row r="2414" customFormat="1" hidden="1" spans="1:22">
      <c r="A2414" s="143">
        <v>45122</v>
      </c>
      <c r="B2414" s="104" t="s">
        <v>35</v>
      </c>
      <c r="C2414" s="145">
        <v>0</v>
      </c>
      <c r="D2414" s="145"/>
      <c r="E2414" s="104">
        <v>0</v>
      </c>
      <c r="F2414" s="106">
        <v>0</v>
      </c>
      <c r="G2414" s="107">
        <v>0</v>
      </c>
      <c r="H2414" s="106">
        <v>0</v>
      </c>
      <c r="I2414" s="104">
        <v>0</v>
      </c>
      <c r="J2414" s="106">
        <v>0</v>
      </c>
      <c r="K2414" s="108">
        <v>0</v>
      </c>
      <c r="L2414" s="108">
        <v>0</v>
      </c>
      <c r="M2414" s="108">
        <v>0</v>
      </c>
      <c r="N2414" s="108">
        <v>0</v>
      </c>
      <c r="O2414" s="108">
        <v>0</v>
      </c>
      <c r="P2414" s="108">
        <v>0</v>
      </c>
      <c r="Q2414" s="108">
        <v>0</v>
      </c>
      <c r="R2414" s="108">
        <v>0</v>
      </c>
      <c r="S2414" s="108">
        <v>0</v>
      </c>
      <c r="T2414" s="108">
        <v>0</v>
      </c>
      <c r="U2414" s="108">
        <v>0</v>
      </c>
      <c r="V2414" s="108">
        <v>0</v>
      </c>
    </row>
    <row r="2415" customFormat="1" hidden="1" spans="1:22">
      <c r="A2415" s="143">
        <v>45122</v>
      </c>
      <c r="B2415" s="104" t="s">
        <v>36</v>
      </c>
      <c r="C2415" s="145">
        <v>0</v>
      </c>
      <c r="D2415" s="145"/>
      <c r="E2415" s="104">
        <v>0</v>
      </c>
      <c r="F2415" s="106">
        <v>0</v>
      </c>
      <c r="G2415" s="107">
        <v>0</v>
      </c>
      <c r="H2415" s="106">
        <v>0</v>
      </c>
      <c r="I2415" s="104">
        <v>0</v>
      </c>
      <c r="J2415" s="106">
        <v>0</v>
      </c>
      <c r="K2415" s="108">
        <v>0</v>
      </c>
      <c r="L2415" s="108">
        <v>0</v>
      </c>
      <c r="M2415" s="108">
        <v>0</v>
      </c>
      <c r="N2415" s="108">
        <v>0</v>
      </c>
      <c r="O2415" s="108">
        <v>0</v>
      </c>
      <c r="P2415" s="108">
        <v>0</v>
      </c>
      <c r="Q2415" s="108">
        <v>0</v>
      </c>
      <c r="R2415" s="108">
        <v>0</v>
      </c>
      <c r="S2415" s="108">
        <v>0</v>
      </c>
      <c r="T2415" s="108">
        <v>0</v>
      </c>
      <c r="U2415" s="108">
        <v>0</v>
      </c>
      <c r="V2415" s="108">
        <v>0</v>
      </c>
    </row>
    <row r="2416" customFormat="1" hidden="1" spans="1:22">
      <c r="A2416" s="143">
        <v>45122</v>
      </c>
      <c r="B2416" s="104" t="s">
        <v>37</v>
      </c>
      <c r="C2416" s="145">
        <v>0</v>
      </c>
      <c r="D2416" s="145"/>
      <c r="E2416" s="104">
        <v>0</v>
      </c>
      <c r="F2416" s="106">
        <v>0</v>
      </c>
      <c r="G2416" s="107">
        <v>0</v>
      </c>
      <c r="H2416" s="106">
        <v>0</v>
      </c>
      <c r="I2416" s="104">
        <v>0</v>
      </c>
      <c r="J2416" s="106">
        <v>0</v>
      </c>
      <c r="K2416" s="108">
        <v>0</v>
      </c>
      <c r="L2416" s="108">
        <v>0</v>
      </c>
      <c r="M2416" s="108">
        <v>0</v>
      </c>
      <c r="N2416" s="108">
        <v>0</v>
      </c>
      <c r="O2416" s="108">
        <v>-2</v>
      </c>
      <c r="P2416" s="108">
        <v>-0.666666666666667</v>
      </c>
      <c r="Q2416" s="108">
        <v>-0.6</v>
      </c>
      <c r="R2416" s="108">
        <v>-0.571428571428571</v>
      </c>
      <c r="S2416" s="108">
        <v>0</v>
      </c>
      <c r="T2416" s="108">
        <v>-0.333333333333333</v>
      </c>
      <c r="U2416" s="108">
        <v>-0.4</v>
      </c>
      <c r="V2416" s="108">
        <v>-0.428571428571429</v>
      </c>
    </row>
    <row r="2417" customFormat="1" hidden="1" spans="1:22">
      <c r="A2417" s="143">
        <v>45122</v>
      </c>
      <c r="B2417" s="104" t="s">
        <v>38</v>
      </c>
      <c r="C2417" s="145">
        <v>0</v>
      </c>
      <c r="D2417" s="145"/>
      <c r="E2417" s="104">
        <v>0</v>
      </c>
      <c r="F2417" s="106">
        <v>0</v>
      </c>
      <c r="G2417" s="107">
        <v>0</v>
      </c>
      <c r="H2417" s="106">
        <v>0</v>
      </c>
      <c r="I2417" s="104">
        <v>0</v>
      </c>
      <c r="J2417" s="106">
        <v>0</v>
      </c>
      <c r="K2417" s="108">
        <v>0</v>
      </c>
      <c r="L2417" s="108">
        <v>0</v>
      </c>
      <c r="M2417" s="108">
        <v>0</v>
      </c>
      <c r="N2417" s="108">
        <v>0</v>
      </c>
      <c r="O2417" s="108">
        <v>0</v>
      </c>
      <c r="P2417" s="108">
        <v>0</v>
      </c>
      <c r="Q2417" s="108">
        <v>0</v>
      </c>
      <c r="R2417" s="108">
        <v>0</v>
      </c>
      <c r="S2417" s="108">
        <v>0</v>
      </c>
      <c r="T2417" s="108">
        <v>0</v>
      </c>
      <c r="U2417" s="108">
        <v>0</v>
      </c>
      <c r="V2417" s="108">
        <v>0</v>
      </c>
    </row>
    <row r="2418" customFormat="1" spans="1:22">
      <c r="A2418" s="143">
        <v>45122</v>
      </c>
      <c r="B2418" s="111" t="s">
        <v>39</v>
      </c>
      <c r="C2418" s="112">
        <v>9612</v>
      </c>
      <c r="D2418" s="112">
        <v>4393</v>
      </c>
      <c r="E2418" s="112">
        <v>228</v>
      </c>
      <c r="F2418" s="106">
        <v>0.0237203495630462</v>
      </c>
      <c r="G2418" s="112">
        <v>83</v>
      </c>
      <c r="H2418" s="113">
        <v>0.364035087719298</v>
      </c>
      <c r="I2418" s="112">
        <v>65</v>
      </c>
      <c r="J2418" s="106">
        <v>0.285087719298246</v>
      </c>
      <c r="K2418" s="108"/>
      <c r="L2418" s="108"/>
      <c r="M2418" s="108"/>
      <c r="N2418" s="108"/>
      <c r="O2418" s="108"/>
      <c r="P2418" s="108"/>
      <c r="Q2418" s="108"/>
      <c r="R2418" s="108"/>
      <c r="S2418" s="108"/>
      <c r="T2418" s="108"/>
      <c r="U2418" s="108"/>
      <c r="V2418" s="108"/>
    </row>
    <row r="2419" spans="1:22">
      <c r="A2419" s="143">
        <v>45123</v>
      </c>
      <c r="B2419" s="104" t="s">
        <v>17</v>
      </c>
      <c r="C2419" s="216">
        <v>440</v>
      </c>
      <c r="D2419" s="216">
        <v>129</v>
      </c>
      <c r="E2419" s="217">
        <v>23</v>
      </c>
      <c r="F2419" s="106">
        <v>0.0522727272727273</v>
      </c>
      <c r="G2419" s="107">
        <v>5</v>
      </c>
      <c r="H2419" s="106">
        <v>0.217391304347826</v>
      </c>
      <c r="I2419" s="104">
        <v>4</v>
      </c>
      <c r="J2419" s="106">
        <v>0.173913043478261</v>
      </c>
      <c r="K2419" s="108">
        <v>234</v>
      </c>
      <c r="L2419" s="108">
        <v>371.333333333333</v>
      </c>
      <c r="M2419" s="108">
        <v>398.8</v>
      </c>
      <c r="N2419" s="108">
        <v>410.285714285714</v>
      </c>
      <c r="O2419" s="108">
        <v>1</v>
      </c>
      <c r="P2419" s="108">
        <v>6</v>
      </c>
      <c r="Q2419" s="108">
        <v>6</v>
      </c>
      <c r="R2419" s="108">
        <v>-4</v>
      </c>
      <c r="S2419" s="108">
        <v>-3</v>
      </c>
      <c r="T2419" s="108">
        <v>-1</v>
      </c>
      <c r="U2419" s="108">
        <v>-1.4</v>
      </c>
      <c r="V2419" s="108">
        <v>-2.42857142857143</v>
      </c>
    </row>
    <row r="2420" spans="1:22">
      <c r="A2420" s="143">
        <v>45123</v>
      </c>
      <c r="B2420" s="104" t="s">
        <v>19</v>
      </c>
      <c r="C2420" s="216">
        <v>364</v>
      </c>
      <c r="D2420" s="216">
        <v>311</v>
      </c>
      <c r="E2420" s="217">
        <v>11</v>
      </c>
      <c r="F2420" s="106">
        <v>0.0302197802197802</v>
      </c>
      <c r="G2420" s="107">
        <v>4</v>
      </c>
      <c r="H2420" s="106">
        <v>0.363636363636364</v>
      </c>
      <c r="I2420" s="104">
        <v>3</v>
      </c>
      <c r="J2420" s="106">
        <v>0.272727272727273</v>
      </c>
      <c r="K2420" s="108">
        <v>17</v>
      </c>
      <c r="L2420" s="108">
        <v>8.66666666666669</v>
      </c>
      <c r="M2420" s="108">
        <v>-26.4</v>
      </c>
      <c r="N2420" s="108">
        <v>-75.7142857142857</v>
      </c>
      <c r="O2420" s="108">
        <v>1</v>
      </c>
      <c r="P2420" s="108">
        <v>0</v>
      </c>
      <c r="Q2420" s="108">
        <v>1</v>
      </c>
      <c r="R2420" s="108">
        <v>1.57142857142857</v>
      </c>
      <c r="S2420" s="108">
        <v>-3</v>
      </c>
      <c r="T2420" s="108">
        <v>-0.333333333333333</v>
      </c>
      <c r="U2420" s="108">
        <v>-1.2</v>
      </c>
      <c r="V2420" s="115">
        <v>-0.571428571428571</v>
      </c>
    </row>
    <row r="2421" spans="1:22">
      <c r="A2421" s="143">
        <v>45123</v>
      </c>
      <c r="B2421" s="104" t="s">
        <v>21</v>
      </c>
      <c r="C2421" s="218">
        <v>32</v>
      </c>
      <c r="D2421" s="218">
        <v>97</v>
      </c>
      <c r="E2421" s="217">
        <v>1</v>
      </c>
      <c r="F2421" s="106">
        <v>0.03125</v>
      </c>
      <c r="G2421" s="107">
        <v>1</v>
      </c>
      <c r="H2421" s="106">
        <v>1</v>
      </c>
      <c r="I2421" s="104">
        <v>0</v>
      </c>
      <c r="J2421" s="106">
        <v>0</v>
      </c>
      <c r="K2421" s="108">
        <v>-7</v>
      </c>
      <c r="L2421" s="108">
        <v>-16.6666666666667</v>
      </c>
      <c r="M2421" s="108">
        <v>-15</v>
      </c>
      <c r="N2421" s="108">
        <v>-23.8571428571429</v>
      </c>
      <c r="O2421" s="108">
        <v>0</v>
      </c>
      <c r="P2421" s="108">
        <v>-1</v>
      </c>
      <c r="Q2421" s="108">
        <v>-0.4</v>
      </c>
      <c r="R2421" s="108">
        <v>0</v>
      </c>
      <c r="S2421" s="108">
        <v>-1</v>
      </c>
      <c r="T2421" s="108">
        <v>-1.66666666666667</v>
      </c>
      <c r="U2421" s="108">
        <v>-2.2</v>
      </c>
      <c r="V2421" s="108">
        <v>-1.28571428571429</v>
      </c>
    </row>
    <row r="2422" spans="1:22">
      <c r="A2422" s="143">
        <v>45123</v>
      </c>
      <c r="B2422" s="104" t="s">
        <v>22</v>
      </c>
      <c r="C2422" s="218">
        <v>2050</v>
      </c>
      <c r="D2422" s="218">
        <v>883</v>
      </c>
      <c r="E2422" s="217">
        <v>42</v>
      </c>
      <c r="F2422" s="106">
        <v>0.0204878048780488</v>
      </c>
      <c r="G2422" s="107">
        <v>21</v>
      </c>
      <c r="H2422" s="106">
        <v>0.5</v>
      </c>
      <c r="I2422" s="104">
        <v>15</v>
      </c>
      <c r="J2422" s="106">
        <v>0.357142857142857</v>
      </c>
      <c r="K2422" s="108">
        <v>-11</v>
      </c>
      <c r="L2422" s="108">
        <v>23.3333333333333</v>
      </c>
      <c r="M2422" s="108">
        <v>-65.8000000000002</v>
      </c>
      <c r="N2422" s="108">
        <v>-106.714285714286</v>
      </c>
      <c r="O2422" s="108">
        <v>-28</v>
      </c>
      <c r="P2422" s="108">
        <v>-8.33333333333334</v>
      </c>
      <c r="Q2422" s="108">
        <v>0.600000000000001</v>
      </c>
      <c r="R2422" s="115">
        <v>3.28571428571428</v>
      </c>
      <c r="S2422" s="108">
        <v>-6</v>
      </c>
      <c r="T2422" s="108">
        <v>2.33333333333333</v>
      </c>
      <c r="U2422" s="108">
        <v>4.8</v>
      </c>
      <c r="V2422" s="117">
        <v>4.57142857142857</v>
      </c>
    </row>
    <row r="2423" spans="1:22">
      <c r="A2423" s="143">
        <v>45123</v>
      </c>
      <c r="B2423" s="104" t="s">
        <v>23</v>
      </c>
      <c r="C2423" s="218">
        <v>2224</v>
      </c>
      <c r="D2423" s="218">
        <v>335</v>
      </c>
      <c r="E2423" s="217">
        <v>9</v>
      </c>
      <c r="F2423" s="106">
        <v>0.00404676258992806</v>
      </c>
      <c r="G2423" s="107">
        <v>3</v>
      </c>
      <c r="H2423" s="106">
        <v>0.333333333333333</v>
      </c>
      <c r="I2423" s="104">
        <v>3</v>
      </c>
      <c r="J2423" s="106">
        <v>0.333333333333333</v>
      </c>
      <c r="K2423" s="108">
        <v>86</v>
      </c>
      <c r="L2423" s="108">
        <v>293.666666666667</v>
      </c>
      <c r="M2423" s="108">
        <v>374.4</v>
      </c>
      <c r="N2423" s="108">
        <v>358</v>
      </c>
      <c r="O2423" s="108">
        <v>-3</v>
      </c>
      <c r="P2423" s="108">
        <v>1</v>
      </c>
      <c r="Q2423" s="108">
        <v>1</v>
      </c>
      <c r="R2423" s="108">
        <v>2.42857142857143</v>
      </c>
      <c r="S2423" s="108">
        <v>0</v>
      </c>
      <c r="T2423" s="116">
        <v>0.333333333333333</v>
      </c>
      <c r="U2423" s="108">
        <v>0.4</v>
      </c>
      <c r="V2423" s="108">
        <v>0.857142857142857</v>
      </c>
    </row>
    <row r="2424" spans="1:22">
      <c r="A2424" s="143">
        <v>45123</v>
      </c>
      <c r="B2424" s="104" t="s">
        <v>24</v>
      </c>
      <c r="C2424" s="218">
        <v>738</v>
      </c>
      <c r="D2424" s="218">
        <v>615</v>
      </c>
      <c r="E2424" s="217">
        <v>9</v>
      </c>
      <c r="F2424" s="106">
        <v>0.0121951219512195</v>
      </c>
      <c r="G2424" s="107">
        <v>3</v>
      </c>
      <c r="H2424" s="106">
        <v>0.333333333333333</v>
      </c>
      <c r="I2424" s="104">
        <v>2</v>
      </c>
      <c r="J2424" s="106">
        <v>0.222222222222222</v>
      </c>
      <c r="K2424" s="108">
        <v>23</v>
      </c>
      <c r="L2424" s="108">
        <v>-41.6666666666666</v>
      </c>
      <c r="M2424" s="108">
        <v>14.6</v>
      </c>
      <c r="N2424" s="108">
        <v>155.571428571429</v>
      </c>
      <c r="O2424" s="115">
        <v>2</v>
      </c>
      <c r="P2424" s="115">
        <v>0.333333333333334</v>
      </c>
      <c r="Q2424" s="115">
        <v>1.4</v>
      </c>
      <c r="R2424" s="115">
        <v>2.71428571428571</v>
      </c>
      <c r="S2424" s="115">
        <v>0</v>
      </c>
      <c r="T2424" s="115">
        <v>-0.666666666666667</v>
      </c>
      <c r="U2424" s="115">
        <v>-1.2</v>
      </c>
      <c r="V2424" s="115">
        <v>-0.285714285714286</v>
      </c>
    </row>
    <row r="2425" spans="1:22">
      <c r="A2425" s="143">
        <v>45123</v>
      </c>
      <c r="B2425" s="104" t="s">
        <v>25</v>
      </c>
      <c r="C2425" s="218">
        <v>2339</v>
      </c>
      <c r="D2425" s="218">
        <v>604</v>
      </c>
      <c r="E2425" s="217">
        <v>74</v>
      </c>
      <c r="F2425" s="106">
        <v>0.0316374519025224</v>
      </c>
      <c r="G2425" s="107">
        <v>20</v>
      </c>
      <c r="H2425" s="106">
        <v>0.27027027027027</v>
      </c>
      <c r="I2425" s="104">
        <v>15</v>
      </c>
      <c r="J2425" s="106">
        <v>0.202702702702703</v>
      </c>
      <c r="K2425" s="108">
        <v>78</v>
      </c>
      <c r="L2425" s="108">
        <v>-35.6666666666665</v>
      </c>
      <c r="M2425" s="108">
        <v>-64.1999999999998</v>
      </c>
      <c r="N2425" s="108">
        <v>-11.8571428571427</v>
      </c>
      <c r="O2425" s="115">
        <v>0</v>
      </c>
      <c r="P2425" s="115">
        <v>1.33333333333333</v>
      </c>
      <c r="Q2425" s="115">
        <v>9</v>
      </c>
      <c r="R2425" s="115">
        <v>14.4285714285714</v>
      </c>
      <c r="S2425" s="108">
        <v>-4</v>
      </c>
      <c r="T2425" s="108">
        <v>-3</v>
      </c>
      <c r="U2425" s="108">
        <v>-2.4</v>
      </c>
      <c r="V2425" s="108">
        <v>0</v>
      </c>
    </row>
    <row r="2426" spans="1:22">
      <c r="A2426" s="143">
        <v>45123</v>
      </c>
      <c r="B2426" s="104" t="s">
        <v>26</v>
      </c>
      <c r="C2426" s="218">
        <v>951</v>
      </c>
      <c r="D2426" s="218">
        <v>1427</v>
      </c>
      <c r="E2426" s="217">
        <v>15</v>
      </c>
      <c r="F2426" s="106">
        <v>0.0157728706624606</v>
      </c>
      <c r="G2426" s="107">
        <v>7</v>
      </c>
      <c r="H2426" s="106">
        <v>0.466666666666667</v>
      </c>
      <c r="I2426" s="104">
        <v>5</v>
      </c>
      <c r="J2426" s="106">
        <v>0.333333333333333</v>
      </c>
      <c r="K2426" s="108">
        <v>622</v>
      </c>
      <c r="L2426" s="108">
        <v>839.666666666667</v>
      </c>
      <c r="M2426" s="108">
        <v>775</v>
      </c>
      <c r="N2426" s="108">
        <v>518.142857142857</v>
      </c>
      <c r="O2426" s="108">
        <v>-4</v>
      </c>
      <c r="P2426" s="108">
        <v>-2.66666666666667</v>
      </c>
      <c r="Q2426" s="108">
        <v>-0.6</v>
      </c>
      <c r="R2426" s="108">
        <v>1</v>
      </c>
      <c r="S2426" s="108">
        <v>1</v>
      </c>
      <c r="T2426" s="108">
        <v>1.33333333333333</v>
      </c>
      <c r="U2426" s="108">
        <v>2.8</v>
      </c>
      <c r="V2426" s="108">
        <v>3.71428571428571</v>
      </c>
    </row>
    <row r="2427" spans="1:22">
      <c r="A2427" s="143">
        <v>45123</v>
      </c>
      <c r="B2427" s="104" t="s">
        <v>27</v>
      </c>
      <c r="C2427" s="218">
        <v>5050</v>
      </c>
      <c r="D2427" s="218">
        <v>416</v>
      </c>
      <c r="E2427" s="217">
        <v>18</v>
      </c>
      <c r="F2427" s="106">
        <v>0.00356435643564356</v>
      </c>
      <c r="G2427" s="107">
        <v>3</v>
      </c>
      <c r="H2427" s="106">
        <v>0.166666666666667</v>
      </c>
      <c r="I2427" s="104">
        <v>2</v>
      </c>
      <c r="J2427" s="106">
        <v>0.111111111111111</v>
      </c>
      <c r="K2427" s="108">
        <v>3534</v>
      </c>
      <c r="L2427" s="108">
        <v>3466</v>
      </c>
      <c r="M2427" s="108">
        <v>3279.8</v>
      </c>
      <c r="N2427" s="108">
        <v>3237.57142857143</v>
      </c>
      <c r="O2427" s="108">
        <v>7</v>
      </c>
      <c r="P2427" s="108">
        <v>5</v>
      </c>
      <c r="Q2427" s="108">
        <v>4</v>
      </c>
      <c r="R2427" s="108">
        <v>3.42857142857143</v>
      </c>
      <c r="S2427" s="108">
        <v>0</v>
      </c>
      <c r="T2427" s="108">
        <v>-0.333333333333333</v>
      </c>
      <c r="U2427" s="108">
        <v>-0.6</v>
      </c>
      <c r="V2427" s="108">
        <v>-0.714285714285714</v>
      </c>
    </row>
    <row r="2428" hidden="1" spans="1:22">
      <c r="A2428" s="143">
        <v>45123</v>
      </c>
      <c r="B2428" s="104" t="s">
        <v>28</v>
      </c>
      <c r="C2428" s="145">
        <v>0</v>
      </c>
      <c r="D2428" s="145"/>
      <c r="E2428" s="104">
        <v>0</v>
      </c>
      <c r="F2428" s="106">
        <v>0</v>
      </c>
      <c r="G2428" s="107">
        <v>0</v>
      </c>
      <c r="H2428" s="106">
        <v>0</v>
      </c>
      <c r="I2428" s="104">
        <v>0</v>
      </c>
      <c r="J2428" s="106">
        <v>0</v>
      </c>
      <c r="K2428" s="108">
        <v>0</v>
      </c>
      <c r="L2428" s="108">
        <v>0</v>
      </c>
      <c r="M2428" s="108">
        <v>0</v>
      </c>
      <c r="N2428" s="108">
        <v>0</v>
      </c>
      <c r="O2428" s="108">
        <v>0</v>
      </c>
      <c r="P2428" s="108">
        <v>0</v>
      </c>
      <c r="Q2428" s="108">
        <v>0</v>
      </c>
      <c r="R2428" s="108">
        <v>0</v>
      </c>
      <c r="S2428" s="108">
        <v>0</v>
      </c>
      <c r="T2428" s="108">
        <v>0</v>
      </c>
      <c r="U2428" s="108">
        <v>0</v>
      </c>
      <c r="V2428" s="108">
        <v>0</v>
      </c>
    </row>
    <row r="2429" hidden="1" spans="1:22">
      <c r="A2429" s="143">
        <v>45123</v>
      </c>
      <c r="B2429" s="104" t="s">
        <v>29</v>
      </c>
      <c r="C2429" s="145">
        <v>0</v>
      </c>
      <c r="D2429" s="145"/>
      <c r="E2429" s="104">
        <v>0</v>
      </c>
      <c r="F2429" s="106">
        <v>0</v>
      </c>
      <c r="G2429" s="107">
        <v>0</v>
      </c>
      <c r="H2429" s="106">
        <v>0</v>
      </c>
      <c r="I2429" s="104">
        <v>0</v>
      </c>
      <c r="J2429" s="106">
        <v>0</v>
      </c>
      <c r="K2429" s="108">
        <v>0</v>
      </c>
      <c r="L2429" s="108">
        <v>0</v>
      </c>
      <c r="M2429" s="108">
        <v>0</v>
      </c>
      <c r="N2429" s="108">
        <v>0</v>
      </c>
      <c r="O2429" s="108">
        <v>-2</v>
      </c>
      <c r="P2429" s="108">
        <v>-1</v>
      </c>
      <c r="Q2429" s="108">
        <v>-0.6</v>
      </c>
      <c r="R2429" s="108">
        <v>-0.428571428571429</v>
      </c>
      <c r="S2429" s="108">
        <v>0</v>
      </c>
      <c r="T2429" s="108">
        <v>0</v>
      </c>
      <c r="U2429" s="108">
        <v>0</v>
      </c>
      <c r="V2429" s="108">
        <v>0</v>
      </c>
    </row>
    <row r="2430" hidden="1" spans="1:22">
      <c r="A2430" s="143">
        <v>45123</v>
      </c>
      <c r="B2430" s="104" t="s">
        <v>30</v>
      </c>
      <c r="C2430" s="145">
        <v>0</v>
      </c>
      <c r="D2430" s="145"/>
      <c r="E2430" s="104">
        <v>0</v>
      </c>
      <c r="F2430" s="106">
        <v>0</v>
      </c>
      <c r="G2430" s="107">
        <v>0</v>
      </c>
      <c r="H2430" s="106">
        <v>0</v>
      </c>
      <c r="I2430" s="104">
        <v>0</v>
      </c>
      <c r="J2430" s="106">
        <v>0</v>
      </c>
      <c r="K2430" s="108">
        <v>0</v>
      </c>
      <c r="L2430" s="108">
        <v>0</v>
      </c>
      <c r="M2430" s="108">
        <v>0</v>
      </c>
      <c r="N2430" s="108">
        <v>0</v>
      </c>
      <c r="O2430" s="108">
        <v>0</v>
      </c>
      <c r="P2430" s="108">
        <v>0</v>
      </c>
      <c r="Q2430" s="108">
        <v>0</v>
      </c>
      <c r="R2430" s="108">
        <v>0</v>
      </c>
      <c r="S2430" s="108">
        <v>0</v>
      </c>
      <c r="T2430" s="108">
        <v>0</v>
      </c>
      <c r="U2430" s="108">
        <v>0</v>
      </c>
      <c r="V2430" s="108">
        <v>0</v>
      </c>
    </row>
    <row r="2431" hidden="1" spans="1:22">
      <c r="A2431" s="143">
        <v>45123</v>
      </c>
      <c r="B2431" s="104" t="s">
        <v>31</v>
      </c>
      <c r="C2431" s="145">
        <v>0</v>
      </c>
      <c r="D2431" s="145"/>
      <c r="E2431" s="104">
        <v>0</v>
      </c>
      <c r="F2431" s="106">
        <v>0</v>
      </c>
      <c r="G2431" s="107">
        <v>0</v>
      </c>
      <c r="H2431" s="106">
        <v>0</v>
      </c>
      <c r="I2431" s="104">
        <v>0</v>
      </c>
      <c r="J2431" s="106">
        <v>0</v>
      </c>
      <c r="K2431" s="108">
        <v>0</v>
      </c>
      <c r="L2431" s="108">
        <v>0</v>
      </c>
      <c r="M2431" s="108">
        <v>0</v>
      </c>
      <c r="N2431" s="108">
        <v>0</v>
      </c>
      <c r="O2431" s="108">
        <v>0</v>
      </c>
      <c r="P2431" s="108">
        <v>0</v>
      </c>
      <c r="Q2431" s="108">
        <v>0</v>
      </c>
      <c r="R2431" s="108">
        <v>0</v>
      </c>
      <c r="S2431" s="108">
        <v>0</v>
      </c>
      <c r="T2431" s="108">
        <v>0</v>
      </c>
      <c r="U2431" s="108">
        <v>0</v>
      </c>
      <c r="V2431" s="108">
        <v>0</v>
      </c>
    </row>
    <row r="2432" hidden="1" spans="1:22">
      <c r="A2432" s="143">
        <v>45123</v>
      </c>
      <c r="B2432" s="104" t="s">
        <v>32</v>
      </c>
      <c r="C2432" s="145">
        <v>0</v>
      </c>
      <c r="D2432" s="145"/>
      <c r="E2432" s="104">
        <v>0</v>
      </c>
      <c r="F2432" s="106">
        <v>0</v>
      </c>
      <c r="G2432" s="107">
        <v>0</v>
      </c>
      <c r="H2432" s="106">
        <v>0</v>
      </c>
      <c r="I2432" s="104">
        <v>0</v>
      </c>
      <c r="J2432" s="106">
        <v>0</v>
      </c>
      <c r="K2432" s="108">
        <v>0</v>
      </c>
      <c r="L2432" s="108">
        <v>0</v>
      </c>
      <c r="M2432" s="108">
        <v>0</v>
      </c>
      <c r="N2432" s="108">
        <v>0</v>
      </c>
      <c r="O2432" s="108">
        <v>0</v>
      </c>
      <c r="P2432" s="108">
        <v>0</v>
      </c>
      <c r="Q2432" s="108">
        <v>0</v>
      </c>
      <c r="R2432" s="108">
        <v>0</v>
      </c>
      <c r="S2432" s="108">
        <v>0</v>
      </c>
      <c r="T2432" s="108">
        <v>0</v>
      </c>
      <c r="U2432" s="108">
        <v>0</v>
      </c>
      <c r="V2432" s="108">
        <v>0</v>
      </c>
    </row>
    <row r="2433" hidden="1" spans="1:22">
      <c r="A2433" s="143">
        <v>45123</v>
      </c>
      <c r="B2433" s="104" t="s">
        <v>33</v>
      </c>
      <c r="C2433" s="145">
        <v>0</v>
      </c>
      <c r="D2433" s="145"/>
      <c r="E2433" s="104">
        <v>0</v>
      </c>
      <c r="F2433" s="106">
        <v>0</v>
      </c>
      <c r="G2433" s="107">
        <v>0</v>
      </c>
      <c r="H2433" s="106">
        <v>0</v>
      </c>
      <c r="I2433" s="104">
        <v>0</v>
      </c>
      <c r="J2433" s="106">
        <v>0</v>
      </c>
      <c r="K2433" s="108">
        <v>0</v>
      </c>
      <c r="L2433" s="108">
        <v>0</v>
      </c>
      <c r="M2433" s="108">
        <v>0</v>
      </c>
      <c r="N2433" s="108">
        <v>0</v>
      </c>
      <c r="O2433" s="108">
        <v>0</v>
      </c>
      <c r="P2433" s="108">
        <v>0</v>
      </c>
      <c r="Q2433" s="108">
        <v>0</v>
      </c>
      <c r="R2433" s="108">
        <v>0</v>
      </c>
      <c r="S2433" s="108">
        <v>0</v>
      </c>
      <c r="T2433" s="108">
        <v>0</v>
      </c>
      <c r="U2433" s="108">
        <v>0</v>
      </c>
      <c r="V2433" s="108">
        <v>0</v>
      </c>
    </row>
    <row r="2434" hidden="1" spans="1:22">
      <c r="A2434" s="143">
        <v>45123</v>
      </c>
      <c r="B2434" s="104" t="s">
        <v>34</v>
      </c>
      <c r="C2434" s="145">
        <v>0</v>
      </c>
      <c r="D2434" s="145"/>
      <c r="E2434" s="104">
        <v>0</v>
      </c>
      <c r="F2434" s="106">
        <v>0</v>
      </c>
      <c r="G2434" s="107">
        <v>0</v>
      </c>
      <c r="H2434" s="106">
        <v>0</v>
      </c>
      <c r="I2434" s="104">
        <v>0</v>
      </c>
      <c r="J2434" s="106">
        <v>0</v>
      </c>
      <c r="K2434" s="108">
        <v>0</v>
      </c>
      <c r="L2434" s="108">
        <v>0</v>
      </c>
      <c r="M2434" s="108">
        <v>0</v>
      </c>
      <c r="N2434" s="108">
        <v>0</v>
      </c>
      <c r="O2434" s="108">
        <v>0</v>
      </c>
      <c r="P2434" s="108">
        <v>0</v>
      </c>
      <c r="Q2434" s="108">
        <v>0</v>
      </c>
      <c r="R2434" s="108">
        <v>0</v>
      </c>
      <c r="S2434" s="108">
        <v>0</v>
      </c>
      <c r="T2434" s="108">
        <v>0</v>
      </c>
      <c r="U2434" s="108">
        <v>0</v>
      </c>
      <c r="V2434" s="108">
        <v>0</v>
      </c>
    </row>
    <row r="2435" hidden="1" spans="1:22">
      <c r="A2435" s="143">
        <v>45123</v>
      </c>
      <c r="B2435" s="104" t="s">
        <v>35</v>
      </c>
      <c r="C2435" s="145">
        <v>0</v>
      </c>
      <c r="D2435" s="145"/>
      <c r="E2435" s="104">
        <v>0</v>
      </c>
      <c r="F2435" s="106">
        <v>0</v>
      </c>
      <c r="G2435" s="107">
        <v>0</v>
      </c>
      <c r="H2435" s="106">
        <v>0</v>
      </c>
      <c r="I2435" s="104">
        <v>0</v>
      </c>
      <c r="J2435" s="106">
        <v>0</v>
      </c>
      <c r="K2435" s="108">
        <v>0</v>
      </c>
      <c r="L2435" s="108">
        <v>0</v>
      </c>
      <c r="M2435" s="108">
        <v>0</v>
      </c>
      <c r="N2435" s="108">
        <v>0</v>
      </c>
      <c r="O2435" s="108">
        <v>0</v>
      </c>
      <c r="P2435" s="108">
        <v>0</v>
      </c>
      <c r="Q2435" s="108">
        <v>0</v>
      </c>
      <c r="R2435" s="108">
        <v>0</v>
      </c>
      <c r="S2435" s="108">
        <v>0</v>
      </c>
      <c r="T2435" s="108">
        <v>0</v>
      </c>
      <c r="U2435" s="108">
        <v>0</v>
      </c>
      <c r="V2435" s="108">
        <v>0</v>
      </c>
    </row>
    <row r="2436" hidden="1" spans="1:22">
      <c r="A2436" s="143">
        <v>45123</v>
      </c>
      <c r="B2436" s="104" t="s">
        <v>36</v>
      </c>
      <c r="C2436" s="145">
        <v>0</v>
      </c>
      <c r="D2436" s="145"/>
      <c r="E2436" s="104">
        <v>0</v>
      </c>
      <c r="F2436" s="106">
        <v>0</v>
      </c>
      <c r="G2436" s="107">
        <v>0</v>
      </c>
      <c r="H2436" s="106">
        <v>0</v>
      </c>
      <c r="I2436" s="104">
        <v>0</v>
      </c>
      <c r="J2436" s="106">
        <v>0</v>
      </c>
      <c r="K2436" s="108">
        <v>0</v>
      </c>
      <c r="L2436" s="108">
        <v>0</v>
      </c>
      <c r="M2436" s="108">
        <v>0</v>
      </c>
      <c r="N2436" s="108">
        <v>0</v>
      </c>
      <c r="O2436" s="108">
        <v>0</v>
      </c>
      <c r="P2436" s="108">
        <v>0</v>
      </c>
      <c r="Q2436" s="108">
        <v>0</v>
      </c>
      <c r="R2436" s="108">
        <v>0</v>
      </c>
      <c r="S2436" s="108">
        <v>0</v>
      </c>
      <c r="T2436" s="108">
        <v>0</v>
      </c>
      <c r="U2436" s="108">
        <v>0</v>
      </c>
      <c r="V2436" s="108">
        <v>0</v>
      </c>
    </row>
    <row r="2437" hidden="1" spans="1:22">
      <c r="A2437" s="143">
        <v>45123</v>
      </c>
      <c r="B2437" s="104" t="s">
        <v>37</v>
      </c>
      <c r="C2437" s="145">
        <v>0</v>
      </c>
      <c r="D2437" s="145"/>
      <c r="E2437" s="104">
        <v>0</v>
      </c>
      <c r="F2437" s="106">
        <v>0</v>
      </c>
      <c r="G2437" s="107">
        <v>0</v>
      </c>
      <c r="H2437" s="106">
        <v>0</v>
      </c>
      <c r="I2437" s="104">
        <v>0</v>
      </c>
      <c r="J2437" s="106">
        <v>0</v>
      </c>
      <c r="K2437" s="108">
        <v>0</v>
      </c>
      <c r="L2437" s="108">
        <v>0</v>
      </c>
      <c r="M2437" s="108">
        <v>0</v>
      </c>
      <c r="N2437" s="108">
        <v>0</v>
      </c>
      <c r="O2437" s="108">
        <v>0</v>
      </c>
      <c r="P2437" s="108">
        <v>-0.666666666666667</v>
      </c>
      <c r="Q2437" s="108">
        <v>-0.4</v>
      </c>
      <c r="R2437" s="108">
        <v>-0.571428571428571</v>
      </c>
      <c r="S2437" s="108">
        <v>0</v>
      </c>
      <c r="T2437" s="108">
        <v>0</v>
      </c>
      <c r="U2437" s="108">
        <v>-0.2</v>
      </c>
      <c r="V2437" s="108">
        <v>-0.428571428571429</v>
      </c>
    </row>
    <row r="2438" hidden="1" spans="1:22">
      <c r="A2438" s="143">
        <v>45123</v>
      </c>
      <c r="B2438" s="104" t="s">
        <v>38</v>
      </c>
      <c r="C2438" s="145">
        <v>0</v>
      </c>
      <c r="D2438" s="145"/>
      <c r="E2438" s="104">
        <v>0</v>
      </c>
      <c r="F2438" s="106">
        <v>0</v>
      </c>
      <c r="G2438" s="107">
        <v>0</v>
      </c>
      <c r="H2438" s="106">
        <v>0</v>
      </c>
      <c r="I2438" s="104">
        <v>0</v>
      </c>
      <c r="J2438" s="106">
        <v>0</v>
      </c>
      <c r="K2438" s="108">
        <v>0</v>
      </c>
      <c r="L2438" s="108">
        <v>0</v>
      </c>
      <c r="M2438" s="108">
        <v>0</v>
      </c>
      <c r="N2438" s="108">
        <v>0</v>
      </c>
      <c r="O2438" s="108">
        <v>0</v>
      </c>
      <c r="P2438" s="108">
        <v>0</v>
      </c>
      <c r="Q2438" s="108">
        <v>0</v>
      </c>
      <c r="R2438" s="108">
        <v>0</v>
      </c>
      <c r="S2438" s="108">
        <v>0</v>
      </c>
      <c r="T2438" s="108">
        <v>0</v>
      </c>
      <c r="U2438" s="108">
        <v>0</v>
      </c>
      <c r="V2438" s="108">
        <v>0</v>
      </c>
    </row>
    <row r="2439" spans="1:22">
      <c r="A2439" s="143">
        <v>45123</v>
      </c>
      <c r="B2439" s="111" t="s">
        <v>39</v>
      </c>
      <c r="C2439" s="112">
        <v>14188</v>
      </c>
      <c r="D2439" s="112">
        <v>4817</v>
      </c>
      <c r="E2439" s="112">
        <v>202</v>
      </c>
      <c r="F2439" s="106">
        <v>0.014237383704539</v>
      </c>
      <c r="G2439" s="112">
        <v>67</v>
      </c>
      <c r="H2439" s="113">
        <v>0.331683168316832</v>
      </c>
      <c r="I2439" s="112">
        <v>49</v>
      </c>
      <c r="J2439" s="106">
        <v>0.242574257425743</v>
      </c>
      <c r="K2439" s="108"/>
      <c r="L2439" s="108"/>
      <c r="M2439" s="108"/>
      <c r="N2439" s="108"/>
      <c r="O2439" s="108"/>
      <c r="P2439" s="108"/>
      <c r="Q2439" s="108"/>
      <c r="R2439" s="108"/>
      <c r="S2439" s="108"/>
      <c r="T2439" s="108"/>
      <c r="U2439" s="108"/>
      <c r="V2439" s="108"/>
    </row>
    <row r="2440" spans="1:22">
      <c r="A2440" s="143">
        <v>45124</v>
      </c>
      <c r="B2440" s="104" t="s">
        <v>17</v>
      </c>
      <c r="C2440" s="216">
        <v>375</v>
      </c>
      <c r="D2440" s="216">
        <v>132</v>
      </c>
      <c r="E2440" s="217">
        <v>23</v>
      </c>
      <c r="F2440" s="106">
        <v>0.0613333333333333</v>
      </c>
      <c r="G2440" s="107">
        <v>3</v>
      </c>
      <c r="H2440" s="106">
        <v>0.130434782608696</v>
      </c>
      <c r="I2440" s="104">
        <v>3</v>
      </c>
      <c r="J2440" s="106">
        <v>0.130434782608696</v>
      </c>
      <c r="K2440" s="108">
        <v>-65</v>
      </c>
      <c r="L2440" s="108">
        <v>159.666666666667</v>
      </c>
      <c r="M2440" s="108">
        <v>245.8</v>
      </c>
      <c r="N2440" s="108">
        <v>282.571428571429</v>
      </c>
      <c r="O2440" s="108">
        <v>0</v>
      </c>
      <c r="P2440" s="108">
        <v>2</v>
      </c>
      <c r="Q2440" s="108">
        <v>6.8</v>
      </c>
      <c r="R2440" s="108">
        <v>0.142857142857142</v>
      </c>
      <c r="S2440" s="108">
        <v>-2</v>
      </c>
      <c r="T2440" s="108">
        <v>-3.33333333333333</v>
      </c>
      <c r="U2440" s="108">
        <v>-2.8</v>
      </c>
      <c r="V2440" s="108">
        <v>-3.71428571428571</v>
      </c>
    </row>
    <row r="2441" spans="1:22">
      <c r="A2441" s="143">
        <v>45124</v>
      </c>
      <c r="B2441" s="104" t="s">
        <v>19</v>
      </c>
      <c r="C2441" s="216">
        <v>454</v>
      </c>
      <c r="D2441" s="216">
        <v>359</v>
      </c>
      <c r="E2441" s="217">
        <v>12</v>
      </c>
      <c r="F2441" s="106">
        <v>0.026431718061674</v>
      </c>
      <c r="G2441" s="107">
        <v>8</v>
      </c>
      <c r="H2441" s="106">
        <v>0.666666666666667</v>
      </c>
      <c r="I2441" s="104">
        <v>3</v>
      </c>
      <c r="J2441" s="106">
        <v>0.25</v>
      </c>
      <c r="K2441" s="108">
        <v>90</v>
      </c>
      <c r="L2441" s="108">
        <v>95</v>
      </c>
      <c r="M2441" s="108">
        <v>87</v>
      </c>
      <c r="N2441" s="108">
        <v>42.7142857142857</v>
      </c>
      <c r="O2441" s="108">
        <v>1</v>
      </c>
      <c r="P2441" s="108">
        <v>1.66666666666667</v>
      </c>
      <c r="Q2441" s="108">
        <v>1.2</v>
      </c>
      <c r="R2441" s="108">
        <v>2.14285714285714</v>
      </c>
      <c r="S2441" s="108">
        <v>4</v>
      </c>
      <c r="T2441" s="108">
        <v>3.66666666666667</v>
      </c>
      <c r="U2441" s="108">
        <v>3</v>
      </c>
      <c r="V2441" s="115">
        <v>3.28571428571429</v>
      </c>
    </row>
    <row r="2442" spans="1:22">
      <c r="A2442" s="143">
        <v>45124</v>
      </c>
      <c r="B2442" s="104" t="s">
        <v>21</v>
      </c>
      <c r="C2442" s="218">
        <v>57</v>
      </c>
      <c r="D2442" s="218">
        <v>142</v>
      </c>
      <c r="E2442" s="217">
        <v>2</v>
      </c>
      <c r="F2442" s="106">
        <v>0.0350877192982456</v>
      </c>
      <c r="G2442" s="107">
        <v>2</v>
      </c>
      <c r="H2442" s="106">
        <v>1</v>
      </c>
      <c r="I2442" s="104">
        <v>1</v>
      </c>
      <c r="J2442" s="106">
        <v>0.5</v>
      </c>
      <c r="K2442" s="108">
        <v>25</v>
      </c>
      <c r="L2442" s="108">
        <v>14.3333333333333</v>
      </c>
      <c r="M2442" s="108">
        <v>13</v>
      </c>
      <c r="N2442" s="108">
        <v>7.71428571428572</v>
      </c>
      <c r="O2442" s="108">
        <v>1</v>
      </c>
      <c r="P2442" s="108">
        <v>0.666666666666667</v>
      </c>
      <c r="Q2442" s="108">
        <v>0.6</v>
      </c>
      <c r="R2442" s="108">
        <v>0.857142857142857</v>
      </c>
      <c r="S2442" s="108">
        <v>1</v>
      </c>
      <c r="T2442" s="108">
        <v>-1</v>
      </c>
      <c r="U2442" s="108">
        <v>-0.6</v>
      </c>
      <c r="V2442" s="108">
        <v>0</v>
      </c>
    </row>
    <row r="2443" spans="1:22">
      <c r="A2443" s="143">
        <v>45124</v>
      </c>
      <c r="B2443" s="104" t="s">
        <v>22</v>
      </c>
      <c r="C2443" s="218">
        <v>2013</v>
      </c>
      <c r="D2443" s="218">
        <v>902</v>
      </c>
      <c r="E2443" s="217">
        <v>42</v>
      </c>
      <c r="F2443" s="106">
        <v>0.0208643815201192</v>
      </c>
      <c r="G2443" s="107">
        <v>16</v>
      </c>
      <c r="H2443" s="106">
        <v>0.380952380952381</v>
      </c>
      <c r="I2443" s="104">
        <v>12</v>
      </c>
      <c r="J2443" s="106">
        <v>0.285714285714286</v>
      </c>
      <c r="K2443" s="108">
        <v>-37</v>
      </c>
      <c r="L2443" s="108">
        <v>-10.3333333333333</v>
      </c>
      <c r="M2443" s="108">
        <v>-71.8000000000002</v>
      </c>
      <c r="N2443" s="108">
        <v>-113.857142857143</v>
      </c>
      <c r="O2443" s="108">
        <v>0</v>
      </c>
      <c r="P2443" s="108">
        <v>-6.33333333333334</v>
      </c>
      <c r="Q2443" s="108">
        <v>-3</v>
      </c>
      <c r="R2443" s="115">
        <v>1.85714285714285</v>
      </c>
      <c r="S2443" s="108">
        <v>-5</v>
      </c>
      <c r="T2443" s="108">
        <v>-5</v>
      </c>
      <c r="U2443" s="108">
        <v>-3</v>
      </c>
      <c r="V2443" s="108">
        <v>-1</v>
      </c>
    </row>
    <row r="2444" spans="1:22">
      <c r="A2444" s="143">
        <v>45124</v>
      </c>
      <c r="B2444" s="104" t="s">
        <v>23</v>
      </c>
      <c r="C2444" s="218">
        <v>2300</v>
      </c>
      <c r="D2444" s="218">
        <v>355</v>
      </c>
      <c r="E2444" s="217">
        <v>12</v>
      </c>
      <c r="F2444" s="106">
        <v>0.00521739130434783</v>
      </c>
      <c r="G2444" s="107">
        <v>4</v>
      </c>
      <c r="H2444" s="106">
        <v>0.333333333333333</v>
      </c>
      <c r="I2444" s="104">
        <v>1</v>
      </c>
      <c r="J2444" s="106">
        <v>0.0833333333333333</v>
      </c>
      <c r="K2444" s="108">
        <v>76</v>
      </c>
      <c r="L2444" s="108">
        <v>208</v>
      </c>
      <c r="M2444" s="108">
        <v>350.4</v>
      </c>
      <c r="N2444" s="108">
        <v>388.714285714286</v>
      </c>
      <c r="O2444" s="108">
        <v>3</v>
      </c>
      <c r="P2444" s="108">
        <v>2</v>
      </c>
      <c r="Q2444" s="108">
        <v>3.8</v>
      </c>
      <c r="R2444" s="108">
        <v>4.57142857142857</v>
      </c>
      <c r="S2444" s="108">
        <v>1</v>
      </c>
      <c r="T2444" s="108">
        <v>0.666666666666667</v>
      </c>
      <c r="U2444" s="108">
        <v>1</v>
      </c>
      <c r="V2444" s="108">
        <v>1.57142857142857</v>
      </c>
    </row>
    <row r="2445" spans="1:22">
      <c r="A2445" s="143">
        <v>45124</v>
      </c>
      <c r="B2445" s="104" t="s">
        <v>24</v>
      </c>
      <c r="C2445" s="218">
        <v>813</v>
      </c>
      <c r="D2445" s="218">
        <v>646</v>
      </c>
      <c r="E2445" s="217">
        <v>14</v>
      </c>
      <c r="F2445" s="106">
        <v>0.017220172201722</v>
      </c>
      <c r="G2445" s="107">
        <v>2</v>
      </c>
      <c r="H2445" s="106">
        <v>0.142857142857143</v>
      </c>
      <c r="I2445" s="104">
        <v>2</v>
      </c>
      <c r="J2445" s="106">
        <v>0.142857142857143</v>
      </c>
      <c r="K2445" s="108">
        <v>75</v>
      </c>
      <c r="L2445" s="108">
        <v>45.3333333333334</v>
      </c>
      <c r="M2445" s="108">
        <v>52</v>
      </c>
      <c r="N2445" s="108">
        <v>158</v>
      </c>
      <c r="O2445" s="115">
        <v>5</v>
      </c>
      <c r="P2445" s="115">
        <v>5.33333333333333</v>
      </c>
      <c r="Q2445" s="115">
        <v>5.4</v>
      </c>
      <c r="R2445" s="115">
        <v>6.85714285714286</v>
      </c>
      <c r="S2445" s="115">
        <v>-1</v>
      </c>
      <c r="T2445" s="115">
        <v>-1</v>
      </c>
      <c r="U2445" s="108">
        <v>-1.8</v>
      </c>
      <c r="V2445" s="108">
        <v>-1.57142857142857</v>
      </c>
    </row>
    <row r="2446" spans="1:22">
      <c r="A2446" s="143">
        <v>45124</v>
      </c>
      <c r="B2446" s="104" t="s">
        <v>25</v>
      </c>
      <c r="C2446" s="218">
        <v>2292</v>
      </c>
      <c r="D2446" s="218">
        <v>590</v>
      </c>
      <c r="E2446" s="217">
        <v>65</v>
      </c>
      <c r="F2446" s="106">
        <v>0.0283595113438045</v>
      </c>
      <c r="G2446" s="107">
        <v>25</v>
      </c>
      <c r="H2446" s="106">
        <v>0.384615384615385</v>
      </c>
      <c r="I2446" s="104">
        <v>21</v>
      </c>
      <c r="J2446" s="106">
        <v>0.323076923076923</v>
      </c>
      <c r="K2446" s="108">
        <v>-47</v>
      </c>
      <c r="L2446" s="108">
        <v>-48</v>
      </c>
      <c r="M2446" s="108">
        <v>-92.8000000000002</v>
      </c>
      <c r="N2446" s="108">
        <v>-75.8571428571427</v>
      </c>
      <c r="O2446" s="115">
        <v>-9</v>
      </c>
      <c r="P2446" s="115">
        <v>-6</v>
      </c>
      <c r="Q2446" s="115">
        <v>-1.59999999999999</v>
      </c>
      <c r="R2446" s="115">
        <v>1.42857142857143</v>
      </c>
      <c r="S2446" s="108">
        <v>5</v>
      </c>
      <c r="T2446" s="108">
        <v>3.33333333333333</v>
      </c>
      <c r="U2446" s="108">
        <v>1.6</v>
      </c>
      <c r="V2446" s="108">
        <v>4.14285714285714</v>
      </c>
    </row>
    <row r="2447" spans="1:22">
      <c r="A2447" s="143">
        <v>45124</v>
      </c>
      <c r="B2447" s="104" t="s">
        <v>26</v>
      </c>
      <c r="C2447" s="218">
        <v>1156</v>
      </c>
      <c r="D2447" s="218">
        <v>1678</v>
      </c>
      <c r="E2447" s="217">
        <v>27</v>
      </c>
      <c r="F2447" s="106">
        <v>0.023356401384083</v>
      </c>
      <c r="G2447" s="107">
        <v>4</v>
      </c>
      <c r="H2447" s="106">
        <v>0.148148148148148</v>
      </c>
      <c r="I2447" s="104">
        <v>4</v>
      </c>
      <c r="J2447" s="106">
        <v>0.148148148148148</v>
      </c>
      <c r="K2447" s="108">
        <v>205</v>
      </c>
      <c r="L2447" s="108">
        <v>728.666666666667</v>
      </c>
      <c r="M2447" s="108">
        <v>898</v>
      </c>
      <c r="N2447" s="108">
        <v>740.857142857143</v>
      </c>
      <c r="O2447" s="108">
        <v>12</v>
      </c>
      <c r="P2447" s="108">
        <v>11</v>
      </c>
      <c r="Q2447" s="108">
        <v>11.2</v>
      </c>
      <c r="R2447" s="108">
        <v>12.2857142857143</v>
      </c>
      <c r="S2447" s="108">
        <v>-3</v>
      </c>
      <c r="T2447" s="108">
        <v>-1.33333333333333</v>
      </c>
      <c r="U2447" s="108">
        <v>-1.2</v>
      </c>
      <c r="V2447" s="108">
        <v>0</v>
      </c>
    </row>
    <row r="2448" spans="1:22">
      <c r="A2448" s="143">
        <v>45124</v>
      </c>
      <c r="B2448" s="104" t="s">
        <v>27</v>
      </c>
      <c r="C2448" s="218">
        <v>9166</v>
      </c>
      <c r="D2448" s="218">
        <v>537</v>
      </c>
      <c r="E2448" s="217">
        <v>38</v>
      </c>
      <c r="F2448" s="106">
        <v>0.00414575605498582</v>
      </c>
      <c r="G2448" s="107">
        <v>5</v>
      </c>
      <c r="H2448" s="106">
        <v>0.131578947368421</v>
      </c>
      <c r="I2448" s="104">
        <v>4</v>
      </c>
      <c r="J2448" s="106">
        <v>0.105263157894737</v>
      </c>
      <c r="K2448" s="108">
        <v>4116</v>
      </c>
      <c r="L2448" s="108">
        <v>6439.66666666667</v>
      </c>
      <c r="M2448" s="108">
        <v>6833.8</v>
      </c>
      <c r="N2448" s="108">
        <v>6906.14285714286</v>
      </c>
      <c r="O2448" s="108">
        <v>20</v>
      </c>
      <c r="P2448" s="108">
        <v>24.3333333333333</v>
      </c>
      <c r="Q2448" s="108">
        <v>25</v>
      </c>
      <c r="R2448" s="108">
        <v>23.1428571428571</v>
      </c>
      <c r="S2448" s="108">
        <v>2</v>
      </c>
      <c r="T2448" s="108">
        <v>2</v>
      </c>
      <c r="U2448" s="108">
        <v>1.8</v>
      </c>
      <c r="V2448" s="108">
        <v>1.42857142857143</v>
      </c>
    </row>
    <row r="2449" spans="1:22">
      <c r="A2449" s="143">
        <v>45124</v>
      </c>
      <c r="B2449" s="104" t="s">
        <v>28</v>
      </c>
      <c r="C2449" s="145">
        <v>0</v>
      </c>
      <c r="D2449" s="145"/>
      <c r="E2449" s="104">
        <v>0</v>
      </c>
      <c r="F2449" s="106">
        <v>0</v>
      </c>
      <c r="G2449" s="107">
        <v>0</v>
      </c>
      <c r="H2449" s="106">
        <v>0</v>
      </c>
      <c r="I2449" s="104">
        <v>0</v>
      </c>
      <c r="J2449" s="106">
        <v>0</v>
      </c>
      <c r="K2449" s="108">
        <v>0</v>
      </c>
      <c r="L2449" s="108">
        <v>0</v>
      </c>
      <c r="M2449" s="108">
        <v>0</v>
      </c>
      <c r="N2449" s="108">
        <v>0</v>
      </c>
      <c r="O2449" s="108">
        <v>0</v>
      </c>
      <c r="P2449" s="108">
        <v>0</v>
      </c>
      <c r="Q2449" s="108">
        <v>0</v>
      </c>
      <c r="R2449" s="108">
        <v>0</v>
      </c>
      <c r="S2449" s="108">
        <v>0</v>
      </c>
      <c r="T2449" s="108">
        <v>0</v>
      </c>
      <c r="U2449" s="108">
        <v>0</v>
      </c>
      <c r="V2449" s="108">
        <v>0</v>
      </c>
    </row>
    <row r="2450" spans="1:22">
      <c r="A2450" s="143">
        <v>45124</v>
      </c>
      <c r="B2450" s="104" t="s">
        <v>29</v>
      </c>
      <c r="C2450" s="145">
        <v>0</v>
      </c>
      <c r="D2450" s="145"/>
      <c r="E2450" s="104">
        <v>0</v>
      </c>
      <c r="F2450" s="106">
        <v>0</v>
      </c>
      <c r="G2450" s="107">
        <v>0</v>
      </c>
      <c r="H2450" s="106">
        <v>0</v>
      </c>
      <c r="I2450" s="104">
        <v>0</v>
      </c>
      <c r="J2450" s="106">
        <v>0</v>
      </c>
      <c r="K2450" s="108">
        <v>0</v>
      </c>
      <c r="L2450" s="108">
        <v>0</v>
      </c>
      <c r="M2450" s="108">
        <v>0</v>
      </c>
      <c r="N2450" s="108">
        <v>0</v>
      </c>
      <c r="O2450" s="108">
        <v>0</v>
      </c>
      <c r="P2450" s="108">
        <v>-0.666666666666667</v>
      </c>
      <c r="Q2450" s="108">
        <v>-0.6</v>
      </c>
      <c r="R2450" s="108">
        <v>-0.428571428571429</v>
      </c>
      <c r="S2450" s="108">
        <v>0</v>
      </c>
      <c r="T2450" s="108">
        <v>0</v>
      </c>
      <c r="U2450" s="108">
        <v>0</v>
      </c>
      <c r="V2450" s="108">
        <v>0</v>
      </c>
    </row>
    <row r="2451" spans="1:22">
      <c r="A2451" s="143">
        <v>45124</v>
      </c>
      <c r="B2451" s="104" t="s">
        <v>30</v>
      </c>
      <c r="C2451" s="145">
        <v>0</v>
      </c>
      <c r="D2451" s="145"/>
      <c r="E2451" s="104">
        <v>0</v>
      </c>
      <c r="F2451" s="106">
        <v>0</v>
      </c>
      <c r="G2451" s="107">
        <v>0</v>
      </c>
      <c r="H2451" s="106">
        <v>0</v>
      </c>
      <c r="I2451" s="104">
        <v>0</v>
      </c>
      <c r="J2451" s="106">
        <v>0</v>
      </c>
      <c r="K2451" s="108">
        <v>0</v>
      </c>
      <c r="L2451" s="108">
        <v>0</v>
      </c>
      <c r="M2451" s="108">
        <v>0</v>
      </c>
      <c r="N2451" s="108">
        <v>0</v>
      </c>
      <c r="O2451" s="108">
        <v>0</v>
      </c>
      <c r="P2451" s="108">
        <v>0</v>
      </c>
      <c r="Q2451" s="108">
        <v>0</v>
      </c>
      <c r="R2451" s="108">
        <v>0</v>
      </c>
      <c r="S2451" s="108">
        <v>0</v>
      </c>
      <c r="T2451" s="108">
        <v>0</v>
      </c>
      <c r="U2451" s="108">
        <v>0</v>
      </c>
      <c r="V2451" s="108">
        <v>0</v>
      </c>
    </row>
    <row r="2452" spans="1:22">
      <c r="A2452" s="143">
        <v>45124</v>
      </c>
      <c r="B2452" s="104" t="s">
        <v>31</v>
      </c>
      <c r="C2452" s="145">
        <v>0</v>
      </c>
      <c r="D2452" s="145"/>
      <c r="E2452" s="104">
        <v>0</v>
      </c>
      <c r="F2452" s="106">
        <v>0</v>
      </c>
      <c r="G2452" s="107">
        <v>0</v>
      </c>
      <c r="H2452" s="106">
        <v>0</v>
      </c>
      <c r="I2452" s="104">
        <v>0</v>
      </c>
      <c r="J2452" s="106">
        <v>0</v>
      </c>
      <c r="K2452" s="108">
        <v>0</v>
      </c>
      <c r="L2452" s="108">
        <v>0</v>
      </c>
      <c r="M2452" s="108">
        <v>0</v>
      </c>
      <c r="N2452" s="108">
        <v>0</v>
      </c>
      <c r="O2452" s="108">
        <v>0</v>
      </c>
      <c r="P2452" s="108">
        <v>0</v>
      </c>
      <c r="Q2452" s="108">
        <v>0</v>
      </c>
      <c r="R2452" s="108">
        <v>0</v>
      </c>
      <c r="S2452" s="108">
        <v>0</v>
      </c>
      <c r="T2452" s="108">
        <v>0</v>
      </c>
      <c r="U2452" s="108">
        <v>0</v>
      </c>
      <c r="V2452" s="108">
        <v>0</v>
      </c>
    </row>
    <row r="2453" spans="1:22">
      <c r="A2453" s="143">
        <v>45124</v>
      </c>
      <c r="B2453" s="104" t="s">
        <v>32</v>
      </c>
      <c r="C2453" s="145">
        <v>0</v>
      </c>
      <c r="D2453" s="145"/>
      <c r="E2453" s="104">
        <v>0</v>
      </c>
      <c r="F2453" s="106">
        <v>0</v>
      </c>
      <c r="G2453" s="107">
        <v>0</v>
      </c>
      <c r="H2453" s="106">
        <v>0</v>
      </c>
      <c r="I2453" s="104">
        <v>0</v>
      </c>
      <c r="J2453" s="106">
        <v>0</v>
      </c>
      <c r="K2453" s="108">
        <v>0</v>
      </c>
      <c r="L2453" s="108">
        <v>0</v>
      </c>
      <c r="M2453" s="108">
        <v>0</v>
      </c>
      <c r="N2453" s="108">
        <v>0</v>
      </c>
      <c r="O2453" s="108">
        <v>0</v>
      </c>
      <c r="P2453" s="108">
        <v>0</v>
      </c>
      <c r="Q2453" s="108">
        <v>0</v>
      </c>
      <c r="R2453" s="108">
        <v>0</v>
      </c>
      <c r="S2453" s="108">
        <v>0</v>
      </c>
      <c r="T2453" s="108">
        <v>0</v>
      </c>
      <c r="U2453" s="108">
        <v>0</v>
      </c>
      <c r="V2453" s="108">
        <v>0</v>
      </c>
    </row>
    <row r="2454" spans="1:22">
      <c r="A2454" s="143">
        <v>45124</v>
      </c>
      <c r="B2454" s="104" t="s">
        <v>33</v>
      </c>
      <c r="C2454" s="145">
        <v>0</v>
      </c>
      <c r="D2454" s="145"/>
      <c r="E2454" s="104">
        <v>0</v>
      </c>
      <c r="F2454" s="106">
        <v>0</v>
      </c>
      <c r="G2454" s="107">
        <v>0</v>
      </c>
      <c r="H2454" s="106">
        <v>0</v>
      </c>
      <c r="I2454" s="104">
        <v>0</v>
      </c>
      <c r="J2454" s="106">
        <v>0</v>
      </c>
      <c r="K2454" s="108">
        <v>0</v>
      </c>
      <c r="L2454" s="108">
        <v>0</v>
      </c>
      <c r="M2454" s="108">
        <v>0</v>
      </c>
      <c r="N2454" s="108">
        <v>0</v>
      </c>
      <c r="O2454" s="108">
        <v>0</v>
      </c>
      <c r="P2454" s="108">
        <v>0</v>
      </c>
      <c r="Q2454" s="108">
        <v>0</v>
      </c>
      <c r="R2454" s="108">
        <v>0</v>
      </c>
      <c r="S2454" s="108">
        <v>0</v>
      </c>
      <c r="T2454" s="108">
        <v>0</v>
      </c>
      <c r="U2454" s="108">
        <v>0</v>
      </c>
      <c r="V2454" s="108">
        <v>0</v>
      </c>
    </row>
    <row r="2455" spans="1:22">
      <c r="A2455" s="143">
        <v>45124</v>
      </c>
      <c r="B2455" s="104" t="s">
        <v>34</v>
      </c>
      <c r="C2455" s="145">
        <v>0</v>
      </c>
      <c r="D2455" s="145"/>
      <c r="E2455" s="104">
        <v>0</v>
      </c>
      <c r="F2455" s="106">
        <v>0</v>
      </c>
      <c r="G2455" s="107">
        <v>0</v>
      </c>
      <c r="H2455" s="106">
        <v>0</v>
      </c>
      <c r="I2455" s="104">
        <v>0</v>
      </c>
      <c r="J2455" s="106">
        <v>0</v>
      </c>
      <c r="K2455" s="108">
        <v>0</v>
      </c>
      <c r="L2455" s="108">
        <v>0</v>
      </c>
      <c r="M2455" s="108">
        <v>0</v>
      </c>
      <c r="N2455" s="108">
        <v>0</v>
      </c>
      <c r="O2455" s="108">
        <v>0</v>
      </c>
      <c r="P2455" s="108">
        <v>0</v>
      </c>
      <c r="Q2455" s="108">
        <v>0</v>
      </c>
      <c r="R2455" s="108">
        <v>0</v>
      </c>
      <c r="S2455" s="108">
        <v>0</v>
      </c>
      <c r="T2455" s="108">
        <v>0</v>
      </c>
      <c r="U2455" s="108">
        <v>0</v>
      </c>
      <c r="V2455" s="108">
        <v>0</v>
      </c>
    </row>
    <row r="2456" spans="1:22">
      <c r="A2456" s="143">
        <v>45124</v>
      </c>
      <c r="B2456" s="104" t="s">
        <v>35</v>
      </c>
      <c r="C2456" s="145">
        <v>0</v>
      </c>
      <c r="D2456" s="145"/>
      <c r="E2456" s="104">
        <v>0</v>
      </c>
      <c r="F2456" s="106">
        <v>0</v>
      </c>
      <c r="G2456" s="107">
        <v>0</v>
      </c>
      <c r="H2456" s="106">
        <v>0</v>
      </c>
      <c r="I2456" s="104">
        <v>0</v>
      </c>
      <c r="J2456" s="106">
        <v>0</v>
      </c>
      <c r="K2456" s="108">
        <v>0</v>
      </c>
      <c r="L2456" s="108">
        <v>0</v>
      </c>
      <c r="M2456" s="108">
        <v>0</v>
      </c>
      <c r="N2456" s="108">
        <v>0</v>
      </c>
      <c r="O2456" s="108">
        <v>0</v>
      </c>
      <c r="P2456" s="108">
        <v>0</v>
      </c>
      <c r="Q2456" s="108">
        <v>0</v>
      </c>
      <c r="R2456" s="108">
        <v>0</v>
      </c>
      <c r="S2456" s="108">
        <v>0</v>
      </c>
      <c r="T2456" s="108">
        <v>0</v>
      </c>
      <c r="U2456" s="108">
        <v>0</v>
      </c>
      <c r="V2456" s="108">
        <v>0</v>
      </c>
    </row>
    <row r="2457" spans="1:22">
      <c r="A2457" s="143">
        <v>45124</v>
      </c>
      <c r="B2457" s="104" t="s">
        <v>36</v>
      </c>
      <c r="C2457" s="145">
        <v>0</v>
      </c>
      <c r="D2457" s="145"/>
      <c r="E2457" s="104">
        <v>0</v>
      </c>
      <c r="F2457" s="106">
        <v>0</v>
      </c>
      <c r="G2457" s="107">
        <v>0</v>
      </c>
      <c r="H2457" s="106">
        <v>0</v>
      </c>
      <c r="I2457" s="104">
        <v>0</v>
      </c>
      <c r="J2457" s="106">
        <v>0</v>
      </c>
      <c r="K2457" s="108">
        <v>0</v>
      </c>
      <c r="L2457" s="108">
        <v>0</v>
      </c>
      <c r="M2457" s="108">
        <v>0</v>
      </c>
      <c r="N2457" s="108">
        <v>0</v>
      </c>
      <c r="O2457" s="108">
        <v>0</v>
      </c>
      <c r="P2457" s="108">
        <v>0</v>
      </c>
      <c r="Q2457" s="108">
        <v>0</v>
      </c>
      <c r="R2457" s="108">
        <v>0</v>
      </c>
      <c r="S2457" s="108">
        <v>0</v>
      </c>
      <c r="T2457" s="108">
        <v>0</v>
      </c>
      <c r="U2457" s="108">
        <v>0</v>
      </c>
      <c r="V2457" s="108">
        <v>0</v>
      </c>
    </row>
    <row r="2458" spans="1:22">
      <c r="A2458" s="143">
        <v>45124</v>
      </c>
      <c r="B2458" s="104" t="s">
        <v>37</v>
      </c>
      <c r="C2458" s="145">
        <v>0</v>
      </c>
      <c r="D2458" s="145"/>
      <c r="E2458" s="104">
        <v>0</v>
      </c>
      <c r="F2458" s="106">
        <v>0</v>
      </c>
      <c r="G2458" s="107">
        <v>0</v>
      </c>
      <c r="H2458" s="106">
        <v>0</v>
      </c>
      <c r="I2458" s="104">
        <v>0</v>
      </c>
      <c r="J2458" s="106">
        <v>0</v>
      </c>
      <c r="K2458" s="108">
        <v>0</v>
      </c>
      <c r="L2458" s="108">
        <v>0</v>
      </c>
      <c r="M2458" s="108">
        <v>0</v>
      </c>
      <c r="N2458" s="108">
        <v>0</v>
      </c>
      <c r="O2458" s="108">
        <v>0</v>
      </c>
      <c r="P2458" s="108">
        <v>-0.666666666666667</v>
      </c>
      <c r="Q2458" s="108">
        <v>-0.4</v>
      </c>
      <c r="R2458" s="108">
        <v>-0.428571428571429</v>
      </c>
      <c r="S2458" s="108">
        <v>0</v>
      </c>
      <c r="T2458" s="108">
        <v>0</v>
      </c>
      <c r="U2458" s="108">
        <v>-0.2</v>
      </c>
      <c r="V2458" s="108">
        <v>-0.285714285714286</v>
      </c>
    </row>
    <row r="2459" spans="1:22">
      <c r="A2459" s="143">
        <v>45124</v>
      </c>
      <c r="B2459" s="104" t="s">
        <v>38</v>
      </c>
      <c r="C2459" s="145">
        <v>0</v>
      </c>
      <c r="D2459" s="145"/>
      <c r="E2459" s="104">
        <v>0</v>
      </c>
      <c r="F2459" s="106">
        <v>0</v>
      </c>
      <c r="G2459" s="107">
        <v>0</v>
      </c>
      <c r="H2459" s="106">
        <v>0</v>
      </c>
      <c r="I2459" s="104">
        <v>0</v>
      </c>
      <c r="J2459" s="106">
        <v>0</v>
      </c>
      <c r="K2459" s="108">
        <v>0</v>
      </c>
      <c r="L2459" s="108">
        <v>0</v>
      </c>
      <c r="M2459" s="108">
        <v>0</v>
      </c>
      <c r="N2459" s="108">
        <v>0</v>
      </c>
      <c r="O2459" s="108">
        <v>0</v>
      </c>
      <c r="P2459" s="108">
        <v>0</v>
      </c>
      <c r="Q2459" s="108">
        <v>0</v>
      </c>
      <c r="R2459" s="108">
        <v>0</v>
      </c>
      <c r="S2459" s="108">
        <v>0</v>
      </c>
      <c r="T2459" s="108">
        <v>0</v>
      </c>
      <c r="U2459" s="108">
        <v>0</v>
      </c>
      <c r="V2459" s="108">
        <v>0</v>
      </c>
    </row>
    <row r="2460" spans="1:22">
      <c r="A2460" s="143">
        <v>45124</v>
      </c>
      <c r="B2460" s="111" t="s">
        <v>39</v>
      </c>
      <c r="C2460" s="112">
        <v>18626</v>
      </c>
      <c r="D2460" s="112">
        <v>5341</v>
      </c>
      <c r="E2460" s="112">
        <v>235</v>
      </c>
      <c r="F2460" s="106">
        <v>0.0126167722538387</v>
      </c>
      <c r="G2460" s="112">
        <v>69</v>
      </c>
      <c r="H2460" s="113">
        <v>0.293617021276596</v>
      </c>
      <c r="I2460" s="112">
        <v>51</v>
      </c>
      <c r="J2460" s="106">
        <v>0.217021276595745</v>
      </c>
      <c r="K2460" s="108"/>
      <c r="L2460" s="108"/>
      <c r="M2460" s="108"/>
      <c r="N2460" s="108"/>
      <c r="O2460" s="108"/>
      <c r="P2460" s="108"/>
      <c r="Q2460" s="108"/>
      <c r="R2460" s="108"/>
      <c r="S2460" s="108"/>
      <c r="T2460" s="108"/>
      <c r="U2460" s="108"/>
      <c r="V2460" s="108"/>
    </row>
    <row r="2461" customFormat="1" ht="14.45" customHeight="1" spans="1:24">
      <c r="A2461" s="143">
        <v>45125</v>
      </c>
      <c r="B2461" s="104" t="s">
        <v>17</v>
      </c>
      <c r="C2461" s="216">
        <v>431</v>
      </c>
      <c r="D2461" s="216">
        <v>121</v>
      </c>
      <c r="E2461" s="217">
        <v>17</v>
      </c>
      <c r="F2461" s="106">
        <v>0.0394431554524362</v>
      </c>
      <c r="G2461" s="107">
        <v>3</v>
      </c>
      <c r="H2461" s="106">
        <v>0.176470588235294</v>
      </c>
      <c r="I2461" s="104">
        <v>2</v>
      </c>
      <c r="J2461" s="106">
        <v>0.117647058823529</v>
      </c>
      <c r="K2461" s="108">
        <v>56</v>
      </c>
      <c r="L2461" s="108">
        <v>90.6666666666667</v>
      </c>
      <c r="M2461" s="108">
        <v>226.8</v>
      </c>
      <c r="N2461" s="108">
        <v>285.142857142857</v>
      </c>
      <c r="O2461" s="108">
        <v>-6</v>
      </c>
      <c r="P2461" s="108">
        <v>-5.66666666666667</v>
      </c>
      <c r="Q2461" s="108">
        <v>-2.4</v>
      </c>
      <c r="R2461" s="108">
        <v>-1.71428571428572</v>
      </c>
      <c r="S2461" s="108">
        <v>0</v>
      </c>
      <c r="T2461" s="108">
        <v>-2.33333333333333</v>
      </c>
      <c r="U2461" s="108">
        <v>-2.2</v>
      </c>
      <c r="V2461" s="108">
        <v>-2.71428571428571</v>
      </c>
      <c r="X2461" t="s">
        <v>18</v>
      </c>
    </row>
    <row r="2462" customFormat="1" ht="14.45" customHeight="1" spans="1:24">
      <c r="A2462" s="143">
        <v>45125</v>
      </c>
      <c r="B2462" s="104" t="s">
        <v>19</v>
      </c>
      <c r="C2462" s="216">
        <v>535</v>
      </c>
      <c r="D2462" s="216">
        <v>414</v>
      </c>
      <c r="E2462" s="217">
        <v>7</v>
      </c>
      <c r="F2462" s="106">
        <v>0.0130841121495327</v>
      </c>
      <c r="G2462" s="107">
        <v>4</v>
      </c>
      <c r="H2462" s="106">
        <v>0.571428571428571</v>
      </c>
      <c r="I2462" s="104">
        <v>3</v>
      </c>
      <c r="J2462" s="106">
        <v>0.428571428571429</v>
      </c>
      <c r="K2462" s="108">
        <v>81</v>
      </c>
      <c r="L2462" s="108">
        <v>146.666666666667</v>
      </c>
      <c r="M2462" s="108">
        <v>158.2</v>
      </c>
      <c r="N2462" s="108">
        <v>139.285714285714</v>
      </c>
      <c r="O2462" s="108">
        <v>-5</v>
      </c>
      <c r="P2462" s="108">
        <v>-4</v>
      </c>
      <c r="Q2462" s="108">
        <v>-4.2</v>
      </c>
      <c r="R2462" s="108">
        <v>-3.42857142857143</v>
      </c>
      <c r="S2462" s="108">
        <v>-4</v>
      </c>
      <c r="T2462" s="108">
        <v>-2.33333333333333</v>
      </c>
      <c r="U2462" s="108">
        <v>-1</v>
      </c>
      <c r="V2462" s="115">
        <v>-1.42857142857143</v>
      </c>
      <c r="W2462" s="154"/>
      <c r="X2462" s="154"/>
    </row>
    <row r="2463" customFormat="1" ht="14.45" customHeight="1" spans="1:22">
      <c r="A2463" s="143">
        <v>45125</v>
      </c>
      <c r="B2463" s="104" t="s">
        <v>21</v>
      </c>
      <c r="C2463" s="218">
        <v>86</v>
      </c>
      <c r="D2463" s="218">
        <v>149</v>
      </c>
      <c r="E2463" s="217">
        <v>5</v>
      </c>
      <c r="F2463" s="106">
        <v>0.0581395348837209</v>
      </c>
      <c r="G2463" s="107">
        <v>3</v>
      </c>
      <c r="H2463" s="106">
        <v>0.6</v>
      </c>
      <c r="I2463" s="104">
        <v>2</v>
      </c>
      <c r="J2463" s="106">
        <v>0.4</v>
      </c>
      <c r="K2463" s="108">
        <v>29</v>
      </c>
      <c r="L2463" s="108">
        <v>43.3333333333333</v>
      </c>
      <c r="M2463" s="108">
        <v>39</v>
      </c>
      <c r="N2463" s="108">
        <v>39.7142857142857</v>
      </c>
      <c r="O2463" s="108">
        <v>3</v>
      </c>
      <c r="P2463" s="108">
        <v>3.66666666666667</v>
      </c>
      <c r="Q2463" s="108">
        <v>3.2</v>
      </c>
      <c r="R2463" s="108">
        <v>3.57142857142857</v>
      </c>
      <c r="S2463" s="108">
        <v>1</v>
      </c>
      <c r="T2463" s="108">
        <v>1.33333333333333</v>
      </c>
      <c r="U2463" s="108">
        <v>0.8</v>
      </c>
      <c r="V2463" s="108">
        <v>0.285714285714286</v>
      </c>
    </row>
    <row r="2464" customFormat="1" ht="18.95" customHeight="1" spans="1:24">
      <c r="A2464" s="143">
        <v>45125</v>
      </c>
      <c r="B2464" s="104" t="s">
        <v>22</v>
      </c>
      <c r="C2464" s="218">
        <v>1904</v>
      </c>
      <c r="D2464" s="218">
        <v>734</v>
      </c>
      <c r="E2464" s="217">
        <v>24</v>
      </c>
      <c r="F2464" s="106">
        <v>0.0126050420168067</v>
      </c>
      <c r="G2464" s="107">
        <v>10</v>
      </c>
      <c r="H2464" s="106">
        <v>0.416666666666667</v>
      </c>
      <c r="I2464" s="104">
        <v>4</v>
      </c>
      <c r="J2464" s="106">
        <v>0.166666666666667</v>
      </c>
      <c r="K2464" s="108">
        <v>-109</v>
      </c>
      <c r="L2464" s="108">
        <v>-137.333333333333</v>
      </c>
      <c r="M2464" s="108">
        <v>-124.6</v>
      </c>
      <c r="N2464" s="108">
        <v>-187.714285714286</v>
      </c>
      <c r="O2464" s="108">
        <v>-18</v>
      </c>
      <c r="P2464" s="108">
        <v>-27.3333333333333</v>
      </c>
      <c r="Q2464" s="108">
        <v>-23</v>
      </c>
      <c r="R2464" s="115">
        <v>-17.5714285714286</v>
      </c>
      <c r="S2464" s="108">
        <v>-6</v>
      </c>
      <c r="T2464" s="108">
        <v>-11.3333333333333</v>
      </c>
      <c r="U2464" s="108">
        <v>-8.6</v>
      </c>
      <c r="V2464" s="108">
        <v>-6.85714285714286</v>
      </c>
      <c r="W2464" s="154"/>
      <c r="X2464" s="154"/>
    </row>
    <row r="2465" customFormat="1" ht="14.45" customHeight="1" spans="1:22">
      <c r="A2465" s="143">
        <v>45125</v>
      </c>
      <c r="B2465" s="104" t="s">
        <v>23</v>
      </c>
      <c r="C2465" s="218">
        <v>2538</v>
      </c>
      <c r="D2465" s="218">
        <v>369</v>
      </c>
      <c r="E2465" s="217">
        <v>12</v>
      </c>
      <c r="F2465" s="106">
        <v>0.00472813238770686</v>
      </c>
      <c r="G2465" s="107">
        <v>3</v>
      </c>
      <c r="H2465" s="106">
        <v>0.25</v>
      </c>
      <c r="I2465" s="104">
        <v>3</v>
      </c>
      <c r="J2465" s="106">
        <v>0.25</v>
      </c>
      <c r="K2465" s="108">
        <v>238</v>
      </c>
      <c r="L2465" s="108">
        <v>317.333333333333</v>
      </c>
      <c r="M2465" s="108">
        <v>475</v>
      </c>
      <c r="N2465" s="108">
        <v>570.571428571429</v>
      </c>
      <c r="O2465" s="108">
        <v>0</v>
      </c>
      <c r="P2465" s="108">
        <v>1</v>
      </c>
      <c r="Q2465" s="108">
        <v>3</v>
      </c>
      <c r="R2465" s="108">
        <v>3.28571428571429</v>
      </c>
      <c r="S2465" s="108">
        <v>-1</v>
      </c>
      <c r="T2465" s="108">
        <v>0</v>
      </c>
      <c r="U2465" s="108">
        <v>0</v>
      </c>
      <c r="V2465" s="108">
        <v>0.142857142857143</v>
      </c>
    </row>
    <row r="2466" customFormat="1" ht="14.45" customHeight="1" spans="1:24">
      <c r="A2466" s="143">
        <v>45125</v>
      </c>
      <c r="B2466" s="104" t="s">
        <v>24</v>
      </c>
      <c r="C2466" s="218">
        <v>823</v>
      </c>
      <c r="D2466" s="218">
        <v>691</v>
      </c>
      <c r="E2466" s="217">
        <v>10</v>
      </c>
      <c r="F2466" s="106">
        <v>0.0121506682867558</v>
      </c>
      <c r="G2466" s="107">
        <v>6</v>
      </c>
      <c r="H2466" s="106">
        <v>0.6</v>
      </c>
      <c r="I2466" s="104">
        <v>4</v>
      </c>
      <c r="J2466" s="106">
        <v>0.4</v>
      </c>
      <c r="K2466" s="108">
        <v>10</v>
      </c>
      <c r="L2466" s="108">
        <v>67.6666666666666</v>
      </c>
      <c r="M2466" s="108">
        <v>45</v>
      </c>
      <c r="N2466" s="108">
        <v>84.7142857142857</v>
      </c>
      <c r="O2466" s="115">
        <v>-4</v>
      </c>
      <c r="P2466" s="115">
        <v>0</v>
      </c>
      <c r="Q2466" s="115">
        <v>0.199999999999999</v>
      </c>
      <c r="R2466" s="115">
        <v>1.28571428571429</v>
      </c>
      <c r="S2466" s="115">
        <v>4</v>
      </c>
      <c r="T2466" s="115">
        <v>3.33333333333333</v>
      </c>
      <c r="U2466" s="108">
        <v>2.8</v>
      </c>
      <c r="V2466" s="108">
        <v>2.28571428571429</v>
      </c>
      <c r="W2466" s="154"/>
      <c r="X2466" s="154"/>
    </row>
    <row r="2467" customFormat="1" ht="14.45" customHeight="1" spans="1:22">
      <c r="A2467" s="143">
        <v>45125</v>
      </c>
      <c r="B2467" s="104" t="s">
        <v>25</v>
      </c>
      <c r="C2467" s="218">
        <v>2077</v>
      </c>
      <c r="D2467" s="218">
        <v>571</v>
      </c>
      <c r="E2467" s="217">
        <v>57</v>
      </c>
      <c r="F2467" s="106">
        <v>0.0274434280211844</v>
      </c>
      <c r="G2467" s="107">
        <v>15</v>
      </c>
      <c r="H2467" s="106">
        <v>0.263157894736842</v>
      </c>
      <c r="I2467" s="104">
        <v>9</v>
      </c>
      <c r="J2467" s="106">
        <v>0.157894736842105</v>
      </c>
      <c r="K2467" s="108">
        <v>-215</v>
      </c>
      <c r="L2467" s="108">
        <v>-220.333333333333</v>
      </c>
      <c r="M2467" s="108">
        <v>-274</v>
      </c>
      <c r="N2467" s="108">
        <v>-301.142857142857</v>
      </c>
      <c r="O2467" s="115">
        <v>-8</v>
      </c>
      <c r="P2467" s="115">
        <v>-14</v>
      </c>
      <c r="Q2467" s="115">
        <v>-14.4</v>
      </c>
      <c r="R2467" s="115">
        <v>-9.28571428571429</v>
      </c>
      <c r="S2467" s="108">
        <v>-10</v>
      </c>
      <c r="T2467" s="108">
        <v>-8</v>
      </c>
      <c r="U2467" s="108">
        <v>-7.8</v>
      </c>
      <c r="V2467" s="108">
        <v>-7.42857142857143</v>
      </c>
    </row>
    <row r="2468" customFormat="1" ht="14.45" customHeight="1" spans="1:22">
      <c r="A2468" s="143">
        <v>45125</v>
      </c>
      <c r="B2468" s="104" t="s">
        <v>26</v>
      </c>
      <c r="C2468" s="218">
        <v>1228</v>
      </c>
      <c r="D2468" s="218">
        <v>1660</v>
      </c>
      <c r="E2468" s="217">
        <v>22</v>
      </c>
      <c r="F2468" s="106">
        <v>0.0179153094462541</v>
      </c>
      <c r="G2468" s="107">
        <v>6</v>
      </c>
      <c r="H2468" s="106">
        <v>0.272727272727273</v>
      </c>
      <c r="I2468" s="104">
        <v>5</v>
      </c>
      <c r="J2468" s="106">
        <v>0.227272727272727</v>
      </c>
      <c r="K2468" s="108">
        <v>72</v>
      </c>
      <c r="L2468" s="108">
        <v>416</v>
      </c>
      <c r="M2468" s="108">
        <v>739.8</v>
      </c>
      <c r="N2468" s="108">
        <v>801.285714285714</v>
      </c>
      <c r="O2468" s="108">
        <v>-5</v>
      </c>
      <c r="P2468" s="108">
        <v>1.66666666666667</v>
      </c>
      <c r="Q2468" s="108">
        <v>3</v>
      </c>
      <c r="R2468" s="108">
        <v>4.85714285714286</v>
      </c>
      <c r="S2468" s="108">
        <v>2</v>
      </c>
      <c r="T2468" s="108">
        <v>0.333333333333333</v>
      </c>
      <c r="U2468" s="108">
        <v>0.4</v>
      </c>
      <c r="V2468" s="108">
        <v>1.42857142857143</v>
      </c>
    </row>
    <row r="2469" customFormat="1" ht="14.45" customHeight="1" spans="1:22">
      <c r="A2469" s="143">
        <v>45125</v>
      </c>
      <c r="B2469" s="104" t="s">
        <v>27</v>
      </c>
      <c r="C2469" s="218">
        <v>8787</v>
      </c>
      <c r="D2469" s="218">
        <v>558</v>
      </c>
      <c r="E2469" s="217">
        <v>43</v>
      </c>
      <c r="F2469" s="106">
        <v>0.00489359280755662</v>
      </c>
      <c r="G2469" s="107">
        <v>9</v>
      </c>
      <c r="H2469" s="106">
        <v>0.209302325581395</v>
      </c>
      <c r="I2469" s="104">
        <v>8</v>
      </c>
      <c r="J2469" s="106">
        <v>0.186046511627907</v>
      </c>
      <c r="K2469" s="108">
        <v>-379</v>
      </c>
      <c r="L2469" s="108">
        <v>3543</v>
      </c>
      <c r="M2469" s="108">
        <v>4993.4</v>
      </c>
      <c r="N2469" s="108">
        <v>5491.71428571429</v>
      </c>
      <c r="O2469" s="108">
        <v>5</v>
      </c>
      <c r="P2469" s="108">
        <v>20.6666666666667</v>
      </c>
      <c r="Q2469" s="108">
        <v>24</v>
      </c>
      <c r="R2469" s="108">
        <v>25</v>
      </c>
      <c r="S2469" s="108">
        <v>4</v>
      </c>
      <c r="T2469" s="108">
        <v>5.33333333333333</v>
      </c>
      <c r="U2469" s="108">
        <v>5.4</v>
      </c>
      <c r="V2469" s="108">
        <v>5.28571428571429</v>
      </c>
    </row>
    <row r="2470" customFormat="1" ht="14.45" hidden="1" customHeight="1" spans="1:22">
      <c r="A2470" s="143">
        <v>45125</v>
      </c>
      <c r="B2470" s="104" t="s">
        <v>28</v>
      </c>
      <c r="C2470" s="145">
        <v>0</v>
      </c>
      <c r="D2470" s="145"/>
      <c r="E2470" s="104">
        <v>0</v>
      </c>
      <c r="F2470" s="106">
        <v>0</v>
      </c>
      <c r="G2470" s="107">
        <v>0</v>
      </c>
      <c r="H2470" s="106">
        <v>0</v>
      </c>
      <c r="I2470" s="104">
        <v>0</v>
      </c>
      <c r="J2470" s="106">
        <v>0</v>
      </c>
      <c r="K2470" s="108">
        <v>0</v>
      </c>
      <c r="L2470" s="108">
        <v>0</v>
      </c>
      <c r="M2470" s="108">
        <v>0</v>
      </c>
      <c r="N2470" s="108">
        <v>0</v>
      </c>
      <c r="O2470" s="108">
        <v>0</v>
      </c>
      <c r="P2470" s="108">
        <v>0</v>
      </c>
      <c r="Q2470" s="108">
        <v>0</v>
      </c>
      <c r="R2470" s="108">
        <v>0</v>
      </c>
      <c r="S2470" s="108">
        <v>0</v>
      </c>
      <c r="T2470" s="108">
        <v>0</v>
      </c>
      <c r="U2470" s="108">
        <v>0</v>
      </c>
      <c r="V2470" s="108">
        <v>0</v>
      </c>
    </row>
    <row r="2471" customFormat="1" ht="14.45" hidden="1" customHeight="1" spans="1:22">
      <c r="A2471" s="143">
        <v>45125</v>
      </c>
      <c r="B2471" s="104" t="s">
        <v>29</v>
      </c>
      <c r="C2471" s="145">
        <v>0</v>
      </c>
      <c r="D2471" s="145"/>
      <c r="E2471" s="104">
        <v>0</v>
      </c>
      <c r="F2471" s="106">
        <v>0</v>
      </c>
      <c r="G2471" s="107">
        <v>0</v>
      </c>
      <c r="H2471" s="106">
        <v>0</v>
      </c>
      <c r="I2471" s="104">
        <v>0</v>
      </c>
      <c r="J2471" s="106">
        <v>0</v>
      </c>
      <c r="K2471" s="108">
        <v>0</v>
      </c>
      <c r="L2471" s="108">
        <v>0</v>
      </c>
      <c r="M2471" s="108">
        <v>0</v>
      </c>
      <c r="N2471" s="108">
        <v>0</v>
      </c>
      <c r="O2471" s="108">
        <v>0</v>
      </c>
      <c r="P2471" s="108">
        <v>-0.666666666666667</v>
      </c>
      <c r="Q2471" s="108">
        <v>-0.6</v>
      </c>
      <c r="R2471" s="108">
        <v>-0.428571428571429</v>
      </c>
      <c r="S2471" s="108">
        <v>0</v>
      </c>
      <c r="T2471" s="108">
        <v>0</v>
      </c>
      <c r="U2471" s="108">
        <v>0</v>
      </c>
      <c r="V2471" s="108">
        <v>0</v>
      </c>
    </row>
    <row r="2472" customFormat="1" ht="14.45" hidden="1" customHeight="1" spans="1:22">
      <c r="A2472" s="143">
        <v>45125</v>
      </c>
      <c r="B2472" s="104" t="s">
        <v>30</v>
      </c>
      <c r="C2472" s="145">
        <v>0</v>
      </c>
      <c r="D2472" s="145"/>
      <c r="E2472" s="104">
        <v>0</v>
      </c>
      <c r="F2472" s="106">
        <v>0</v>
      </c>
      <c r="G2472" s="107">
        <v>0</v>
      </c>
      <c r="H2472" s="106">
        <v>0</v>
      </c>
      <c r="I2472" s="104">
        <v>0</v>
      </c>
      <c r="J2472" s="106">
        <v>0</v>
      </c>
      <c r="K2472" s="108">
        <v>0</v>
      </c>
      <c r="L2472" s="108">
        <v>0</v>
      </c>
      <c r="M2472" s="108">
        <v>0</v>
      </c>
      <c r="N2472" s="108">
        <v>0</v>
      </c>
      <c r="O2472" s="108">
        <v>0</v>
      </c>
      <c r="P2472" s="108">
        <v>0</v>
      </c>
      <c r="Q2472" s="108">
        <v>0</v>
      </c>
      <c r="R2472" s="108">
        <v>0</v>
      </c>
      <c r="S2472" s="108">
        <v>0</v>
      </c>
      <c r="T2472" s="108">
        <v>0</v>
      </c>
      <c r="U2472" s="108">
        <v>0</v>
      </c>
      <c r="V2472" s="108">
        <v>0</v>
      </c>
    </row>
    <row r="2473" customFormat="1" ht="14.45" hidden="1" customHeight="1" spans="1:22">
      <c r="A2473" s="143">
        <v>45125</v>
      </c>
      <c r="B2473" s="104" t="s">
        <v>31</v>
      </c>
      <c r="C2473" s="145">
        <v>0</v>
      </c>
      <c r="D2473" s="145"/>
      <c r="E2473" s="104">
        <v>0</v>
      </c>
      <c r="F2473" s="106">
        <v>0</v>
      </c>
      <c r="G2473" s="107">
        <v>0</v>
      </c>
      <c r="H2473" s="106">
        <v>0</v>
      </c>
      <c r="I2473" s="104">
        <v>0</v>
      </c>
      <c r="J2473" s="106">
        <v>0</v>
      </c>
      <c r="K2473" s="108">
        <v>0</v>
      </c>
      <c r="L2473" s="108">
        <v>0</v>
      </c>
      <c r="M2473" s="108">
        <v>0</v>
      </c>
      <c r="N2473" s="108">
        <v>0</v>
      </c>
      <c r="O2473" s="108">
        <v>0</v>
      </c>
      <c r="P2473" s="108">
        <v>0</v>
      </c>
      <c r="Q2473" s="108">
        <v>0</v>
      </c>
      <c r="R2473" s="108">
        <v>0</v>
      </c>
      <c r="S2473" s="108">
        <v>0</v>
      </c>
      <c r="T2473" s="108">
        <v>0</v>
      </c>
      <c r="U2473" s="108">
        <v>0</v>
      </c>
      <c r="V2473" s="108">
        <v>0</v>
      </c>
    </row>
    <row r="2474" customFormat="1" ht="14.45" hidden="1" customHeight="1" spans="1:22">
      <c r="A2474" s="143">
        <v>45125</v>
      </c>
      <c r="B2474" s="104" t="s">
        <v>32</v>
      </c>
      <c r="C2474" s="145">
        <v>0</v>
      </c>
      <c r="D2474" s="145"/>
      <c r="E2474" s="104">
        <v>0</v>
      </c>
      <c r="F2474" s="106">
        <v>0</v>
      </c>
      <c r="G2474" s="107">
        <v>0</v>
      </c>
      <c r="H2474" s="106">
        <v>0</v>
      </c>
      <c r="I2474" s="104">
        <v>0</v>
      </c>
      <c r="J2474" s="106">
        <v>0</v>
      </c>
      <c r="K2474" s="108">
        <v>0</v>
      </c>
      <c r="L2474" s="108">
        <v>0</v>
      </c>
      <c r="M2474" s="108">
        <v>0</v>
      </c>
      <c r="N2474" s="108">
        <v>0</v>
      </c>
      <c r="O2474" s="108">
        <v>0</v>
      </c>
      <c r="P2474" s="108">
        <v>0</v>
      </c>
      <c r="Q2474" s="108">
        <v>0</v>
      </c>
      <c r="R2474" s="108">
        <v>0</v>
      </c>
      <c r="S2474" s="108">
        <v>0</v>
      </c>
      <c r="T2474" s="108">
        <v>0</v>
      </c>
      <c r="U2474" s="108">
        <v>0</v>
      </c>
      <c r="V2474" s="108">
        <v>0</v>
      </c>
    </row>
    <row r="2475" customFormat="1" hidden="1" spans="1:22">
      <c r="A2475" s="143">
        <v>45125</v>
      </c>
      <c r="B2475" s="104" t="s">
        <v>33</v>
      </c>
      <c r="C2475" s="145">
        <v>0</v>
      </c>
      <c r="D2475" s="145"/>
      <c r="E2475" s="104">
        <v>0</v>
      </c>
      <c r="F2475" s="106">
        <v>0</v>
      </c>
      <c r="G2475" s="107">
        <v>0</v>
      </c>
      <c r="H2475" s="106">
        <v>0</v>
      </c>
      <c r="I2475" s="104">
        <v>0</v>
      </c>
      <c r="J2475" s="106">
        <v>0</v>
      </c>
      <c r="K2475" s="108">
        <v>0</v>
      </c>
      <c r="L2475" s="108">
        <v>0</v>
      </c>
      <c r="M2475" s="108">
        <v>0</v>
      </c>
      <c r="N2475" s="108">
        <v>0</v>
      </c>
      <c r="O2475" s="108">
        <v>0</v>
      </c>
      <c r="P2475" s="108">
        <v>0</v>
      </c>
      <c r="Q2475" s="108">
        <v>0</v>
      </c>
      <c r="R2475" s="108">
        <v>0</v>
      </c>
      <c r="S2475" s="108">
        <v>0</v>
      </c>
      <c r="T2475" s="108">
        <v>0</v>
      </c>
      <c r="U2475" s="108">
        <v>0</v>
      </c>
      <c r="V2475" s="108">
        <v>0</v>
      </c>
    </row>
    <row r="2476" customFormat="1" hidden="1" spans="1:22">
      <c r="A2476" s="143">
        <v>45125</v>
      </c>
      <c r="B2476" s="104" t="s">
        <v>34</v>
      </c>
      <c r="C2476" s="145">
        <v>0</v>
      </c>
      <c r="D2476" s="145"/>
      <c r="E2476" s="104">
        <v>0</v>
      </c>
      <c r="F2476" s="106">
        <v>0</v>
      </c>
      <c r="G2476" s="107">
        <v>0</v>
      </c>
      <c r="H2476" s="106">
        <v>0</v>
      </c>
      <c r="I2476" s="104">
        <v>0</v>
      </c>
      <c r="J2476" s="106">
        <v>0</v>
      </c>
      <c r="K2476" s="108">
        <v>0</v>
      </c>
      <c r="L2476" s="108">
        <v>0</v>
      </c>
      <c r="M2476" s="108">
        <v>0</v>
      </c>
      <c r="N2476" s="108">
        <v>0</v>
      </c>
      <c r="O2476" s="108">
        <v>0</v>
      </c>
      <c r="P2476" s="108">
        <v>0</v>
      </c>
      <c r="Q2476" s="108">
        <v>0</v>
      </c>
      <c r="R2476" s="108">
        <v>0</v>
      </c>
      <c r="S2476" s="108">
        <v>0</v>
      </c>
      <c r="T2476" s="108">
        <v>0</v>
      </c>
      <c r="U2476" s="108">
        <v>0</v>
      </c>
      <c r="V2476" s="108">
        <v>0</v>
      </c>
    </row>
    <row r="2477" customFormat="1" hidden="1" spans="1:22">
      <c r="A2477" s="143">
        <v>45125</v>
      </c>
      <c r="B2477" s="104" t="s">
        <v>35</v>
      </c>
      <c r="C2477" s="145">
        <v>0</v>
      </c>
      <c r="D2477" s="145"/>
      <c r="E2477" s="104">
        <v>0</v>
      </c>
      <c r="F2477" s="106">
        <v>0</v>
      </c>
      <c r="G2477" s="107">
        <v>0</v>
      </c>
      <c r="H2477" s="106">
        <v>0</v>
      </c>
      <c r="I2477" s="104">
        <v>0</v>
      </c>
      <c r="J2477" s="106">
        <v>0</v>
      </c>
      <c r="K2477" s="108">
        <v>0</v>
      </c>
      <c r="L2477" s="108">
        <v>0</v>
      </c>
      <c r="M2477" s="108">
        <v>0</v>
      </c>
      <c r="N2477" s="108">
        <v>0</v>
      </c>
      <c r="O2477" s="108">
        <v>0</v>
      </c>
      <c r="P2477" s="108">
        <v>0</v>
      </c>
      <c r="Q2477" s="108">
        <v>0</v>
      </c>
      <c r="R2477" s="108">
        <v>0</v>
      </c>
      <c r="S2477" s="108">
        <v>0</v>
      </c>
      <c r="T2477" s="108">
        <v>0</v>
      </c>
      <c r="U2477" s="108">
        <v>0</v>
      </c>
      <c r="V2477" s="108">
        <v>0</v>
      </c>
    </row>
    <row r="2478" customFormat="1" hidden="1" spans="1:22">
      <c r="A2478" s="143">
        <v>45125</v>
      </c>
      <c r="B2478" s="104" t="s">
        <v>36</v>
      </c>
      <c r="C2478" s="145">
        <v>0</v>
      </c>
      <c r="D2478" s="145"/>
      <c r="E2478" s="104">
        <v>0</v>
      </c>
      <c r="F2478" s="106">
        <v>0</v>
      </c>
      <c r="G2478" s="107">
        <v>0</v>
      </c>
      <c r="H2478" s="106">
        <v>0</v>
      </c>
      <c r="I2478" s="104">
        <v>0</v>
      </c>
      <c r="J2478" s="106">
        <v>0</v>
      </c>
      <c r="K2478" s="108">
        <v>0</v>
      </c>
      <c r="L2478" s="108">
        <v>0</v>
      </c>
      <c r="M2478" s="108">
        <v>0</v>
      </c>
      <c r="N2478" s="108">
        <v>0</v>
      </c>
      <c r="O2478" s="108">
        <v>0</v>
      </c>
      <c r="P2478" s="108">
        <v>0</v>
      </c>
      <c r="Q2478" s="108">
        <v>0</v>
      </c>
      <c r="R2478" s="108">
        <v>0</v>
      </c>
      <c r="S2478" s="108">
        <v>0</v>
      </c>
      <c r="T2478" s="108">
        <v>0</v>
      </c>
      <c r="U2478" s="108">
        <v>0</v>
      </c>
      <c r="V2478" s="108">
        <v>0</v>
      </c>
    </row>
    <row r="2479" customFormat="1" hidden="1" spans="1:22">
      <c r="A2479" s="143">
        <v>45125</v>
      </c>
      <c r="B2479" s="104" t="s">
        <v>37</v>
      </c>
      <c r="C2479" s="145">
        <v>0</v>
      </c>
      <c r="D2479" s="145"/>
      <c r="E2479" s="104">
        <v>1</v>
      </c>
      <c r="F2479" s="106">
        <v>0</v>
      </c>
      <c r="G2479" s="107">
        <v>0</v>
      </c>
      <c r="H2479" s="106">
        <v>0</v>
      </c>
      <c r="I2479" s="104">
        <v>0</v>
      </c>
      <c r="J2479" s="106">
        <v>0</v>
      </c>
      <c r="K2479" s="108">
        <v>0</v>
      </c>
      <c r="L2479" s="108">
        <v>0</v>
      </c>
      <c r="M2479" s="108">
        <v>0</v>
      </c>
      <c r="N2479" s="108">
        <v>0</v>
      </c>
      <c r="O2479" s="108">
        <v>1</v>
      </c>
      <c r="P2479" s="108">
        <v>1</v>
      </c>
      <c r="Q2479" s="108">
        <v>0.6</v>
      </c>
      <c r="R2479" s="108">
        <v>0.714285714285714</v>
      </c>
      <c r="S2479" s="108">
        <v>0</v>
      </c>
      <c r="T2479" s="108">
        <v>0</v>
      </c>
      <c r="U2479" s="108">
        <v>0</v>
      </c>
      <c r="V2479" s="108">
        <v>-0.142857142857143</v>
      </c>
    </row>
    <row r="2480" customFormat="1" hidden="1" spans="1:22">
      <c r="A2480" s="143">
        <v>45125</v>
      </c>
      <c r="B2480" s="104" t="s">
        <v>38</v>
      </c>
      <c r="C2480" s="145">
        <v>0</v>
      </c>
      <c r="D2480" s="145"/>
      <c r="E2480" s="104">
        <v>0</v>
      </c>
      <c r="F2480" s="106">
        <v>0</v>
      </c>
      <c r="G2480" s="107">
        <v>0</v>
      </c>
      <c r="H2480" s="106">
        <v>0</v>
      </c>
      <c r="I2480" s="104">
        <v>0</v>
      </c>
      <c r="J2480" s="106">
        <v>0</v>
      </c>
      <c r="K2480" s="108">
        <v>0</v>
      </c>
      <c r="L2480" s="108">
        <v>0</v>
      </c>
      <c r="M2480" s="108">
        <v>0</v>
      </c>
      <c r="N2480" s="108">
        <v>0</v>
      </c>
      <c r="O2480" s="108">
        <v>0</v>
      </c>
      <c r="P2480" s="108">
        <v>0</v>
      </c>
      <c r="Q2480" s="108">
        <v>0</v>
      </c>
      <c r="R2480" s="108">
        <v>0</v>
      </c>
      <c r="S2480" s="108">
        <v>0</v>
      </c>
      <c r="T2480" s="108">
        <v>0</v>
      </c>
      <c r="U2480" s="108">
        <v>0</v>
      </c>
      <c r="V2480" s="108">
        <v>0</v>
      </c>
    </row>
    <row r="2481" customFormat="1" spans="1:22">
      <c r="A2481" s="143">
        <v>45125</v>
      </c>
      <c r="B2481" s="111" t="s">
        <v>39</v>
      </c>
      <c r="C2481" s="112">
        <v>18409</v>
      </c>
      <c r="D2481" s="112">
        <v>5267</v>
      </c>
      <c r="E2481" s="112">
        <v>198</v>
      </c>
      <c r="F2481" s="106">
        <v>0.0107556086696724</v>
      </c>
      <c r="G2481" s="112">
        <v>59</v>
      </c>
      <c r="H2481" s="113">
        <v>0.297979797979798</v>
      </c>
      <c r="I2481" s="112">
        <v>40</v>
      </c>
      <c r="J2481" s="106">
        <v>0.202020202020202</v>
      </c>
      <c r="K2481" s="108"/>
      <c r="L2481" s="108"/>
      <c r="M2481" s="108"/>
      <c r="N2481" s="108"/>
      <c r="O2481" s="108"/>
      <c r="P2481" s="108"/>
      <c r="Q2481" s="108"/>
      <c r="R2481" s="108"/>
      <c r="S2481" s="108"/>
      <c r="T2481" s="108"/>
      <c r="U2481" s="108"/>
      <c r="V2481" s="108"/>
    </row>
    <row r="2482" customFormat="1" ht="14.45" customHeight="1" spans="1:24">
      <c r="A2482" s="143">
        <v>45126</v>
      </c>
      <c r="B2482" s="104" t="s">
        <v>17</v>
      </c>
      <c r="C2482" s="216">
        <v>422</v>
      </c>
      <c r="D2482" s="216">
        <v>96</v>
      </c>
      <c r="E2482" s="217">
        <v>16</v>
      </c>
      <c r="F2482" s="106">
        <v>0.037914691943128</v>
      </c>
      <c r="G2482" s="107">
        <v>6</v>
      </c>
      <c r="H2482" s="106">
        <v>0.375</v>
      </c>
      <c r="I2482" s="104">
        <v>5</v>
      </c>
      <c r="J2482" s="106">
        <v>0.3125</v>
      </c>
      <c r="K2482" s="108">
        <v>-9</v>
      </c>
      <c r="L2482" s="108">
        <v>6.66666666666669</v>
      </c>
      <c r="M2482" s="108">
        <v>131.6</v>
      </c>
      <c r="N2482" s="108">
        <v>214.571428571429</v>
      </c>
      <c r="O2482" s="108">
        <v>-1</v>
      </c>
      <c r="P2482" s="108">
        <v>-5</v>
      </c>
      <c r="Q2482" s="108">
        <v>-4.6</v>
      </c>
      <c r="R2482" s="108">
        <v>-1.28571428571428</v>
      </c>
      <c r="S2482" s="108">
        <v>3</v>
      </c>
      <c r="T2482" s="108">
        <v>2.33333333333333</v>
      </c>
      <c r="U2482" s="108">
        <v>1</v>
      </c>
      <c r="V2482" s="108">
        <v>1</v>
      </c>
      <c r="X2482" t="s">
        <v>18</v>
      </c>
    </row>
    <row r="2483" customFormat="1" ht="14.45" customHeight="1" spans="1:24">
      <c r="A2483" s="143">
        <v>45126</v>
      </c>
      <c r="B2483" s="104" t="s">
        <v>19</v>
      </c>
      <c r="C2483" s="216">
        <v>374</v>
      </c>
      <c r="D2483" s="216">
        <v>309</v>
      </c>
      <c r="E2483" s="217">
        <v>7</v>
      </c>
      <c r="F2483" s="106">
        <v>0.018716577540107</v>
      </c>
      <c r="G2483" s="107">
        <v>2</v>
      </c>
      <c r="H2483" s="106">
        <v>0.285714285714286</v>
      </c>
      <c r="I2483" s="104">
        <v>2</v>
      </c>
      <c r="J2483" s="106">
        <v>0.285714285714286</v>
      </c>
      <c r="K2483" s="108">
        <v>-161</v>
      </c>
      <c r="L2483" s="108">
        <v>-77</v>
      </c>
      <c r="M2483" s="108">
        <v>-39.2</v>
      </c>
      <c r="N2483" s="108">
        <v>-29.4285714285714</v>
      </c>
      <c r="O2483" s="108">
        <v>0</v>
      </c>
      <c r="P2483" s="108">
        <v>-3</v>
      </c>
      <c r="Q2483" s="108">
        <v>-3</v>
      </c>
      <c r="R2483" s="108">
        <v>-3.42857142857143</v>
      </c>
      <c r="S2483" s="108">
        <v>-2</v>
      </c>
      <c r="T2483" s="108">
        <v>-3.33333333333333</v>
      </c>
      <c r="U2483" s="108">
        <v>-3</v>
      </c>
      <c r="V2483" s="115">
        <v>-3.28571428571429</v>
      </c>
      <c r="W2483" s="154"/>
      <c r="X2483" s="154"/>
    </row>
    <row r="2484" customFormat="1" ht="14.45" customHeight="1" spans="1:22">
      <c r="A2484" s="143">
        <v>45126</v>
      </c>
      <c r="B2484" s="104" t="s">
        <v>21</v>
      </c>
      <c r="C2484" s="218">
        <v>108</v>
      </c>
      <c r="D2484" s="218">
        <v>179</v>
      </c>
      <c r="E2484" s="217">
        <v>4</v>
      </c>
      <c r="F2484" s="106">
        <v>0.037037037037037</v>
      </c>
      <c r="G2484" s="107">
        <v>1</v>
      </c>
      <c r="H2484" s="106">
        <v>0.25</v>
      </c>
      <c r="I2484" s="104">
        <v>0</v>
      </c>
      <c r="J2484" s="106">
        <v>0</v>
      </c>
      <c r="K2484" s="108">
        <v>22</v>
      </c>
      <c r="L2484" s="108">
        <v>49.6666666666667</v>
      </c>
      <c r="M2484" s="108">
        <v>53.8</v>
      </c>
      <c r="N2484" s="108">
        <v>56.1428571428571</v>
      </c>
      <c r="O2484" s="108">
        <v>-1</v>
      </c>
      <c r="P2484" s="108">
        <v>1.33333333333333</v>
      </c>
      <c r="Q2484" s="108">
        <v>1.8</v>
      </c>
      <c r="R2484" s="108">
        <v>2</v>
      </c>
      <c r="S2484" s="108">
        <v>-2</v>
      </c>
      <c r="T2484" s="108">
        <v>-1</v>
      </c>
      <c r="U2484" s="108">
        <v>-1.8</v>
      </c>
      <c r="V2484" s="108">
        <v>-1.57142857142857</v>
      </c>
    </row>
    <row r="2485" customFormat="1" ht="18.95" customHeight="1" spans="1:24">
      <c r="A2485" s="143">
        <v>45126</v>
      </c>
      <c r="B2485" s="104" t="s">
        <v>22</v>
      </c>
      <c r="C2485" s="218">
        <v>1963</v>
      </c>
      <c r="D2485" s="218">
        <v>741</v>
      </c>
      <c r="E2485" s="217">
        <v>28</v>
      </c>
      <c r="F2485" s="106">
        <v>0.0142638818135507</v>
      </c>
      <c r="G2485" s="107">
        <v>11</v>
      </c>
      <c r="H2485" s="106">
        <v>0.392857142857143</v>
      </c>
      <c r="I2485" s="104">
        <v>7</v>
      </c>
      <c r="J2485" s="106">
        <v>0.25</v>
      </c>
      <c r="K2485" s="108">
        <v>59</v>
      </c>
      <c r="L2485" s="108">
        <v>-26</v>
      </c>
      <c r="M2485" s="108">
        <v>-34.4000000000001</v>
      </c>
      <c r="N2485" s="108">
        <v>-85.7142857142858</v>
      </c>
      <c r="O2485" s="108">
        <v>4</v>
      </c>
      <c r="P2485" s="108">
        <v>-8</v>
      </c>
      <c r="Q2485" s="108">
        <v>-14.2</v>
      </c>
      <c r="R2485" s="115">
        <v>-13.5714285714286</v>
      </c>
      <c r="S2485" s="108">
        <v>1</v>
      </c>
      <c r="T2485" s="108">
        <v>-4.66666666666667</v>
      </c>
      <c r="U2485" s="108">
        <v>-6.8</v>
      </c>
      <c r="V2485" s="117">
        <v>-6.28571428571428</v>
      </c>
      <c r="W2485" s="154"/>
      <c r="X2485" s="154"/>
    </row>
    <row r="2486" customFormat="1" ht="14.45" customHeight="1" spans="1:22">
      <c r="A2486" s="143">
        <v>45126</v>
      </c>
      <c r="B2486" s="104" t="s">
        <v>23</v>
      </c>
      <c r="C2486" s="218">
        <v>2623</v>
      </c>
      <c r="D2486" s="218">
        <v>356</v>
      </c>
      <c r="E2486" s="217">
        <v>11</v>
      </c>
      <c r="F2486" s="106">
        <v>0.00419367136866184</v>
      </c>
      <c r="G2486" s="107">
        <v>4</v>
      </c>
      <c r="H2486" s="106">
        <v>0.363636363636364</v>
      </c>
      <c r="I2486" s="104">
        <v>0</v>
      </c>
      <c r="J2486" s="106">
        <v>0</v>
      </c>
      <c r="K2486" s="108">
        <v>85</v>
      </c>
      <c r="L2486" s="108">
        <v>269</v>
      </c>
      <c r="M2486" s="108">
        <v>400.2</v>
      </c>
      <c r="N2486" s="108">
        <v>539.285714285714</v>
      </c>
      <c r="O2486" s="108">
        <v>-1</v>
      </c>
      <c r="P2486" s="108">
        <v>0</v>
      </c>
      <c r="Q2486" s="108">
        <v>0.199999999999999</v>
      </c>
      <c r="R2486" s="108">
        <v>1.71428571428571</v>
      </c>
      <c r="S2486" s="108">
        <v>1</v>
      </c>
      <c r="T2486" s="116">
        <v>0.666666666666667</v>
      </c>
      <c r="U2486" s="108">
        <v>0.6</v>
      </c>
      <c r="V2486" s="108">
        <v>0.857142857142857</v>
      </c>
    </row>
    <row r="2487" customFormat="1" ht="14.45" customHeight="1" spans="1:24">
      <c r="A2487" s="143">
        <v>45126</v>
      </c>
      <c r="B2487" s="104" t="s">
        <v>24</v>
      </c>
      <c r="C2487" s="218">
        <v>871</v>
      </c>
      <c r="D2487" s="218">
        <v>672</v>
      </c>
      <c r="E2487" s="217">
        <v>9</v>
      </c>
      <c r="F2487" s="106">
        <v>0.0103329506314581</v>
      </c>
      <c r="G2487" s="107">
        <v>3</v>
      </c>
      <c r="H2487" s="106">
        <v>0.333333333333333</v>
      </c>
      <c r="I2487" s="104">
        <v>0</v>
      </c>
      <c r="J2487" s="106">
        <v>0</v>
      </c>
      <c r="K2487" s="108">
        <v>48</v>
      </c>
      <c r="L2487" s="108">
        <v>79.6666666666666</v>
      </c>
      <c r="M2487" s="108">
        <v>83.2</v>
      </c>
      <c r="N2487" s="108">
        <v>93.7142857142857</v>
      </c>
      <c r="O2487" s="115">
        <v>-1</v>
      </c>
      <c r="P2487" s="115">
        <v>-2</v>
      </c>
      <c r="Q2487" s="115">
        <v>-1</v>
      </c>
      <c r="R2487" s="115">
        <v>-0.571428571428571</v>
      </c>
      <c r="S2487" s="115">
        <v>-3</v>
      </c>
      <c r="T2487" s="115">
        <v>-0.666666666666667</v>
      </c>
      <c r="U2487" s="115">
        <v>-0.4</v>
      </c>
      <c r="V2487" s="115">
        <v>-0.857142857142857</v>
      </c>
      <c r="W2487" s="154"/>
      <c r="X2487" s="154"/>
    </row>
    <row r="2488" customFormat="1" ht="14.45" customHeight="1" spans="1:22">
      <c r="A2488" s="143">
        <v>45126</v>
      </c>
      <c r="B2488" s="104" t="s">
        <v>25</v>
      </c>
      <c r="C2488" s="218">
        <v>1942</v>
      </c>
      <c r="D2488" s="218">
        <v>471</v>
      </c>
      <c r="E2488" s="217">
        <v>60</v>
      </c>
      <c r="F2488" s="106">
        <v>0.0308959835221421</v>
      </c>
      <c r="G2488" s="107">
        <v>25</v>
      </c>
      <c r="H2488" s="106">
        <v>0.416666666666667</v>
      </c>
      <c r="I2488" s="104">
        <v>20</v>
      </c>
      <c r="J2488" s="106">
        <v>0.333333333333333</v>
      </c>
      <c r="K2488" s="108">
        <v>-135</v>
      </c>
      <c r="L2488" s="108">
        <v>-294</v>
      </c>
      <c r="M2488" s="108">
        <v>-335.8</v>
      </c>
      <c r="N2488" s="108">
        <v>-385.571428571428</v>
      </c>
      <c r="O2488" s="115">
        <v>3</v>
      </c>
      <c r="P2488" s="115">
        <v>-5.33333333333333</v>
      </c>
      <c r="Q2488" s="115">
        <v>-7</v>
      </c>
      <c r="R2488" s="115">
        <v>-5</v>
      </c>
      <c r="S2488" s="108">
        <v>10</v>
      </c>
      <c r="T2488" s="108">
        <v>5</v>
      </c>
      <c r="U2488" s="108">
        <v>4</v>
      </c>
      <c r="V2488" s="108">
        <v>2.57142857142857</v>
      </c>
    </row>
    <row r="2489" customFormat="1" ht="14.45" customHeight="1" spans="1:22">
      <c r="A2489" s="143">
        <v>45126</v>
      </c>
      <c r="B2489" s="104" t="s">
        <v>26</v>
      </c>
      <c r="C2489" s="218">
        <v>1325</v>
      </c>
      <c r="D2489" s="218">
        <v>1716</v>
      </c>
      <c r="E2489" s="217">
        <v>24</v>
      </c>
      <c r="F2489" s="106">
        <v>0.0181132075471698</v>
      </c>
      <c r="G2489" s="107">
        <v>5</v>
      </c>
      <c r="H2489" s="106">
        <v>0.208333333333333</v>
      </c>
      <c r="I2489" s="104">
        <v>5</v>
      </c>
      <c r="J2489" s="106">
        <v>0.208333333333333</v>
      </c>
      <c r="K2489" s="108">
        <v>97</v>
      </c>
      <c r="L2489" s="108">
        <v>213.333333333333</v>
      </c>
      <c r="M2489" s="108">
        <v>591.8</v>
      </c>
      <c r="N2489" s="108">
        <v>800.142857142857</v>
      </c>
      <c r="O2489" s="108">
        <v>2</v>
      </c>
      <c r="P2489" s="108">
        <v>2.66666666666667</v>
      </c>
      <c r="Q2489" s="108">
        <v>4.6</v>
      </c>
      <c r="R2489" s="108">
        <v>5.71428571428572</v>
      </c>
      <c r="S2489" s="108">
        <v>-1</v>
      </c>
      <c r="T2489" s="108">
        <v>-0.666666666666667</v>
      </c>
      <c r="U2489" s="108">
        <v>-0.2</v>
      </c>
      <c r="V2489" s="108">
        <v>-0.142857142857143</v>
      </c>
    </row>
    <row r="2490" customFormat="1" ht="14.45" customHeight="1" spans="1:22">
      <c r="A2490" s="143">
        <v>45126</v>
      </c>
      <c r="B2490" s="104" t="s">
        <v>27</v>
      </c>
      <c r="C2490" s="218">
        <v>10037</v>
      </c>
      <c r="D2490" s="218">
        <v>614</v>
      </c>
      <c r="E2490" s="217">
        <v>41</v>
      </c>
      <c r="F2490" s="106">
        <v>0.00408488592208827</v>
      </c>
      <c r="G2490" s="107">
        <v>12</v>
      </c>
      <c r="H2490" s="106">
        <v>0.292682926829268</v>
      </c>
      <c r="I2490" s="104">
        <v>10</v>
      </c>
      <c r="J2490" s="106">
        <v>0.24390243902439</v>
      </c>
      <c r="K2490" s="108">
        <v>1250</v>
      </c>
      <c r="L2490" s="108">
        <v>2369.33333333333</v>
      </c>
      <c r="M2490" s="108">
        <v>4810.6</v>
      </c>
      <c r="N2490" s="108">
        <v>5806.42857142857</v>
      </c>
      <c r="O2490" s="108">
        <v>-2</v>
      </c>
      <c r="P2490" s="108">
        <v>8</v>
      </c>
      <c r="Q2490" s="108">
        <v>16.6</v>
      </c>
      <c r="R2490" s="108">
        <v>20.1428571428571</v>
      </c>
      <c r="S2490" s="108">
        <v>3</v>
      </c>
      <c r="T2490" s="108">
        <v>6.33333333333333</v>
      </c>
      <c r="U2490" s="108">
        <v>7.4</v>
      </c>
      <c r="V2490" s="108">
        <v>7.71428571428571</v>
      </c>
    </row>
    <row r="2491" customFormat="1" ht="14.45" hidden="1" customHeight="1" spans="1:22">
      <c r="A2491" s="143">
        <v>45126</v>
      </c>
      <c r="B2491" s="104" t="s">
        <v>28</v>
      </c>
      <c r="C2491" s="145">
        <v>0</v>
      </c>
      <c r="D2491" s="145"/>
      <c r="E2491" s="104">
        <v>0</v>
      </c>
      <c r="F2491" s="106">
        <v>0</v>
      </c>
      <c r="G2491" s="107">
        <v>0</v>
      </c>
      <c r="H2491" s="106">
        <v>0</v>
      </c>
      <c r="I2491" s="104">
        <v>0</v>
      </c>
      <c r="J2491" s="106">
        <v>0</v>
      </c>
      <c r="K2491" s="108">
        <v>0</v>
      </c>
      <c r="L2491" s="108">
        <v>0</v>
      </c>
      <c r="M2491" s="108">
        <v>0</v>
      </c>
      <c r="N2491" s="108">
        <v>0</v>
      </c>
      <c r="O2491" s="108">
        <v>0</v>
      </c>
      <c r="P2491" s="108">
        <v>0</v>
      </c>
      <c r="Q2491" s="108">
        <v>0</v>
      </c>
      <c r="R2491" s="108">
        <v>0</v>
      </c>
      <c r="S2491" s="108">
        <v>0</v>
      </c>
      <c r="T2491" s="108">
        <v>0</v>
      </c>
      <c r="U2491" s="108">
        <v>0</v>
      </c>
      <c r="V2491" s="108">
        <v>0</v>
      </c>
    </row>
    <row r="2492" customFormat="1" ht="14.45" hidden="1" customHeight="1" spans="1:22">
      <c r="A2492" s="143">
        <v>45126</v>
      </c>
      <c r="B2492" s="104" t="s">
        <v>29</v>
      </c>
      <c r="C2492" s="145">
        <v>0</v>
      </c>
      <c r="D2492" s="145"/>
      <c r="E2492" s="104">
        <v>1</v>
      </c>
      <c r="F2492" s="106">
        <v>0</v>
      </c>
      <c r="G2492" s="107">
        <v>0</v>
      </c>
      <c r="H2492" s="106">
        <v>0</v>
      </c>
      <c r="I2492" s="104">
        <v>0</v>
      </c>
      <c r="J2492" s="106">
        <v>0</v>
      </c>
      <c r="K2492" s="108">
        <v>0</v>
      </c>
      <c r="L2492" s="108">
        <v>0</v>
      </c>
      <c r="M2492" s="108">
        <v>0</v>
      </c>
      <c r="N2492" s="108">
        <v>0</v>
      </c>
      <c r="O2492" s="108">
        <v>1</v>
      </c>
      <c r="P2492" s="108">
        <v>1</v>
      </c>
      <c r="Q2492" s="108">
        <v>0.6</v>
      </c>
      <c r="R2492" s="108">
        <v>0.571428571428571</v>
      </c>
      <c r="S2492" s="108">
        <v>0</v>
      </c>
      <c r="T2492" s="108">
        <v>0</v>
      </c>
      <c r="U2492" s="108">
        <v>0</v>
      </c>
      <c r="V2492" s="108">
        <v>0</v>
      </c>
    </row>
    <row r="2493" customFormat="1" ht="14.45" hidden="1" customHeight="1" spans="1:22">
      <c r="A2493" s="143">
        <v>45126</v>
      </c>
      <c r="B2493" s="104" t="s">
        <v>30</v>
      </c>
      <c r="C2493" s="145">
        <v>0</v>
      </c>
      <c r="D2493" s="145"/>
      <c r="E2493" s="104">
        <v>0</v>
      </c>
      <c r="F2493" s="106">
        <v>0</v>
      </c>
      <c r="G2493" s="107">
        <v>0</v>
      </c>
      <c r="H2493" s="106">
        <v>0</v>
      </c>
      <c r="I2493" s="104">
        <v>0</v>
      </c>
      <c r="J2493" s="106">
        <v>0</v>
      </c>
      <c r="K2493" s="108">
        <v>0</v>
      </c>
      <c r="L2493" s="108">
        <v>0</v>
      </c>
      <c r="M2493" s="108">
        <v>0</v>
      </c>
      <c r="N2493" s="108">
        <v>0</v>
      </c>
      <c r="O2493" s="108">
        <v>0</v>
      </c>
      <c r="P2493" s="108">
        <v>0</v>
      </c>
      <c r="Q2493" s="108">
        <v>0</v>
      </c>
      <c r="R2493" s="108">
        <v>0</v>
      </c>
      <c r="S2493" s="108">
        <v>0</v>
      </c>
      <c r="T2493" s="108">
        <v>0</v>
      </c>
      <c r="U2493" s="108">
        <v>0</v>
      </c>
      <c r="V2493" s="108">
        <v>0</v>
      </c>
    </row>
    <row r="2494" customFormat="1" ht="14.45" hidden="1" customHeight="1" spans="1:22">
      <c r="A2494" s="143">
        <v>45126</v>
      </c>
      <c r="B2494" s="104" t="s">
        <v>31</v>
      </c>
      <c r="C2494" s="145">
        <v>0</v>
      </c>
      <c r="D2494" s="145"/>
      <c r="E2494" s="104">
        <v>0</v>
      </c>
      <c r="F2494" s="106">
        <v>0</v>
      </c>
      <c r="G2494" s="107">
        <v>0</v>
      </c>
      <c r="H2494" s="106">
        <v>0</v>
      </c>
      <c r="I2494" s="104">
        <v>0</v>
      </c>
      <c r="J2494" s="106">
        <v>0</v>
      </c>
      <c r="K2494" s="108">
        <v>0</v>
      </c>
      <c r="L2494" s="108">
        <v>0</v>
      </c>
      <c r="M2494" s="108">
        <v>0</v>
      </c>
      <c r="N2494" s="108">
        <v>0</v>
      </c>
      <c r="O2494" s="108">
        <v>0</v>
      </c>
      <c r="P2494" s="108">
        <v>0</v>
      </c>
      <c r="Q2494" s="108">
        <v>0</v>
      </c>
      <c r="R2494" s="108">
        <v>0</v>
      </c>
      <c r="S2494" s="108">
        <v>0</v>
      </c>
      <c r="T2494" s="108">
        <v>0</v>
      </c>
      <c r="U2494" s="108">
        <v>0</v>
      </c>
      <c r="V2494" s="108">
        <v>0</v>
      </c>
    </row>
    <row r="2495" customFormat="1" ht="14.45" hidden="1" customHeight="1" spans="1:22">
      <c r="A2495" s="143">
        <v>45126</v>
      </c>
      <c r="B2495" s="104" t="s">
        <v>32</v>
      </c>
      <c r="C2495" s="145">
        <v>0</v>
      </c>
      <c r="D2495" s="145"/>
      <c r="E2495" s="104">
        <v>0</v>
      </c>
      <c r="F2495" s="106">
        <v>0</v>
      </c>
      <c r="G2495" s="107">
        <v>0</v>
      </c>
      <c r="H2495" s="106">
        <v>0</v>
      </c>
      <c r="I2495" s="104">
        <v>0</v>
      </c>
      <c r="J2495" s="106">
        <v>0</v>
      </c>
      <c r="K2495" s="108">
        <v>0</v>
      </c>
      <c r="L2495" s="108">
        <v>0</v>
      </c>
      <c r="M2495" s="108">
        <v>0</v>
      </c>
      <c r="N2495" s="108">
        <v>0</v>
      </c>
      <c r="O2495" s="108">
        <v>0</v>
      </c>
      <c r="P2495" s="108">
        <v>0</v>
      </c>
      <c r="Q2495" s="108">
        <v>0</v>
      </c>
      <c r="R2495" s="108">
        <v>0</v>
      </c>
      <c r="S2495" s="108">
        <v>0</v>
      </c>
      <c r="T2495" s="108">
        <v>0</v>
      </c>
      <c r="U2495" s="108">
        <v>0</v>
      </c>
      <c r="V2495" s="108">
        <v>0</v>
      </c>
    </row>
    <row r="2496" customFormat="1" hidden="1" spans="1:22">
      <c r="A2496" s="143">
        <v>45126</v>
      </c>
      <c r="B2496" s="104" t="s">
        <v>33</v>
      </c>
      <c r="C2496" s="145">
        <v>0</v>
      </c>
      <c r="D2496" s="145"/>
      <c r="E2496" s="104">
        <v>0</v>
      </c>
      <c r="F2496" s="106">
        <v>0</v>
      </c>
      <c r="G2496" s="107">
        <v>0</v>
      </c>
      <c r="H2496" s="106">
        <v>0</v>
      </c>
      <c r="I2496" s="104">
        <v>0</v>
      </c>
      <c r="J2496" s="106">
        <v>0</v>
      </c>
      <c r="K2496" s="108">
        <v>0</v>
      </c>
      <c r="L2496" s="108">
        <v>0</v>
      </c>
      <c r="M2496" s="108">
        <v>0</v>
      </c>
      <c r="N2496" s="108">
        <v>0</v>
      </c>
      <c r="O2496" s="108">
        <v>0</v>
      </c>
      <c r="P2496" s="108">
        <v>0</v>
      </c>
      <c r="Q2496" s="108">
        <v>0</v>
      </c>
      <c r="R2496" s="108">
        <v>0</v>
      </c>
      <c r="S2496" s="108">
        <v>0</v>
      </c>
      <c r="T2496" s="108">
        <v>0</v>
      </c>
      <c r="U2496" s="108">
        <v>0</v>
      </c>
      <c r="V2496" s="108">
        <v>0</v>
      </c>
    </row>
    <row r="2497" customFormat="1" hidden="1" spans="1:22">
      <c r="A2497" s="143">
        <v>45126</v>
      </c>
      <c r="B2497" s="104" t="s">
        <v>34</v>
      </c>
      <c r="C2497" s="145">
        <v>0</v>
      </c>
      <c r="D2497" s="145"/>
      <c r="E2497" s="104">
        <v>0</v>
      </c>
      <c r="F2497" s="106">
        <v>0</v>
      </c>
      <c r="G2497" s="107">
        <v>0</v>
      </c>
      <c r="H2497" s="106">
        <v>0</v>
      </c>
      <c r="I2497" s="104">
        <v>0</v>
      </c>
      <c r="J2497" s="106">
        <v>0</v>
      </c>
      <c r="K2497" s="108">
        <v>0</v>
      </c>
      <c r="L2497" s="108">
        <v>0</v>
      </c>
      <c r="M2497" s="108">
        <v>0</v>
      </c>
      <c r="N2497" s="108">
        <v>0</v>
      </c>
      <c r="O2497" s="108">
        <v>0</v>
      </c>
      <c r="P2497" s="108">
        <v>0</v>
      </c>
      <c r="Q2497" s="108">
        <v>0</v>
      </c>
      <c r="R2497" s="108">
        <v>0</v>
      </c>
      <c r="S2497" s="108">
        <v>0</v>
      </c>
      <c r="T2497" s="108">
        <v>0</v>
      </c>
      <c r="U2497" s="108">
        <v>0</v>
      </c>
      <c r="V2497" s="108">
        <v>0</v>
      </c>
    </row>
    <row r="2498" customFormat="1" hidden="1" spans="1:22">
      <c r="A2498" s="143">
        <v>45126</v>
      </c>
      <c r="B2498" s="104" t="s">
        <v>35</v>
      </c>
      <c r="C2498" s="145">
        <v>0</v>
      </c>
      <c r="D2498" s="145"/>
      <c r="E2498" s="104">
        <v>0</v>
      </c>
      <c r="F2498" s="106">
        <v>0</v>
      </c>
      <c r="G2498" s="107">
        <v>0</v>
      </c>
      <c r="H2498" s="106">
        <v>0</v>
      </c>
      <c r="I2498" s="104">
        <v>0</v>
      </c>
      <c r="J2498" s="106">
        <v>0</v>
      </c>
      <c r="K2498" s="108">
        <v>0</v>
      </c>
      <c r="L2498" s="108">
        <v>0</v>
      </c>
      <c r="M2498" s="108">
        <v>0</v>
      </c>
      <c r="N2498" s="108">
        <v>0</v>
      </c>
      <c r="O2498" s="108">
        <v>0</v>
      </c>
      <c r="P2498" s="108">
        <v>0</v>
      </c>
      <c r="Q2498" s="108">
        <v>0</v>
      </c>
      <c r="R2498" s="108">
        <v>0</v>
      </c>
      <c r="S2498" s="108">
        <v>0</v>
      </c>
      <c r="T2498" s="108">
        <v>0</v>
      </c>
      <c r="U2498" s="108">
        <v>0</v>
      </c>
      <c r="V2498" s="108">
        <v>0</v>
      </c>
    </row>
    <row r="2499" customFormat="1" hidden="1" spans="1:22">
      <c r="A2499" s="143">
        <v>45126</v>
      </c>
      <c r="B2499" s="104" t="s">
        <v>36</v>
      </c>
      <c r="C2499" s="145">
        <v>0</v>
      </c>
      <c r="D2499" s="145"/>
      <c r="E2499" s="104">
        <v>0</v>
      </c>
      <c r="F2499" s="106">
        <v>0</v>
      </c>
      <c r="G2499" s="107">
        <v>0</v>
      </c>
      <c r="H2499" s="106">
        <v>0</v>
      </c>
      <c r="I2499" s="104">
        <v>0</v>
      </c>
      <c r="J2499" s="106">
        <v>0</v>
      </c>
      <c r="K2499" s="108">
        <v>0</v>
      </c>
      <c r="L2499" s="108">
        <v>0</v>
      </c>
      <c r="M2499" s="108">
        <v>0</v>
      </c>
      <c r="N2499" s="108">
        <v>0</v>
      </c>
      <c r="O2499" s="108">
        <v>0</v>
      </c>
      <c r="P2499" s="108">
        <v>0</v>
      </c>
      <c r="Q2499" s="108">
        <v>0</v>
      </c>
      <c r="R2499" s="108">
        <v>0</v>
      </c>
      <c r="S2499" s="108">
        <v>0</v>
      </c>
      <c r="T2499" s="108">
        <v>0</v>
      </c>
      <c r="U2499" s="108">
        <v>0</v>
      </c>
      <c r="V2499" s="108">
        <v>0</v>
      </c>
    </row>
    <row r="2500" customFormat="1" hidden="1" spans="1:22">
      <c r="A2500" s="143">
        <v>45126</v>
      </c>
      <c r="B2500" s="104" t="s">
        <v>37</v>
      </c>
      <c r="C2500" s="145">
        <v>0</v>
      </c>
      <c r="D2500" s="145"/>
      <c r="E2500" s="104">
        <v>1</v>
      </c>
      <c r="F2500" s="106">
        <v>0</v>
      </c>
      <c r="G2500" s="107">
        <v>0</v>
      </c>
      <c r="H2500" s="106">
        <v>0</v>
      </c>
      <c r="I2500" s="104">
        <v>0</v>
      </c>
      <c r="J2500" s="106">
        <v>0</v>
      </c>
      <c r="K2500" s="108">
        <v>0</v>
      </c>
      <c r="L2500" s="108">
        <v>0</v>
      </c>
      <c r="M2500" s="108">
        <v>0</v>
      </c>
      <c r="N2500" s="108">
        <v>0</v>
      </c>
      <c r="O2500" s="108">
        <v>0</v>
      </c>
      <c r="P2500" s="108">
        <v>0.666666666666667</v>
      </c>
      <c r="Q2500" s="108">
        <v>0.4</v>
      </c>
      <c r="R2500" s="108">
        <v>0.571428571428571</v>
      </c>
      <c r="S2500" s="108">
        <v>0</v>
      </c>
      <c r="T2500" s="108">
        <v>0</v>
      </c>
      <c r="U2500" s="108">
        <v>0</v>
      </c>
      <c r="V2500" s="108">
        <v>-0.142857142857143</v>
      </c>
    </row>
    <row r="2501" customFormat="1" hidden="1" spans="1:22">
      <c r="A2501" s="143">
        <v>45126</v>
      </c>
      <c r="B2501" s="104" t="s">
        <v>38</v>
      </c>
      <c r="C2501" s="145">
        <v>0</v>
      </c>
      <c r="D2501" s="145"/>
      <c r="E2501" s="104">
        <v>0</v>
      </c>
      <c r="F2501" s="106">
        <v>0</v>
      </c>
      <c r="G2501" s="107">
        <v>0</v>
      </c>
      <c r="H2501" s="106">
        <v>0</v>
      </c>
      <c r="I2501" s="104">
        <v>0</v>
      </c>
      <c r="J2501" s="106">
        <v>0</v>
      </c>
      <c r="K2501" s="108">
        <v>0</v>
      </c>
      <c r="L2501" s="108">
        <v>0</v>
      </c>
      <c r="M2501" s="108">
        <v>0</v>
      </c>
      <c r="N2501" s="108">
        <v>0</v>
      </c>
      <c r="O2501" s="108">
        <v>0</v>
      </c>
      <c r="P2501" s="108">
        <v>0</v>
      </c>
      <c r="Q2501" s="108">
        <v>0</v>
      </c>
      <c r="R2501" s="108">
        <v>0</v>
      </c>
      <c r="S2501" s="108">
        <v>0</v>
      </c>
      <c r="T2501" s="108">
        <v>0</v>
      </c>
      <c r="U2501" s="108">
        <v>0</v>
      </c>
      <c r="V2501" s="108">
        <v>0</v>
      </c>
    </row>
    <row r="2502" customFormat="1" spans="1:22">
      <c r="A2502" s="143">
        <v>45126</v>
      </c>
      <c r="B2502" s="111" t="s">
        <v>39</v>
      </c>
      <c r="C2502" s="112">
        <v>19665</v>
      </c>
      <c r="D2502" s="112">
        <v>5154</v>
      </c>
      <c r="E2502" s="112">
        <v>202</v>
      </c>
      <c r="F2502" s="106">
        <v>0.0102720569539792</v>
      </c>
      <c r="G2502" s="112">
        <v>69</v>
      </c>
      <c r="H2502" s="113">
        <v>0.341584158415842</v>
      </c>
      <c r="I2502" s="112">
        <v>49</v>
      </c>
      <c r="J2502" s="106">
        <v>0.242574257425743</v>
      </c>
      <c r="K2502" s="108"/>
      <c r="L2502" s="108"/>
      <c r="M2502" s="108"/>
      <c r="N2502" s="108"/>
      <c r="O2502" s="108"/>
      <c r="P2502" s="108"/>
      <c r="Q2502" s="108"/>
      <c r="R2502" s="108"/>
      <c r="S2502" s="108"/>
      <c r="T2502" s="108"/>
      <c r="U2502" s="108"/>
      <c r="V2502" s="108"/>
    </row>
    <row r="2503" spans="1:22">
      <c r="A2503" s="143">
        <v>45127</v>
      </c>
      <c r="B2503" s="104" t="s">
        <v>17</v>
      </c>
      <c r="C2503" s="216">
        <v>436</v>
      </c>
      <c r="D2503" s="216">
        <v>94</v>
      </c>
      <c r="E2503" s="217">
        <v>23</v>
      </c>
      <c r="F2503" s="106">
        <v>0.0527522935779817</v>
      </c>
      <c r="G2503" s="107">
        <v>6</v>
      </c>
      <c r="H2503" s="106">
        <v>0.260869565217391</v>
      </c>
      <c r="I2503" s="104">
        <v>6</v>
      </c>
      <c r="J2503" s="106">
        <v>0.260869565217391</v>
      </c>
      <c r="K2503" s="108">
        <v>14</v>
      </c>
      <c r="L2503" s="108">
        <v>26.6666666666667</v>
      </c>
      <c r="M2503" s="108">
        <v>61.2</v>
      </c>
      <c r="N2503" s="108">
        <v>168.285714285714</v>
      </c>
      <c r="O2503" s="108">
        <v>7</v>
      </c>
      <c r="P2503" s="108">
        <v>4.33333333333333</v>
      </c>
      <c r="Q2503" s="108">
        <v>2.8</v>
      </c>
      <c r="R2503" s="108">
        <v>4.42857142857143</v>
      </c>
      <c r="S2503" s="108">
        <v>0</v>
      </c>
      <c r="T2503" s="108">
        <v>2</v>
      </c>
      <c r="U2503" s="108">
        <v>1</v>
      </c>
      <c r="V2503" s="108">
        <v>1</v>
      </c>
    </row>
    <row r="2504" spans="1:22">
      <c r="A2504" s="143">
        <v>45127</v>
      </c>
      <c r="B2504" s="104" t="s">
        <v>19</v>
      </c>
      <c r="C2504" s="216">
        <v>535</v>
      </c>
      <c r="D2504" s="216">
        <v>352</v>
      </c>
      <c r="E2504" s="217">
        <v>17</v>
      </c>
      <c r="F2504" s="106">
        <v>0.0317757009345794</v>
      </c>
      <c r="G2504" s="107">
        <v>4</v>
      </c>
      <c r="H2504" s="106">
        <v>0.235294117647059</v>
      </c>
      <c r="I2504" s="104">
        <v>4</v>
      </c>
      <c r="J2504" s="106">
        <v>0.235294117647059</v>
      </c>
      <c r="K2504" s="108">
        <v>161</v>
      </c>
      <c r="L2504" s="108">
        <v>80.6666666666667</v>
      </c>
      <c r="M2504" s="108">
        <v>120.2</v>
      </c>
      <c r="N2504" s="108">
        <v>136</v>
      </c>
      <c r="O2504" s="108">
        <v>10</v>
      </c>
      <c r="P2504" s="108">
        <v>8.33333333333333</v>
      </c>
      <c r="Q2504" s="108">
        <v>7.6</v>
      </c>
      <c r="R2504" s="108">
        <v>7</v>
      </c>
      <c r="S2504" s="108">
        <v>2</v>
      </c>
      <c r="T2504" s="108">
        <v>-0.666666666666667</v>
      </c>
      <c r="U2504" s="108">
        <v>-1</v>
      </c>
      <c r="V2504" s="115">
        <v>-0.428571428571429</v>
      </c>
    </row>
    <row r="2505" spans="1:22">
      <c r="A2505" s="143">
        <v>45127</v>
      </c>
      <c r="B2505" s="104" t="s">
        <v>21</v>
      </c>
      <c r="C2505" s="218">
        <v>109</v>
      </c>
      <c r="D2505" s="218">
        <v>195</v>
      </c>
      <c r="E2505" s="217">
        <v>4</v>
      </c>
      <c r="F2505" s="106">
        <v>0.036697247706422</v>
      </c>
      <c r="G2505" s="107">
        <v>3</v>
      </c>
      <c r="H2505" s="106">
        <v>0.75</v>
      </c>
      <c r="I2505" s="104">
        <v>2</v>
      </c>
      <c r="J2505" s="106">
        <v>0.5</v>
      </c>
      <c r="K2505" s="108">
        <v>1</v>
      </c>
      <c r="L2505" s="108">
        <v>25.3333333333333</v>
      </c>
      <c r="M2505" s="108">
        <v>44.6</v>
      </c>
      <c r="N2505" s="108">
        <v>47.7142857142857</v>
      </c>
      <c r="O2505" s="108">
        <v>0</v>
      </c>
      <c r="P2505" s="108">
        <v>0.333333333333333</v>
      </c>
      <c r="Q2505" s="108">
        <v>1.4</v>
      </c>
      <c r="R2505" s="108">
        <v>1.42857142857143</v>
      </c>
      <c r="S2505" s="108">
        <v>2</v>
      </c>
      <c r="T2505" s="108">
        <v>1</v>
      </c>
      <c r="U2505" s="108">
        <v>1.2</v>
      </c>
      <c r="V2505" s="108">
        <v>0.857142857142857</v>
      </c>
    </row>
    <row r="2506" spans="1:22">
      <c r="A2506" s="143">
        <v>45127</v>
      </c>
      <c r="B2506" s="104" t="s">
        <v>22</v>
      </c>
      <c r="C2506" s="218">
        <v>1811</v>
      </c>
      <c r="D2506" s="218">
        <v>740</v>
      </c>
      <c r="E2506" s="217">
        <v>44</v>
      </c>
      <c r="F2506" s="106">
        <v>0.0242959690778575</v>
      </c>
      <c r="G2506" s="107">
        <v>13</v>
      </c>
      <c r="H2506" s="106">
        <v>0.295454545454545</v>
      </c>
      <c r="I2506" s="104">
        <v>11</v>
      </c>
      <c r="J2506" s="106">
        <v>0.25</v>
      </c>
      <c r="K2506" s="108">
        <v>-152</v>
      </c>
      <c r="L2506" s="108">
        <v>-149</v>
      </c>
      <c r="M2506" s="108">
        <v>-187.2</v>
      </c>
      <c r="N2506" s="108">
        <v>-190.428571428571</v>
      </c>
      <c r="O2506" s="108">
        <v>16</v>
      </c>
      <c r="P2506" s="108">
        <v>12.6666666666667</v>
      </c>
      <c r="Q2506" s="108">
        <v>2.8</v>
      </c>
      <c r="R2506" s="115">
        <v>3</v>
      </c>
      <c r="S2506" s="108">
        <v>2</v>
      </c>
      <c r="T2506" s="108">
        <v>0.666666666666666</v>
      </c>
      <c r="U2506" s="108">
        <v>-4</v>
      </c>
      <c r="V2506" s="117">
        <v>-3.28571428571428</v>
      </c>
    </row>
    <row r="2507" spans="1:22">
      <c r="A2507" s="143">
        <v>45127</v>
      </c>
      <c r="B2507" s="104" t="s">
        <v>23</v>
      </c>
      <c r="C2507" s="218">
        <v>2856</v>
      </c>
      <c r="D2507" s="218">
        <v>375</v>
      </c>
      <c r="E2507" s="217">
        <v>17</v>
      </c>
      <c r="F2507" s="106">
        <v>0.00595238095238095</v>
      </c>
      <c r="G2507" s="107">
        <v>2</v>
      </c>
      <c r="H2507" s="106">
        <v>0.117647058823529</v>
      </c>
      <c r="I2507" s="104">
        <v>1</v>
      </c>
      <c r="J2507" s="106">
        <v>0.0588235294117647</v>
      </c>
      <c r="K2507" s="108">
        <v>233</v>
      </c>
      <c r="L2507" s="108">
        <v>369</v>
      </c>
      <c r="M2507" s="108">
        <v>491.4</v>
      </c>
      <c r="N2507" s="108">
        <v>645.142857142857</v>
      </c>
      <c r="O2507" s="108">
        <v>6</v>
      </c>
      <c r="P2507" s="108">
        <v>5.33333333333333</v>
      </c>
      <c r="Q2507" s="108">
        <v>5.8</v>
      </c>
      <c r="R2507" s="108">
        <v>7.28571428571429</v>
      </c>
      <c r="S2507" s="108">
        <v>-2</v>
      </c>
      <c r="T2507" s="116">
        <v>-1.66666666666667</v>
      </c>
      <c r="U2507" s="108">
        <v>-1.4</v>
      </c>
      <c r="V2507" s="108">
        <v>-1.14285714285714</v>
      </c>
    </row>
    <row r="2508" spans="1:22">
      <c r="A2508" s="143">
        <v>45127</v>
      </c>
      <c r="B2508" s="104" t="s">
        <v>24</v>
      </c>
      <c r="C2508" s="218">
        <v>925</v>
      </c>
      <c r="D2508" s="218">
        <v>686</v>
      </c>
      <c r="E2508" s="217">
        <v>16</v>
      </c>
      <c r="F2508" s="106">
        <v>0.0172972972972973</v>
      </c>
      <c r="G2508" s="107">
        <v>12</v>
      </c>
      <c r="H2508" s="106">
        <v>0.75</v>
      </c>
      <c r="I2508" s="104">
        <v>7</v>
      </c>
      <c r="J2508" s="106">
        <v>0.4375</v>
      </c>
      <c r="K2508" s="108">
        <v>54</v>
      </c>
      <c r="L2508" s="108">
        <v>89.3333333333334</v>
      </c>
      <c r="M2508" s="108">
        <v>133</v>
      </c>
      <c r="N2508" s="108">
        <v>127.285714285714</v>
      </c>
      <c r="O2508" s="115">
        <v>7</v>
      </c>
      <c r="P2508" s="115">
        <v>5</v>
      </c>
      <c r="Q2508" s="115">
        <v>6.2</v>
      </c>
      <c r="R2508" s="115">
        <v>6.28571428571429</v>
      </c>
      <c r="S2508" s="115">
        <v>9</v>
      </c>
      <c r="T2508" s="115">
        <v>8.33333333333333</v>
      </c>
      <c r="U2508" s="115">
        <v>8.6</v>
      </c>
      <c r="V2508" s="115">
        <v>8.42857142857143</v>
      </c>
    </row>
    <row r="2509" spans="1:22">
      <c r="A2509" s="143">
        <v>45127</v>
      </c>
      <c r="B2509" s="104" t="s">
        <v>25</v>
      </c>
      <c r="C2509" s="218">
        <v>1963</v>
      </c>
      <c r="D2509" s="218">
        <v>541</v>
      </c>
      <c r="E2509" s="217">
        <v>59</v>
      </c>
      <c r="F2509" s="106">
        <v>0.0300560366785532</v>
      </c>
      <c r="G2509" s="107">
        <v>22</v>
      </c>
      <c r="H2509" s="106">
        <v>0.372881355932203</v>
      </c>
      <c r="I2509" s="104">
        <v>15</v>
      </c>
      <c r="J2509" s="106">
        <v>0.254237288135593</v>
      </c>
      <c r="K2509" s="108">
        <v>21</v>
      </c>
      <c r="L2509" s="108">
        <v>-140.666666666667</v>
      </c>
      <c r="M2509" s="108">
        <v>-219.2</v>
      </c>
      <c r="N2509" s="108">
        <v>-290.428571428572</v>
      </c>
      <c r="O2509" s="115">
        <v>-1</v>
      </c>
      <c r="P2509" s="115">
        <v>-1.66666666666666</v>
      </c>
      <c r="Q2509" s="115">
        <v>-7</v>
      </c>
      <c r="R2509" s="115">
        <v>-8.71428571428571</v>
      </c>
      <c r="S2509" s="108">
        <v>-3</v>
      </c>
      <c r="T2509" s="108">
        <v>0.333333333333332</v>
      </c>
      <c r="U2509" s="108">
        <v>0.199999999999999</v>
      </c>
      <c r="V2509" s="108">
        <v>0</v>
      </c>
    </row>
    <row r="2510" spans="1:22">
      <c r="A2510" s="143">
        <v>45127</v>
      </c>
      <c r="B2510" s="104" t="s">
        <v>26</v>
      </c>
      <c r="C2510" s="218">
        <v>1317</v>
      </c>
      <c r="D2510" s="218">
        <v>1845</v>
      </c>
      <c r="E2510" s="217">
        <v>31</v>
      </c>
      <c r="F2510" s="106">
        <v>0.023538344722855</v>
      </c>
      <c r="G2510" s="107">
        <v>12</v>
      </c>
      <c r="H2510" s="106">
        <v>0.387096774193548</v>
      </c>
      <c r="I2510" s="104">
        <v>12</v>
      </c>
      <c r="J2510" s="106">
        <v>0.387096774193548</v>
      </c>
      <c r="K2510" s="108">
        <v>-8</v>
      </c>
      <c r="L2510" s="108">
        <v>80.6666666666667</v>
      </c>
      <c r="M2510" s="108">
        <v>319.2</v>
      </c>
      <c r="N2510" s="108">
        <v>603.571428571429</v>
      </c>
      <c r="O2510" s="108">
        <v>7</v>
      </c>
      <c r="P2510" s="108">
        <v>6.66666666666667</v>
      </c>
      <c r="Q2510" s="108">
        <v>9.6</v>
      </c>
      <c r="R2510" s="108">
        <v>10.8571428571429</v>
      </c>
      <c r="S2510" s="108">
        <v>7</v>
      </c>
      <c r="T2510" s="108">
        <v>7</v>
      </c>
      <c r="U2510" s="108">
        <v>6.4</v>
      </c>
      <c r="V2510" s="108">
        <v>6.42857142857143</v>
      </c>
    </row>
    <row r="2511" spans="1:22">
      <c r="A2511" s="143">
        <v>45127</v>
      </c>
      <c r="B2511" s="104" t="s">
        <v>27</v>
      </c>
      <c r="C2511" s="218">
        <v>9580</v>
      </c>
      <c r="D2511" s="218">
        <v>682</v>
      </c>
      <c r="E2511" s="217">
        <v>39</v>
      </c>
      <c r="F2511" s="106">
        <v>0.00407098121085595</v>
      </c>
      <c r="G2511" s="107">
        <v>7</v>
      </c>
      <c r="H2511" s="106">
        <v>0.179487179487179</v>
      </c>
      <c r="I2511" s="104">
        <v>6</v>
      </c>
      <c r="J2511" s="106">
        <v>0.153846153846154</v>
      </c>
      <c r="K2511" s="108">
        <v>-457</v>
      </c>
      <c r="L2511" s="108">
        <v>250</v>
      </c>
      <c r="M2511" s="108">
        <v>2668.8</v>
      </c>
      <c r="N2511" s="108">
        <v>4181.14285714286</v>
      </c>
      <c r="O2511" s="108">
        <v>-2</v>
      </c>
      <c r="P2511" s="108">
        <v>-1.66666666666666</v>
      </c>
      <c r="Q2511" s="108">
        <v>8.8</v>
      </c>
      <c r="R2511" s="108">
        <v>13.4285714285714</v>
      </c>
      <c r="S2511" s="108">
        <v>-5</v>
      </c>
      <c r="T2511" s="108">
        <v>-1.66666666666667</v>
      </c>
      <c r="U2511" s="108">
        <v>0.6</v>
      </c>
      <c r="V2511" s="108">
        <v>1.42857142857143</v>
      </c>
    </row>
    <row r="2512" hidden="1" spans="1:22">
      <c r="A2512" s="143">
        <v>45127</v>
      </c>
      <c r="B2512" s="104" t="s">
        <v>28</v>
      </c>
      <c r="C2512" s="145">
        <v>0</v>
      </c>
      <c r="D2512" s="145"/>
      <c r="E2512" s="104">
        <v>0</v>
      </c>
      <c r="F2512" s="106">
        <v>0</v>
      </c>
      <c r="G2512" s="107">
        <v>0</v>
      </c>
      <c r="H2512" s="106">
        <v>0</v>
      </c>
      <c r="I2512" s="104">
        <v>0</v>
      </c>
      <c r="J2512" s="106">
        <v>0</v>
      </c>
      <c r="K2512" s="108">
        <v>0</v>
      </c>
      <c r="L2512" s="108">
        <v>0</v>
      </c>
      <c r="M2512" s="108">
        <v>0</v>
      </c>
      <c r="N2512" s="108">
        <v>0</v>
      </c>
      <c r="O2512" s="108">
        <v>0</v>
      </c>
      <c r="P2512" s="108">
        <v>0</v>
      </c>
      <c r="Q2512" s="108">
        <v>0</v>
      </c>
      <c r="R2512" s="108">
        <v>0</v>
      </c>
      <c r="S2512" s="108">
        <v>0</v>
      </c>
      <c r="T2512" s="108">
        <v>0</v>
      </c>
      <c r="U2512" s="108">
        <v>0</v>
      </c>
      <c r="V2512" s="108">
        <v>0</v>
      </c>
    </row>
    <row r="2513" hidden="1" spans="1:22">
      <c r="A2513" s="143">
        <v>45127</v>
      </c>
      <c r="B2513" s="104" t="s">
        <v>29</v>
      </c>
      <c r="C2513" s="145">
        <v>0</v>
      </c>
      <c r="D2513" s="145"/>
      <c r="E2513" s="104">
        <v>0</v>
      </c>
      <c r="F2513" s="106">
        <v>0</v>
      </c>
      <c r="G2513" s="107">
        <v>0</v>
      </c>
      <c r="H2513" s="106">
        <v>0</v>
      </c>
      <c r="I2513" s="104">
        <v>0</v>
      </c>
      <c r="J2513" s="106">
        <v>0</v>
      </c>
      <c r="K2513" s="108">
        <v>0</v>
      </c>
      <c r="L2513" s="108">
        <v>0</v>
      </c>
      <c r="M2513" s="108">
        <v>0</v>
      </c>
      <c r="N2513" s="108">
        <v>0</v>
      </c>
      <c r="O2513" s="108">
        <v>-1</v>
      </c>
      <c r="P2513" s="108">
        <v>-0.333333333333333</v>
      </c>
      <c r="Q2513" s="108">
        <v>-0.6</v>
      </c>
      <c r="R2513" s="108">
        <v>-0.571428571428571</v>
      </c>
      <c r="S2513" s="108">
        <v>0</v>
      </c>
      <c r="T2513" s="108">
        <v>0</v>
      </c>
      <c r="U2513" s="108">
        <v>0</v>
      </c>
      <c r="V2513" s="108">
        <v>0</v>
      </c>
    </row>
    <row r="2514" hidden="1" spans="1:22">
      <c r="A2514" s="143">
        <v>45127</v>
      </c>
      <c r="B2514" s="104" t="s">
        <v>30</v>
      </c>
      <c r="C2514" s="145">
        <v>0</v>
      </c>
      <c r="D2514" s="145"/>
      <c r="E2514" s="104">
        <v>0</v>
      </c>
      <c r="F2514" s="106">
        <v>0</v>
      </c>
      <c r="G2514" s="107">
        <v>0</v>
      </c>
      <c r="H2514" s="106">
        <v>0</v>
      </c>
      <c r="I2514" s="104">
        <v>0</v>
      </c>
      <c r="J2514" s="106">
        <v>0</v>
      </c>
      <c r="K2514" s="108">
        <v>0</v>
      </c>
      <c r="L2514" s="108">
        <v>0</v>
      </c>
      <c r="M2514" s="108">
        <v>0</v>
      </c>
      <c r="N2514" s="108">
        <v>0</v>
      </c>
      <c r="O2514" s="108">
        <v>0</v>
      </c>
      <c r="P2514" s="108">
        <v>0</v>
      </c>
      <c r="Q2514" s="108">
        <v>0</v>
      </c>
      <c r="R2514" s="108">
        <v>0</v>
      </c>
      <c r="S2514" s="108">
        <v>0</v>
      </c>
      <c r="T2514" s="108">
        <v>0</v>
      </c>
      <c r="U2514" s="108">
        <v>0</v>
      </c>
      <c r="V2514" s="108">
        <v>0</v>
      </c>
    </row>
    <row r="2515" hidden="1" spans="1:22">
      <c r="A2515" s="143">
        <v>45127</v>
      </c>
      <c r="B2515" s="104" t="s">
        <v>31</v>
      </c>
      <c r="C2515" s="145">
        <v>0</v>
      </c>
      <c r="D2515" s="145"/>
      <c r="E2515" s="104">
        <v>0</v>
      </c>
      <c r="F2515" s="106">
        <v>0</v>
      </c>
      <c r="G2515" s="107">
        <v>0</v>
      </c>
      <c r="H2515" s="106">
        <v>0</v>
      </c>
      <c r="I2515" s="104">
        <v>0</v>
      </c>
      <c r="J2515" s="106">
        <v>0</v>
      </c>
      <c r="K2515" s="108">
        <v>0</v>
      </c>
      <c r="L2515" s="108">
        <v>0</v>
      </c>
      <c r="M2515" s="108">
        <v>0</v>
      </c>
      <c r="N2515" s="108">
        <v>0</v>
      </c>
      <c r="O2515" s="108">
        <v>0</v>
      </c>
      <c r="P2515" s="108">
        <v>0</v>
      </c>
      <c r="Q2515" s="108">
        <v>0</v>
      </c>
      <c r="R2515" s="108">
        <v>0</v>
      </c>
      <c r="S2515" s="108">
        <v>0</v>
      </c>
      <c r="T2515" s="108">
        <v>0</v>
      </c>
      <c r="U2515" s="108">
        <v>0</v>
      </c>
      <c r="V2515" s="108">
        <v>0</v>
      </c>
    </row>
    <row r="2516" hidden="1" spans="1:22">
      <c r="A2516" s="143">
        <v>45127</v>
      </c>
      <c r="B2516" s="104" t="s">
        <v>32</v>
      </c>
      <c r="C2516" s="145">
        <v>0</v>
      </c>
      <c r="D2516" s="145"/>
      <c r="E2516" s="104">
        <v>0</v>
      </c>
      <c r="F2516" s="106">
        <v>0</v>
      </c>
      <c r="G2516" s="107">
        <v>0</v>
      </c>
      <c r="H2516" s="106">
        <v>0</v>
      </c>
      <c r="I2516" s="104">
        <v>0</v>
      </c>
      <c r="J2516" s="106">
        <v>0</v>
      </c>
      <c r="K2516" s="108">
        <v>0</v>
      </c>
      <c r="L2516" s="108">
        <v>0</v>
      </c>
      <c r="M2516" s="108">
        <v>0</v>
      </c>
      <c r="N2516" s="108">
        <v>0</v>
      </c>
      <c r="O2516" s="108">
        <v>0</v>
      </c>
      <c r="P2516" s="108">
        <v>0</v>
      </c>
      <c r="Q2516" s="108">
        <v>0</v>
      </c>
      <c r="R2516" s="108">
        <v>0</v>
      </c>
      <c r="S2516" s="108">
        <v>0</v>
      </c>
      <c r="T2516" s="108">
        <v>0</v>
      </c>
      <c r="U2516" s="108">
        <v>0</v>
      </c>
      <c r="V2516" s="108">
        <v>0</v>
      </c>
    </row>
    <row r="2517" hidden="1" spans="1:22">
      <c r="A2517" s="143">
        <v>45127</v>
      </c>
      <c r="B2517" s="104" t="s">
        <v>33</v>
      </c>
      <c r="C2517" s="145">
        <v>0</v>
      </c>
      <c r="D2517" s="145"/>
      <c r="E2517" s="104">
        <v>0</v>
      </c>
      <c r="F2517" s="106">
        <v>0</v>
      </c>
      <c r="G2517" s="107">
        <v>0</v>
      </c>
      <c r="H2517" s="106">
        <v>0</v>
      </c>
      <c r="I2517" s="104">
        <v>0</v>
      </c>
      <c r="J2517" s="106">
        <v>0</v>
      </c>
      <c r="K2517" s="108">
        <v>0</v>
      </c>
      <c r="L2517" s="108">
        <v>0</v>
      </c>
      <c r="M2517" s="108">
        <v>0</v>
      </c>
      <c r="N2517" s="108">
        <v>0</v>
      </c>
      <c r="O2517" s="108">
        <v>0</v>
      </c>
      <c r="P2517" s="108">
        <v>0</v>
      </c>
      <c r="Q2517" s="108">
        <v>0</v>
      </c>
      <c r="R2517" s="108">
        <v>0</v>
      </c>
      <c r="S2517" s="108">
        <v>0</v>
      </c>
      <c r="T2517" s="108">
        <v>0</v>
      </c>
      <c r="U2517" s="108">
        <v>0</v>
      </c>
      <c r="V2517" s="108">
        <v>0</v>
      </c>
    </row>
    <row r="2518" hidden="1" spans="1:22">
      <c r="A2518" s="143">
        <v>45127</v>
      </c>
      <c r="B2518" s="104" t="s">
        <v>34</v>
      </c>
      <c r="C2518" s="145">
        <v>0</v>
      </c>
      <c r="D2518" s="145"/>
      <c r="E2518" s="104">
        <v>0</v>
      </c>
      <c r="F2518" s="106">
        <v>0</v>
      </c>
      <c r="G2518" s="107">
        <v>0</v>
      </c>
      <c r="H2518" s="106">
        <v>0</v>
      </c>
      <c r="I2518" s="104">
        <v>0</v>
      </c>
      <c r="J2518" s="106">
        <v>0</v>
      </c>
      <c r="K2518" s="108">
        <v>0</v>
      </c>
      <c r="L2518" s="108">
        <v>0</v>
      </c>
      <c r="M2518" s="108">
        <v>0</v>
      </c>
      <c r="N2518" s="108">
        <v>0</v>
      </c>
      <c r="O2518" s="108">
        <v>0</v>
      </c>
      <c r="P2518" s="108">
        <v>0</v>
      </c>
      <c r="Q2518" s="108">
        <v>0</v>
      </c>
      <c r="R2518" s="108">
        <v>0</v>
      </c>
      <c r="S2518" s="108">
        <v>0</v>
      </c>
      <c r="T2518" s="108">
        <v>0</v>
      </c>
      <c r="U2518" s="108">
        <v>0</v>
      </c>
      <c r="V2518" s="108">
        <v>0</v>
      </c>
    </row>
    <row r="2519" hidden="1" spans="1:22">
      <c r="A2519" s="143">
        <v>45127</v>
      </c>
      <c r="B2519" s="104" t="s">
        <v>35</v>
      </c>
      <c r="C2519" s="145">
        <v>0</v>
      </c>
      <c r="D2519" s="145"/>
      <c r="E2519" s="104">
        <v>0</v>
      </c>
      <c r="F2519" s="106">
        <v>0</v>
      </c>
      <c r="G2519" s="107">
        <v>0</v>
      </c>
      <c r="H2519" s="106">
        <v>0</v>
      </c>
      <c r="I2519" s="104">
        <v>0</v>
      </c>
      <c r="J2519" s="106">
        <v>0</v>
      </c>
      <c r="K2519" s="108">
        <v>0</v>
      </c>
      <c r="L2519" s="108">
        <v>0</v>
      </c>
      <c r="M2519" s="108">
        <v>0</v>
      </c>
      <c r="N2519" s="108">
        <v>0</v>
      </c>
      <c r="O2519" s="108">
        <v>0</v>
      </c>
      <c r="P2519" s="108">
        <v>0</v>
      </c>
      <c r="Q2519" s="108">
        <v>0</v>
      </c>
      <c r="R2519" s="108">
        <v>0</v>
      </c>
      <c r="S2519" s="108">
        <v>0</v>
      </c>
      <c r="T2519" s="108">
        <v>0</v>
      </c>
      <c r="U2519" s="108">
        <v>0</v>
      </c>
      <c r="V2519" s="108">
        <v>0</v>
      </c>
    </row>
    <row r="2520" hidden="1" spans="1:22">
      <c r="A2520" s="143">
        <v>45127</v>
      </c>
      <c r="B2520" s="104" t="s">
        <v>36</v>
      </c>
      <c r="C2520" s="145">
        <v>0</v>
      </c>
      <c r="D2520" s="145"/>
      <c r="E2520" s="104">
        <v>0</v>
      </c>
      <c r="F2520" s="106">
        <v>0</v>
      </c>
      <c r="G2520" s="107">
        <v>0</v>
      </c>
      <c r="H2520" s="106">
        <v>0</v>
      </c>
      <c r="I2520" s="104">
        <v>0</v>
      </c>
      <c r="J2520" s="106">
        <v>0</v>
      </c>
      <c r="K2520" s="108">
        <v>0</v>
      </c>
      <c r="L2520" s="108">
        <v>0</v>
      </c>
      <c r="M2520" s="108">
        <v>0</v>
      </c>
      <c r="N2520" s="108">
        <v>0</v>
      </c>
      <c r="O2520" s="108">
        <v>0</v>
      </c>
      <c r="P2520" s="108">
        <v>0</v>
      </c>
      <c r="Q2520" s="108">
        <v>0</v>
      </c>
      <c r="R2520" s="108">
        <v>0</v>
      </c>
      <c r="S2520" s="108">
        <v>0</v>
      </c>
      <c r="T2520" s="108">
        <v>0</v>
      </c>
      <c r="U2520" s="108">
        <v>0</v>
      </c>
      <c r="V2520" s="108">
        <v>0</v>
      </c>
    </row>
    <row r="2521" hidden="1" spans="1:22">
      <c r="A2521" s="143">
        <v>45127</v>
      </c>
      <c r="B2521" s="104" t="s">
        <v>37</v>
      </c>
      <c r="C2521" s="145">
        <v>0</v>
      </c>
      <c r="D2521" s="145"/>
      <c r="E2521" s="104">
        <v>1</v>
      </c>
      <c r="F2521" s="106">
        <v>0</v>
      </c>
      <c r="G2521" s="107">
        <v>0</v>
      </c>
      <c r="H2521" s="106">
        <v>0</v>
      </c>
      <c r="I2521" s="104">
        <v>0</v>
      </c>
      <c r="J2521" s="106">
        <v>0</v>
      </c>
      <c r="K2521" s="108">
        <v>0</v>
      </c>
      <c r="L2521" s="108">
        <v>0</v>
      </c>
      <c r="M2521" s="108">
        <v>0</v>
      </c>
      <c r="N2521" s="108">
        <v>0</v>
      </c>
      <c r="O2521" s="108">
        <v>0</v>
      </c>
      <c r="P2521" s="108">
        <v>0.333333333333333</v>
      </c>
      <c r="Q2521" s="108">
        <v>0.6</v>
      </c>
      <c r="R2521" s="108">
        <v>0.428571428571429</v>
      </c>
      <c r="S2521" s="108">
        <v>0</v>
      </c>
      <c r="T2521" s="108">
        <v>0</v>
      </c>
      <c r="U2521" s="108">
        <v>0</v>
      </c>
      <c r="V2521" s="108">
        <v>0</v>
      </c>
    </row>
    <row r="2522" hidden="1" spans="1:22">
      <c r="A2522" s="143">
        <v>45127</v>
      </c>
      <c r="B2522" s="104" t="s">
        <v>38</v>
      </c>
      <c r="C2522" s="145">
        <v>0</v>
      </c>
      <c r="D2522" s="145"/>
      <c r="E2522" s="104">
        <v>0</v>
      </c>
      <c r="F2522" s="106">
        <v>0</v>
      </c>
      <c r="G2522" s="107">
        <v>0</v>
      </c>
      <c r="H2522" s="106">
        <v>0</v>
      </c>
      <c r="I2522" s="104">
        <v>0</v>
      </c>
      <c r="J2522" s="106">
        <v>0</v>
      </c>
      <c r="K2522" s="108">
        <v>0</v>
      </c>
      <c r="L2522" s="108">
        <v>0</v>
      </c>
      <c r="M2522" s="108">
        <v>0</v>
      </c>
      <c r="N2522" s="108">
        <v>0</v>
      </c>
      <c r="O2522" s="108">
        <v>0</v>
      </c>
      <c r="P2522" s="108">
        <v>0</v>
      </c>
      <c r="Q2522" s="108">
        <v>0</v>
      </c>
      <c r="R2522" s="108">
        <v>0</v>
      </c>
      <c r="S2522" s="108">
        <v>0</v>
      </c>
      <c r="T2522" s="108">
        <v>0</v>
      </c>
      <c r="U2522" s="108">
        <v>0</v>
      </c>
      <c r="V2522" s="108">
        <v>0</v>
      </c>
    </row>
    <row r="2523" spans="1:22">
      <c r="A2523" s="143">
        <v>45127</v>
      </c>
      <c r="B2523" s="111" t="s">
        <v>39</v>
      </c>
      <c r="C2523" s="112">
        <v>19532</v>
      </c>
      <c r="D2523" s="112">
        <v>5510</v>
      </c>
      <c r="E2523" s="112">
        <v>251</v>
      </c>
      <c r="F2523" s="106">
        <v>0.0128507065328691</v>
      </c>
      <c r="G2523" s="112">
        <v>81</v>
      </c>
      <c r="H2523" s="113">
        <v>0.322709163346614</v>
      </c>
      <c r="I2523" s="112">
        <v>64</v>
      </c>
      <c r="J2523" s="106">
        <v>0.254980079681275</v>
      </c>
      <c r="K2523" s="108"/>
      <c r="L2523" s="108"/>
      <c r="M2523" s="108"/>
      <c r="N2523" s="108"/>
      <c r="O2523" s="108"/>
      <c r="P2523" s="108"/>
      <c r="Q2523" s="108"/>
      <c r="R2523" s="108"/>
      <c r="S2523" s="108"/>
      <c r="T2523" s="108"/>
      <c r="U2523" s="108"/>
      <c r="V2523" s="108"/>
    </row>
    <row r="2524" spans="1:22">
      <c r="A2524" s="143">
        <v>45128</v>
      </c>
      <c r="B2524" s="104" t="s">
        <v>17</v>
      </c>
      <c r="C2524" s="216">
        <v>469</v>
      </c>
      <c r="D2524" s="216">
        <v>112</v>
      </c>
      <c r="E2524" s="217">
        <v>21</v>
      </c>
      <c r="F2524" s="106">
        <v>0.0447761194029851</v>
      </c>
      <c r="G2524" s="107">
        <v>1</v>
      </c>
      <c r="H2524" s="106">
        <v>0.0476190476190476</v>
      </c>
      <c r="I2524" s="104">
        <v>1</v>
      </c>
      <c r="J2524" s="106">
        <v>0.0476190476190476</v>
      </c>
      <c r="K2524" s="108">
        <v>33</v>
      </c>
      <c r="L2524" s="108">
        <v>39.3333333333333</v>
      </c>
      <c r="M2524" s="108">
        <v>48.2</v>
      </c>
      <c r="N2524" s="108">
        <v>139</v>
      </c>
      <c r="O2524" s="108">
        <v>-2</v>
      </c>
      <c r="P2524" s="108">
        <v>2.33333333333333</v>
      </c>
      <c r="Q2524" s="108">
        <v>0.600000000000001</v>
      </c>
      <c r="R2524" s="108">
        <v>0.714285714285715</v>
      </c>
      <c r="S2524" s="108">
        <v>-5</v>
      </c>
      <c r="T2524" s="108">
        <v>-4</v>
      </c>
      <c r="U2524" s="108">
        <v>-3.6</v>
      </c>
      <c r="V2524" s="108">
        <v>-4.28571428571429</v>
      </c>
    </row>
    <row r="2525" spans="1:22">
      <c r="A2525" s="143">
        <v>45128</v>
      </c>
      <c r="B2525" s="104" t="s">
        <v>19</v>
      </c>
      <c r="C2525" s="216">
        <v>570</v>
      </c>
      <c r="D2525" s="216">
        <v>389</v>
      </c>
      <c r="E2525" s="217">
        <v>17</v>
      </c>
      <c r="F2525" s="106">
        <v>0.0298245614035088</v>
      </c>
      <c r="G2525" s="107">
        <v>5</v>
      </c>
      <c r="H2525" s="106">
        <v>0.294117647058824</v>
      </c>
      <c r="I2525" s="104">
        <v>3</v>
      </c>
      <c r="J2525" s="106">
        <v>0.176470588235294</v>
      </c>
      <c r="K2525" s="108">
        <v>35</v>
      </c>
      <c r="L2525" s="108">
        <v>88.6666666666667</v>
      </c>
      <c r="M2525" s="108">
        <v>117.6</v>
      </c>
      <c r="N2525" s="108">
        <v>145</v>
      </c>
      <c r="O2525" s="108">
        <v>0</v>
      </c>
      <c r="P2525" s="108">
        <v>6.66666666666667</v>
      </c>
      <c r="Q2525" s="108">
        <v>6.2</v>
      </c>
      <c r="R2525" s="108">
        <v>6.42857142857143</v>
      </c>
      <c r="S2525" s="108">
        <v>1</v>
      </c>
      <c r="T2525" s="108">
        <v>1.66666666666667</v>
      </c>
      <c r="U2525" s="108">
        <v>0.6</v>
      </c>
      <c r="V2525" s="115">
        <v>0.571428571428571</v>
      </c>
    </row>
    <row r="2526" spans="1:22">
      <c r="A2526" s="143">
        <v>45128</v>
      </c>
      <c r="B2526" s="104" t="s">
        <v>21</v>
      </c>
      <c r="C2526" s="218">
        <v>136</v>
      </c>
      <c r="D2526" s="218">
        <v>205</v>
      </c>
      <c r="E2526" s="217">
        <v>3</v>
      </c>
      <c r="F2526" s="106">
        <v>0.0220588235294118</v>
      </c>
      <c r="G2526" s="107">
        <v>3</v>
      </c>
      <c r="H2526" s="106">
        <v>1</v>
      </c>
      <c r="I2526" s="104">
        <v>1</v>
      </c>
      <c r="J2526" s="106">
        <v>0.333333333333333</v>
      </c>
      <c r="K2526" s="108">
        <v>27</v>
      </c>
      <c r="L2526" s="108">
        <v>35</v>
      </c>
      <c r="M2526" s="108">
        <v>57.6</v>
      </c>
      <c r="N2526" s="108">
        <v>66.2857142857143</v>
      </c>
      <c r="O2526" s="108">
        <v>-1</v>
      </c>
      <c r="P2526" s="108">
        <v>-1.33333333333333</v>
      </c>
      <c r="Q2526" s="108">
        <v>-0.2</v>
      </c>
      <c r="R2526" s="108">
        <v>0.285714285714286</v>
      </c>
      <c r="S2526" s="108">
        <v>0</v>
      </c>
      <c r="T2526" s="108">
        <v>0.666666666666667</v>
      </c>
      <c r="U2526" s="108">
        <v>1</v>
      </c>
      <c r="V2526" s="108">
        <v>0.428571428571428</v>
      </c>
    </row>
    <row r="2527" spans="1:22">
      <c r="A2527" s="143">
        <v>45128</v>
      </c>
      <c r="B2527" s="104" t="s">
        <v>22</v>
      </c>
      <c r="C2527" s="218">
        <v>1546</v>
      </c>
      <c r="D2527" s="218">
        <v>738</v>
      </c>
      <c r="E2527" s="217">
        <v>40</v>
      </c>
      <c r="F2527" s="106">
        <v>0.0258732212160414</v>
      </c>
      <c r="G2527" s="107">
        <v>13</v>
      </c>
      <c r="H2527" s="106">
        <v>0.325</v>
      </c>
      <c r="I2527" s="104">
        <v>9</v>
      </c>
      <c r="J2527" s="106">
        <v>0.225</v>
      </c>
      <c r="K2527" s="108">
        <v>-265</v>
      </c>
      <c r="L2527" s="108">
        <v>-346.666666666667</v>
      </c>
      <c r="M2527" s="108">
        <v>-402.2</v>
      </c>
      <c r="N2527" s="108">
        <v>-419.857142857143</v>
      </c>
      <c r="O2527" s="108">
        <v>-4</v>
      </c>
      <c r="P2527" s="108">
        <v>8</v>
      </c>
      <c r="Q2527" s="108">
        <v>4</v>
      </c>
      <c r="R2527" s="115">
        <v>-0.428571428571431</v>
      </c>
      <c r="S2527" s="108">
        <v>0</v>
      </c>
      <c r="T2527" s="108">
        <v>1.66666666666667</v>
      </c>
      <c r="U2527" s="108">
        <v>-1.2</v>
      </c>
      <c r="V2527" s="117">
        <v>-3.14285714285714</v>
      </c>
    </row>
    <row r="2528" spans="1:22">
      <c r="A2528" s="143">
        <v>45128</v>
      </c>
      <c r="B2528" s="104" t="s">
        <v>23</v>
      </c>
      <c r="C2528" s="218">
        <v>2739</v>
      </c>
      <c r="D2528" s="218">
        <v>430</v>
      </c>
      <c r="E2528" s="217">
        <v>9</v>
      </c>
      <c r="F2528" s="106">
        <v>0.00328587075575027</v>
      </c>
      <c r="G2528" s="107">
        <v>2</v>
      </c>
      <c r="H2528" s="106">
        <v>0.222222222222222</v>
      </c>
      <c r="I2528" s="104">
        <v>0</v>
      </c>
      <c r="J2528" s="106">
        <v>0</v>
      </c>
      <c r="K2528" s="108">
        <v>-117</v>
      </c>
      <c r="L2528" s="108">
        <v>66.6666666666665</v>
      </c>
      <c r="M2528" s="108">
        <v>230.8</v>
      </c>
      <c r="N2528" s="108">
        <v>368.571428571428</v>
      </c>
      <c r="O2528" s="108">
        <v>-8</v>
      </c>
      <c r="P2528" s="108">
        <v>-4.33333333333333</v>
      </c>
      <c r="Q2528" s="108">
        <v>-3.2</v>
      </c>
      <c r="R2528" s="108">
        <v>-2.71428571428571</v>
      </c>
      <c r="S2528" s="108">
        <v>0</v>
      </c>
      <c r="T2528" s="116">
        <v>-1</v>
      </c>
      <c r="U2528" s="108">
        <v>-1.2</v>
      </c>
      <c r="V2528" s="108">
        <v>-1.28571428571429</v>
      </c>
    </row>
    <row r="2529" spans="1:22">
      <c r="A2529" s="143">
        <v>45128</v>
      </c>
      <c r="B2529" s="104" t="s">
        <v>24</v>
      </c>
      <c r="C2529" s="218">
        <v>890</v>
      </c>
      <c r="D2529" s="218">
        <v>697</v>
      </c>
      <c r="E2529" s="217">
        <v>20</v>
      </c>
      <c r="F2529" s="106">
        <v>0.0224719101123595</v>
      </c>
      <c r="G2529" s="107">
        <v>4</v>
      </c>
      <c r="H2529" s="106">
        <v>0.2</v>
      </c>
      <c r="I2529" s="104">
        <v>2</v>
      </c>
      <c r="J2529" s="106">
        <v>0.1</v>
      </c>
      <c r="K2529" s="108">
        <v>-35</v>
      </c>
      <c r="L2529" s="108">
        <v>17</v>
      </c>
      <c r="M2529" s="108">
        <v>56</v>
      </c>
      <c r="N2529" s="108">
        <v>70.7142857142857</v>
      </c>
      <c r="O2529" s="115">
        <v>4</v>
      </c>
      <c r="P2529" s="115">
        <v>8.33333333333333</v>
      </c>
      <c r="Q2529" s="115">
        <v>8.4</v>
      </c>
      <c r="R2529" s="115">
        <v>9.28571428571429</v>
      </c>
      <c r="S2529" s="115">
        <v>-8</v>
      </c>
      <c r="T2529" s="115">
        <v>-3</v>
      </c>
      <c r="U2529" s="115">
        <v>-1.2</v>
      </c>
      <c r="V2529" s="115">
        <v>-0.571428571428571</v>
      </c>
    </row>
    <row r="2530" spans="1:22">
      <c r="A2530" s="143">
        <v>45128</v>
      </c>
      <c r="B2530" s="104" t="s">
        <v>25</v>
      </c>
      <c r="C2530" s="218">
        <v>2096</v>
      </c>
      <c r="D2530" s="218">
        <v>544</v>
      </c>
      <c r="E2530" s="217">
        <v>53</v>
      </c>
      <c r="F2530" s="106">
        <v>0.0252862595419847</v>
      </c>
      <c r="G2530" s="107">
        <v>18</v>
      </c>
      <c r="H2530" s="106">
        <v>0.339622641509434</v>
      </c>
      <c r="I2530" s="104">
        <v>12</v>
      </c>
      <c r="J2530" s="106">
        <v>0.226415094339623</v>
      </c>
      <c r="K2530" s="108">
        <v>133</v>
      </c>
      <c r="L2530" s="108">
        <v>102</v>
      </c>
      <c r="M2530" s="108">
        <v>-26.5999999999999</v>
      </c>
      <c r="N2530" s="108">
        <v>-88.8571428571427</v>
      </c>
      <c r="O2530" s="115">
        <v>-6</v>
      </c>
      <c r="P2530" s="115">
        <v>-5.66666666666666</v>
      </c>
      <c r="Q2530" s="115">
        <v>-10</v>
      </c>
      <c r="R2530" s="115">
        <v>-11.8571428571429</v>
      </c>
      <c r="S2530" s="108">
        <v>-4</v>
      </c>
      <c r="T2530" s="108">
        <v>-2.66666666666667</v>
      </c>
      <c r="U2530" s="108">
        <v>-3.4</v>
      </c>
      <c r="V2530" s="108">
        <v>-3.71428571428572</v>
      </c>
    </row>
    <row r="2531" spans="1:22">
      <c r="A2531" s="143">
        <v>45128</v>
      </c>
      <c r="B2531" s="104" t="s">
        <v>26</v>
      </c>
      <c r="C2531" s="218">
        <v>1214</v>
      </c>
      <c r="D2531" s="218">
        <v>1719</v>
      </c>
      <c r="E2531" s="217">
        <v>27</v>
      </c>
      <c r="F2531" s="106">
        <v>0.0222405271828666</v>
      </c>
      <c r="G2531" s="107">
        <v>6</v>
      </c>
      <c r="H2531" s="106">
        <v>0.222222222222222</v>
      </c>
      <c r="I2531" s="104">
        <v>5</v>
      </c>
      <c r="J2531" s="106">
        <v>0.185185185185185</v>
      </c>
      <c r="K2531" s="108">
        <v>-103</v>
      </c>
      <c r="L2531" s="108">
        <v>-76</v>
      </c>
      <c r="M2531" s="108">
        <v>18.5999999999999</v>
      </c>
      <c r="N2531" s="108">
        <v>312.857142857143</v>
      </c>
      <c r="O2531" s="108">
        <v>-4</v>
      </c>
      <c r="P2531" s="108">
        <v>1.33333333333333</v>
      </c>
      <c r="Q2531" s="108">
        <v>3.2</v>
      </c>
      <c r="R2531" s="108">
        <v>5.28571428571428</v>
      </c>
      <c r="S2531" s="108">
        <v>-6</v>
      </c>
      <c r="T2531" s="108">
        <v>-1.66666666666667</v>
      </c>
      <c r="U2531" s="108">
        <v>-0.8</v>
      </c>
      <c r="V2531" s="108">
        <v>-0.142857142857143</v>
      </c>
    </row>
    <row r="2532" spans="1:22">
      <c r="A2532" s="143">
        <v>45128</v>
      </c>
      <c r="B2532" s="104" t="s">
        <v>27</v>
      </c>
      <c r="C2532" s="218">
        <v>8712</v>
      </c>
      <c r="D2532" s="218">
        <v>702</v>
      </c>
      <c r="E2532" s="217">
        <v>41</v>
      </c>
      <c r="F2532" s="106">
        <v>0.00470615243342516</v>
      </c>
      <c r="G2532" s="107">
        <v>6</v>
      </c>
      <c r="H2532" s="106">
        <v>0.146341463414634</v>
      </c>
      <c r="I2532" s="104">
        <v>6</v>
      </c>
      <c r="J2532" s="106">
        <v>0.146341463414634</v>
      </c>
      <c r="K2532" s="108">
        <v>-868</v>
      </c>
      <c r="L2532" s="108">
        <v>-756</v>
      </c>
      <c r="M2532" s="108">
        <v>188</v>
      </c>
      <c r="N2532" s="108">
        <v>2176.42857142857</v>
      </c>
      <c r="O2532" s="108">
        <v>2</v>
      </c>
      <c r="P2532" s="108">
        <v>0</v>
      </c>
      <c r="Q2532" s="108">
        <v>5.2</v>
      </c>
      <c r="R2532" s="108">
        <v>12.1428571428571</v>
      </c>
      <c r="S2532" s="108">
        <v>-1</v>
      </c>
      <c r="T2532" s="108">
        <v>-3.33333333333333</v>
      </c>
      <c r="U2532" s="108">
        <v>-1.2</v>
      </c>
      <c r="V2532" s="108">
        <v>0</v>
      </c>
    </row>
    <row r="2533" hidden="1" spans="1:22">
      <c r="A2533" s="143">
        <v>45128</v>
      </c>
      <c r="B2533" s="104" t="s">
        <v>28</v>
      </c>
      <c r="C2533" s="145">
        <v>0</v>
      </c>
      <c r="D2533" s="145"/>
      <c r="E2533" s="104">
        <v>0</v>
      </c>
      <c r="F2533" s="106">
        <v>0</v>
      </c>
      <c r="G2533" s="107">
        <v>0</v>
      </c>
      <c r="H2533" s="106">
        <v>0</v>
      </c>
      <c r="I2533" s="104">
        <v>0</v>
      </c>
      <c r="J2533" s="106">
        <v>0</v>
      </c>
      <c r="K2533" s="108">
        <v>0</v>
      </c>
      <c r="L2533" s="108">
        <v>0</v>
      </c>
      <c r="M2533" s="108">
        <v>0</v>
      </c>
      <c r="N2533" s="108">
        <v>0</v>
      </c>
      <c r="O2533" s="108">
        <v>0</v>
      </c>
      <c r="P2533" s="108">
        <v>0</v>
      </c>
      <c r="Q2533" s="108">
        <v>0</v>
      </c>
      <c r="R2533" s="108">
        <v>0</v>
      </c>
      <c r="S2533" s="108">
        <v>0</v>
      </c>
      <c r="T2533" s="108">
        <v>0</v>
      </c>
      <c r="U2533" s="108">
        <v>0</v>
      </c>
      <c r="V2533" s="108">
        <v>0</v>
      </c>
    </row>
    <row r="2534" hidden="1" spans="1:22">
      <c r="A2534" s="143">
        <v>45128</v>
      </c>
      <c r="B2534" s="104" t="s">
        <v>29</v>
      </c>
      <c r="C2534" s="145">
        <v>0</v>
      </c>
      <c r="D2534" s="145"/>
      <c r="E2534" s="104">
        <v>0</v>
      </c>
      <c r="F2534" s="106">
        <v>0</v>
      </c>
      <c r="G2534" s="107">
        <v>0</v>
      </c>
      <c r="H2534" s="106">
        <v>0</v>
      </c>
      <c r="I2534" s="104">
        <v>0</v>
      </c>
      <c r="J2534" s="106">
        <v>0</v>
      </c>
      <c r="K2534" s="108">
        <v>0</v>
      </c>
      <c r="L2534" s="108">
        <v>0</v>
      </c>
      <c r="M2534" s="108">
        <v>0</v>
      </c>
      <c r="N2534" s="108">
        <v>0</v>
      </c>
      <c r="O2534" s="108">
        <v>0</v>
      </c>
      <c r="P2534" s="108">
        <v>-0.333333333333333</v>
      </c>
      <c r="Q2534" s="108">
        <v>-0.2</v>
      </c>
      <c r="R2534" s="108">
        <v>-0.428571428571429</v>
      </c>
      <c r="S2534" s="108">
        <v>0</v>
      </c>
      <c r="T2534" s="108">
        <v>0</v>
      </c>
      <c r="U2534" s="108">
        <v>0</v>
      </c>
      <c r="V2534" s="108">
        <v>0</v>
      </c>
    </row>
    <row r="2535" hidden="1" spans="1:22">
      <c r="A2535" s="143">
        <v>45128</v>
      </c>
      <c r="B2535" s="104" t="s">
        <v>30</v>
      </c>
      <c r="C2535" s="145">
        <v>0</v>
      </c>
      <c r="D2535" s="145"/>
      <c r="E2535" s="104">
        <v>0</v>
      </c>
      <c r="F2535" s="106">
        <v>0</v>
      </c>
      <c r="G2535" s="107">
        <v>0</v>
      </c>
      <c r="H2535" s="106">
        <v>0</v>
      </c>
      <c r="I2535" s="104">
        <v>0</v>
      </c>
      <c r="J2535" s="106">
        <v>0</v>
      </c>
      <c r="K2535" s="108">
        <v>0</v>
      </c>
      <c r="L2535" s="108">
        <v>0</v>
      </c>
      <c r="M2535" s="108">
        <v>0</v>
      </c>
      <c r="N2535" s="108">
        <v>0</v>
      </c>
      <c r="O2535" s="108">
        <v>0</v>
      </c>
      <c r="P2535" s="108">
        <v>0</v>
      </c>
      <c r="Q2535" s="108">
        <v>0</v>
      </c>
      <c r="R2535" s="108">
        <v>0</v>
      </c>
      <c r="S2535" s="108">
        <v>0</v>
      </c>
      <c r="T2535" s="108">
        <v>0</v>
      </c>
      <c r="U2535" s="108">
        <v>0</v>
      </c>
      <c r="V2535" s="108">
        <v>0</v>
      </c>
    </row>
    <row r="2536" hidden="1" spans="1:22">
      <c r="A2536" s="143">
        <v>45128</v>
      </c>
      <c r="B2536" s="104" t="s">
        <v>31</v>
      </c>
      <c r="C2536" s="145">
        <v>0</v>
      </c>
      <c r="D2536" s="145"/>
      <c r="E2536" s="104">
        <v>0</v>
      </c>
      <c r="F2536" s="106">
        <v>0</v>
      </c>
      <c r="G2536" s="107">
        <v>0</v>
      </c>
      <c r="H2536" s="106">
        <v>0</v>
      </c>
      <c r="I2536" s="104">
        <v>0</v>
      </c>
      <c r="J2536" s="106">
        <v>0</v>
      </c>
      <c r="K2536" s="108">
        <v>0</v>
      </c>
      <c r="L2536" s="108">
        <v>0</v>
      </c>
      <c r="M2536" s="108">
        <v>0</v>
      </c>
      <c r="N2536" s="108">
        <v>0</v>
      </c>
      <c r="O2536" s="108">
        <v>0</v>
      </c>
      <c r="P2536" s="108">
        <v>0</v>
      </c>
      <c r="Q2536" s="108">
        <v>0</v>
      </c>
      <c r="R2536" s="108">
        <v>0</v>
      </c>
      <c r="S2536" s="108">
        <v>0</v>
      </c>
      <c r="T2536" s="108">
        <v>0</v>
      </c>
      <c r="U2536" s="108">
        <v>0</v>
      </c>
      <c r="V2536" s="108">
        <v>0</v>
      </c>
    </row>
    <row r="2537" hidden="1" spans="1:22">
      <c r="A2537" s="143">
        <v>45128</v>
      </c>
      <c r="B2537" s="104" t="s">
        <v>32</v>
      </c>
      <c r="C2537" s="145">
        <v>0</v>
      </c>
      <c r="D2537" s="145"/>
      <c r="E2537" s="104">
        <v>0</v>
      </c>
      <c r="F2537" s="106">
        <v>0</v>
      </c>
      <c r="G2537" s="107">
        <v>0</v>
      </c>
      <c r="H2537" s="106">
        <v>0</v>
      </c>
      <c r="I2537" s="104">
        <v>0</v>
      </c>
      <c r="J2537" s="106">
        <v>0</v>
      </c>
      <c r="K2537" s="108">
        <v>0</v>
      </c>
      <c r="L2537" s="108">
        <v>0</v>
      </c>
      <c r="M2537" s="108">
        <v>0</v>
      </c>
      <c r="N2537" s="108">
        <v>0</v>
      </c>
      <c r="O2537" s="108">
        <v>0</v>
      </c>
      <c r="P2537" s="108">
        <v>0</v>
      </c>
      <c r="Q2537" s="108">
        <v>0</v>
      </c>
      <c r="R2537" s="108">
        <v>0</v>
      </c>
      <c r="S2537" s="108">
        <v>0</v>
      </c>
      <c r="T2537" s="108">
        <v>0</v>
      </c>
      <c r="U2537" s="108">
        <v>0</v>
      </c>
      <c r="V2537" s="108">
        <v>0</v>
      </c>
    </row>
    <row r="2538" hidden="1" spans="1:22">
      <c r="A2538" s="143">
        <v>45128</v>
      </c>
      <c r="B2538" s="104" t="s">
        <v>33</v>
      </c>
      <c r="C2538" s="145">
        <v>0</v>
      </c>
      <c r="D2538" s="145"/>
      <c r="E2538" s="104">
        <v>0</v>
      </c>
      <c r="F2538" s="106">
        <v>0</v>
      </c>
      <c r="G2538" s="107">
        <v>0</v>
      </c>
      <c r="H2538" s="106">
        <v>0</v>
      </c>
      <c r="I2538" s="104">
        <v>0</v>
      </c>
      <c r="J2538" s="106">
        <v>0</v>
      </c>
      <c r="K2538" s="108">
        <v>0</v>
      </c>
      <c r="L2538" s="108">
        <v>0</v>
      </c>
      <c r="M2538" s="108">
        <v>0</v>
      </c>
      <c r="N2538" s="108">
        <v>0</v>
      </c>
      <c r="O2538" s="108">
        <v>0</v>
      </c>
      <c r="P2538" s="108">
        <v>0</v>
      </c>
      <c r="Q2538" s="108">
        <v>0</v>
      </c>
      <c r="R2538" s="108">
        <v>0</v>
      </c>
      <c r="S2538" s="108">
        <v>0</v>
      </c>
      <c r="T2538" s="108">
        <v>0</v>
      </c>
      <c r="U2538" s="108">
        <v>0</v>
      </c>
      <c r="V2538" s="108">
        <v>0</v>
      </c>
    </row>
    <row r="2539" hidden="1" spans="1:22">
      <c r="A2539" s="143">
        <v>45128</v>
      </c>
      <c r="B2539" s="104" t="s">
        <v>34</v>
      </c>
      <c r="C2539" s="145">
        <v>0</v>
      </c>
      <c r="D2539" s="145"/>
      <c r="E2539" s="104">
        <v>0</v>
      </c>
      <c r="F2539" s="106">
        <v>0</v>
      </c>
      <c r="G2539" s="107">
        <v>0</v>
      </c>
      <c r="H2539" s="106">
        <v>0</v>
      </c>
      <c r="I2539" s="104">
        <v>0</v>
      </c>
      <c r="J2539" s="106">
        <v>0</v>
      </c>
      <c r="K2539" s="108">
        <v>0</v>
      </c>
      <c r="L2539" s="108">
        <v>0</v>
      </c>
      <c r="M2539" s="108">
        <v>0</v>
      </c>
      <c r="N2539" s="108">
        <v>0</v>
      </c>
      <c r="O2539" s="108">
        <v>0</v>
      </c>
      <c r="P2539" s="108">
        <v>0</v>
      </c>
      <c r="Q2539" s="108">
        <v>0</v>
      </c>
      <c r="R2539" s="108">
        <v>0</v>
      </c>
      <c r="S2539" s="108">
        <v>0</v>
      </c>
      <c r="T2539" s="108">
        <v>0</v>
      </c>
      <c r="U2539" s="108">
        <v>0</v>
      </c>
      <c r="V2539" s="108">
        <v>0</v>
      </c>
    </row>
    <row r="2540" hidden="1" spans="1:22">
      <c r="A2540" s="143">
        <v>45128</v>
      </c>
      <c r="B2540" s="104" t="s">
        <v>35</v>
      </c>
      <c r="C2540" s="145">
        <v>0</v>
      </c>
      <c r="D2540" s="145"/>
      <c r="E2540" s="104">
        <v>0</v>
      </c>
      <c r="F2540" s="106">
        <v>0</v>
      </c>
      <c r="G2540" s="107">
        <v>0</v>
      </c>
      <c r="H2540" s="106">
        <v>0</v>
      </c>
      <c r="I2540" s="104">
        <v>0</v>
      </c>
      <c r="J2540" s="106">
        <v>0</v>
      </c>
      <c r="K2540" s="108">
        <v>0</v>
      </c>
      <c r="L2540" s="108">
        <v>0</v>
      </c>
      <c r="M2540" s="108">
        <v>0</v>
      </c>
      <c r="N2540" s="108">
        <v>0</v>
      </c>
      <c r="O2540" s="108">
        <v>0</v>
      </c>
      <c r="P2540" s="108">
        <v>0</v>
      </c>
      <c r="Q2540" s="108">
        <v>0</v>
      </c>
      <c r="R2540" s="108">
        <v>0</v>
      </c>
      <c r="S2540" s="108">
        <v>0</v>
      </c>
      <c r="T2540" s="108">
        <v>0</v>
      </c>
      <c r="U2540" s="108">
        <v>0</v>
      </c>
      <c r="V2540" s="108">
        <v>0</v>
      </c>
    </row>
    <row r="2541" hidden="1" spans="1:22">
      <c r="A2541" s="143">
        <v>45128</v>
      </c>
      <c r="B2541" s="104" t="s">
        <v>36</v>
      </c>
      <c r="C2541" s="145">
        <v>0</v>
      </c>
      <c r="D2541" s="145"/>
      <c r="E2541" s="104">
        <v>0</v>
      </c>
      <c r="F2541" s="106">
        <v>0</v>
      </c>
      <c r="G2541" s="107">
        <v>0</v>
      </c>
      <c r="H2541" s="106">
        <v>0</v>
      </c>
      <c r="I2541" s="104">
        <v>0</v>
      </c>
      <c r="J2541" s="106">
        <v>0</v>
      </c>
      <c r="K2541" s="108">
        <v>0</v>
      </c>
      <c r="L2541" s="108">
        <v>0</v>
      </c>
      <c r="M2541" s="108">
        <v>0</v>
      </c>
      <c r="N2541" s="108">
        <v>0</v>
      </c>
      <c r="O2541" s="108">
        <v>0</v>
      </c>
      <c r="P2541" s="108">
        <v>0</v>
      </c>
      <c r="Q2541" s="108">
        <v>0</v>
      </c>
      <c r="R2541" s="108">
        <v>0</v>
      </c>
      <c r="S2541" s="108">
        <v>0</v>
      </c>
      <c r="T2541" s="108">
        <v>0</v>
      </c>
      <c r="U2541" s="108">
        <v>0</v>
      </c>
      <c r="V2541" s="108">
        <v>0</v>
      </c>
    </row>
    <row r="2542" hidden="1" spans="1:22">
      <c r="A2542" s="143">
        <v>45128</v>
      </c>
      <c r="B2542" s="104" t="s">
        <v>37</v>
      </c>
      <c r="C2542" s="145">
        <v>0</v>
      </c>
      <c r="D2542" s="145"/>
      <c r="E2542" s="104">
        <v>0</v>
      </c>
      <c r="F2542" s="106">
        <v>0</v>
      </c>
      <c r="G2542" s="107">
        <v>0</v>
      </c>
      <c r="H2542" s="106">
        <v>0</v>
      </c>
      <c r="I2542" s="104">
        <v>0</v>
      </c>
      <c r="J2542" s="106">
        <v>0</v>
      </c>
      <c r="K2542" s="108">
        <v>0</v>
      </c>
      <c r="L2542" s="108">
        <v>0</v>
      </c>
      <c r="M2542" s="108">
        <v>0</v>
      </c>
      <c r="N2542" s="108">
        <v>0</v>
      </c>
      <c r="O2542" s="108">
        <v>-1</v>
      </c>
      <c r="P2542" s="108">
        <v>-1</v>
      </c>
      <c r="Q2542" s="108">
        <v>-0.6</v>
      </c>
      <c r="R2542" s="108">
        <v>-0.714285714285714</v>
      </c>
      <c r="S2542" s="108">
        <v>0</v>
      </c>
      <c r="T2542" s="108">
        <v>0</v>
      </c>
      <c r="U2542" s="108">
        <v>0</v>
      </c>
      <c r="V2542" s="108">
        <v>0</v>
      </c>
    </row>
    <row r="2543" hidden="1" spans="1:22">
      <c r="A2543" s="143">
        <v>45128</v>
      </c>
      <c r="B2543" s="104" t="s">
        <v>38</v>
      </c>
      <c r="C2543" s="145">
        <v>0</v>
      </c>
      <c r="D2543" s="145"/>
      <c r="E2543" s="104">
        <v>0</v>
      </c>
      <c r="F2543" s="106">
        <v>0</v>
      </c>
      <c r="G2543" s="107">
        <v>0</v>
      </c>
      <c r="H2543" s="106">
        <v>0</v>
      </c>
      <c r="I2543" s="104">
        <v>0</v>
      </c>
      <c r="J2543" s="106">
        <v>0</v>
      </c>
      <c r="K2543" s="108">
        <v>0</v>
      </c>
      <c r="L2543" s="108">
        <v>0</v>
      </c>
      <c r="M2543" s="108">
        <v>0</v>
      </c>
      <c r="N2543" s="108">
        <v>0</v>
      </c>
      <c r="O2543" s="108">
        <v>0</v>
      </c>
      <c r="P2543" s="108">
        <v>0</v>
      </c>
      <c r="Q2543" s="108">
        <v>0</v>
      </c>
      <c r="R2543" s="108">
        <v>0</v>
      </c>
      <c r="S2543" s="108">
        <v>0</v>
      </c>
      <c r="T2543" s="108">
        <v>0</v>
      </c>
      <c r="U2543" s="108">
        <v>0</v>
      </c>
      <c r="V2543" s="108">
        <v>0</v>
      </c>
    </row>
    <row r="2544" spans="1:22">
      <c r="A2544" s="143">
        <v>45128</v>
      </c>
      <c r="B2544" s="111" t="s">
        <v>39</v>
      </c>
      <c r="C2544" s="112">
        <v>18372</v>
      </c>
      <c r="D2544" s="112">
        <v>5536</v>
      </c>
      <c r="E2544" s="112">
        <v>231</v>
      </c>
      <c r="F2544" s="106">
        <v>0.0125734813847159</v>
      </c>
      <c r="G2544" s="112">
        <v>58</v>
      </c>
      <c r="H2544" s="113">
        <v>0.251082251082251</v>
      </c>
      <c r="I2544" s="112">
        <v>39</v>
      </c>
      <c r="J2544" s="106">
        <v>0.168831168831169</v>
      </c>
      <c r="K2544" s="108">
        <v>-1160</v>
      </c>
      <c r="L2544" s="108">
        <v>-830</v>
      </c>
      <c r="M2544" s="108">
        <v>288</v>
      </c>
      <c r="N2544" s="108">
        <v>2770.14285714286</v>
      </c>
      <c r="O2544" s="108">
        <v>-20</v>
      </c>
      <c r="P2544" s="108">
        <v>14</v>
      </c>
      <c r="Q2544" s="108">
        <v>13.4</v>
      </c>
      <c r="R2544" s="108">
        <v>18</v>
      </c>
      <c r="S2544" s="108">
        <v>-23</v>
      </c>
      <c r="T2544" s="108">
        <v>-11.6666666666667</v>
      </c>
      <c r="U2544" s="108">
        <v>-11</v>
      </c>
      <c r="V2544" s="108">
        <v>-12.1428571428571</v>
      </c>
    </row>
    <row r="2545" spans="1:22">
      <c r="A2545" s="143">
        <v>45129</v>
      </c>
      <c r="B2545" s="104" t="s">
        <v>17</v>
      </c>
      <c r="C2545" s="216">
        <v>485</v>
      </c>
      <c r="D2545" s="216">
        <v>115</v>
      </c>
      <c r="E2545" s="217">
        <v>16</v>
      </c>
      <c r="F2545" s="106">
        <v>0.0329896907216495</v>
      </c>
      <c r="G2545" s="107">
        <v>4</v>
      </c>
      <c r="H2545" s="106">
        <v>0.25</v>
      </c>
      <c r="I2545" s="104">
        <v>4</v>
      </c>
      <c r="J2545" s="106">
        <v>0.25</v>
      </c>
      <c r="K2545" s="108">
        <v>16</v>
      </c>
      <c r="L2545" s="108">
        <v>42.6666666666667</v>
      </c>
      <c r="M2545" s="108">
        <v>58.4</v>
      </c>
      <c r="N2545" s="108">
        <v>88</v>
      </c>
      <c r="O2545" s="108">
        <v>-5</v>
      </c>
      <c r="P2545" s="108">
        <v>-4</v>
      </c>
      <c r="Q2545" s="108">
        <v>-4</v>
      </c>
      <c r="R2545" s="108">
        <v>-4.71428571428572</v>
      </c>
      <c r="S2545" s="108">
        <v>3</v>
      </c>
      <c r="T2545" s="108">
        <v>-0.333333333333333</v>
      </c>
      <c r="U2545" s="108">
        <v>0.2</v>
      </c>
      <c r="V2545" s="108">
        <v>-0.571428571428571</v>
      </c>
    </row>
    <row r="2546" spans="1:22">
      <c r="A2546" s="143">
        <v>45129</v>
      </c>
      <c r="B2546" s="104" t="s">
        <v>19</v>
      </c>
      <c r="C2546" s="216">
        <v>657</v>
      </c>
      <c r="D2546" s="216">
        <v>451</v>
      </c>
      <c r="E2546" s="217">
        <v>14</v>
      </c>
      <c r="F2546" s="106">
        <v>0.0213089802130898</v>
      </c>
      <c r="G2546" s="107">
        <v>2</v>
      </c>
      <c r="H2546" s="106">
        <v>0.142857142857143</v>
      </c>
      <c r="I2546" s="104">
        <v>2</v>
      </c>
      <c r="J2546" s="106">
        <v>0.142857142857143</v>
      </c>
      <c r="K2546" s="108">
        <v>87</v>
      </c>
      <c r="L2546" s="108">
        <v>164</v>
      </c>
      <c r="M2546" s="108">
        <v>163.4</v>
      </c>
      <c r="N2546" s="108">
        <v>202.857142857143</v>
      </c>
      <c r="O2546" s="108">
        <v>-3</v>
      </c>
      <c r="P2546" s="108">
        <v>0.333333333333334</v>
      </c>
      <c r="Q2546" s="108">
        <v>2</v>
      </c>
      <c r="R2546" s="108">
        <v>2.42857142857143</v>
      </c>
      <c r="S2546" s="108">
        <v>-3</v>
      </c>
      <c r="T2546" s="108">
        <v>-1.66666666666667</v>
      </c>
      <c r="U2546" s="108">
        <v>-2.6</v>
      </c>
      <c r="V2546" s="115">
        <v>-2.85714285714286</v>
      </c>
    </row>
    <row r="2547" spans="1:22">
      <c r="A2547" s="143">
        <v>45129</v>
      </c>
      <c r="B2547" s="104" t="s">
        <v>21</v>
      </c>
      <c r="C2547" s="218">
        <v>226</v>
      </c>
      <c r="D2547" s="218">
        <v>299</v>
      </c>
      <c r="E2547" s="217">
        <v>2</v>
      </c>
      <c r="F2547" s="106">
        <v>0.00884955752212389</v>
      </c>
      <c r="G2547" s="107">
        <v>1</v>
      </c>
      <c r="H2547" s="106">
        <v>0.5</v>
      </c>
      <c r="I2547" s="104">
        <v>1</v>
      </c>
      <c r="J2547" s="106">
        <v>0.5</v>
      </c>
      <c r="K2547" s="108">
        <v>90</v>
      </c>
      <c r="L2547" s="108">
        <v>108.333333333333</v>
      </c>
      <c r="M2547" s="108">
        <v>126.8</v>
      </c>
      <c r="N2547" s="108">
        <v>145</v>
      </c>
      <c r="O2547" s="108">
        <v>-1</v>
      </c>
      <c r="P2547" s="108">
        <v>-1.66666666666667</v>
      </c>
      <c r="Q2547" s="108">
        <v>-1.6</v>
      </c>
      <c r="R2547" s="108">
        <v>-0.857142857142857</v>
      </c>
      <c r="S2547" s="108">
        <v>-2</v>
      </c>
      <c r="T2547" s="108">
        <v>-1.33333333333333</v>
      </c>
      <c r="U2547" s="108">
        <v>-1.4</v>
      </c>
      <c r="V2547" s="108">
        <v>-1.14285714285714</v>
      </c>
    </row>
    <row r="2548" spans="1:22">
      <c r="A2548" s="143">
        <v>45129</v>
      </c>
      <c r="B2548" s="104" t="s">
        <v>22</v>
      </c>
      <c r="C2548" s="218">
        <v>1418</v>
      </c>
      <c r="D2548" s="218">
        <v>757</v>
      </c>
      <c r="E2548" s="217">
        <v>33</v>
      </c>
      <c r="F2548" s="106">
        <v>0.0232722143864598</v>
      </c>
      <c r="G2548" s="107">
        <v>19</v>
      </c>
      <c r="H2548" s="106">
        <v>0.575757575757576</v>
      </c>
      <c r="I2548" s="104">
        <v>10</v>
      </c>
      <c r="J2548" s="106">
        <v>0.303030303030303</v>
      </c>
      <c r="K2548" s="108">
        <v>-128</v>
      </c>
      <c r="L2548" s="108">
        <v>-355.333333333333</v>
      </c>
      <c r="M2548" s="108">
        <v>-429.4</v>
      </c>
      <c r="N2548" s="108">
        <v>-488.857142857143</v>
      </c>
      <c r="O2548" s="108">
        <v>-7</v>
      </c>
      <c r="P2548" s="108">
        <v>-4.33333333333334</v>
      </c>
      <c r="Q2548" s="108">
        <v>-2.6</v>
      </c>
      <c r="R2548" s="115">
        <v>-8.42857142857143</v>
      </c>
      <c r="S2548" s="108">
        <v>6</v>
      </c>
      <c r="T2548" s="108">
        <v>6.66666666666667</v>
      </c>
      <c r="U2548" s="108">
        <v>6.4</v>
      </c>
      <c r="V2548" s="117">
        <v>3.14285714285714</v>
      </c>
    </row>
    <row r="2549" spans="1:22">
      <c r="A2549" s="143">
        <v>45129</v>
      </c>
      <c r="B2549" s="104" t="s">
        <v>23</v>
      </c>
      <c r="C2549" s="218">
        <v>2955</v>
      </c>
      <c r="D2549" s="218">
        <v>507</v>
      </c>
      <c r="E2549" s="217">
        <v>14</v>
      </c>
      <c r="F2549" s="106">
        <v>0.00473773265651438</v>
      </c>
      <c r="G2549" s="107">
        <v>5</v>
      </c>
      <c r="H2549" s="106">
        <v>0.357142857142857</v>
      </c>
      <c r="I2549" s="104">
        <v>3</v>
      </c>
      <c r="J2549" s="106">
        <v>0.214285714285714</v>
      </c>
      <c r="K2549" s="108">
        <v>216</v>
      </c>
      <c r="L2549" s="108">
        <v>215.666666666667</v>
      </c>
      <c r="M2549" s="108">
        <v>343.8</v>
      </c>
      <c r="N2549" s="108">
        <v>466.714285714286</v>
      </c>
      <c r="O2549" s="108">
        <v>5</v>
      </c>
      <c r="P2549" s="108">
        <v>1.66666666666667</v>
      </c>
      <c r="Q2549" s="108">
        <v>1.8</v>
      </c>
      <c r="R2549" s="108">
        <v>2.28571428571429</v>
      </c>
      <c r="S2549" s="108">
        <v>3</v>
      </c>
      <c r="T2549" s="116">
        <v>2.33333333333333</v>
      </c>
      <c r="U2549" s="108">
        <v>2</v>
      </c>
      <c r="V2549" s="108">
        <v>2</v>
      </c>
    </row>
    <row r="2550" spans="1:22">
      <c r="A2550" s="143">
        <v>45129</v>
      </c>
      <c r="B2550" s="104" t="s">
        <v>24</v>
      </c>
      <c r="C2550" s="218">
        <v>963</v>
      </c>
      <c r="D2550" s="218">
        <v>708</v>
      </c>
      <c r="E2550" s="217">
        <v>21</v>
      </c>
      <c r="F2550" s="106">
        <v>0.0218068535825545</v>
      </c>
      <c r="G2550" s="107">
        <v>5</v>
      </c>
      <c r="H2550" s="106">
        <v>0.238095238095238</v>
      </c>
      <c r="I2550" s="104">
        <v>5</v>
      </c>
      <c r="J2550" s="106">
        <v>0.238095238095238</v>
      </c>
      <c r="K2550" s="108">
        <v>73</v>
      </c>
      <c r="L2550" s="108">
        <v>67.6666666666666</v>
      </c>
      <c r="M2550" s="108">
        <v>98.6</v>
      </c>
      <c r="N2550" s="108">
        <v>138</v>
      </c>
      <c r="O2550" s="115">
        <v>1</v>
      </c>
      <c r="P2550" s="115">
        <v>6</v>
      </c>
      <c r="Q2550" s="115">
        <v>7.2</v>
      </c>
      <c r="R2550" s="115">
        <v>8.85714285714286</v>
      </c>
      <c r="S2550" s="115">
        <v>1</v>
      </c>
      <c r="T2550" s="115">
        <v>-1.33333333333333</v>
      </c>
      <c r="U2550" s="115">
        <v>-0.4</v>
      </c>
      <c r="V2550" s="115">
        <v>0.285714285714286</v>
      </c>
    </row>
    <row r="2551" spans="1:22">
      <c r="A2551" s="143">
        <v>45129</v>
      </c>
      <c r="B2551" s="104" t="s">
        <v>25</v>
      </c>
      <c r="C2551" s="218">
        <v>2997</v>
      </c>
      <c r="D2551" s="218">
        <v>600</v>
      </c>
      <c r="E2551" s="217">
        <v>46</v>
      </c>
      <c r="F2551" s="106">
        <v>0.0153486820153487</v>
      </c>
      <c r="G2551" s="107">
        <v>20</v>
      </c>
      <c r="H2551" s="106">
        <v>0.434782608695652</v>
      </c>
      <c r="I2551" s="104">
        <v>15</v>
      </c>
      <c r="J2551" s="106">
        <v>0.326086956521739</v>
      </c>
      <c r="K2551" s="108">
        <v>901</v>
      </c>
      <c r="L2551" s="108">
        <v>996.666666666667</v>
      </c>
      <c r="M2551" s="108">
        <v>923</v>
      </c>
      <c r="N2551" s="108">
        <v>858.428571428572</v>
      </c>
      <c r="O2551" s="115">
        <v>-7</v>
      </c>
      <c r="P2551" s="115">
        <v>-11.3333333333333</v>
      </c>
      <c r="Q2551" s="115">
        <v>-12.8</v>
      </c>
      <c r="R2551" s="115">
        <v>-17.1428571428571</v>
      </c>
      <c r="S2551" s="108">
        <v>2</v>
      </c>
      <c r="T2551" s="108">
        <v>-1.66666666666667</v>
      </c>
      <c r="U2551" s="108">
        <v>-1</v>
      </c>
      <c r="V2551" s="108">
        <v>-1.28571428571428</v>
      </c>
    </row>
    <row r="2552" spans="1:22">
      <c r="A2552" s="143">
        <v>45129</v>
      </c>
      <c r="B2552" s="104" t="s">
        <v>26</v>
      </c>
      <c r="C2552" s="218">
        <v>1266</v>
      </c>
      <c r="D2552" s="218">
        <v>1809</v>
      </c>
      <c r="E2552" s="217">
        <v>30</v>
      </c>
      <c r="F2552" s="106">
        <v>0.023696682464455</v>
      </c>
      <c r="G2552" s="107">
        <v>7</v>
      </c>
      <c r="H2552" s="106">
        <v>0.233333333333333</v>
      </c>
      <c r="I2552" s="104">
        <v>7</v>
      </c>
      <c r="J2552" s="106">
        <v>0.233333333333333</v>
      </c>
      <c r="K2552" s="108">
        <v>52</v>
      </c>
      <c r="L2552" s="108">
        <v>-19.3333333333333</v>
      </c>
      <c r="M2552" s="108">
        <v>18</v>
      </c>
      <c r="N2552" s="108">
        <v>191.714285714286</v>
      </c>
      <c r="O2552" s="108">
        <v>3</v>
      </c>
      <c r="P2552" s="108">
        <v>2.66666666666667</v>
      </c>
      <c r="Q2552" s="108">
        <v>3.8</v>
      </c>
      <c r="R2552" s="108">
        <v>6.42857142857143</v>
      </c>
      <c r="S2552" s="108">
        <v>1</v>
      </c>
      <c r="T2552" s="108">
        <v>-0.666666666666667</v>
      </c>
      <c r="U2552" s="108">
        <v>0.4</v>
      </c>
      <c r="V2552" s="108">
        <v>0.428571428571429</v>
      </c>
    </row>
    <row r="2553" spans="1:22">
      <c r="A2553" s="143">
        <v>45129</v>
      </c>
      <c r="B2553" s="104" t="s">
        <v>27</v>
      </c>
      <c r="C2553" s="218">
        <v>12854</v>
      </c>
      <c r="D2553" s="218">
        <v>870</v>
      </c>
      <c r="E2553" s="217">
        <v>54</v>
      </c>
      <c r="F2553" s="106">
        <v>0.00420102691769099</v>
      </c>
      <c r="G2553" s="107">
        <v>8</v>
      </c>
      <c r="H2553" s="106">
        <v>0.148148148148148</v>
      </c>
      <c r="I2553" s="104">
        <v>8</v>
      </c>
      <c r="J2553" s="106">
        <v>0.148148148148148</v>
      </c>
      <c r="K2553" s="108">
        <v>4142</v>
      </c>
      <c r="L2553" s="108">
        <v>3411</v>
      </c>
      <c r="M2553" s="108">
        <v>3597.6</v>
      </c>
      <c r="N2553" s="108">
        <v>5304.28571428571</v>
      </c>
      <c r="O2553" s="108">
        <v>13</v>
      </c>
      <c r="P2553" s="108">
        <v>13.6666666666667</v>
      </c>
      <c r="Q2553" s="108">
        <v>13.6</v>
      </c>
      <c r="R2553" s="108">
        <v>21</v>
      </c>
      <c r="S2553" s="108">
        <v>2</v>
      </c>
      <c r="T2553" s="108">
        <v>-0.333333333333334</v>
      </c>
      <c r="U2553" s="108">
        <v>0.2</v>
      </c>
      <c r="V2553" s="108">
        <v>1.57142857142857</v>
      </c>
    </row>
    <row r="2554" hidden="1" spans="1:22">
      <c r="A2554" s="143">
        <v>45129</v>
      </c>
      <c r="B2554" s="104" t="s">
        <v>28</v>
      </c>
      <c r="C2554" s="145">
        <v>0</v>
      </c>
      <c r="D2554" s="145"/>
      <c r="E2554" s="104">
        <v>0</v>
      </c>
      <c r="F2554" s="106">
        <v>0</v>
      </c>
      <c r="G2554" s="107">
        <v>0</v>
      </c>
      <c r="H2554" s="106">
        <v>0</v>
      </c>
      <c r="I2554" s="104">
        <v>0</v>
      </c>
      <c r="J2554" s="106">
        <v>0</v>
      </c>
      <c r="K2554" s="108">
        <v>0</v>
      </c>
      <c r="L2554" s="108">
        <v>0</v>
      </c>
      <c r="M2554" s="108">
        <v>0</v>
      </c>
      <c r="N2554" s="108">
        <v>0</v>
      </c>
      <c r="O2554" s="108">
        <v>0</v>
      </c>
      <c r="P2554" s="108">
        <v>0</v>
      </c>
      <c r="Q2554" s="108">
        <v>0</v>
      </c>
      <c r="R2554" s="108">
        <v>0</v>
      </c>
      <c r="S2554" s="108">
        <v>0</v>
      </c>
      <c r="T2554" s="108">
        <v>0</v>
      </c>
      <c r="U2554" s="108">
        <v>0</v>
      </c>
      <c r="V2554" s="108">
        <v>0</v>
      </c>
    </row>
    <row r="2555" hidden="1" spans="1:22">
      <c r="A2555" s="143">
        <v>45129</v>
      </c>
      <c r="B2555" s="104" t="s">
        <v>29</v>
      </c>
      <c r="C2555" s="145">
        <v>0</v>
      </c>
      <c r="D2555" s="145"/>
      <c r="E2555" s="104">
        <v>0</v>
      </c>
      <c r="F2555" s="106">
        <v>0</v>
      </c>
      <c r="G2555" s="107">
        <v>0</v>
      </c>
      <c r="H2555" s="106">
        <v>0</v>
      </c>
      <c r="I2555" s="104">
        <v>0</v>
      </c>
      <c r="J2555" s="106">
        <v>0</v>
      </c>
      <c r="K2555" s="108">
        <v>0</v>
      </c>
      <c r="L2555" s="108">
        <v>0</v>
      </c>
      <c r="M2555" s="108">
        <v>0</v>
      </c>
      <c r="N2555" s="108">
        <v>0</v>
      </c>
      <c r="O2555" s="108">
        <v>0</v>
      </c>
      <c r="P2555" s="108">
        <v>-0.333333333333333</v>
      </c>
      <c r="Q2555" s="108">
        <v>-0.2</v>
      </c>
      <c r="R2555" s="108">
        <v>-0.428571428571429</v>
      </c>
      <c r="S2555" s="108">
        <v>0</v>
      </c>
      <c r="T2555" s="108">
        <v>0</v>
      </c>
      <c r="U2555" s="108">
        <v>0</v>
      </c>
      <c r="V2555" s="108">
        <v>0</v>
      </c>
    </row>
    <row r="2556" hidden="1" spans="1:22">
      <c r="A2556" s="143">
        <v>45129</v>
      </c>
      <c r="B2556" s="104" t="s">
        <v>30</v>
      </c>
      <c r="C2556" s="145">
        <v>0</v>
      </c>
      <c r="D2556" s="145"/>
      <c r="E2556" s="104">
        <v>0</v>
      </c>
      <c r="F2556" s="106">
        <v>0</v>
      </c>
      <c r="G2556" s="107">
        <v>0</v>
      </c>
      <c r="H2556" s="106">
        <v>0</v>
      </c>
      <c r="I2556" s="104">
        <v>0</v>
      </c>
      <c r="J2556" s="106">
        <v>0</v>
      </c>
      <c r="K2556" s="108">
        <v>0</v>
      </c>
      <c r="L2556" s="108">
        <v>0</v>
      </c>
      <c r="M2556" s="108">
        <v>0</v>
      </c>
      <c r="N2556" s="108">
        <v>0</v>
      </c>
      <c r="O2556" s="108">
        <v>0</v>
      </c>
      <c r="P2556" s="108">
        <v>0</v>
      </c>
      <c r="Q2556" s="108">
        <v>0</v>
      </c>
      <c r="R2556" s="108">
        <v>0</v>
      </c>
      <c r="S2556" s="108">
        <v>0</v>
      </c>
      <c r="T2556" s="108">
        <v>0</v>
      </c>
      <c r="U2556" s="108">
        <v>0</v>
      </c>
      <c r="V2556" s="108">
        <v>0</v>
      </c>
    </row>
    <row r="2557" hidden="1" spans="1:22">
      <c r="A2557" s="143">
        <v>45129</v>
      </c>
      <c r="B2557" s="104" t="s">
        <v>31</v>
      </c>
      <c r="C2557" s="145">
        <v>0</v>
      </c>
      <c r="D2557" s="145"/>
      <c r="E2557" s="104">
        <v>0</v>
      </c>
      <c r="F2557" s="106">
        <v>0</v>
      </c>
      <c r="G2557" s="107">
        <v>0</v>
      </c>
      <c r="H2557" s="106">
        <v>0</v>
      </c>
      <c r="I2557" s="104">
        <v>0</v>
      </c>
      <c r="J2557" s="106">
        <v>0</v>
      </c>
      <c r="K2557" s="108">
        <v>0</v>
      </c>
      <c r="L2557" s="108">
        <v>0</v>
      </c>
      <c r="M2557" s="108">
        <v>0</v>
      </c>
      <c r="N2557" s="108">
        <v>0</v>
      </c>
      <c r="O2557" s="108">
        <v>0</v>
      </c>
      <c r="P2557" s="108">
        <v>0</v>
      </c>
      <c r="Q2557" s="108">
        <v>0</v>
      </c>
      <c r="R2557" s="108">
        <v>0</v>
      </c>
      <c r="S2557" s="108">
        <v>0</v>
      </c>
      <c r="T2557" s="108">
        <v>0</v>
      </c>
      <c r="U2557" s="108">
        <v>0</v>
      </c>
      <c r="V2557" s="108">
        <v>0</v>
      </c>
    </row>
    <row r="2558" hidden="1" spans="1:22">
      <c r="A2558" s="143">
        <v>45129</v>
      </c>
      <c r="B2558" s="104" t="s">
        <v>32</v>
      </c>
      <c r="C2558" s="145">
        <v>0</v>
      </c>
      <c r="D2558" s="145"/>
      <c r="E2558" s="104">
        <v>0</v>
      </c>
      <c r="F2558" s="106">
        <v>0</v>
      </c>
      <c r="G2558" s="107">
        <v>0</v>
      </c>
      <c r="H2558" s="106">
        <v>0</v>
      </c>
      <c r="I2558" s="104">
        <v>0</v>
      </c>
      <c r="J2558" s="106">
        <v>0</v>
      </c>
      <c r="K2558" s="108">
        <v>0</v>
      </c>
      <c r="L2558" s="108">
        <v>0</v>
      </c>
      <c r="M2558" s="108">
        <v>0</v>
      </c>
      <c r="N2558" s="108">
        <v>0</v>
      </c>
      <c r="O2558" s="108">
        <v>0</v>
      </c>
      <c r="P2558" s="108">
        <v>0</v>
      </c>
      <c r="Q2558" s="108">
        <v>0</v>
      </c>
      <c r="R2558" s="108">
        <v>0</v>
      </c>
      <c r="S2558" s="108">
        <v>0</v>
      </c>
      <c r="T2558" s="108">
        <v>0</v>
      </c>
      <c r="U2558" s="108">
        <v>0</v>
      </c>
      <c r="V2558" s="108">
        <v>0</v>
      </c>
    </row>
    <row r="2559" hidden="1" spans="1:22">
      <c r="A2559" s="143">
        <v>45129</v>
      </c>
      <c r="B2559" s="104" t="s">
        <v>33</v>
      </c>
      <c r="C2559" s="145">
        <v>0</v>
      </c>
      <c r="D2559" s="145"/>
      <c r="E2559" s="104">
        <v>0</v>
      </c>
      <c r="F2559" s="106">
        <v>0</v>
      </c>
      <c r="G2559" s="107">
        <v>0</v>
      </c>
      <c r="H2559" s="106">
        <v>0</v>
      </c>
      <c r="I2559" s="104">
        <v>0</v>
      </c>
      <c r="J2559" s="106">
        <v>0</v>
      </c>
      <c r="K2559" s="108">
        <v>0</v>
      </c>
      <c r="L2559" s="108">
        <v>0</v>
      </c>
      <c r="M2559" s="108">
        <v>0</v>
      </c>
      <c r="N2559" s="108">
        <v>0</v>
      </c>
      <c r="O2559" s="108">
        <v>0</v>
      </c>
      <c r="P2559" s="108">
        <v>0</v>
      </c>
      <c r="Q2559" s="108">
        <v>0</v>
      </c>
      <c r="R2559" s="108">
        <v>0</v>
      </c>
      <c r="S2559" s="108">
        <v>0</v>
      </c>
      <c r="T2559" s="108">
        <v>0</v>
      </c>
      <c r="U2559" s="108">
        <v>0</v>
      </c>
      <c r="V2559" s="108">
        <v>0</v>
      </c>
    </row>
    <row r="2560" hidden="1" spans="1:22">
      <c r="A2560" s="143">
        <v>45129</v>
      </c>
      <c r="B2560" s="104" t="s">
        <v>34</v>
      </c>
      <c r="C2560" s="145">
        <v>0</v>
      </c>
      <c r="D2560" s="145"/>
      <c r="E2560" s="104">
        <v>0</v>
      </c>
      <c r="F2560" s="106">
        <v>0</v>
      </c>
      <c r="G2560" s="107">
        <v>0</v>
      </c>
      <c r="H2560" s="106">
        <v>0</v>
      </c>
      <c r="I2560" s="104">
        <v>0</v>
      </c>
      <c r="J2560" s="106">
        <v>0</v>
      </c>
      <c r="K2560" s="108">
        <v>0</v>
      </c>
      <c r="L2560" s="108">
        <v>0</v>
      </c>
      <c r="M2560" s="108">
        <v>0</v>
      </c>
      <c r="N2560" s="108">
        <v>0</v>
      </c>
      <c r="O2560" s="108">
        <v>0</v>
      </c>
      <c r="P2560" s="108">
        <v>0</v>
      </c>
      <c r="Q2560" s="108">
        <v>0</v>
      </c>
      <c r="R2560" s="108">
        <v>0</v>
      </c>
      <c r="S2560" s="108">
        <v>0</v>
      </c>
      <c r="T2560" s="108">
        <v>0</v>
      </c>
      <c r="U2560" s="108">
        <v>0</v>
      </c>
      <c r="V2560" s="108">
        <v>0</v>
      </c>
    </row>
    <row r="2561" hidden="1" spans="1:22">
      <c r="A2561" s="143">
        <v>45129</v>
      </c>
      <c r="B2561" s="104" t="s">
        <v>35</v>
      </c>
      <c r="C2561" s="145">
        <v>0</v>
      </c>
      <c r="D2561" s="145"/>
      <c r="E2561" s="104">
        <v>0</v>
      </c>
      <c r="F2561" s="106">
        <v>0</v>
      </c>
      <c r="G2561" s="107">
        <v>0</v>
      </c>
      <c r="H2561" s="106">
        <v>0</v>
      </c>
      <c r="I2561" s="104">
        <v>0</v>
      </c>
      <c r="J2561" s="106">
        <v>0</v>
      </c>
      <c r="K2561" s="108">
        <v>0</v>
      </c>
      <c r="L2561" s="108">
        <v>0</v>
      </c>
      <c r="M2561" s="108">
        <v>0</v>
      </c>
      <c r="N2561" s="108">
        <v>0</v>
      </c>
      <c r="O2561" s="108">
        <v>0</v>
      </c>
      <c r="P2561" s="108">
        <v>0</v>
      </c>
      <c r="Q2561" s="108">
        <v>0</v>
      </c>
      <c r="R2561" s="108">
        <v>0</v>
      </c>
      <c r="S2561" s="108">
        <v>0</v>
      </c>
      <c r="T2561" s="108">
        <v>0</v>
      </c>
      <c r="U2561" s="108">
        <v>0</v>
      </c>
      <c r="V2561" s="108">
        <v>0</v>
      </c>
    </row>
    <row r="2562" hidden="1" spans="1:22">
      <c r="A2562" s="143">
        <v>45129</v>
      </c>
      <c r="B2562" s="104" t="s">
        <v>36</v>
      </c>
      <c r="C2562" s="145">
        <v>0</v>
      </c>
      <c r="D2562" s="145"/>
      <c r="E2562" s="104">
        <v>0</v>
      </c>
      <c r="F2562" s="106">
        <v>0</v>
      </c>
      <c r="G2562" s="107">
        <v>0</v>
      </c>
      <c r="H2562" s="106">
        <v>0</v>
      </c>
      <c r="I2562" s="104">
        <v>0</v>
      </c>
      <c r="J2562" s="106">
        <v>0</v>
      </c>
      <c r="K2562" s="108">
        <v>0</v>
      </c>
      <c r="L2562" s="108">
        <v>0</v>
      </c>
      <c r="M2562" s="108">
        <v>0</v>
      </c>
      <c r="N2562" s="108">
        <v>0</v>
      </c>
      <c r="O2562" s="108">
        <v>0</v>
      </c>
      <c r="P2562" s="108">
        <v>0</v>
      </c>
      <c r="Q2562" s="108">
        <v>0</v>
      </c>
      <c r="R2562" s="108">
        <v>0</v>
      </c>
      <c r="S2562" s="108">
        <v>0</v>
      </c>
      <c r="T2562" s="108">
        <v>0</v>
      </c>
      <c r="U2562" s="108">
        <v>0</v>
      </c>
      <c r="V2562" s="108">
        <v>0</v>
      </c>
    </row>
    <row r="2563" hidden="1" spans="1:22">
      <c r="A2563" s="143">
        <v>45129</v>
      </c>
      <c r="B2563" s="104" t="s">
        <v>37</v>
      </c>
      <c r="C2563" s="145">
        <v>0</v>
      </c>
      <c r="D2563" s="145"/>
      <c r="E2563" s="104">
        <v>2</v>
      </c>
      <c r="F2563" s="106">
        <v>0</v>
      </c>
      <c r="G2563" s="107">
        <v>1</v>
      </c>
      <c r="H2563" s="106">
        <v>0.5</v>
      </c>
      <c r="I2563" s="104">
        <v>0</v>
      </c>
      <c r="J2563" s="106">
        <v>0</v>
      </c>
      <c r="K2563" s="108">
        <v>0</v>
      </c>
      <c r="L2563" s="108">
        <v>0</v>
      </c>
      <c r="M2563" s="108">
        <v>0</v>
      </c>
      <c r="N2563" s="108">
        <v>0</v>
      </c>
      <c r="O2563" s="108">
        <v>2</v>
      </c>
      <c r="P2563" s="108">
        <v>1.33333333333333</v>
      </c>
      <c r="Q2563" s="108">
        <v>1.4</v>
      </c>
      <c r="R2563" s="108">
        <v>1.57142857142857</v>
      </c>
      <c r="S2563" s="108">
        <v>1</v>
      </c>
      <c r="T2563" s="108">
        <v>1</v>
      </c>
      <c r="U2563" s="108">
        <v>1</v>
      </c>
      <c r="V2563" s="108">
        <v>1</v>
      </c>
    </row>
    <row r="2564" hidden="1" spans="1:22">
      <c r="A2564" s="143">
        <v>45129</v>
      </c>
      <c r="B2564" s="104" t="s">
        <v>38</v>
      </c>
      <c r="C2564" s="145">
        <v>0</v>
      </c>
      <c r="D2564" s="145"/>
      <c r="E2564" s="104">
        <v>0</v>
      </c>
      <c r="F2564" s="106">
        <v>0</v>
      </c>
      <c r="G2564" s="107">
        <v>0</v>
      </c>
      <c r="H2564" s="106">
        <v>0</v>
      </c>
      <c r="I2564" s="104">
        <v>0</v>
      </c>
      <c r="J2564" s="106">
        <v>0</v>
      </c>
      <c r="K2564" s="108">
        <v>0</v>
      </c>
      <c r="L2564" s="108">
        <v>0</v>
      </c>
      <c r="M2564" s="108">
        <v>0</v>
      </c>
      <c r="N2564" s="108">
        <v>0</v>
      </c>
      <c r="O2564" s="108">
        <v>0</v>
      </c>
      <c r="P2564" s="108">
        <v>0</v>
      </c>
      <c r="Q2564" s="108">
        <v>0</v>
      </c>
      <c r="R2564" s="108">
        <v>0</v>
      </c>
      <c r="S2564" s="108">
        <v>0</v>
      </c>
      <c r="T2564" s="108">
        <v>0</v>
      </c>
      <c r="U2564" s="108">
        <v>0</v>
      </c>
      <c r="V2564" s="108">
        <v>0</v>
      </c>
    </row>
    <row r="2565" spans="1:22">
      <c r="A2565" s="143">
        <v>45129</v>
      </c>
      <c r="B2565" s="111" t="s">
        <v>39</v>
      </c>
      <c r="C2565" s="112">
        <v>23821</v>
      </c>
      <c r="D2565" s="112">
        <v>6116</v>
      </c>
      <c r="E2565" s="112">
        <v>232</v>
      </c>
      <c r="F2565" s="106">
        <v>0.00973930565467445</v>
      </c>
      <c r="G2565" s="112">
        <v>72</v>
      </c>
      <c r="H2565" s="113">
        <v>0.310344827586207</v>
      </c>
      <c r="I2565" s="112">
        <v>55</v>
      </c>
      <c r="J2565" s="106">
        <v>0.237068965517241</v>
      </c>
      <c r="K2565" s="108">
        <v>5449</v>
      </c>
      <c r="L2565" s="108">
        <v>4631.33333333333</v>
      </c>
      <c r="M2565" s="108">
        <v>4900.2</v>
      </c>
      <c r="N2565" s="108">
        <v>6906.14285714286</v>
      </c>
      <c r="O2565" s="108">
        <v>1</v>
      </c>
      <c r="P2565" s="108">
        <v>4</v>
      </c>
      <c r="Q2565" s="108">
        <v>8.59999999999999</v>
      </c>
      <c r="R2565" s="108">
        <v>11</v>
      </c>
      <c r="S2565" s="108">
        <v>14</v>
      </c>
      <c r="T2565" s="108">
        <v>2.66666666666667</v>
      </c>
      <c r="U2565" s="108">
        <v>4.8</v>
      </c>
      <c r="V2565" s="108">
        <v>2.57142857142857</v>
      </c>
    </row>
    <row r="2566" spans="1:22">
      <c r="A2566" s="143">
        <v>45130</v>
      </c>
      <c r="B2566" s="104" t="s">
        <v>17</v>
      </c>
      <c r="C2566" s="216">
        <v>472</v>
      </c>
      <c r="D2566" s="216">
        <v>110</v>
      </c>
      <c r="E2566" s="217">
        <v>23</v>
      </c>
      <c r="F2566" s="106">
        <v>0.048728813559322</v>
      </c>
      <c r="G2566" s="107">
        <v>3</v>
      </c>
      <c r="H2566" s="106">
        <v>0.130434782608696</v>
      </c>
      <c r="I2566" s="104">
        <v>3</v>
      </c>
      <c r="J2566" s="106">
        <v>0.130434782608696</v>
      </c>
      <c r="K2566" s="108">
        <v>-13</v>
      </c>
      <c r="L2566" s="108">
        <v>8.66666666666669</v>
      </c>
      <c r="M2566" s="108">
        <v>23.4</v>
      </c>
      <c r="N2566" s="108">
        <v>35.1428571428572</v>
      </c>
      <c r="O2566" s="108">
        <v>7</v>
      </c>
      <c r="P2566" s="108">
        <v>3</v>
      </c>
      <c r="Q2566" s="108">
        <v>4.4</v>
      </c>
      <c r="R2566" s="108">
        <v>3.14285714285714</v>
      </c>
      <c r="S2566" s="108">
        <v>-1</v>
      </c>
      <c r="T2566" s="108">
        <v>-0.666666666666667</v>
      </c>
      <c r="U2566" s="108">
        <v>-1</v>
      </c>
      <c r="V2566" s="108">
        <v>-1</v>
      </c>
    </row>
    <row r="2567" spans="1:22">
      <c r="A2567" s="143">
        <v>45130</v>
      </c>
      <c r="B2567" s="104" t="s">
        <v>19</v>
      </c>
      <c r="C2567" s="216">
        <v>626</v>
      </c>
      <c r="D2567" s="216">
        <v>421</v>
      </c>
      <c r="E2567" s="217">
        <v>20</v>
      </c>
      <c r="F2567" s="106">
        <v>0.0319488817891374</v>
      </c>
      <c r="G2567" s="107">
        <v>3</v>
      </c>
      <c r="H2567" s="106">
        <v>0.15</v>
      </c>
      <c r="I2567" s="104">
        <v>3</v>
      </c>
      <c r="J2567" s="106">
        <v>0.15</v>
      </c>
      <c r="K2567" s="108">
        <v>-31</v>
      </c>
      <c r="L2567" s="108">
        <v>38.6666666666666</v>
      </c>
      <c r="M2567" s="108">
        <v>91.8</v>
      </c>
      <c r="N2567" s="108">
        <v>127.571428571429</v>
      </c>
      <c r="O2567" s="108">
        <v>6</v>
      </c>
      <c r="P2567" s="108">
        <v>4</v>
      </c>
      <c r="Q2567" s="108">
        <v>7.6</v>
      </c>
      <c r="R2567" s="108">
        <v>7.85714285714286</v>
      </c>
      <c r="S2567" s="108">
        <v>1</v>
      </c>
      <c r="T2567" s="108">
        <v>-0.666666666666667</v>
      </c>
      <c r="U2567" s="108">
        <v>-0.4</v>
      </c>
      <c r="V2567" s="115">
        <v>-1.14285714285714</v>
      </c>
    </row>
    <row r="2568" spans="1:22">
      <c r="A2568" s="143">
        <v>45130</v>
      </c>
      <c r="B2568" s="104" t="s">
        <v>21</v>
      </c>
      <c r="C2568" s="218">
        <v>215</v>
      </c>
      <c r="D2568" s="218">
        <v>286</v>
      </c>
      <c r="E2568" s="217">
        <v>4</v>
      </c>
      <c r="F2568" s="106">
        <v>0.0186046511627907</v>
      </c>
      <c r="G2568" s="107">
        <v>1</v>
      </c>
      <c r="H2568" s="106">
        <v>0.25</v>
      </c>
      <c r="I2568" s="104">
        <v>1</v>
      </c>
      <c r="J2568" s="106">
        <v>0.25</v>
      </c>
      <c r="K2568" s="108">
        <v>-11</v>
      </c>
      <c r="L2568" s="108">
        <v>58</v>
      </c>
      <c r="M2568" s="108">
        <v>82</v>
      </c>
      <c r="N2568" s="108">
        <v>107.285714285714</v>
      </c>
      <c r="O2568" s="108">
        <v>2</v>
      </c>
      <c r="P2568" s="108">
        <v>1</v>
      </c>
      <c r="Q2568" s="108">
        <v>0.4</v>
      </c>
      <c r="R2568" s="108">
        <v>1</v>
      </c>
      <c r="S2568" s="108">
        <v>0</v>
      </c>
      <c r="T2568" s="108">
        <v>-1.33333333333333</v>
      </c>
      <c r="U2568" s="108">
        <v>-1.2</v>
      </c>
      <c r="V2568" s="108">
        <v>-1</v>
      </c>
    </row>
    <row r="2569" spans="1:22">
      <c r="A2569" s="143">
        <v>45130</v>
      </c>
      <c r="B2569" s="104" t="s">
        <v>22</v>
      </c>
      <c r="C2569" s="218">
        <v>1261</v>
      </c>
      <c r="D2569" s="218">
        <v>694</v>
      </c>
      <c r="E2569" s="217">
        <v>38</v>
      </c>
      <c r="F2569" s="106">
        <v>0.0301348136399683</v>
      </c>
      <c r="G2569" s="107">
        <v>14</v>
      </c>
      <c r="H2569" s="106">
        <v>0.368421052631579</v>
      </c>
      <c r="I2569" s="104">
        <v>11</v>
      </c>
      <c r="J2569" s="106">
        <v>0.289473684210526</v>
      </c>
      <c r="K2569" s="108">
        <v>-157</v>
      </c>
      <c r="L2569" s="108">
        <v>-330.666666666667</v>
      </c>
      <c r="M2569" s="108">
        <v>-467.4</v>
      </c>
      <c r="N2569" s="108">
        <v>-554</v>
      </c>
      <c r="O2569" s="108">
        <v>5</v>
      </c>
      <c r="P2569" s="108">
        <v>-1</v>
      </c>
      <c r="Q2569" s="108">
        <v>4.2</v>
      </c>
      <c r="R2569" s="115">
        <v>1.85714285714285</v>
      </c>
      <c r="S2569" s="108">
        <v>-5</v>
      </c>
      <c r="T2569" s="108">
        <v>-1</v>
      </c>
      <c r="U2569" s="108">
        <v>0.800000000000001</v>
      </c>
      <c r="V2569" s="117">
        <v>-0.714285714285714</v>
      </c>
    </row>
    <row r="2570" spans="1:22">
      <c r="A2570" s="143">
        <v>45130</v>
      </c>
      <c r="B2570" s="104" t="s">
        <v>23</v>
      </c>
      <c r="C2570" s="218">
        <v>3031</v>
      </c>
      <c r="D2570" s="218">
        <v>475</v>
      </c>
      <c r="E2570" s="217">
        <v>24</v>
      </c>
      <c r="F2570" s="106">
        <v>0.00791817881887166</v>
      </c>
      <c r="G2570" s="107">
        <v>6</v>
      </c>
      <c r="H2570" s="106">
        <v>0.25</v>
      </c>
      <c r="I2570" s="104">
        <v>6</v>
      </c>
      <c r="J2570" s="106">
        <v>0.25</v>
      </c>
      <c r="K2570" s="108">
        <v>76</v>
      </c>
      <c r="L2570" s="108">
        <v>181</v>
      </c>
      <c r="M2570" s="108">
        <v>288.8</v>
      </c>
      <c r="N2570" s="108">
        <v>426</v>
      </c>
      <c r="O2570" s="108">
        <v>10</v>
      </c>
      <c r="P2570" s="108">
        <v>10.6666666666667</v>
      </c>
      <c r="Q2570" s="108">
        <v>11.4</v>
      </c>
      <c r="R2570" s="108">
        <v>12</v>
      </c>
      <c r="S2570" s="108">
        <v>1</v>
      </c>
      <c r="T2570" s="116">
        <v>3</v>
      </c>
      <c r="U2570" s="108">
        <v>2.8</v>
      </c>
      <c r="V2570" s="108">
        <v>2.71428571428571</v>
      </c>
    </row>
    <row r="2571" spans="1:22">
      <c r="A2571" s="143">
        <v>45130</v>
      </c>
      <c r="B2571" s="104" t="s">
        <v>24</v>
      </c>
      <c r="C2571" s="218">
        <v>789</v>
      </c>
      <c r="D2571" s="218">
        <v>673</v>
      </c>
      <c r="E2571" s="217">
        <v>13</v>
      </c>
      <c r="F2571" s="106">
        <v>0.0164765525982256</v>
      </c>
      <c r="G2571" s="107">
        <v>5</v>
      </c>
      <c r="H2571" s="106">
        <v>0.384615384615385</v>
      </c>
      <c r="I2571" s="104">
        <v>4</v>
      </c>
      <c r="J2571" s="106">
        <v>0.307692307692308</v>
      </c>
      <c r="K2571" s="108">
        <v>-174</v>
      </c>
      <c r="L2571" s="108">
        <v>-137</v>
      </c>
      <c r="M2571" s="108">
        <v>-105.4</v>
      </c>
      <c r="N2571" s="108">
        <v>-71.4285714285714</v>
      </c>
      <c r="O2571" s="115">
        <v>-8</v>
      </c>
      <c r="P2571" s="115">
        <v>-6</v>
      </c>
      <c r="Q2571" s="115">
        <v>-2.2</v>
      </c>
      <c r="R2571" s="115">
        <v>-1.14285714285714</v>
      </c>
      <c r="S2571" s="115">
        <v>0</v>
      </c>
      <c r="T2571" s="115">
        <v>-2</v>
      </c>
      <c r="U2571" s="115">
        <v>-1</v>
      </c>
      <c r="V2571" s="115">
        <v>0</v>
      </c>
    </row>
    <row r="2572" spans="1:22">
      <c r="A2572" s="143">
        <v>45130</v>
      </c>
      <c r="B2572" s="104" t="s">
        <v>25</v>
      </c>
      <c r="C2572" s="218">
        <v>2797</v>
      </c>
      <c r="D2572" s="218">
        <v>533</v>
      </c>
      <c r="E2572" s="217">
        <v>45</v>
      </c>
      <c r="F2572" s="106">
        <v>0.0160886664283161</v>
      </c>
      <c r="G2572" s="107">
        <v>19</v>
      </c>
      <c r="H2572" s="106">
        <v>0.422222222222222</v>
      </c>
      <c r="I2572" s="104">
        <v>15</v>
      </c>
      <c r="J2572" s="106">
        <v>0.333333333333333</v>
      </c>
      <c r="K2572" s="108">
        <v>-200</v>
      </c>
      <c r="L2572" s="108">
        <v>445</v>
      </c>
      <c r="M2572" s="108">
        <v>582</v>
      </c>
      <c r="N2572" s="108">
        <v>553.285714285714</v>
      </c>
      <c r="O2572" s="115">
        <v>-1</v>
      </c>
      <c r="P2572" s="115">
        <v>-7.66666666666666</v>
      </c>
      <c r="Q2572" s="115">
        <v>-10</v>
      </c>
      <c r="R2572" s="115">
        <v>-14.1428571428571</v>
      </c>
      <c r="S2572" s="108">
        <v>-1</v>
      </c>
      <c r="T2572" s="108">
        <v>-1</v>
      </c>
      <c r="U2572" s="108">
        <v>-1</v>
      </c>
      <c r="V2572" s="108">
        <v>-1.71428571428572</v>
      </c>
    </row>
    <row r="2573" spans="1:22">
      <c r="A2573" s="143">
        <v>45130</v>
      </c>
      <c r="B2573" s="104" t="s">
        <v>26</v>
      </c>
      <c r="C2573" s="218">
        <v>1252</v>
      </c>
      <c r="D2573" s="218">
        <v>1804</v>
      </c>
      <c r="E2573" s="217">
        <v>29</v>
      </c>
      <c r="F2573" s="106">
        <v>0.0231629392971246</v>
      </c>
      <c r="G2573" s="107">
        <v>4</v>
      </c>
      <c r="H2573" s="106">
        <v>0.137931034482759</v>
      </c>
      <c r="I2573" s="104">
        <v>4</v>
      </c>
      <c r="J2573" s="106">
        <v>0.137931034482759</v>
      </c>
      <c r="K2573" s="108">
        <v>-14</v>
      </c>
      <c r="L2573" s="108">
        <v>-13.6666666666667</v>
      </c>
      <c r="M2573" s="108">
        <v>-18</v>
      </c>
      <c r="N2573" s="108">
        <v>43.8571428571429</v>
      </c>
      <c r="O2573" s="108">
        <v>-1</v>
      </c>
      <c r="P2573" s="108">
        <v>-0.333333333333332</v>
      </c>
      <c r="Q2573" s="108">
        <v>2.2</v>
      </c>
      <c r="R2573" s="108">
        <v>3.85714285714286</v>
      </c>
      <c r="S2573" s="108">
        <v>-3</v>
      </c>
      <c r="T2573" s="108">
        <v>-4.33333333333333</v>
      </c>
      <c r="U2573" s="108">
        <v>-3.2</v>
      </c>
      <c r="V2573" s="108">
        <v>-2.71428571428571</v>
      </c>
    </row>
    <row r="2574" spans="1:22">
      <c r="A2574" s="143">
        <v>45130</v>
      </c>
      <c r="B2574" s="104" t="s">
        <v>27</v>
      </c>
      <c r="C2574" s="218">
        <v>18787</v>
      </c>
      <c r="D2574" s="218">
        <v>1003</v>
      </c>
      <c r="E2574" s="217">
        <v>51</v>
      </c>
      <c r="F2574" s="106">
        <v>0.00271464310427423</v>
      </c>
      <c r="G2574" s="107">
        <v>21</v>
      </c>
      <c r="H2574" s="106">
        <v>0.411764705882353</v>
      </c>
      <c r="I2574" s="104">
        <v>18</v>
      </c>
      <c r="J2574" s="106">
        <v>0.352941176470588</v>
      </c>
      <c r="K2574" s="108">
        <v>5933</v>
      </c>
      <c r="L2574" s="108">
        <v>8405</v>
      </c>
      <c r="M2574" s="108">
        <v>8793</v>
      </c>
      <c r="N2574" s="108">
        <v>9617.57142857143</v>
      </c>
      <c r="O2574" s="108">
        <v>-3</v>
      </c>
      <c r="P2574" s="108">
        <v>6.33333333333334</v>
      </c>
      <c r="Q2574" s="108">
        <v>7.4</v>
      </c>
      <c r="R2574" s="108">
        <v>11.8571428571429</v>
      </c>
      <c r="S2574" s="108">
        <v>13</v>
      </c>
      <c r="T2574" s="108">
        <v>14</v>
      </c>
      <c r="U2574" s="108">
        <v>12.6</v>
      </c>
      <c r="V2574" s="108">
        <v>13.8571428571429</v>
      </c>
    </row>
    <row r="2575" hidden="1" spans="1:22">
      <c r="A2575" s="143">
        <v>45130</v>
      </c>
      <c r="B2575" s="104" t="s">
        <v>28</v>
      </c>
      <c r="C2575" s="145">
        <v>0</v>
      </c>
      <c r="D2575" s="145"/>
      <c r="E2575" s="104">
        <v>0</v>
      </c>
      <c r="F2575" s="106">
        <v>0</v>
      </c>
      <c r="G2575" s="107">
        <v>0</v>
      </c>
      <c r="H2575" s="106">
        <v>0</v>
      </c>
      <c r="I2575" s="104">
        <v>0</v>
      </c>
      <c r="J2575" s="106">
        <v>0</v>
      </c>
      <c r="K2575" s="108">
        <v>0</v>
      </c>
      <c r="L2575" s="108">
        <v>0</v>
      </c>
      <c r="M2575" s="108">
        <v>0</v>
      </c>
      <c r="N2575" s="108">
        <v>0</v>
      </c>
      <c r="O2575" s="108">
        <v>0</v>
      </c>
      <c r="P2575" s="108">
        <v>0</v>
      </c>
      <c r="Q2575" s="108">
        <v>0</v>
      </c>
      <c r="R2575" s="108">
        <v>0</v>
      </c>
      <c r="S2575" s="108">
        <v>0</v>
      </c>
      <c r="T2575" s="108">
        <v>0</v>
      </c>
      <c r="U2575" s="108">
        <v>0</v>
      </c>
      <c r="V2575" s="108">
        <v>0</v>
      </c>
    </row>
    <row r="2576" hidden="1" spans="1:22">
      <c r="A2576" s="143">
        <v>45130</v>
      </c>
      <c r="B2576" s="104" t="s">
        <v>29</v>
      </c>
      <c r="C2576" s="145">
        <v>0</v>
      </c>
      <c r="D2576" s="145"/>
      <c r="E2576" s="104">
        <v>0</v>
      </c>
      <c r="F2576" s="106">
        <v>0</v>
      </c>
      <c r="G2576" s="107">
        <v>0</v>
      </c>
      <c r="H2576" s="106">
        <v>0</v>
      </c>
      <c r="I2576" s="104">
        <v>0</v>
      </c>
      <c r="J2576" s="106">
        <v>0</v>
      </c>
      <c r="K2576" s="108">
        <v>0</v>
      </c>
      <c r="L2576" s="108">
        <v>0</v>
      </c>
      <c r="M2576" s="108">
        <v>0</v>
      </c>
      <c r="N2576" s="108">
        <v>0</v>
      </c>
      <c r="O2576" s="108">
        <v>0</v>
      </c>
      <c r="P2576" s="108">
        <v>0</v>
      </c>
      <c r="Q2576" s="108">
        <v>-0.2</v>
      </c>
      <c r="R2576" s="108">
        <v>-0.142857142857143</v>
      </c>
      <c r="S2576" s="108">
        <v>0</v>
      </c>
      <c r="T2576" s="108">
        <v>0</v>
      </c>
      <c r="U2576" s="108">
        <v>0</v>
      </c>
      <c r="V2576" s="108">
        <v>0</v>
      </c>
    </row>
    <row r="2577" hidden="1" spans="1:22">
      <c r="A2577" s="143">
        <v>45130</v>
      </c>
      <c r="B2577" s="104" t="s">
        <v>30</v>
      </c>
      <c r="C2577" s="145">
        <v>0</v>
      </c>
      <c r="D2577" s="145"/>
      <c r="E2577" s="104">
        <v>0</v>
      </c>
      <c r="F2577" s="106">
        <v>0</v>
      </c>
      <c r="G2577" s="107">
        <v>0</v>
      </c>
      <c r="H2577" s="106">
        <v>0</v>
      </c>
      <c r="I2577" s="104">
        <v>0</v>
      </c>
      <c r="J2577" s="106">
        <v>0</v>
      </c>
      <c r="K2577" s="108">
        <v>0</v>
      </c>
      <c r="L2577" s="108">
        <v>0</v>
      </c>
      <c r="M2577" s="108">
        <v>0</v>
      </c>
      <c r="N2577" s="108">
        <v>0</v>
      </c>
      <c r="O2577" s="108">
        <v>0</v>
      </c>
      <c r="P2577" s="108">
        <v>0</v>
      </c>
      <c r="Q2577" s="108">
        <v>0</v>
      </c>
      <c r="R2577" s="108">
        <v>0</v>
      </c>
      <c r="S2577" s="108">
        <v>0</v>
      </c>
      <c r="T2577" s="108">
        <v>0</v>
      </c>
      <c r="U2577" s="108">
        <v>0</v>
      </c>
      <c r="V2577" s="108">
        <v>0</v>
      </c>
    </row>
    <row r="2578" hidden="1" spans="1:22">
      <c r="A2578" s="143">
        <v>45130</v>
      </c>
      <c r="B2578" s="104" t="s">
        <v>31</v>
      </c>
      <c r="C2578" s="145">
        <v>0</v>
      </c>
      <c r="D2578" s="145"/>
      <c r="E2578" s="104">
        <v>0</v>
      </c>
      <c r="F2578" s="106">
        <v>0</v>
      </c>
      <c r="G2578" s="107">
        <v>0</v>
      </c>
      <c r="H2578" s="106">
        <v>0</v>
      </c>
      <c r="I2578" s="104">
        <v>0</v>
      </c>
      <c r="J2578" s="106">
        <v>0</v>
      </c>
      <c r="K2578" s="108">
        <v>0</v>
      </c>
      <c r="L2578" s="108">
        <v>0</v>
      </c>
      <c r="M2578" s="108">
        <v>0</v>
      </c>
      <c r="N2578" s="108">
        <v>0</v>
      </c>
      <c r="O2578" s="108">
        <v>0</v>
      </c>
      <c r="P2578" s="108">
        <v>0</v>
      </c>
      <c r="Q2578" s="108">
        <v>0</v>
      </c>
      <c r="R2578" s="108">
        <v>0</v>
      </c>
      <c r="S2578" s="108">
        <v>0</v>
      </c>
      <c r="T2578" s="108">
        <v>0</v>
      </c>
      <c r="U2578" s="108">
        <v>0</v>
      </c>
      <c r="V2578" s="108">
        <v>0</v>
      </c>
    </row>
    <row r="2579" hidden="1" spans="1:22">
      <c r="A2579" s="143">
        <v>45130</v>
      </c>
      <c r="B2579" s="104" t="s">
        <v>32</v>
      </c>
      <c r="C2579" s="145">
        <v>0</v>
      </c>
      <c r="D2579" s="145"/>
      <c r="E2579" s="104">
        <v>0</v>
      </c>
      <c r="F2579" s="106">
        <v>0</v>
      </c>
      <c r="G2579" s="107">
        <v>0</v>
      </c>
      <c r="H2579" s="106">
        <v>0</v>
      </c>
      <c r="I2579" s="104">
        <v>0</v>
      </c>
      <c r="J2579" s="106">
        <v>0</v>
      </c>
      <c r="K2579" s="108">
        <v>0</v>
      </c>
      <c r="L2579" s="108">
        <v>0</v>
      </c>
      <c r="M2579" s="108">
        <v>0</v>
      </c>
      <c r="N2579" s="108">
        <v>0</v>
      </c>
      <c r="O2579" s="108">
        <v>0</v>
      </c>
      <c r="P2579" s="108">
        <v>0</v>
      </c>
      <c r="Q2579" s="108">
        <v>0</v>
      </c>
      <c r="R2579" s="108">
        <v>0</v>
      </c>
      <c r="S2579" s="108">
        <v>0</v>
      </c>
      <c r="T2579" s="108">
        <v>0</v>
      </c>
      <c r="U2579" s="108">
        <v>0</v>
      </c>
      <c r="V2579" s="108">
        <v>0</v>
      </c>
    </row>
    <row r="2580" hidden="1" spans="1:22">
      <c r="A2580" s="143">
        <v>45130</v>
      </c>
      <c r="B2580" s="104" t="s">
        <v>33</v>
      </c>
      <c r="C2580" s="145">
        <v>0</v>
      </c>
      <c r="D2580" s="145"/>
      <c r="E2580" s="104">
        <v>0</v>
      </c>
      <c r="F2580" s="106">
        <v>0</v>
      </c>
      <c r="G2580" s="107">
        <v>0</v>
      </c>
      <c r="H2580" s="106">
        <v>0</v>
      </c>
      <c r="I2580" s="104">
        <v>0</v>
      </c>
      <c r="J2580" s="106">
        <v>0</v>
      </c>
      <c r="K2580" s="108">
        <v>0</v>
      </c>
      <c r="L2580" s="108">
        <v>0</v>
      </c>
      <c r="M2580" s="108">
        <v>0</v>
      </c>
      <c r="N2580" s="108">
        <v>0</v>
      </c>
      <c r="O2580" s="108">
        <v>0</v>
      </c>
      <c r="P2580" s="108">
        <v>0</v>
      </c>
      <c r="Q2580" s="108">
        <v>0</v>
      </c>
      <c r="R2580" s="108">
        <v>0</v>
      </c>
      <c r="S2580" s="108">
        <v>0</v>
      </c>
      <c r="T2580" s="108">
        <v>0</v>
      </c>
      <c r="U2580" s="108">
        <v>0</v>
      </c>
      <c r="V2580" s="108">
        <v>0</v>
      </c>
    </row>
    <row r="2581" hidden="1" spans="1:22">
      <c r="A2581" s="143">
        <v>45130</v>
      </c>
      <c r="B2581" s="104" t="s">
        <v>34</v>
      </c>
      <c r="C2581" s="145">
        <v>0</v>
      </c>
      <c r="D2581" s="145"/>
      <c r="E2581" s="104">
        <v>0</v>
      </c>
      <c r="F2581" s="106">
        <v>0</v>
      </c>
      <c r="G2581" s="107">
        <v>0</v>
      </c>
      <c r="H2581" s="106">
        <v>0</v>
      </c>
      <c r="I2581" s="104">
        <v>0</v>
      </c>
      <c r="J2581" s="106">
        <v>0</v>
      </c>
      <c r="K2581" s="108">
        <v>0</v>
      </c>
      <c r="L2581" s="108">
        <v>0</v>
      </c>
      <c r="M2581" s="108">
        <v>0</v>
      </c>
      <c r="N2581" s="108">
        <v>0</v>
      </c>
      <c r="O2581" s="108">
        <v>0</v>
      </c>
      <c r="P2581" s="108">
        <v>0</v>
      </c>
      <c r="Q2581" s="108">
        <v>0</v>
      </c>
      <c r="R2581" s="108">
        <v>0</v>
      </c>
      <c r="S2581" s="108">
        <v>0</v>
      </c>
      <c r="T2581" s="108">
        <v>0</v>
      </c>
      <c r="U2581" s="108">
        <v>0</v>
      </c>
      <c r="V2581" s="108">
        <v>0</v>
      </c>
    </row>
    <row r="2582" hidden="1" spans="1:22">
      <c r="A2582" s="143">
        <v>45130</v>
      </c>
      <c r="B2582" s="104" t="s">
        <v>35</v>
      </c>
      <c r="C2582" s="145">
        <v>0</v>
      </c>
      <c r="D2582" s="145"/>
      <c r="E2582" s="104">
        <v>0</v>
      </c>
      <c r="F2582" s="106">
        <v>0</v>
      </c>
      <c r="G2582" s="107">
        <v>0</v>
      </c>
      <c r="H2582" s="106">
        <v>0</v>
      </c>
      <c r="I2582" s="104">
        <v>0</v>
      </c>
      <c r="J2582" s="106">
        <v>0</v>
      </c>
      <c r="K2582" s="108">
        <v>0</v>
      </c>
      <c r="L2582" s="108">
        <v>0</v>
      </c>
      <c r="M2582" s="108">
        <v>0</v>
      </c>
      <c r="N2582" s="108">
        <v>0</v>
      </c>
      <c r="O2582" s="108">
        <v>0</v>
      </c>
      <c r="P2582" s="108">
        <v>0</v>
      </c>
      <c r="Q2582" s="108">
        <v>0</v>
      </c>
      <c r="R2582" s="108">
        <v>0</v>
      </c>
      <c r="S2582" s="108">
        <v>0</v>
      </c>
      <c r="T2582" s="108">
        <v>0</v>
      </c>
      <c r="U2582" s="108">
        <v>0</v>
      </c>
      <c r="V2582" s="108">
        <v>0</v>
      </c>
    </row>
    <row r="2583" hidden="1" spans="1:22">
      <c r="A2583" s="143">
        <v>45130</v>
      </c>
      <c r="B2583" s="104" t="s">
        <v>36</v>
      </c>
      <c r="C2583" s="145">
        <v>0</v>
      </c>
      <c r="D2583" s="145"/>
      <c r="E2583" s="104">
        <v>0</v>
      </c>
      <c r="F2583" s="106">
        <v>0</v>
      </c>
      <c r="G2583" s="107">
        <v>0</v>
      </c>
      <c r="H2583" s="106">
        <v>0</v>
      </c>
      <c r="I2583" s="104">
        <v>0</v>
      </c>
      <c r="J2583" s="106">
        <v>0</v>
      </c>
      <c r="K2583" s="108">
        <v>0</v>
      </c>
      <c r="L2583" s="108">
        <v>0</v>
      </c>
      <c r="M2583" s="108">
        <v>0</v>
      </c>
      <c r="N2583" s="108">
        <v>0</v>
      </c>
      <c r="O2583" s="108">
        <v>0</v>
      </c>
      <c r="P2583" s="108">
        <v>0</v>
      </c>
      <c r="Q2583" s="108">
        <v>0</v>
      </c>
      <c r="R2583" s="108">
        <v>0</v>
      </c>
      <c r="S2583" s="108">
        <v>0</v>
      </c>
      <c r="T2583" s="108">
        <v>0</v>
      </c>
      <c r="U2583" s="108">
        <v>0</v>
      </c>
      <c r="V2583" s="108">
        <v>0</v>
      </c>
    </row>
    <row r="2584" hidden="1" spans="1:22">
      <c r="A2584" s="143">
        <v>45130</v>
      </c>
      <c r="B2584" s="104" t="s">
        <v>37</v>
      </c>
      <c r="C2584" s="145">
        <v>0</v>
      </c>
      <c r="D2584" s="145"/>
      <c r="E2584" s="104">
        <v>4</v>
      </c>
      <c r="F2584" s="106">
        <v>0</v>
      </c>
      <c r="G2584" s="107">
        <v>2</v>
      </c>
      <c r="H2584" s="106">
        <v>0.5</v>
      </c>
      <c r="I2584" s="104">
        <v>2</v>
      </c>
      <c r="J2584" s="106">
        <v>0.5</v>
      </c>
      <c r="K2584" s="108">
        <v>0</v>
      </c>
      <c r="L2584" s="108">
        <v>0</v>
      </c>
      <c r="M2584" s="108">
        <v>0</v>
      </c>
      <c r="N2584" s="108">
        <v>0</v>
      </c>
      <c r="O2584" s="108">
        <v>2</v>
      </c>
      <c r="P2584" s="108">
        <v>3</v>
      </c>
      <c r="Q2584" s="108">
        <v>3</v>
      </c>
      <c r="R2584" s="108">
        <v>3.28571428571429</v>
      </c>
      <c r="S2584" s="108">
        <v>1</v>
      </c>
      <c r="T2584" s="108">
        <v>1.66666666666667</v>
      </c>
      <c r="U2584" s="108">
        <v>1.8</v>
      </c>
      <c r="V2584" s="108">
        <v>1.85714285714286</v>
      </c>
    </row>
    <row r="2585" hidden="1" spans="1:22">
      <c r="A2585" s="143">
        <v>45130</v>
      </c>
      <c r="B2585" s="104" t="s">
        <v>38</v>
      </c>
      <c r="C2585" s="145">
        <v>0</v>
      </c>
      <c r="D2585" s="145"/>
      <c r="E2585" s="104">
        <v>0</v>
      </c>
      <c r="F2585" s="106">
        <v>0</v>
      </c>
      <c r="G2585" s="107">
        <v>0</v>
      </c>
      <c r="H2585" s="106">
        <v>0</v>
      </c>
      <c r="I2585" s="104">
        <v>0</v>
      </c>
      <c r="J2585" s="106">
        <v>0</v>
      </c>
      <c r="K2585" s="108">
        <v>0</v>
      </c>
      <c r="L2585" s="108">
        <v>0</v>
      </c>
      <c r="M2585" s="108">
        <v>0</v>
      </c>
      <c r="N2585" s="108">
        <v>0</v>
      </c>
      <c r="O2585" s="108">
        <v>0</v>
      </c>
      <c r="P2585" s="108">
        <v>0</v>
      </c>
      <c r="Q2585" s="108">
        <v>0</v>
      </c>
      <c r="R2585" s="108">
        <v>0</v>
      </c>
      <c r="S2585" s="108">
        <v>0</v>
      </c>
      <c r="T2585" s="108">
        <v>0</v>
      </c>
      <c r="U2585" s="108">
        <v>0</v>
      </c>
      <c r="V2585" s="108">
        <v>0</v>
      </c>
    </row>
    <row r="2586" spans="1:22">
      <c r="A2586" s="143">
        <v>45130</v>
      </c>
      <c r="B2586" s="111" t="s">
        <v>39</v>
      </c>
      <c r="C2586" s="112">
        <v>29230</v>
      </c>
      <c r="D2586" s="112">
        <v>5999</v>
      </c>
      <c r="E2586" s="112">
        <v>251</v>
      </c>
      <c r="F2586" s="106">
        <v>0.00858706808073897</v>
      </c>
      <c r="G2586" s="112">
        <v>78</v>
      </c>
      <c r="H2586" s="113">
        <v>0.310756972111554</v>
      </c>
      <c r="I2586" s="112">
        <v>67</v>
      </c>
      <c r="J2586" s="106">
        <v>0.266932270916335</v>
      </c>
      <c r="K2586" s="108">
        <v>5409</v>
      </c>
      <c r="L2586" s="108">
        <v>8655</v>
      </c>
      <c r="M2586" s="108">
        <v>9270.2</v>
      </c>
      <c r="N2586" s="108">
        <v>10285.2857142857</v>
      </c>
      <c r="O2586" s="108">
        <v>19</v>
      </c>
      <c r="P2586" s="108">
        <v>13</v>
      </c>
      <c r="Q2586" s="108">
        <v>28.2</v>
      </c>
      <c r="R2586" s="108">
        <v>29.4285714285714</v>
      </c>
      <c r="S2586" s="108">
        <v>6</v>
      </c>
      <c r="T2586" s="108">
        <v>7.66666666666667</v>
      </c>
      <c r="U2586" s="108">
        <v>10.2</v>
      </c>
      <c r="V2586" s="108">
        <v>10.1428571428571</v>
      </c>
    </row>
    <row r="2587" spans="1:22">
      <c r="A2587" s="143">
        <v>45131</v>
      </c>
      <c r="B2587" s="104" t="s">
        <v>17</v>
      </c>
      <c r="C2587" s="216">
        <v>540</v>
      </c>
      <c r="D2587" s="216">
        <v>133</v>
      </c>
      <c r="E2587" s="217">
        <v>22</v>
      </c>
      <c r="F2587" s="106">
        <v>0.0407407407407407</v>
      </c>
      <c r="G2587" s="107">
        <v>4</v>
      </c>
      <c r="H2587" s="106">
        <v>0.181818181818182</v>
      </c>
      <c r="I2587" s="104">
        <v>3</v>
      </c>
      <c r="J2587" s="106">
        <v>0.136363636363636</v>
      </c>
      <c r="K2587" s="108">
        <v>68</v>
      </c>
      <c r="L2587" s="108">
        <v>64.6666666666667</v>
      </c>
      <c r="M2587" s="108">
        <v>83.2</v>
      </c>
      <c r="N2587" s="108">
        <v>98.5714285714286</v>
      </c>
      <c r="O2587" s="108">
        <v>-1</v>
      </c>
      <c r="P2587" s="108">
        <v>2</v>
      </c>
      <c r="Q2587" s="108">
        <v>2.2</v>
      </c>
      <c r="R2587" s="108">
        <v>2.14285714285714</v>
      </c>
      <c r="S2587" s="108">
        <v>1</v>
      </c>
      <c r="T2587" s="108">
        <v>1.33333333333333</v>
      </c>
      <c r="U2587" s="108">
        <v>0</v>
      </c>
      <c r="V2587" s="108">
        <v>0.285714285714286</v>
      </c>
    </row>
    <row r="2588" spans="1:22">
      <c r="A2588" s="143">
        <v>45131</v>
      </c>
      <c r="B2588" s="104" t="s">
        <v>19</v>
      </c>
      <c r="C2588" s="216">
        <v>735</v>
      </c>
      <c r="D2588" s="216">
        <v>514</v>
      </c>
      <c r="E2588" s="217">
        <v>13</v>
      </c>
      <c r="F2588" s="106">
        <v>0.017687074829932</v>
      </c>
      <c r="G2588" s="107">
        <v>4</v>
      </c>
      <c r="H2588" s="106">
        <v>0.307692307692308</v>
      </c>
      <c r="I2588" s="104">
        <v>3</v>
      </c>
      <c r="J2588" s="106">
        <v>0.230769230769231</v>
      </c>
      <c r="K2588" s="108">
        <v>109</v>
      </c>
      <c r="L2588" s="108">
        <v>117.333333333333</v>
      </c>
      <c r="M2588" s="108">
        <v>182.6</v>
      </c>
      <c r="N2588" s="108">
        <v>199.142857142857</v>
      </c>
      <c r="O2588" s="108">
        <v>-7</v>
      </c>
      <c r="P2588" s="108">
        <v>-4</v>
      </c>
      <c r="Q2588" s="108">
        <v>-2</v>
      </c>
      <c r="R2588" s="108">
        <v>0</v>
      </c>
      <c r="S2588" s="108">
        <v>1</v>
      </c>
      <c r="T2588" s="108">
        <v>0.666666666666667</v>
      </c>
      <c r="U2588" s="108">
        <v>0.8</v>
      </c>
      <c r="V2588" s="115">
        <v>0</v>
      </c>
    </row>
    <row r="2589" spans="1:22">
      <c r="A2589" s="143">
        <v>45131</v>
      </c>
      <c r="B2589" s="104" t="s">
        <v>21</v>
      </c>
      <c r="C2589" s="218">
        <v>258</v>
      </c>
      <c r="D2589" s="218">
        <v>372</v>
      </c>
      <c r="E2589" s="217">
        <v>2</v>
      </c>
      <c r="F2589" s="106">
        <v>0.00775193798449612</v>
      </c>
      <c r="G2589" s="107">
        <v>0</v>
      </c>
      <c r="H2589" s="106">
        <v>0</v>
      </c>
      <c r="I2589" s="104">
        <v>0</v>
      </c>
      <c r="J2589" s="106">
        <v>0</v>
      </c>
      <c r="K2589" s="108">
        <v>43</v>
      </c>
      <c r="L2589" s="108">
        <v>65.6666666666667</v>
      </c>
      <c r="M2589" s="108">
        <v>99.2</v>
      </c>
      <c r="N2589" s="108">
        <v>124.142857142857</v>
      </c>
      <c r="O2589" s="108">
        <v>-2</v>
      </c>
      <c r="P2589" s="108">
        <v>-1</v>
      </c>
      <c r="Q2589" s="108">
        <v>-1.4</v>
      </c>
      <c r="R2589" s="108">
        <v>-1.42857142857143</v>
      </c>
      <c r="S2589" s="108">
        <v>-1</v>
      </c>
      <c r="T2589" s="108">
        <v>-1.66666666666667</v>
      </c>
      <c r="U2589" s="108">
        <v>-1.8</v>
      </c>
      <c r="V2589" s="108">
        <v>-2</v>
      </c>
    </row>
    <row r="2590" spans="1:22">
      <c r="A2590" s="143">
        <v>45131</v>
      </c>
      <c r="B2590" s="104" t="s">
        <v>22</v>
      </c>
      <c r="C2590" s="218">
        <v>1224</v>
      </c>
      <c r="D2590" s="218">
        <v>792</v>
      </c>
      <c r="E2590" s="217">
        <v>39</v>
      </c>
      <c r="F2590" s="106">
        <v>0.0318627450980392</v>
      </c>
      <c r="G2590" s="107">
        <v>14</v>
      </c>
      <c r="H2590" s="106">
        <v>0.358974358974359</v>
      </c>
      <c r="I2590" s="104">
        <v>8</v>
      </c>
      <c r="J2590" s="106">
        <v>0.205128205128205</v>
      </c>
      <c r="K2590" s="108">
        <v>-37</v>
      </c>
      <c r="L2590" s="108">
        <v>-184.333333333333</v>
      </c>
      <c r="M2590" s="108">
        <v>-375.8</v>
      </c>
      <c r="N2590" s="108">
        <v>-478.285714285714</v>
      </c>
      <c r="O2590" s="108">
        <v>1</v>
      </c>
      <c r="P2590" s="108">
        <v>2</v>
      </c>
      <c r="Q2590" s="108">
        <v>2.4</v>
      </c>
      <c r="R2590" s="115">
        <v>3.42857142857143</v>
      </c>
      <c r="S2590" s="108">
        <v>0</v>
      </c>
      <c r="T2590" s="108">
        <v>-1.33333333333333</v>
      </c>
      <c r="U2590" s="108">
        <v>0</v>
      </c>
      <c r="V2590" s="108">
        <v>0</v>
      </c>
    </row>
    <row r="2591" spans="1:22">
      <c r="A2591" s="143">
        <v>45131</v>
      </c>
      <c r="B2591" s="104" t="s">
        <v>23</v>
      </c>
      <c r="C2591" s="218">
        <v>2749</v>
      </c>
      <c r="D2591" s="218">
        <v>505</v>
      </c>
      <c r="E2591" s="217">
        <v>7</v>
      </c>
      <c r="F2591" s="106">
        <v>0.00254638050200073</v>
      </c>
      <c r="G2591" s="107">
        <v>5</v>
      </c>
      <c r="H2591" s="106">
        <v>0.714285714285714</v>
      </c>
      <c r="I2591" s="104">
        <v>4</v>
      </c>
      <c r="J2591" s="106">
        <v>0.571428571428571</v>
      </c>
      <c r="K2591" s="108">
        <v>-282</v>
      </c>
      <c r="L2591" s="108">
        <v>-159.333333333333</v>
      </c>
      <c r="M2591" s="108">
        <v>-91.8000000000002</v>
      </c>
      <c r="N2591" s="108">
        <v>28.7142857142858</v>
      </c>
      <c r="O2591" s="108">
        <v>-17</v>
      </c>
      <c r="P2591" s="108">
        <v>-8.66666666666667</v>
      </c>
      <c r="Q2591" s="108">
        <v>-8</v>
      </c>
      <c r="R2591" s="108">
        <v>-7.14285714285714</v>
      </c>
      <c r="S2591" s="108">
        <v>-1</v>
      </c>
      <c r="T2591" s="116">
        <v>0.666666666666667</v>
      </c>
      <c r="U2591" s="108">
        <v>1.2</v>
      </c>
      <c r="V2591" s="108">
        <v>1.28571428571429</v>
      </c>
    </row>
    <row r="2592" spans="1:22">
      <c r="A2592" s="143">
        <v>45131</v>
      </c>
      <c r="B2592" s="104" t="s">
        <v>24</v>
      </c>
      <c r="C2592" s="218">
        <v>929</v>
      </c>
      <c r="D2592" s="218">
        <v>720</v>
      </c>
      <c r="E2592" s="217">
        <v>6</v>
      </c>
      <c r="F2592" s="106">
        <v>0.00645855758880517</v>
      </c>
      <c r="G2592" s="107">
        <v>6</v>
      </c>
      <c r="H2592" s="106">
        <v>1</v>
      </c>
      <c r="I2592" s="104">
        <v>5</v>
      </c>
      <c r="J2592" s="106">
        <v>0.833333333333333</v>
      </c>
      <c r="K2592" s="108">
        <v>140</v>
      </c>
      <c r="L2592" s="108">
        <v>48.3333333333334</v>
      </c>
      <c r="M2592" s="108">
        <v>41.4</v>
      </c>
      <c r="N2592" s="108">
        <v>61.2857142857143</v>
      </c>
      <c r="O2592" s="115">
        <v>-7</v>
      </c>
      <c r="P2592" s="115">
        <v>-12</v>
      </c>
      <c r="Q2592" s="115">
        <v>-9.8</v>
      </c>
      <c r="R2592" s="115">
        <v>-8.71428571428571</v>
      </c>
      <c r="S2592" s="115">
        <v>1</v>
      </c>
      <c r="T2592" s="115">
        <v>1.33333333333333</v>
      </c>
      <c r="U2592" s="108">
        <v>0.2</v>
      </c>
      <c r="V2592" s="115">
        <v>0.714285714285714</v>
      </c>
    </row>
    <row r="2593" spans="1:22">
      <c r="A2593" s="143">
        <v>45131</v>
      </c>
      <c r="B2593" s="104" t="s">
        <v>25</v>
      </c>
      <c r="C2593" s="218">
        <v>2981</v>
      </c>
      <c r="D2593" s="218">
        <v>517</v>
      </c>
      <c r="E2593" s="217">
        <v>47</v>
      </c>
      <c r="F2593" s="106">
        <v>0.0157665213015767</v>
      </c>
      <c r="G2593" s="107">
        <v>18</v>
      </c>
      <c r="H2593" s="106">
        <v>0.382978723404255</v>
      </c>
      <c r="I2593" s="104">
        <v>17</v>
      </c>
      <c r="J2593" s="106">
        <v>0.361702127659574</v>
      </c>
      <c r="K2593" s="108">
        <v>184</v>
      </c>
      <c r="L2593" s="108">
        <v>351</v>
      </c>
      <c r="M2593" s="108">
        <v>622</v>
      </c>
      <c r="N2593" s="108">
        <v>671.857142857143</v>
      </c>
      <c r="O2593" s="115">
        <v>2</v>
      </c>
      <c r="P2593" s="115">
        <v>-1</v>
      </c>
      <c r="Q2593" s="115">
        <v>-5.6</v>
      </c>
      <c r="R2593" s="115">
        <v>-8</v>
      </c>
      <c r="S2593" s="108">
        <v>-1</v>
      </c>
      <c r="T2593" s="108">
        <v>-1</v>
      </c>
      <c r="U2593" s="108">
        <v>-2.8</v>
      </c>
      <c r="V2593" s="108">
        <v>-2.57142857142857</v>
      </c>
    </row>
    <row r="2594" spans="1:22">
      <c r="A2594" s="143">
        <v>45131</v>
      </c>
      <c r="B2594" s="104" t="s">
        <v>26</v>
      </c>
      <c r="C2594" s="218">
        <v>1287</v>
      </c>
      <c r="D2594" s="218">
        <v>1909</v>
      </c>
      <c r="E2594" s="217">
        <v>22</v>
      </c>
      <c r="F2594" s="106">
        <v>0.0170940170940171</v>
      </c>
      <c r="G2594" s="107">
        <v>7</v>
      </c>
      <c r="H2594" s="106">
        <v>0.318181818181818</v>
      </c>
      <c r="I2594" s="104">
        <v>5</v>
      </c>
      <c r="J2594" s="106">
        <v>0.227272727272727</v>
      </c>
      <c r="K2594" s="108">
        <v>35</v>
      </c>
      <c r="L2594" s="108">
        <v>43</v>
      </c>
      <c r="M2594" s="108">
        <v>12.2</v>
      </c>
      <c r="N2594" s="108">
        <v>35.8571428571429</v>
      </c>
      <c r="O2594" s="108">
        <v>-7</v>
      </c>
      <c r="P2594" s="108">
        <v>-6.66666666666667</v>
      </c>
      <c r="Q2594" s="108">
        <v>-6.2</v>
      </c>
      <c r="R2594" s="108">
        <v>-5.14285714285714</v>
      </c>
      <c r="S2594" s="108">
        <v>3</v>
      </c>
      <c r="T2594" s="108">
        <v>1.33333333333333</v>
      </c>
      <c r="U2594" s="108">
        <v>0.2</v>
      </c>
      <c r="V2594" s="108">
        <v>0.714285714285714</v>
      </c>
    </row>
    <row r="2595" spans="1:22">
      <c r="A2595" s="143">
        <v>45131</v>
      </c>
      <c r="B2595" s="104" t="s">
        <v>27</v>
      </c>
      <c r="C2595" s="218">
        <v>17429</v>
      </c>
      <c r="D2595" s="218">
        <v>952</v>
      </c>
      <c r="E2595" s="217">
        <v>50</v>
      </c>
      <c r="F2595" s="106">
        <v>0.00286878191519881</v>
      </c>
      <c r="G2595" s="107">
        <v>14</v>
      </c>
      <c r="H2595" s="106">
        <v>0.28</v>
      </c>
      <c r="I2595" s="104">
        <v>13</v>
      </c>
      <c r="J2595" s="106">
        <v>0.26</v>
      </c>
      <c r="K2595" s="108">
        <v>-1358</v>
      </c>
      <c r="L2595" s="108">
        <v>3978</v>
      </c>
      <c r="M2595" s="108">
        <v>5435</v>
      </c>
      <c r="N2595" s="108">
        <v>6297.14285714286</v>
      </c>
      <c r="O2595" s="108">
        <v>-1</v>
      </c>
      <c r="P2595" s="108">
        <v>1.33333333333334</v>
      </c>
      <c r="Q2595" s="108">
        <v>4.8</v>
      </c>
      <c r="R2595" s="108">
        <v>6.14285714285715</v>
      </c>
      <c r="S2595" s="108">
        <v>-7</v>
      </c>
      <c r="T2595" s="108">
        <v>2.33333333333333</v>
      </c>
      <c r="U2595" s="108">
        <v>3.2</v>
      </c>
      <c r="V2595" s="108">
        <v>4.28571428571429</v>
      </c>
    </row>
    <row r="2596" hidden="1" spans="1:22">
      <c r="A2596" s="143">
        <v>45131</v>
      </c>
      <c r="B2596" s="104" t="s">
        <v>28</v>
      </c>
      <c r="C2596" s="145">
        <v>0</v>
      </c>
      <c r="D2596" s="145"/>
      <c r="E2596" s="104">
        <v>0</v>
      </c>
      <c r="F2596" s="106">
        <v>0</v>
      </c>
      <c r="G2596" s="107">
        <v>0</v>
      </c>
      <c r="H2596" s="106">
        <v>0</v>
      </c>
      <c r="I2596" s="104">
        <v>0</v>
      </c>
      <c r="J2596" s="106">
        <v>0</v>
      </c>
      <c r="K2596" s="108">
        <v>0</v>
      </c>
      <c r="L2596" s="108">
        <v>0</v>
      </c>
      <c r="M2596" s="108">
        <v>0</v>
      </c>
      <c r="N2596" s="108">
        <v>0</v>
      </c>
      <c r="O2596" s="108">
        <v>0</v>
      </c>
      <c r="P2596" s="108">
        <v>0</v>
      </c>
      <c r="Q2596" s="108">
        <v>0</v>
      </c>
      <c r="R2596" s="108">
        <v>0</v>
      </c>
      <c r="S2596" s="108">
        <v>0</v>
      </c>
      <c r="T2596" s="108">
        <v>0</v>
      </c>
      <c r="U2596" s="108">
        <v>0</v>
      </c>
      <c r="V2596" s="108">
        <v>0</v>
      </c>
    </row>
    <row r="2597" hidden="1" spans="1:22">
      <c r="A2597" s="143">
        <v>45131</v>
      </c>
      <c r="B2597" s="104" t="s">
        <v>29</v>
      </c>
      <c r="C2597" s="145">
        <v>0</v>
      </c>
      <c r="D2597" s="145"/>
      <c r="E2597" s="104">
        <v>0</v>
      </c>
      <c r="F2597" s="106">
        <v>0</v>
      </c>
      <c r="G2597" s="107">
        <v>0</v>
      </c>
      <c r="H2597" s="106">
        <v>0</v>
      </c>
      <c r="I2597" s="104">
        <v>0</v>
      </c>
      <c r="J2597" s="106">
        <v>0</v>
      </c>
      <c r="K2597" s="108">
        <v>0</v>
      </c>
      <c r="L2597" s="108">
        <v>0</v>
      </c>
      <c r="M2597" s="108">
        <v>0</v>
      </c>
      <c r="N2597" s="108">
        <v>0</v>
      </c>
      <c r="O2597" s="108">
        <v>0</v>
      </c>
      <c r="P2597" s="108">
        <v>0</v>
      </c>
      <c r="Q2597" s="108">
        <v>-0.2</v>
      </c>
      <c r="R2597" s="108">
        <v>-0.142857142857143</v>
      </c>
      <c r="S2597" s="108">
        <v>0</v>
      </c>
      <c r="T2597" s="108">
        <v>0</v>
      </c>
      <c r="U2597" s="108">
        <v>0</v>
      </c>
      <c r="V2597" s="108">
        <v>0</v>
      </c>
    </row>
    <row r="2598" hidden="1" spans="1:22">
      <c r="A2598" s="143">
        <v>45131</v>
      </c>
      <c r="B2598" s="104" t="s">
        <v>30</v>
      </c>
      <c r="C2598" s="145">
        <v>0</v>
      </c>
      <c r="D2598" s="145"/>
      <c r="E2598" s="104">
        <v>0</v>
      </c>
      <c r="F2598" s="106">
        <v>0</v>
      </c>
      <c r="G2598" s="107">
        <v>0</v>
      </c>
      <c r="H2598" s="106">
        <v>0</v>
      </c>
      <c r="I2598" s="104">
        <v>0</v>
      </c>
      <c r="J2598" s="106">
        <v>0</v>
      </c>
      <c r="K2598" s="108">
        <v>0</v>
      </c>
      <c r="L2598" s="108">
        <v>0</v>
      </c>
      <c r="M2598" s="108">
        <v>0</v>
      </c>
      <c r="N2598" s="108">
        <v>0</v>
      </c>
      <c r="O2598" s="108">
        <v>0</v>
      </c>
      <c r="P2598" s="108">
        <v>0</v>
      </c>
      <c r="Q2598" s="108">
        <v>0</v>
      </c>
      <c r="R2598" s="108">
        <v>0</v>
      </c>
      <c r="S2598" s="108">
        <v>0</v>
      </c>
      <c r="T2598" s="108">
        <v>0</v>
      </c>
      <c r="U2598" s="108">
        <v>0</v>
      </c>
      <c r="V2598" s="108">
        <v>0</v>
      </c>
    </row>
    <row r="2599" hidden="1" spans="1:22">
      <c r="A2599" s="143">
        <v>45131</v>
      </c>
      <c r="B2599" s="104" t="s">
        <v>31</v>
      </c>
      <c r="C2599" s="145">
        <v>0</v>
      </c>
      <c r="D2599" s="145"/>
      <c r="E2599" s="104">
        <v>0</v>
      </c>
      <c r="F2599" s="106">
        <v>0</v>
      </c>
      <c r="G2599" s="107">
        <v>0</v>
      </c>
      <c r="H2599" s="106">
        <v>0</v>
      </c>
      <c r="I2599" s="104">
        <v>0</v>
      </c>
      <c r="J2599" s="106">
        <v>0</v>
      </c>
      <c r="K2599" s="108">
        <v>0</v>
      </c>
      <c r="L2599" s="108">
        <v>0</v>
      </c>
      <c r="M2599" s="108">
        <v>0</v>
      </c>
      <c r="N2599" s="108">
        <v>0</v>
      </c>
      <c r="O2599" s="108">
        <v>0</v>
      </c>
      <c r="P2599" s="108">
        <v>0</v>
      </c>
      <c r="Q2599" s="108">
        <v>0</v>
      </c>
      <c r="R2599" s="108">
        <v>0</v>
      </c>
      <c r="S2599" s="108">
        <v>0</v>
      </c>
      <c r="T2599" s="108">
        <v>0</v>
      </c>
      <c r="U2599" s="108">
        <v>0</v>
      </c>
      <c r="V2599" s="108">
        <v>0</v>
      </c>
    </row>
    <row r="2600" hidden="1" spans="1:22">
      <c r="A2600" s="143">
        <v>45131</v>
      </c>
      <c r="B2600" s="104" t="s">
        <v>32</v>
      </c>
      <c r="C2600" s="145">
        <v>0</v>
      </c>
      <c r="D2600" s="145"/>
      <c r="E2600" s="104">
        <v>0</v>
      </c>
      <c r="F2600" s="106">
        <v>0</v>
      </c>
      <c r="G2600" s="107">
        <v>0</v>
      </c>
      <c r="H2600" s="106">
        <v>0</v>
      </c>
      <c r="I2600" s="104">
        <v>0</v>
      </c>
      <c r="J2600" s="106">
        <v>0</v>
      </c>
      <c r="K2600" s="108">
        <v>0</v>
      </c>
      <c r="L2600" s="108">
        <v>0</v>
      </c>
      <c r="M2600" s="108">
        <v>0</v>
      </c>
      <c r="N2600" s="108">
        <v>0</v>
      </c>
      <c r="O2600" s="108">
        <v>0</v>
      </c>
      <c r="P2600" s="108">
        <v>0</v>
      </c>
      <c r="Q2600" s="108">
        <v>0</v>
      </c>
      <c r="R2600" s="108">
        <v>0</v>
      </c>
      <c r="S2600" s="108">
        <v>0</v>
      </c>
      <c r="T2600" s="108">
        <v>0</v>
      </c>
      <c r="U2600" s="108">
        <v>0</v>
      </c>
      <c r="V2600" s="108">
        <v>0</v>
      </c>
    </row>
    <row r="2601" hidden="1" spans="1:22">
      <c r="A2601" s="143">
        <v>45131</v>
      </c>
      <c r="B2601" s="104" t="s">
        <v>33</v>
      </c>
      <c r="C2601" s="145">
        <v>0</v>
      </c>
      <c r="D2601" s="145"/>
      <c r="E2601" s="104">
        <v>0</v>
      </c>
      <c r="F2601" s="106">
        <v>0</v>
      </c>
      <c r="G2601" s="107">
        <v>0</v>
      </c>
      <c r="H2601" s="106">
        <v>0</v>
      </c>
      <c r="I2601" s="104">
        <v>0</v>
      </c>
      <c r="J2601" s="106">
        <v>0</v>
      </c>
      <c r="K2601" s="108">
        <v>0</v>
      </c>
      <c r="L2601" s="108">
        <v>0</v>
      </c>
      <c r="M2601" s="108">
        <v>0</v>
      </c>
      <c r="N2601" s="108">
        <v>0</v>
      </c>
      <c r="O2601" s="108">
        <v>0</v>
      </c>
      <c r="P2601" s="108">
        <v>0</v>
      </c>
      <c r="Q2601" s="108">
        <v>0</v>
      </c>
      <c r="R2601" s="108">
        <v>0</v>
      </c>
      <c r="S2601" s="108">
        <v>0</v>
      </c>
      <c r="T2601" s="108">
        <v>0</v>
      </c>
      <c r="U2601" s="108">
        <v>0</v>
      </c>
      <c r="V2601" s="108">
        <v>0</v>
      </c>
    </row>
    <row r="2602" hidden="1" spans="1:22">
      <c r="A2602" s="143">
        <v>45131</v>
      </c>
      <c r="B2602" s="104" t="s">
        <v>34</v>
      </c>
      <c r="C2602" s="145">
        <v>0</v>
      </c>
      <c r="D2602" s="145"/>
      <c r="E2602" s="104">
        <v>0</v>
      </c>
      <c r="F2602" s="106">
        <v>0</v>
      </c>
      <c r="G2602" s="107">
        <v>0</v>
      </c>
      <c r="H2602" s="106">
        <v>0</v>
      </c>
      <c r="I2602" s="104">
        <v>0</v>
      </c>
      <c r="J2602" s="106">
        <v>0</v>
      </c>
      <c r="K2602" s="108">
        <v>0</v>
      </c>
      <c r="L2602" s="108">
        <v>0</v>
      </c>
      <c r="M2602" s="108">
        <v>0</v>
      </c>
      <c r="N2602" s="108">
        <v>0</v>
      </c>
      <c r="O2602" s="108">
        <v>0</v>
      </c>
      <c r="P2602" s="108">
        <v>0</v>
      </c>
      <c r="Q2602" s="108">
        <v>0</v>
      </c>
      <c r="R2602" s="108">
        <v>0</v>
      </c>
      <c r="S2602" s="108">
        <v>0</v>
      </c>
      <c r="T2602" s="108">
        <v>0</v>
      </c>
      <c r="U2602" s="108">
        <v>0</v>
      </c>
      <c r="V2602" s="108">
        <v>0</v>
      </c>
    </row>
    <row r="2603" hidden="1" spans="1:22">
      <c r="A2603" s="143">
        <v>45131</v>
      </c>
      <c r="B2603" s="104" t="s">
        <v>35</v>
      </c>
      <c r="C2603" s="145">
        <v>0</v>
      </c>
      <c r="D2603" s="145"/>
      <c r="E2603" s="104">
        <v>0</v>
      </c>
      <c r="F2603" s="106">
        <v>0</v>
      </c>
      <c r="G2603" s="107">
        <v>0</v>
      </c>
      <c r="H2603" s="106">
        <v>0</v>
      </c>
      <c r="I2603" s="104">
        <v>0</v>
      </c>
      <c r="J2603" s="106">
        <v>0</v>
      </c>
      <c r="K2603" s="108">
        <v>0</v>
      </c>
      <c r="L2603" s="108">
        <v>0</v>
      </c>
      <c r="M2603" s="108">
        <v>0</v>
      </c>
      <c r="N2603" s="108">
        <v>0</v>
      </c>
      <c r="O2603" s="108">
        <v>0</v>
      </c>
      <c r="P2603" s="108">
        <v>0</v>
      </c>
      <c r="Q2603" s="108">
        <v>0</v>
      </c>
      <c r="R2603" s="108">
        <v>0</v>
      </c>
      <c r="S2603" s="108">
        <v>0</v>
      </c>
      <c r="T2603" s="108">
        <v>0</v>
      </c>
      <c r="U2603" s="108">
        <v>0</v>
      </c>
      <c r="V2603" s="108">
        <v>0</v>
      </c>
    </row>
    <row r="2604" hidden="1" spans="1:22">
      <c r="A2604" s="143">
        <v>45131</v>
      </c>
      <c r="B2604" s="104" t="s">
        <v>36</v>
      </c>
      <c r="C2604" s="145">
        <v>0</v>
      </c>
      <c r="D2604" s="145"/>
      <c r="E2604" s="104">
        <v>0</v>
      </c>
      <c r="F2604" s="106">
        <v>0</v>
      </c>
      <c r="G2604" s="107">
        <v>0</v>
      </c>
      <c r="H2604" s="106">
        <v>0</v>
      </c>
      <c r="I2604" s="104">
        <v>0</v>
      </c>
      <c r="J2604" s="106">
        <v>0</v>
      </c>
      <c r="K2604" s="108">
        <v>0</v>
      </c>
      <c r="L2604" s="108">
        <v>0</v>
      </c>
      <c r="M2604" s="108">
        <v>0</v>
      </c>
      <c r="N2604" s="108">
        <v>0</v>
      </c>
      <c r="O2604" s="108">
        <v>0</v>
      </c>
      <c r="P2604" s="108">
        <v>0</v>
      </c>
      <c r="Q2604" s="108">
        <v>0</v>
      </c>
      <c r="R2604" s="108">
        <v>0</v>
      </c>
      <c r="S2604" s="108">
        <v>0</v>
      </c>
      <c r="T2604" s="108">
        <v>0</v>
      </c>
      <c r="U2604" s="108">
        <v>0</v>
      </c>
      <c r="V2604" s="108">
        <v>0</v>
      </c>
    </row>
    <row r="2605" hidden="1" spans="1:22">
      <c r="A2605" s="143">
        <v>45131</v>
      </c>
      <c r="B2605" s="104" t="s">
        <v>37</v>
      </c>
      <c r="C2605" s="145">
        <v>0</v>
      </c>
      <c r="D2605" s="145"/>
      <c r="E2605" s="104">
        <v>0</v>
      </c>
      <c r="F2605" s="106">
        <v>0</v>
      </c>
      <c r="G2605" s="107">
        <v>0</v>
      </c>
      <c r="H2605" s="106">
        <v>0</v>
      </c>
      <c r="I2605" s="104">
        <v>0</v>
      </c>
      <c r="J2605" s="106">
        <v>0</v>
      </c>
      <c r="K2605" s="108">
        <v>0</v>
      </c>
      <c r="L2605" s="108">
        <v>0</v>
      </c>
      <c r="M2605" s="108">
        <v>0</v>
      </c>
      <c r="N2605" s="108">
        <v>0</v>
      </c>
      <c r="O2605" s="108">
        <v>-4</v>
      </c>
      <c r="P2605" s="108">
        <v>-2</v>
      </c>
      <c r="Q2605" s="108">
        <v>-1.6</v>
      </c>
      <c r="R2605" s="108">
        <v>-1.28571428571429</v>
      </c>
      <c r="S2605" s="108">
        <v>-2</v>
      </c>
      <c r="T2605" s="108">
        <v>-1</v>
      </c>
      <c r="U2605" s="108">
        <v>-0.6</v>
      </c>
      <c r="V2605" s="108">
        <v>-0.428571428571429</v>
      </c>
    </row>
    <row r="2606" hidden="1" spans="1:22">
      <c r="A2606" s="143">
        <v>45131</v>
      </c>
      <c r="B2606" s="104" t="s">
        <v>38</v>
      </c>
      <c r="C2606" s="145">
        <v>0</v>
      </c>
      <c r="D2606" s="145"/>
      <c r="E2606" s="104">
        <v>0</v>
      </c>
      <c r="F2606" s="106">
        <v>0</v>
      </c>
      <c r="G2606" s="107">
        <v>0</v>
      </c>
      <c r="H2606" s="106">
        <v>0</v>
      </c>
      <c r="I2606" s="104">
        <v>0</v>
      </c>
      <c r="J2606" s="106">
        <v>0</v>
      </c>
      <c r="K2606" s="108">
        <v>0</v>
      </c>
      <c r="L2606" s="108">
        <v>0</v>
      </c>
      <c r="M2606" s="108">
        <v>0</v>
      </c>
      <c r="N2606" s="108">
        <v>0</v>
      </c>
      <c r="O2606" s="108">
        <v>0</v>
      </c>
      <c r="P2606" s="108">
        <v>0</v>
      </c>
      <c r="Q2606" s="108">
        <v>0</v>
      </c>
      <c r="R2606" s="108">
        <v>0</v>
      </c>
      <c r="S2606" s="108">
        <v>0</v>
      </c>
      <c r="T2606" s="108">
        <v>0</v>
      </c>
      <c r="U2606" s="108">
        <v>0</v>
      </c>
      <c r="V2606" s="108">
        <v>0</v>
      </c>
    </row>
    <row r="2607" spans="1:22">
      <c r="A2607" s="143">
        <v>45131</v>
      </c>
      <c r="B2607" s="111" t="s">
        <v>39</v>
      </c>
      <c r="C2607" s="112">
        <v>28132</v>
      </c>
      <c r="D2607" s="112">
        <v>6414</v>
      </c>
      <c r="E2607" s="112">
        <v>208</v>
      </c>
      <c r="F2607" s="106">
        <v>0.00739371534195933</v>
      </c>
      <c r="G2607" s="112">
        <v>72</v>
      </c>
      <c r="H2607" s="113">
        <v>0.346153846153846</v>
      </c>
      <c r="I2607" s="112">
        <v>58</v>
      </c>
      <c r="J2607" s="106">
        <v>0.278846153846154</v>
      </c>
      <c r="K2607" s="108">
        <v>-1098</v>
      </c>
      <c r="L2607" s="108">
        <v>4324.33333333333</v>
      </c>
      <c r="M2607" s="108">
        <v>6008</v>
      </c>
      <c r="N2607" s="108">
        <v>7038.42857142857</v>
      </c>
      <c r="O2607" s="108">
        <v>-43</v>
      </c>
      <c r="P2607" s="108">
        <v>-30</v>
      </c>
      <c r="Q2607" s="108">
        <v>-25.4</v>
      </c>
      <c r="R2607" s="108">
        <v>-20.5714285714286</v>
      </c>
      <c r="S2607" s="108">
        <v>-6</v>
      </c>
      <c r="T2607" s="108">
        <v>2.66666666666667</v>
      </c>
      <c r="U2607" s="108">
        <v>0.400000000000006</v>
      </c>
      <c r="V2607" s="108">
        <v>2.57142857142857</v>
      </c>
    </row>
    <row r="2608" spans="1:22">
      <c r="A2608" s="143">
        <v>45132</v>
      </c>
      <c r="B2608" s="104" t="s">
        <v>17</v>
      </c>
      <c r="C2608" s="216">
        <v>550</v>
      </c>
      <c r="D2608" s="216">
        <v>59.5</v>
      </c>
      <c r="E2608" s="217">
        <v>24</v>
      </c>
      <c r="F2608" s="106">
        <v>0.0436363636363636</v>
      </c>
      <c r="G2608" s="107">
        <v>8</v>
      </c>
      <c r="H2608" s="106">
        <v>0.333333333333333</v>
      </c>
      <c r="I2608" s="104">
        <v>8</v>
      </c>
      <c r="J2608" s="106">
        <v>0.333333333333333</v>
      </c>
      <c r="K2608" s="108">
        <v>10</v>
      </c>
      <c r="L2608" s="108">
        <v>51</v>
      </c>
      <c r="M2608" s="108">
        <v>69.6</v>
      </c>
      <c r="N2608" s="108">
        <v>85</v>
      </c>
      <c r="O2608" s="108">
        <v>2</v>
      </c>
      <c r="P2608" s="108">
        <v>3.66666666666667</v>
      </c>
      <c r="Q2608" s="108">
        <v>3</v>
      </c>
      <c r="R2608" s="108">
        <v>4.28571428571428</v>
      </c>
      <c r="S2608" s="108">
        <v>4</v>
      </c>
      <c r="T2608" s="108">
        <v>4.33333333333333</v>
      </c>
      <c r="U2608" s="108">
        <v>4.4</v>
      </c>
      <c r="V2608" s="108">
        <v>4.14285714285714</v>
      </c>
    </row>
    <row r="2609" spans="1:22">
      <c r="A2609" s="143">
        <v>45132</v>
      </c>
      <c r="B2609" s="104" t="s">
        <v>19</v>
      </c>
      <c r="C2609" s="216">
        <v>663</v>
      </c>
      <c r="D2609" s="216">
        <v>450</v>
      </c>
      <c r="E2609" s="217">
        <v>12</v>
      </c>
      <c r="F2609" s="106">
        <v>0.0180995475113122</v>
      </c>
      <c r="G2609" s="107">
        <v>4</v>
      </c>
      <c r="H2609" s="106">
        <v>0.333333333333333</v>
      </c>
      <c r="I2609" s="104">
        <v>3</v>
      </c>
      <c r="J2609" s="106">
        <v>0.25</v>
      </c>
      <c r="K2609" s="108">
        <v>-72</v>
      </c>
      <c r="L2609" s="108">
        <v>-9.66666666666663</v>
      </c>
      <c r="M2609" s="108">
        <v>38.4</v>
      </c>
      <c r="N2609" s="108">
        <v>87</v>
      </c>
      <c r="O2609" s="108">
        <v>-1</v>
      </c>
      <c r="P2609" s="108">
        <v>-3.66666666666667</v>
      </c>
      <c r="Q2609" s="108">
        <v>-4.2</v>
      </c>
      <c r="R2609" s="108">
        <v>-1.57142857142857</v>
      </c>
      <c r="S2609" s="108">
        <v>0</v>
      </c>
      <c r="T2609" s="108">
        <v>1</v>
      </c>
      <c r="U2609" s="108">
        <v>0.4</v>
      </c>
      <c r="V2609" s="115">
        <v>0.571428571428572</v>
      </c>
    </row>
    <row r="2610" spans="1:22">
      <c r="A2610" s="143">
        <v>45132</v>
      </c>
      <c r="B2610" s="104" t="s">
        <v>21</v>
      </c>
      <c r="C2610" s="218">
        <v>325</v>
      </c>
      <c r="D2610" s="218">
        <v>391</v>
      </c>
      <c r="E2610" s="217">
        <v>7</v>
      </c>
      <c r="F2610" s="106">
        <v>0.0215384615384615</v>
      </c>
      <c r="G2610" s="107">
        <v>2</v>
      </c>
      <c r="H2610" s="106">
        <v>0.285714285714286</v>
      </c>
      <c r="I2610" s="104">
        <v>2</v>
      </c>
      <c r="J2610" s="106">
        <v>0.285714285714286</v>
      </c>
      <c r="K2610" s="108">
        <v>67</v>
      </c>
      <c r="L2610" s="108">
        <v>92</v>
      </c>
      <c r="M2610" s="108">
        <v>136.2</v>
      </c>
      <c r="N2610" s="108">
        <v>162.428571428571</v>
      </c>
      <c r="O2610" s="108">
        <v>5</v>
      </c>
      <c r="P2610" s="108">
        <v>4.33333333333333</v>
      </c>
      <c r="Q2610" s="108">
        <v>4</v>
      </c>
      <c r="R2610" s="108">
        <v>3.57142857142857</v>
      </c>
      <c r="S2610" s="108">
        <v>2</v>
      </c>
      <c r="T2610" s="108">
        <v>1.33333333333333</v>
      </c>
      <c r="U2610" s="108">
        <v>0.4</v>
      </c>
      <c r="V2610" s="108">
        <v>0.285714285714286</v>
      </c>
    </row>
    <row r="2611" spans="1:22">
      <c r="A2611" s="143">
        <v>45132</v>
      </c>
      <c r="B2611" s="104" t="s">
        <v>22</v>
      </c>
      <c r="C2611" s="218">
        <v>1206</v>
      </c>
      <c r="D2611" s="218">
        <v>675</v>
      </c>
      <c r="E2611" s="217">
        <v>117</v>
      </c>
      <c r="F2611" s="106">
        <v>0.0970149253731343</v>
      </c>
      <c r="G2611" s="107">
        <v>28</v>
      </c>
      <c r="H2611" s="106">
        <v>0.239316239316239</v>
      </c>
      <c r="I2611" s="104">
        <v>24</v>
      </c>
      <c r="J2611" s="106">
        <v>0.205128205128205</v>
      </c>
      <c r="K2611" s="108">
        <v>-18</v>
      </c>
      <c r="L2611" s="108">
        <v>-95</v>
      </c>
      <c r="M2611" s="108">
        <v>-246</v>
      </c>
      <c r="N2611" s="108">
        <v>-383.571428571429</v>
      </c>
      <c r="O2611" s="108">
        <v>78</v>
      </c>
      <c r="P2611" s="108">
        <v>80.3333333333333</v>
      </c>
      <c r="Q2611" s="108">
        <v>78.2</v>
      </c>
      <c r="R2611" s="115">
        <v>81.8571428571429</v>
      </c>
      <c r="S2611" s="108">
        <v>14</v>
      </c>
      <c r="T2611" s="108">
        <v>12.3333333333333</v>
      </c>
      <c r="U2611" s="108">
        <v>13.4</v>
      </c>
      <c r="V2611" s="108">
        <v>14.5714285714286</v>
      </c>
    </row>
    <row r="2612" spans="1:22">
      <c r="A2612" s="143">
        <v>45132</v>
      </c>
      <c r="B2612" s="104" t="s">
        <v>23</v>
      </c>
      <c r="C2612" s="218">
        <v>2663</v>
      </c>
      <c r="D2612" s="218">
        <v>402</v>
      </c>
      <c r="E2612" s="217">
        <v>11</v>
      </c>
      <c r="F2612" s="106">
        <v>0.00413067968456628</v>
      </c>
      <c r="G2612" s="107">
        <v>6</v>
      </c>
      <c r="H2612" s="106">
        <v>0.545454545454545</v>
      </c>
      <c r="I2612" s="104">
        <v>5</v>
      </c>
      <c r="J2612" s="106">
        <v>0.454545454545455</v>
      </c>
      <c r="K2612" s="108">
        <v>-86</v>
      </c>
      <c r="L2612" s="108">
        <v>-248.666666666667</v>
      </c>
      <c r="M2612" s="108">
        <v>-203</v>
      </c>
      <c r="N2612" s="108">
        <v>-121.428571428572</v>
      </c>
      <c r="O2612" s="108">
        <v>4</v>
      </c>
      <c r="P2612" s="108">
        <v>-4</v>
      </c>
      <c r="Q2612" s="108">
        <v>-3.2</v>
      </c>
      <c r="R2612" s="108">
        <v>-2.42857142857143</v>
      </c>
      <c r="S2612" s="108">
        <v>1</v>
      </c>
      <c r="T2612" s="116">
        <v>0.666666666666667</v>
      </c>
      <c r="U2612" s="108">
        <v>2</v>
      </c>
      <c r="V2612" s="108">
        <v>2.14285714285714</v>
      </c>
    </row>
    <row r="2613" spans="1:22">
      <c r="A2613" s="143">
        <v>45132</v>
      </c>
      <c r="B2613" s="104" t="s">
        <v>24</v>
      </c>
      <c r="C2613" s="218">
        <v>951</v>
      </c>
      <c r="D2613" s="218">
        <v>652</v>
      </c>
      <c r="E2613" s="217">
        <v>17</v>
      </c>
      <c r="F2613" s="106">
        <v>0.017875920084122</v>
      </c>
      <c r="G2613" s="107">
        <v>6</v>
      </c>
      <c r="H2613" s="106">
        <v>0.352941176470588</v>
      </c>
      <c r="I2613" s="104">
        <v>3</v>
      </c>
      <c r="J2613" s="106">
        <v>0.176470588235294</v>
      </c>
      <c r="K2613" s="108">
        <v>22</v>
      </c>
      <c r="L2613" s="108">
        <v>57.3333333333334</v>
      </c>
      <c r="M2613" s="108">
        <v>51.8</v>
      </c>
      <c r="N2613" s="108">
        <v>66.7142857142857</v>
      </c>
      <c r="O2613" s="115">
        <v>11</v>
      </c>
      <c r="P2613" s="115">
        <v>3.66666666666667</v>
      </c>
      <c r="Q2613" s="115">
        <v>1.8</v>
      </c>
      <c r="R2613" s="115">
        <v>3.42857142857143</v>
      </c>
      <c r="S2613" s="115">
        <v>0</v>
      </c>
      <c r="T2613" s="115">
        <v>0.666666666666667</v>
      </c>
      <c r="U2613" s="115">
        <v>-0.4</v>
      </c>
      <c r="V2613" s="115">
        <v>0.142857142857143</v>
      </c>
    </row>
    <row r="2614" spans="1:22">
      <c r="A2614" s="143">
        <v>45132</v>
      </c>
      <c r="B2614" s="104" t="s">
        <v>25</v>
      </c>
      <c r="C2614" s="218">
        <v>3192</v>
      </c>
      <c r="D2614" s="218">
        <v>561</v>
      </c>
      <c r="E2614" s="217">
        <v>43</v>
      </c>
      <c r="F2614" s="106">
        <v>0.0134711779448622</v>
      </c>
      <c r="G2614" s="107">
        <v>13</v>
      </c>
      <c r="H2614" s="106">
        <v>0.302325581395349</v>
      </c>
      <c r="I2614" s="104">
        <v>11</v>
      </c>
      <c r="J2614" s="106">
        <v>0.255813953488372</v>
      </c>
      <c r="K2614" s="108">
        <v>211</v>
      </c>
      <c r="L2614" s="108">
        <v>267</v>
      </c>
      <c r="M2614" s="108">
        <v>625.2</v>
      </c>
      <c r="N2614" s="108">
        <v>784.428571428572</v>
      </c>
      <c r="O2614" s="115">
        <v>-4</v>
      </c>
      <c r="P2614" s="115">
        <v>-3</v>
      </c>
      <c r="Q2614" s="115">
        <v>-7</v>
      </c>
      <c r="R2614" s="115">
        <v>-9.42857142857143</v>
      </c>
      <c r="S2614" s="108">
        <v>-5</v>
      </c>
      <c r="T2614" s="108">
        <v>-6</v>
      </c>
      <c r="U2614" s="108">
        <v>-6.4</v>
      </c>
      <c r="V2614" s="108">
        <v>-6.57142857142857</v>
      </c>
    </row>
    <row r="2615" spans="1:22">
      <c r="A2615" s="143">
        <v>45132</v>
      </c>
      <c r="B2615" s="104" t="s">
        <v>26</v>
      </c>
      <c r="C2615" s="218">
        <v>1254</v>
      </c>
      <c r="D2615" s="218">
        <v>1773</v>
      </c>
      <c r="E2615" s="217">
        <v>34</v>
      </c>
      <c r="F2615" s="106">
        <v>0.0271132376395534</v>
      </c>
      <c r="G2615" s="107">
        <v>12</v>
      </c>
      <c r="H2615" s="106">
        <v>0.352941176470588</v>
      </c>
      <c r="I2615" s="104">
        <v>9</v>
      </c>
      <c r="J2615" s="106">
        <v>0.264705882352941</v>
      </c>
      <c r="K2615" s="108">
        <v>-33</v>
      </c>
      <c r="L2615" s="108">
        <v>-14.3333333333333</v>
      </c>
      <c r="M2615" s="108">
        <v>-13.2</v>
      </c>
      <c r="N2615" s="108">
        <v>-15.8571428571429</v>
      </c>
      <c r="O2615" s="108">
        <v>12</v>
      </c>
      <c r="P2615" s="108">
        <v>7</v>
      </c>
      <c r="Q2615" s="108">
        <v>6.2</v>
      </c>
      <c r="R2615" s="108">
        <v>7.57142857142857</v>
      </c>
      <c r="S2615" s="108">
        <v>5</v>
      </c>
      <c r="T2615" s="108">
        <v>6</v>
      </c>
      <c r="U2615" s="108">
        <v>4.8</v>
      </c>
      <c r="V2615" s="108">
        <v>5.28571428571429</v>
      </c>
    </row>
    <row r="2616" spans="1:22">
      <c r="A2616" s="143">
        <v>45132</v>
      </c>
      <c r="B2616" s="104" t="s">
        <v>27</v>
      </c>
      <c r="C2616" s="218">
        <v>15493</v>
      </c>
      <c r="D2616" s="218">
        <v>826</v>
      </c>
      <c r="E2616" s="217">
        <v>44</v>
      </c>
      <c r="F2616" s="106">
        <v>0.00283999225456658</v>
      </c>
      <c r="G2616" s="107">
        <v>15</v>
      </c>
      <c r="H2616" s="106">
        <v>0.340909090909091</v>
      </c>
      <c r="I2616" s="104">
        <v>12</v>
      </c>
      <c r="J2616" s="106">
        <v>0.272727272727273</v>
      </c>
      <c r="K2616" s="108">
        <v>-1936</v>
      </c>
      <c r="L2616" s="108">
        <v>-863.666666666666</v>
      </c>
      <c r="M2616" s="108">
        <v>2020.6</v>
      </c>
      <c r="N2616" s="108">
        <v>3180.71428571429</v>
      </c>
      <c r="O2616" s="108">
        <v>-6</v>
      </c>
      <c r="P2616" s="108">
        <v>-7.66666666666666</v>
      </c>
      <c r="Q2616" s="108">
        <v>-3</v>
      </c>
      <c r="R2616" s="108">
        <v>-1.57142857142857</v>
      </c>
      <c r="S2616" s="108">
        <v>1</v>
      </c>
      <c r="T2616" s="108">
        <v>0.666666666666666</v>
      </c>
      <c r="U2616" s="108">
        <v>3.8</v>
      </c>
      <c r="V2616" s="108">
        <v>4</v>
      </c>
    </row>
    <row r="2617" hidden="1" spans="1:22">
      <c r="A2617" s="143">
        <v>45132</v>
      </c>
      <c r="B2617" s="104" t="s">
        <v>28</v>
      </c>
      <c r="C2617" s="145">
        <v>0</v>
      </c>
      <c r="D2617" s="145"/>
      <c r="E2617" s="104">
        <v>0</v>
      </c>
      <c r="F2617" s="106">
        <v>0</v>
      </c>
      <c r="G2617" s="107">
        <v>0</v>
      </c>
      <c r="H2617" s="106">
        <v>0</v>
      </c>
      <c r="I2617" s="104">
        <v>0</v>
      </c>
      <c r="J2617" s="106">
        <v>0</v>
      </c>
      <c r="K2617" s="108">
        <v>0</v>
      </c>
      <c r="L2617" s="108">
        <v>0</v>
      </c>
      <c r="M2617" s="108">
        <v>0</v>
      </c>
      <c r="N2617" s="108">
        <v>0</v>
      </c>
      <c r="O2617" s="108">
        <v>0</v>
      </c>
      <c r="P2617" s="108">
        <v>0</v>
      </c>
      <c r="Q2617" s="108">
        <v>0</v>
      </c>
      <c r="R2617" s="108">
        <v>0</v>
      </c>
      <c r="S2617" s="108">
        <v>0</v>
      </c>
      <c r="T2617" s="108">
        <v>0</v>
      </c>
      <c r="U2617" s="108">
        <v>0</v>
      </c>
      <c r="V2617" s="108">
        <v>0</v>
      </c>
    </row>
    <row r="2618" hidden="1" spans="1:22">
      <c r="A2618" s="143">
        <v>45132</v>
      </c>
      <c r="B2618" s="104" t="s">
        <v>29</v>
      </c>
      <c r="C2618" s="145">
        <v>0</v>
      </c>
      <c r="D2618" s="145"/>
      <c r="E2618" s="104">
        <v>0</v>
      </c>
      <c r="F2618" s="106">
        <v>0</v>
      </c>
      <c r="G2618" s="107">
        <v>0</v>
      </c>
      <c r="H2618" s="106">
        <v>0</v>
      </c>
      <c r="I2618" s="104">
        <v>0</v>
      </c>
      <c r="J2618" s="106">
        <v>0</v>
      </c>
      <c r="K2618" s="108">
        <v>0</v>
      </c>
      <c r="L2618" s="108">
        <v>0</v>
      </c>
      <c r="M2618" s="108">
        <v>0</v>
      </c>
      <c r="N2618" s="108">
        <v>0</v>
      </c>
      <c r="O2618" s="108">
        <v>0</v>
      </c>
      <c r="P2618" s="108">
        <v>0</v>
      </c>
      <c r="Q2618" s="108">
        <v>0</v>
      </c>
      <c r="R2618" s="108">
        <v>-0.142857142857143</v>
      </c>
      <c r="S2618" s="108">
        <v>0</v>
      </c>
      <c r="T2618" s="108">
        <v>0</v>
      </c>
      <c r="U2618" s="108">
        <v>0</v>
      </c>
      <c r="V2618" s="108">
        <v>0</v>
      </c>
    </row>
    <row r="2619" hidden="1" spans="1:22">
      <c r="A2619" s="143">
        <v>45132</v>
      </c>
      <c r="B2619" s="104" t="s">
        <v>30</v>
      </c>
      <c r="C2619" s="145">
        <v>0</v>
      </c>
      <c r="D2619" s="145"/>
      <c r="E2619" s="104">
        <v>0</v>
      </c>
      <c r="F2619" s="106">
        <v>0</v>
      </c>
      <c r="G2619" s="107">
        <v>0</v>
      </c>
      <c r="H2619" s="106">
        <v>0</v>
      </c>
      <c r="I2619" s="104">
        <v>0</v>
      </c>
      <c r="J2619" s="106">
        <v>0</v>
      </c>
      <c r="K2619" s="108">
        <v>0</v>
      </c>
      <c r="L2619" s="108">
        <v>0</v>
      </c>
      <c r="M2619" s="108">
        <v>0</v>
      </c>
      <c r="N2619" s="108">
        <v>0</v>
      </c>
      <c r="O2619" s="108">
        <v>0</v>
      </c>
      <c r="P2619" s="108">
        <v>0</v>
      </c>
      <c r="Q2619" s="108">
        <v>0</v>
      </c>
      <c r="R2619" s="108">
        <v>0</v>
      </c>
      <c r="S2619" s="108">
        <v>0</v>
      </c>
      <c r="T2619" s="108">
        <v>0</v>
      </c>
      <c r="U2619" s="108">
        <v>0</v>
      </c>
      <c r="V2619" s="108">
        <v>0</v>
      </c>
    </row>
    <row r="2620" hidden="1" spans="1:22">
      <c r="A2620" s="143">
        <v>45132</v>
      </c>
      <c r="B2620" s="104" t="s">
        <v>31</v>
      </c>
      <c r="C2620" s="145">
        <v>0</v>
      </c>
      <c r="D2620" s="145"/>
      <c r="E2620" s="104">
        <v>0</v>
      </c>
      <c r="F2620" s="106">
        <v>0</v>
      </c>
      <c r="G2620" s="107">
        <v>0</v>
      </c>
      <c r="H2620" s="106">
        <v>0</v>
      </c>
      <c r="I2620" s="104">
        <v>0</v>
      </c>
      <c r="J2620" s="106">
        <v>0</v>
      </c>
      <c r="K2620" s="108">
        <v>0</v>
      </c>
      <c r="L2620" s="108">
        <v>0</v>
      </c>
      <c r="M2620" s="108">
        <v>0</v>
      </c>
      <c r="N2620" s="108">
        <v>0</v>
      </c>
      <c r="O2620" s="108">
        <v>0</v>
      </c>
      <c r="P2620" s="108">
        <v>0</v>
      </c>
      <c r="Q2620" s="108">
        <v>0</v>
      </c>
      <c r="R2620" s="108">
        <v>0</v>
      </c>
      <c r="S2620" s="108">
        <v>0</v>
      </c>
      <c r="T2620" s="108">
        <v>0</v>
      </c>
      <c r="U2620" s="108">
        <v>0</v>
      </c>
      <c r="V2620" s="108">
        <v>0</v>
      </c>
    </row>
    <row r="2621" hidden="1" spans="1:22">
      <c r="A2621" s="143">
        <v>45132</v>
      </c>
      <c r="B2621" s="104" t="s">
        <v>32</v>
      </c>
      <c r="C2621" s="145">
        <v>0</v>
      </c>
      <c r="D2621" s="145"/>
      <c r="E2621" s="104">
        <v>0</v>
      </c>
      <c r="F2621" s="106">
        <v>0</v>
      </c>
      <c r="G2621" s="107">
        <v>0</v>
      </c>
      <c r="H2621" s="106">
        <v>0</v>
      </c>
      <c r="I2621" s="104">
        <v>0</v>
      </c>
      <c r="J2621" s="106">
        <v>0</v>
      </c>
      <c r="K2621" s="108">
        <v>0</v>
      </c>
      <c r="L2621" s="108">
        <v>0</v>
      </c>
      <c r="M2621" s="108">
        <v>0</v>
      </c>
      <c r="N2621" s="108">
        <v>0</v>
      </c>
      <c r="O2621" s="108">
        <v>0</v>
      </c>
      <c r="P2621" s="108">
        <v>0</v>
      </c>
      <c r="Q2621" s="108">
        <v>0</v>
      </c>
      <c r="R2621" s="108">
        <v>0</v>
      </c>
      <c r="S2621" s="108">
        <v>0</v>
      </c>
      <c r="T2621" s="108">
        <v>0</v>
      </c>
      <c r="U2621" s="108">
        <v>0</v>
      </c>
      <c r="V2621" s="108">
        <v>0</v>
      </c>
    </row>
    <row r="2622" hidden="1" spans="1:22">
      <c r="A2622" s="143">
        <v>45132</v>
      </c>
      <c r="B2622" s="104" t="s">
        <v>33</v>
      </c>
      <c r="C2622" s="145">
        <v>0</v>
      </c>
      <c r="D2622" s="145"/>
      <c r="E2622" s="104">
        <v>0</v>
      </c>
      <c r="F2622" s="106">
        <v>0</v>
      </c>
      <c r="G2622" s="107">
        <v>0</v>
      </c>
      <c r="H2622" s="106">
        <v>0</v>
      </c>
      <c r="I2622" s="104">
        <v>0</v>
      </c>
      <c r="J2622" s="106">
        <v>0</v>
      </c>
      <c r="K2622" s="108">
        <v>0</v>
      </c>
      <c r="L2622" s="108">
        <v>0</v>
      </c>
      <c r="M2622" s="108">
        <v>0</v>
      </c>
      <c r="N2622" s="108">
        <v>0</v>
      </c>
      <c r="O2622" s="108">
        <v>0</v>
      </c>
      <c r="P2622" s="108">
        <v>0</v>
      </c>
      <c r="Q2622" s="108">
        <v>0</v>
      </c>
      <c r="R2622" s="108">
        <v>0</v>
      </c>
      <c r="S2622" s="108">
        <v>0</v>
      </c>
      <c r="T2622" s="108">
        <v>0</v>
      </c>
      <c r="U2622" s="108">
        <v>0</v>
      </c>
      <c r="V2622" s="108">
        <v>0</v>
      </c>
    </row>
    <row r="2623" hidden="1" spans="1:22">
      <c r="A2623" s="143">
        <v>45132</v>
      </c>
      <c r="B2623" s="104" t="s">
        <v>34</v>
      </c>
      <c r="C2623" s="145">
        <v>0</v>
      </c>
      <c r="D2623" s="145"/>
      <c r="E2623" s="104">
        <v>0</v>
      </c>
      <c r="F2623" s="106">
        <v>0</v>
      </c>
      <c r="G2623" s="107">
        <v>0</v>
      </c>
      <c r="H2623" s="106">
        <v>0</v>
      </c>
      <c r="I2623" s="104">
        <v>0</v>
      </c>
      <c r="J2623" s="106">
        <v>0</v>
      </c>
      <c r="K2623" s="108">
        <v>0</v>
      </c>
      <c r="L2623" s="108">
        <v>0</v>
      </c>
      <c r="M2623" s="108">
        <v>0</v>
      </c>
      <c r="N2623" s="108">
        <v>0</v>
      </c>
      <c r="O2623" s="108">
        <v>0</v>
      </c>
      <c r="P2623" s="108">
        <v>0</v>
      </c>
      <c r="Q2623" s="108">
        <v>0</v>
      </c>
      <c r="R2623" s="108">
        <v>0</v>
      </c>
      <c r="S2623" s="108">
        <v>0</v>
      </c>
      <c r="T2623" s="108">
        <v>0</v>
      </c>
      <c r="U2623" s="108">
        <v>0</v>
      </c>
      <c r="V2623" s="108">
        <v>0</v>
      </c>
    </row>
    <row r="2624" hidden="1" spans="1:22">
      <c r="A2624" s="143">
        <v>45132</v>
      </c>
      <c r="B2624" s="104" t="s">
        <v>35</v>
      </c>
      <c r="C2624" s="145">
        <v>0</v>
      </c>
      <c r="D2624" s="145"/>
      <c r="E2624" s="104">
        <v>0</v>
      </c>
      <c r="F2624" s="106">
        <v>0</v>
      </c>
      <c r="G2624" s="107">
        <v>0</v>
      </c>
      <c r="H2624" s="106">
        <v>0</v>
      </c>
      <c r="I2624" s="104">
        <v>0</v>
      </c>
      <c r="J2624" s="106">
        <v>0</v>
      </c>
      <c r="K2624" s="108">
        <v>0</v>
      </c>
      <c r="L2624" s="108">
        <v>0</v>
      </c>
      <c r="M2624" s="108">
        <v>0</v>
      </c>
      <c r="N2624" s="108">
        <v>0</v>
      </c>
      <c r="O2624" s="108">
        <v>0</v>
      </c>
      <c r="P2624" s="108">
        <v>0</v>
      </c>
      <c r="Q2624" s="108">
        <v>0</v>
      </c>
      <c r="R2624" s="108">
        <v>0</v>
      </c>
      <c r="S2624" s="108">
        <v>0</v>
      </c>
      <c r="T2624" s="108">
        <v>0</v>
      </c>
      <c r="U2624" s="108">
        <v>0</v>
      </c>
      <c r="V2624" s="108">
        <v>0</v>
      </c>
    </row>
    <row r="2625" hidden="1" spans="1:22">
      <c r="A2625" s="143">
        <v>45132</v>
      </c>
      <c r="B2625" s="104" t="s">
        <v>36</v>
      </c>
      <c r="C2625" s="145">
        <v>0</v>
      </c>
      <c r="D2625" s="145"/>
      <c r="E2625" s="104">
        <v>0</v>
      </c>
      <c r="F2625" s="106">
        <v>0</v>
      </c>
      <c r="G2625" s="107">
        <v>0</v>
      </c>
      <c r="H2625" s="106">
        <v>0</v>
      </c>
      <c r="I2625" s="104">
        <v>0</v>
      </c>
      <c r="J2625" s="106">
        <v>0</v>
      </c>
      <c r="K2625" s="108">
        <v>0</v>
      </c>
      <c r="L2625" s="108">
        <v>0</v>
      </c>
      <c r="M2625" s="108">
        <v>0</v>
      </c>
      <c r="N2625" s="108">
        <v>0</v>
      </c>
      <c r="O2625" s="108">
        <v>0</v>
      </c>
      <c r="P2625" s="108">
        <v>0</v>
      </c>
      <c r="Q2625" s="108">
        <v>0</v>
      </c>
      <c r="R2625" s="108">
        <v>0</v>
      </c>
      <c r="S2625" s="108">
        <v>0</v>
      </c>
      <c r="T2625" s="108">
        <v>0</v>
      </c>
      <c r="U2625" s="108">
        <v>0</v>
      </c>
      <c r="V2625" s="108">
        <v>0</v>
      </c>
    </row>
    <row r="2626" hidden="1" spans="1:22">
      <c r="A2626" s="143">
        <v>45132</v>
      </c>
      <c r="B2626" s="104" t="s">
        <v>37</v>
      </c>
      <c r="C2626" s="145">
        <v>0</v>
      </c>
      <c r="D2626" s="145"/>
      <c r="E2626" s="104">
        <v>2</v>
      </c>
      <c r="F2626" s="106">
        <v>0</v>
      </c>
      <c r="G2626" s="107">
        <v>1</v>
      </c>
      <c r="H2626" s="106">
        <v>0.5</v>
      </c>
      <c r="I2626" s="104">
        <v>1</v>
      </c>
      <c r="J2626" s="106">
        <v>0.5</v>
      </c>
      <c r="K2626" s="108">
        <v>0</v>
      </c>
      <c r="L2626" s="108">
        <v>0</v>
      </c>
      <c r="M2626" s="108">
        <v>0</v>
      </c>
      <c r="N2626" s="108">
        <v>0</v>
      </c>
      <c r="O2626" s="108">
        <v>2</v>
      </c>
      <c r="P2626" s="108">
        <v>0</v>
      </c>
      <c r="Q2626" s="108">
        <v>0.6</v>
      </c>
      <c r="R2626" s="108">
        <v>0.714285714285714</v>
      </c>
      <c r="S2626" s="108">
        <v>1</v>
      </c>
      <c r="T2626" s="108">
        <v>0</v>
      </c>
      <c r="U2626" s="108">
        <v>0.4</v>
      </c>
      <c r="V2626" s="108">
        <v>0.571428571428571</v>
      </c>
    </row>
    <row r="2627" hidden="1" spans="1:22">
      <c r="A2627" s="143">
        <v>45132</v>
      </c>
      <c r="B2627" s="104" t="s">
        <v>38</v>
      </c>
      <c r="C2627" s="145">
        <v>0</v>
      </c>
      <c r="D2627" s="145"/>
      <c r="E2627" s="104">
        <v>0</v>
      </c>
      <c r="F2627" s="106">
        <v>0</v>
      </c>
      <c r="G2627" s="107">
        <v>0</v>
      </c>
      <c r="H2627" s="106">
        <v>0</v>
      </c>
      <c r="I2627" s="104">
        <v>0</v>
      </c>
      <c r="J2627" s="106">
        <v>0</v>
      </c>
      <c r="K2627" s="108">
        <v>0</v>
      </c>
      <c r="L2627" s="108">
        <v>0</v>
      </c>
      <c r="M2627" s="108">
        <v>0</v>
      </c>
      <c r="N2627" s="108">
        <v>0</v>
      </c>
      <c r="O2627" s="108">
        <v>0</v>
      </c>
      <c r="P2627" s="108">
        <v>0</v>
      </c>
      <c r="Q2627" s="108">
        <v>0</v>
      </c>
      <c r="R2627" s="108">
        <v>0</v>
      </c>
      <c r="S2627" s="108">
        <v>0</v>
      </c>
      <c r="T2627" s="108">
        <v>0</v>
      </c>
      <c r="U2627" s="108">
        <v>0</v>
      </c>
      <c r="V2627" s="108">
        <v>0</v>
      </c>
    </row>
    <row r="2628" spans="1:22">
      <c r="A2628" s="143">
        <v>45132</v>
      </c>
      <c r="B2628" s="111" t="s">
        <v>39</v>
      </c>
      <c r="C2628" s="112">
        <v>26297</v>
      </c>
      <c r="D2628" s="112">
        <v>5789.5</v>
      </c>
      <c r="E2628" s="112">
        <v>311</v>
      </c>
      <c r="F2628" s="106">
        <v>0.0118264440810739</v>
      </c>
      <c r="G2628" s="112">
        <v>95</v>
      </c>
      <c r="H2628" s="113">
        <v>0.305466237942122</v>
      </c>
      <c r="I2628" s="112">
        <v>78</v>
      </c>
      <c r="J2628" s="106">
        <v>0.2508038585209</v>
      </c>
      <c r="K2628" s="108">
        <v>-1835</v>
      </c>
      <c r="L2628" s="108">
        <v>-764</v>
      </c>
      <c r="M2628" s="108">
        <v>2479.6</v>
      </c>
      <c r="N2628" s="108">
        <v>3845.42857142857</v>
      </c>
      <c r="O2628" s="108">
        <v>103</v>
      </c>
      <c r="P2628" s="108">
        <v>80.6666666666667</v>
      </c>
      <c r="Q2628" s="108">
        <v>76.4</v>
      </c>
      <c r="R2628" s="108">
        <v>86.2857142857143</v>
      </c>
      <c r="S2628" s="108">
        <v>23</v>
      </c>
      <c r="T2628" s="108">
        <v>21</v>
      </c>
      <c r="U2628" s="108">
        <v>22.8</v>
      </c>
      <c r="V2628" s="108">
        <v>25.1428571428571</v>
      </c>
    </row>
    <row r="2629" spans="1:22">
      <c r="A2629" s="143">
        <v>45133</v>
      </c>
      <c r="B2629" s="104" t="s">
        <v>17</v>
      </c>
      <c r="C2629" s="216">
        <v>530</v>
      </c>
      <c r="D2629" s="216">
        <v>47</v>
      </c>
      <c r="E2629" s="217">
        <v>21</v>
      </c>
      <c r="F2629" s="106">
        <v>0.039622641509434</v>
      </c>
      <c r="G2629" s="107">
        <v>8</v>
      </c>
      <c r="H2629" s="106">
        <v>0.380952380952381</v>
      </c>
      <c r="I2629" s="104">
        <v>8</v>
      </c>
      <c r="J2629" s="106">
        <v>0.380952380952381</v>
      </c>
      <c r="K2629" s="108">
        <v>-20</v>
      </c>
      <c r="L2629" s="108">
        <v>9.33333333333337</v>
      </c>
      <c r="M2629" s="108">
        <v>26.8</v>
      </c>
      <c r="N2629" s="108">
        <v>48</v>
      </c>
      <c r="O2629" s="108">
        <v>-3</v>
      </c>
      <c r="P2629" s="108">
        <v>-2</v>
      </c>
      <c r="Q2629" s="108">
        <v>0.285714285714285</v>
      </c>
      <c r="R2629" s="108">
        <v>0.285714285714285</v>
      </c>
      <c r="S2629" s="108">
        <v>0</v>
      </c>
      <c r="T2629" s="108">
        <v>3</v>
      </c>
      <c r="U2629" s="108">
        <v>4</v>
      </c>
      <c r="V2629" s="108">
        <v>3.42857142857143</v>
      </c>
    </row>
    <row r="2630" spans="1:22">
      <c r="A2630" s="143">
        <v>45133</v>
      </c>
      <c r="B2630" s="104" t="s">
        <v>19</v>
      </c>
      <c r="C2630" s="216">
        <v>701</v>
      </c>
      <c r="D2630" s="216">
        <v>511</v>
      </c>
      <c r="E2630" s="217">
        <v>16</v>
      </c>
      <c r="F2630" s="106">
        <v>0.0228245363766049</v>
      </c>
      <c r="G2630" s="107">
        <v>6</v>
      </c>
      <c r="H2630" s="106">
        <v>0.375</v>
      </c>
      <c r="I2630" s="104">
        <v>3</v>
      </c>
      <c r="J2630" s="106">
        <v>0.1875</v>
      </c>
      <c r="K2630" s="108">
        <v>38</v>
      </c>
      <c r="L2630" s="108">
        <v>26.3333333333334</v>
      </c>
      <c r="M2630" s="108">
        <v>50.8</v>
      </c>
      <c r="N2630" s="108">
        <v>106.714285714286</v>
      </c>
      <c r="O2630" s="108">
        <v>4</v>
      </c>
      <c r="P2630" s="108">
        <v>1</v>
      </c>
      <c r="Q2630" s="108">
        <v>0.800000000000001</v>
      </c>
      <c r="R2630" s="108">
        <v>1.71428571428571</v>
      </c>
      <c r="S2630" s="108">
        <v>2</v>
      </c>
      <c r="T2630" s="108">
        <v>2.33333333333333</v>
      </c>
      <c r="U2630" s="108">
        <v>2.4</v>
      </c>
      <c r="V2630" s="115">
        <v>2.57142857142857</v>
      </c>
    </row>
    <row r="2631" spans="1:22">
      <c r="A2631" s="143">
        <v>45133</v>
      </c>
      <c r="B2631" s="104" t="s">
        <v>21</v>
      </c>
      <c r="C2631" s="218">
        <v>308</v>
      </c>
      <c r="D2631" s="218">
        <v>368</v>
      </c>
      <c r="E2631" s="217">
        <v>5</v>
      </c>
      <c r="F2631" s="106">
        <v>0.0162337662337662</v>
      </c>
      <c r="G2631" s="107">
        <v>3</v>
      </c>
      <c r="H2631" s="106">
        <v>0.6</v>
      </c>
      <c r="I2631" s="104">
        <v>2</v>
      </c>
      <c r="J2631" s="106">
        <v>0.4</v>
      </c>
      <c r="K2631" s="108">
        <v>-17</v>
      </c>
      <c r="L2631" s="108">
        <v>42</v>
      </c>
      <c r="M2631" s="108">
        <v>76</v>
      </c>
      <c r="N2631" s="108">
        <v>111.285714285714</v>
      </c>
      <c r="O2631" s="108">
        <v>-2</v>
      </c>
      <c r="P2631" s="108">
        <v>0.666666666666667</v>
      </c>
      <c r="Q2631" s="108">
        <v>1.4</v>
      </c>
      <c r="R2631" s="108">
        <v>1.28571428571429</v>
      </c>
      <c r="S2631" s="108">
        <v>1</v>
      </c>
      <c r="T2631" s="108">
        <v>2</v>
      </c>
      <c r="U2631" s="108">
        <v>1.6</v>
      </c>
      <c r="V2631" s="108">
        <v>1.42857142857143</v>
      </c>
    </row>
    <row r="2632" spans="1:22">
      <c r="A2632" s="143">
        <v>45133</v>
      </c>
      <c r="B2632" s="104" t="s">
        <v>22</v>
      </c>
      <c r="C2632" s="218">
        <v>1102</v>
      </c>
      <c r="D2632" s="218">
        <v>669</v>
      </c>
      <c r="E2632" s="217">
        <v>40</v>
      </c>
      <c r="F2632" s="106">
        <v>0.0362976406533575</v>
      </c>
      <c r="G2632" s="107">
        <v>17</v>
      </c>
      <c r="H2632" s="106">
        <v>0.425</v>
      </c>
      <c r="I2632" s="104">
        <v>8</v>
      </c>
      <c r="J2632" s="106">
        <v>0.2</v>
      </c>
      <c r="K2632" s="108">
        <v>-104</v>
      </c>
      <c r="L2632" s="108">
        <v>-128.333333333333</v>
      </c>
      <c r="M2632" s="108">
        <v>-229</v>
      </c>
      <c r="N2632" s="108">
        <v>-387.857142857143</v>
      </c>
      <c r="O2632" s="108">
        <v>-77</v>
      </c>
      <c r="P2632" s="108">
        <v>-24.6666666666667</v>
      </c>
      <c r="Q2632" s="108">
        <v>-13.4</v>
      </c>
      <c r="R2632" s="115">
        <v>-8.42857142857143</v>
      </c>
      <c r="S2632" s="108">
        <v>-11</v>
      </c>
      <c r="T2632" s="108">
        <v>-1.66666666666667</v>
      </c>
      <c r="U2632" s="108">
        <v>-0.600000000000001</v>
      </c>
      <c r="V2632" s="108">
        <v>1</v>
      </c>
    </row>
    <row r="2633" spans="1:22">
      <c r="A2633" s="143">
        <v>45133</v>
      </c>
      <c r="B2633" s="104" t="s">
        <v>23</v>
      </c>
      <c r="C2633" s="218">
        <v>3001</v>
      </c>
      <c r="D2633" s="218">
        <v>349</v>
      </c>
      <c r="E2633" s="217">
        <v>6</v>
      </c>
      <c r="F2633" s="106">
        <v>0.00199933355548151</v>
      </c>
      <c r="G2633" s="107">
        <v>3</v>
      </c>
      <c r="H2633" s="106">
        <v>0.5</v>
      </c>
      <c r="I2633" s="104">
        <v>1</v>
      </c>
      <c r="J2633" s="106">
        <v>0.166666666666667</v>
      </c>
      <c r="K2633" s="108">
        <v>338</v>
      </c>
      <c r="L2633" s="108">
        <v>186.666666666667</v>
      </c>
      <c r="M2633" s="108">
        <v>173.6</v>
      </c>
      <c r="N2633" s="108">
        <v>198.714285714286</v>
      </c>
      <c r="O2633" s="108">
        <v>-5</v>
      </c>
      <c r="P2633" s="108">
        <v>-8</v>
      </c>
      <c r="Q2633" s="108">
        <v>-7</v>
      </c>
      <c r="R2633" s="108">
        <v>-7.28571428571429</v>
      </c>
      <c r="S2633" s="108">
        <v>-3</v>
      </c>
      <c r="T2633" s="116">
        <v>-2.66666666666667</v>
      </c>
      <c r="U2633" s="108">
        <v>-1.8</v>
      </c>
      <c r="V2633" s="108">
        <v>-1.28571428571429</v>
      </c>
    </row>
    <row r="2634" spans="1:22">
      <c r="A2634" s="143">
        <v>45133</v>
      </c>
      <c r="B2634" s="104" t="s">
        <v>24</v>
      </c>
      <c r="C2634" s="218">
        <v>916</v>
      </c>
      <c r="D2634" s="218">
        <v>626</v>
      </c>
      <c r="E2634" s="217">
        <v>15</v>
      </c>
      <c r="F2634" s="106">
        <v>0.0163755458515284</v>
      </c>
      <c r="G2634" s="107">
        <v>5</v>
      </c>
      <c r="H2634" s="106">
        <v>0.333333333333333</v>
      </c>
      <c r="I2634" s="104">
        <v>5</v>
      </c>
      <c r="J2634" s="106">
        <v>0.333333333333333</v>
      </c>
      <c r="K2634" s="108">
        <v>-35</v>
      </c>
      <c r="L2634" s="108">
        <v>26.3333333333334</v>
      </c>
      <c r="M2634" s="108">
        <v>11.6</v>
      </c>
      <c r="N2634" s="108">
        <v>13.4285714285714</v>
      </c>
      <c r="O2634" s="115">
        <v>-2</v>
      </c>
      <c r="P2634" s="115">
        <v>3</v>
      </c>
      <c r="Q2634" s="108">
        <v>0.285714285714285</v>
      </c>
      <c r="R2634" s="115">
        <v>0.428571428571429</v>
      </c>
      <c r="S2634" s="115">
        <v>-1</v>
      </c>
      <c r="T2634" s="115">
        <v>-0.666666666666667</v>
      </c>
      <c r="U2634" s="108">
        <v>0.285714285714285</v>
      </c>
      <c r="V2634" s="115">
        <v>-0.857142857142857</v>
      </c>
    </row>
    <row r="2635" spans="1:22">
      <c r="A2635" s="143">
        <v>45133</v>
      </c>
      <c r="B2635" s="104" t="s">
        <v>25</v>
      </c>
      <c r="C2635" s="218">
        <v>3236</v>
      </c>
      <c r="D2635" s="218">
        <v>706</v>
      </c>
      <c r="E2635" s="217">
        <v>55</v>
      </c>
      <c r="F2635" s="106">
        <v>0.0169962917181706</v>
      </c>
      <c r="G2635" s="107">
        <v>21</v>
      </c>
      <c r="H2635" s="106">
        <v>0.381818181818182</v>
      </c>
      <c r="I2635" s="104">
        <v>16</v>
      </c>
      <c r="J2635" s="106">
        <v>0.290909090909091</v>
      </c>
      <c r="K2635" s="108">
        <v>44</v>
      </c>
      <c r="L2635" s="108">
        <v>246</v>
      </c>
      <c r="M2635" s="108">
        <v>423.4</v>
      </c>
      <c r="N2635" s="108">
        <v>669.142857142857</v>
      </c>
      <c r="O2635" s="115">
        <v>12</v>
      </c>
      <c r="P2635" s="115">
        <v>10</v>
      </c>
      <c r="Q2635" s="115">
        <v>8.2</v>
      </c>
      <c r="R2635" s="115">
        <v>4.57142857142857</v>
      </c>
      <c r="S2635" s="108">
        <v>8</v>
      </c>
      <c r="T2635" s="108">
        <v>4.33333333333333</v>
      </c>
      <c r="U2635" s="108">
        <v>3.4</v>
      </c>
      <c r="V2635" s="108">
        <v>1.71428571428572</v>
      </c>
    </row>
    <row r="2636" spans="1:22">
      <c r="A2636" s="143">
        <v>45133</v>
      </c>
      <c r="B2636" s="104" t="s">
        <v>26</v>
      </c>
      <c r="C2636" s="218">
        <v>1332</v>
      </c>
      <c r="D2636" s="218">
        <v>1882</v>
      </c>
      <c r="E2636" s="217">
        <v>38</v>
      </c>
      <c r="F2636" s="106">
        <v>0.0285285285285285</v>
      </c>
      <c r="G2636" s="107">
        <v>8</v>
      </c>
      <c r="H2636" s="106">
        <v>0.210526315789474</v>
      </c>
      <c r="I2636" s="104">
        <v>5</v>
      </c>
      <c r="J2636" s="106">
        <v>0.131578947368421</v>
      </c>
      <c r="K2636" s="108">
        <v>78</v>
      </c>
      <c r="L2636" s="108">
        <v>67.6666666666667</v>
      </c>
      <c r="M2636" s="108">
        <v>77.4000000000001</v>
      </c>
      <c r="N2636" s="108">
        <v>58.4285714285713</v>
      </c>
      <c r="O2636" s="108">
        <v>4</v>
      </c>
      <c r="P2636" s="108">
        <v>9.66666666666667</v>
      </c>
      <c r="Q2636" s="108">
        <v>9.6</v>
      </c>
      <c r="R2636" s="108">
        <v>9.85714285714286</v>
      </c>
      <c r="S2636" s="108">
        <v>-4</v>
      </c>
      <c r="T2636" s="108">
        <v>0.333333333333333</v>
      </c>
      <c r="U2636" s="108">
        <v>0.8</v>
      </c>
      <c r="V2636" s="108">
        <v>0.428571428571429</v>
      </c>
    </row>
    <row r="2637" spans="1:22">
      <c r="A2637" s="143">
        <v>45133</v>
      </c>
      <c r="B2637" s="104" t="s">
        <v>27</v>
      </c>
      <c r="C2637" s="218">
        <v>13408</v>
      </c>
      <c r="D2637" s="218">
        <v>789</v>
      </c>
      <c r="E2637" s="217">
        <v>46</v>
      </c>
      <c r="F2637" s="106">
        <v>0.00343078758949881</v>
      </c>
      <c r="G2637" s="107">
        <v>14</v>
      </c>
      <c r="H2637" s="106">
        <v>0.304347826086957</v>
      </c>
      <c r="I2637" s="104">
        <v>10</v>
      </c>
      <c r="J2637" s="106">
        <v>0.217391304347826</v>
      </c>
      <c r="K2637" s="108">
        <v>-2085</v>
      </c>
      <c r="L2637" s="108">
        <v>-3828.33333333333</v>
      </c>
      <c r="M2637" s="108">
        <v>-1247</v>
      </c>
      <c r="N2637" s="108">
        <v>137.714285714286</v>
      </c>
      <c r="O2637" s="108">
        <v>2</v>
      </c>
      <c r="P2637" s="108">
        <v>-2.33333333333334</v>
      </c>
      <c r="Q2637" s="108">
        <v>-2</v>
      </c>
      <c r="R2637" s="108">
        <v>0.285714285714285</v>
      </c>
      <c r="S2637" s="108">
        <v>-1</v>
      </c>
      <c r="T2637" s="108">
        <v>-2.66666666666667</v>
      </c>
      <c r="U2637" s="108">
        <v>1.2</v>
      </c>
      <c r="V2637" s="108">
        <v>2.14285714285714</v>
      </c>
    </row>
    <row r="2638" hidden="1" spans="1:22">
      <c r="A2638" s="143">
        <v>45133</v>
      </c>
      <c r="B2638" s="104" t="s">
        <v>28</v>
      </c>
      <c r="C2638" s="145">
        <v>0</v>
      </c>
      <c r="D2638" s="145"/>
      <c r="E2638" s="104">
        <v>0</v>
      </c>
      <c r="F2638" s="106">
        <v>0</v>
      </c>
      <c r="G2638" s="107">
        <v>0</v>
      </c>
      <c r="H2638" s="106">
        <v>0</v>
      </c>
      <c r="I2638" s="104">
        <v>0</v>
      </c>
      <c r="J2638" s="106">
        <v>0</v>
      </c>
      <c r="K2638" s="108">
        <v>0</v>
      </c>
      <c r="L2638" s="108">
        <v>0</v>
      </c>
      <c r="M2638" s="108">
        <v>0</v>
      </c>
      <c r="N2638" s="108">
        <v>0</v>
      </c>
      <c r="O2638" s="108">
        <v>0</v>
      </c>
      <c r="P2638" s="108">
        <v>0</v>
      </c>
      <c r="Q2638" s="108">
        <v>0</v>
      </c>
      <c r="R2638" s="108">
        <v>0</v>
      </c>
      <c r="S2638" s="108">
        <v>0</v>
      </c>
      <c r="T2638" s="108">
        <v>0</v>
      </c>
      <c r="U2638" s="108">
        <v>0</v>
      </c>
      <c r="V2638" s="108">
        <v>0</v>
      </c>
    </row>
    <row r="2639" hidden="1" spans="1:22">
      <c r="A2639" s="143">
        <v>45133</v>
      </c>
      <c r="B2639" s="104" t="s">
        <v>29</v>
      </c>
      <c r="C2639" s="145">
        <v>0</v>
      </c>
      <c r="D2639" s="145"/>
      <c r="E2639" s="104">
        <v>0</v>
      </c>
      <c r="F2639" s="106">
        <v>0</v>
      </c>
      <c r="G2639" s="107">
        <v>0</v>
      </c>
      <c r="H2639" s="106">
        <v>0</v>
      </c>
      <c r="I2639" s="104">
        <v>0</v>
      </c>
      <c r="J2639" s="106">
        <v>0</v>
      </c>
      <c r="K2639" s="108">
        <v>0</v>
      </c>
      <c r="L2639" s="108">
        <v>0</v>
      </c>
      <c r="M2639" s="108">
        <v>0</v>
      </c>
      <c r="N2639" s="108">
        <v>0</v>
      </c>
      <c r="O2639" s="108">
        <v>0</v>
      </c>
      <c r="P2639" s="108">
        <v>0</v>
      </c>
      <c r="Q2639" s="108">
        <v>0</v>
      </c>
      <c r="R2639" s="108">
        <v>-0.142857142857143</v>
      </c>
      <c r="S2639" s="108">
        <v>0</v>
      </c>
      <c r="T2639" s="108">
        <v>0</v>
      </c>
      <c r="U2639" s="108">
        <v>0</v>
      </c>
      <c r="V2639" s="108">
        <v>0</v>
      </c>
    </row>
    <row r="2640" hidden="1" spans="1:22">
      <c r="A2640" s="143">
        <v>45133</v>
      </c>
      <c r="B2640" s="104" t="s">
        <v>30</v>
      </c>
      <c r="C2640" s="145">
        <v>0</v>
      </c>
      <c r="D2640" s="145"/>
      <c r="E2640" s="104">
        <v>0</v>
      </c>
      <c r="F2640" s="106">
        <v>0</v>
      </c>
      <c r="G2640" s="107">
        <v>0</v>
      </c>
      <c r="H2640" s="106">
        <v>0</v>
      </c>
      <c r="I2640" s="104">
        <v>0</v>
      </c>
      <c r="J2640" s="106">
        <v>0</v>
      </c>
      <c r="K2640" s="108">
        <v>0</v>
      </c>
      <c r="L2640" s="108">
        <v>0</v>
      </c>
      <c r="M2640" s="108">
        <v>0</v>
      </c>
      <c r="N2640" s="108">
        <v>0</v>
      </c>
      <c r="O2640" s="108">
        <v>0</v>
      </c>
      <c r="P2640" s="108">
        <v>0</v>
      </c>
      <c r="Q2640" s="108">
        <v>0</v>
      </c>
      <c r="R2640" s="108">
        <v>0</v>
      </c>
      <c r="S2640" s="108">
        <v>0</v>
      </c>
      <c r="T2640" s="108">
        <v>0</v>
      </c>
      <c r="U2640" s="108">
        <v>0</v>
      </c>
      <c r="V2640" s="108">
        <v>0</v>
      </c>
    </row>
    <row r="2641" hidden="1" spans="1:22">
      <c r="A2641" s="143">
        <v>45133</v>
      </c>
      <c r="B2641" s="104" t="s">
        <v>31</v>
      </c>
      <c r="C2641" s="145">
        <v>0</v>
      </c>
      <c r="D2641" s="145"/>
      <c r="E2641" s="104">
        <v>0</v>
      </c>
      <c r="F2641" s="106">
        <v>0</v>
      </c>
      <c r="G2641" s="107">
        <v>0</v>
      </c>
      <c r="H2641" s="106">
        <v>0</v>
      </c>
      <c r="I2641" s="104">
        <v>0</v>
      </c>
      <c r="J2641" s="106">
        <v>0</v>
      </c>
      <c r="K2641" s="108">
        <v>0</v>
      </c>
      <c r="L2641" s="108">
        <v>0</v>
      </c>
      <c r="M2641" s="108">
        <v>0</v>
      </c>
      <c r="N2641" s="108">
        <v>0</v>
      </c>
      <c r="O2641" s="108">
        <v>0</v>
      </c>
      <c r="P2641" s="108">
        <v>0</v>
      </c>
      <c r="Q2641" s="108">
        <v>0</v>
      </c>
      <c r="R2641" s="108">
        <v>0</v>
      </c>
      <c r="S2641" s="108">
        <v>0</v>
      </c>
      <c r="T2641" s="108">
        <v>0</v>
      </c>
      <c r="U2641" s="108">
        <v>0</v>
      </c>
      <c r="V2641" s="108">
        <v>0</v>
      </c>
    </row>
    <row r="2642" hidden="1" spans="1:22">
      <c r="A2642" s="143">
        <v>45133</v>
      </c>
      <c r="B2642" s="104" t="s">
        <v>32</v>
      </c>
      <c r="C2642" s="145">
        <v>0</v>
      </c>
      <c r="D2642" s="145"/>
      <c r="E2642" s="104">
        <v>0</v>
      </c>
      <c r="F2642" s="106">
        <v>0</v>
      </c>
      <c r="G2642" s="107">
        <v>0</v>
      </c>
      <c r="H2642" s="106">
        <v>0</v>
      </c>
      <c r="I2642" s="104">
        <v>0</v>
      </c>
      <c r="J2642" s="106">
        <v>0</v>
      </c>
      <c r="K2642" s="108">
        <v>0</v>
      </c>
      <c r="L2642" s="108">
        <v>0</v>
      </c>
      <c r="M2642" s="108">
        <v>0</v>
      </c>
      <c r="N2642" s="108">
        <v>0</v>
      </c>
      <c r="O2642" s="108">
        <v>0</v>
      </c>
      <c r="P2642" s="108">
        <v>0</v>
      </c>
      <c r="Q2642" s="108">
        <v>0</v>
      </c>
      <c r="R2642" s="108">
        <v>0</v>
      </c>
      <c r="S2642" s="108">
        <v>0</v>
      </c>
      <c r="T2642" s="108">
        <v>0</v>
      </c>
      <c r="U2642" s="108">
        <v>0</v>
      </c>
      <c r="V2642" s="108">
        <v>0</v>
      </c>
    </row>
    <row r="2643" hidden="1" spans="1:22">
      <c r="A2643" s="143">
        <v>45133</v>
      </c>
      <c r="B2643" s="104" t="s">
        <v>33</v>
      </c>
      <c r="C2643" s="145">
        <v>0</v>
      </c>
      <c r="D2643" s="145"/>
      <c r="E2643" s="104">
        <v>0</v>
      </c>
      <c r="F2643" s="106">
        <v>0</v>
      </c>
      <c r="G2643" s="107">
        <v>0</v>
      </c>
      <c r="H2643" s="106">
        <v>0</v>
      </c>
      <c r="I2643" s="104">
        <v>0</v>
      </c>
      <c r="J2643" s="106">
        <v>0</v>
      </c>
      <c r="K2643" s="108">
        <v>0</v>
      </c>
      <c r="L2643" s="108">
        <v>0</v>
      </c>
      <c r="M2643" s="108">
        <v>0</v>
      </c>
      <c r="N2643" s="108">
        <v>0</v>
      </c>
      <c r="O2643" s="108">
        <v>0</v>
      </c>
      <c r="P2643" s="108">
        <v>0</v>
      </c>
      <c r="Q2643" s="108">
        <v>0</v>
      </c>
      <c r="R2643" s="108">
        <v>0</v>
      </c>
      <c r="S2643" s="108">
        <v>0</v>
      </c>
      <c r="T2643" s="108">
        <v>0</v>
      </c>
      <c r="U2643" s="108">
        <v>0</v>
      </c>
      <c r="V2643" s="108">
        <v>0</v>
      </c>
    </row>
    <row r="2644" hidden="1" spans="1:22">
      <c r="A2644" s="143">
        <v>45133</v>
      </c>
      <c r="B2644" s="104" t="s">
        <v>34</v>
      </c>
      <c r="C2644" s="145">
        <v>0</v>
      </c>
      <c r="D2644" s="145"/>
      <c r="E2644" s="104">
        <v>0</v>
      </c>
      <c r="F2644" s="106">
        <v>0</v>
      </c>
      <c r="G2644" s="107">
        <v>0</v>
      </c>
      <c r="H2644" s="106">
        <v>0</v>
      </c>
      <c r="I2644" s="104">
        <v>0</v>
      </c>
      <c r="J2644" s="106">
        <v>0</v>
      </c>
      <c r="K2644" s="108">
        <v>0</v>
      </c>
      <c r="L2644" s="108">
        <v>0</v>
      </c>
      <c r="M2644" s="108">
        <v>0</v>
      </c>
      <c r="N2644" s="108">
        <v>0</v>
      </c>
      <c r="O2644" s="108">
        <v>0</v>
      </c>
      <c r="P2644" s="108">
        <v>0</v>
      </c>
      <c r="Q2644" s="108">
        <v>0</v>
      </c>
      <c r="R2644" s="108">
        <v>0</v>
      </c>
      <c r="S2644" s="108">
        <v>0</v>
      </c>
      <c r="T2644" s="108">
        <v>0</v>
      </c>
      <c r="U2644" s="108">
        <v>0</v>
      </c>
      <c r="V2644" s="108">
        <v>0</v>
      </c>
    </row>
    <row r="2645" hidden="1" spans="1:22">
      <c r="A2645" s="143">
        <v>45133</v>
      </c>
      <c r="B2645" s="104" t="s">
        <v>35</v>
      </c>
      <c r="C2645" s="145">
        <v>0</v>
      </c>
      <c r="D2645" s="145"/>
      <c r="E2645" s="104">
        <v>0</v>
      </c>
      <c r="F2645" s="106">
        <v>0</v>
      </c>
      <c r="G2645" s="107">
        <v>0</v>
      </c>
      <c r="H2645" s="106">
        <v>0</v>
      </c>
      <c r="I2645" s="104">
        <v>0</v>
      </c>
      <c r="J2645" s="106">
        <v>0</v>
      </c>
      <c r="K2645" s="108">
        <v>0</v>
      </c>
      <c r="L2645" s="108">
        <v>0</v>
      </c>
      <c r="M2645" s="108">
        <v>0</v>
      </c>
      <c r="N2645" s="108">
        <v>0</v>
      </c>
      <c r="O2645" s="108">
        <v>0</v>
      </c>
      <c r="P2645" s="108">
        <v>0</v>
      </c>
      <c r="Q2645" s="108">
        <v>0</v>
      </c>
      <c r="R2645" s="108">
        <v>0</v>
      </c>
      <c r="S2645" s="108">
        <v>0</v>
      </c>
      <c r="T2645" s="108">
        <v>0</v>
      </c>
      <c r="U2645" s="108">
        <v>0</v>
      </c>
      <c r="V2645" s="108">
        <v>0</v>
      </c>
    </row>
    <row r="2646" hidden="1" spans="1:22">
      <c r="A2646" s="143">
        <v>45133</v>
      </c>
      <c r="B2646" s="104" t="s">
        <v>36</v>
      </c>
      <c r="C2646" s="145">
        <v>0</v>
      </c>
      <c r="D2646" s="145"/>
      <c r="E2646" s="104">
        <v>0</v>
      </c>
      <c r="F2646" s="106">
        <v>0</v>
      </c>
      <c r="G2646" s="107">
        <v>0</v>
      </c>
      <c r="H2646" s="106">
        <v>0</v>
      </c>
      <c r="I2646" s="104">
        <v>0</v>
      </c>
      <c r="J2646" s="106">
        <v>0</v>
      </c>
      <c r="K2646" s="108">
        <v>0</v>
      </c>
      <c r="L2646" s="108">
        <v>0</v>
      </c>
      <c r="M2646" s="108">
        <v>0</v>
      </c>
      <c r="N2646" s="108">
        <v>0</v>
      </c>
      <c r="O2646" s="108">
        <v>0</v>
      </c>
      <c r="P2646" s="108">
        <v>0</v>
      </c>
      <c r="Q2646" s="108">
        <v>0</v>
      </c>
      <c r="R2646" s="108">
        <v>0</v>
      </c>
      <c r="S2646" s="108">
        <v>0</v>
      </c>
      <c r="T2646" s="108">
        <v>0</v>
      </c>
      <c r="U2646" s="108">
        <v>0</v>
      </c>
      <c r="V2646" s="108">
        <v>0</v>
      </c>
    </row>
    <row r="2647" hidden="1" spans="1:22">
      <c r="A2647" s="143">
        <v>45133</v>
      </c>
      <c r="B2647" s="104" t="s">
        <v>37</v>
      </c>
      <c r="C2647" s="145">
        <v>0</v>
      </c>
      <c r="D2647" s="145"/>
      <c r="E2647" s="104">
        <v>2</v>
      </c>
      <c r="F2647" s="106">
        <v>0</v>
      </c>
      <c r="G2647" s="107">
        <v>1</v>
      </c>
      <c r="H2647" s="106">
        <v>0.5</v>
      </c>
      <c r="I2647" s="104">
        <v>1</v>
      </c>
      <c r="J2647" s="106">
        <v>0.5</v>
      </c>
      <c r="K2647" s="108">
        <v>0</v>
      </c>
      <c r="L2647" s="108">
        <v>0</v>
      </c>
      <c r="M2647" s="108">
        <v>0</v>
      </c>
      <c r="N2647" s="108">
        <v>0</v>
      </c>
      <c r="O2647" s="108">
        <v>0</v>
      </c>
      <c r="P2647" s="108">
        <v>0</v>
      </c>
      <c r="Q2647" s="108">
        <v>0.4</v>
      </c>
      <c r="R2647" s="108">
        <v>0.571428571428571</v>
      </c>
      <c r="S2647" s="108">
        <v>0</v>
      </c>
      <c r="T2647" s="108">
        <v>0</v>
      </c>
      <c r="U2647" s="108">
        <v>0.2</v>
      </c>
      <c r="V2647" s="108">
        <v>0.428571428571429</v>
      </c>
    </row>
    <row r="2648" hidden="1" spans="1:22">
      <c r="A2648" s="143">
        <v>45133</v>
      </c>
      <c r="B2648" s="104" t="s">
        <v>38</v>
      </c>
      <c r="C2648" s="145">
        <v>0</v>
      </c>
      <c r="D2648" s="145"/>
      <c r="E2648" s="104">
        <v>0</v>
      </c>
      <c r="F2648" s="106">
        <v>0</v>
      </c>
      <c r="G2648" s="107">
        <v>0</v>
      </c>
      <c r="H2648" s="106">
        <v>0</v>
      </c>
      <c r="I2648" s="104">
        <v>0</v>
      </c>
      <c r="J2648" s="106">
        <v>0</v>
      </c>
      <c r="K2648" s="108">
        <v>0</v>
      </c>
      <c r="L2648" s="108">
        <v>0</v>
      </c>
      <c r="M2648" s="108">
        <v>0</v>
      </c>
      <c r="N2648" s="108">
        <v>0</v>
      </c>
      <c r="O2648" s="108">
        <v>0</v>
      </c>
      <c r="P2648" s="108">
        <v>0</v>
      </c>
      <c r="Q2648" s="108">
        <v>0</v>
      </c>
      <c r="R2648" s="108">
        <v>0</v>
      </c>
      <c r="S2648" s="108">
        <v>0</v>
      </c>
      <c r="T2648" s="108">
        <v>0</v>
      </c>
      <c r="U2648" s="108">
        <v>0</v>
      </c>
      <c r="V2648" s="108">
        <v>0</v>
      </c>
    </row>
    <row r="2649" spans="1:22">
      <c r="A2649" s="143">
        <v>45133</v>
      </c>
      <c r="B2649" s="111" t="s">
        <v>39</v>
      </c>
      <c r="C2649" s="112">
        <v>24534</v>
      </c>
      <c r="D2649" s="112">
        <v>5947</v>
      </c>
      <c r="E2649" s="112">
        <v>244</v>
      </c>
      <c r="F2649" s="106">
        <v>0.00994538191896959</v>
      </c>
      <c r="G2649" s="112">
        <v>86</v>
      </c>
      <c r="H2649" s="113">
        <v>0.352459016393443</v>
      </c>
      <c r="I2649" s="112">
        <v>59</v>
      </c>
      <c r="J2649" s="106">
        <v>0.241803278688525</v>
      </c>
      <c r="K2649" s="108">
        <v>-1763</v>
      </c>
      <c r="L2649" s="108">
        <v>-3352.33333333333</v>
      </c>
      <c r="M2649" s="108">
        <v>-636.400000000001</v>
      </c>
      <c r="N2649" s="108">
        <v>955.571428571428</v>
      </c>
      <c r="O2649" s="108">
        <v>-67</v>
      </c>
      <c r="P2649" s="108">
        <v>-12.6666666666667</v>
      </c>
      <c r="Q2649" s="108">
        <v>-2.59999999999999</v>
      </c>
      <c r="R2649" s="108">
        <v>3.14285714285714</v>
      </c>
      <c r="S2649" s="108">
        <v>-9</v>
      </c>
      <c r="T2649" s="108">
        <v>4.33333333333333</v>
      </c>
      <c r="U2649" s="108">
        <v>11</v>
      </c>
      <c r="V2649" s="108">
        <v>11</v>
      </c>
    </row>
    <row r="2650" spans="1:22">
      <c r="A2650" s="143">
        <v>45134</v>
      </c>
      <c r="B2650" s="104" t="s">
        <v>17</v>
      </c>
      <c r="C2650" s="216">
        <v>515</v>
      </c>
      <c r="D2650" s="216">
        <v>52.5</v>
      </c>
      <c r="E2650" s="217">
        <v>14</v>
      </c>
      <c r="F2650" s="106">
        <v>0.0271844660194175</v>
      </c>
      <c r="G2650" s="107">
        <v>5</v>
      </c>
      <c r="H2650" s="106">
        <v>0.357142857142857</v>
      </c>
      <c r="I2650" s="104">
        <v>5</v>
      </c>
      <c r="J2650" s="106">
        <v>0.357142857142857</v>
      </c>
      <c r="K2650" s="108">
        <v>-15</v>
      </c>
      <c r="L2650" s="108">
        <v>-25</v>
      </c>
      <c r="M2650" s="108">
        <v>-0.399999999999977</v>
      </c>
      <c r="N2650" s="108">
        <v>17.5714285714286</v>
      </c>
      <c r="O2650" s="108">
        <v>-7</v>
      </c>
      <c r="P2650" s="108">
        <v>-8.33333333333333</v>
      </c>
      <c r="Q2650" s="108">
        <v>-7.2</v>
      </c>
      <c r="R2650" s="108">
        <v>-7.42857142857143</v>
      </c>
      <c r="S2650" s="108">
        <v>-3</v>
      </c>
      <c r="T2650" s="108">
        <v>-1.66666666666667</v>
      </c>
      <c r="U2650" s="108">
        <v>0.142857142857143</v>
      </c>
      <c r="V2650" s="108">
        <v>0.142857142857143</v>
      </c>
    </row>
    <row r="2651" spans="1:22">
      <c r="A2651" s="143">
        <v>45134</v>
      </c>
      <c r="B2651" s="104" t="s">
        <v>19</v>
      </c>
      <c r="C2651" s="216">
        <v>692</v>
      </c>
      <c r="D2651" s="216">
        <v>503</v>
      </c>
      <c r="E2651" s="217">
        <v>17</v>
      </c>
      <c r="F2651" s="106">
        <v>0.0245664739884393</v>
      </c>
      <c r="G2651" s="107">
        <v>3</v>
      </c>
      <c r="H2651" s="106">
        <v>0.176470588235294</v>
      </c>
      <c r="I2651" s="104">
        <v>3</v>
      </c>
      <c r="J2651" s="106">
        <v>0.176470588235294</v>
      </c>
      <c r="K2651" s="108">
        <v>-9</v>
      </c>
      <c r="L2651" s="108">
        <v>-7.66666666666663</v>
      </c>
      <c r="M2651" s="108">
        <v>15.6</v>
      </c>
      <c r="N2651" s="108">
        <v>51</v>
      </c>
      <c r="O2651" s="108">
        <v>1</v>
      </c>
      <c r="P2651" s="108">
        <v>3.33333333333333</v>
      </c>
      <c r="Q2651" s="108">
        <v>2</v>
      </c>
      <c r="R2651" s="108">
        <v>1.42857142857143</v>
      </c>
      <c r="S2651" s="108">
        <v>-3</v>
      </c>
      <c r="T2651" s="108">
        <v>-1.66666666666667</v>
      </c>
      <c r="U2651" s="108">
        <v>-0.8</v>
      </c>
      <c r="V2651" s="115">
        <v>-1</v>
      </c>
    </row>
    <row r="2652" spans="1:22">
      <c r="A2652" s="143">
        <v>45134</v>
      </c>
      <c r="B2652" s="104" t="s">
        <v>21</v>
      </c>
      <c r="C2652" s="218">
        <v>304</v>
      </c>
      <c r="D2652" s="218">
        <v>0</v>
      </c>
      <c r="E2652" s="217">
        <v>8</v>
      </c>
      <c r="F2652" s="106">
        <v>0.0263157894736842</v>
      </c>
      <c r="G2652" s="107">
        <v>1</v>
      </c>
      <c r="H2652" s="106">
        <v>0.125</v>
      </c>
      <c r="I2652" s="104">
        <v>1</v>
      </c>
      <c r="J2652" s="106">
        <v>0.125</v>
      </c>
      <c r="K2652" s="108">
        <v>-4</v>
      </c>
      <c r="L2652" s="108">
        <v>7</v>
      </c>
      <c r="M2652" s="108">
        <v>37.6</v>
      </c>
      <c r="N2652" s="108">
        <v>78.7142857142857</v>
      </c>
      <c r="O2652" s="108">
        <v>3</v>
      </c>
      <c r="P2652" s="108">
        <v>3.33333333333333</v>
      </c>
      <c r="Q2652" s="108">
        <v>4</v>
      </c>
      <c r="R2652" s="108">
        <v>4.14285714285714</v>
      </c>
      <c r="S2652" s="108">
        <v>-2</v>
      </c>
      <c r="T2652" s="108">
        <v>-0.666666666666667</v>
      </c>
      <c r="U2652" s="108">
        <v>0.142857142857143</v>
      </c>
      <c r="V2652" s="108">
        <v>-0.857142857142857</v>
      </c>
    </row>
    <row r="2653" spans="1:22">
      <c r="A2653" s="143">
        <v>45134</v>
      </c>
      <c r="B2653" s="104" t="s">
        <v>22</v>
      </c>
      <c r="C2653" s="218">
        <v>1326</v>
      </c>
      <c r="D2653" s="218">
        <v>752</v>
      </c>
      <c r="E2653" s="217">
        <v>34</v>
      </c>
      <c r="F2653" s="106">
        <v>0.0256410256410256</v>
      </c>
      <c r="G2653" s="107">
        <v>13</v>
      </c>
      <c r="H2653" s="106">
        <v>0.382352941176471</v>
      </c>
      <c r="I2653" s="104">
        <v>8</v>
      </c>
      <c r="J2653" s="106">
        <v>0.235294117647059</v>
      </c>
      <c r="K2653" s="108">
        <v>224</v>
      </c>
      <c r="L2653" s="108">
        <v>148.666666666667</v>
      </c>
      <c r="M2653" s="108">
        <v>83.8</v>
      </c>
      <c r="N2653" s="108">
        <v>-40.8571428571429</v>
      </c>
      <c r="O2653" s="108">
        <v>-6</v>
      </c>
      <c r="P2653" s="108">
        <v>-31.3333333333333</v>
      </c>
      <c r="Q2653" s="108">
        <v>-19.4</v>
      </c>
      <c r="R2653" s="115">
        <v>-16.1428571428571</v>
      </c>
      <c r="S2653" s="108">
        <v>-4</v>
      </c>
      <c r="T2653" s="108">
        <v>-6.66666666666667</v>
      </c>
      <c r="U2653" s="108">
        <v>-5.4</v>
      </c>
      <c r="V2653" s="108">
        <v>-3.85714285714286</v>
      </c>
    </row>
    <row r="2654" spans="1:22">
      <c r="A2654" s="143">
        <v>45134</v>
      </c>
      <c r="B2654" s="104" t="s">
        <v>23</v>
      </c>
      <c r="C2654" s="218">
        <v>3096</v>
      </c>
      <c r="D2654" s="218">
        <v>303</v>
      </c>
      <c r="E2654" s="217">
        <v>6</v>
      </c>
      <c r="F2654" s="106">
        <v>0.00193798449612403</v>
      </c>
      <c r="G2654" s="107">
        <v>1</v>
      </c>
      <c r="H2654" s="106">
        <v>0.166666666666667</v>
      </c>
      <c r="I2654" s="104">
        <v>0</v>
      </c>
      <c r="J2654" s="106">
        <v>0</v>
      </c>
      <c r="K2654" s="108">
        <v>95</v>
      </c>
      <c r="L2654" s="108">
        <v>291.666666666667</v>
      </c>
      <c r="M2654" s="108">
        <v>216.2</v>
      </c>
      <c r="N2654" s="108">
        <v>239.714285714286</v>
      </c>
      <c r="O2654" s="108">
        <v>0</v>
      </c>
      <c r="P2654" s="108">
        <v>-2</v>
      </c>
      <c r="Q2654" s="108">
        <v>-6.4</v>
      </c>
      <c r="R2654" s="108">
        <v>-6.57142857142857</v>
      </c>
      <c r="S2654" s="108">
        <v>-2</v>
      </c>
      <c r="T2654" s="116">
        <v>-3.66666666666667</v>
      </c>
      <c r="U2654" s="108">
        <v>-4</v>
      </c>
      <c r="V2654" s="108">
        <v>-3.14285714285714</v>
      </c>
    </row>
    <row r="2655" spans="1:22">
      <c r="A2655" s="143">
        <v>45134</v>
      </c>
      <c r="B2655" s="104" t="s">
        <v>24</v>
      </c>
      <c r="C2655" s="218">
        <v>961</v>
      </c>
      <c r="D2655" s="218">
        <v>677</v>
      </c>
      <c r="E2655" s="217">
        <v>17</v>
      </c>
      <c r="F2655" s="106">
        <v>0.0176899063475546</v>
      </c>
      <c r="G2655" s="107">
        <v>3</v>
      </c>
      <c r="H2655" s="106">
        <v>0.176470588235294</v>
      </c>
      <c r="I2655" s="104">
        <v>2</v>
      </c>
      <c r="J2655" s="106">
        <v>0.117647058823529</v>
      </c>
      <c r="K2655" s="108">
        <v>45</v>
      </c>
      <c r="L2655" s="108">
        <v>29</v>
      </c>
      <c r="M2655" s="108">
        <v>51.4</v>
      </c>
      <c r="N2655" s="108">
        <v>52</v>
      </c>
      <c r="O2655" s="115">
        <v>2</v>
      </c>
      <c r="P2655" s="115">
        <v>4.33333333333333</v>
      </c>
      <c r="Q2655" s="108">
        <v>2.6</v>
      </c>
      <c r="R2655" s="115">
        <v>1.57142857142857</v>
      </c>
      <c r="S2655" s="115">
        <v>-2</v>
      </c>
      <c r="T2655" s="115">
        <v>-2.66666666666667</v>
      </c>
      <c r="U2655" s="108">
        <v>-2.4</v>
      </c>
      <c r="V2655" s="115">
        <v>-3.14285714285714</v>
      </c>
    </row>
    <row r="2656" spans="1:22">
      <c r="A2656" s="143">
        <v>45134</v>
      </c>
      <c r="B2656" s="104" t="s">
        <v>25</v>
      </c>
      <c r="C2656" s="218">
        <v>3477</v>
      </c>
      <c r="D2656" s="218">
        <v>721</v>
      </c>
      <c r="E2656" s="217">
        <v>52</v>
      </c>
      <c r="F2656" s="106">
        <v>0.0149554213402358</v>
      </c>
      <c r="G2656" s="107">
        <v>20</v>
      </c>
      <c r="H2656" s="106">
        <v>0.384615384615385</v>
      </c>
      <c r="I2656" s="104">
        <v>15</v>
      </c>
      <c r="J2656" s="106">
        <v>0.288461538461538</v>
      </c>
      <c r="K2656" s="108">
        <v>241</v>
      </c>
      <c r="L2656" s="108">
        <v>340.666666666667</v>
      </c>
      <c r="M2656" s="108">
        <v>436.4</v>
      </c>
      <c r="N2656" s="108">
        <v>725.285714285714</v>
      </c>
      <c r="O2656" s="115">
        <v>-3</v>
      </c>
      <c r="P2656" s="115">
        <v>3.66666666666666</v>
      </c>
      <c r="Q2656" s="115">
        <v>4.8</v>
      </c>
      <c r="R2656" s="115">
        <v>2.28571428571428</v>
      </c>
      <c r="S2656" s="108">
        <v>-1</v>
      </c>
      <c r="T2656" s="108">
        <v>2.66666666666667</v>
      </c>
      <c r="U2656" s="108">
        <v>1.8</v>
      </c>
      <c r="V2656" s="108">
        <v>1.28571428571428</v>
      </c>
    </row>
    <row r="2657" spans="1:22">
      <c r="A2657" s="143">
        <v>45134</v>
      </c>
      <c r="B2657" s="104" t="s">
        <v>26</v>
      </c>
      <c r="C2657" s="218">
        <v>1325</v>
      </c>
      <c r="D2657" s="218">
        <v>1790</v>
      </c>
      <c r="E2657" s="217">
        <v>29</v>
      </c>
      <c r="F2657" s="106">
        <v>0.0218867924528302</v>
      </c>
      <c r="G2657" s="107">
        <v>8</v>
      </c>
      <c r="H2657" s="106">
        <v>0.275862068965517</v>
      </c>
      <c r="I2657" s="104">
        <v>5</v>
      </c>
      <c r="J2657" s="106">
        <v>0.172413793103448</v>
      </c>
      <c r="K2657" s="108">
        <v>-7</v>
      </c>
      <c r="L2657" s="108">
        <v>34</v>
      </c>
      <c r="M2657" s="108">
        <v>46.8</v>
      </c>
      <c r="N2657" s="108">
        <v>50.4285714285713</v>
      </c>
      <c r="O2657" s="108">
        <v>-9</v>
      </c>
      <c r="P2657" s="108">
        <v>-2.33333333333333</v>
      </c>
      <c r="Q2657" s="108">
        <v>-1.6</v>
      </c>
      <c r="R2657" s="108">
        <v>-1.14285714285714</v>
      </c>
      <c r="S2657" s="108">
        <v>0</v>
      </c>
      <c r="T2657" s="108">
        <v>-1</v>
      </c>
      <c r="U2657" s="108">
        <v>0.4</v>
      </c>
      <c r="V2657" s="108">
        <v>0</v>
      </c>
    </row>
    <row r="2658" spans="1:22">
      <c r="A2658" s="143">
        <v>45134</v>
      </c>
      <c r="B2658" s="104" t="s">
        <v>27</v>
      </c>
      <c r="C2658" s="218">
        <v>10414</v>
      </c>
      <c r="D2658" s="218">
        <v>733</v>
      </c>
      <c r="E2658" s="217">
        <v>30</v>
      </c>
      <c r="F2658" s="106">
        <v>0.00288073746879201</v>
      </c>
      <c r="G2658" s="107">
        <v>7</v>
      </c>
      <c r="H2658" s="106">
        <v>0.233333333333333</v>
      </c>
      <c r="I2658" s="104">
        <v>6</v>
      </c>
      <c r="J2658" s="106">
        <v>0.2</v>
      </c>
      <c r="K2658" s="108">
        <v>-2994</v>
      </c>
      <c r="L2658" s="108">
        <v>-5029.33333333333</v>
      </c>
      <c r="M2658" s="108">
        <v>-5180.2</v>
      </c>
      <c r="N2658" s="108">
        <v>-3337.85714285714</v>
      </c>
      <c r="O2658" s="108">
        <v>-16</v>
      </c>
      <c r="P2658" s="108">
        <v>-16.6666666666667</v>
      </c>
      <c r="Q2658" s="108">
        <v>-19</v>
      </c>
      <c r="R2658" s="108">
        <v>-16.4285714285714</v>
      </c>
      <c r="S2658" s="108">
        <v>-7</v>
      </c>
      <c r="T2658" s="108">
        <v>-7.33333333333333</v>
      </c>
      <c r="U2658" s="108">
        <v>-7.4</v>
      </c>
      <c r="V2658" s="108">
        <v>-5.14285714285714</v>
      </c>
    </row>
    <row r="2659" hidden="1" spans="1:22">
      <c r="A2659" s="143">
        <v>45134</v>
      </c>
      <c r="B2659" s="104" t="s">
        <v>28</v>
      </c>
      <c r="C2659" s="145">
        <v>0</v>
      </c>
      <c r="D2659" s="145"/>
      <c r="E2659" s="104">
        <v>0</v>
      </c>
      <c r="F2659" s="106">
        <v>0</v>
      </c>
      <c r="G2659" s="107">
        <v>0</v>
      </c>
      <c r="H2659" s="106">
        <v>0</v>
      </c>
      <c r="I2659" s="104">
        <v>0</v>
      </c>
      <c r="J2659" s="106">
        <v>0</v>
      </c>
      <c r="K2659" s="108">
        <v>0</v>
      </c>
      <c r="L2659" s="108">
        <v>0</v>
      </c>
      <c r="M2659" s="108">
        <v>0</v>
      </c>
      <c r="N2659" s="108">
        <v>0</v>
      </c>
      <c r="O2659" s="108">
        <v>0</v>
      </c>
      <c r="P2659" s="108">
        <v>0</v>
      </c>
      <c r="Q2659" s="108">
        <v>0</v>
      </c>
      <c r="R2659" s="108">
        <v>0</v>
      </c>
      <c r="S2659" s="108">
        <v>0</v>
      </c>
      <c r="T2659" s="108">
        <v>0</v>
      </c>
      <c r="U2659" s="108">
        <v>0</v>
      </c>
      <c r="V2659" s="108">
        <v>0</v>
      </c>
    </row>
    <row r="2660" hidden="1" spans="1:22">
      <c r="A2660" s="143">
        <v>45134</v>
      </c>
      <c r="B2660" s="104" t="s">
        <v>29</v>
      </c>
      <c r="C2660" s="145">
        <v>0</v>
      </c>
      <c r="D2660" s="145"/>
      <c r="E2660" s="104">
        <v>0</v>
      </c>
      <c r="F2660" s="106">
        <v>0</v>
      </c>
      <c r="G2660" s="107">
        <v>0</v>
      </c>
      <c r="H2660" s="106">
        <v>0</v>
      </c>
      <c r="I2660" s="104">
        <v>0</v>
      </c>
      <c r="J2660" s="106">
        <v>0</v>
      </c>
      <c r="K2660" s="108">
        <v>0</v>
      </c>
      <c r="L2660" s="108">
        <v>0</v>
      </c>
      <c r="M2660" s="108">
        <v>0</v>
      </c>
      <c r="N2660" s="108">
        <v>0</v>
      </c>
      <c r="O2660" s="108">
        <v>0</v>
      </c>
      <c r="P2660" s="108">
        <v>0</v>
      </c>
      <c r="Q2660" s="108">
        <v>0</v>
      </c>
      <c r="R2660" s="108">
        <v>0</v>
      </c>
      <c r="S2660" s="108">
        <v>0</v>
      </c>
      <c r="T2660" s="108">
        <v>0</v>
      </c>
      <c r="U2660" s="108">
        <v>0</v>
      </c>
      <c r="V2660" s="108">
        <v>0</v>
      </c>
    </row>
    <row r="2661" hidden="1" spans="1:22">
      <c r="A2661" s="143">
        <v>45134</v>
      </c>
      <c r="B2661" s="104" t="s">
        <v>30</v>
      </c>
      <c r="C2661" s="145">
        <v>0</v>
      </c>
      <c r="D2661" s="145"/>
      <c r="E2661" s="104">
        <v>0</v>
      </c>
      <c r="F2661" s="106">
        <v>0</v>
      </c>
      <c r="G2661" s="107">
        <v>0</v>
      </c>
      <c r="H2661" s="106">
        <v>0</v>
      </c>
      <c r="I2661" s="104">
        <v>0</v>
      </c>
      <c r="J2661" s="106">
        <v>0</v>
      </c>
      <c r="K2661" s="108">
        <v>0</v>
      </c>
      <c r="L2661" s="108">
        <v>0</v>
      </c>
      <c r="M2661" s="108">
        <v>0</v>
      </c>
      <c r="N2661" s="108">
        <v>0</v>
      </c>
      <c r="O2661" s="108">
        <v>0</v>
      </c>
      <c r="P2661" s="108">
        <v>0</v>
      </c>
      <c r="Q2661" s="108">
        <v>0</v>
      </c>
      <c r="R2661" s="108">
        <v>0</v>
      </c>
      <c r="S2661" s="108">
        <v>0</v>
      </c>
      <c r="T2661" s="108">
        <v>0</v>
      </c>
      <c r="U2661" s="108">
        <v>0</v>
      </c>
      <c r="V2661" s="108">
        <v>0</v>
      </c>
    </row>
    <row r="2662" hidden="1" spans="1:22">
      <c r="A2662" s="143">
        <v>45134</v>
      </c>
      <c r="B2662" s="104" t="s">
        <v>31</v>
      </c>
      <c r="C2662" s="145">
        <v>0</v>
      </c>
      <c r="D2662" s="145"/>
      <c r="E2662" s="104">
        <v>0</v>
      </c>
      <c r="F2662" s="106">
        <v>0</v>
      </c>
      <c r="G2662" s="107">
        <v>0</v>
      </c>
      <c r="H2662" s="106">
        <v>0</v>
      </c>
      <c r="I2662" s="104">
        <v>0</v>
      </c>
      <c r="J2662" s="106">
        <v>0</v>
      </c>
      <c r="K2662" s="108">
        <v>0</v>
      </c>
      <c r="L2662" s="108">
        <v>0</v>
      </c>
      <c r="M2662" s="108">
        <v>0</v>
      </c>
      <c r="N2662" s="108">
        <v>0</v>
      </c>
      <c r="O2662" s="108">
        <v>0</v>
      </c>
      <c r="P2662" s="108">
        <v>0</v>
      </c>
      <c r="Q2662" s="108">
        <v>0</v>
      </c>
      <c r="R2662" s="108">
        <v>0</v>
      </c>
      <c r="S2662" s="108">
        <v>0</v>
      </c>
      <c r="T2662" s="108">
        <v>0</v>
      </c>
      <c r="U2662" s="108">
        <v>0</v>
      </c>
      <c r="V2662" s="108">
        <v>0</v>
      </c>
    </row>
    <row r="2663" hidden="1" spans="1:22">
      <c r="A2663" s="143">
        <v>45134</v>
      </c>
      <c r="B2663" s="104" t="s">
        <v>32</v>
      </c>
      <c r="C2663" s="145">
        <v>0</v>
      </c>
      <c r="D2663" s="145"/>
      <c r="E2663" s="104">
        <v>0</v>
      </c>
      <c r="F2663" s="106">
        <v>0</v>
      </c>
      <c r="G2663" s="107">
        <v>0</v>
      </c>
      <c r="H2663" s="106">
        <v>0</v>
      </c>
      <c r="I2663" s="104">
        <v>0</v>
      </c>
      <c r="J2663" s="106">
        <v>0</v>
      </c>
      <c r="K2663" s="108">
        <v>0</v>
      </c>
      <c r="L2663" s="108">
        <v>0</v>
      </c>
      <c r="M2663" s="108">
        <v>0</v>
      </c>
      <c r="N2663" s="108">
        <v>0</v>
      </c>
      <c r="O2663" s="108">
        <v>0</v>
      </c>
      <c r="P2663" s="108">
        <v>0</v>
      </c>
      <c r="Q2663" s="108">
        <v>0</v>
      </c>
      <c r="R2663" s="108">
        <v>0</v>
      </c>
      <c r="S2663" s="108">
        <v>0</v>
      </c>
      <c r="T2663" s="108">
        <v>0</v>
      </c>
      <c r="U2663" s="108">
        <v>0</v>
      </c>
      <c r="V2663" s="108">
        <v>0</v>
      </c>
    </row>
    <row r="2664" hidden="1" spans="1:22">
      <c r="A2664" s="143">
        <v>45134</v>
      </c>
      <c r="B2664" s="104" t="s">
        <v>33</v>
      </c>
      <c r="C2664" s="145">
        <v>0</v>
      </c>
      <c r="D2664" s="145"/>
      <c r="E2664" s="104">
        <v>0</v>
      </c>
      <c r="F2664" s="106">
        <v>0</v>
      </c>
      <c r="G2664" s="107">
        <v>0</v>
      </c>
      <c r="H2664" s="106">
        <v>0</v>
      </c>
      <c r="I2664" s="104">
        <v>0</v>
      </c>
      <c r="J2664" s="106">
        <v>0</v>
      </c>
      <c r="K2664" s="108">
        <v>0</v>
      </c>
      <c r="L2664" s="108">
        <v>0</v>
      </c>
      <c r="M2664" s="108">
        <v>0</v>
      </c>
      <c r="N2664" s="108">
        <v>0</v>
      </c>
      <c r="O2664" s="108">
        <v>0</v>
      </c>
      <c r="P2664" s="108">
        <v>0</v>
      </c>
      <c r="Q2664" s="108">
        <v>0</v>
      </c>
      <c r="R2664" s="108">
        <v>0</v>
      </c>
      <c r="S2664" s="108">
        <v>0</v>
      </c>
      <c r="T2664" s="108">
        <v>0</v>
      </c>
      <c r="U2664" s="108">
        <v>0</v>
      </c>
      <c r="V2664" s="108">
        <v>0</v>
      </c>
    </row>
    <row r="2665" hidden="1" spans="1:22">
      <c r="A2665" s="143">
        <v>45134</v>
      </c>
      <c r="B2665" s="104" t="s">
        <v>34</v>
      </c>
      <c r="C2665" s="145">
        <v>0</v>
      </c>
      <c r="D2665" s="145"/>
      <c r="E2665" s="104">
        <v>0</v>
      </c>
      <c r="F2665" s="106">
        <v>0</v>
      </c>
      <c r="G2665" s="107">
        <v>0</v>
      </c>
      <c r="H2665" s="106">
        <v>0</v>
      </c>
      <c r="I2665" s="104">
        <v>0</v>
      </c>
      <c r="J2665" s="106">
        <v>0</v>
      </c>
      <c r="K2665" s="108">
        <v>0</v>
      </c>
      <c r="L2665" s="108">
        <v>0</v>
      </c>
      <c r="M2665" s="108">
        <v>0</v>
      </c>
      <c r="N2665" s="108">
        <v>0</v>
      </c>
      <c r="O2665" s="108">
        <v>0</v>
      </c>
      <c r="P2665" s="108">
        <v>0</v>
      </c>
      <c r="Q2665" s="108">
        <v>0</v>
      </c>
      <c r="R2665" s="108">
        <v>0</v>
      </c>
      <c r="S2665" s="108">
        <v>0</v>
      </c>
      <c r="T2665" s="108">
        <v>0</v>
      </c>
      <c r="U2665" s="108">
        <v>0</v>
      </c>
      <c r="V2665" s="108">
        <v>0</v>
      </c>
    </row>
    <row r="2666" hidden="1" spans="1:22">
      <c r="A2666" s="143">
        <v>45134</v>
      </c>
      <c r="B2666" s="104" t="s">
        <v>35</v>
      </c>
      <c r="C2666" s="145">
        <v>0</v>
      </c>
      <c r="D2666" s="145"/>
      <c r="E2666" s="104">
        <v>0</v>
      </c>
      <c r="F2666" s="106">
        <v>0</v>
      </c>
      <c r="G2666" s="107">
        <v>0</v>
      </c>
      <c r="H2666" s="106">
        <v>0</v>
      </c>
      <c r="I2666" s="104">
        <v>0</v>
      </c>
      <c r="J2666" s="106">
        <v>0</v>
      </c>
      <c r="K2666" s="108">
        <v>0</v>
      </c>
      <c r="L2666" s="108">
        <v>0</v>
      </c>
      <c r="M2666" s="108">
        <v>0</v>
      </c>
      <c r="N2666" s="108">
        <v>0</v>
      </c>
      <c r="O2666" s="108">
        <v>0</v>
      </c>
      <c r="P2666" s="108">
        <v>0</v>
      </c>
      <c r="Q2666" s="108">
        <v>0</v>
      </c>
      <c r="R2666" s="108">
        <v>0</v>
      </c>
      <c r="S2666" s="108">
        <v>0</v>
      </c>
      <c r="T2666" s="108">
        <v>0</v>
      </c>
      <c r="U2666" s="108">
        <v>0</v>
      </c>
      <c r="V2666" s="108">
        <v>0</v>
      </c>
    </row>
    <row r="2667" hidden="1" spans="1:22">
      <c r="A2667" s="143">
        <v>45134</v>
      </c>
      <c r="B2667" s="104" t="s">
        <v>36</v>
      </c>
      <c r="C2667" s="145">
        <v>0</v>
      </c>
      <c r="D2667" s="145"/>
      <c r="E2667" s="104">
        <v>0</v>
      </c>
      <c r="F2667" s="106">
        <v>0</v>
      </c>
      <c r="G2667" s="107">
        <v>0</v>
      </c>
      <c r="H2667" s="106">
        <v>0</v>
      </c>
      <c r="I2667" s="104">
        <v>0</v>
      </c>
      <c r="J2667" s="106">
        <v>0</v>
      </c>
      <c r="K2667" s="108">
        <v>0</v>
      </c>
      <c r="L2667" s="108">
        <v>0</v>
      </c>
      <c r="M2667" s="108">
        <v>0</v>
      </c>
      <c r="N2667" s="108">
        <v>0</v>
      </c>
      <c r="O2667" s="108">
        <v>0</v>
      </c>
      <c r="P2667" s="108">
        <v>0</v>
      </c>
      <c r="Q2667" s="108">
        <v>0</v>
      </c>
      <c r="R2667" s="108">
        <v>0</v>
      </c>
      <c r="S2667" s="108">
        <v>0</v>
      </c>
      <c r="T2667" s="108">
        <v>0</v>
      </c>
      <c r="U2667" s="108">
        <v>0</v>
      </c>
      <c r="V2667" s="108">
        <v>0</v>
      </c>
    </row>
    <row r="2668" hidden="1" spans="1:22">
      <c r="A2668" s="143">
        <v>45134</v>
      </c>
      <c r="B2668" s="104" t="s">
        <v>37</v>
      </c>
      <c r="C2668" s="145">
        <v>0</v>
      </c>
      <c r="D2668" s="145"/>
      <c r="E2668" s="104">
        <v>0</v>
      </c>
      <c r="F2668" s="106">
        <v>0</v>
      </c>
      <c r="G2668" s="107">
        <v>0</v>
      </c>
      <c r="H2668" s="106">
        <v>0</v>
      </c>
      <c r="I2668" s="104">
        <v>0</v>
      </c>
      <c r="J2668" s="106">
        <v>0</v>
      </c>
      <c r="K2668" s="108">
        <v>0</v>
      </c>
      <c r="L2668" s="108">
        <v>0</v>
      </c>
      <c r="M2668" s="108">
        <v>0</v>
      </c>
      <c r="N2668" s="108">
        <v>0</v>
      </c>
      <c r="O2668" s="108">
        <v>-2</v>
      </c>
      <c r="P2668" s="108">
        <v>-1.33333333333333</v>
      </c>
      <c r="Q2668" s="108">
        <v>-2</v>
      </c>
      <c r="R2668" s="108">
        <v>-1.57142857142857</v>
      </c>
      <c r="S2668" s="108">
        <v>-1</v>
      </c>
      <c r="T2668" s="108">
        <v>-0.666666666666667</v>
      </c>
      <c r="U2668" s="108">
        <v>-1</v>
      </c>
      <c r="V2668" s="108">
        <v>-0.714285714285714</v>
      </c>
    </row>
    <row r="2669" hidden="1" spans="1:22">
      <c r="A2669" s="143">
        <v>45134</v>
      </c>
      <c r="B2669" s="104" t="s">
        <v>38</v>
      </c>
      <c r="C2669" s="145">
        <v>0</v>
      </c>
      <c r="D2669" s="145"/>
      <c r="E2669" s="104">
        <v>0</v>
      </c>
      <c r="F2669" s="106">
        <v>0</v>
      </c>
      <c r="G2669" s="107">
        <v>0</v>
      </c>
      <c r="H2669" s="106">
        <v>0</v>
      </c>
      <c r="I2669" s="104">
        <v>0</v>
      </c>
      <c r="J2669" s="106">
        <v>0</v>
      </c>
      <c r="K2669" s="108">
        <v>0</v>
      </c>
      <c r="L2669" s="108">
        <v>0</v>
      </c>
      <c r="M2669" s="108">
        <v>0</v>
      </c>
      <c r="N2669" s="108">
        <v>0</v>
      </c>
      <c r="O2669" s="108">
        <v>0</v>
      </c>
      <c r="P2669" s="108">
        <v>0</v>
      </c>
      <c r="Q2669" s="108">
        <v>0</v>
      </c>
      <c r="R2669" s="108">
        <v>0</v>
      </c>
      <c r="S2669" s="108">
        <v>0</v>
      </c>
      <c r="T2669" s="108">
        <v>0</v>
      </c>
      <c r="U2669" s="108">
        <v>0</v>
      </c>
      <c r="V2669" s="108">
        <v>0</v>
      </c>
    </row>
    <row r="2670" spans="1:22">
      <c r="A2670" s="143">
        <v>45134</v>
      </c>
      <c r="B2670" s="111" t="s">
        <v>39</v>
      </c>
      <c r="C2670" s="112">
        <v>22110</v>
      </c>
      <c r="D2670" s="112">
        <v>5531.5</v>
      </c>
      <c r="E2670" s="112">
        <v>207</v>
      </c>
      <c r="F2670" s="106">
        <v>0.00936227951153324</v>
      </c>
      <c r="G2670" s="112">
        <v>61</v>
      </c>
      <c r="H2670" s="113">
        <v>0.294685990338164</v>
      </c>
      <c r="I2670" s="112">
        <v>45</v>
      </c>
      <c r="J2670" s="106">
        <v>0.217391304347826</v>
      </c>
      <c r="K2670" s="108">
        <v>-2424</v>
      </c>
      <c r="L2670" s="108">
        <v>-4211</v>
      </c>
      <c r="M2670" s="108">
        <v>-4292.8</v>
      </c>
      <c r="N2670" s="108">
        <v>-2164</v>
      </c>
      <c r="O2670" s="108">
        <v>-37</v>
      </c>
      <c r="P2670" s="108">
        <v>-47.3333333333333</v>
      </c>
      <c r="Q2670" s="108">
        <v>-42.2</v>
      </c>
      <c r="R2670" s="108">
        <v>-39.8571428571429</v>
      </c>
      <c r="S2670" s="108">
        <v>-25</v>
      </c>
      <c r="T2670" s="108">
        <v>-23.3333333333333</v>
      </c>
      <c r="U2670" s="108">
        <v>-19.6</v>
      </c>
      <c r="V2670" s="108">
        <v>-16.4285714285714</v>
      </c>
    </row>
    <row r="2671" spans="1:22">
      <c r="A2671" s="143">
        <v>45135</v>
      </c>
      <c r="B2671" s="104" t="s">
        <v>17</v>
      </c>
      <c r="C2671" s="216">
        <v>508</v>
      </c>
      <c r="D2671" s="216">
        <v>45.5</v>
      </c>
      <c r="E2671" s="217">
        <v>18</v>
      </c>
      <c r="F2671" s="106">
        <v>0.0354330708661417</v>
      </c>
      <c r="G2671" s="107">
        <v>5</v>
      </c>
      <c r="H2671" s="106">
        <v>0.277777777777778</v>
      </c>
      <c r="I2671" s="104">
        <v>4</v>
      </c>
      <c r="J2671" s="106">
        <v>0.222222222222222</v>
      </c>
      <c r="K2671" s="108">
        <v>-7</v>
      </c>
      <c r="L2671" s="108">
        <v>-23.6666666666666</v>
      </c>
      <c r="M2671" s="108">
        <v>-13.4</v>
      </c>
      <c r="N2671" s="108">
        <v>-0.714285714285722</v>
      </c>
      <c r="O2671" s="108">
        <v>4</v>
      </c>
      <c r="P2671" s="108">
        <v>-1.66666666666667</v>
      </c>
      <c r="Q2671" s="108">
        <v>-2.8</v>
      </c>
      <c r="R2671" s="108">
        <v>-2.14285714285714</v>
      </c>
      <c r="S2671" s="108">
        <v>0</v>
      </c>
      <c r="T2671" s="108">
        <v>-2</v>
      </c>
      <c r="U2671" s="108">
        <v>-0.6</v>
      </c>
      <c r="V2671" s="108">
        <v>0.285714285714286</v>
      </c>
    </row>
    <row r="2672" spans="1:22">
      <c r="A2672" s="143">
        <v>45135</v>
      </c>
      <c r="B2672" s="104" t="s">
        <v>19</v>
      </c>
      <c r="C2672" s="216">
        <v>563</v>
      </c>
      <c r="D2672" s="216">
        <v>439</v>
      </c>
      <c r="E2672" s="217">
        <v>13</v>
      </c>
      <c r="F2672" s="106">
        <v>0.0230905861456483</v>
      </c>
      <c r="G2672" s="107">
        <v>4</v>
      </c>
      <c r="H2672" s="106">
        <v>0.307692307692308</v>
      </c>
      <c r="I2672" s="104">
        <v>2</v>
      </c>
      <c r="J2672" s="106">
        <v>0.153846153846154</v>
      </c>
      <c r="K2672" s="108">
        <v>-129</v>
      </c>
      <c r="L2672" s="108">
        <v>-122.333333333333</v>
      </c>
      <c r="M2672" s="108">
        <v>-120.4</v>
      </c>
      <c r="N2672" s="108">
        <v>-100.428571428571</v>
      </c>
      <c r="O2672" s="108">
        <v>-4</v>
      </c>
      <c r="P2672" s="108">
        <v>-2</v>
      </c>
      <c r="Q2672" s="108">
        <v>-2.6</v>
      </c>
      <c r="R2672" s="108">
        <v>-2.57142857142857</v>
      </c>
      <c r="S2672" s="108">
        <v>1</v>
      </c>
      <c r="T2672" s="108">
        <v>0</v>
      </c>
      <c r="U2672" s="108">
        <v>0</v>
      </c>
      <c r="V2672" s="115">
        <v>0.142857142857143</v>
      </c>
    </row>
    <row r="2673" spans="1:22">
      <c r="A2673" s="143">
        <v>45135</v>
      </c>
      <c r="B2673" s="104" t="s">
        <v>21</v>
      </c>
      <c r="C2673" s="218">
        <v>266</v>
      </c>
      <c r="D2673" s="218">
        <v>0</v>
      </c>
      <c r="E2673" s="217">
        <v>4</v>
      </c>
      <c r="F2673" s="106">
        <v>0.0150375939849624</v>
      </c>
      <c r="G2673" s="107">
        <v>3</v>
      </c>
      <c r="H2673" s="106">
        <v>0.75</v>
      </c>
      <c r="I2673" s="104">
        <v>2</v>
      </c>
      <c r="J2673" s="106">
        <v>0.5</v>
      </c>
      <c r="K2673" s="108">
        <v>-38</v>
      </c>
      <c r="L2673" s="108">
        <v>-46.3333333333333</v>
      </c>
      <c r="M2673" s="108">
        <v>-16</v>
      </c>
      <c r="N2673" s="108">
        <v>12.8571428571429</v>
      </c>
      <c r="O2673" s="108">
        <v>-4</v>
      </c>
      <c r="P2673" s="108">
        <v>-2.66666666666667</v>
      </c>
      <c r="Q2673" s="108">
        <v>-1.2</v>
      </c>
      <c r="R2673" s="108">
        <v>-0.428571428571429</v>
      </c>
      <c r="S2673" s="108">
        <v>2</v>
      </c>
      <c r="T2673" s="108">
        <v>1</v>
      </c>
      <c r="U2673" s="108">
        <v>1.6</v>
      </c>
      <c r="V2673" s="108">
        <v>1.42857142857143</v>
      </c>
    </row>
    <row r="2674" spans="1:22">
      <c r="A2674" s="143">
        <v>45135</v>
      </c>
      <c r="B2674" s="104" t="s">
        <v>22</v>
      </c>
      <c r="C2674" s="218">
        <v>1260</v>
      </c>
      <c r="D2674" s="218">
        <v>734</v>
      </c>
      <c r="E2674" s="217">
        <v>33</v>
      </c>
      <c r="F2674" s="106">
        <v>0.0261904761904762</v>
      </c>
      <c r="G2674" s="107">
        <v>10</v>
      </c>
      <c r="H2674" s="106">
        <v>0.303030303030303</v>
      </c>
      <c r="I2674" s="104">
        <v>7</v>
      </c>
      <c r="J2674" s="106">
        <v>0.212121212121212</v>
      </c>
      <c r="K2674" s="108">
        <v>-66</v>
      </c>
      <c r="L2674" s="108">
        <v>48.6666666666667</v>
      </c>
      <c r="M2674" s="108">
        <v>36.2</v>
      </c>
      <c r="N2674" s="108">
        <v>-37.5714285714287</v>
      </c>
      <c r="O2674" s="108">
        <v>-1</v>
      </c>
      <c r="P2674" s="108">
        <v>-30.6666666666667</v>
      </c>
      <c r="Q2674" s="108">
        <v>-20.6</v>
      </c>
      <c r="R2674" s="115">
        <v>-15.7142857142857</v>
      </c>
      <c r="S2674" s="108">
        <v>-3</v>
      </c>
      <c r="T2674" s="108">
        <v>-9.33333333333333</v>
      </c>
      <c r="U2674" s="108">
        <v>-7.2</v>
      </c>
      <c r="V2674" s="108">
        <v>-6.85714285714286</v>
      </c>
    </row>
    <row r="2675" spans="1:22">
      <c r="A2675" s="143">
        <v>45135</v>
      </c>
      <c r="B2675" s="104" t="s">
        <v>23</v>
      </c>
      <c r="C2675" s="218">
        <v>3361</v>
      </c>
      <c r="D2675" s="218">
        <v>248</v>
      </c>
      <c r="E2675" s="217">
        <v>8</v>
      </c>
      <c r="F2675" s="106">
        <v>0.00238024397500744</v>
      </c>
      <c r="G2675" s="107">
        <v>3</v>
      </c>
      <c r="H2675" s="106">
        <v>0.375</v>
      </c>
      <c r="I2675" s="104">
        <v>2</v>
      </c>
      <c r="J2675" s="106">
        <v>0.25</v>
      </c>
      <c r="K2675" s="108">
        <v>265</v>
      </c>
      <c r="L2675" s="108">
        <v>441</v>
      </c>
      <c r="M2675" s="108">
        <v>453</v>
      </c>
      <c r="N2675" s="108">
        <v>470.428571428572</v>
      </c>
      <c r="O2675" s="108">
        <v>2</v>
      </c>
      <c r="P2675" s="108">
        <v>0.333333333333333</v>
      </c>
      <c r="Q2675" s="108">
        <v>-2.8</v>
      </c>
      <c r="R2675" s="108">
        <v>-3</v>
      </c>
      <c r="S2675" s="108">
        <v>2</v>
      </c>
      <c r="T2675" s="115">
        <v>0.333333333333333</v>
      </c>
      <c r="U2675" s="108">
        <v>-1.2</v>
      </c>
      <c r="V2675" s="108">
        <v>-1</v>
      </c>
    </row>
    <row r="2676" spans="1:22">
      <c r="A2676" s="143">
        <v>45135</v>
      </c>
      <c r="B2676" s="104" t="s">
        <v>24</v>
      </c>
      <c r="C2676" s="218">
        <v>919</v>
      </c>
      <c r="D2676" s="218">
        <v>664</v>
      </c>
      <c r="E2676" s="217">
        <v>18</v>
      </c>
      <c r="F2676" s="106">
        <v>0.0195865070729053</v>
      </c>
      <c r="G2676" s="107">
        <v>5</v>
      </c>
      <c r="H2676" s="106">
        <v>0.277777777777778</v>
      </c>
      <c r="I2676" s="104">
        <v>5</v>
      </c>
      <c r="J2676" s="106">
        <v>0.277777777777778</v>
      </c>
      <c r="K2676" s="108">
        <v>-42</v>
      </c>
      <c r="L2676" s="108">
        <v>-23.6666666666666</v>
      </c>
      <c r="M2676" s="108">
        <v>9.79999999999995</v>
      </c>
      <c r="N2676" s="108">
        <v>4.85714285714289</v>
      </c>
      <c r="O2676" s="115">
        <v>1</v>
      </c>
      <c r="P2676" s="115">
        <v>1.66666666666667</v>
      </c>
      <c r="Q2676" s="108">
        <v>4.4</v>
      </c>
      <c r="R2676" s="115">
        <v>2.42857142857143</v>
      </c>
      <c r="S2676" s="115">
        <v>2</v>
      </c>
      <c r="T2676" s="115">
        <v>0.333333333333333</v>
      </c>
      <c r="U2676" s="108">
        <v>0</v>
      </c>
      <c r="V2676" s="115">
        <v>0.142857142857143</v>
      </c>
    </row>
    <row r="2677" spans="1:22">
      <c r="A2677" s="143">
        <v>45135</v>
      </c>
      <c r="B2677" s="104" t="s">
        <v>25</v>
      </c>
      <c r="C2677" s="218">
        <v>3941</v>
      </c>
      <c r="D2677" s="218">
        <v>737</v>
      </c>
      <c r="E2677" s="217">
        <v>61</v>
      </c>
      <c r="F2677" s="106">
        <v>0.0154783049987313</v>
      </c>
      <c r="G2677" s="107">
        <v>21</v>
      </c>
      <c r="H2677" s="106">
        <v>0.344262295081967</v>
      </c>
      <c r="I2677" s="104">
        <v>17</v>
      </c>
      <c r="J2677" s="106">
        <v>0.278688524590164</v>
      </c>
      <c r="K2677" s="108">
        <v>464</v>
      </c>
      <c r="L2677" s="108">
        <v>639.333333333333</v>
      </c>
      <c r="M2677" s="108">
        <v>804.4</v>
      </c>
      <c r="N2677" s="108">
        <v>973</v>
      </c>
      <c r="O2677" s="115">
        <v>9</v>
      </c>
      <c r="P2677" s="115">
        <v>11</v>
      </c>
      <c r="Q2677" s="115">
        <v>12.6</v>
      </c>
      <c r="R2677" s="115">
        <v>12.2857142857143</v>
      </c>
      <c r="S2677" s="108">
        <v>1</v>
      </c>
      <c r="T2677" s="108">
        <v>3</v>
      </c>
      <c r="U2677" s="108">
        <v>2.8</v>
      </c>
      <c r="V2677" s="108">
        <v>2.57142857142857</v>
      </c>
    </row>
    <row r="2678" spans="1:22">
      <c r="A2678" s="143">
        <v>45135</v>
      </c>
      <c r="B2678" s="104" t="s">
        <v>26</v>
      </c>
      <c r="C2678" s="218">
        <v>1232</v>
      </c>
      <c r="D2678" s="218">
        <v>1784</v>
      </c>
      <c r="E2678" s="217">
        <v>27</v>
      </c>
      <c r="F2678" s="106">
        <v>0.0219155844155844</v>
      </c>
      <c r="G2678" s="107">
        <v>16</v>
      </c>
      <c r="H2678" s="106">
        <v>0.592592592592593</v>
      </c>
      <c r="I2678" s="104">
        <v>11</v>
      </c>
      <c r="J2678" s="106">
        <v>0.407407407407407</v>
      </c>
      <c r="K2678" s="108">
        <v>-93</v>
      </c>
      <c r="L2678" s="108">
        <v>-71.6666666666667</v>
      </c>
      <c r="M2678" s="108">
        <v>-58</v>
      </c>
      <c r="N2678" s="108">
        <v>-43.7142857142858</v>
      </c>
      <c r="O2678" s="108">
        <v>-2</v>
      </c>
      <c r="P2678" s="108">
        <v>-6.66666666666666</v>
      </c>
      <c r="Q2678" s="108">
        <v>-3.4</v>
      </c>
      <c r="R2678" s="108">
        <v>-2.85714285714286</v>
      </c>
      <c r="S2678" s="108">
        <v>8</v>
      </c>
      <c r="T2678" s="108">
        <v>6.66666666666667</v>
      </c>
      <c r="U2678" s="108">
        <v>8.2</v>
      </c>
      <c r="V2678" s="108">
        <v>8.57142857142857</v>
      </c>
    </row>
    <row r="2679" spans="1:22">
      <c r="A2679" s="143">
        <v>45135</v>
      </c>
      <c r="B2679" s="104" t="s">
        <v>27</v>
      </c>
      <c r="C2679" s="218">
        <v>5997</v>
      </c>
      <c r="D2679" s="218">
        <v>529</v>
      </c>
      <c r="E2679" s="217">
        <v>7</v>
      </c>
      <c r="F2679" s="106">
        <v>0.00116725029181257</v>
      </c>
      <c r="G2679" s="107">
        <v>5</v>
      </c>
      <c r="H2679" s="106">
        <v>0.714285714285714</v>
      </c>
      <c r="I2679" s="104">
        <v>2</v>
      </c>
      <c r="J2679" s="106">
        <v>0.285714285714286</v>
      </c>
      <c r="K2679" s="108">
        <v>-4417</v>
      </c>
      <c r="L2679" s="108">
        <v>-7108</v>
      </c>
      <c r="M2679" s="108">
        <v>-9109.2</v>
      </c>
      <c r="N2679" s="108">
        <v>-7874</v>
      </c>
      <c r="O2679" s="108">
        <v>-23</v>
      </c>
      <c r="P2679" s="108">
        <v>-33</v>
      </c>
      <c r="Q2679" s="108">
        <v>-37.2</v>
      </c>
      <c r="R2679" s="108">
        <v>-38.1428571428571</v>
      </c>
      <c r="S2679" s="108">
        <v>-2</v>
      </c>
      <c r="T2679" s="108">
        <v>-7</v>
      </c>
      <c r="U2679" s="108">
        <v>-9.2</v>
      </c>
      <c r="V2679" s="108">
        <v>-7.14285714285714</v>
      </c>
    </row>
    <row r="2680" hidden="1" spans="1:22">
      <c r="A2680" s="143">
        <v>45135</v>
      </c>
      <c r="B2680" s="104" t="s">
        <v>28</v>
      </c>
      <c r="C2680" s="145">
        <v>0</v>
      </c>
      <c r="D2680" s="145"/>
      <c r="E2680" s="104">
        <v>0</v>
      </c>
      <c r="F2680" s="106">
        <v>0</v>
      </c>
      <c r="G2680" s="107">
        <v>0</v>
      </c>
      <c r="H2680" s="106">
        <v>0</v>
      </c>
      <c r="I2680" s="104">
        <v>0</v>
      </c>
      <c r="J2680" s="106">
        <v>0</v>
      </c>
      <c r="K2680" s="108">
        <v>0</v>
      </c>
      <c r="L2680" s="108">
        <v>0</v>
      </c>
      <c r="M2680" s="108">
        <v>0</v>
      </c>
      <c r="N2680" s="108">
        <v>0</v>
      </c>
      <c r="O2680" s="108">
        <v>0</v>
      </c>
      <c r="P2680" s="108">
        <v>0</v>
      </c>
      <c r="Q2680" s="108">
        <v>0</v>
      </c>
      <c r="R2680" s="108">
        <v>0</v>
      </c>
      <c r="S2680" s="108">
        <v>0</v>
      </c>
      <c r="T2680" s="108">
        <v>0</v>
      </c>
      <c r="U2680" s="108">
        <v>0</v>
      </c>
      <c r="V2680" s="108">
        <v>0</v>
      </c>
    </row>
    <row r="2681" hidden="1" spans="1:22">
      <c r="A2681" s="143">
        <v>45135</v>
      </c>
      <c r="B2681" s="104" t="s">
        <v>29</v>
      </c>
      <c r="C2681" s="145">
        <v>0</v>
      </c>
      <c r="D2681" s="145"/>
      <c r="E2681" s="104">
        <v>0</v>
      </c>
      <c r="F2681" s="106">
        <v>0</v>
      </c>
      <c r="G2681" s="107">
        <v>0</v>
      </c>
      <c r="H2681" s="106">
        <v>0</v>
      </c>
      <c r="I2681" s="104">
        <v>0</v>
      </c>
      <c r="J2681" s="106">
        <v>0</v>
      </c>
      <c r="K2681" s="108">
        <v>0</v>
      </c>
      <c r="L2681" s="108">
        <v>0</v>
      </c>
      <c r="M2681" s="108">
        <v>0</v>
      </c>
      <c r="N2681" s="108">
        <v>0</v>
      </c>
      <c r="O2681" s="108">
        <v>0</v>
      </c>
      <c r="P2681" s="108">
        <v>0</v>
      </c>
      <c r="Q2681" s="108">
        <v>0</v>
      </c>
      <c r="R2681" s="108">
        <v>0</v>
      </c>
      <c r="S2681" s="108">
        <v>0</v>
      </c>
      <c r="T2681" s="108">
        <v>0</v>
      </c>
      <c r="U2681" s="108">
        <v>0</v>
      </c>
      <c r="V2681" s="108">
        <v>0</v>
      </c>
    </row>
    <row r="2682" hidden="1" spans="1:22">
      <c r="A2682" s="143">
        <v>45135</v>
      </c>
      <c r="B2682" s="104" t="s">
        <v>30</v>
      </c>
      <c r="C2682" s="145">
        <v>0</v>
      </c>
      <c r="D2682" s="145"/>
      <c r="E2682" s="104">
        <v>0</v>
      </c>
      <c r="F2682" s="106">
        <v>0</v>
      </c>
      <c r="G2682" s="107">
        <v>0</v>
      </c>
      <c r="H2682" s="106">
        <v>0</v>
      </c>
      <c r="I2682" s="104">
        <v>0</v>
      </c>
      <c r="J2682" s="106">
        <v>0</v>
      </c>
      <c r="K2682" s="108">
        <v>0</v>
      </c>
      <c r="L2682" s="108">
        <v>0</v>
      </c>
      <c r="M2682" s="108">
        <v>0</v>
      </c>
      <c r="N2682" s="108">
        <v>0</v>
      </c>
      <c r="O2682" s="108">
        <v>0</v>
      </c>
      <c r="P2682" s="108">
        <v>0</v>
      </c>
      <c r="Q2682" s="108">
        <v>0</v>
      </c>
      <c r="R2682" s="108">
        <v>0</v>
      </c>
      <c r="S2682" s="108">
        <v>0</v>
      </c>
      <c r="T2682" s="108">
        <v>0</v>
      </c>
      <c r="U2682" s="108">
        <v>0</v>
      </c>
      <c r="V2682" s="108">
        <v>0</v>
      </c>
    </row>
    <row r="2683" hidden="1" spans="1:22">
      <c r="A2683" s="143">
        <v>45135</v>
      </c>
      <c r="B2683" s="104" t="s">
        <v>31</v>
      </c>
      <c r="C2683" s="145">
        <v>0</v>
      </c>
      <c r="D2683" s="145"/>
      <c r="E2683" s="104">
        <v>0</v>
      </c>
      <c r="F2683" s="106">
        <v>0</v>
      </c>
      <c r="G2683" s="107">
        <v>0</v>
      </c>
      <c r="H2683" s="106">
        <v>0</v>
      </c>
      <c r="I2683" s="104">
        <v>0</v>
      </c>
      <c r="J2683" s="106">
        <v>0</v>
      </c>
      <c r="K2683" s="108">
        <v>0</v>
      </c>
      <c r="L2683" s="108">
        <v>0</v>
      </c>
      <c r="M2683" s="108">
        <v>0</v>
      </c>
      <c r="N2683" s="108">
        <v>0</v>
      </c>
      <c r="O2683" s="108">
        <v>0</v>
      </c>
      <c r="P2683" s="108">
        <v>0</v>
      </c>
      <c r="Q2683" s="108">
        <v>0</v>
      </c>
      <c r="R2683" s="108">
        <v>0</v>
      </c>
      <c r="S2683" s="108">
        <v>0</v>
      </c>
      <c r="T2683" s="108">
        <v>0</v>
      </c>
      <c r="U2683" s="108">
        <v>0</v>
      </c>
      <c r="V2683" s="108">
        <v>0</v>
      </c>
    </row>
    <row r="2684" hidden="1" spans="1:22">
      <c r="A2684" s="143">
        <v>45135</v>
      </c>
      <c r="B2684" s="104" t="s">
        <v>32</v>
      </c>
      <c r="C2684" s="145">
        <v>0</v>
      </c>
      <c r="D2684" s="145"/>
      <c r="E2684" s="104">
        <v>0</v>
      </c>
      <c r="F2684" s="106">
        <v>0</v>
      </c>
      <c r="G2684" s="107">
        <v>0</v>
      </c>
      <c r="H2684" s="106">
        <v>0</v>
      </c>
      <c r="I2684" s="104">
        <v>0</v>
      </c>
      <c r="J2684" s="106">
        <v>0</v>
      </c>
      <c r="K2684" s="108">
        <v>0</v>
      </c>
      <c r="L2684" s="108">
        <v>0</v>
      </c>
      <c r="M2684" s="108">
        <v>0</v>
      </c>
      <c r="N2684" s="108">
        <v>0</v>
      </c>
      <c r="O2684" s="108">
        <v>0</v>
      </c>
      <c r="P2684" s="108">
        <v>0</v>
      </c>
      <c r="Q2684" s="108">
        <v>0</v>
      </c>
      <c r="R2684" s="108">
        <v>0</v>
      </c>
      <c r="S2684" s="108">
        <v>0</v>
      </c>
      <c r="T2684" s="108">
        <v>0</v>
      </c>
      <c r="U2684" s="108">
        <v>0</v>
      </c>
      <c r="V2684" s="108">
        <v>0</v>
      </c>
    </row>
    <row r="2685" hidden="1" spans="1:22">
      <c r="A2685" s="143">
        <v>45135</v>
      </c>
      <c r="B2685" s="104" t="s">
        <v>33</v>
      </c>
      <c r="C2685" s="145">
        <v>0</v>
      </c>
      <c r="D2685" s="145"/>
      <c r="E2685" s="104">
        <v>0</v>
      </c>
      <c r="F2685" s="106">
        <v>0</v>
      </c>
      <c r="G2685" s="107">
        <v>0</v>
      </c>
      <c r="H2685" s="106">
        <v>0</v>
      </c>
      <c r="I2685" s="104">
        <v>0</v>
      </c>
      <c r="J2685" s="106">
        <v>0</v>
      </c>
      <c r="K2685" s="108">
        <v>0</v>
      </c>
      <c r="L2685" s="108">
        <v>0</v>
      </c>
      <c r="M2685" s="108">
        <v>0</v>
      </c>
      <c r="N2685" s="108">
        <v>0</v>
      </c>
      <c r="O2685" s="108">
        <v>0</v>
      </c>
      <c r="P2685" s="108">
        <v>0</v>
      </c>
      <c r="Q2685" s="108">
        <v>0</v>
      </c>
      <c r="R2685" s="108">
        <v>0</v>
      </c>
      <c r="S2685" s="108">
        <v>0</v>
      </c>
      <c r="T2685" s="108">
        <v>0</v>
      </c>
      <c r="U2685" s="108">
        <v>0</v>
      </c>
      <c r="V2685" s="108">
        <v>0</v>
      </c>
    </row>
    <row r="2686" hidden="1" spans="1:22">
      <c r="A2686" s="143">
        <v>45135</v>
      </c>
      <c r="B2686" s="104" t="s">
        <v>34</v>
      </c>
      <c r="C2686" s="145">
        <v>0</v>
      </c>
      <c r="D2686" s="145"/>
      <c r="E2686" s="104">
        <v>0</v>
      </c>
      <c r="F2686" s="106">
        <v>0</v>
      </c>
      <c r="G2686" s="107">
        <v>0</v>
      </c>
      <c r="H2686" s="106">
        <v>0</v>
      </c>
      <c r="I2686" s="104">
        <v>0</v>
      </c>
      <c r="J2686" s="106">
        <v>0</v>
      </c>
      <c r="K2686" s="108">
        <v>0</v>
      </c>
      <c r="L2686" s="108">
        <v>0</v>
      </c>
      <c r="M2686" s="108">
        <v>0</v>
      </c>
      <c r="N2686" s="108">
        <v>0</v>
      </c>
      <c r="O2686" s="108">
        <v>0</v>
      </c>
      <c r="P2686" s="108">
        <v>0</v>
      </c>
      <c r="Q2686" s="108">
        <v>0</v>
      </c>
      <c r="R2686" s="108">
        <v>0</v>
      </c>
      <c r="S2686" s="108">
        <v>0</v>
      </c>
      <c r="T2686" s="108">
        <v>0</v>
      </c>
      <c r="U2686" s="108">
        <v>0</v>
      </c>
      <c r="V2686" s="108">
        <v>0</v>
      </c>
    </row>
    <row r="2687" hidden="1" spans="1:22">
      <c r="A2687" s="143">
        <v>45135</v>
      </c>
      <c r="B2687" s="104" t="s">
        <v>35</v>
      </c>
      <c r="C2687" s="145">
        <v>0</v>
      </c>
      <c r="D2687" s="145"/>
      <c r="E2687" s="104">
        <v>0</v>
      </c>
      <c r="F2687" s="106">
        <v>0</v>
      </c>
      <c r="G2687" s="107">
        <v>0</v>
      </c>
      <c r="H2687" s="106">
        <v>0</v>
      </c>
      <c r="I2687" s="104">
        <v>0</v>
      </c>
      <c r="J2687" s="106">
        <v>0</v>
      </c>
      <c r="K2687" s="108">
        <v>0</v>
      </c>
      <c r="L2687" s="108">
        <v>0</v>
      </c>
      <c r="M2687" s="108">
        <v>0</v>
      </c>
      <c r="N2687" s="108">
        <v>0</v>
      </c>
      <c r="O2687" s="108">
        <v>0</v>
      </c>
      <c r="P2687" s="108">
        <v>0</v>
      </c>
      <c r="Q2687" s="108">
        <v>0</v>
      </c>
      <c r="R2687" s="108">
        <v>0</v>
      </c>
      <c r="S2687" s="108">
        <v>0</v>
      </c>
      <c r="T2687" s="108">
        <v>0</v>
      </c>
      <c r="U2687" s="108">
        <v>0</v>
      </c>
      <c r="V2687" s="108">
        <v>0</v>
      </c>
    </row>
    <row r="2688" hidden="1" spans="1:22">
      <c r="A2688" s="143">
        <v>45135</v>
      </c>
      <c r="B2688" s="104" t="s">
        <v>36</v>
      </c>
      <c r="C2688" s="145">
        <v>0</v>
      </c>
      <c r="D2688" s="145"/>
      <c r="E2688" s="104">
        <v>0</v>
      </c>
      <c r="F2688" s="106">
        <v>0</v>
      </c>
      <c r="G2688" s="107">
        <v>0</v>
      </c>
      <c r="H2688" s="106">
        <v>0</v>
      </c>
      <c r="I2688" s="104">
        <v>0</v>
      </c>
      <c r="J2688" s="106">
        <v>0</v>
      </c>
      <c r="K2688" s="108">
        <v>0</v>
      </c>
      <c r="L2688" s="108">
        <v>0</v>
      </c>
      <c r="M2688" s="108">
        <v>0</v>
      </c>
      <c r="N2688" s="108">
        <v>0</v>
      </c>
      <c r="O2688" s="108">
        <v>0</v>
      </c>
      <c r="P2688" s="108">
        <v>0</v>
      </c>
      <c r="Q2688" s="108">
        <v>0</v>
      </c>
      <c r="R2688" s="108">
        <v>0</v>
      </c>
      <c r="S2688" s="108">
        <v>0</v>
      </c>
      <c r="T2688" s="108">
        <v>0</v>
      </c>
      <c r="U2688" s="108">
        <v>0</v>
      </c>
      <c r="V2688" s="108">
        <v>0</v>
      </c>
    </row>
    <row r="2689" hidden="1" spans="1:22">
      <c r="A2689" s="143">
        <v>45135</v>
      </c>
      <c r="B2689" s="104" t="s">
        <v>37</v>
      </c>
      <c r="C2689" s="145">
        <v>0</v>
      </c>
      <c r="D2689" s="145"/>
      <c r="E2689" s="104">
        <v>0</v>
      </c>
      <c r="F2689" s="106">
        <v>0</v>
      </c>
      <c r="G2689" s="107">
        <v>0</v>
      </c>
      <c r="H2689" s="106">
        <v>0</v>
      </c>
      <c r="I2689" s="104">
        <v>0</v>
      </c>
      <c r="J2689" s="106">
        <v>0</v>
      </c>
      <c r="K2689" s="108">
        <v>0</v>
      </c>
      <c r="L2689" s="108">
        <v>0</v>
      </c>
      <c r="M2689" s="108">
        <v>0</v>
      </c>
      <c r="N2689" s="108">
        <v>0</v>
      </c>
      <c r="O2689" s="108">
        <v>0</v>
      </c>
      <c r="P2689" s="108">
        <v>-1.33333333333333</v>
      </c>
      <c r="Q2689" s="108">
        <v>-1.6</v>
      </c>
      <c r="R2689" s="108">
        <v>-1.42857142857143</v>
      </c>
      <c r="S2689" s="108">
        <v>0</v>
      </c>
      <c r="T2689" s="108">
        <v>-0.666666666666667</v>
      </c>
      <c r="U2689" s="108">
        <v>-0.8</v>
      </c>
      <c r="V2689" s="108">
        <v>-0.714285714285714</v>
      </c>
    </row>
    <row r="2690" hidden="1" spans="1:22">
      <c r="A2690" s="143">
        <v>45135</v>
      </c>
      <c r="B2690" s="104" t="s">
        <v>38</v>
      </c>
      <c r="C2690" s="145">
        <v>0</v>
      </c>
      <c r="D2690" s="145"/>
      <c r="E2690" s="104">
        <v>0</v>
      </c>
      <c r="F2690" s="106">
        <v>0</v>
      </c>
      <c r="G2690" s="107">
        <v>0</v>
      </c>
      <c r="H2690" s="106">
        <v>0</v>
      </c>
      <c r="I2690" s="104">
        <v>0</v>
      </c>
      <c r="J2690" s="106">
        <v>0</v>
      </c>
      <c r="K2690" s="108">
        <v>0</v>
      </c>
      <c r="L2690" s="108">
        <v>0</v>
      </c>
      <c r="M2690" s="108">
        <v>0</v>
      </c>
      <c r="N2690" s="108">
        <v>0</v>
      </c>
      <c r="O2690" s="108">
        <v>0</v>
      </c>
      <c r="P2690" s="108">
        <v>0</v>
      </c>
      <c r="Q2690" s="108">
        <v>0</v>
      </c>
      <c r="R2690" s="108">
        <v>0</v>
      </c>
      <c r="S2690" s="108">
        <v>0</v>
      </c>
      <c r="T2690" s="108">
        <v>0</v>
      </c>
      <c r="U2690" s="108">
        <v>0</v>
      </c>
      <c r="V2690" s="108">
        <v>0</v>
      </c>
    </row>
    <row r="2691" spans="1:22">
      <c r="A2691" s="143">
        <v>45135</v>
      </c>
      <c r="B2691" s="111" t="s">
        <v>39</v>
      </c>
      <c r="C2691" s="112">
        <v>18047</v>
      </c>
      <c r="D2691" s="112">
        <v>5180.5</v>
      </c>
      <c r="E2691" s="112">
        <v>189</v>
      </c>
      <c r="F2691" s="106">
        <v>0.010472654734859</v>
      </c>
      <c r="G2691" s="112">
        <v>72</v>
      </c>
      <c r="H2691" s="113">
        <v>0.380952380952381</v>
      </c>
      <c r="I2691" s="112">
        <v>52</v>
      </c>
      <c r="J2691" s="106">
        <v>0.275132275132275</v>
      </c>
      <c r="K2691" s="108">
        <v>-4063</v>
      </c>
      <c r="L2691" s="108">
        <v>-6266.66666666667</v>
      </c>
      <c r="M2691" s="108">
        <v>-8013.6</v>
      </c>
      <c r="N2691" s="108">
        <v>-6595.28571428571</v>
      </c>
      <c r="O2691" s="108">
        <v>-18</v>
      </c>
      <c r="P2691" s="108">
        <v>-65</v>
      </c>
      <c r="Q2691" s="108">
        <v>-55.2</v>
      </c>
      <c r="R2691" s="108">
        <v>-51.5714285714286</v>
      </c>
      <c r="S2691" s="108">
        <v>11</v>
      </c>
      <c r="T2691" s="108">
        <v>-8.66666666666667</v>
      </c>
      <c r="U2691" s="108">
        <v>-6.40000000000001</v>
      </c>
      <c r="V2691" s="108">
        <v>-2.57142857142857</v>
      </c>
    </row>
    <row r="2692" spans="1:22">
      <c r="A2692" s="143">
        <v>45136</v>
      </c>
      <c r="B2692" s="104" t="s">
        <v>17</v>
      </c>
      <c r="C2692" s="216">
        <v>388</v>
      </c>
      <c r="D2692" s="216">
        <v>64</v>
      </c>
      <c r="E2692" s="217">
        <v>14</v>
      </c>
      <c r="F2692" s="106">
        <v>0.0360824742268041</v>
      </c>
      <c r="G2692" s="107">
        <v>1</v>
      </c>
      <c r="H2692" s="106">
        <v>0.0714285714285714</v>
      </c>
      <c r="I2692" s="104">
        <v>0</v>
      </c>
      <c r="J2692" s="106">
        <v>0</v>
      </c>
      <c r="K2692" s="108">
        <v>-120</v>
      </c>
      <c r="L2692" s="108">
        <v>-129.666666666667</v>
      </c>
      <c r="M2692" s="108">
        <v>-140.6</v>
      </c>
      <c r="N2692" s="108">
        <v>-126.285714285714</v>
      </c>
      <c r="O2692" s="108">
        <v>-4</v>
      </c>
      <c r="P2692" s="108">
        <v>-3.66666666666667</v>
      </c>
      <c r="Q2692" s="108">
        <v>-5.8</v>
      </c>
      <c r="R2692" s="108">
        <v>-5.71428571428572</v>
      </c>
      <c r="S2692" s="108">
        <v>-4</v>
      </c>
      <c r="T2692" s="108">
        <v>-5</v>
      </c>
      <c r="U2692" s="108">
        <v>-5</v>
      </c>
      <c r="V2692" s="108">
        <v>-4.28571428571429</v>
      </c>
    </row>
    <row r="2693" spans="1:22">
      <c r="A2693" s="143">
        <v>45136</v>
      </c>
      <c r="B2693" s="104" t="s">
        <v>19</v>
      </c>
      <c r="C2693" s="216">
        <v>644</v>
      </c>
      <c r="D2693" s="216">
        <v>497</v>
      </c>
      <c r="E2693" s="217">
        <v>9</v>
      </c>
      <c r="F2693" s="106">
        <v>0.0139751552795031</v>
      </c>
      <c r="G2693" s="107">
        <v>6</v>
      </c>
      <c r="H2693" s="106">
        <v>0.666666666666667</v>
      </c>
      <c r="I2693" s="104">
        <v>3</v>
      </c>
      <c r="J2693" s="106">
        <v>0.333333333333333</v>
      </c>
      <c r="K2693" s="108">
        <v>81</v>
      </c>
      <c r="L2693" s="108">
        <v>-8</v>
      </c>
      <c r="M2693" s="108">
        <v>-26.8</v>
      </c>
      <c r="N2693" s="108">
        <v>-18.4285714285714</v>
      </c>
      <c r="O2693" s="108">
        <v>-4</v>
      </c>
      <c r="P2693" s="108">
        <v>-6.33333333333333</v>
      </c>
      <c r="Q2693" s="108">
        <v>-5.2</v>
      </c>
      <c r="R2693" s="108">
        <v>-6</v>
      </c>
      <c r="S2693" s="108">
        <v>2</v>
      </c>
      <c r="T2693" s="108">
        <v>1.66666666666667</v>
      </c>
      <c r="U2693" s="108">
        <v>1.8</v>
      </c>
      <c r="V2693" s="115">
        <v>2.28571428571429</v>
      </c>
    </row>
    <row r="2694" spans="1:22">
      <c r="A2694" s="143">
        <v>45136</v>
      </c>
      <c r="B2694" s="104" t="s">
        <v>21</v>
      </c>
      <c r="C2694" s="218">
        <v>258</v>
      </c>
      <c r="D2694" s="218">
        <v>204</v>
      </c>
      <c r="E2694" s="217">
        <v>3</v>
      </c>
      <c r="F2694" s="106">
        <v>0.0116279069767442</v>
      </c>
      <c r="G2694" s="107">
        <v>4</v>
      </c>
      <c r="H2694" s="106">
        <v>1.33333333333333</v>
      </c>
      <c r="I2694" s="104">
        <v>2</v>
      </c>
      <c r="J2694" s="106">
        <v>0.666666666666667</v>
      </c>
      <c r="K2694" s="108">
        <v>-8</v>
      </c>
      <c r="L2694" s="108">
        <v>-34.6666666666667</v>
      </c>
      <c r="M2694" s="108">
        <v>-34.2</v>
      </c>
      <c r="N2694" s="108">
        <v>-13.7142857142857</v>
      </c>
      <c r="O2694" s="108">
        <v>-1</v>
      </c>
      <c r="P2694" s="108">
        <v>-2.66666666666667</v>
      </c>
      <c r="Q2694" s="108">
        <v>-2.2</v>
      </c>
      <c r="R2694" s="108">
        <v>-1.57142857142857</v>
      </c>
      <c r="S2694" s="108">
        <v>1</v>
      </c>
      <c r="T2694" s="108">
        <v>1.66666666666667</v>
      </c>
      <c r="U2694" s="108">
        <v>2.2</v>
      </c>
      <c r="V2694" s="108">
        <v>2.42857142857143</v>
      </c>
    </row>
    <row r="2695" spans="1:22">
      <c r="A2695" s="143">
        <v>45136</v>
      </c>
      <c r="B2695" s="104" t="s">
        <v>22</v>
      </c>
      <c r="C2695" s="218">
        <v>1338</v>
      </c>
      <c r="D2695" s="218">
        <v>700</v>
      </c>
      <c r="E2695" s="217">
        <v>33</v>
      </c>
      <c r="F2695" s="106">
        <v>0.0246636771300448</v>
      </c>
      <c r="G2695" s="107">
        <v>17</v>
      </c>
      <c r="H2695" s="106">
        <v>0.515151515151515</v>
      </c>
      <c r="I2695" s="104">
        <v>14</v>
      </c>
      <c r="J2695" s="106">
        <v>0.424242424242424</v>
      </c>
      <c r="K2695" s="108">
        <v>78</v>
      </c>
      <c r="L2695" s="108">
        <v>108.666666666667</v>
      </c>
      <c r="M2695" s="108">
        <v>114.4</v>
      </c>
      <c r="N2695" s="108">
        <v>81.2857142857142</v>
      </c>
      <c r="O2695" s="108">
        <v>0</v>
      </c>
      <c r="P2695" s="108">
        <v>-2.66666666666666</v>
      </c>
      <c r="Q2695" s="108">
        <v>-19.6</v>
      </c>
      <c r="R2695" s="115">
        <v>-14.7142857142857</v>
      </c>
      <c r="S2695" s="108">
        <v>7</v>
      </c>
      <c r="T2695" s="108">
        <v>3.66666666666667</v>
      </c>
      <c r="U2695" s="108">
        <v>0.600000000000001</v>
      </c>
      <c r="V2695" s="117">
        <v>0.571428571428573</v>
      </c>
    </row>
    <row r="2696" spans="1:22">
      <c r="A2696" s="143">
        <v>45136</v>
      </c>
      <c r="B2696" s="104" t="s">
        <v>23</v>
      </c>
      <c r="C2696" s="218">
        <v>3429</v>
      </c>
      <c r="D2696" s="218">
        <v>269</v>
      </c>
      <c r="E2696" s="217">
        <v>7</v>
      </c>
      <c r="F2696" s="106">
        <v>0.00204141149023039</v>
      </c>
      <c r="G2696" s="107">
        <v>1</v>
      </c>
      <c r="H2696" s="106">
        <v>0.142857142857143</v>
      </c>
      <c r="I2696" s="104">
        <v>1</v>
      </c>
      <c r="J2696" s="106">
        <v>0.142857142857143</v>
      </c>
      <c r="K2696" s="108">
        <v>68</v>
      </c>
      <c r="L2696" s="108">
        <v>276.333333333333</v>
      </c>
      <c r="M2696" s="108">
        <v>455</v>
      </c>
      <c r="N2696" s="108">
        <v>449.571428571428</v>
      </c>
      <c r="O2696" s="108">
        <v>-1</v>
      </c>
      <c r="P2696" s="108">
        <v>0.333333333333333</v>
      </c>
      <c r="Q2696" s="108">
        <v>-0.6</v>
      </c>
      <c r="R2696" s="108">
        <v>-3.85714285714286</v>
      </c>
      <c r="S2696" s="108">
        <v>-2</v>
      </c>
      <c r="T2696" s="116">
        <v>-1.33333333333333</v>
      </c>
      <c r="U2696" s="108">
        <v>-2.6</v>
      </c>
      <c r="V2696" s="108">
        <v>-3.14285714285714</v>
      </c>
    </row>
    <row r="2697" spans="1:22">
      <c r="A2697" s="143">
        <v>45136</v>
      </c>
      <c r="B2697" s="104" t="s">
        <v>24</v>
      </c>
      <c r="C2697" s="218">
        <v>1140</v>
      </c>
      <c r="D2697" s="218">
        <v>770</v>
      </c>
      <c r="E2697" s="217">
        <v>26</v>
      </c>
      <c r="F2697" s="106">
        <v>0.0228070175438597</v>
      </c>
      <c r="G2697" s="107">
        <v>5</v>
      </c>
      <c r="H2697" s="106">
        <v>0.192307692307692</v>
      </c>
      <c r="I2697" s="104">
        <v>3</v>
      </c>
      <c r="J2697" s="106">
        <v>0.115384615384615</v>
      </c>
      <c r="K2697" s="108">
        <v>221</v>
      </c>
      <c r="L2697" s="108">
        <v>208</v>
      </c>
      <c r="M2697" s="108">
        <v>204.8</v>
      </c>
      <c r="N2697" s="108">
        <v>221.714285714286</v>
      </c>
      <c r="O2697" s="115">
        <v>8</v>
      </c>
      <c r="P2697" s="115">
        <v>9.33333333333333</v>
      </c>
      <c r="Q2697" s="115">
        <v>11.4</v>
      </c>
      <c r="R2697" s="115">
        <v>10.7142857142857</v>
      </c>
      <c r="S2697" s="115">
        <v>0</v>
      </c>
      <c r="T2697" s="115">
        <v>0.666666666666667</v>
      </c>
      <c r="U2697" s="115">
        <v>0</v>
      </c>
      <c r="V2697" s="115">
        <v>0</v>
      </c>
    </row>
    <row r="2698" spans="1:22">
      <c r="A2698" s="143">
        <v>45136</v>
      </c>
      <c r="B2698" s="104" t="s">
        <v>25</v>
      </c>
      <c r="C2698" s="218">
        <v>9371</v>
      </c>
      <c r="D2698" s="218">
        <v>825</v>
      </c>
      <c r="E2698" s="217">
        <v>49</v>
      </c>
      <c r="F2698" s="106">
        <v>0.00522889766300288</v>
      </c>
      <c r="G2698" s="107">
        <v>22</v>
      </c>
      <c r="H2698" s="106">
        <v>0.448979591836735</v>
      </c>
      <c r="I2698" s="104">
        <v>11</v>
      </c>
      <c r="J2698" s="106">
        <v>0.224489795918367</v>
      </c>
      <c r="K2698" s="108">
        <v>5430</v>
      </c>
      <c r="L2698" s="108">
        <v>5819.66666666667</v>
      </c>
      <c r="M2698" s="108">
        <v>6005.6</v>
      </c>
      <c r="N2698" s="108">
        <v>6139.42857142857</v>
      </c>
      <c r="O2698" s="115">
        <v>-12</v>
      </c>
      <c r="P2698" s="115">
        <v>-7</v>
      </c>
      <c r="Q2698" s="115">
        <v>-2.6</v>
      </c>
      <c r="R2698" s="115">
        <v>-0.857142857142854</v>
      </c>
      <c r="S2698" s="108">
        <v>1</v>
      </c>
      <c r="T2698" s="108">
        <v>1.33333333333333</v>
      </c>
      <c r="U2698" s="108">
        <v>3.4</v>
      </c>
      <c r="V2698" s="108">
        <v>3.14285714285714</v>
      </c>
    </row>
    <row r="2699" spans="1:22">
      <c r="A2699" s="143">
        <v>45136</v>
      </c>
      <c r="B2699" s="104" t="s">
        <v>26</v>
      </c>
      <c r="C2699" s="218">
        <v>1323</v>
      </c>
      <c r="D2699" s="218">
        <v>1949</v>
      </c>
      <c r="E2699" s="217">
        <v>36</v>
      </c>
      <c r="F2699" s="106">
        <v>0.0272108843537415</v>
      </c>
      <c r="G2699" s="107">
        <v>7</v>
      </c>
      <c r="H2699" s="106">
        <v>0.194444444444444</v>
      </c>
      <c r="I2699" s="104">
        <v>6</v>
      </c>
      <c r="J2699" s="106">
        <v>0.166666666666667</v>
      </c>
      <c r="K2699" s="108">
        <v>91</v>
      </c>
      <c r="L2699" s="108">
        <v>26.6666666666667</v>
      </c>
      <c r="M2699" s="108">
        <v>37</v>
      </c>
      <c r="N2699" s="108">
        <v>44.7142857142858</v>
      </c>
      <c r="O2699" s="108">
        <v>9</v>
      </c>
      <c r="P2699" s="108">
        <v>4.66666666666667</v>
      </c>
      <c r="Q2699" s="108">
        <v>6</v>
      </c>
      <c r="R2699" s="108">
        <v>6.14285714285714</v>
      </c>
      <c r="S2699" s="108">
        <v>-9</v>
      </c>
      <c r="T2699" s="108">
        <v>-3.66666666666667</v>
      </c>
      <c r="U2699" s="108">
        <v>-3.2</v>
      </c>
      <c r="V2699" s="108">
        <v>-1.85714285714286</v>
      </c>
    </row>
    <row r="2700" spans="1:22">
      <c r="A2700" s="143">
        <v>45136</v>
      </c>
      <c r="B2700" s="104" t="s">
        <v>27</v>
      </c>
      <c r="C2700" s="218">
        <v>8210</v>
      </c>
      <c r="D2700" s="218">
        <v>566</v>
      </c>
      <c r="E2700" s="217">
        <v>14</v>
      </c>
      <c r="F2700" s="106">
        <v>0.00170523751522533</v>
      </c>
      <c r="G2700" s="107">
        <v>1</v>
      </c>
      <c r="H2700" s="106">
        <v>0.0714285714285714</v>
      </c>
      <c r="I2700" s="104">
        <v>1</v>
      </c>
      <c r="J2700" s="106">
        <v>0.0714285714285714</v>
      </c>
      <c r="K2700" s="108">
        <v>2213</v>
      </c>
      <c r="L2700" s="108">
        <v>-1729.66666666667</v>
      </c>
      <c r="M2700" s="108">
        <v>-4338.2</v>
      </c>
      <c r="N2700" s="108">
        <v>-5273.14285714286</v>
      </c>
      <c r="O2700" s="108">
        <v>7</v>
      </c>
      <c r="P2700" s="108">
        <v>-13.6666666666667</v>
      </c>
      <c r="Q2700" s="108">
        <v>-21.4</v>
      </c>
      <c r="R2700" s="108">
        <v>-26.2857142857143</v>
      </c>
      <c r="S2700" s="108">
        <v>-4</v>
      </c>
      <c r="T2700" s="108">
        <v>-7.66666666666667</v>
      </c>
      <c r="U2700" s="108">
        <v>-10</v>
      </c>
      <c r="V2700" s="108">
        <v>-11</v>
      </c>
    </row>
    <row r="2701" hidden="1" spans="1:22">
      <c r="A2701" s="143">
        <v>45136</v>
      </c>
      <c r="B2701" s="104" t="s">
        <v>28</v>
      </c>
      <c r="C2701" s="145">
        <v>0</v>
      </c>
      <c r="D2701" s="145"/>
      <c r="E2701" s="104">
        <v>0</v>
      </c>
      <c r="F2701" s="106">
        <v>0</v>
      </c>
      <c r="G2701" s="107">
        <v>0</v>
      </c>
      <c r="H2701" s="106">
        <v>0</v>
      </c>
      <c r="I2701" s="104">
        <v>0</v>
      </c>
      <c r="J2701" s="106">
        <v>0</v>
      </c>
      <c r="K2701" s="108">
        <v>0</v>
      </c>
      <c r="L2701" s="108">
        <v>0</v>
      </c>
      <c r="M2701" s="108">
        <v>0</v>
      </c>
      <c r="N2701" s="108">
        <v>0</v>
      </c>
      <c r="O2701" s="108">
        <v>0</v>
      </c>
      <c r="P2701" s="108">
        <v>0</v>
      </c>
      <c r="Q2701" s="108">
        <v>0</v>
      </c>
      <c r="R2701" s="108">
        <v>0</v>
      </c>
      <c r="S2701" s="108">
        <v>0</v>
      </c>
      <c r="T2701" s="108">
        <v>0</v>
      </c>
      <c r="U2701" s="108">
        <v>0</v>
      </c>
      <c r="V2701" s="108">
        <v>0</v>
      </c>
    </row>
    <row r="2702" hidden="1" spans="1:22">
      <c r="A2702" s="143">
        <v>45136</v>
      </c>
      <c r="B2702" s="104" t="s">
        <v>29</v>
      </c>
      <c r="C2702" s="145">
        <v>0</v>
      </c>
      <c r="D2702" s="145"/>
      <c r="E2702" s="104">
        <v>0</v>
      </c>
      <c r="F2702" s="106">
        <v>0</v>
      </c>
      <c r="G2702" s="107">
        <v>0</v>
      </c>
      <c r="H2702" s="106">
        <v>0</v>
      </c>
      <c r="I2702" s="104">
        <v>0</v>
      </c>
      <c r="J2702" s="106">
        <v>0</v>
      </c>
      <c r="K2702" s="108">
        <v>0</v>
      </c>
      <c r="L2702" s="108">
        <v>0</v>
      </c>
      <c r="M2702" s="108">
        <v>0</v>
      </c>
      <c r="N2702" s="108">
        <v>0</v>
      </c>
      <c r="O2702" s="108">
        <v>0</v>
      </c>
      <c r="P2702" s="108">
        <v>0</v>
      </c>
      <c r="Q2702" s="108">
        <v>0</v>
      </c>
      <c r="R2702" s="108">
        <v>0</v>
      </c>
      <c r="S2702" s="108">
        <v>0</v>
      </c>
      <c r="T2702" s="108">
        <v>0</v>
      </c>
      <c r="U2702" s="108">
        <v>0</v>
      </c>
      <c r="V2702" s="108">
        <v>0</v>
      </c>
    </row>
    <row r="2703" hidden="1" spans="1:22">
      <c r="A2703" s="143">
        <v>45136</v>
      </c>
      <c r="B2703" s="104" t="s">
        <v>30</v>
      </c>
      <c r="C2703" s="145">
        <v>0</v>
      </c>
      <c r="D2703" s="145"/>
      <c r="E2703" s="104">
        <v>0</v>
      </c>
      <c r="F2703" s="106">
        <v>0</v>
      </c>
      <c r="G2703" s="107">
        <v>0</v>
      </c>
      <c r="H2703" s="106">
        <v>0</v>
      </c>
      <c r="I2703" s="104">
        <v>0</v>
      </c>
      <c r="J2703" s="106">
        <v>0</v>
      </c>
      <c r="K2703" s="108">
        <v>0</v>
      </c>
      <c r="L2703" s="108">
        <v>0</v>
      </c>
      <c r="M2703" s="108">
        <v>0</v>
      </c>
      <c r="N2703" s="108">
        <v>0</v>
      </c>
      <c r="O2703" s="108">
        <v>0</v>
      </c>
      <c r="P2703" s="108">
        <v>0</v>
      </c>
      <c r="Q2703" s="108">
        <v>0</v>
      </c>
      <c r="R2703" s="108">
        <v>0</v>
      </c>
      <c r="S2703" s="108">
        <v>0</v>
      </c>
      <c r="T2703" s="108">
        <v>0</v>
      </c>
      <c r="U2703" s="108">
        <v>0</v>
      </c>
      <c r="V2703" s="108">
        <v>0</v>
      </c>
    </row>
    <row r="2704" hidden="1" spans="1:22">
      <c r="A2704" s="143">
        <v>45136</v>
      </c>
      <c r="B2704" s="104" t="s">
        <v>31</v>
      </c>
      <c r="C2704" s="145">
        <v>0</v>
      </c>
      <c r="D2704" s="145"/>
      <c r="E2704" s="104">
        <v>0</v>
      </c>
      <c r="F2704" s="106">
        <v>0</v>
      </c>
      <c r="G2704" s="107">
        <v>0</v>
      </c>
      <c r="H2704" s="106">
        <v>0</v>
      </c>
      <c r="I2704" s="104">
        <v>0</v>
      </c>
      <c r="J2704" s="106">
        <v>0</v>
      </c>
      <c r="K2704" s="108">
        <v>0</v>
      </c>
      <c r="L2704" s="108">
        <v>0</v>
      </c>
      <c r="M2704" s="108">
        <v>0</v>
      </c>
      <c r="N2704" s="108">
        <v>0</v>
      </c>
      <c r="O2704" s="108">
        <v>0</v>
      </c>
      <c r="P2704" s="108">
        <v>0</v>
      </c>
      <c r="Q2704" s="108">
        <v>0</v>
      </c>
      <c r="R2704" s="108">
        <v>0</v>
      </c>
      <c r="S2704" s="108">
        <v>0</v>
      </c>
      <c r="T2704" s="108">
        <v>0</v>
      </c>
      <c r="U2704" s="108">
        <v>0</v>
      </c>
      <c r="V2704" s="108">
        <v>0</v>
      </c>
    </row>
    <row r="2705" hidden="1" spans="1:22">
      <c r="A2705" s="143">
        <v>45136</v>
      </c>
      <c r="B2705" s="104" t="s">
        <v>32</v>
      </c>
      <c r="C2705" s="145">
        <v>0</v>
      </c>
      <c r="D2705" s="145"/>
      <c r="E2705" s="104">
        <v>0</v>
      </c>
      <c r="F2705" s="106">
        <v>0</v>
      </c>
      <c r="G2705" s="107">
        <v>0</v>
      </c>
      <c r="H2705" s="106">
        <v>0</v>
      </c>
      <c r="I2705" s="104">
        <v>0</v>
      </c>
      <c r="J2705" s="106">
        <v>0</v>
      </c>
      <c r="K2705" s="108">
        <v>0</v>
      </c>
      <c r="L2705" s="108">
        <v>0</v>
      </c>
      <c r="M2705" s="108">
        <v>0</v>
      </c>
      <c r="N2705" s="108">
        <v>0</v>
      </c>
      <c r="O2705" s="108">
        <v>0</v>
      </c>
      <c r="P2705" s="108">
        <v>0</v>
      </c>
      <c r="Q2705" s="108">
        <v>0</v>
      </c>
      <c r="R2705" s="108">
        <v>0</v>
      </c>
      <c r="S2705" s="108">
        <v>0</v>
      </c>
      <c r="T2705" s="108">
        <v>0</v>
      </c>
      <c r="U2705" s="108">
        <v>0</v>
      </c>
      <c r="V2705" s="108">
        <v>0</v>
      </c>
    </row>
    <row r="2706" hidden="1" spans="1:22">
      <c r="A2706" s="143">
        <v>45136</v>
      </c>
      <c r="B2706" s="104" t="s">
        <v>33</v>
      </c>
      <c r="C2706" s="145">
        <v>0</v>
      </c>
      <c r="D2706" s="145"/>
      <c r="E2706" s="104">
        <v>0</v>
      </c>
      <c r="F2706" s="106">
        <v>0</v>
      </c>
      <c r="G2706" s="107">
        <v>0</v>
      </c>
      <c r="H2706" s="106">
        <v>0</v>
      </c>
      <c r="I2706" s="104">
        <v>0</v>
      </c>
      <c r="J2706" s="106">
        <v>0</v>
      </c>
      <c r="K2706" s="108">
        <v>0</v>
      </c>
      <c r="L2706" s="108">
        <v>0</v>
      </c>
      <c r="M2706" s="108">
        <v>0</v>
      </c>
      <c r="N2706" s="108">
        <v>0</v>
      </c>
      <c r="O2706" s="108">
        <v>0</v>
      </c>
      <c r="P2706" s="108">
        <v>0</v>
      </c>
      <c r="Q2706" s="108">
        <v>0</v>
      </c>
      <c r="R2706" s="108">
        <v>0</v>
      </c>
      <c r="S2706" s="108">
        <v>0</v>
      </c>
      <c r="T2706" s="108">
        <v>0</v>
      </c>
      <c r="U2706" s="108">
        <v>0</v>
      </c>
      <c r="V2706" s="108">
        <v>0</v>
      </c>
    </row>
    <row r="2707" hidden="1" spans="1:22">
      <c r="A2707" s="143">
        <v>45136</v>
      </c>
      <c r="B2707" s="104" t="s">
        <v>34</v>
      </c>
      <c r="C2707" s="145">
        <v>0</v>
      </c>
      <c r="D2707" s="145"/>
      <c r="E2707" s="104">
        <v>0</v>
      </c>
      <c r="F2707" s="106">
        <v>0</v>
      </c>
      <c r="G2707" s="107">
        <v>0</v>
      </c>
      <c r="H2707" s="106">
        <v>0</v>
      </c>
      <c r="I2707" s="104">
        <v>0</v>
      </c>
      <c r="J2707" s="106">
        <v>0</v>
      </c>
      <c r="K2707" s="108">
        <v>0</v>
      </c>
      <c r="L2707" s="108">
        <v>0</v>
      </c>
      <c r="M2707" s="108">
        <v>0</v>
      </c>
      <c r="N2707" s="108">
        <v>0</v>
      </c>
      <c r="O2707" s="108">
        <v>0</v>
      </c>
      <c r="P2707" s="108">
        <v>0</v>
      </c>
      <c r="Q2707" s="108">
        <v>0</v>
      </c>
      <c r="R2707" s="108">
        <v>0</v>
      </c>
      <c r="S2707" s="108">
        <v>0</v>
      </c>
      <c r="T2707" s="108">
        <v>0</v>
      </c>
      <c r="U2707" s="108">
        <v>0</v>
      </c>
      <c r="V2707" s="108">
        <v>0</v>
      </c>
    </row>
    <row r="2708" hidden="1" spans="1:22">
      <c r="A2708" s="143">
        <v>45136</v>
      </c>
      <c r="B2708" s="104" t="s">
        <v>35</v>
      </c>
      <c r="C2708" s="145">
        <v>0</v>
      </c>
      <c r="D2708" s="145"/>
      <c r="E2708" s="104">
        <v>0</v>
      </c>
      <c r="F2708" s="106">
        <v>0</v>
      </c>
      <c r="G2708" s="107">
        <v>0</v>
      </c>
      <c r="H2708" s="106">
        <v>0</v>
      </c>
      <c r="I2708" s="104">
        <v>0</v>
      </c>
      <c r="J2708" s="106">
        <v>0</v>
      </c>
      <c r="K2708" s="108">
        <v>0</v>
      </c>
      <c r="L2708" s="108">
        <v>0</v>
      </c>
      <c r="M2708" s="108">
        <v>0</v>
      </c>
      <c r="N2708" s="108">
        <v>0</v>
      </c>
      <c r="O2708" s="108">
        <v>0</v>
      </c>
      <c r="P2708" s="108">
        <v>0</v>
      </c>
      <c r="Q2708" s="108">
        <v>0</v>
      </c>
      <c r="R2708" s="108">
        <v>0</v>
      </c>
      <c r="S2708" s="108">
        <v>0</v>
      </c>
      <c r="T2708" s="108">
        <v>0</v>
      </c>
      <c r="U2708" s="108">
        <v>0</v>
      </c>
      <c r="V2708" s="108">
        <v>0</v>
      </c>
    </row>
    <row r="2709" hidden="1" spans="1:22">
      <c r="A2709" s="143">
        <v>45136</v>
      </c>
      <c r="B2709" s="104" t="s">
        <v>36</v>
      </c>
      <c r="C2709" s="145">
        <v>0</v>
      </c>
      <c r="D2709" s="145"/>
      <c r="E2709" s="104">
        <v>0</v>
      </c>
      <c r="F2709" s="106">
        <v>0</v>
      </c>
      <c r="G2709" s="107">
        <v>0</v>
      </c>
      <c r="H2709" s="106">
        <v>0</v>
      </c>
      <c r="I2709" s="104">
        <v>0</v>
      </c>
      <c r="J2709" s="106">
        <v>0</v>
      </c>
      <c r="K2709" s="108">
        <v>0</v>
      </c>
      <c r="L2709" s="108">
        <v>0</v>
      </c>
      <c r="M2709" s="108">
        <v>0</v>
      </c>
      <c r="N2709" s="108">
        <v>0</v>
      </c>
      <c r="O2709" s="108">
        <v>0</v>
      </c>
      <c r="P2709" s="108">
        <v>0</v>
      </c>
      <c r="Q2709" s="108">
        <v>0</v>
      </c>
      <c r="R2709" s="108">
        <v>0</v>
      </c>
      <c r="S2709" s="108">
        <v>0</v>
      </c>
      <c r="T2709" s="108">
        <v>0</v>
      </c>
      <c r="U2709" s="108">
        <v>0</v>
      </c>
      <c r="V2709" s="108">
        <v>0</v>
      </c>
    </row>
    <row r="2710" hidden="1" spans="1:22">
      <c r="A2710" s="143">
        <v>45136</v>
      </c>
      <c r="B2710" s="104" t="s">
        <v>37</v>
      </c>
      <c r="C2710" s="145">
        <v>0</v>
      </c>
      <c r="D2710" s="145"/>
      <c r="E2710" s="104">
        <v>1</v>
      </c>
      <c r="F2710" s="106">
        <v>0</v>
      </c>
      <c r="G2710" s="107">
        <v>0</v>
      </c>
      <c r="H2710" s="106">
        <v>0</v>
      </c>
      <c r="I2710" s="104">
        <v>0</v>
      </c>
      <c r="J2710" s="106">
        <v>0</v>
      </c>
      <c r="K2710" s="108">
        <v>0</v>
      </c>
      <c r="L2710" s="108">
        <v>0</v>
      </c>
      <c r="M2710" s="108">
        <v>0</v>
      </c>
      <c r="N2710" s="108">
        <v>0</v>
      </c>
      <c r="O2710" s="108">
        <v>1</v>
      </c>
      <c r="P2710" s="108">
        <v>0.333333333333333</v>
      </c>
      <c r="Q2710" s="108">
        <v>0.2</v>
      </c>
      <c r="R2710" s="108">
        <v>-0.428571428571429</v>
      </c>
      <c r="S2710" s="108">
        <v>0</v>
      </c>
      <c r="T2710" s="108">
        <v>-0.333333333333333</v>
      </c>
      <c r="U2710" s="108">
        <v>-0.4</v>
      </c>
      <c r="V2710" s="108">
        <v>-0.714285714285714</v>
      </c>
    </row>
    <row r="2711" hidden="1" spans="1:22">
      <c r="A2711" s="143">
        <v>45136</v>
      </c>
      <c r="B2711" s="104" t="s">
        <v>38</v>
      </c>
      <c r="C2711" s="145">
        <v>0</v>
      </c>
      <c r="D2711" s="145"/>
      <c r="E2711" s="104">
        <v>0</v>
      </c>
      <c r="F2711" s="106">
        <v>0</v>
      </c>
      <c r="G2711" s="107">
        <v>0</v>
      </c>
      <c r="H2711" s="106">
        <v>0</v>
      </c>
      <c r="I2711" s="104">
        <v>0</v>
      </c>
      <c r="J2711" s="106">
        <v>0</v>
      </c>
      <c r="K2711" s="108">
        <v>0</v>
      </c>
      <c r="L2711" s="108">
        <v>0</v>
      </c>
      <c r="M2711" s="108">
        <v>0</v>
      </c>
      <c r="N2711" s="108">
        <v>0</v>
      </c>
      <c r="O2711" s="108">
        <v>0</v>
      </c>
      <c r="P2711" s="108">
        <v>0</v>
      </c>
      <c r="Q2711" s="108">
        <v>0</v>
      </c>
      <c r="R2711" s="108">
        <v>0</v>
      </c>
      <c r="S2711" s="108">
        <v>0</v>
      </c>
      <c r="T2711" s="108">
        <v>0</v>
      </c>
      <c r="U2711" s="108">
        <v>0</v>
      </c>
      <c r="V2711" s="108">
        <v>0</v>
      </c>
    </row>
    <row r="2712" spans="1:22">
      <c r="A2712" s="143">
        <v>45136</v>
      </c>
      <c r="B2712" s="111" t="s">
        <v>39</v>
      </c>
      <c r="C2712" s="112">
        <v>26101</v>
      </c>
      <c r="D2712" s="112">
        <v>5844</v>
      </c>
      <c r="E2712" s="112">
        <v>192</v>
      </c>
      <c r="F2712" s="106">
        <v>0.00735603999846749</v>
      </c>
      <c r="G2712" s="112">
        <v>64</v>
      </c>
      <c r="H2712" s="113">
        <v>0.333333333333333</v>
      </c>
      <c r="I2712" s="112">
        <v>41</v>
      </c>
      <c r="J2712" s="106">
        <v>0.213541666666667</v>
      </c>
      <c r="K2712" s="108">
        <v>8054</v>
      </c>
      <c r="L2712" s="108">
        <v>4537.33333333333</v>
      </c>
      <c r="M2712" s="108">
        <v>2277</v>
      </c>
      <c r="N2712" s="108">
        <v>1505.14285714286</v>
      </c>
      <c r="O2712" s="108">
        <v>3</v>
      </c>
      <c r="P2712" s="108">
        <v>-21.3333333333333</v>
      </c>
      <c r="Q2712" s="108">
        <v>-39.8</v>
      </c>
      <c r="R2712" s="108">
        <v>-42.5714285714286</v>
      </c>
      <c r="S2712" s="108">
        <v>-8</v>
      </c>
      <c r="T2712" s="108">
        <v>-9</v>
      </c>
      <c r="U2712" s="108">
        <v>-13.2</v>
      </c>
      <c r="V2712" s="108">
        <v>-12.5714285714286</v>
      </c>
    </row>
    <row r="2713" spans="1:22">
      <c r="A2713" s="225">
        <v>45137</v>
      </c>
      <c r="B2713" s="104" t="s">
        <v>17</v>
      </c>
      <c r="C2713" s="216">
        <v>487</v>
      </c>
      <c r="D2713" s="216">
        <v>50</v>
      </c>
      <c r="E2713" s="217">
        <v>11</v>
      </c>
      <c r="F2713" s="106">
        <v>0.0225872689938398</v>
      </c>
      <c r="G2713" s="107">
        <v>4</v>
      </c>
      <c r="H2713" s="106">
        <v>0.363636363636364</v>
      </c>
      <c r="I2713" s="104">
        <v>3</v>
      </c>
      <c r="J2713" s="106">
        <v>0.272727272727273</v>
      </c>
      <c r="K2713" s="108">
        <v>0</v>
      </c>
      <c r="L2713" s="108">
        <v>26</v>
      </c>
      <c r="M2713" s="108">
        <v>1.39999999999998</v>
      </c>
      <c r="N2713" s="108">
        <v>-15.5714285714286</v>
      </c>
      <c r="O2713" s="108">
        <v>-1</v>
      </c>
      <c r="P2713" s="108">
        <v>-3.66666666666667</v>
      </c>
      <c r="Q2713" s="108">
        <v>-4.8</v>
      </c>
      <c r="R2713" s="108">
        <v>-6.85714285714286</v>
      </c>
      <c r="S2713" s="108">
        <v>0</v>
      </c>
      <c r="T2713" s="108">
        <v>0.666666666666667</v>
      </c>
      <c r="U2713" s="108">
        <v>-0.6</v>
      </c>
      <c r="V2713" s="108">
        <v>-1</v>
      </c>
    </row>
    <row r="2714" spans="1:22">
      <c r="A2714" s="225">
        <v>45137</v>
      </c>
      <c r="B2714" s="104" t="s">
        <v>19</v>
      </c>
      <c r="C2714" s="216">
        <v>716</v>
      </c>
      <c r="D2714" s="216">
        <v>490</v>
      </c>
      <c r="E2714" s="217">
        <v>17</v>
      </c>
      <c r="F2714" s="106">
        <v>0.0237430167597765</v>
      </c>
      <c r="G2714" s="107">
        <v>5</v>
      </c>
      <c r="H2714" s="106">
        <v>0.294117647058824</v>
      </c>
      <c r="I2714" s="104">
        <v>4</v>
      </c>
      <c r="J2714" s="106">
        <v>0.235294117647059</v>
      </c>
      <c r="K2714" s="108">
        <v>0</v>
      </c>
      <c r="L2714" s="108">
        <v>75</v>
      </c>
      <c r="M2714" s="108">
        <v>52.8</v>
      </c>
      <c r="N2714" s="108">
        <v>42.5714285714286</v>
      </c>
      <c r="O2714" s="108">
        <v>-3</v>
      </c>
      <c r="P2714" s="108">
        <v>3</v>
      </c>
      <c r="Q2714" s="108">
        <v>2</v>
      </c>
      <c r="R2714" s="108">
        <v>2.71428571428571</v>
      </c>
      <c r="S2714" s="108">
        <v>0</v>
      </c>
      <c r="T2714" s="108">
        <v>0</v>
      </c>
      <c r="U2714" s="108">
        <v>0.2</v>
      </c>
      <c r="V2714" s="115">
        <v>0.428571428571429</v>
      </c>
    </row>
    <row r="2715" spans="1:22">
      <c r="A2715" s="225">
        <v>45137</v>
      </c>
      <c r="B2715" s="104" t="s">
        <v>21</v>
      </c>
      <c r="C2715" s="218">
        <v>284</v>
      </c>
      <c r="D2715" s="218">
        <v>249</v>
      </c>
      <c r="E2715" s="217">
        <v>3</v>
      </c>
      <c r="F2715" s="106">
        <v>0.0105633802816901</v>
      </c>
      <c r="G2715" s="107">
        <v>0</v>
      </c>
      <c r="H2715" s="106">
        <v>0</v>
      </c>
      <c r="I2715" s="104">
        <v>0</v>
      </c>
      <c r="J2715" s="106">
        <v>0</v>
      </c>
      <c r="K2715" s="108">
        <v>0</v>
      </c>
      <c r="L2715" s="108">
        <v>14.6666666666667</v>
      </c>
      <c r="M2715" s="108">
        <v>0</v>
      </c>
      <c r="N2715" s="108">
        <v>-2.14285714285717</v>
      </c>
      <c r="O2715" s="108">
        <v>-3</v>
      </c>
      <c r="P2715" s="108">
        <v>-1.33333333333333</v>
      </c>
      <c r="Q2715" s="108">
        <v>-2.2</v>
      </c>
      <c r="R2715" s="108">
        <v>-2</v>
      </c>
      <c r="S2715" s="108">
        <v>0</v>
      </c>
      <c r="T2715" s="108">
        <v>-2.33333333333333</v>
      </c>
      <c r="U2715" s="108">
        <v>-2.2</v>
      </c>
      <c r="V2715" s="108">
        <v>-1.85714285714286</v>
      </c>
    </row>
    <row r="2716" spans="1:22">
      <c r="A2716" s="225">
        <v>45137</v>
      </c>
      <c r="B2716" s="104" t="s">
        <v>22</v>
      </c>
      <c r="C2716" s="218">
        <v>1456</v>
      </c>
      <c r="D2716" s="218">
        <v>731</v>
      </c>
      <c r="E2716" s="217">
        <v>42</v>
      </c>
      <c r="F2716" s="106">
        <v>0.0288461538461538</v>
      </c>
      <c r="G2716" s="107">
        <v>10</v>
      </c>
      <c r="H2716" s="106">
        <v>0.238095238095238</v>
      </c>
      <c r="I2716" s="104">
        <v>9</v>
      </c>
      <c r="J2716" s="106">
        <v>0.214285714285714</v>
      </c>
      <c r="K2716" s="108">
        <v>0</v>
      </c>
      <c r="L2716" s="108">
        <v>104.666666666667</v>
      </c>
      <c r="M2716" s="108">
        <v>159.6</v>
      </c>
      <c r="N2716" s="108">
        <v>182.857142857143</v>
      </c>
      <c r="O2716" s="108">
        <v>-3</v>
      </c>
      <c r="P2716" s="108">
        <v>5</v>
      </c>
      <c r="Q2716" s="108">
        <v>5</v>
      </c>
      <c r="R2716" s="115">
        <v>-6.71428571428572</v>
      </c>
      <c r="S2716" s="108">
        <v>0</v>
      </c>
      <c r="T2716" s="108">
        <v>-2.33333333333333</v>
      </c>
      <c r="U2716" s="108">
        <v>-3.4</v>
      </c>
      <c r="V2716" s="117">
        <v>-5.57142857142857</v>
      </c>
    </row>
    <row r="2717" spans="1:22">
      <c r="A2717" s="225">
        <v>45137</v>
      </c>
      <c r="B2717" s="104" t="s">
        <v>23</v>
      </c>
      <c r="C2717" s="218">
        <v>3582</v>
      </c>
      <c r="D2717" s="218">
        <v>297</v>
      </c>
      <c r="E2717" s="217">
        <v>3</v>
      </c>
      <c r="F2717" s="106">
        <v>0.000837520938023451</v>
      </c>
      <c r="G2717" s="107">
        <v>4</v>
      </c>
      <c r="H2717" s="106">
        <v>1.33333333333333</v>
      </c>
      <c r="I2717" s="104">
        <v>2</v>
      </c>
      <c r="J2717" s="106">
        <v>0.666666666666667</v>
      </c>
      <c r="K2717" s="108">
        <v>0</v>
      </c>
      <c r="L2717" s="108">
        <v>124.666666666667</v>
      </c>
      <c r="M2717" s="108">
        <v>288.2</v>
      </c>
      <c r="N2717" s="108">
        <v>456.142857142857</v>
      </c>
      <c r="O2717" s="108">
        <v>-3</v>
      </c>
      <c r="P2717" s="108">
        <v>-4</v>
      </c>
      <c r="Q2717" s="108">
        <v>-3.6</v>
      </c>
      <c r="R2717" s="108">
        <v>-4.28571428571429</v>
      </c>
      <c r="S2717" s="108">
        <v>0</v>
      </c>
      <c r="T2717" s="116">
        <v>1.33333333333333</v>
      </c>
      <c r="U2717" s="108">
        <v>1.6</v>
      </c>
      <c r="V2717" s="108">
        <v>0.714285714285714</v>
      </c>
    </row>
    <row r="2718" spans="1:22">
      <c r="A2718" s="225">
        <v>45137</v>
      </c>
      <c r="B2718" s="104" t="s">
        <v>24</v>
      </c>
      <c r="C2718" s="218">
        <v>1043</v>
      </c>
      <c r="D2718" s="218">
        <v>817</v>
      </c>
      <c r="E2718" s="217">
        <v>28</v>
      </c>
      <c r="F2718" s="106">
        <v>0.0268456375838926</v>
      </c>
      <c r="G2718" s="107">
        <v>7</v>
      </c>
      <c r="H2718" s="106">
        <v>0.25</v>
      </c>
      <c r="I2718" s="104">
        <v>6</v>
      </c>
      <c r="J2718" s="106">
        <v>0.214285714285714</v>
      </c>
      <c r="K2718" s="108">
        <v>0</v>
      </c>
      <c r="L2718" s="108">
        <v>9</v>
      </c>
      <c r="M2718" s="108">
        <v>47.2</v>
      </c>
      <c r="N2718" s="108">
        <v>63.1428571428571</v>
      </c>
      <c r="O2718" s="115">
        <v>-3</v>
      </c>
      <c r="P2718" s="115">
        <v>3</v>
      </c>
      <c r="Q2718" s="115">
        <v>6.6</v>
      </c>
      <c r="R2718" s="115">
        <v>9.42857142857143</v>
      </c>
      <c r="S2718" s="115">
        <v>0</v>
      </c>
      <c r="T2718" s="115">
        <v>1.33333333333333</v>
      </c>
      <c r="U2718" s="115">
        <v>2</v>
      </c>
      <c r="V2718" s="115">
        <v>1.71428571428571</v>
      </c>
    </row>
    <row r="2719" spans="1:22">
      <c r="A2719" s="225">
        <v>45137</v>
      </c>
      <c r="B2719" s="104" t="s">
        <v>25</v>
      </c>
      <c r="C2719" s="218">
        <v>7661</v>
      </c>
      <c r="D2719" s="218">
        <v>825</v>
      </c>
      <c r="E2719" s="217">
        <v>73</v>
      </c>
      <c r="F2719" s="106">
        <v>0.00952878214332333</v>
      </c>
      <c r="G2719" s="107">
        <v>34</v>
      </c>
      <c r="H2719" s="106">
        <v>0.465753424657534</v>
      </c>
      <c r="I2719" s="104">
        <v>28</v>
      </c>
      <c r="J2719" s="106">
        <v>0.383561643835616</v>
      </c>
      <c r="K2719" s="108">
        <v>0</v>
      </c>
      <c r="L2719" s="108">
        <v>670</v>
      </c>
      <c r="M2719" s="108">
        <v>2123.8</v>
      </c>
      <c r="N2719" s="108">
        <v>2824</v>
      </c>
      <c r="O2719" s="115">
        <v>-13</v>
      </c>
      <c r="P2719" s="115">
        <v>7.66666666666667</v>
      </c>
      <c r="Q2719" s="115">
        <v>12.4</v>
      </c>
      <c r="R2719" s="115">
        <v>16.8571428571429</v>
      </c>
      <c r="S2719" s="108">
        <v>0</v>
      </c>
      <c r="T2719" s="108">
        <v>8.33333333333333</v>
      </c>
      <c r="U2719" s="108">
        <v>10.4</v>
      </c>
      <c r="V2719" s="108">
        <v>12.7142857142857</v>
      </c>
    </row>
    <row r="2720" spans="1:22">
      <c r="A2720" s="225">
        <v>45137</v>
      </c>
      <c r="B2720" s="104" t="s">
        <v>26</v>
      </c>
      <c r="C2720" s="218">
        <v>1316</v>
      </c>
      <c r="D2720" s="218">
        <v>1950</v>
      </c>
      <c r="E2720" s="217">
        <v>28</v>
      </c>
      <c r="F2720" s="106">
        <v>0.0212765957446809</v>
      </c>
      <c r="G2720" s="107">
        <v>7</v>
      </c>
      <c r="H2720" s="106">
        <v>0.25</v>
      </c>
      <c r="I2720" s="104">
        <v>6</v>
      </c>
      <c r="J2720" s="106">
        <v>0.214285714285714</v>
      </c>
      <c r="K2720" s="108">
        <v>0</v>
      </c>
      <c r="L2720" s="108">
        <v>25.6666666666667</v>
      </c>
      <c r="M2720" s="108">
        <v>10.4000000000001</v>
      </c>
      <c r="N2720" s="108">
        <v>20.4285714285713</v>
      </c>
      <c r="O2720" s="108">
        <v>-9</v>
      </c>
      <c r="P2720" s="108">
        <v>-5.33333333333334</v>
      </c>
      <c r="Q2720" s="108">
        <v>-5.4</v>
      </c>
      <c r="R2720" s="108">
        <v>-3.85714285714286</v>
      </c>
      <c r="S2720" s="108">
        <v>0</v>
      </c>
      <c r="T2720" s="108">
        <v>-3</v>
      </c>
      <c r="U2720" s="108">
        <v>-2.2</v>
      </c>
      <c r="V2720" s="108">
        <v>-2.28571428571429</v>
      </c>
    </row>
    <row r="2721" spans="1:22">
      <c r="A2721" s="225">
        <v>45137</v>
      </c>
      <c r="B2721" s="104" t="s">
        <v>27</v>
      </c>
      <c r="C2721" s="218">
        <v>11216</v>
      </c>
      <c r="D2721" s="218">
        <v>577</v>
      </c>
      <c r="E2721" s="217">
        <v>11</v>
      </c>
      <c r="F2721" s="106">
        <v>0.00098074179743224</v>
      </c>
      <c r="G2721" s="107">
        <v>7</v>
      </c>
      <c r="H2721" s="106">
        <v>0.636363636363636</v>
      </c>
      <c r="I2721" s="104">
        <v>5</v>
      </c>
      <c r="J2721" s="106">
        <v>0.454545454545455</v>
      </c>
      <c r="K2721" s="108">
        <v>0</v>
      </c>
      <c r="L2721" s="108">
        <v>2741.66666666667</v>
      </c>
      <c r="M2721" s="108">
        <v>1367</v>
      </c>
      <c r="N2721" s="108">
        <v>-522.142857142857</v>
      </c>
      <c r="O2721" s="108">
        <v>-3</v>
      </c>
      <c r="P2721" s="108">
        <v>-0.666666666666666</v>
      </c>
      <c r="Q2721" s="108">
        <v>-11.2</v>
      </c>
      <c r="R2721" s="108">
        <v>-18.2857142857143</v>
      </c>
      <c r="S2721" s="108">
        <v>0</v>
      </c>
      <c r="T2721" s="108">
        <v>2.66666666666667</v>
      </c>
      <c r="U2721" s="108">
        <v>0.2</v>
      </c>
      <c r="V2721" s="108">
        <v>-2</v>
      </c>
    </row>
    <row r="2722" hidden="1" spans="1:22">
      <c r="A2722" s="225">
        <v>45137</v>
      </c>
      <c r="B2722" s="104" t="s">
        <v>28</v>
      </c>
      <c r="C2722" s="145">
        <v>0</v>
      </c>
      <c r="D2722" s="145"/>
      <c r="E2722" s="104">
        <v>0</v>
      </c>
      <c r="F2722" s="106">
        <v>0</v>
      </c>
      <c r="G2722" s="107">
        <v>0</v>
      </c>
      <c r="H2722" s="106">
        <v>0</v>
      </c>
      <c r="I2722" s="104">
        <v>0</v>
      </c>
      <c r="J2722" s="106">
        <v>0</v>
      </c>
      <c r="K2722" s="108">
        <v>0</v>
      </c>
      <c r="L2722" s="108">
        <v>0</v>
      </c>
      <c r="M2722" s="108">
        <v>0</v>
      </c>
      <c r="N2722" s="108">
        <v>0</v>
      </c>
      <c r="O2722" s="108">
        <v>0</v>
      </c>
      <c r="P2722" s="108">
        <v>0</v>
      </c>
      <c r="Q2722" s="108">
        <v>0</v>
      </c>
      <c r="R2722" s="108">
        <v>0</v>
      </c>
      <c r="S2722" s="108">
        <v>0</v>
      </c>
      <c r="T2722" s="108">
        <v>0</v>
      </c>
      <c r="U2722" s="108">
        <v>0</v>
      </c>
      <c r="V2722" s="108">
        <v>0</v>
      </c>
    </row>
    <row r="2723" hidden="1" spans="1:22">
      <c r="A2723" s="225">
        <v>45137</v>
      </c>
      <c r="B2723" s="104" t="s">
        <v>29</v>
      </c>
      <c r="C2723" s="145">
        <v>0</v>
      </c>
      <c r="D2723" s="145"/>
      <c r="E2723" s="104">
        <v>0</v>
      </c>
      <c r="F2723" s="106">
        <v>0</v>
      </c>
      <c r="G2723" s="107">
        <v>0</v>
      </c>
      <c r="H2723" s="106">
        <v>0</v>
      </c>
      <c r="I2723" s="104">
        <v>0</v>
      </c>
      <c r="J2723" s="106">
        <v>0</v>
      </c>
      <c r="K2723" s="108">
        <v>0</v>
      </c>
      <c r="L2723" s="108">
        <v>0</v>
      </c>
      <c r="M2723" s="108">
        <v>0</v>
      </c>
      <c r="N2723" s="108">
        <v>0</v>
      </c>
      <c r="O2723" s="108">
        <v>0</v>
      </c>
      <c r="P2723" s="108">
        <v>0</v>
      </c>
      <c r="Q2723" s="108">
        <v>0</v>
      </c>
      <c r="R2723" s="108">
        <v>0</v>
      </c>
      <c r="S2723" s="108">
        <v>0</v>
      </c>
      <c r="T2723" s="108">
        <v>0</v>
      </c>
      <c r="U2723" s="108">
        <v>0</v>
      </c>
      <c r="V2723" s="108">
        <v>0</v>
      </c>
    </row>
    <row r="2724" hidden="1" spans="1:22">
      <c r="A2724" s="225">
        <v>45137</v>
      </c>
      <c r="B2724" s="104" t="s">
        <v>30</v>
      </c>
      <c r="C2724" s="145">
        <v>0</v>
      </c>
      <c r="D2724" s="145"/>
      <c r="E2724" s="104">
        <v>0</v>
      </c>
      <c r="F2724" s="106">
        <v>0</v>
      </c>
      <c r="G2724" s="107">
        <v>0</v>
      </c>
      <c r="H2724" s="106">
        <v>0</v>
      </c>
      <c r="I2724" s="104">
        <v>0</v>
      </c>
      <c r="J2724" s="106">
        <v>0</v>
      </c>
      <c r="K2724" s="108">
        <v>0</v>
      </c>
      <c r="L2724" s="108">
        <v>0</v>
      </c>
      <c r="M2724" s="108">
        <v>0</v>
      </c>
      <c r="N2724" s="108">
        <v>0</v>
      </c>
      <c r="O2724" s="108">
        <v>0</v>
      </c>
      <c r="P2724" s="108">
        <v>0</v>
      </c>
      <c r="Q2724" s="108">
        <v>0</v>
      </c>
      <c r="R2724" s="108">
        <v>0</v>
      </c>
      <c r="S2724" s="108">
        <v>0</v>
      </c>
      <c r="T2724" s="108">
        <v>0</v>
      </c>
      <c r="U2724" s="108">
        <v>0</v>
      </c>
      <c r="V2724" s="108">
        <v>0</v>
      </c>
    </row>
    <row r="2725" hidden="1" spans="1:22">
      <c r="A2725" s="225">
        <v>45137</v>
      </c>
      <c r="B2725" s="104" t="s">
        <v>31</v>
      </c>
      <c r="C2725" s="145">
        <v>0</v>
      </c>
      <c r="D2725" s="145"/>
      <c r="E2725" s="104">
        <v>0</v>
      </c>
      <c r="F2725" s="106">
        <v>0</v>
      </c>
      <c r="G2725" s="107">
        <v>0</v>
      </c>
      <c r="H2725" s="106">
        <v>0</v>
      </c>
      <c r="I2725" s="104">
        <v>0</v>
      </c>
      <c r="J2725" s="106">
        <v>0</v>
      </c>
      <c r="K2725" s="108">
        <v>0</v>
      </c>
      <c r="L2725" s="108">
        <v>0</v>
      </c>
      <c r="M2725" s="108">
        <v>0</v>
      </c>
      <c r="N2725" s="108">
        <v>0</v>
      </c>
      <c r="O2725" s="108">
        <v>0</v>
      </c>
      <c r="P2725" s="108">
        <v>0</v>
      </c>
      <c r="Q2725" s="108">
        <v>0</v>
      </c>
      <c r="R2725" s="108">
        <v>0</v>
      </c>
      <c r="S2725" s="108">
        <v>0</v>
      </c>
      <c r="T2725" s="108">
        <v>0</v>
      </c>
      <c r="U2725" s="108">
        <v>0</v>
      </c>
      <c r="V2725" s="108">
        <v>0</v>
      </c>
    </row>
    <row r="2726" hidden="1" spans="1:22">
      <c r="A2726" s="225">
        <v>45137</v>
      </c>
      <c r="B2726" s="104" t="s">
        <v>32</v>
      </c>
      <c r="C2726" s="145">
        <v>0</v>
      </c>
      <c r="D2726" s="145"/>
      <c r="E2726" s="104">
        <v>0</v>
      </c>
      <c r="F2726" s="106">
        <v>0</v>
      </c>
      <c r="G2726" s="107">
        <v>0</v>
      </c>
      <c r="H2726" s="106">
        <v>0</v>
      </c>
      <c r="I2726" s="104">
        <v>0</v>
      </c>
      <c r="J2726" s="106">
        <v>0</v>
      </c>
      <c r="K2726" s="108">
        <v>0</v>
      </c>
      <c r="L2726" s="108">
        <v>0</v>
      </c>
      <c r="M2726" s="108">
        <v>0</v>
      </c>
      <c r="N2726" s="108">
        <v>0</v>
      </c>
      <c r="O2726" s="108">
        <v>0</v>
      </c>
      <c r="P2726" s="108">
        <v>0</v>
      </c>
      <c r="Q2726" s="108">
        <v>0</v>
      </c>
      <c r="R2726" s="108">
        <v>0</v>
      </c>
      <c r="S2726" s="108">
        <v>0</v>
      </c>
      <c r="T2726" s="108">
        <v>0</v>
      </c>
      <c r="U2726" s="108">
        <v>0</v>
      </c>
      <c r="V2726" s="108">
        <v>0</v>
      </c>
    </row>
    <row r="2727" hidden="1" spans="1:22">
      <c r="A2727" s="225">
        <v>45137</v>
      </c>
      <c r="B2727" s="104" t="s">
        <v>33</v>
      </c>
      <c r="C2727" s="145">
        <v>0</v>
      </c>
      <c r="D2727" s="145"/>
      <c r="E2727" s="104">
        <v>0</v>
      </c>
      <c r="F2727" s="106">
        <v>0</v>
      </c>
      <c r="G2727" s="107">
        <v>0</v>
      </c>
      <c r="H2727" s="106">
        <v>0</v>
      </c>
      <c r="I2727" s="104">
        <v>0</v>
      </c>
      <c r="J2727" s="106">
        <v>0</v>
      </c>
      <c r="K2727" s="108">
        <v>0</v>
      </c>
      <c r="L2727" s="108">
        <v>0</v>
      </c>
      <c r="M2727" s="108">
        <v>0</v>
      </c>
      <c r="N2727" s="108">
        <v>0</v>
      </c>
      <c r="O2727" s="108">
        <v>0</v>
      </c>
      <c r="P2727" s="108">
        <v>0</v>
      </c>
      <c r="Q2727" s="108">
        <v>0</v>
      </c>
      <c r="R2727" s="108">
        <v>0</v>
      </c>
      <c r="S2727" s="108">
        <v>0</v>
      </c>
      <c r="T2727" s="108">
        <v>0</v>
      </c>
      <c r="U2727" s="108">
        <v>0</v>
      </c>
      <c r="V2727" s="108">
        <v>0</v>
      </c>
    </row>
    <row r="2728" hidden="1" spans="1:22">
      <c r="A2728" s="225">
        <v>45137</v>
      </c>
      <c r="B2728" s="104" t="s">
        <v>34</v>
      </c>
      <c r="C2728" s="145">
        <v>0</v>
      </c>
      <c r="D2728" s="145"/>
      <c r="E2728" s="104">
        <v>0</v>
      </c>
      <c r="F2728" s="106">
        <v>0</v>
      </c>
      <c r="G2728" s="107">
        <v>0</v>
      </c>
      <c r="H2728" s="106">
        <v>0</v>
      </c>
      <c r="I2728" s="104">
        <v>0</v>
      </c>
      <c r="J2728" s="106">
        <v>0</v>
      </c>
      <c r="K2728" s="108">
        <v>0</v>
      </c>
      <c r="L2728" s="108">
        <v>0</v>
      </c>
      <c r="M2728" s="108">
        <v>0</v>
      </c>
      <c r="N2728" s="108">
        <v>0</v>
      </c>
      <c r="O2728" s="108">
        <v>0</v>
      </c>
      <c r="P2728" s="108">
        <v>0</v>
      </c>
      <c r="Q2728" s="108">
        <v>0</v>
      </c>
      <c r="R2728" s="108">
        <v>0</v>
      </c>
      <c r="S2728" s="108">
        <v>0</v>
      </c>
      <c r="T2728" s="108">
        <v>0</v>
      </c>
      <c r="U2728" s="108">
        <v>0</v>
      </c>
      <c r="V2728" s="108">
        <v>0</v>
      </c>
    </row>
    <row r="2729" hidden="1" spans="1:22">
      <c r="A2729" s="225">
        <v>45137</v>
      </c>
      <c r="B2729" s="104" t="s">
        <v>35</v>
      </c>
      <c r="C2729" s="145">
        <v>0</v>
      </c>
      <c r="D2729" s="145"/>
      <c r="E2729" s="104">
        <v>0</v>
      </c>
      <c r="F2729" s="106">
        <v>0</v>
      </c>
      <c r="G2729" s="107">
        <v>0</v>
      </c>
      <c r="H2729" s="106">
        <v>0</v>
      </c>
      <c r="I2729" s="104">
        <v>0</v>
      </c>
      <c r="J2729" s="106">
        <v>0</v>
      </c>
      <c r="K2729" s="108">
        <v>0</v>
      </c>
      <c r="L2729" s="108">
        <v>0</v>
      </c>
      <c r="M2729" s="108">
        <v>0</v>
      </c>
      <c r="N2729" s="108">
        <v>0</v>
      </c>
      <c r="O2729" s="108">
        <v>0</v>
      </c>
      <c r="P2729" s="108">
        <v>0</v>
      </c>
      <c r="Q2729" s="108">
        <v>0</v>
      </c>
      <c r="R2729" s="108">
        <v>0</v>
      </c>
      <c r="S2729" s="108">
        <v>0</v>
      </c>
      <c r="T2729" s="108">
        <v>0</v>
      </c>
      <c r="U2729" s="108">
        <v>0</v>
      </c>
      <c r="V2729" s="108">
        <v>0</v>
      </c>
    </row>
    <row r="2730" hidden="1" spans="1:22">
      <c r="A2730" s="225">
        <v>45137</v>
      </c>
      <c r="B2730" s="104" t="s">
        <v>36</v>
      </c>
      <c r="C2730" s="145">
        <v>0</v>
      </c>
      <c r="D2730" s="145"/>
      <c r="E2730" s="104">
        <v>0</v>
      </c>
      <c r="F2730" s="106">
        <v>0</v>
      </c>
      <c r="G2730" s="107">
        <v>0</v>
      </c>
      <c r="H2730" s="106">
        <v>0</v>
      </c>
      <c r="I2730" s="104">
        <v>0</v>
      </c>
      <c r="J2730" s="106">
        <v>0</v>
      </c>
      <c r="K2730" s="108">
        <v>0</v>
      </c>
      <c r="L2730" s="108">
        <v>0</v>
      </c>
      <c r="M2730" s="108">
        <v>0</v>
      </c>
      <c r="N2730" s="108">
        <v>0</v>
      </c>
      <c r="O2730" s="108">
        <v>0</v>
      </c>
      <c r="P2730" s="108">
        <v>0</v>
      </c>
      <c r="Q2730" s="108">
        <v>0</v>
      </c>
      <c r="R2730" s="108">
        <v>0</v>
      </c>
      <c r="S2730" s="108">
        <v>0</v>
      </c>
      <c r="T2730" s="108">
        <v>0</v>
      </c>
      <c r="U2730" s="108">
        <v>0</v>
      </c>
      <c r="V2730" s="108">
        <v>0</v>
      </c>
    </row>
    <row r="2731" hidden="1" spans="1:22">
      <c r="A2731" s="225">
        <v>45137</v>
      </c>
      <c r="B2731" s="104" t="s">
        <v>37</v>
      </c>
      <c r="C2731" s="145">
        <v>0</v>
      </c>
      <c r="D2731" s="145"/>
      <c r="E2731" s="104">
        <v>2</v>
      </c>
      <c r="F2731" s="106">
        <v>0</v>
      </c>
      <c r="G2731" s="107">
        <v>0</v>
      </c>
      <c r="H2731" s="106">
        <v>0</v>
      </c>
      <c r="I2731" s="104">
        <v>0</v>
      </c>
      <c r="J2731" s="106">
        <v>0</v>
      </c>
      <c r="K2731" s="108">
        <v>0</v>
      </c>
      <c r="L2731" s="108">
        <v>0</v>
      </c>
      <c r="M2731" s="108">
        <v>0</v>
      </c>
      <c r="N2731" s="108">
        <v>0</v>
      </c>
      <c r="O2731" s="108">
        <v>0</v>
      </c>
      <c r="P2731" s="108">
        <v>1</v>
      </c>
      <c r="Q2731" s="108">
        <v>1</v>
      </c>
      <c r="R2731" s="108">
        <v>1</v>
      </c>
      <c r="S2731" s="108">
        <v>0</v>
      </c>
      <c r="T2731" s="108">
        <v>0</v>
      </c>
      <c r="U2731" s="108">
        <v>-0.2</v>
      </c>
      <c r="V2731" s="108">
        <v>-0.285714285714286</v>
      </c>
    </row>
    <row r="2732" hidden="1" spans="1:22">
      <c r="A2732" s="225">
        <v>45137</v>
      </c>
      <c r="B2732" s="104" t="s">
        <v>38</v>
      </c>
      <c r="C2732" s="145">
        <v>0</v>
      </c>
      <c r="D2732" s="145"/>
      <c r="E2732" s="104">
        <v>0</v>
      </c>
      <c r="F2732" s="106">
        <v>0</v>
      </c>
      <c r="G2732" s="107">
        <v>0</v>
      </c>
      <c r="H2732" s="106">
        <v>0</v>
      </c>
      <c r="I2732" s="104">
        <v>0</v>
      </c>
      <c r="J2732" s="106">
        <v>0</v>
      </c>
      <c r="K2732" s="108">
        <v>0</v>
      </c>
      <c r="L2732" s="108">
        <v>0</v>
      </c>
      <c r="M2732" s="108">
        <v>0</v>
      </c>
      <c r="N2732" s="108">
        <v>0</v>
      </c>
      <c r="O2732" s="108">
        <v>0</v>
      </c>
      <c r="P2732" s="108">
        <v>0</v>
      </c>
      <c r="Q2732" s="108">
        <v>0</v>
      </c>
      <c r="R2732" s="108">
        <v>0</v>
      </c>
      <c r="S2732" s="108">
        <v>0</v>
      </c>
      <c r="T2732" s="108">
        <v>0</v>
      </c>
      <c r="U2732" s="108">
        <v>0</v>
      </c>
      <c r="V2732" s="108">
        <v>0</v>
      </c>
    </row>
    <row r="2733" spans="1:22">
      <c r="A2733" s="225">
        <v>45137</v>
      </c>
      <c r="B2733" s="111" t="s">
        <v>39</v>
      </c>
      <c r="C2733" s="112">
        <v>27761</v>
      </c>
      <c r="D2733" s="112">
        <v>5986</v>
      </c>
      <c r="E2733" s="112">
        <v>218</v>
      </c>
      <c r="F2733" s="106">
        <v>0.00785274305680631</v>
      </c>
      <c r="G2733" s="112">
        <v>78</v>
      </c>
      <c r="H2733" s="113">
        <v>0.357798165137615</v>
      </c>
      <c r="I2733" s="112">
        <v>63</v>
      </c>
      <c r="J2733" s="106">
        <v>0.288990825688073</v>
      </c>
      <c r="K2733" s="108">
        <v>0</v>
      </c>
      <c r="L2733" s="108">
        <v>3791.33333333333</v>
      </c>
      <c r="M2733" s="108">
        <v>4050.4</v>
      </c>
      <c r="N2733" s="108">
        <v>3049.28571428571</v>
      </c>
      <c r="O2733" s="108">
        <v>-41</v>
      </c>
      <c r="P2733" s="108">
        <v>4.66666666666666</v>
      </c>
      <c r="Q2733" s="108">
        <v>-0.199999999999989</v>
      </c>
      <c r="R2733" s="108">
        <v>-12</v>
      </c>
      <c r="S2733" s="108">
        <v>0</v>
      </c>
      <c r="T2733" s="108">
        <v>6.66666666666667</v>
      </c>
      <c r="U2733" s="108">
        <v>5.8</v>
      </c>
      <c r="V2733" s="108">
        <v>2.57142857142857</v>
      </c>
    </row>
    <row r="2734" spans="1:22">
      <c r="A2734" s="143">
        <v>45139</v>
      </c>
      <c r="B2734" s="104" t="s">
        <v>17</v>
      </c>
      <c r="C2734" s="216">
        <v>414</v>
      </c>
      <c r="D2734" s="216">
        <v>50</v>
      </c>
      <c r="E2734" s="217">
        <v>0</v>
      </c>
      <c r="F2734" s="106">
        <v>0</v>
      </c>
      <c r="G2734" s="107">
        <v>1</v>
      </c>
      <c r="H2734" s="106">
        <v>1</v>
      </c>
      <c r="I2734" s="104">
        <v>0</v>
      </c>
      <c r="J2734" s="106">
        <v>0</v>
      </c>
      <c r="K2734" s="108">
        <v>414</v>
      </c>
      <c r="L2734" s="108">
        <v>122.333333333333</v>
      </c>
      <c r="M2734" s="108">
        <v>34.4</v>
      </c>
      <c r="N2734" s="108">
        <v>-11.4285714285714</v>
      </c>
      <c r="O2734" s="108">
        <v>0</v>
      </c>
      <c r="P2734" s="108">
        <v>-8.33333333333333</v>
      </c>
      <c r="Q2734" s="108">
        <v>-11.4</v>
      </c>
      <c r="R2734" s="108">
        <v>-14.5714285714286</v>
      </c>
      <c r="S2734" s="108">
        <v>1</v>
      </c>
      <c r="T2734" s="108">
        <v>-0.666666666666667</v>
      </c>
      <c r="U2734" s="108">
        <v>-2</v>
      </c>
      <c r="V2734" s="108">
        <v>-3.42857142857143</v>
      </c>
    </row>
    <row r="2735" spans="1:22">
      <c r="A2735" s="143">
        <v>45139</v>
      </c>
      <c r="B2735" s="104" t="s">
        <v>19</v>
      </c>
      <c r="C2735" s="216">
        <v>644</v>
      </c>
      <c r="D2735" s="216">
        <v>461</v>
      </c>
      <c r="E2735" s="217">
        <v>8</v>
      </c>
      <c r="F2735" s="106">
        <v>0.0124223602484472</v>
      </c>
      <c r="G2735" s="107">
        <v>9</v>
      </c>
      <c r="H2735" s="106">
        <v>1.125</v>
      </c>
      <c r="I2735" s="104">
        <v>5</v>
      </c>
      <c r="J2735" s="106">
        <v>0.625</v>
      </c>
      <c r="K2735" s="108">
        <v>644</v>
      </c>
      <c r="L2735" s="108">
        <v>190.666666666667</v>
      </c>
      <c r="M2735" s="108">
        <v>121</v>
      </c>
      <c r="N2735" s="108">
        <v>75.5714285714286</v>
      </c>
      <c r="O2735" s="108">
        <v>8</v>
      </c>
      <c r="P2735" s="108">
        <v>-0.666666666666666</v>
      </c>
      <c r="Q2735" s="108">
        <v>-3.2</v>
      </c>
      <c r="R2735" s="108">
        <v>-4</v>
      </c>
      <c r="S2735" s="108">
        <v>9</v>
      </c>
      <c r="T2735" s="108">
        <v>5.33333333333333</v>
      </c>
      <c r="U2735" s="108">
        <v>5.4</v>
      </c>
      <c r="V2735" s="115">
        <v>5</v>
      </c>
    </row>
    <row r="2736" spans="1:22">
      <c r="A2736" s="143">
        <v>45139</v>
      </c>
      <c r="B2736" s="104" t="s">
        <v>21</v>
      </c>
      <c r="C2736" s="218">
        <v>293</v>
      </c>
      <c r="D2736" s="218">
        <v>249</v>
      </c>
      <c r="E2736" s="217">
        <v>5</v>
      </c>
      <c r="F2736" s="106">
        <v>0.0170648464163823</v>
      </c>
      <c r="G2736" s="107">
        <v>5</v>
      </c>
      <c r="H2736" s="106">
        <v>1</v>
      </c>
      <c r="I2736" s="104">
        <v>3</v>
      </c>
      <c r="J2736" s="106">
        <v>0.6</v>
      </c>
      <c r="K2736" s="108">
        <v>293</v>
      </c>
      <c r="L2736" s="108">
        <v>112.333333333333</v>
      </c>
      <c r="M2736" s="108">
        <v>70.6</v>
      </c>
      <c r="N2736" s="108">
        <v>43.7142857142857</v>
      </c>
      <c r="O2736" s="108">
        <v>5</v>
      </c>
      <c r="P2736" s="108">
        <v>3</v>
      </c>
      <c r="Q2736" s="108">
        <v>1.4</v>
      </c>
      <c r="R2736" s="108">
        <v>0.714285714285714</v>
      </c>
      <c r="S2736" s="108">
        <v>5</v>
      </c>
      <c r="T2736" s="108">
        <v>3.66666666666667</v>
      </c>
      <c r="U2736" s="108">
        <v>3.4</v>
      </c>
      <c r="V2736" s="108">
        <v>3.14285714285714</v>
      </c>
    </row>
    <row r="2737" spans="1:22">
      <c r="A2737" s="143">
        <v>45139</v>
      </c>
      <c r="B2737" s="104" t="s">
        <v>22</v>
      </c>
      <c r="C2737" s="218">
        <v>1681</v>
      </c>
      <c r="D2737" s="218">
        <v>749</v>
      </c>
      <c r="E2737" s="217">
        <v>35</v>
      </c>
      <c r="F2737" s="106">
        <v>0.0208209399167162</v>
      </c>
      <c r="G2737" s="107">
        <v>7</v>
      </c>
      <c r="H2737" s="106">
        <v>0.2</v>
      </c>
      <c r="I2737" s="104">
        <v>5</v>
      </c>
      <c r="J2737" s="106">
        <v>0.142857142857143</v>
      </c>
      <c r="K2737" s="108">
        <v>1681</v>
      </c>
      <c r="L2737" s="108">
        <v>749.666666666667</v>
      </c>
      <c r="M2737" s="108">
        <v>605</v>
      </c>
      <c r="N2737" s="108">
        <v>582.714285714286</v>
      </c>
      <c r="O2737" s="108">
        <v>35</v>
      </c>
      <c r="P2737" s="108">
        <v>10</v>
      </c>
      <c r="Q2737" s="108">
        <v>6.6</v>
      </c>
      <c r="R2737" s="115">
        <v>-7.71428571428572</v>
      </c>
      <c r="S2737" s="108">
        <v>7</v>
      </c>
      <c r="T2737" s="108">
        <v>-2</v>
      </c>
      <c r="U2737" s="108">
        <v>-3</v>
      </c>
      <c r="V2737" s="117">
        <v>-6.57142857142857</v>
      </c>
    </row>
    <row r="2738" spans="1:22">
      <c r="A2738" s="143">
        <v>45139</v>
      </c>
      <c r="B2738" s="104" t="s">
        <v>23</v>
      </c>
      <c r="C2738" s="218">
        <v>3573</v>
      </c>
      <c r="D2738" s="218">
        <v>302</v>
      </c>
      <c r="E2738" s="217">
        <v>5</v>
      </c>
      <c r="F2738" s="106">
        <v>0.00139938427092079</v>
      </c>
      <c r="G2738" s="107">
        <v>2</v>
      </c>
      <c r="H2738" s="106">
        <v>0.4</v>
      </c>
      <c r="I2738" s="104">
        <v>1</v>
      </c>
      <c r="J2738" s="106">
        <v>0.2</v>
      </c>
      <c r="K2738" s="108">
        <v>3573</v>
      </c>
      <c r="L2738" s="108">
        <v>1236</v>
      </c>
      <c r="M2738" s="108">
        <v>879.4</v>
      </c>
      <c r="N2738" s="108">
        <v>839.857142857143</v>
      </c>
      <c r="O2738" s="108">
        <v>5</v>
      </c>
      <c r="P2738" s="108">
        <v>1.66666666666667</v>
      </c>
      <c r="Q2738" s="108">
        <v>0.2</v>
      </c>
      <c r="R2738" s="108">
        <v>-0.857142857142857</v>
      </c>
      <c r="S2738" s="108">
        <v>2</v>
      </c>
      <c r="T2738" s="116">
        <v>0.333333333333333</v>
      </c>
      <c r="U2738" s="108">
        <v>0.2</v>
      </c>
      <c r="V2738" s="108">
        <v>-0.571428571428572</v>
      </c>
    </row>
    <row r="2739" spans="1:22">
      <c r="A2739" s="143">
        <v>45139</v>
      </c>
      <c r="B2739" s="104" t="s">
        <v>24</v>
      </c>
      <c r="C2739" s="218">
        <v>1105</v>
      </c>
      <c r="D2739" s="218">
        <v>904</v>
      </c>
      <c r="E2739" s="217">
        <v>23</v>
      </c>
      <c r="F2739" s="106">
        <v>0.020814479638009</v>
      </c>
      <c r="G2739" s="107">
        <v>5</v>
      </c>
      <c r="H2739" s="106">
        <v>0.217391304347826</v>
      </c>
      <c r="I2739" s="104">
        <v>5</v>
      </c>
      <c r="J2739" s="106">
        <v>0.217391304347826</v>
      </c>
      <c r="K2739" s="108">
        <v>1105</v>
      </c>
      <c r="L2739" s="108">
        <v>377.333333333333</v>
      </c>
      <c r="M2739" s="108">
        <v>292.4</v>
      </c>
      <c r="N2739" s="108">
        <v>257.857142857143</v>
      </c>
      <c r="O2739" s="115">
        <v>23</v>
      </c>
      <c r="P2739" s="115">
        <v>5</v>
      </c>
      <c r="Q2739" s="115">
        <v>5.2</v>
      </c>
      <c r="R2739" s="115">
        <v>5.71428571428572</v>
      </c>
      <c r="S2739" s="115">
        <v>5</v>
      </c>
      <c r="T2739" s="115">
        <v>1</v>
      </c>
      <c r="U2739" s="115">
        <v>1</v>
      </c>
      <c r="V2739" s="115">
        <v>0.571428571428571</v>
      </c>
    </row>
    <row r="2740" spans="1:22">
      <c r="A2740" s="143">
        <v>45139</v>
      </c>
      <c r="B2740" s="104" t="s">
        <v>25</v>
      </c>
      <c r="C2740" s="218">
        <v>3484</v>
      </c>
      <c r="D2740" s="218">
        <v>672</v>
      </c>
      <c r="E2740" s="217">
        <v>33</v>
      </c>
      <c r="F2740" s="106">
        <v>0.00947187141216992</v>
      </c>
      <c r="G2740" s="107">
        <v>11</v>
      </c>
      <c r="H2740" s="106">
        <v>0.333333333333333</v>
      </c>
      <c r="I2740" s="104">
        <v>8</v>
      </c>
      <c r="J2740" s="106">
        <v>0.242424242424242</v>
      </c>
      <c r="K2740" s="108">
        <v>3484</v>
      </c>
      <c r="L2740" s="108">
        <v>-2193.33333333333</v>
      </c>
      <c r="M2740" s="108">
        <v>-1406</v>
      </c>
      <c r="N2740" s="108">
        <v>-927.142857142857</v>
      </c>
      <c r="O2740" s="115">
        <v>33</v>
      </c>
      <c r="P2740" s="115">
        <v>-7.66666666666666</v>
      </c>
      <c r="Q2740" s="115">
        <v>-14</v>
      </c>
      <c r="R2740" s="115">
        <v>-14.5714285714286</v>
      </c>
      <c r="S2740" s="108">
        <v>11</v>
      </c>
      <c r="T2740" s="108">
        <v>-7.66666666666667</v>
      </c>
      <c r="U2740" s="108">
        <v>-8.4</v>
      </c>
      <c r="V2740" s="108">
        <v>-7.71428571428572</v>
      </c>
    </row>
    <row r="2741" spans="1:22">
      <c r="A2741" s="143">
        <v>45139</v>
      </c>
      <c r="B2741" s="104" t="s">
        <v>26</v>
      </c>
      <c r="C2741" s="218">
        <v>1437</v>
      </c>
      <c r="D2741" s="218">
        <v>2167</v>
      </c>
      <c r="E2741" s="217">
        <v>36</v>
      </c>
      <c r="F2741" s="106">
        <v>0.0250521920668058</v>
      </c>
      <c r="G2741" s="107">
        <v>9</v>
      </c>
      <c r="H2741" s="106">
        <v>0.25</v>
      </c>
      <c r="I2741" s="104">
        <v>8</v>
      </c>
      <c r="J2741" s="106">
        <v>0.222222222222222</v>
      </c>
      <c r="K2741" s="108">
        <v>1437</v>
      </c>
      <c r="L2741" s="108">
        <v>557.333333333333</v>
      </c>
      <c r="M2741" s="108">
        <v>397.8</v>
      </c>
      <c r="N2741" s="108">
        <v>325.285714285714</v>
      </c>
      <c r="O2741" s="108">
        <v>36</v>
      </c>
      <c r="P2741" s="108">
        <v>14.6666666666667</v>
      </c>
      <c r="Q2741" s="108">
        <v>12</v>
      </c>
      <c r="R2741" s="108">
        <v>8.57142857142857</v>
      </c>
      <c r="S2741" s="108">
        <v>9</v>
      </c>
      <c r="T2741" s="108">
        <v>4.33333333333333</v>
      </c>
      <c r="U2741" s="108">
        <v>1.4</v>
      </c>
      <c r="V2741" s="108">
        <v>0.714285714285714</v>
      </c>
    </row>
    <row r="2742" spans="1:22">
      <c r="A2742" s="143">
        <v>45139</v>
      </c>
      <c r="B2742" s="104" t="s">
        <v>27</v>
      </c>
      <c r="C2742" s="218">
        <v>9817</v>
      </c>
      <c r="D2742" s="218">
        <v>516</v>
      </c>
      <c r="E2742" s="217">
        <v>20</v>
      </c>
      <c r="F2742" s="106">
        <v>0.00203728226545788</v>
      </c>
      <c r="G2742" s="107">
        <v>2</v>
      </c>
      <c r="H2742" s="106">
        <v>0.1</v>
      </c>
      <c r="I2742" s="104">
        <v>1</v>
      </c>
      <c r="J2742" s="106">
        <v>0.05</v>
      </c>
      <c r="K2742" s="108">
        <v>9817</v>
      </c>
      <c r="L2742" s="108">
        <v>3341.66666666667</v>
      </c>
      <c r="M2742" s="108">
        <v>2649.6</v>
      </c>
      <c r="N2742" s="108">
        <v>568.714285714286</v>
      </c>
      <c r="O2742" s="108">
        <v>20</v>
      </c>
      <c r="P2742" s="108">
        <v>11.6666666666667</v>
      </c>
      <c r="Q2742" s="108">
        <v>7.6</v>
      </c>
      <c r="R2742" s="108">
        <v>-1.71428571428572</v>
      </c>
      <c r="S2742" s="108">
        <v>2</v>
      </c>
      <c r="T2742" s="108">
        <v>-0.666666666666667</v>
      </c>
      <c r="U2742" s="108">
        <v>-2</v>
      </c>
      <c r="V2742" s="108">
        <v>-5</v>
      </c>
    </row>
    <row r="2743" hidden="1" spans="1:22">
      <c r="A2743" s="143">
        <v>45139</v>
      </c>
      <c r="B2743" s="104" t="s">
        <v>28</v>
      </c>
      <c r="C2743" s="145">
        <v>0</v>
      </c>
      <c r="D2743" s="145"/>
      <c r="E2743" s="104">
        <v>0</v>
      </c>
      <c r="F2743" s="106">
        <v>0</v>
      </c>
      <c r="G2743" s="107">
        <v>0</v>
      </c>
      <c r="H2743" s="106">
        <v>0</v>
      </c>
      <c r="I2743" s="104">
        <v>0</v>
      </c>
      <c r="J2743" s="106">
        <v>0</v>
      </c>
      <c r="K2743" s="108">
        <v>0</v>
      </c>
      <c r="L2743" s="108">
        <v>0</v>
      </c>
      <c r="M2743" s="108">
        <v>0</v>
      </c>
      <c r="N2743" s="108">
        <v>0</v>
      </c>
      <c r="O2743" s="108">
        <v>0</v>
      </c>
      <c r="P2743" s="108">
        <v>0</v>
      </c>
      <c r="Q2743" s="108">
        <v>0</v>
      </c>
      <c r="R2743" s="108">
        <v>0</v>
      </c>
      <c r="S2743" s="108">
        <v>0</v>
      </c>
      <c r="T2743" s="108">
        <v>0</v>
      </c>
      <c r="U2743" s="108">
        <v>0</v>
      </c>
      <c r="V2743" s="108">
        <v>0</v>
      </c>
    </row>
    <row r="2744" hidden="1" spans="1:22">
      <c r="A2744" s="143">
        <v>45139</v>
      </c>
      <c r="B2744" s="104" t="s">
        <v>29</v>
      </c>
      <c r="C2744" s="145">
        <v>0</v>
      </c>
      <c r="D2744" s="145"/>
      <c r="E2744" s="104">
        <v>0</v>
      </c>
      <c r="F2744" s="106">
        <v>0</v>
      </c>
      <c r="G2744" s="107">
        <v>0</v>
      </c>
      <c r="H2744" s="106">
        <v>0</v>
      </c>
      <c r="I2744" s="104">
        <v>0</v>
      </c>
      <c r="J2744" s="106">
        <v>0</v>
      </c>
      <c r="K2744" s="108">
        <v>0</v>
      </c>
      <c r="L2744" s="108">
        <v>0</v>
      </c>
      <c r="M2744" s="108">
        <v>0</v>
      </c>
      <c r="N2744" s="108">
        <v>0</v>
      </c>
      <c r="O2744" s="108">
        <v>0</v>
      </c>
      <c r="P2744" s="108">
        <v>0</v>
      </c>
      <c r="Q2744" s="108">
        <v>0</v>
      </c>
      <c r="R2744" s="108">
        <v>0</v>
      </c>
      <c r="S2744" s="108">
        <v>0</v>
      </c>
      <c r="T2744" s="108">
        <v>0</v>
      </c>
      <c r="U2744" s="108">
        <v>0</v>
      </c>
      <c r="V2744" s="108">
        <v>0</v>
      </c>
    </row>
    <row r="2745" hidden="1" spans="1:22">
      <c r="A2745" s="143">
        <v>45139</v>
      </c>
      <c r="B2745" s="104" t="s">
        <v>30</v>
      </c>
      <c r="C2745" s="145">
        <v>0</v>
      </c>
      <c r="D2745" s="145"/>
      <c r="E2745" s="104">
        <v>0</v>
      </c>
      <c r="F2745" s="106">
        <v>0</v>
      </c>
      <c r="G2745" s="107">
        <v>0</v>
      </c>
      <c r="H2745" s="106">
        <v>0</v>
      </c>
      <c r="I2745" s="104">
        <v>0</v>
      </c>
      <c r="J2745" s="106">
        <v>0</v>
      </c>
      <c r="K2745" s="108">
        <v>0</v>
      </c>
      <c r="L2745" s="108">
        <v>0</v>
      </c>
      <c r="M2745" s="108">
        <v>0</v>
      </c>
      <c r="N2745" s="108">
        <v>0</v>
      </c>
      <c r="O2745" s="108">
        <v>0</v>
      </c>
      <c r="P2745" s="108">
        <v>0</v>
      </c>
      <c r="Q2745" s="108">
        <v>0</v>
      </c>
      <c r="R2745" s="108">
        <v>0</v>
      </c>
      <c r="S2745" s="108">
        <v>0</v>
      </c>
      <c r="T2745" s="108">
        <v>0</v>
      </c>
      <c r="U2745" s="108">
        <v>0</v>
      </c>
      <c r="V2745" s="108">
        <v>0</v>
      </c>
    </row>
    <row r="2746" hidden="1" spans="1:22">
      <c r="A2746" s="143">
        <v>45139</v>
      </c>
      <c r="B2746" s="104" t="s">
        <v>31</v>
      </c>
      <c r="C2746" s="145">
        <v>0</v>
      </c>
      <c r="D2746" s="145"/>
      <c r="E2746" s="104">
        <v>0</v>
      </c>
      <c r="F2746" s="106">
        <v>0</v>
      </c>
      <c r="G2746" s="107">
        <v>0</v>
      </c>
      <c r="H2746" s="106">
        <v>0</v>
      </c>
      <c r="I2746" s="104">
        <v>0</v>
      </c>
      <c r="J2746" s="106">
        <v>0</v>
      </c>
      <c r="K2746" s="108">
        <v>0</v>
      </c>
      <c r="L2746" s="108">
        <v>0</v>
      </c>
      <c r="M2746" s="108">
        <v>0</v>
      </c>
      <c r="N2746" s="108">
        <v>0</v>
      </c>
      <c r="O2746" s="108">
        <v>0</v>
      </c>
      <c r="P2746" s="108">
        <v>0</v>
      </c>
      <c r="Q2746" s="108">
        <v>0</v>
      </c>
      <c r="R2746" s="108">
        <v>0</v>
      </c>
      <c r="S2746" s="108">
        <v>0</v>
      </c>
      <c r="T2746" s="108">
        <v>0</v>
      </c>
      <c r="U2746" s="108">
        <v>0</v>
      </c>
      <c r="V2746" s="108">
        <v>0</v>
      </c>
    </row>
    <row r="2747" hidden="1" spans="1:22">
      <c r="A2747" s="143">
        <v>45139</v>
      </c>
      <c r="B2747" s="104" t="s">
        <v>32</v>
      </c>
      <c r="C2747" s="145">
        <v>0</v>
      </c>
      <c r="D2747" s="145"/>
      <c r="E2747" s="104">
        <v>0</v>
      </c>
      <c r="F2747" s="106">
        <v>0</v>
      </c>
      <c r="G2747" s="107">
        <v>0</v>
      </c>
      <c r="H2747" s="106">
        <v>0</v>
      </c>
      <c r="I2747" s="104">
        <v>0</v>
      </c>
      <c r="J2747" s="106">
        <v>0</v>
      </c>
      <c r="K2747" s="108">
        <v>0</v>
      </c>
      <c r="L2747" s="108">
        <v>0</v>
      </c>
      <c r="M2747" s="108">
        <v>0</v>
      </c>
      <c r="N2747" s="108">
        <v>0</v>
      </c>
      <c r="O2747" s="108">
        <v>0</v>
      </c>
      <c r="P2747" s="108">
        <v>0</v>
      </c>
      <c r="Q2747" s="108">
        <v>0</v>
      </c>
      <c r="R2747" s="108">
        <v>0</v>
      </c>
      <c r="S2747" s="108">
        <v>0</v>
      </c>
      <c r="T2747" s="108">
        <v>0</v>
      </c>
      <c r="U2747" s="108">
        <v>0</v>
      </c>
      <c r="V2747" s="108">
        <v>0</v>
      </c>
    </row>
    <row r="2748" hidden="1" spans="1:22">
      <c r="A2748" s="143">
        <v>45139</v>
      </c>
      <c r="B2748" s="104" t="s">
        <v>33</v>
      </c>
      <c r="C2748" s="145">
        <v>0</v>
      </c>
      <c r="D2748" s="145"/>
      <c r="E2748" s="104">
        <v>0</v>
      </c>
      <c r="F2748" s="106">
        <v>0</v>
      </c>
      <c r="G2748" s="107">
        <v>0</v>
      </c>
      <c r="H2748" s="106">
        <v>0</v>
      </c>
      <c r="I2748" s="104">
        <v>0</v>
      </c>
      <c r="J2748" s="106">
        <v>0</v>
      </c>
      <c r="K2748" s="108">
        <v>0</v>
      </c>
      <c r="L2748" s="108">
        <v>0</v>
      </c>
      <c r="M2748" s="108">
        <v>0</v>
      </c>
      <c r="N2748" s="108">
        <v>0</v>
      </c>
      <c r="O2748" s="108">
        <v>0</v>
      </c>
      <c r="P2748" s="108">
        <v>0</v>
      </c>
      <c r="Q2748" s="108">
        <v>0</v>
      </c>
      <c r="R2748" s="108">
        <v>0</v>
      </c>
      <c r="S2748" s="108">
        <v>0</v>
      </c>
      <c r="T2748" s="108">
        <v>0</v>
      </c>
      <c r="U2748" s="108">
        <v>0</v>
      </c>
      <c r="V2748" s="108">
        <v>0</v>
      </c>
    </row>
    <row r="2749" hidden="1" spans="1:22">
      <c r="A2749" s="143">
        <v>45139</v>
      </c>
      <c r="B2749" s="104" t="s">
        <v>34</v>
      </c>
      <c r="C2749" s="145">
        <v>0</v>
      </c>
      <c r="D2749" s="145"/>
      <c r="E2749" s="104">
        <v>0</v>
      </c>
      <c r="F2749" s="106">
        <v>0</v>
      </c>
      <c r="G2749" s="107">
        <v>0</v>
      </c>
      <c r="H2749" s="106">
        <v>0</v>
      </c>
      <c r="I2749" s="104">
        <v>0</v>
      </c>
      <c r="J2749" s="106">
        <v>0</v>
      </c>
      <c r="K2749" s="108">
        <v>0</v>
      </c>
      <c r="L2749" s="108">
        <v>0</v>
      </c>
      <c r="M2749" s="108">
        <v>0</v>
      </c>
      <c r="N2749" s="108">
        <v>0</v>
      </c>
      <c r="O2749" s="108">
        <v>0</v>
      </c>
      <c r="P2749" s="108">
        <v>0</v>
      </c>
      <c r="Q2749" s="108">
        <v>0</v>
      </c>
      <c r="R2749" s="108">
        <v>0</v>
      </c>
      <c r="S2749" s="108">
        <v>0</v>
      </c>
      <c r="T2749" s="108">
        <v>0</v>
      </c>
      <c r="U2749" s="108">
        <v>0</v>
      </c>
      <c r="V2749" s="108">
        <v>0</v>
      </c>
    </row>
    <row r="2750" hidden="1" spans="1:22">
      <c r="A2750" s="143">
        <v>45139</v>
      </c>
      <c r="B2750" s="104" t="s">
        <v>35</v>
      </c>
      <c r="C2750" s="145">
        <v>0</v>
      </c>
      <c r="D2750" s="145"/>
      <c r="E2750" s="104">
        <v>0</v>
      </c>
      <c r="F2750" s="106">
        <v>0</v>
      </c>
      <c r="G2750" s="107">
        <v>0</v>
      </c>
      <c r="H2750" s="106">
        <v>0</v>
      </c>
      <c r="I2750" s="104">
        <v>0</v>
      </c>
      <c r="J2750" s="106">
        <v>0</v>
      </c>
      <c r="K2750" s="108">
        <v>0</v>
      </c>
      <c r="L2750" s="108">
        <v>0</v>
      </c>
      <c r="M2750" s="108">
        <v>0</v>
      </c>
      <c r="N2750" s="108">
        <v>0</v>
      </c>
      <c r="O2750" s="108">
        <v>0</v>
      </c>
      <c r="P2750" s="108">
        <v>0</v>
      </c>
      <c r="Q2750" s="108">
        <v>0</v>
      </c>
      <c r="R2750" s="108">
        <v>0</v>
      </c>
      <c r="S2750" s="108">
        <v>0</v>
      </c>
      <c r="T2750" s="108">
        <v>0</v>
      </c>
      <c r="U2750" s="108">
        <v>0</v>
      </c>
      <c r="V2750" s="108">
        <v>0</v>
      </c>
    </row>
    <row r="2751" hidden="1" spans="1:22">
      <c r="A2751" s="143">
        <v>45139</v>
      </c>
      <c r="B2751" s="104" t="s">
        <v>36</v>
      </c>
      <c r="C2751" s="145">
        <v>0</v>
      </c>
      <c r="D2751" s="145"/>
      <c r="E2751" s="104">
        <v>0</v>
      </c>
      <c r="F2751" s="106">
        <v>0</v>
      </c>
      <c r="G2751" s="107">
        <v>0</v>
      </c>
      <c r="H2751" s="106">
        <v>0</v>
      </c>
      <c r="I2751" s="104">
        <v>0</v>
      </c>
      <c r="J2751" s="106">
        <v>0</v>
      </c>
      <c r="K2751" s="108">
        <v>0</v>
      </c>
      <c r="L2751" s="108">
        <v>0</v>
      </c>
      <c r="M2751" s="108">
        <v>0</v>
      </c>
      <c r="N2751" s="108">
        <v>0</v>
      </c>
      <c r="O2751" s="108">
        <v>0</v>
      </c>
      <c r="P2751" s="108">
        <v>0</v>
      </c>
      <c r="Q2751" s="108">
        <v>0</v>
      </c>
      <c r="R2751" s="108">
        <v>0</v>
      </c>
      <c r="S2751" s="108">
        <v>0</v>
      </c>
      <c r="T2751" s="108">
        <v>0</v>
      </c>
      <c r="U2751" s="108">
        <v>0</v>
      </c>
      <c r="V2751" s="108">
        <v>0</v>
      </c>
    </row>
    <row r="2752" hidden="1" spans="1:22">
      <c r="A2752" s="143">
        <v>45139</v>
      </c>
      <c r="B2752" s="104" t="s">
        <v>37</v>
      </c>
      <c r="C2752" s="145">
        <v>0</v>
      </c>
      <c r="D2752" s="145"/>
      <c r="E2752" s="104">
        <v>3</v>
      </c>
      <c r="F2752" s="106">
        <v>0</v>
      </c>
      <c r="G2752" s="107">
        <v>0</v>
      </c>
      <c r="H2752" s="106">
        <v>0</v>
      </c>
      <c r="I2752" s="104">
        <v>0</v>
      </c>
      <c r="J2752" s="106">
        <v>0</v>
      </c>
      <c r="K2752" s="108">
        <v>0</v>
      </c>
      <c r="L2752" s="108">
        <v>0</v>
      </c>
      <c r="M2752" s="108">
        <v>0</v>
      </c>
      <c r="N2752" s="108">
        <v>0</v>
      </c>
      <c r="O2752" s="108">
        <v>3</v>
      </c>
      <c r="P2752" s="108">
        <v>2</v>
      </c>
      <c r="Q2752" s="108">
        <v>2.4</v>
      </c>
      <c r="R2752" s="108">
        <v>2</v>
      </c>
      <c r="S2752" s="108">
        <v>0</v>
      </c>
      <c r="T2752" s="108">
        <v>0</v>
      </c>
      <c r="U2752" s="108">
        <v>0</v>
      </c>
      <c r="V2752" s="108">
        <v>-0.285714285714286</v>
      </c>
    </row>
    <row r="2753" hidden="1" spans="1:22">
      <c r="A2753" s="143">
        <v>45139</v>
      </c>
      <c r="B2753" s="104" t="s">
        <v>38</v>
      </c>
      <c r="C2753" s="145">
        <v>0</v>
      </c>
      <c r="D2753" s="145"/>
      <c r="E2753" s="104">
        <v>0</v>
      </c>
      <c r="F2753" s="106">
        <v>0</v>
      </c>
      <c r="G2753" s="107">
        <v>0</v>
      </c>
      <c r="H2753" s="106">
        <v>0</v>
      </c>
      <c r="I2753" s="104">
        <v>0</v>
      </c>
      <c r="J2753" s="106">
        <v>0</v>
      </c>
      <c r="K2753" s="108">
        <v>0</v>
      </c>
      <c r="L2753" s="108">
        <v>0</v>
      </c>
      <c r="M2753" s="108">
        <v>0</v>
      </c>
      <c r="N2753" s="108">
        <v>0</v>
      </c>
      <c r="O2753" s="108">
        <v>0</v>
      </c>
      <c r="P2753" s="108">
        <v>0</v>
      </c>
      <c r="Q2753" s="108">
        <v>0</v>
      </c>
      <c r="R2753" s="108">
        <v>0</v>
      </c>
      <c r="S2753" s="108">
        <v>0</v>
      </c>
      <c r="T2753" s="108">
        <v>0</v>
      </c>
      <c r="U2753" s="108">
        <v>0</v>
      </c>
      <c r="V2753" s="108">
        <v>0</v>
      </c>
    </row>
    <row r="2754" spans="1:22">
      <c r="A2754" s="143">
        <v>45139</v>
      </c>
      <c r="B2754" s="111" t="s">
        <v>39</v>
      </c>
      <c r="C2754" s="112">
        <v>22448</v>
      </c>
      <c r="D2754" s="112">
        <v>6070</v>
      </c>
      <c r="E2754" s="112">
        <v>168</v>
      </c>
      <c r="F2754" s="106">
        <v>0.00748396293656451</v>
      </c>
      <c r="G2754" s="112">
        <v>51</v>
      </c>
      <c r="H2754" s="113">
        <v>0.303571428571429</v>
      </c>
      <c r="I2754" s="112">
        <v>36</v>
      </c>
      <c r="J2754" s="106">
        <v>0.214285714285714</v>
      </c>
      <c r="K2754" s="108">
        <v>22448</v>
      </c>
      <c r="L2754" s="108">
        <v>4494</v>
      </c>
      <c r="M2754" s="108">
        <v>3644.2</v>
      </c>
      <c r="N2754" s="108">
        <v>1755.14285714286</v>
      </c>
      <c r="O2754" s="108">
        <v>168</v>
      </c>
      <c r="P2754" s="108">
        <v>31.3333333333333</v>
      </c>
      <c r="Q2754" s="108">
        <v>6.80000000000001</v>
      </c>
      <c r="R2754" s="108">
        <v>-26.4285714285714</v>
      </c>
      <c r="S2754" s="108">
        <v>51</v>
      </c>
      <c r="T2754" s="108">
        <v>3.66666666666666</v>
      </c>
      <c r="U2754" s="108">
        <v>-4</v>
      </c>
      <c r="V2754" s="108">
        <v>-14.1428571428571</v>
      </c>
    </row>
    <row r="2755" spans="1:22">
      <c r="A2755" s="143">
        <v>45140</v>
      </c>
      <c r="B2755" s="104" t="s">
        <v>17</v>
      </c>
      <c r="C2755" s="216">
        <v>1</v>
      </c>
      <c r="D2755" s="216">
        <v>28</v>
      </c>
      <c r="E2755" s="217">
        <v>0</v>
      </c>
      <c r="F2755" s="106">
        <v>0</v>
      </c>
      <c r="G2755" s="107">
        <v>0</v>
      </c>
      <c r="H2755" s="106">
        <v>0</v>
      </c>
      <c r="I2755" s="104">
        <v>0</v>
      </c>
      <c r="J2755" s="106">
        <v>0</v>
      </c>
      <c r="K2755" s="108">
        <v>-413</v>
      </c>
      <c r="L2755" s="108">
        <v>-299.333333333333</v>
      </c>
      <c r="M2755" s="108">
        <v>-358.4</v>
      </c>
      <c r="N2755" s="108">
        <v>-405</v>
      </c>
      <c r="O2755" s="108">
        <v>0</v>
      </c>
      <c r="P2755" s="108">
        <v>-3.66666666666667</v>
      </c>
      <c r="Q2755" s="108">
        <v>-8.6</v>
      </c>
      <c r="R2755" s="108">
        <v>-11.1428571428571</v>
      </c>
      <c r="S2755" s="108">
        <v>-1</v>
      </c>
      <c r="T2755" s="108">
        <v>-1.66666666666667</v>
      </c>
      <c r="U2755" s="108">
        <v>-2.2</v>
      </c>
      <c r="V2755" s="108">
        <v>-3.42857142857143</v>
      </c>
    </row>
    <row r="2756" spans="1:22">
      <c r="A2756" s="143">
        <v>45140</v>
      </c>
      <c r="B2756" s="104" t="s">
        <v>19</v>
      </c>
      <c r="C2756" s="216">
        <v>643</v>
      </c>
      <c r="D2756" s="216">
        <v>544</v>
      </c>
      <c r="E2756" s="217">
        <v>11</v>
      </c>
      <c r="F2756" s="106">
        <v>0.0171073094867807</v>
      </c>
      <c r="G2756" s="107">
        <v>5</v>
      </c>
      <c r="H2756" s="106">
        <v>0.454545454545455</v>
      </c>
      <c r="I2756" s="104">
        <v>1</v>
      </c>
      <c r="J2756" s="106">
        <v>0.0909090909090909</v>
      </c>
      <c r="K2756" s="108">
        <v>-1</v>
      </c>
      <c r="L2756" s="108">
        <v>189.666666666667</v>
      </c>
      <c r="M2756" s="108">
        <v>129.6</v>
      </c>
      <c r="N2756" s="108">
        <v>77.2857142857143</v>
      </c>
      <c r="O2756" s="108">
        <v>3</v>
      </c>
      <c r="P2756" s="108">
        <v>2.66666666666667</v>
      </c>
      <c r="Q2756" s="108">
        <v>1.6</v>
      </c>
      <c r="R2756" s="108">
        <v>0</v>
      </c>
      <c r="S2756" s="108">
        <v>-4</v>
      </c>
      <c r="T2756" s="108">
        <v>0.333333333333333</v>
      </c>
      <c r="U2756" s="108">
        <v>0.2</v>
      </c>
      <c r="V2756" s="115">
        <v>0.285714285714286</v>
      </c>
    </row>
    <row r="2757" spans="1:22">
      <c r="A2757" s="143">
        <v>45140</v>
      </c>
      <c r="B2757" s="104" t="s">
        <v>21</v>
      </c>
      <c r="C2757" s="218">
        <v>266</v>
      </c>
      <c r="D2757" s="218">
        <v>238</v>
      </c>
      <c r="E2757" s="217">
        <v>4</v>
      </c>
      <c r="F2757" s="106">
        <v>0.0150375939849624</v>
      </c>
      <c r="G2757" s="107">
        <v>0</v>
      </c>
      <c r="H2757" s="106">
        <v>0</v>
      </c>
      <c r="I2757" s="104">
        <v>0</v>
      </c>
      <c r="J2757" s="106">
        <v>0</v>
      </c>
      <c r="K2757" s="108">
        <v>-27</v>
      </c>
      <c r="L2757" s="108">
        <v>73.6666666666667</v>
      </c>
      <c r="M2757" s="108">
        <v>45.8</v>
      </c>
      <c r="N2757" s="108">
        <v>21.2857142857143</v>
      </c>
      <c r="O2757" s="108">
        <v>-1</v>
      </c>
      <c r="P2757" s="108">
        <v>1.33333333333333</v>
      </c>
      <c r="Q2757" s="108">
        <v>1</v>
      </c>
      <c r="R2757" s="108">
        <v>0</v>
      </c>
      <c r="S2757" s="108">
        <v>-5</v>
      </c>
      <c r="T2757" s="108">
        <v>-1.66666666666667</v>
      </c>
      <c r="U2757" s="108">
        <v>-2.4</v>
      </c>
      <c r="V2757" s="108">
        <v>-2.28571428571429</v>
      </c>
    </row>
    <row r="2758" spans="1:22">
      <c r="A2758" s="143">
        <v>45140</v>
      </c>
      <c r="B2758" s="104" t="s">
        <v>22</v>
      </c>
      <c r="C2758" s="218">
        <v>2292</v>
      </c>
      <c r="D2758" s="218">
        <v>2071</v>
      </c>
      <c r="E2758" s="217">
        <v>37</v>
      </c>
      <c r="F2758" s="106">
        <v>0.0161431064572426</v>
      </c>
      <c r="G2758" s="107">
        <v>14</v>
      </c>
      <c r="H2758" s="106">
        <v>0.378378378378378</v>
      </c>
      <c r="I2758" s="104">
        <v>7</v>
      </c>
      <c r="J2758" s="106">
        <v>0.189189189189189</v>
      </c>
      <c r="K2758" s="108">
        <v>611</v>
      </c>
      <c r="L2758" s="108">
        <v>1246.33333333333</v>
      </c>
      <c r="M2758" s="108">
        <v>1145</v>
      </c>
      <c r="N2758" s="108">
        <v>1125.85714285714</v>
      </c>
      <c r="O2758" s="108">
        <v>2</v>
      </c>
      <c r="P2758" s="108">
        <v>11.3333333333333</v>
      </c>
      <c r="Q2758" s="108">
        <v>8.4</v>
      </c>
      <c r="R2758" s="115">
        <v>6</v>
      </c>
      <c r="S2758" s="108">
        <v>7</v>
      </c>
      <c r="T2758" s="108">
        <v>8.33333333333333</v>
      </c>
      <c r="U2758" s="108">
        <v>5.2</v>
      </c>
      <c r="V2758" s="117">
        <v>3.42857142857143</v>
      </c>
    </row>
    <row r="2759" spans="1:22">
      <c r="A2759" s="143">
        <v>45140</v>
      </c>
      <c r="B2759" s="104" t="s">
        <v>23</v>
      </c>
      <c r="C2759" s="218">
        <v>3969</v>
      </c>
      <c r="D2759" s="218">
        <v>304</v>
      </c>
      <c r="E2759" s="217">
        <v>8</v>
      </c>
      <c r="F2759" s="106">
        <v>0.00201562106324011</v>
      </c>
      <c r="G2759" s="107">
        <v>1</v>
      </c>
      <c r="H2759" s="106">
        <v>0.125</v>
      </c>
      <c r="I2759" s="104">
        <v>1</v>
      </c>
      <c r="J2759" s="106">
        <v>0.125</v>
      </c>
      <c r="K2759" s="108">
        <v>396</v>
      </c>
      <c r="L2759" s="108">
        <v>1584</v>
      </c>
      <c r="M2759" s="108">
        <v>1180</v>
      </c>
      <c r="N2759" s="108">
        <v>1105.85714285714</v>
      </c>
      <c r="O2759" s="108">
        <v>3</v>
      </c>
      <c r="P2759" s="108">
        <v>5.33333333333333</v>
      </c>
      <c r="Q2759" s="108">
        <v>3.4</v>
      </c>
      <c r="R2759" s="108">
        <v>3</v>
      </c>
      <c r="S2759" s="108">
        <v>-1</v>
      </c>
      <c r="T2759" s="108">
        <v>-1</v>
      </c>
      <c r="U2759" s="108">
        <v>-1</v>
      </c>
      <c r="V2759" s="108">
        <v>-1</v>
      </c>
    </row>
    <row r="2760" spans="1:22">
      <c r="A2760" s="143">
        <v>45140</v>
      </c>
      <c r="B2760" s="104" t="s">
        <v>24</v>
      </c>
      <c r="C2760" s="218">
        <v>1097</v>
      </c>
      <c r="D2760" s="218">
        <v>920</v>
      </c>
      <c r="E2760" s="217">
        <v>20</v>
      </c>
      <c r="F2760" s="106">
        <v>0.0182315405651778</v>
      </c>
      <c r="G2760" s="107">
        <v>9</v>
      </c>
      <c r="H2760" s="106">
        <v>0.45</v>
      </c>
      <c r="I2760" s="104">
        <v>7</v>
      </c>
      <c r="J2760" s="106">
        <v>0.35</v>
      </c>
      <c r="K2760" s="108">
        <v>-8</v>
      </c>
      <c r="L2760" s="108">
        <v>381</v>
      </c>
      <c r="M2760" s="108">
        <v>255.6</v>
      </c>
      <c r="N2760" s="108">
        <v>227.857142857143</v>
      </c>
      <c r="O2760" s="115">
        <v>-3</v>
      </c>
      <c r="P2760" s="115">
        <v>3</v>
      </c>
      <c r="Q2760" s="115">
        <v>1</v>
      </c>
      <c r="R2760" s="115">
        <v>1.85714285714286</v>
      </c>
      <c r="S2760" s="115">
        <v>4</v>
      </c>
      <c r="T2760" s="115">
        <v>5</v>
      </c>
      <c r="U2760" s="115">
        <v>4.6</v>
      </c>
      <c r="V2760" s="115">
        <v>4.71428571428571</v>
      </c>
    </row>
    <row r="2761" spans="1:22">
      <c r="A2761" s="143">
        <v>45140</v>
      </c>
      <c r="B2761" s="104" t="s">
        <v>25</v>
      </c>
      <c r="C2761" s="218">
        <v>9125</v>
      </c>
      <c r="D2761" s="218">
        <v>614</v>
      </c>
      <c r="E2761" s="217">
        <v>44</v>
      </c>
      <c r="F2761" s="106">
        <v>0.00482191780821918</v>
      </c>
      <c r="G2761" s="107">
        <v>12</v>
      </c>
      <c r="H2761" s="106">
        <v>0.272727272727273</v>
      </c>
      <c r="I2761" s="104">
        <v>8</v>
      </c>
      <c r="J2761" s="106">
        <v>0.181818181818182</v>
      </c>
      <c r="K2761" s="108">
        <v>5641</v>
      </c>
      <c r="L2761" s="108">
        <v>5410</v>
      </c>
      <c r="M2761" s="108">
        <v>4233.6</v>
      </c>
      <c r="N2761" s="108">
        <v>4672.14285714286</v>
      </c>
      <c r="O2761" s="115">
        <v>11</v>
      </c>
      <c r="P2761" s="115">
        <v>8.66666666666666</v>
      </c>
      <c r="Q2761" s="115">
        <v>0.799999999999997</v>
      </c>
      <c r="R2761" s="115">
        <v>-2.14285714285715</v>
      </c>
      <c r="S2761" s="108">
        <v>1</v>
      </c>
      <c r="T2761" s="108">
        <v>-3</v>
      </c>
      <c r="U2761" s="108">
        <v>-5.6</v>
      </c>
      <c r="V2761" s="108">
        <v>-6.42857142857143</v>
      </c>
    </row>
    <row r="2762" spans="1:22">
      <c r="A2762" s="143">
        <v>45140</v>
      </c>
      <c r="B2762" s="104" t="s">
        <v>26</v>
      </c>
      <c r="C2762" s="218">
        <v>1567</v>
      </c>
      <c r="D2762" s="218">
        <v>2253</v>
      </c>
      <c r="E2762" s="217">
        <v>31</v>
      </c>
      <c r="F2762" s="106">
        <v>0.0197830248883216</v>
      </c>
      <c r="G2762" s="107">
        <v>15</v>
      </c>
      <c r="H2762" s="106">
        <v>0.483870967741935</v>
      </c>
      <c r="I2762" s="104">
        <v>9</v>
      </c>
      <c r="J2762" s="106">
        <v>0.290322580645161</v>
      </c>
      <c r="K2762" s="108">
        <v>130</v>
      </c>
      <c r="L2762" s="108">
        <v>649.333333333333</v>
      </c>
      <c r="M2762" s="108">
        <v>505.4</v>
      </c>
      <c r="N2762" s="108">
        <v>429.142857142857</v>
      </c>
      <c r="O2762" s="108">
        <v>-5</v>
      </c>
      <c r="P2762" s="108">
        <v>9.66666666666667</v>
      </c>
      <c r="Q2762" s="108">
        <v>5.6</v>
      </c>
      <c r="R2762" s="108">
        <v>3.28571428571428</v>
      </c>
      <c r="S2762" s="108">
        <v>6</v>
      </c>
      <c r="T2762" s="108">
        <v>9.66666666666667</v>
      </c>
      <c r="U2762" s="108">
        <v>7.2</v>
      </c>
      <c r="V2762" s="108">
        <v>7.14285714285714</v>
      </c>
    </row>
    <row r="2763" spans="1:22">
      <c r="A2763" s="143">
        <v>45140</v>
      </c>
      <c r="B2763" s="104" t="s">
        <v>27</v>
      </c>
      <c r="C2763" s="218">
        <v>5790</v>
      </c>
      <c r="D2763" s="218">
        <v>512</v>
      </c>
      <c r="E2763" s="217">
        <v>13</v>
      </c>
      <c r="F2763" s="106">
        <v>0.00224525043177893</v>
      </c>
      <c r="G2763" s="107">
        <v>4</v>
      </c>
      <c r="H2763" s="106">
        <v>0.307692307692308</v>
      </c>
      <c r="I2763" s="104">
        <v>1</v>
      </c>
      <c r="J2763" s="106">
        <v>0.0769230769230769</v>
      </c>
      <c r="K2763" s="108">
        <v>-4027</v>
      </c>
      <c r="L2763" s="108">
        <v>-1221</v>
      </c>
      <c r="M2763" s="108">
        <v>-1258</v>
      </c>
      <c r="N2763" s="108">
        <v>-2647.42857142857</v>
      </c>
      <c r="O2763" s="108">
        <v>-7</v>
      </c>
      <c r="P2763" s="108">
        <v>2.66666666666667</v>
      </c>
      <c r="Q2763" s="108">
        <v>2.6</v>
      </c>
      <c r="R2763" s="108">
        <v>-5.28571428571428</v>
      </c>
      <c r="S2763" s="108">
        <v>2</v>
      </c>
      <c r="T2763" s="108">
        <v>1</v>
      </c>
      <c r="U2763" s="108">
        <v>1</v>
      </c>
      <c r="V2763" s="108">
        <v>-1.14285714285714</v>
      </c>
    </row>
    <row r="2764" hidden="1" spans="1:22">
      <c r="A2764" s="143">
        <v>45140</v>
      </c>
      <c r="B2764" s="104" t="s">
        <v>28</v>
      </c>
      <c r="C2764" s="145">
        <v>0</v>
      </c>
      <c r="D2764" s="145"/>
      <c r="E2764" s="104">
        <v>0</v>
      </c>
      <c r="F2764" s="106">
        <v>0</v>
      </c>
      <c r="G2764" s="107">
        <v>0</v>
      </c>
      <c r="H2764" s="106">
        <v>0</v>
      </c>
      <c r="I2764" s="104">
        <v>0</v>
      </c>
      <c r="J2764" s="106">
        <v>0</v>
      </c>
      <c r="K2764" s="108">
        <v>0</v>
      </c>
      <c r="L2764" s="108">
        <v>0</v>
      </c>
      <c r="M2764" s="108">
        <v>0</v>
      </c>
      <c r="N2764" s="108">
        <v>0</v>
      </c>
      <c r="O2764" s="108">
        <v>0</v>
      </c>
      <c r="P2764" s="108">
        <v>0</v>
      </c>
      <c r="Q2764" s="108">
        <v>0</v>
      </c>
      <c r="R2764" s="108">
        <v>0</v>
      </c>
      <c r="S2764" s="108">
        <v>0</v>
      </c>
      <c r="T2764" s="108">
        <v>0</v>
      </c>
      <c r="U2764" s="108">
        <v>0</v>
      </c>
      <c r="V2764" s="108">
        <v>0</v>
      </c>
    </row>
    <row r="2765" hidden="1" spans="1:22">
      <c r="A2765" s="143">
        <v>45140</v>
      </c>
      <c r="B2765" s="104" t="s">
        <v>29</v>
      </c>
      <c r="C2765" s="145">
        <v>0</v>
      </c>
      <c r="D2765" s="145"/>
      <c r="E2765" s="104">
        <v>1</v>
      </c>
      <c r="F2765" s="106">
        <v>0</v>
      </c>
      <c r="G2765" s="107">
        <v>0</v>
      </c>
      <c r="H2765" s="106">
        <v>0</v>
      </c>
      <c r="I2765" s="104">
        <v>0</v>
      </c>
      <c r="J2765" s="106">
        <v>0</v>
      </c>
      <c r="K2765" s="108">
        <v>0</v>
      </c>
      <c r="L2765" s="108">
        <v>0</v>
      </c>
      <c r="M2765" s="108">
        <v>0</v>
      </c>
      <c r="N2765" s="108">
        <v>0</v>
      </c>
      <c r="O2765" s="108">
        <v>1</v>
      </c>
      <c r="P2765" s="108">
        <v>1</v>
      </c>
      <c r="Q2765" s="108">
        <v>1</v>
      </c>
      <c r="R2765" s="108">
        <v>1</v>
      </c>
      <c r="S2765" s="108">
        <v>0</v>
      </c>
      <c r="T2765" s="108">
        <v>0</v>
      </c>
      <c r="U2765" s="108">
        <v>0</v>
      </c>
      <c r="V2765" s="108">
        <v>0</v>
      </c>
    </row>
    <row r="2766" hidden="1" spans="1:22">
      <c r="A2766" s="143">
        <v>45140</v>
      </c>
      <c r="B2766" s="104" t="s">
        <v>30</v>
      </c>
      <c r="C2766" s="145">
        <v>0</v>
      </c>
      <c r="D2766" s="145"/>
      <c r="E2766" s="104">
        <v>0</v>
      </c>
      <c r="F2766" s="106">
        <v>0</v>
      </c>
      <c r="G2766" s="107">
        <v>0</v>
      </c>
      <c r="H2766" s="106">
        <v>0</v>
      </c>
      <c r="I2766" s="104">
        <v>0</v>
      </c>
      <c r="J2766" s="106">
        <v>0</v>
      </c>
      <c r="K2766" s="108">
        <v>0</v>
      </c>
      <c r="L2766" s="108">
        <v>0</v>
      </c>
      <c r="M2766" s="108">
        <v>0</v>
      </c>
      <c r="N2766" s="108">
        <v>0</v>
      </c>
      <c r="O2766" s="108">
        <v>0</v>
      </c>
      <c r="P2766" s="108">
        <v>0</v>
      </c>
      <c r="Q2766" s="108">
        <v>0</v>
      </c>
      <c r="R2766" s="108">
        <v>0</v>
      </c>
      <c r="S2766" s="108">
        <v>0</v>
      </c>
      <c r="T2766" s="108">
        <v>0</v>
      </c>
      <c r="U2766" s="108">
        <v>0</v>
      </c>
      <c r="V2766" s="108">
        <v>0</v>
      </c>
    </row>
    <row r="2767" hidden="1" spans="1:22">
      <c r="A2767" s="143">
        <v>45140</v>
      </c>
      <c r="B2767" s="104" t="s">
        <v>31</v>
      </c>
      <c r="C2767" s="145">
        <v>0</v>
      </c>
      <c r="D2767" s="145"/>
      <c r="E2767" s="104">
        <v>0</v>
      </c>
      <c r="F2767" s="106">
        <v>0</v>
      </c>
      <c r="G2767" s="107">
        <v>0</v>
      </c>
      <c r="H2767" s="106">
        <v>0</v>
      </c>
      <c r="I2767" s="104">
        <v>0</v>
      </c>
      <c r="J2767" s="106">
        <v>0</v>
      </c>
      <c r="K2767" s="108">
        <v>0</v>
      </c>
      <c r="L2767" s="108">
        <v>0</v>
      </c>
      <c r="M2767" s="108">
        <v>0</v>
      </c>
      <c r="N2767" s="108">
        <v>0</v>
      </c>
      <c r="O2767" s="108">
        <v>0</v>
      </c>
      <c r="P2767" s="108">
        <v>0</v>
      </c>
      <c r="Q2767" s="108">
        <v>0</v>
      </c>
      <c r="R2767" s="108">
        <v>0</v>
      </c>
      <c r="S2767" s="108">
        <v>0</v>
      </c>
      <c r="T2767" s="108">
        <v>0</v>
      </c>
      <c r="U2767" s="108">
        <v>0</v>
      </c>
      <c r="V2767" s="108">
        <v>0</v>
      </c>
    </row>
    <row r="2768" hidden="1" spans="1:22">
      <c r="A2768" s="143">
        <v>45140</v>
      </c>
      <c r="B2768" s="104" t="s">
        <v>32</v>
      </c>
      <c r="C2768" s="145">
        <v>0</v>
      </c>
      <c r="D2768" s="145"/>
      <c r="E2768" s="104">
        <v>0</v>
      </c>
      <c r="F2768" s="106">
        <v>0</v>
      </c>
      <c r="G2768" s="107">
        <v>0</v>
      </c>
      <c r="H2768" s="106">
        <v>0</v>
      </c>
      <c r="I2768" s="104">
        <v>0</v>
      </c>
      <c r="J2768" s="106">
        <v>0</v>
      </c>
      <c r="K2768" s="108">
        <v>0</v>
      </c>
      <c r="L2768" s="108">
        <v>0</v>
      </c>
      <c r="M2768" s="108">
        <v>0</v>
      </c>
      <c r="N2768" s="108">
        <v>0</v>
      </c>
      <c r="O2768" s="108">
        <v>0</v>
      </c>
      <c r="P2768" s="108">
        <v>0</v>
      </c>
      <c r="Q2768" s="108">
        <v>0</v>
      </c>
      <c r="R2768" s="108">
        <v>0</v>
      </c>
      <c r="S2768" s="108">
        <v>0</v>
      </c>
      <c r="T2768" s="108">
        <v>0</v>
      </c>
      <c r="U2768" s="108">
        <v>0</v>
      </c>
      <c r="V2768" s="108">
        <v>0</v>
      </c>
    </row>
    <row r="2769" hidden="1" spans="1:22">
      <c r="A2769" s="143">
        <v>45140</v>
      </c>
      <c r="B2769" s="104" t="s">
        <v>33</v>
      </c>
      <c r="C2769" s="145">
        <v>0</v>
      </c>
      <c r="D2769" s="145"/>
      <c r="E2769" s="104">
        <v>0</v>
      </c>
      <c r="F2769" s="106">
        <v>0</v>
      </c>
      <c r="G2769" s="107">
        <v>0</v>
      </c>
      <c r="H2769" s="106">
        <v>0</v>
      </c>
      <c r="I2769" s="104">
        <v>0</v>
      </c>
      <c r="J2769" s="106">
        <v>0</v>
      </c>
      <c r="K2769" s="108">
        <v>0</v>
      </c>
      <c r="L2769" s="108">
        <v>0</v>
      </c>
      <c r="M2769" s="108">
        <v>0</v>
      </c>
      <c r="N2769" s="108">
        <v>0</v>
      </c>
      <c r="O2769" s="108">
        <v>0</v>
      </c>
      <c r="P2769" s="108">
        <v>0</v>
      </c>
      <c r="Q2769" s="108">
        <v>0</v>
      </c>
      <c r="R2769" s="108">
        <v>0</v>
      </c>
      <c r="S2769" s="108">
        <v>0</v>
      </c>
      <c r="T2769" s="108">
        <v>0</v>
      </c>
      <c r="U2769" s="108">
        <v>0</v>
      </c>
      <c r="V2769" s="108">
        <v>0</v>
      </c>
    </row>
    <row r="2770" hidden="1" spans="1:22">
      <c r="A2770" s="143">
        <v>45140</v>
      </c>
      <c r="B2770" s="104" t="s">
        <v>34</v>
      </c>
      <c r="C2770" s="145">
        <v>0</v>
      </c>
      <c r="D2770" s="145"/>
      <c r="E2770" s="104">
        <v>0</v>
      </c>
      <c r="F2770" s="106">
        <v>0</v>
      </c>
      <c r="G2770" s="107">
        <v>0</v>
      </c>
      <c r="H2770" s="106">
        <v>0</v>
      </c>
      <c r="I2770" s="104">
        <v>0</v>
      </c>
      <c r="J2770" s="106">
        <v>0</v>
      </c>
      <c r="K2770" s="108">
        <v>0</v>
      </c>
      <c r="L2770" s="108">
        <v>0</v>
      </c>
      <c r="M2770" s="108">
        <v>0</v>
      </c>
      <c r="N2770" s="108">
        <v>0</v>
      </c>
      <c r="O2770" s="108">
        <v>0</v>
      </c>
      <c r="P2770" s="108">
        <v>0</v>
      </c>
      <c r="Q2770" s="108">
        <v>0</v>
      </c>
      <c r="R2770" s="108">
        <v>0</v>
      </c>
      <c r="S2770" s="108">
        <v>0</v>
      </c>
      <c r="T2770" s="108">
        <v>0</v>
      </c>
      <c r="U2770" s="108">
        <v>0</v>
      </c>
      <c r="V2770" s="108">
        <v>0</v>
      </c>
    </row>
    <row r="2771" hidden="1" spans="1:22">
      <c r="A2771" s="143">
        <v>45140</v>
      </c>
      <c r="B2771" s="104" t="s">
        <v>35</v>
      </c>
      <c r="C2771" s="145">
        <v>0</v>
      </c>
      <c r="D2771" s="145"/>
      <c r="E2771" s="104">
        <v>0</v>
      </c>
      <c r="F2771" s="106">
        <v>0</v>
      </c>
      <c r="G2771" s="107">
        <v>0</v>
      </c>
      <c r="H2771" s="106">
        <v>0</v>
      </c>
      <c r="I2771" s="104">
        <v>0</v>
      </c>
      <c r="J2771" s="106">
        <v>0</v>
      </c>
      <c r="K2771" s="108">
        <v>0</v>
      </c>
      <c r="L2771" s="108">
        <v>0</v>
      </c>
      <c r="M2771" s="108">
        <v>0</v>
      </c>
      <c r="N2771" s="108">
        <v>0</v>
      </c>
      <c r="O2771" s="108">
        <v>0</v>
      </c>
      <c r="P2771" s="108">
        <v>0</v>
      </c>
      <c r="Q2771" s="108">
        <v>0</v>
      </c>
      <c r="R2771" s="108">
        <v>0</v>
      </c>
      <c r="S2771" s="108">
        <v>0</v>
      </c>
      <c r="T2771" s="108">
        <v>0</v>
      </c>
      <c r="U2771" s="108">
        <v>0</v>
      </c>
      <c r="V2771" s="108">
        <v>0</v>
      </c>
    </row>
    <row r="2772" hidden="1" spans="1:22">
      <c r="A2772" s="143">
        <v>45140</v>
      </c>
      <c r="B2772" s="104" t="s">
        <v>36</v>
      </c>
      <c r="C2772" s="145">
        <v>0</v>
      </c>
      <c r="D2772" s="145"/>
      <c r="E2772" s="104">
        <v>0</v>
      </c>
      <c r="F2772" s="106">
        <v>0</v>
      </c>
      <c r="G2772" s="107">
        <v>0</v>
      </c>
      <c r="H2772" s="106">
        <v>0</v>
      </c>
      <c r="I2772" s="104">
        <v>0</v>
      </c>
      <c r="J2772" s="106">
        <v>0</v>
      </c>
      <c r="K2772" s="108">
        <v>0</v>
      </c>
      <c r="L2772" s="108">
        <v>0</v>
      </c>
      <c r="M2772" s="108">
        <v>0</v>
      </c>
      <c r="N2772" s="108">
        <v>0</v>
      </c>
      <c r="O2772" s="108">
        <v>0</v>
      </c>
      <c r="P2772" s="108">
        <v>0</v>
      </c>
      <c r="Q2772" s="108">
        <v>0</v>
      </c>
      <c r="R2772" s="108">
        <v>0</v>
      </c>
      <c r="S2772" s="108">
        <v>0</v>
      </c>
      <c r="T2772" s="108">
        <v>0</v>
      </c>
      <c r="U2772" s="108">
        <v>0</v>
      </c>
      <c r="V2772" s="108">
        <v>0</v>
      </c>
    </row>
    <row r="2773" hidden="1" spans="1:22">
      <c r="A2773" s="143">
        <v>45140</v>
      </c>
      <c r="B2773" s="104" t="s">
        <v>37</v>
      </c>
      <c r="C2773" s="145">
        <v>0</v>
      </c>
      <c r="D2773" s="145"/>
      <c r="E2773" s="104">
        <v>1</v>
      </c>
      <c r="F2773" s="106">
        <v>0</v>
      </c>
      <c r="G2773" s="107">
        <v>0</v>
      </c>
      <c r="H2773" s="106">
        <v>0</v>
      </c>
      <c r="I2773" s="104">
        <v>0</v>
      </c>
      <c r="J2773" s="106">
        <v>0</v>
      </c>
      <c r="K2773" s="108">
        <v>0</v>
      </c>
      <c r="L2773" s="108">
        <v>0</v>
      </c>
      <c r="M2773" s="108">
        <v>0</v>
      </c>
      <c r="N2773" s="108">
        <v>0</v>
      </c>
      <c r="O2773" s="108">
        <v>-2</v>
      </c>
      <c r="P2773" s="108">
        <v>-0.666666666666667</v>
      </c>
      <c r="Q2773" s="108">
        <v>-0.2</v>
      </c>
      <c r="R2773" s="108">
        <v>-0.142857142857143</v>
      </c>
      <c r="S2773" s="108">
        <v>0</v>
      </c>
      <c r="T2773" s="108">
        <v>0</v>
      </c>
      <c r="U2773" s="108">
        <v>0</v>
      </c>
      <c r="V2773" s="108">
        <v>-0.142857142857143</v>
      </c>
    </row>
    <row r="2774" hidden="1" spans="1:22">
      <c r="A2774" s="143">
        <v>45140</v>
      </c>
      <c r="B2774" s="104" t="s">
        <v>38</v>
      </c>
      <c r="C2774" s="145">
        <v>0</v>
      </c>
      <c r="D2774" s="145"/>
      <c r="E2774" s="104">
        <v>0</v>
      </c>
      <c r="F2774" s="106">
        <v>0</v>
      </c>
      <c r="G2774" s="107">
        <v>0</v>
      </c>
      <c r="H2774" s="106">
        <v>0</v>
      </c>
      <c r="I2774" s="104">
        <v>0</v>
      </c>
      <c r="J2774" s="106">
        <v>0</v>
      </c>
      <c r="K2774" s="108">
        <v>0</v>
      </c>
      <c r="L2774" s="108">
        <v>0</v>
      </c>
      <c r="M2774" s="108">
        <v>0</v>
      </c>
      <c r="N2774" s="108">
        <v>0</v>
      </c>
      <c r="O2774" s="108">
        <v>0</v>
      </c>
      <c r="P2774" s="108">
        <v>0</v>
      </c>
      <c r="Q2774" s="108">
        <v>0</v>
      </c>
      <c r="R2774" s="108">
        <v>0</v>
      </c>
      <c r="S2774" s="108">
        <v>0</v>
      </c>
      <c r="T2774" s="108">
        <v>0</v>
      </c>
      <c r="U2774" s="108">
        <v>0</v>
      </c>
      <c r="V2774" s="108">
        <v>0</v>
      </c>
    </row>
    <row r="2775" spans="1:22">
      <c r="A2775" s="143">
        <v>45140</v>
      </c>
      <c r="B2775" s="111" t="s">
        <v>39</v>
      </c>
      <c r="C2775" s="112">
        <v>24750</v>
      </c>
      <c r="D2775" s="112">
        <v>7484</v>
      </c>
      <c r="E2775" s="112">
        <v>170</v>
      </c>
      <c r="F2775" s="106">
        <v>0.00686868686868687</v>
      </c>
      <c r="G2775" s="112">
        <v>60</v>
      </c>
      <c r="H2775" s="113">
        <v>0.352941176470588</v>
      </c>
      <c r="I2775" s="112">
        <v>34</v>
      </c>
      <c r="J2775" s="106">
        <v>0.2</v>
      </c>
      <c r="K2775" s="108">
        <v>2302</v>
      </c>
      <c r="L2775" s="108">
        <v>8013.66666666667</v>
      </c>
      <c r="M2775" s="108">
        <v>5878.6</v>
      </c>
      <c r="N2775" s="108">
        <v>4607</v>
      </c>
      <c r="O2775" s="108">
        <v>2</v>
      </c>
      <c r="P2775" s="108">
        <v>41.3333333333333</v>
      </c>
      <c r="Q2775" s="108">
        <v>16.6</v>
      </c>
      <c r="R2775" s="108">
        <v>-4</v>
      </c>
      <c r="S2775" s="108">
        <v>9</v>
      </c>
      <c r="T2775" s="108">
        <v>17</v>
      </c>
      <c r="U2775" s="108">
        <v>7</v>
      </c>
      <c r="V2775" s="108">
        <v>1.14285714285715</v>
      </c>
    </row>
    <row r="2776" spans="1:22">
      <c r="A2776" s="143">
        <v>45141</v>
      </c>
      <c r="B2776" s="104" t="s">
        <v>17</v>
      </c>
      <c r="C2776" s="216">
        <v>0</v>
      </c>
      <c r="D2776" s="216">
        <v>83</v>
      </c>
      <c r="E2776" s="217">
        <v>2</v>
      </c>
      <c r="F2776" s="106">
        <v>83</v>
      </c>
      <c r="G2776" s="107">
        <v>1</v>
      </c>
      <c r="H2776" s="106">
        <v>0.5</v>
      </c>
      <c r="I2776" s="104">
        <v>0</v>
      </c>
      <c r="J2776" s="106">
        <v>0</v>
      </c>
      <c r="K2776" s="108">
        <v>-1</v>
      </c>
      <c r="L2776" s="108">
        <v>-138.333333333333</v>
      </c>
      <c r="M2776" s="108">
        <v>-258</v>
      </c>
      <c r="N2776" s="108">
        <v>-330.428571428571</v>
      </c>
      <c r="O2776" s="108">
        <v>2</v>
      </c>
      <c r="P2776" s="108">
        <v>2</v>
      </c>
      <c r="Q2776" s="108">
        <v>-3</v>
      </c>
      <c r="R2776" s="108">
        <v>-6.14285714285714</v>
      </c>
      <c r="S2776" s="108">
        <v>1</v>
      </c>
      <c r="T2776" s="108">
        <v>0.666666666666667</v>
      </c>
      <c r="U2776" s="108">
        <v>0.4</v>
      </c>
      <c r="V2776" s="108">
        <v>-1.28571428571429</v>
      </c>
    </row>
    <row r="2777" spans="1:22">
      <c r="A2777" s="143">
        <v>45141</v>
      </c>
      <c r="B2777" s="104" t="s">
        <v>19</v>
      </c>
      <c r="C2777" s="216">
        <v>616</v>
      </c>
      <c r="D2777" s="216">
        <v>455</v>
      </c>
      <c r="E2777" s="217">
        <v>5</v>
      </c>
      <c r="F2777" s="106">
        <v>0.00811688311688312</v>
      </c>
      <c r="G2777" s="107">
        <v>1</v>
      </c>
      <c r="H2777" s="106">
        <v>0.2</v>
      </c>
      <c r="I2777" s="104">
        <v>0</v>
      </c>
      <c r="J2777" s="106">
        <v>0</v>
      </c>
      <c r="K2777" s="108">
        <v>-27</v>
      </c>
      <c r="L2777" s="108">
        <v>187</v>
      </c>
      <c r="M2777" s="108">
        <v>86.6</v>
      </c>
      <c r="N2777" s="108">
        <v>58.5714285714286</v>
      </c>
      <c r="O2777" s="108">
        <v>-6</v>
      </c>
      <c r="P2777" s="108">
        <v>-1.33333333333333</v>
      </c>
      <c r="Q2777" s="108">
        <v>-4</v>
      </c>
      <c r="R2777" s="108">
        <v>-5.71428571428571</v>
      </c>
      <c r="S2777" s="108">
        <v>-4</v>
      </c>
      <c r="T2777" s="108">
        <v>-3.66666666666667</v>
      </c>
      <c r="U2777" s="108">
        <v>-4</v>
      </c>
      <c r="V2777" s="115">
        <v>-3.57142857142857</v>
      </c>
    </row>
    <row r="2778" spans="1:22">
      <c r="A2778" s="143">
        <v>45141</v>
      </c>
      <c r="B2778" s="104" t="s">
        <v>21</v>
      </c>
      <c r="C2778" s="218">
        <v>265</v>
      </c>
      <c r="D2778" s="218">
        <v>226</v>
      </c>
      <c r="E2778" s="217">
        <v>7</v>
      </c>
      <c r="F2778" s="106">
        <v>0.0264150943396226</v>
      </c>
      <c r="G2778" s="107">
        <v>2</v>
      </c>
      <c r="H2778" s="106">
        <v>0.285714285714286</v>
      </c>
      <c r="I2778" s="104">
        <v>2</v>
      </c>
      <c r="J2778" s="106">
        <v>0.285714285714286</v>
      </c>
      <c r="K2778" s="108">
        <v>-1</v>
      </c>
      <c r="L2778" s="108">
        <v>78.6666666666667</v>
      </c>
      <c r="M2778" s="108">
        <v>44.8</v>
      </c>
      <c r="N2778" s="108">
        <v>26.2857142857143</v>
      </c>
      <c r="O2778" s="108">
        <v>3</v>
      </c>
      <c r="P2778" s="108">
        <v>4</v>
      </c>
      <c r="Q2778" s="108">
        <v>4</v>
      </c>
      <c r="R2778" s="108">
        <v>3.14285714285714</v>
      </c>
      <c r="S2778" s="108">
        <v>2</v>
      </c>
      <c r="T2778" s="108">
        <v>0.333333333333333</v>
      </c>
      <c r="U2778" s="108">
        <v>0.2</v>
      </c>
      <c r="V2778" s="108">
        <v>0.142857142857143</v>
      </c>
    </row>
    <row r="2779" spans="1:22">
      <c r="A2779" s="143">
        <v>45141</v>
      </c>
      <c r="B2779" s="104" t="s">
        <v>22</v>
      </c>
      <c r="C2779" s="218">
        <v>2898</v>
      </c>
      <c r="D2779" s="218">
        <v>1378</v>
      </c>
      <c r="E2779" s="217">
        <v>42</v>
      </c>
      <c r="F2779" s="106">
        <v>0.0144927536231884</v>
      </c>
      <c r="G2779" s="107">
        <v>10</v>
      </c>
      <c r="H2779" s="106">
        <v>0.238095238095238</v>
      </c>
      <c r="I2779" s="104">
        <v>7</v>
      </c>
      <c r="J2779" s="106">
        <v>0.166666666666667</v>
      </c>
      <c r="K2779" s="108">
        <v>606</v>
      </c>
      <c r="L2779" s="108">
        <v>1573.66666666667</v>
      </c>
      <c r="M2779" s="108">
        <v>1544.6</v>
      </c>
      <c r="N2779" s="108">
        <v>1561.85714285714</v>
      </c>
      <c r="O2779" s="108">
        <v>5</v>
      </c>
      <c r="P2779" s="108">
        <v>18</v>
      </c>
      <c r="Q2779" s="108">
        <v>12.6</v>
      </c>
      <c r="R2779" s="115">
        <v>11.4285714285714</v>
      </c>
      <c r="S2779" s="108">
        <v>-4</v>
      </c>
      <c r="T2779" s="108">
        <v>3</v>
      </c>
      <c r="U2779" s="108">
        <v>0.4</v>
      </c>
      <c r="V2779" s="108">
        <v>0.4</v>
      </c>
    </row>
    <row r="2780" spans="1:22">
      <c r="A2780" s="143">
        <v>45141</v>
      </c>
      <c r="B2780" s="104" t="s">
        <v>23</v>
      </c>
      <c r="C2780" s="218">
        <v>4036</v>
      </c>
      <c r="D2780" s="218">
        <v>263</v>
      </c>
      <c r="E2780" s="217">
        <v>8</v>
      </c>
      <c r="F2780" s="106">
        <v>0.00198216055500496</v>
      </c>
      <c r="G2780" s="107">
        <v>4</v>
      </c>
      <c r="H2780" s="106">
        <v>0.5</v>
      </c>
      <c r="I2780" s="104">
        <v>2</v>
      </c>
      <c r="J2780" s="106">
        <v>0.25</v>
      </c>
      <c r="K2780" s="108">
        <v>67</v>
      </c>
      <c r="L2780" s="108">
        <v>1522</v>
      </c>
      <c r="M2780" s="108">
        <v>1125.4</v>
      </c>
      <c r="N2780" s="108">
        <v>1034.57142857143</v>
      </c>
      <c r="O2780" s="108">
        <v>0</v>
      </c>
      <c r="P2780" s="108">
        <v>3.66666666666667</v>
      </c>
      <c r="Q2780" s="108">
        <v>3.4</v>
      </c>
      <c r="R2780" s="108">
        <v>2.71428571428571</v>
      </c>
      <c r="S2780" s="108">
        <v>3</v>
      </c>
      <c r="T2780" s="108">
        <v>3</v>
      </c>
      <c r="U2780" s="108">
        <v>2.4</v>
      </c>
      <c r="V2780" s="108">
        <v>2.28571428571429</v>
      </c>
    </row>
    <row r="2781" spans="1:22">
      <c r="A2781" s="143">
        <v>45141</v>
      </c>
      <c r="B2781" s="104" t="s">
        <v>24</v>
      </c>
      <c r="C2781" s="218">
        <v>1027</v>
      </c>
      <c r="D2781" s="218">
        <v>801</v>
      </c>
      <c r="E2781" s="217">
        <v>22</v>
      </c>
      <c r="F2781" s="106">
        <v>0.0214216163583252</v>
      </c>
      <c r="G2781" s="107">
        <v>10</v>
      </c>
      <c r="H2781" s="106">
        <v>0.454545454545455</v>
      </c>
      <c r="I2781" s="104">
        <v>6</v>
      </c>
      <c r="J2781" s="106">
        <v>0.272727272727273</v>
      </c>
      <c r="K2781" s="108">
        <v>-70</v>
      </c>
      <c r="L2781" s="108">
        <v>293</v>
      </c>
      <c r="M2781" s="108">
        <v>150</v>
      </c>
      <c r="N2781" s="108">
        <v>132</v>
      </c>
      <c r="O2781" s="115">
        <v>2</v>
      </c>
      <c r="P2781" s="115">
        <v>7.66666666666667</v>
      </c>
      <c r="Q2781" s="115">
        <v>2.6</v>
      </c>
      <c r="R2781" s="115">
        <v>3.14285714285714</v>
      </c>
      <c r="S2781" s="115">
        <v>1</v>
      </c>
      <c r="T2781" s="115">
        <v>5.33333333333333</v>
      </c>
      <c r="U2781" s="115">
        <v>4.8</v>
      </c>
      <c r="V2781" s="115">
        <v>5.14285714285714</v>
      </c>
    </row>
    <row r="2782" spans="1:22">
      <c r="A2782" s="143">
        <v>45141</v>
      </c>
      <c r="B2782" s="104" t="s">
        <v>25</v>
      </c>
      <c r="C2782" s="218">
        <v>8863</v>
      </c>
      <c r="D2782" s="218">
        <v>541</v>
      </c>
      <c r="E2782" s="217">
        <v>38</v>
      </c>
      <c r="F2782" s="106">
        <v>0.004287487306781</v>
      </c>
      <c r="G2782" s="107">
        <v>9</v>
      </c>
      <c r="H2782" s="106">
        <v>0.236842105263158</v>
      </c>
      <c r="I2782" s="104">
        <v>6</v>
      </c>
      <c r="J2782" s="106">
        <v>0.157894736842105</v>
      </c>
      <c r="K2782" s="108">
        <v>-262</v>
      </c>
      <c r="L2782" s="108">
        <v>4660</v>
      </c>
      <c r="M2782" s="108">
        <v>2934.8</v>
      </c>
      <c r="N2782" s="108">
        <v>3568.85714285714</v>
      </c>
      <c r="O2782" s="115">
        <v>-6</v>
      </c>
      <c r="P2782" s="115">
        <v>12.3333333333333</v>
      </c>
      <c r="Q2782" s="115">
        <v>-1.8</v>
      </c>
      <c r="R2782" s="115">
        <v>-6.57142857142857</v>
      </c>
      <c r="S2782" s="108">
        <v>-3</v>
      </c>
      <c r="T2782" s="108">
        <v>1.33333333333333</v>
      </c>
      <c r="U2782" s="108">
        <v>-6.8</v>
      </c>
      <c r="V2782" s="108">
        <v>-8.14285714285714</v>
      </c>
    </row>
    <row r="2783" spans="1:22">
      <c r="A2783" s="143">
        <v>45141</v>
      </c>
      <c r="B2783" s="104" t="s">
        <v>26</v>
      </c>
      <c r="C2783" s="218">
        <v>1556</v>
      </c>
      <c r="D2783" s="218">
        <v>2058</v>
      </c>
      <c r="E2783" s="217">
        <v>31</v>
      </c>
      <c r="F2783" s="106">
        <v>0.0199228791773779</v>
      </c>
      <c r="G2783" s="107">
        <v>7</v>
      </c>
      <c r="H2783" s="106">
        <v>0.225806451612903</v>
      </c>
      <c r="I2783" s="104">
        <v>7</v>
      </c>
      <c r="J2783" s="106">
        <v>0.225806451612903</v>
      </c>
      <c r="K2783" s="108">
        <v>-11</v>
      </c>
      <c r="L2783" s="108">
        <v>554.666666666667</v>
      </c>
      <c r="M2783" s="108">
        <v>427.4</v>
      </c>
      <c r="N2783" s="108">
        <v>384.571428571429</v>
      </c>
      <c r="O2783" s="108">
        <v>0</v>
      </c>
      <c r="P2783" s="108">
        <v>8.66666666666667</v>
      </c>
      <c r="Q2783" s="108">
        <v>4.8</v>
      </c>
      <c r="R2783" s="108">
        <v>4.28571428571428</v>
      </c>
      <c r="S2783" s="108">
        <v>-8</v>
      </c>
      <c r="T2783" s="108">
        <v>-1</v>
      </c>
      <c r="U2783" s="108">
        <v>-0.6</v>
      </c>
      <c r="V2783" s="108">
        <v>-1.85714285714286</v>
      </c>
    </row>
    <row r="2784" spans="1:22">
      <c r="A2784" s="143">
        <v>45141</v>
      </c>
      <c r="B2784" s="104" t="s">
        <v>27</v>
      </c>
      <c r="C2784" s="218">
        <v>5024</v>
      </c>
      <c r="D2784" s="218">
        <v>435</v>
      </c>
      <c r="E2784" s="217">
        <v>15</v>
      </c>
      <c r="F2784" s="106">
        <v>0.00298566878980892</v>
      </c>
      <c r="G2784" s="107">
        <v>1</v>
      </c>
      <c r="H2784" s="106">
        <v>0.0666666666666667</v>
      </c>
      <c r="I2784" s="104">
        <v>0</v>
      </c>
      <c r="J2784" s="106">
        <v>0</v>
      </c>
      <c r="K2784" s="108">
        <v>-766</v>
      </c>
      <c r="L2784" s="108">
        <v>-178.333333333333</v>
      </c>
      <c r="M2784" s="108">
        <v>-1982.6</v>
      </c>
      <c r="N2784" s="108">
        <v>-2325.14285714286</v>
      </c>
      <c r="O2784" s="108">
        <v>2</v>
      </c>
      <c r="P2784" s="108">
        <v>4</v>
      </c>
      <c r="Q2784" s="108">
        <v>3.4</v>
      </c>
      <c r="R2784" s="108">
        <v>1.42857142857143</v>
      </c>
      <c r="S2784" s="108">
        <v>-3</v>
      </c>
      <c r="T2784" s="108">
        <v>-1</v>
      </c>
      <c r="U2784" s="108">
        <v>-1.8</v>
      </c>
      <c r="V2784" s="108">
        <v>-2.71428571428571</v>
      </c>
    </row>
    <row r="2785" hidden="1" spans="1:22">
      <c r="A2785" s="143">
        <v>45141</v>
      </c>
      <c r="B2785" s="104" t="s">
        <v>28</v>
      </c>
      <c r="C2785" s="145">
        <v>0</v>
      </c>
      <c r="D2785" s="145"/>
      <c r="E2785" s="104">
        <v>0</v>
      </c>
      <c r="F2785" s="106">
        <v>0</v>
      </c>
      <c r="G2785" s="107">
        <v>0</v>
      </c>
      <c r="H2785" s="106">
        <v>0</v>
      </c>
      <c r="I2785" s="104">
        <v>0</v>
      </c>
      <c r="J2785" s="106">
        <v>0</v>
      </c>
      <c r="K2785" s="108">
        <v>0</v>
      </c>
      <c r="L2785" s="108">
        <v>0</v>
      </c>
      <c r="M2785" s="108">
        <v>0</v>
      </c>
      <c r="N2785" s="108">
        <v>0</v>
      </c>
      <c r="O2785" s="108">
        <v>0</v>
      </c>
      <c r="P2785" s="108">
        <v>0</v>
      </c>
      <c r="Q2785" s="108">
        <v>0</v>
      </c>
      <c r="R2785" s="108">
        <v>0</v>
      </c>
      <c r="S2785" s="108">
        <v>0</v>
      </c>
      <c r="T2785" s="108">
        <v>0</v>
      </c>
      <c r="U2785" s="108">
        <v>0</v>
      </c>
      <c r="V2785" s="108">
        <v>0</v>
      </c>
    </row>
    <row r="2786" hidden="1" spans="1:22">
      <c r="A2786" s="143">
        <v>45141</v>
      </c>
      <c r="B2786" s="104" t="s">
        <v>29</v>
      </c>
      <c r="C2786" s="145">
        <v>0</v>
      </c>
      <c r="D2786" s="145"/>
      <c r="E2786" s="104">
        <v>0</v>
      </c>
      <c r="F2786" s="106">
        <v>0</v>
      </c>
      <c r="G2786" s="107">
        <v>0</v>
      </c>
      <c r="H2786" s="106">
        <v>0</v>
      </c>
      <c r="I2786" s="104">
        <v>0</v>
      </c>
      <c r="J2786" s="106">
        <v>0</v>
      </c>
      <c r="K2786" s="108">
        <v>0</v>
      </c>
      <c r="L2786" s="108">
        <v>0</v>
      </c>
      <c r="M2786" s="108">
        <v>0</v>
      </c>
      <c r="N2786" s="108">
        <v>0</v>
      </c>
      <c r="O2786" s="108">
        <v>-1</v>
      </c>
      <c r="P2786" s="108">
        <v>-0.333333333333333</v>
      </c>
      <c r="Q2786" s="108">
        <v>-0.2</v>
      </c>
      <c r="R2786" s="108">
        <v>-0.142857142857143</v>
      </c>
      <c r="S2786" s="108">
        <v>0</v>
      </c>
      <c r="T2786" s="108">
        <v>0</v>
      </c>
      <c r="U2786" s="108">
        <v>0</v>
      </c>
      <c r="V2786" s="108">
        <v>0</v>
      </c>
    </row>
    <row r="2787" hidden="1" spans="1:22">
      <c r="A2787" s="143">
        <v>45141</v>
      </c>
      <c r="B2787" s="104" t="s">
        <v>30</v>
      </c>
      <c r="C2787" s="145">
        <v>0</v>
      </c>
      <c r="D2787" s="145"/>
      <c r="E2787" s="104">
        <v>0</v>
      </c>
      <c r="F2787" s="106">
        <v>0</v>
      </c>
      <c r="G2787" s="107">
        <v>0</v>
      </c>
      <c r="H2787" s="106">
        <v>0</v>
      </c>
      <c r="I2787" s="104">
        <v>0</v>
      </c>
      <c r="J2787" s="106">
        <v>0</v>
      </c>
      <c r="K2787" s="108">
        <v>0</v>
      </c>
      <c r="L2787" s="108">
        <v>0</v>
      </c>
      <c r="M2787" s="108">
        <v>0</v>
      </c>
      <c r="N2787" s="108">
        <v>0</v>
      </c>
      <c r="O2787" s="108">
        <v>0</v>
      </c>
      <c r="P2787" s="108">
        <v>0</v>
      </c>
      <c r="Q2787" s="108">
        <v>0</v>
      </c>
      <c r="R2787" s="108">
        <v>0</v>
      </c>
      <c r="S2787" s="108">
        <v>0</v>
      </c>
      <c r="T2787" s="108">
        <v>0</v>
      </c>
      <c r="U2787" s="108">
        <v>0</v>
      </c>
      <c r="V2787" s="108">
        <v>0</v>
      </c>
    </row>
    <row r="2788" hidden="1" spans="1:22">
      <c r="A2788" s="143">
        <v>45141</v>
      </c>
      <c r="B2788" s="104" t="s">
        <v>31</v>
      </c>
      <c r="C2788" s="145">
        <v>0</v>
      </c>
      <c r="D2788" s="145"/>
      <c r="E2788" s="104">
        <v>0</v>
      </c>
      <c r="F2788" s="106">
        <v>0</v>
      </c>
      <c r="G2788" s="107">
        <v>0</v>
      </c>
      <c r="H2788" s="106">
        <v>0</v>
      </c>
      <c r="I2788" s="104">
        <v>0</v>
      </c>
      <c r="J2788" s="106">
        <v>0</v>
      </c>
      <c r="K2788" s="108">
        <v>0</v>
      </c>
      <c r="L2788" s="108">
        <v>0</v>
      </c>
      <c r="M2788" s="108">
        <v>0</v>
      </c>
      <c r="N2788" s="108">
        <v>0</v>
      </c>
      <c r="O2788" s="108">
        <v>0</v>
      </c>
      <c r="P2788" s="108">
        <v>0</v>
      </c>
      <c r="Q2788" s="108">
        <v>0</v>
      </c>
      <c r="R2788" s="108">
        <v>0</v>
      </c>
      <c r="S2788" s="108">
        <v>0</v>
      </c>
      <c r="T2788" s="108">
        <v>0</v>
      </c>
      <c r="U2788" s="108">
        <v>0</v>
      </c>
      <c r="V2788" s="108">
        <v>0</v>
      </c>
    </row>
    <row r="2789" hidden="1" spans="1:22">
      <c r="A2789" s="143">
        <v>45141</v>
      </c>
      <c r="B2789" s="104" t="s">
        <v>32</v>
      </c>
      <c r="C2789" s="145">
        <v>0</v>
      </c>
      <c r="D2789" s="145"/>
      <c r="E2789" s="104">
        <v>0</v>
      </c>
      <c r="F2789" s="106">
        <v>0</v>
      </c>
      <c r="G2789" s="107">
        <v>0</v>
      </c>
      <c r="H2789" s="106">
        <v>0</v>
      </c>
      <c r="I2789" s="104">
        <v>0</v>
      </c>
      <c r="J2789" s="106">
        <v>0</v>
      </c>
      <c r="K2789" s="108">
        <v>0</v>
      </c>
      <c r="L2789" s="108">
        <v>0</v>
      </c>
      <c r="M2789" s="108">
        <v>0</v>
      </c>
      <c r="N2789" s="108">
        <v>0</v>
      </c>
      <c r="O2789" s="108">
        <v>0</v>
      </c>
      <c r="P2789" s="108">
        <v>0</v>
      </c>
      <c r="Q2789" s="108">
        <v>0</v>
      </c>
      <c r="R2789" s="108">
        <v>0</v>
      </c>
      <c r="S2789" s="108">
        <v>0</v>
      </c>
      <c r="T2789" s="108">
        <v>0</v>
      </c>
      <c r="U2789" s="108">
        <v>0</v>
      </c>
      <c r="V2789" s="108">
        <v>0</v>
      </c>
    </row>
    <row r="2790" hidden="1" spans="1:22">
      <c r="A2790" s="143">
        <v>45141</v>
      </c>
      <c r="B2790" s="104" t="s">
        <v>33</v>
      </c>
      <c r="C2790" s="145">
        <v>0</v>
      </c>
      <c r="D2790" s="145"/>
      <c r="E2790" s="104">
        <v>0</v>
      </c>
      <c r="F2790" s="106">
        <v>0</v>
      </c>
      <c r="G2790" s="107">
        <v>0</v>
      </c>
      <c r="H2790" s="106">
        <v>0</v>
      </c>
      <c r="I2790" s="104">
        <v>0</v>
      </c>
      <c r="J2790" s="106">
        <v>0</v>
      </c>
      <c r="K2790" s="108">
        <v>0</v>
      </c>
      <c r="L2790" s="108">
        <v>0</v>
      </c>
      <c r="M2790" s="108">
        <v>0</v>
      </c>
      <c r="N2790" s="108">
        <v>0</v>
      </c>
      <c r="O2790" s="108">
        <v>0</v>
      </c>
      <c r="P2790" s="108">
        <v>0</v>
      </c>
      <c r="Q2790" s="108">
        <v>0</v>
      </c>
      <c r="R2790" s="108">
        <v>0</v>
      </c>
      <c r="S2790" s="108">
        <v>0</v>
      </c>
      <c r="T2790" s="108">
        <v>0</v>
      </c>
      <c r="U2790" s="108">
        <v>0</v>
      </c>
      <c r="V2790" s="108">
        <v>0</v>
      </c>
    </row>
    <row r="2791" hidden="1" spans="1:22">
      <c r="A2791" s="143">
        <v>45141</v>
      </c>
      <c r="B2791" s="104" t="s">
        <v>34</v>
      </c>
      <c r="C2791" s="145">
        <v>0</v>
      </c>
      <c r="D2791" s="145"/>
      <c r="E2791" s="104">
        <v>0</v>
      </c>
      <c r="F2791" s="106">
        <v>0</v>
      </c>
      <c r="G2791" s="107">
        <v>0</v>
      </c>
      <c r="H2791" s="106">
        <v>0</v>
      </c>
      <c r="I2791" s="104">
        <v>0</v>
      </c>
      <c r="J2791" s="106">
        <v>0</v>
      </c>
      <c r="K2791" s="108">
        <v>0</v>
      </c>
      <c r="L2791" s="108">
        <v>0</v>
      </c>
      <c r="M2791" s="108">
        <v>0</v>
      </c>
      <c r="N2791" s="108">
        <v>0</v>
      </c>
      <c r="O2791" s="108">
        <v>0</v>
      </c>
      <c r="P2791" s="108">
        <v>0</v>
      </c>
      <c r="Q2791" s="108">
        <v>0</v>
      </c>
      <c r="R2791" s="108">
        <v>0</v>
      </c>
      <c r="S2791" s="108">
        <v>0</v>
      </c>
      <c r="T2791" s="108">
        <v>0</v>
      </c>
      <c r="U2791" s="108">
        <v>0</v>
      </c>
      <c r="V2791" s="108">
        <v>0</v>
      </c>
    </row>
    <row r="2792" hidden="1" spans="1:22">
      <c r="A2792" s="143">
        <v>45141</v>
      </c>
      <c r="B2792" s="104" t="s">
        <v>35</v>
      </c>
      <c r="C2792" s="145">
        <v>0</v>
      </c>
      <c r="D2792" s="145"/>
      <c r="E2792" s="104">
        <v>0</v>
      </c>
      <c r="F2792" s="106">
        <v>0</v>
      </c>
      <c r="G2792" s="107">
        <v>0</v>
      </c>
      <c r="H2792" s="106">
        <v>0</v>
      </c>
      <c r="I2792" s="104">
        <v>0</v>
      </c>
      <c r="J2792" s="106">
        <v>0</v>
      </c>
      <c r="K2792" s="108">
        <v>0</v>
      </c>
      <c r="L2792" s="108">
        <v>0</v>
      </c>
      <c r="M2792" s="108">
        <v>0</v>
      </c>
      <c r="N2792" s="108">
        <v>0</v>
      </c>
      <c r="O2792" s="108">
        <v>0</v>
      </c>
      <c r="P2792" s="108">
        <v>0</v>
      </c>
      <c r="Q2792" s="108">
        <v>0</v>
      </c>
      <c r="R2792" s="108">
        <v>0</v>
      </c>
      <c r="S2792" s="108">
        <v>0</v>
      </c>
      <c r="T2792" s="108">
        <v>0</v>
      </c>
      <c r="U2792" s="108">
        <v>0</v>
      </c>
      <c r="V2792" s="108">
        <v>0</v>
      </c>
    </row>
    <row r="2793" hidden="1" spans="1:22">
      <c r="A2793" s="143">
        <v>45141</v>
      </c>
      <c r="B2793" s="104" t="s">
        <v>36</v>
      </c>
      <c r="C2793" s="145">
        <v>0</v>
      </c>
      <c r="D2793" s="145"/>
      <c r="E2793" s="104">
        <v>0</v>
      </c>
      <c r="F2793" s="106">
        <v>0</v>
      </c>
      <c r="G2793" s="107">
        <v>0</v>
      </c>
      <c r="H2793" s="106">
        <v>0</v>
      </c>
      <c r="I2793" s="104">
        <v>0</v>
      </c>
      <c r="J2793" s="106">
        <v>0</v>
      </c>
      <c r="K2793" s="108">
        <v>0</v>
      </c>
      <c r="L2793" s="108">
        <v>0</v>
      </c>
      <c r="M2793" s="108">
        <v>0</v>
      </c>
      <c r="N2793" s="108">
        <v>0</v>
      </c>
      <c r="O2793" s="108">
        <v>0</v>
      </c>
      <c r="P2793" s="108">
        <v>0</v>
      </c>
      <c r="Q2793" s="108">
        <v>0</v>
      </c>
      <c r="R2793" s="108">
        <v>0</v>
      </c>
      <c r="S2793" s="108">
        <v>0</v>
      </c>
      <c r="T2793" s="108">
        <v>0</v>
      </c>
      <c r="U2793" s="108">
        <v>0</v>
      </c>
      <c r="V2793" s="108">
        <v>0</v>
      </c>
    </row>
    <row r="2794" hidden="1" spans="1:22">
      <c r="A2794" s="143">
        <v>45141</v>
      </c>
      <c r="B2794" s="104" t="s">
        <v>37</v>
      </c>
      <c r="C2794" s="145">
        <v>0</v>
      </c>
      <c r="D2794" s="145"/>
      <c r="E2794" s="104">
        <v>1</v>
      </c>
      <c r="F2794" s="106">
        <v>0</v>
      </c>
      <c r="G2794" s="107">
        <v>0</v>
      </c>
      <c r="H2794" s="106">
        <v>0</v>
      </c>
      <c r="I2794" s="104">
        <v>0</v>
      </c>
      <c r="J2794" s="106">
        <v>0</v>
      </c>
      <c r="K2794" s="108">
        <v>0</v>
      </c>
      <c r="L2794" s="108">
        <v>0</v>
      </c>
      <c r="M2794" s="108">
        <v>0</v>
      </c>
      <c r="N2794" s="108">
        <v>0</v>
      </c>
      <c r="O2794" s="108">
        <v>0</v>
      </c>
      <c r="P2794" s="108">
        <v>-0.333333333333333</v>
      </c>
      <c r="Q2794" s="108">
        <v>-0.4</v>
      </c>
      <c r="R2794" s="108">
        <v>0</v>
      </c>
      <c r="S2794" s="108">
        <v>0</v>
      </c>
      <c r="T2794" s="108">
        <v>0</v>
      </c>
      <c r="U2794" s="108">
        <v>0</v>
      </c>
      <c r="V2794" s="108">
        <v>0</v>
      </c>
    </row>
    <row r="2795" hidden="1" spans="1:22">
      <c r="A2795" s="143">
        <v>45141</v>
      </c>
      <c r="B2795" s="104" t="s">
        <v>38</v>
      </c>
      <c r="C2795" s="145">
        <v>0</v>
      </c>
      <c r="D2795" s="145"/>
      <c r="E2795" s="104">
        <v>0</v>
      </c>
      <c r="F2795" s="106">
        <v>0</v>
      </c>
      <c r="G2795" s="107">
        <v>0</v>
      </c>
      <c r="H2795" s="106">
        <v>0</v>
      </c>
      <c r="I2795" s="104">
        <v>0</v>
      </c>
      <c r="J2795" s="106">
        <v>0</v>
      </c>
      <c r="K2795" s="108">
        <v>0</v>
      </c>
      <c r="L2795" s="108">
        <v>0</v>
      </c>
      <c r="M2795" s="108">
        <v>0</v>
      </c>
      <c r="N2795" s="108">
        <v>0</v>
      </c>
      <c r="O2795" s="108">
        <v>0</v>
      </c>
      <c r="P2795" s="108">
        <v>0</v>
      </c>
      <c r="Q2795" s="108">
        <v>0</v>
      </c>
      <c r="R2795" s="108">
        <v>0</v>
      </c>
      <c r="S2795" s="108">
        <v>0</v>
      </c>
      <c r="T2795" s="108">
        <v>0</v>
      </c>
      <c r="U2795" s="108">
        <v>0</v>
      </c>
      <c r="V2795" s="108">
        <v>0</v>
      </c>
    </row>
    <row r="2796" spans="1:22">
      <c r="A2796" s="143">
        <v>45141</v>
      </c>
      <c r="B2796" s="111" t="s">
        <v>39</v>
      </c>
      <c r="C2796" s="112">
        <v>24285</v>
      </c>
      <c r="D2796" s="112">
        <v>6240</v>
      </c>
      <c r="E2796" s="112">
        <v>171</v>
      </c>
      <c r="F2796" s="106">
        <v>0.007041383570105</v>
      </c>
      <c r="G2796" s="112">
        <v>45</v>
      </c>
      <c r="H2796" s="113">
        <v>0.263157894736842</v>
      </c>
      <c r="I2796" s="112">
        <v>30</v>
      </c>
      <c r="J2796" s="106">
        <v>0.175438596491228</v>
      </c>
      <c r="K2796" s="108">
        <v>-465</v>
      </c>
      <c r="L2796" s="108">
        <v>8552.33333333333</v>
      </c>
      <c r="M2796" s="108">
        <v>4073</v>
      </c>
      <c r="N2796" s="108">
        <v>4111.14285714286</v>
      </c>
      <c r="O2796" s="108">
        <v>1</v>
      </c>
      <c r="P2796" s="108">
        <v>58.3333333333333</v>
      </c>
      <c r="Q2796" s="108">
        <v>21.4</v>
      </c>
      <c r="R2796" s="108">
        <v>7.57142857142858</v>
      </c>
      <c r="S2796" s="108">
        <v>-15</v>
      </c>
      <c r="T2796" s="108">
        <v>8</v>
      </c>
      <c r="U2796" s="108">
        <v>-5.6</v>
      </c>
      <c r="V2796" s="108">
        <v>-10.1428571428571</v>
      </c>
    </row>
    <row r="2797" spans="1:22">
      <c r="A2797" s="143">
        <v>45142</v>
      </c>
      <c r="B2797" s="226" t="s">
        <v>17</v>
      </c>
      <c r="C2797" s="227">
        <v>0</v>
      </c>
      <c r="D2797" s="227">
        <v>40</v>
      </c>
      <c r="E2797" s="228">
        <v>3</v>
      </c>
      <c r="F2797" s="229">
        <v>40</v>
      </c>
      <c r="G2797" s="230">
        <v>0</v>
      </c>
      <c r="H2797" s="229">
        <v>0</v>
      </c>
      <c r="I2797" s="226">
        <v>0</v>
      </c>
      <c r="J2797" s="229">
        <v>0</v>
      </c>
      <c r="K2797" s="221">
        <v>0</v>
      </c>
      <c r="L2797" s="221">
        <v>-138.333333333333</v>
      </c>
      <c r="M2797" s="221">
        <v>-180.4</v>
      </c>
      <c r="N2797" s="221">
        <v>-256.857142857143</v>
      </c>
      <c r="O2797" s="221">
        <v>1</v>
      </c>
      <c r="P2797" s="221">
        <v>2.33333333333333</v>
      </c>
      <c r="Q2797" s="221">
        <v>0.4</v>
      </c>
      <c r="R2797" s="221">
        <v>-3.42857142857143</v>
      </c>
      <c r="S2797" s="221">
        <v>-1</v>
      </c>
      <c r="T2797" s="221">
        <v>-0.666666666666667</v>
      </c>
      <c r="U2797" s="221">
        <v>-1.2</v>
      </c>
      <c r="V2797" s="221">
        <v>-1.71428571428571</v>
      </c>
    </row>
    <row r="2798" spans="1:22">
      <c r="A2798" s="143">
        <v>45142</v>
      </c>
      <c r="B2798" s="226" t="s">
        <v>19</v>
      </c>
      <c r="C2798" s="227">
        <v>715</v>
      </c>
      <c r="D2798" s="227">
        <v>507</v>
      </c>
      <c r="E2798" s="228">
        <v>22</v>
      </c>
      <c r="F2798" s="229">
        <v>0.0307692307692308</v>
      </c>
      <c r="G2798" s="230">
        <v>10</v>
      </c>
      <c r="H2798" s="229">
        <v>0.454545454545455</v>
      </c>
      <c r="I2798" s="226">
        <v>7</v>
      </c>
      <c r="J2798" s="229">
        <v>0.318181818181818</v>
      </c>
      <c r="K2798" s="221">
        <v>99</v>
      </c>
      <c r="L2798" s="221">
        <v>80.6666666666666</v>
      </c>
      <c r="M2798" s="221">
        <v>191.2</v>
      </c>
      <c r="N2798" s="221">
        <v>168.428571428571</v>
      </c>
      <c r="O2798" s="221">
        <v>17</v>
      </c>
      <c r="P2798" s="221">
        <v>14</v>
      </c>
      <c r="Q2798" s="221">
        <v>13.8</v>
      </c>
      <c r="R2798" s="221">
        <v>13</v>
      </c>
      <c r="S2798" s="221">
        <v>9</v>
      </c>
      <c r="T2798" s="221">
        <v>5</v>
      </c>
      <c r="U2798" s="221">
        <v>6</v>
      </c>
      <c r="V2798" s="222">
        <v>5.71428571428571</v>
      </c>
    </row>
    <row r="2799" spans="1:22">
      <c r="A2799" s="143">
        <v>45142</v>
      </c>
      <c r="B2799" s="226" t="s">
        <v>21</v>
      </c>
      <c r="C2799" s="231">
        <v>284</v>
      </c>
      <c r="D2799" s="231">
        <v>242</v>
      </c>
      <c r="E2799" s="228">
        <v>5</v>
      </c>
      <c r="F2799" s="229">
        <v>0.0176056338028169</v>
      </c>
      <c r="G2799" s="230">
        <v>4</v>
      </c>
      <c r="H2799" s="229">
        <v>0.8</v>
      </c>
      <c r="I2799" s="226">
        <v>4</v>
      </c>
      <c r="J2799" s="229">
        <v>0.8</v>
      </c>
      <c r="K2799" s="221">
        <v>19</v>
      </c>
      <c r="L2799" s="221">
        <v>9.33333333333331</v>
      </c>
      <c r="M2799" s="221">
        <v>62.4</v>
      </c>
      <c r="N2799" s="221">
        <v>50.8571428571429</v>
      </c>
      <c r="O2799" s="221">
        <v>-2</v>
      </c>
      <c r="P2799" s="221">
        <v>-0.333333333333333</v>
      </c>
      <c r="Q2799" s="221">
        <v>1.2</v>
      </c>
      <c r="R2799" s="221">
        <v>1.28571428571429</v>
      </c>
      <c r="S2799" s="221">
        <v>2</v>
      </c>
      <c r="T2799" s="221">
        <v>1.66666666666667</v>
      </c>
      <c r="U2799" s="221">
        <v>2.6</v>
      </c>
      <c r="V2799" s="221">
        <v>2</v>
      </c>
    </row>
    <row r="2800" spans="1:22">
      <c r="A2800" s="143">
        <v>45142</v>
      </c>
      <c r="B2800" s="226" t="s">
        <v>22</v>
      </c>
      <c r="C2800" s="231">
        <v>3109</v>
      </c>
      <c r="D2800" s="231">
        <v>849</v>
      </c>
      <c r="E2800" s="228">
        <v>46</v>
      </c>
      <c r="F2800" s="229">
        <v>0.0147957542618205</v>
      </c>
      <c r="G2800" s="230">
        <v>17</v>
      </c>
      <c r="H2800" s="229">
        <v>0.369565217391304</v>
      </c>
      <c r="I2800" s="226">
        <v>8</v>
      </c>
      <c r="J2800" s="229">
        <v>0.173913043478261</v>
      </c>
      <c r="K2800" s="221">
        <v>211</v>
      </c>
      <c r="L2800" s="221">
        <v>818.666666666667</v>
      </c>
      <c r="M2800" s="221">
        <v>1443.6</v>
      </c>
      <c r="N2800" s="221">
        <v>1548.28571428571</v>
      </c>
      <c r="O2800" s="221">
        <v>4</v>
      </c>
      <c r="P2800" s="221">
        <v>8</v>
      </c>
      <c r="Q2800" s="221">
        <v>14.8</v>
      </c>
      <c r="R2800" s="222">
        <v>14.2857142857143</v>
      </c>
      <c r="S2800" s="221">
        <v>7</v>
      </c>
      <c r="T2800" s="221">
        <v>6.66666666666667</v>
      </c>
      <c r="U2800" s="221">
        <v>8.8</v>
      </c>
      <c r="V2800" s="223">
        <v>7.28571428571429</v>
      </c>
    </row>
    <row r="2801" spans="1:22">
      <c r="A2801" s="143">
        <v>45142</v>
      </c>
      <c r="B2801" s="226" t="s">
        <v>23</v>
      </c>
      <c r="C2801" s="231">
        <v>4338</v>
      </c>
      <c r="D2801" s="231">
        <v>253</v>
      </c>
      <c r="E2801" s="228">
        <v>5</v>
      </c>
      <c r="F2801" s="229">
        <v>0.00115260488704472</v>
      </c>
      <c r="G2801" s="230">
        <v>3</v>
      </c>
      <c r="H2801" s="229">
        <v>0.6</v>
      </c>
      <c r="I2801" s="226">
        <v>1</v>
      </c>
      <c r="J2801" s="229">
        <v>0.2</v>
      </c>
      <c r="K2801" s="221">
        <v>302</v>
      </c>
      <c r="L2801" s="221">
        <v>478.666666666667</v>
      </c>
      <c r="M2801" s="221">
        <v>1306</v>
      </c>
      <c r="N2801" s="221">
        <v>1202.28571428571</v>
      </c>
      <c r="O2801" s="221">
        <v>-3</v>
      </c>
      <c r="P2801" s="221">
        <v>-2</v>
      </c>
      <c r="Q2801" s="221">
        <v>0.2</v>
      </c>
      <c r="R2801" s="221">
        <v>-0.571428571428571</v>
      </c>
      <c r="S2801" s="221">
        <v>-1</v>
      </c>
      <c r="T2801" s="224">
        <v>0.666666666666667</v>
      </c>
      <c r="U2801" s="221">
        <v>0.8</v>
      </c>
      <c r="V2801" s="221">
        <v>0.857142857142857</v>
      </c>
    </row>
    <row r="2802" spans="1:22">
      <c r="A2802" s="143">
        <v>45142</v>
      </c>
      <c r="B2802" s="226" t="s">
        <v>24</v>
      </c>
      <c r="C2802" s="231">
        <v>200</v>
      </c>
      <c r="D2802" s="231">
        <v>588</v>
      </c>
      <c r="E2802" s="228">
        <v>17</v>
      </c>
      <c r="F2802" s="229">
        <v>0.085</v>
      </c>
      <c r="G2802" s="230">
        <v>8</v>
      </c>
      <c r="H2802" s="229">
        <v>0.470588235294118</v>
      </c>
      <c r="I2802" s="226">
        <v>7</v>
      </c>
      <c r="J2802" s="229">
        <v>0.411764705882353</v>
      </c>
      <c r="K2802" s="221">
        <v>-827</v>
      </c>
      <c r="L2802" s="221">
        <v>-876.333333333333</v>
      </c>
      <c r="M2802" s="221">
        <v>-654.4</v>
      </c>
      <c r="N2802" s="221">
        <v>-704.428571428571</v>
      </c>
      <c r="O2802" s="222">
        <v>-5</v>
      </c>
      <c r="P2802" s="222">
        <v>-4.66666666666667</v>
      </c>
      <c r="Q2802" s="222">
        <v>-1.6</v>
      </c>
      <c r="R2802" s="222">
        <v>-2.57142857142857</v>
      </c>
      <c r="S2802" s="222">
        <v>-2</v>
      </c>
      <c r="T2802" s="222">
        <v>0</v>
      </c>
      <c r="U2802" s="222">
        <v>1.8</v>
      </c>
      <c r="V2802" s="222">
        <v>2.14285714285714</v>
      </c>
    </row>
    <row r="2803" spans="1:22">
      <c r="A2803" s="143">
        <v>45142</v>
      </c>
      <c r="B2803" s="226" t="s">
        <v>25</v>
      </c>
      <c r="C2803" s="231">
        <v>8696</v>
      </c>
      <c r="D2803" s="231">
        <v>543</v>
      </c>
      <c r="E2803" s="228">
        <v>39</v>
      </c>
      <c r="F2803" s="229">
        <v>0.00448482060717571</v>
      </c>
      <c r="G2803" s="230">
        <v>15</v>
      </c>
      <c r="H2803" s="229">
        <v>0.384615384615385</v>
      </c>
      <c r="I2803" s="226">
        <v>11</v>
      </c>
      <c r="J2803" s="229">
        <v>0.282051282051282</v>
      </c>
      <c r="K2803" s="221">
        <v>-167</v>
      </c>
      <c r="L2803" s="221">
        <v>1538.66666666667</v>
      </c>
      <c r="M2803" s="221">
        <v>2869.4</v>
      </c>
      <c r="N2803" s="221">
        <v>2632.42857142857</v>
      </c>
      <c r="O2803" s="222">
        <v>1</v>
      </c>
      <c r="P2803" s="222">
        <v>0.666666666666664</v>
      </c>
      <c r="Q2803" s="222">
        <v>1.4</v>
      </c>
      <c r="R2803" s="222">
        <v>-3.57142857142857</v>
      </c>
      <c r="S2803" s="221">
        <v>6</v>
      </c>
      <c r="T2803" s="221">
        <v>4.33333333333333</v>
      </c>
      <c r="U2803" s="221">
        <v>1.8</v>
      </c>
      <c r="V2803" s="221">
        <v>-0.571428571428571</v>
      </c>
    </row>
    <row r="2804" spans="1:22">
      <c r="A2804" s="143">
        <v>45142</v>
      </c>
      <c r="B2804" s="226" t="s">
        <v>26</v>
      </c>
      <c r="C2804" s="231">
        <v>1456</v>
      </c>
      <c r="D2804" s="231">
        <v>2078</v>
      </c>
      <c r="E2804" s="228">
        <v>29</v>
      </c>
      <c r="F2804" s="229">
        <v>0.0199175824175824</v>
      </c>
      <c r="G2804" s="230">
        <v>13</v>
      </c>
      <c r="H2804" s="229">
        <v>0.448275862068966</v>
      </c>
      <c r="I2804" s="226">
        <v>12</v>
      </c>
      <c r="J2804" s="229">
        <v>0.413793103448276</v>
      </c>
      <c r="K2804" s="221">
        <v>-100</v>
      </c>
      <c r="L2804" s="221">
        <v>-64</v>
      </c>
      <c r="M2804" s="221">
        <v>280.8</v>
      </c>
      <c r="N2804" s="221">
        <v>251.571428571429</v>
      </c>
      <c r="O2804" s="221">
        <v>-2</v>
      </c>
      <c r="P2804" s="221">
        <v>-3.66666666666666</v>
      </c>
      <c r="Q2804" s="221">
        <v>3.8</v>
      </c>
      <c r="R2804" s="221">
        <v>2</v>
      </c>
      <c r="S2804" s="221">
        <v>6</v>
      </c>
      <c r="T2804" s="221">
        <v>2.66666666666667</v>
      </c>
      <c r="U2804" s="221">
        <v>5.4</v>
      </c>
      <c r="V2804" s="221">
        <v>4.28571428571429</v>
      </c>
    </row>
    <row r="2805" spans="1:22">
      <c r="A2805" s="143">
        <v>45142</v>
      </c>
      <c r="B2805" s="226" t="s">
        <v>27</v>
      </c>
      <c r="C2805" s="231">
        <v>3642</v>
      </c>
      <c r="D2805" s="231">
        <v>352</v>
      </c>
      <c r="E2805" s="228">
        <v>12</v>
      </c>
      <c r="F2805" s="229">
        <v>0.00329489291598023</v>
      </c>
      <c r="G2805" s="230">
        <v>3</v>
      </c>
      <c r="H2805" s="229">
        <v>0.25</v>
      </c>
      <c r="I2805" s="226">
        <v>2</v>
      </c>
      <c r="J2805" s="229">
        <v>0.166666666666667</v>
      </c>
      <c r="K2805" s="221">
        <v>-1382</v>
      </c>
      <c r="L2805" s="221">
        <v>-3235</v>
      </c>
      <c r="M2805" s="221">
        <v>-2727.4</v>
      </c>
      <c r="N2805" s="221">
        <v>-2937.14285714286</v>
      </c>
      <c r="O2805" s="221">
        <v>-3</v>
      </c>
      <c r="P2805" s="221">
        <v>-4</v>
      </c>
      <c r="Q2805" s="221">
        <v>0.199999999999999</v>
      </c>
      <c r="R2805" s="221">
        <v>0.571428571428571</v>
      </c>
      <c r="S2805" s="221">
        <v>2</v>
      </c>
      <c r="T2805" s="221">
        <v>0.666666666666667</v>
      </c>
      <c r="U2805" s="221">
        <v>0.2</v>
      </c>
      <c r="V2805" s="221">
        <v>0.142857142857143</v>
      </c>
    </row>
    <row r="2806" hidden="1" spans="1:22">
      <c r="A2806" s="143">
        <v>45142</v>
      </c>
      <c r="B2806" s="226" t="s">
        <v>28</v>
      </c>
      <c r="C2806" s="232">
        <v>0</v>
      </c>
      <c r="D2806" s="232"/>
      <c r="E2806" s="226">
        <v>0</v>
      </c>
      <c r="F2806" s="229">
        <v>0</v>
      </c>
      <c r="G2806" s="230">
        <v>0</v>
      </c>
      <c r="H2806" s="229">
        <v>0</v>
      </c>
      <c r="I2806" s="226">
        <v>0</v>
      </c>
      <c r="J2806" s="229">
        <v>0</v>
      </c>
      <c r="K2806" s="221">
        <v>0</v>
      </c>
      <c r="L2806" s="221">
        <v>0</v>
      </c>
      <c r="M2806" s="221">
        <v>0</v>
      </c>
      <c r="N2806" s="221">
        <v>0</v>
      </c>
      <c r="O2806" s="221">
        <v>0</v>
      </c>
      <c r="P2806" s="221">
        <v>0</v>
      </c>
      <c r="Q2806" s="221">
        <v>0</v>
      </c>
      <c r="R2806" s="221">
        <v>0</v>
      </c>
      <c r="S2806" s="221">
        <v>0</v>
      </c>
      <c r="T2806" s="221">
        <v>0</v>
      </c>
      <c r="U2806" s="221">
        <v>0</v>
      </c>
      <c r="V2806" s="221">
        <v>0</v>
      </c>
    </row>
    <row r="2807" hidden="1" spans="1:22">
      <c r="A2807" s="143">
        <v>45142</v>
      </c>
      <c r="B2807" s="226" t="s">
        <v>29</v>
      </c>
      <c r="C2807" s="232">
        <v>0</v>
      </c>
      <c r="D2807" s="232"/>
      <c r="E2807" s="226">
        <v>0</v>
      </c>
      <c r="F2807" s="229">
        <v>0</v>
      </c>
      <c r="G2807" s="230">
        <v>0</v>
      </c>
      <c r="H2807" s="229">
        <v>0</v>
      </c>
      <c r="I2807" s="226">
        <v>0</v>
      </c>
      <c r="J2807" s="229">
        <v>0</v>
      </c>
      <c r="K2807" s="221">
        <v>0</v>
      </c>
      <c r="L2807" s="221">
        <v>0</v>
      </c>
      <c r="M2807" s="221">
        <v>0</v>
      </c>
      <c r="N2807" s="221">
        <v>0</v>
      </c>
      <c r="O2807" s="221">
        <v>0</v>
      </c>
      <c r="P2807" s="221">
        <v>-0.333333333333333</v>
      </c>
      <c r="Q2807" s="221">
        <v>-0.2</v>
      </c>
      <c r="R2807" s="221">
        <v>-0.142857142857143</v>
      </c>
      <c r="S2807" s="221">
        <v>0</v>
      </c>
      <c r="T2807" s="221">
        <v>0</v>
      </c>
      <c r="U2807" s="221">
        <v>0</v>
      </c>
      <c r="V2807" s="221">
        <v>0</v>
      </c>
    </row>
    <row r="2808" hidden="1" spans="1:22">
      <c r="A2808" s="143">
        <v>45142</v>
      </c>
      <c r="B2808" s="226" t="s">
        <v>30</v>
      </c>
      <c r="C2808" s="232">
        <v>0</v>
      </c>
      <c r="D2808" s="232"/>
      <c r="E2808" s="226">
        <v>0</v>
      </c>
      <c r="F2808" s="229">
        <v>0</v>
      </c>
      <c r="G2808" s="230">
        <v>0</v>
      </c>
      <c r="H2808" s="229">
        <v>0</v>
      </c>
      <c r="I2808" s="226">
        <v>0</v>
      </c>
      <c r="J2808" s="229">
        <v>0</v>
      </c>
      <c r="K2808" s="221">
        <v>0</v>
      </c>
      <c r="L2808" s="221">
        <v>0</v>
      </c>
      <c r="M2808" s="221">
        <v>0</v>
      </c>
      <c r="N2808" s="221">
        <v>0</v>
      </c>
      <c r="O2808" s="221">
        <v>0</v>
      </c>
      <c r="P2808" s="221">
        <v>0</v>
      </c>
      <c r="Q2808" s="221">
        <v>0</v>
      </c>
      <c r="R2808" s="221">
        <v>0</v>
      </c>
      <c r="S2808" s="221">
        <v>0</v>
      </c>
      <c r="T2808" s="221">
        <v>0</v>
      </c>
      <c r="U2808" s="221">
        <v>0</v>
      </c>
      <c r="V2808" s="221">
        <v>0</v>
      </c>
    </row>
    <row r="2809" hidden="1" spans="1:22">
      <c r="A2809" s="143">
        <v>45142</v>
      </c>
      <c r="B2809" s="226" t="s">
        <v>31</v>
      </c>
      <c r="C2809" s="232">
        <v>0</v>
      </c>
      <c r="D2809" s="232"/>
      <c r="E2809" s="226">
        <v>0</v>
      </c>
      <c r="F2809" s="229">
        <v>0</v>
      </c>
      <c r="G2809" s="230">
        <v>0</v>
      </c>
      <c r="H2809" s="229">
        <v>0</v>
      </c>
      <c r="I2809" s="226">
        <v>0</v>
      </c>
      <c r="J2809" s="229">
        <v>0</v>
      </c>
      <c r="K2809" s="221">
        <v>0</v>
      </c>
      <c r="L2809" s="221">
        <v>0</v>
      </c>
      <c r="M2809" s="221">
        <v>0</v>
      </c>
      <c r="N2809" s="221">
        <v>0</v>
      </c>
      <c r="O2809" s="221">
        <v>0</v>
      </c>
      <c r="P2809" s="221">
        <v>0</v>
      </c>
      <c r="Q2809" s="221">
        <v>0</v>
      </c>
      <c r="R2809" s="221">
        <v>0</v>
      </c>
      <c r="S2809" s="221">
        <v>0</v>
      </c>
      <c r="T2809" s="221">
        <v>0</v>
      </c>
      <c r="U2809" s="221">
        <v>0</v>
      </c>
      <c r="V2809" s="221">
        <v>0</v>
      </c>
    </row>
    <row r="2810" hidden="1" spans="1:22">
      <c r="A2810" s="143">
        <v>45142</v>
      </c>
      <c r="B2810" s="226" t="s">
        <v>32</v>
      </c>
      <c r="C2810" s="232">
        <v>0</v>
      </c>
      <c r="D2810" s="232"/>
      <c r="E2810" s="226">
        <v>0</v>
      </c>
      <c r="F2810" s="229">
        <v>0</v>
      </c>
      <c r="G2810" s="230">
        <v>0</v>
      </c>
      <c r="H2810" s="229">
        <v>0</v>
      </c>
      <c r="I2810" s="226">
        <v>0</v>
      </c>
      <c r="J2810" s="229">
        <v>0</v>
      </c>
      <c r="K2810" s="221">
        <v>0</v>
      </c>
      <c r="L2810" s="221">
        <v>0</v>
      </c>
      <c r="M2810" s="221">
        <v>0</v>
      </c>
      <c r="N2810" s="221">
        <v>0</v>
      </c>
      <c r="O2810" s="221">
        <v>0</v>
      </c>
      <c r="P2810" s="221">
        <v>0</v>
      </c>
      <c r="Q2810" s="221">
        <v>0</v>
      </c>
      <c r="R2810" s="221">
        <v>0</v>
      </c>
      <c r="S2810" s="221">
        <v>0</v>
      </c>
      <c r="T2810" s="221">
        <v>0</v>
      </c>
      <c r="U2810" s="221">
        <v>0</v>
      </c>
      <c r="V2810" s="221">
        <v>0</v>
      </c>
    </row>
    <row r="2811" hidden="1" spans="1:22">
      <c r="A2811" s="143">
        <v>45142</v>
      </c>
      <c r="B2811" s="226" t="s">
        <v>33</v>
      </c>
      <c r="C2811" s="232">
        <v>0</v>
      </c>
      <c r="D2811" s="232"/>
      <c r="E2811" s="226">
        <v>0</v>
      </c>
      <c r="F2811" s="229">
        <v>0</v>
      </c>
      <c r="G2811" s="230">
        <v>0</v>
      </c>
      <c r="H2811" s="229">
        <v>0</v>
      </c>
      <c r="I2811" s="226">
        <v>0</v>
      </c>
      <c r="J2811" s="229">
        <v>0</v>
      </c>
      <c r="K2811" s="221">
        <v>0</v>
      </c>
      <c r="L2811" s="221">
        <v>0</v>
      </c>
      <c r="M2811" s="221">
        <v>0</v>
      </c>
      <c r="N2811" s="221">
        <v>0</v>
      </c>
      <c r="O2811" s="221">
        <v>0</v>
      </c>
      <c r="P2811" s="221">
        <v>0</v>
      </c>
      <c r="Q2811" s="221">
        <v>0</v>
      </c>
      <c r="R2811" s="221">
        <v>0</v>
      </c>
      <c r="S2811" s="221">
        <v>0</v>
      </c>
      <c r="T2811" s="221">
        <v>0</v>
      </c>
      <c r="U2811" s="221">
        <v>0</v>
      </c>
      <c r="V2811" s="221">
        <v>0</v>
      </c>
    </row>
    <row r="2812" hidden="1" spans="1:22">
      <c r="A2812" s="143">
        <v>45142</v>
      </c>
      <c r="B2812" s="226" t="s">
        <v>34</v>
      </c>
      <c r="C2812" s="232">
        <v>0</v>
      </c>
      <c r="D2812" s="232"/>
      <c r="E2812" s="226">
        <v>0</v>
      </c>
      <c r="F2812" s="229">
        <v>0</v>
      </c>
      <c r="G2812" s="230">
        <v>0</v>
      </c>
      <c r="H2812" s="229">
        <v>0</v>
      </c>
      <c r="I2812" s="226">
        <v>0</v>
      </c>
      <c r="J2812" s="229">
        <v>0</v>
      </c>
      <c r="K2812" s="221">
        <v>0</v>
      </c>
      <c r="L2812" s="221">
        <v>0</v>
      </c>
      <c r="M2812" s="221">
        <v>0</v>
      </c>
      <c r="N2812" s="221">
        <v>0</v>
      </c>
      <c r="O2812" s="221">
        <v>0</v>
      </c>
      <c r="P2812" s="221">
        <v>0</v>
      </c>
      <c r="Q2812" s="221">
        <v>0</v>
      </c>
      <c r="R2812" s="221">
        <v>0</v>
      </c>
      <c r="S2812" s="221">
        <v>0</v>
      </c>
      <c r="T2812" s="221">
        <v>0</v>
      </c>
      <c r="U2812" s="221">
        <v>0</v>
      </c>
      <c r="V2812" s="221">
        <v>0</v>
      </c>
    </row>
    <row r="2813" hidden="1" spans="1:22">
      <c r="A2813" s="143">
        <v>45142</v>
      </c>
      <c r="B2813" s="226" t="s">
        <v>35</v>
      </c>
      <c r="C2813" s="232">
        <v>0</v>
      </c>
      <c r="D2813" s="232"/>
      <c r="E2813" s="226">
        <v>0</v>
      </c>
      <c r="F2813" s="229">
        <v>0</v>
      </c>
      <c r="G2813" s="230">
        <v>0</v>
      </c>
      <c r="H2813" s="229">
        <v>0</v>
      </c>
      <c r="I2813" s="226">
        <v>0</v>
      </c>
      <c r="J2813" s="229">
        <v>0</v>
      </c>
      <c r="K2813" s="221">
        <v>0</v>
      </c>
      <c r="L2813" s="221">
        <v>0</v>
      </c>
      <c r="M2813" s="221">
        <v>0</v>
      </c>
      <c r="N2813" s="221">
        <v>0</v>
      </c>
      <c r="O2813" s="221">
        <v>0</v>
      </c>
      <c r="P2813" s="221">
        <v>0</v>
      </c>
      <c r="Q2813" s="221">
        <v>0</v>
      </c>
      <c r="R2813" s="221">
        <v>0</v>
      </c>
      <c r="S2813" s="221">
        <v>0</v>
      </c>
      <c r="T2813" s="221">
        <v>0</v>
      </c>
      <c r="U2813" s="221">
        <v>0</v>
      </c>
      <c r="V2813" s="221">
        <v>0</v>
      </c>
    </row>
    <row r="2814" hidden="1" spans="1:22">
      <c r="A2814" s="143">
        <v>45142</v>
      </c>
      <c r="B2814" s="226" t="s">
        <v>36</v>
      </c>
      <c r="C2814" s="232">
        <v>0</v>
      </c>
      <c r="D2814" s="232"/>
      <c r="E2814" s="226">
        <v>0</v>
      </c>
      <c r="F2814" s="229">
        <v>0</v>
      </c>
      <c r="G2814" s="230">
        <v>0</v>
      </c>
      <c r="H2814" s="229">
        <v>0</v>
      </c>
      <c r="I2814" s="226">
        <v>0</v>
      </c>
      <c r="J2814" s="229">
        <v>0</v>
      </c>
      <c r="K2814" s="221">
        <v>0</v>
      </c>
      <c r="L2814" s="221">
        <v>0</v>
      </c>
      <c r="M2814" s="221">
        <v>0</v>
      </c>
      <c r="N2814" s="221">
        <v>0</v>
      </c>
      <c r="O2814" s="221">
        <v>0</v>
      </c>
      <c r="P2814" s="221">
        <v>0</v>
      </c>
      <c r="Q2814" s="221">
        <v>0</v>
      </c>
      <c r="R2814" s="221">
        <v>0</v>
      </c>
      <c r="S2814" s="221">
        <v>0</v>
      </c>
      <c r="T2814" s="221">
        <v>0</v>
      </c>
      <c r="U2814" s="221">
        <v>0</v>
      </c>
      <c r="V2814" s="221">
        <v>0</v>
      </c>
    </row>
    <row r="2815" hidden="1" spans="1:22">
      <c r="A2815" s="143">
        <v>45142</v>
      </c>
      <c r="B2815" s="226" t="s">
        <v>37</v>
      </c>
      <c r="C2815" s="232">
        <v>0</v>
      </c>
      <c r="D2815" s="232"/>
      <c r="E2815" s="226">
        <v>0</v>
      </c>
      <c r="F2815" s="229">
        <v>0</v>
      </c>
      <c r="G2815" s="230">
        <v>0</v>
      </c>
      <c r="H2815" s="229">
        <v>0</v>
      </c>
      <c r="I2815" s="226">
        <v>0</v>
      </c>
      <c r="J2815" s="229">
        <v>0</v>
      </c>
      <c r="K2815" s="221">
        <v>0</v>
      </c>
      <c r="L2815" s="221">
        <v>0</v>
      </c>
      <c r="M2815" s="221">
        <v>0</v>
      </c>
      <c r="N2815" s="221">
        <v>0</v>
      </c>
      <c r="O2815" s="221">
        <v>-1</v>
      </c>
      <c r="P2815" s="221">
        <v>-1.66666666666667</v>
      </c>
      <c r="Q2815" s="221">
        <v>-1.4</v>
      </c>
      <c r="R2815" s="221">
        <v>-1.14285714285714</v>
      </c>
      <c r="S2815" s="221">
        <v>0</v>
      </c>
      <c r="T2815" s="221">
        <v>0</v>
      </c>
      <c r="U2815" s="221">
        <v>0</v>
      </c>
      <c r="V2815" s="221">
        <v>0</v>
      </c>
    </row>
    <row r="2816" hidden="1" spans="1:22">
      <c r="A2816" s="143">
        <v>45142</v>
      </c>
      <c r="B2816" s="226" t="s">
        <v>38</v>
      </c>
      <c r="C2816" s="232">
        <v>0</v>
      </c>
      <c r="D2816" s="232"/>
      <c r="E2816" s="226">
        <v>0</v>
      </c>
      <c r="F2816" s="229">
        <v>0</v>
      </c>
      <c r="G2816" s="230">
        <v>0</v>
      </c>
      <c r="H2816" s="229">
        <v>0</v>
      </c>
      <c r="I2816" s="226">
        <v>0</v>
      </c>
      <c r="J2816" s="229">
        <v>0</v>
      </c>
      <c r="K2816" s="221">
        <v>0</v>
      </c>
      <c r="L2816" s="221">
        <v>0</v>
      </c>
      <c r="M2816" s="221">
        <v>0</v>
      </c>
      <c r="N2816" s="221">
        <v>0</v>
      </c>
      <c r="O2816" s="221">
        <v>0</v>
      </c>
      <c r="P2816" s="221">
        <v>0</v>
      </c>
      <c r="Q2816" s="221">
        <v>0</v>
      </c>
      <c r="R2816" s="221">
        <v>0</v>
      </c>
      <c r="S2816" s="221">
        <v>0</v>
      </c>
      <c r="T2816" s="221">
        <v>0</v>
      </c>
      <c r="U2816" s="221">
        <v>0</v>
      </c>
      <c r="V2816" s="221">
        <v>0</v>
      </c>
    </row>
    <row r="2817" spans="1:22">
      <c r="A2817" s="143">
        <v>45142</v>
      </c>
      <c r="B2817" s="233" t="s">
        <v>39</v>
      </c>
      <c r="C2817" s="234">
        <v>22440</v>
      </c>
      <c r="D2817" s="234">
        <v>5452</v>
      </c>
      <c r="E2817" s="234">
        <v>178</v>
      </c>
      <c r="F2817" s="229">
        <v>0.00793226381461676</v>
      </c>
      <c r="G2817" s="234">
        <v>73</v>
      </c>
      <c r="H2817" s="235">
        <v>0.410112359550562</v>
      </c>
      <c r="I2817" s="234">
        <v>52</v>
      </c>
      <c r="J2817" s="229">
        <v>0.292134831460674</v>
      </c>
      <c r="K2817" s="221">
        <v>-1845</v>
      </c>
      <c r="L2817" s="221">
        <v>-1387.66666666667</v>
      </c>
      <c r="M2817" s="221">
        <v>2591.2</v>
      </c>
      <c r="N2817" s="221">
        <v>1955.42857142857</v>
      </c>
      <c r="O2817" s="221">
        <v>7</v>
      </c>
      <c r="P2817" s="221">
        <v>8.33333333333334</v>
      </c>
      <c r="Q2817" s="221">
        <v>32.6</v>
      </c>
      <c r="R2817" s="221">
        <v>19.7142857142857</v>
      </c>
      <c r="S2817" s="221">
        <v>28</v>
      </c>
      <c r="T2817" s="221">
        <v>21</v>
      </c>
      <c r="U2817" s="221">
        <v>26.2</v>
      </c>
      <c r="V2817" s="221">
        <v>20.1428571428571</v>
      </c>
    </row>
    <row r="2818" spans="1:22">
      <c r="A2818" s="143">
        <v>45143</v>
      </c>
      <c r="B2818" s="226" t="s">
        <v>17</v>
      </c>
      <c r="C2818" s="227">
        <v>0</v>
      </c>
      <c r="D2818" s="227">
        <v>42</v>
      </c>
      <c r="E2818" s="228">
        <v>0</v>
      </c>
      <c r="F2818" s="229">
        <v>42</v>
      </c>
      <c r="G2818" s="230">
        <v>0</v>
      </c>
      <c r="H2818" s="229">
        <v>0</v>
      </c>
      <c r="I2818" s="226">
        <v>0</v>
      </c>
      <c r="J2818" s="229">
        <v>0</v>
      </c>
      <c r="K2818" s="221">
        <v>0</v>
      </c>
      <c r="L2818" s="221">
        <v>0</v>
      </c>
      <c r="M2818" s="221">
        <v>-83</v>
      </c>
      <c r="N2818" s="221">
        <v>-184.285714285714</v>
      </c>
      <c r="O2818" s="221">
        <v>-3</v>
      </c>
      <c r="P2818" s="221">
        <v>-1.66666666666667</v>
      </c>
      <c r="Q2818" s="221">
        <v>-1</v>
      </c>
      <c r="R2818" s="221">
        <v>-4.28571428571429</v>
      </c>
      <c r="S2818" s="221">
        <v>0</v>
      </c>
      <c r="T2818" s="221">
        <v>0</v>
      </c>
      <c r="U2818" s="221">
        <v>0</v>
      </c>
      <c r="V2818" s="221">
        <v>-1</v>
      </c>
    </row>
    <row r="2819" spans="1:22">
      <c r="A2819" s="143">
        <v>45143</v>
      </c>
      <c r="B2819" s="226" t="s">
        <v>19</v>
      </c>
      <c r="C2819" s="227">
        <v>698</v>
      </c>
      <c r="D2819" s="227">
        <v>500</v>
      </c>
      <c r="E2819" s="228">
        <v>17</v>
      </c>
      <c r="F2819" s="229">
        <v>0.0243553008595989</v>
      </c>
      <c r="G2819" s="230">
        <v>9</v>
      </c>
      <c r="H2819" s="229">
        <v>0.529411764705882</v>
      </c>
      <c r="I2819" s="226">
        <v>3</v>
      </c>
      <c r="J2819" s="229">
        <v>0.176470588235294</v>
      </c>
      <c r="K2819" s="221">
        <v>-17</v>
      </c>
      <c r="L2819" s="221">
        <v>40</v>
      </c>
      <c r="M2819" s="221">
        <v>174.4</v>
      </c>
      <c r="N2819" s="221">
        <v>129.714285714286</v>
      </c>
      <c r="O2819" s="221">
        <v>-5</v>
      </c>
      <c r="P2819" s="221">
        <v>4.33333333333333</v>
      </c>
      <c r="Q2819" s="221">
        <v>7.8</v>
      </c>
      <c r="R2819" s="221">
        <v>6.71428571428571</v>
      </c>
      <c r="S2819" s="221">
        <v>-1</v>
      </c>
      <c r="T2819" s="221">
        <v>3.66666666666667</v>
      </c>
      <c r="U2819" s="221">
        <v>4</v>
      </c>
      <c r="V2819" s="222">
        <v>3.85714285714286</v>
      </c>
    </row>
    <row r="2820" spans="1:22">
      <c r="A2820" s="143">
        <v>45143</v>
      </c>
      <c r="B2820" s="226" t="s">
        <v>21</v>
      </c>
      <c r="C2820" s="231">
        <v>281</v>
      </c>
      <c r="D2820" s="231">
        <v>228</v>
      </c>
      <c r="E2820" s="228">
        <v>3</v>
      </c>
      <c r="F2820" s="229">
        <v>0.0106761565836299</v>
      </c>
      <c r="G2820" s="230">
        <v>3</v>
      </c>
      <c r="H2820" s="229">
        <v>1</v>
      </c>
      <c r="I2820" s="226">
        <v>1</v>
      </c>
      <c r="J2820" s="229">
        <v>0.333333333333333</v>
      </c>
      <c r="K2820" s="221">
        <v>-3</v>
      </c>
      <c r="L2820" s="221">
        <v>9.33333333333331</v>
      </c>
      <c r="M2820" s="221">
        <v>59.4</v>
      </c>
      <c r="N2820" s="221">
        <v>45.2857142857143</v>
      </c>
      <c r="O2820" s="221">
        <v>-2</v>
      </c>
      <c r="P2820" s="221">
        <v>-2.33333333333333</v>
      </c>
      <c r="Q2820" s="221">
        <v>-1.2</v>
      </c>
      <c r="R2820" s="221">
        <v>-0.857142857142857</v>
      </c>
      <c r="S2820" s="221">
        <v>-1</v>
      </c>
      <c r="T2820" s="221">
        <v>1</v>
      </c>
      <c r="U2820" s="221">
        <v>0.8</v>
      </c>
      <c r="V2820" s="221">
        <v>0.857142857142857</v>
      </c>
    </row>
    <row r="2821" spans="1:22">
      <c r="A2821" s="143">
        <v>45143</v>
      </c>
      <c r="B2821" s="226" t="s">
        <v>22</v>
      </c>
      <c r="C2821" s="231">
        <v>3093</v>
      </c>
      <c r="D2821" s="231">
        <v>930</v>
      </c>
      <c r="E2821" s="228">
        <v>52</v>
      </c>
      <c r="F2821" s="229">
        <v>0.0168121564823796</v>
      </c>
      <c r="G2821" s="230">
        <v>15</v>
      </c>
      <c r="H2821" s="229">
        <v>0.288461538461538</v>
      </c>
      <c r="I2821" s="226">
        <v>11</v>
      </c>
      <c r="J2821" s="229">
        <v>0.211538461538462</v>
      </c>
      <c r="K2821" s="221">
        <v>-16</v>
      </c>
      <c r="L2821" s="221">
        <v>326.666666666667</v>
      </c>
      <c r="M2821" s="221">
        <v>1097</v>
      </c>
      <c r="N2821" s="221">
        <v>1268.14285714286</v>
      </c>
      <c r="O2821" s="221">
        <v>6</v>
      </c>
      <c r="P2821" s="221">
        <v>10.3333333333333</v>
      </c>
      <c r="Q2821" s="221">
        <v>20</v>
      </c>
      <c r="R2821" s="222">
        <v>18.4285714285714</v>
      </c>
      <c r="S2821" s="221">
        <v>-2</v>
      </c>
      <c r="T2821" s="221">
        <v>1.33333333333333</v>
      </c>
      <c r="U2821" s="221">
        <v>5.4</v>
      </c>
      <c r="V2821" s="221">
        <v>3.66666666666667</v>
      </c>
    </row>
    <row r="2822" spans="1:22">
      <c r="A2822" s="143">
        <v>45143</v>
      </c>
      <c r="B2822" s="226" t="s">
        <v>23</v>
      </c>
      <c r="C2822" s="231">
        <v>4230</v>
      </c>
      <c r="D2822" s="231">
        <v>307</v>
      </c>
      <c r="E2822" s="228">
        <v>8</v>
      </c>
      <c r="F2822" s="229">
        <v>0.00189125295508274</v>
      </c>
      <c r="G2822" s="230">
        <v>5</v>
      </c>
      <c r="H2822" s="229">
        <v>0.625</v>
      </c>
      <c r="I2822" s="226">
        <v>4</v>
      </c>
      <c r="J2822" s="229">
        <v>0.5</v>
      </c>
      <c r="K2822" s="221">
        <v>-108</v>
      </c>
      <c r="L2822" s="221">
        <v>115.666666666667</v>
      </c>
      <c r="M2822" s="221">
        <v>1046.8</v>
      </c>
      <c r="N2822" s="221">
        <v>954.714285714286</v>
      </c>
      <c r="O2822" s="221">
        <v>3</v>
      </c>
      <c r="P2822" s="221">
        <v>1</v>
      </c>
      <c r="Q2822" s="221">
        <v>2.8</v>
      </c>
      <c r="R2822" s="221">
        <v>2.85714285714286</v>
      </c>
      <c r="S2822" s="221">
        <v>2</v>
      </c>
      <c r="T2822" s="224">
        <v>2.33333333333333</v>
      </c>
      <c r="U2822" s="221">
        <v>3</v>
      </c>
      <c r="V2822" s="221">
        <v>2.85714285714286</v>
      </c>
    </row>
    <row r="2823" spans="1:22">
      <c r="A2823" s="143">
        <v>45143</v>
      </c>
      <c r="B2823" s="226" t="s">
        <v>24</v>
      </c>
      <c r="C2823" s="231">
        <v>186</v>
      </c>
      <c r="D2823" s="231">
        <v>593</v>
      </c>
      <c r="E2823" s="228">
        <v>10</v>
      </c>
      <c r="F2823" s="229">
        <v>0.0537634408602151</v>
      </c>
      <c r="G2823" s="230">
        <v>6</v>
      </c>
      <c r="H2823" s="229">
        <v>0.6</v>
      </c>
      <c r="I2823" s="226">
        <v>4</v>
      </c>
      <c r="J2823" s="229">
        <v>0.4</v>
      </c>
      <c r="K2823" s="221">
        <v>-14</v>
      </c>
      <c r="L2823" s="221">
        <v>-588.666666666667</v>
      </c>
      <c r="M2823" s="221">
        <v>-499.8</v>
      </c>
      <c r="N2823" s="221">
        <v>-615.714285714286</v>
      </c>
      <c r="O2823" s="222">
        <v>-7</v>
      </c>
      <c r="P2823" s="222">
        <v>-9.66666666666667</v>
      </c>
      <c r="Q2823" s="222">
        <v>-6.4</v>
      </c>
      <c r="R2823" s="222">
        <v>-9.42857142857143</v>
      </c>
      <c r="S2823" s="222">
        <v>-2</v>
      </c>
      <c r="T2823" s="222">
        <v>-3</v>
      </c>
      <c r="U2823" s="221">
        <v>0</v>
      </c>
      <c r="V2823" s="221">
        <v>0</v>
      </c>
    </row>
    <row r="2824" spans="1:22">
      <c r="A2824" s="143">
        <v>45143</v>
      </c>
      <c r="B2824" s="226" t="s">
        <v>25</v>
      </c>
      <c r="C2824" s="231">
        <v>9475</v>
      </c>
      <c r="D2824" s="231">
        <v>633</v>
      </c>
      <c r="E2824" s="228">
        <v>40</v>
      </c>
      <c r="F2824" s="229">
        <v>0.00422163588390501</v>
      </c>
      <c r="G2824" s="230">
        <v>17</v>
      </c>
      <c r="H2824" s="229">
        <v>0.425</v>
      </c>
      <c r="I2824" s="226">
        <v>15</v>
      </c>
      <c r="J2824" s="229">
        <v>0.375</v>
      </c>
      <c r="K2824" s="221">
        <v>779</v>
      </c>
      <c r="L2824" s="221">
        <v>580.333333333334</v>
      </c>
      <c r="M2824" s="221">
        <v>3441.4</v>
      </c>
      <c r="N2824" s="221">
        <v>2732.14285714286</v>
      </c>
      <c r="O2824" s="222">
        <v>1</v>
      </c>
      <c r="P2824" s="221">
        <v>0</v>
      </c>
      <c r="Q2824" s="222">
        <v>9.2</v>
      </c>
      <c r="R2824" s="222">
        <v>0.571428571428569</v>
      </c>
      <c r="S2824" s="221">
        <v>2</v>
      </c>
      <c r="T2824" s="221">
        <v>5</v>
      </c>
      <c r="U2824" s="221">
        <v>7.6</v>
      </c>
      <c r="V2824" s="221">
        <v>2.28571428571429</v>
      </c>
    </row>
    <row r="2825" spans="1:22">
      <c r="A2825" s="143">
        <v>45143</v>
      </c>
      <c r="B2825" s="226" t="s">
        <v>26</v>
      </c>
      <c r="C2825" s="231">
        <v>1376</v>
      </c>
      <c r="D2825" s="231">
        <v>2004</v>
      </c>
      <c r="E2825" s="228">
        <v>42</v>
      </c>
      <c r="F2825" s="229">
        <v>0.0305232558139535</v>
      </c>
      <c r="G2825" s="230">
        <v>13</v>
      </c>
      <c r="H2825" s="229">
        <v>0.30952380952381</v>
      </c>
      <c r="I2825" s="226">
        <v>13</v>
      </c>
      <c r="J2825" s="229">
        <v>0.30952380952381</v>
      </c>
      <c r="K2825" s="221">
        <v>-80</v>
      </c>
      <c r="L2825" s="221">
        <v>-150.333333333333</v>
      </c>
      <c r="M2825" s="221">
        <v>172.8</v>
      </c>
      <c r="N2825" s="221">
        <v>139.571428571429</v>
      </c>
      <c r="O2825" s="221">
        <v>13</v>
      </c>
      <c r="P2825" s="221">
        <v>11.6666666666667</v>
      </c>
      <c r="Q2825" s="221">
        <v>16.6</v>
      </c>
      <c r="R2825" s="221">
        <v>14.7142857142857</v>
      </c>
      <c r="S2825" s="221">
        <v>0</v>
      </c>
      <c r="T2825" s="221">
        <v>1.33333333333333</v>
      </c>
      <c r="U2825" s="221">
        <v>4.2</v>
      </c>
      <c r="V2825" s="221">
        <v>4.71428571428571</v>
      </c>
    </row>
    <row r="2826" spans="1:22">
      <c r="A2826" s="143">
        <v>45143</v>
      </c>
      <c r="B2826" s="226" t="s">
        <v>27</v>
      </c>
      <c r="C2826" s="231">
        <v>2998</v>
      </c>
      <c r="D2826" s="231">
        <v>318</v>
      </c>
      <c r="E2826" s="228">
        <v>8</v>
      </c>
      <c r="F2826" s="229">
        <v>0.00266844563042028</v>
      </c>
      <c r="G2826" s="230">
        <v>3</v>
      </c>
      <c r="H2826" s="229">
        <v>0.375</v>
      </c>
      <c r="I2826" s="226">
        <v>1</v>
      </c>
      <c r="J2826" s="229">
        <v>0.125</v>
      </c>
      <c r="K2826" s="221">
        <v>-644</v>
      </c>
      <c r="L2826" s="221">
        <v>-1820.66666666667</v>
      </c>
      <c r="M2826" s="221">
        <v>-1856.6</v>
      </c>
      <c r="N2826" s="221">
        <v>-3244.71428571429</v>
      </c>
      <c r="O2826" s="221">
        <v>-4</v>
      </c>
      <c r="P2826" s="221">
        <v>-5.33333333333333</v>
      </c>
      <c r="Q2826" s="221">
        <v>-4</v>
      </c>
      <c r="R2826" s="221">
        <v>-4.14285714285714</v>
      </c>
      <c r="S2826" s="221">
        <v>0</v>
      </c>
      <c r="T2826" s="221">
        <v>0.333333333333333</v>
      </c>
      <c r="U2826" s="221">
        <v>1</v>
      </c>
      <c r="V2826" s="221">
        <v>0.428571428571428</v>
      </c>
    </row>
    <row r="2827" hidden="1" spans="1:22">
      <c r="A2827" s="143">
        <v>45143</v>
      </c>
      <c r="B2827" s="226" t="s">
        <v>28</v>
      </c>
      <c r="C2827" s="232">
        <v>0</v>
      </c>
      <c r="D2827" s="232"/>
      <c r="E2827" s="226">
        <v>0</v>
      </c>
      <c r="F2827" s="229">
        <v>0</v>
      </c>
      <c r="G2827" s="230">
        <v>0</v>
      </c>
      <c r="H2827" s="229">
        <v>0</v>
      </c>
      <c r="I2827" s="226">
        <v>0</v>
      </c>
      <c r="J2827" s="229">
        <v>0</v>
      </c>
      <c r="K2827" s="221">
        <v>0</v>
      </c>
      <c r="L2827" s="221">
        <v>0</v>
      </c>
      <c r="M2827" s="221">
        <v>0</v>
      </c>
      <c r="N2827" s="221">
        <v>0</v>
      </c>
      <c r="O2827" s="221">
        <v>0</v>
      </c>
      <c r="P2827" s="221">
        <v>0</v>
      </c>
      <c r="Q2827" s="221">
        <v>0</v>
      </c>
      <c r="R2827" s="221">
        <v>0</v>
      </c>
      <c r="S2827" s="221">
        <v>0</v>
      </c>
      <c r="T2827" s="221">
        <v>0</v>
      </c>
      <c r="U2827" s="221">
        <v>0</v>
      </c>
      <c r="V2827" s="221">
        <v>0</v>
      </c>
    </row>
    <row r="2828" hidden="1" spans="1:22">
      <c r="A2828" s="143">
        <v>45143</v>
      </c>
      <c r="B2828" s="226" t="s">
        <v>29</v>
      </c>
      <c r="C2828" s="232">
        <v>0</v>
      </c>
      <c r="D2828" s="232"/>
      <c r="E2828" s="226">
        <v>0</v>
      </c>
      <c r="F2828" s="229">
        <v>0</v>
      </c>
      <c r="G2828" s="230">
        <v>0</v>
      </c>
      <c r="H2828" s="229">
        <v>0</v>
      </c>
      <c r="I2828" s="226">
        <v>0</v>
      </c>
      <c r="J2828" s="229">
        <v>0</v>
      </c>
      <c r="K2828" s="221">
        <v>0</v>
      </c>
      <c r="L2828" s="221">
        <v>0</v>
      </c>
      <c r="M2828" s="221">
        <v>0</v>
      </c>
      <c r="N2828" s="221">
        <v>0</v>
      </c>
      <c r="O2828" s="221">
        <v>0</v>
      </c>
      <c r="P2828" s="221">
        <v>-0.333333333333333</v>
      </c>
      <c r="Q2828" s="221">
        <v>-0.2</v>
      </c>
      <c r="R2828" s="221">
        <v>-0.142857142857143</v>
      </c>
      <c r="S2828" s="221">
        <v>0</v>
      </c>
      <c r="T2828" s="221">
        <v>0</v>
      </c>
      <c r="U2828" s="221">
        <v>0</v>
      </c>
      <c r="V2828" s="221">
        <v>0</v>
      </c>
    </row>
    <row r="2829" hidden="1" spans="1:22">
      <c r="A2829" s="143">
        <v>45143</v>
      </c>
      <c r="B2829" s="226" t="s">
        <v>30</v>
      </c>
      <c r="C2829" s="232">
        <v>0</v>
      </c>
      <c r="D2829" s="232"/>
      <c r="E2829" s="226">
        <v>0</v>
      </c>
      <c r="F2829" s="229">
        <v>0</v>
      </c>
      <c r="G2829" s="230">
        <v>0</v>
      </c>
      <c r="H2829" s="229">
        <v>0</v>
      </c>
      <c r="I2829" s="226">
        <v>0</v>
      </c>
      <c r="J2829" s="229">
        <v>0</v>
      </c>
      <c r="K2829" s="221">
        <v>0</v>
      </c>
      <c r="L2829" s="221">
        <v>0</v>
      </c>
      <c r="M2829" s="221">
        <v>0</v>
      </c>
      <c r="N2829" s="221">
        <v>0</v>
      </c>
      <c r="O2829" s="221">
        <v>0</v>
      </c>
      <c r="P2829" s="221">
        <v>0</v>
      </c>
      <c r="Q2829" s="221">
        <v>0</v>
      </c>
      <c r="R2829" s="221">
        <v>0</v>
      </c>
      <c r="S2829" s="221">
        <v>0</v>
      </c>
      <c r="T2829" s="221">
        <v>0</v>
      </c>
      <c r="U2829" s="221">
        <v>0</v>
      </c>
      <c r="V2829" s="221">
        <v>0</v>
      </c>
    </row>
    <row r="2830" hidden="1" spans="1:22">
      <c r="A2830" s="143">
        <v>45143</v>
      </c>
      <c r="B2830" s="226" t="s">
        <v>31</v>
      </c>
      <c r="C2830" s="232">
        <v>0</v>
      </c>
      <c r="D2830" s="232"/>
      <c r="E2830" s="226">
        <v>0</v>
      </c>
      <c r="F2830" s="229">
        <v>0</v>
      </c>
      <c r="G2830" s="230">
        <v>0</v>
      </c>
      <c r="H2830" s="229">
        <v>0</v>
      </c>
      <c r="I2830" s="226">
        <v>0</v>
      </c>
      <c r="J2830" s="229">
        <v>0</v>
      </c>
      <c r="K2830" s="221">
        <v>0</v>
      </c>
      <c r="L2830" s="221">
        <v>0</v>
      </c>
      <c r="M2830" s="221">
        <v>0</v>
      </c>
      <c r="N2830" s="221">
        <v>0</v>
      </c>
      <c r="O2830" s="221">
        <v>0</v>
      </c>
      <c r="P2830" s="221">
        <v>0</v>
      </c>
      <c r="Q2830" s="221">
        <v>0</v>
      </c>
      <c r="R2830" s="221">
        <v>0</v>
      </c>
      <c r="S2830" s="221">
        <v>0</v>
      </c>
      <c r="T2830" s="221">
        <v>0</v>
      </c>
      <c r="U2830" s="221">
        <v>0</v>
      </c>
      <c r="V2830" s="221">
        <v>0</v>
      </c>
    </row>
    <row r="2831" hidden="1" spans="1:22">
      <c r="A2831" s="143">
        <v>45143</v>
      </c>
      <c r="B2831" s="226" t="s">
        <v>32</v>
      </c>
      <c r="C2831" s="232">
        <v>0</v>
      </c>
      <c r="D2831" s="232"/>
      <c r="E2831" s="226">
        <v>0</v>
      </c>
      <c r="F2831" s="229">
        <v>0</v>
      </c>
      <c r="G2831" s="230">
        <v>0</v>
      </c>
      <c r="H2831" s="229">
        <v>0</v>
      </c>
      <c r="I2831" s="226">
        <v>0</v>
      </c>
      <c r="J2831" s="229">
        <v>0</v>
      </c>
      <c r="K2831" s="221">
        <v>0</v>
      </c>
      <c r="L2831" s="221">
        <v>0</v>
      </c>
      <c r="M2831" s="221">
        <v>0</v>
      </c>
      <c r="N2831" s="221">
        <v>0</v>
      </c>
      <c r="O2831" s="221">
        <v>0</v>
      </c>
      <c r="P2831" s="221">
        <v>0</v>
      </c>
      <c r="Q2831" s="221">
        <v>0</v>
      </c>
      <c r="R2831" s="221">
        <v>0</v>
      </c>
      <c r="S2831" s="221">
        <v>0</v>
      </c>
      <c r="T2831" s="221">
        <v>0</v>
      </c>
      <c r="U2831" s="221">
        <v>0</v>
      </c>
      <c r="V2831" s="221">
        <v>0</v>
      </c>
    </row>
    <row r="2832" hidden="1" spans="1:22">
      <c r="A2832" s="143">
        <v>45143</v>
      </c>
      <c r="B2832" s="226" t="s">
        <v>33</v>
      </c>
      <c r="C2832" s="232">
        <v>0</v>
      </c>
      <c r="D2832" s="232"/>
      <c r="E2832" s="226">
        <v>0</v>
      </c>
      <c r="F2832" s="229">
        <v>0</v>
      </c>
      <c r="G2832" s="230">
        <v>0</v>
      </c>
      <c r="H2832" s="229">
        <v>0</v>
      </c>
      <c r="I2832" s="226">
        <v>0</v>
      </c>
      <c r="J2832" s="229">
        <v>0</v>
      </c>
      <c r="K2832" s="221">
        <v>0</v>
      </c>
      <c r="L2832" s="221">
        <v>0</v>
      </c>
      <c r="M2832" s="221">
        <v>0</v>
      </c>
      <c r="N2832" s="221">
        <v>0</v>
      </c>
      <c r="O2832" s="221">
        <v>0</v>
      </c>
      <c r="P2832" s="221">
        <v>0</v>
      </c>
      <c r="Q2832" s="221">
        <v>0</v>
      </c>
      <c r="R2832" s="221">
        <v>0</v>
      </c>
      <c r="S2832" s="221">
        <v>0</v>
      </c>
      <c r="T2832" s="221">
        <v>0</v>
      </c>
      <c r="U2832" s="221">
        <v>0</v>
      </c>
      <c r="V2832" s="221">
        <v>0</v>
      </c>
    </row>
    <row r="2833" hidden="1" spans="1:22">
      <c r="A2833" s="143">
        <v>45143</v>
      </c>
      <c r="B2833" s="226" t="s">
        <v>34</v>
      </c>
      <c r="C2833" s="232">
        <v>0</v>
      </c>
      <c r="D2833" s="232"/>
      <c r="E2833" s="226">
        <v>0</v>
      </c>
      <c r="F2833" s="229">
        <v>0</v>
      </c>
      <c r="G2833" s="230">
        <v>0</v>
      </c>
      <c r="H2833" s="229">
        <v>0</v>
      </c>
      <c r="I2833" s="226">
        <v>0</v>
      </c>
      <c r="J2833" s="229">
        <v>0</v>
      </c>
      <c r="K2833" s="221">
        <v>0</v>
      </c>
      <c r="L2833" s="221">
        <v>0</v>
      </c>
      <c r="M2833" s="221">
        <v>0</v>
      </c>
      <c r="N2833" s="221">
        <v>0</v>
      </c>
      <c r="O2833" s="221">
        <v>0</v>
      </c>
      <c r="P2833" s="221">
        <v>0</v>
      </c>
      <c r="Q2833" s="221">
        <v>0</v>
      </c>
      <c r="R2833" s="221">
        <v>0</v>
      </c>
      <c r="S2833" s="221">
        <v>0</v>
      </c>
      <c r="T2833" s="221">
        <v>0</v>
      </c>
      <c r="U2833" s="221">
        <v>0</v>
      </c>
      <c r="V2833" s="221">
        <v>0</v>
      </c>
    </row>
    <row r="2834" hidden="1" spans="1:22">
      <c r="A2834" s="143">
        <v>45143</v>
      </c>
      <c r="B2834" s="226" t="s">
        <v>35</v>
      </c>
      <c r="C2834" s="232">
        <v>0</v>
      </c>
      <c r="D2834" s="232"/>
      <c r="E2834" s="226">
        <v>0</v>
      </c>
      <c r="F2834" s="229">
        <v>0</v>
      </c>
      <c r="G2834" s="230">
        <v>0</v>
      </c>
      <c r="H2834" s="229">
        <v>0</v>
      </c>
      <c r="I2834" s="226">
        <v>0</v>
      </c>
      <c r="J2834" s="229">
        <v>0</v>
      </c>
      <c r="K2834" s="221">
        <v>0</v>
      </c>
      <c r="L2834" s="221">
        <v>0</v>
      </c>
      <c r="M2834" s="221">
        <v>0</v>
      </c>
      <c r="N2834" s="221">
        <v>0</v>
      </c>
      <c r="O2834" s="221">
        <v>0</v>
      </c>
      <c r="P2834" s="221">
        <v>0</v>
      </c>
      <c r="Q2834" s="221">
        <v>0</v>
      </c>
      <c r="R2834" s="221">
        <v>0</v>
      </c>
      <c r="S2834" s="221">
        <v>0</v>
      </c>
      <c r="T2834" s="221">
        <v>0</v>
      </c>
      <c r="U2834" s="221">
        <v>0</v>
      </c>
      <c r="V2834" s="221">
        <v>0</v>
      </c>
    </row>
    <row r="2835" hidden="1" spans="1:22">
      <c r="A2835" s="143">
        <v>45143</v>
      </c>
      <c r="B2835" s="226" t="s">
        <v>36</v>
      </c>
      <c r="C2835" s="232">
        <v>0</v>
      </c>
      <c r="D2835" s="232"/>
      <c r="E2835" s="226">
        <v>0</v>
      </c>
      <c r="F2835" s="229">
        <v>0</v>
      </c>
      <c r="G2835" s="230">
        <v>0</v>
      </c>
      <c r="H2835" s="229">
        <v>0</v>
      </c>
      <c r="I2835" s="226">
        <v>0</v>
      </c>
      <c r="J2835" s="229">
        <v>0</v>
      </c>
      <c r="K2835" s="221">
        <v>0</v>
      </c>
      <c r="L2835" s="221">
        <v>0</v>
      </c>
      <c r="M2835" s="221">
        <v>0</v>
      </c>
      <c r="N2835" s="221">
        <v>0</v>
      </c>
      <c r="O2835" s="221">
        <v>0</v>
      </c>
      <c r="P2835" s="221">
        <v>0</v>
      </c>
      <c r="Q2835" s="221">
        <v>0</v>
      </c>
      <c r="R2835" s="221">
        <v>0</v>
      </c>
      <c r="S2835" s="221">
        <v>0</v>
      </c>
      <c r="T2835" s="221">
        <v>0</v>
      </c>
      <c r="U2835" s="221">
        <v>0</v>
      </c>
      <c r="V2835" s="221">
        <v>0</v>
      </c>
    </row>
    <row r="2836" hidden="1" spans="1:22">
      <c r="A2836" s="143">
        <v>45143</v>
      </c>
      <c r="B2836" s="226" t="s">
        <v>37</v>
      </c>
      <c r="C2836" s="232">
        <v>0</v>
      </c>
      <c r="D2836" s="232"/>
      <c r="E2836" s="226">
        <v>0</v>
      </c>
      <c r="F2836" s="229">
        <v>0</v>
      </c>
      <c r="G2836" s="230">
        <v>0</v>
      </c>
      <c r="H2836" s="229">
        <v>0</v>
      </c>
      <c r="I2836" s="226">
        <v>0</v>
      </c>
      <c r="J2836" s="229">
        <v>0</v>
      </c>
      <c r="K2836" s="221">
        <v>0</v>
      </c>
      <c r="L2836" s="221">
        <v>0</v>
      </c>
      <c r="M2836" s="221">
        <v>0</v>
      </c>
      <c r="N2836" s="221">
        <v>0</v>
      </c>
      <c r="O2836" s="221">
        <v>0</v>
      </c>
      <c r="P2836" s="221">
        <v>-0.666666666666667</v>
      </c>
      <c r="Q2836" s="221">
        <v>-1</v>
      </c>
      <c r="R2836" s="221">
        <v>-1.14285714285714</v>
      </c>
      <c r="S2836" s="221">
        <v>0</v>
      </c>
      <c r="T2836" s="221">
        <v>0</v>
      </c>
      <c r="U2836" s="221">
        <v>0</v>
      </c>
      <c r="V2836" s="221">
        <v>0</v>
      </c>
    </row>
    <row r="2837" hidden="1" spans="1:22">
      <c r="A2837" s="143">
        <v>45143</v>
      </c>
      <c r="B2837" s="226" t="s">
        <v>38</v>
      </c>
      <c r="C2837" s="232">
        <v>0</v>
      </c>
      <c r="D2837" s="232"/>
      <c r="E2837" s="226">
        <v>0</v>
      </c>
      <c r="F2837" s="229">
        <v>0</v>
      </c>
      <c r="G2837" s="230">
        <v>0</v>
      </c>
      <c r="H2837" s="229">
        <v>0</v>
      </c>
      <c r="I2837" s="226">
        <v>0</v>
      </c>
      <c r="J2837" s="229">
        <v>0</v>
      </c>
      <c r="K2837" s="221">
        <v>0</v>
      </c>
      <c r="L2837" s="221">
        <v>0</v>
      </c>
      <c r="M2837" s="221">
        <v>0</v>
      </c>
      <c r="N2837" s="221">
        <v>0</v>
      </c>
      <c r="O2837" s="221">
        <v>0</v>
      </c>
      <c r="P2837" s="221">
        <v>0</v>
      </c>
      <c r="Q2837" s="221">
        <v>0</v>
      </c>
      <c r="R2837" s="221">
        <v>0</v>
      </c>
      <c r="S2837" s="221">
        <v>0</v>
      </c>
      <c r="T2837" s="221">
        <v>0</v>
      </c>
      <c r="U2837" s="221">
        <v>0</v>
      </c>
      <c r="V2837" s="221">
        <v>0</v>
      </c>
    </row>
    <row r="2838" spans="1:22">
      <c r="A2838" s="143">
        <v>45143</v>
      </c>
      <c r="B2838" s="233" t="s">
        <v>39</v>
      </c>
      <c r="C2838" s="234">
        <v>22337</v>
      </c>
      <c r="D2838" s="234">
        <v>5555</v>
      </c>
      <c r="E2838" s="234">
        <v>180</v>
      </c>
      <c r="F2838" s="229">
        <v>0.00805837847517572</v>
      </c>
      <c r="G2838" s="234">
        <v>71</v>
      </c>
      <c r="H2838" s="235">
        <v>0.394444444444444</v>
      </c>
      <c r="I2838" s="234">
        <v>52</v>
      </c>
      <c r="J2838" s="229">
        <v>0.288888888888889</v>
      </c>
      <c r="K2838" s="221">
        <v>-103</v>
      </c>
      <c r="L2838" s="221">
        <v>-1488</v>
      </c>
      <c r="M2838" s="221">
        <v>3552.4</v>
      </c>
      <c r="N2838" s="221">
        <v>1224.85714285714</v>
      </c>
      <c r="O2838" s="221">
        <v>2</v>
      </c>
      <c r="P2838" s="221">
        <v>7</v>
      </c>
      <c r="Q2838" s="221">
        <v>42.6</v>
      </c>
      <c r="R2838" s="221">
        <v>23.2857142857143</v>
      </c>
      <c r="S2838" s="221">
        <v>-2</v>
      </c>
      <c r="T2838" s="221">
        <v>11.6666666666667</v>
      </c>
      <c r="U2838" s="221">
        <v>25.2</v>
      </c>
      <c r="V2838" s="221">
        <v>18</v>
      </c>
    </row>
    <row r="2839" spans="1:22">
      <c r="A2839" s="143">
        <v>45144</v>
      </c>
      <c r="B2839" s="104" t="s">
        <v>17</v>
      </c>
      <c r="C2839" s="216">
        <v>0</v>
      </c>
      <c r="D2839" s="216">
        <v>31</v>
      </c>
      <c r="E2839" s="217">
        <v>1</v>
      </c>
      <c r="F2839" s="236">
        <v>31</v>
      </c>
      <c r="G2839" s="107">
        <v>0</v>
      </c>
      <c r="H2839" s="106">
        <v>0</v>
      </c>
      <c r="I2839" s="104">
        <v>0</v>
      </c>
      <c r="J2839" s="106">
        <v>0</v>
      </c>
      <c r="K2839" s="108">
        <v>0</v>
      </c>
      <c r="L2839" s="108">
        <v>0</v>
      </c>
      <c r="M2839" s="108">
        <v>-83</v>
      </c>
      <c r="N2839" s="108">
        <v>-128.857142857143</v>
      </c>
      <c r="O2839" s="108">
        <v>1</v>
      </c>
      <c r="P2839" s="108">
        <v>-0.666666666666667</v>
      </c>
      <c r="Q2839" s="108">
        <v>0</v>
      </c>
      <c r="R2839" s="108">
        <v>-1.28571428571429</v>
      </c>
      <c r="S2839" s="108">
        <v>0</v>
      </c>
      <c r="T2839" s="108">
        <v>-0.333333333333333</v>
      </c>
      <c r="U2839" s="108">
        <v>-0.4</v>
      </c>
      <c r="V2839" s="108">
        <v>-0.857142857142857</v>
      </c>
    </row>
    <row r="2840" spans="1:22">
      <c r="A2840" s="143">
        <v>45144</v>
      </c>
      <c r="B2840" s="104" t="s">
        <v>19</v>
      </c>
      <c r="C2840" s="216">
        <v>591</v>
      </c>
      <c r="D2840" s="216">
        <v>488</v>
      </c>
      <c r="E2840" s="217">
        <v>17</v>
      </c>
      <c r="F2840" s="106">
        <v>0.0287648054145516</v>
      </c>
      <c r="G2840" s="107">
        <v>3</v>
      </c>
      <c r="H2840" s="106">
        <v>0.176470588235294</v>
      </c>
      <c r="I2840" s="104">
        <v>3</v>
      </c>
      <c r="J2840" s="106">
        <v>0.176470588235294</v>
      </c>
      <c r="K2840" s="108">
        <v>-107</v>
      </c>
      <c r="L2840" s="108">
        <v>-85.3333333333334</v>
      </c>
      <c r="M2840" s="108">
        <v>-72.2</v>
      </c>
      <c r="N2840" s="108">
        <v>15</v>
      </c>
      <c r="O2840" s="108">
        <v>0</v>
      </c>
      <c r="P2840" s="108">
        <v>2.33333333333333</v>
      </c>
      <c r="Q2840" s="108">
        <v>4.4</v>
      </c>
      <c r="R2840" s="108">
        <v>5.57142857142857</v>
      </c>
      <c r="S2840" s="108">
        <v>-6</v>
      </c>
      <c r="T2840" s="108">
        <v>-3.66666666666667</v>
      </c>
      <c r="U2840" s="108">
        <v>-3.8</v>
      </c>
      <c r="V2840" s="115">
        <v>-2.57142857142857</v>
      </c>
    </row>
    <row r="2841" spans="1:22">
      <c r="A2841" s="143">
        <v>45144</v>
      </c>
      <c r="B2841" s="104" t="s">
        <v>21</v>
      </c>
      <c r="C2841" s="218">
        <v>287</v>
      </c>
      <c r="D2841" s="218">
        <v>238</v>
      </c>
      <c r="E2841" s="217">
        <v>8</v>
      </c>
      <c r="F2841" s="106">
        <v>0.0278745644599303</v>
      </c>
      <c r="G2841" s="107">
        <v>3</v>
      </c>
      <c r="H2841" s="106">
        <v>0.375</v>
      </c>
      <c r="I2841" s="104">
        <v>2</v>
      </c>
      <c r="J2841" s="106">
        <v>0.25</v>
      </c>
      <c r="K2841" s="108">
        <v>6</v>
      </c>
      <c r="L2841" s="108">
        <v>10.3333333333333</v>
      </c>
      <c r="M2841" s="108">
        <v>9.19999999999999</v>
      </c>
      <c r="N2841" s="108">
        <v>48</v>
      </c>
      <c r="O2841" s="108">
        <v>5</v>
      </c>
      <c r="P2841" s="108">
        <v>3</v>
      </c>
      <c r="Q2841" s="108">
        <v>3.2</v>
      </c>
      <c r="R2841" s="108">
        <v>4.14285714285714</v>
      </c>
      <c r="S2841" s="108">
        <v>0</v>
      </c>
      <c r="T2841" s="108">
        <v>0</v>
      </c>
      <c r="U2841" s="108">
        <v>0.2</v>
      </c>
      <c r="V2841" s="108">
        <v>1</v>
      </c>
    </row>
    <row r="2842" spans="1:22">
      <c r="A2842" s="143">
        <v>45144</v>
      </c>
      <c r="B2842" s="104" t="s">
        <v>22</v>
      </c>
      <c r="C2842" s="218">
        <v>3252</v>
      </c>
      <c r="D2842" s="218">
        <v>955</v>
      </c>
      <c r="E2842" s="217">
        <v>83</v>
      </c>
      <c r="F2842" s="106">
        <v>0.0255227552275523</v>
      </c>
      <c r="G2842" s="107">
        <v>21</v>
      </c>
      <c r="H2842" s="106">
        <v>0.253012048192771</v>
      </c>
      <c r="I2842" s="104">
        <v>16</v>
      </c>
      <c r="J2842" s="106">
        <v>0.192771084337349</v>
      </c>
      <c r="K2842" s="108">
        <v>159</v>
      </c>
      <c r="L2842" s="108">
        <v>218.666666666667</v>
      </c>
      <c r="M2842" s="108">
        <v>637.4</v>
      </c>
      <c r="N2842" s="108">
        <v>1176.42857142857</v>
      </c>
      <c r="O2842" s="108">
        <v>31</v>
      </c>
      <c r="P2842" s="108">
        <v>36.3333333333333</v>
      </c>
      <c r="Q2842" s="108">
        <v>40.6</v>
      </c>
      <c r="R2842" s="115">
        <v>46.7142857142857</v>
      </c>
      <c r="S2842" s="108">
        <v>6</v>
      </c>
      <c r="T2842" s="108">
        <v>7</v>
      </c>
      <c r="U2842" s="108">
        <v>8.4</v>
      </c>
      <c r="V2842" s="117">
        <v>10.5714285714286</v>
      </c>
    </row>
    <row r="2843" spans="1:22">
      <c r="A2843" s="143">
        <v>45144</v>
      </c>
      <c r="B2843" s="104" t="s">
        <v>23</v>
      </c>
      <c r="C2843" s="218">
        <v>4696</v>
      </c>
      <c r="D2843" s="218">
        <v>363</v>
      </c>
      <c r="E2843" s="217">
        <v>10</v>
      </c>
      <c r="F2843" s="106">
        <v>0.00212947189097104</v>
      </c>
      <c r="G2843" s="107">
        <v>7</v>
      </c>
      <c r="H2843" s="106">
        <v>0.7</v>
      </c>
      <c r="I2843" s="104">
        <v>3</v>
      </c>
      <c r="J2843" s="106">
        <v>0.3</v>
      </c>
      <c r="K2843" s="108">
        <v>466</v>
      </c>
      <c r="L2843" s="108">
        <v>494.666666666667</v>
      </c>
      <c r="M2843" s="108">
        <v>666.8</v>
      </c>
      <c r="N2843" s="108">
        <v>1306.28571428571</v>
      </c>
      <c r="O2843" s="108">
        <v>2</v>
      </c>
      <c r="P2843" s="108">
        <v>3</v>
      </c>
      <c r="Q2843" s="108">
        <v>3.2</v>
      </c>
      <c r="R2843" s="108">
        <v>4.71428571428571</v>
      </c>
      <c r="S2843" s="108">
        <v>2</v>
      </c>
      <c r="T2843" s="116">
        <v>3</v>
      </c>
      <c r="U2843" s="108">
        <v>4</v>
      </c>
      <c r="V2843" s="108">
        <v>4.28571428571429</v>
      </c>
    </row>
    <row r="2844" spans="1:22">
      <c r="A2844" s="143">
        <v>45144</v>
      </c>
      <c r="B2844" s="104" t="s">
        <v>24</v>
      </c>
      <c r="C2844" s="218">
        <v>125</v>
      </c>
      <c r="D2844" s="218">
        <v>661</v>
      </c>
      <c r="E2844" s="217">
        <v>8</v>
      </c>
      <c r="F2844" s="106">
        <v>0.064</v>
      </c>
      <c r="G2844" s="107">
        <v>4</v>
      </c>
      <c r="H2844" s="106">
        <v>0.5</v>
      </c>
      <c r="I2844" s="104">
        <v>2</v>
      </c>
      <c r="J2844" s="106">
        <v>0.25</v>
      </c>
      <c r="K2844" s="108">
        <v>-61</v>
      </c>
      <c r="L2844" s="108">
        <v>-346</v>
      </c>
      <c r="M2844" s="108">
        <v>-598</v>
      </c>
      <c r="N2844" s="108">
        <v>-540.428571428571</v>
      </c>
      <c r="O2844" s="115">
        <v>-2</v>
      </c>
      <c r="P2844" s="115">
        <v>-8.33333333333333</v>
      </c>
      <c r="Q2844" s="115">
        <v>-10.4</v>
      </c>
      <c r="R2844" s="115">
        <v>-9.14285714285714</v>
      </c>
      <c r="S2844" s="115">
        <v>-2</v>
      </c>
      <c r="T2844" s="115">
        <v>-4</v>
      </c>
      <c r="U2844" s="115">
        <v>-3.6</v>
      </c>
      <c r="V2844" s="115">
        <v>-2.42857142857143</v>
      </c>
    </row>
    <row r="2845" spans="1:22">
      <c r="A2845" s="143">
        <v>45144</v>
      </c>
      <c r="B2845" s="104" t="s">
        <v>25</v>
      </c>
      <c r="C2845" s="218">
        <v>9684</v>
      </c>
      <c r="D2845" s="218">
        <v>624</v>
      </c>
      <c r="E2845" s="217">
        <v>49</v>
      </c>
      <c r="F2845" s="106">
        <v>0.00505989260636101</v>
      </c>
      <c r="G2845" s="107">
        <v>20</v>
      </c>
      <c r="H2845" s="106">
        <v>0.408163265306122</v>
      </c>
      <c r="I2845" s="104">
        <v>15</v>
      </c>
      <c r="J2845" s="106">
        <v>0.306122448979592</v>
      </c>
      <c r="K2845" s="108">
        <v>209</v>
      </c>
      <c r="L2845" s="108">
        <v>672.666666666666</v>
      </c>
      <c r="M2845" s="108">
        <v>1755.4</v>
      </c>
      <c r="N2845" s="108">
        <v>2926.28571428571</v>
      </c>
      <c r="O2845" s="115">
        <v>9</v>
      </c>
      <c r="P2845" s="115">
        <v>10</v>
      </c>
      <c r="Q2845" s="115">
        <v>10.2</v>
      </c>
      <c r="R2845" s="115">
        <v>10.8571428571429</v>
      </c>
      <c r="S2845" s="108">
        <v>3</v>
      </c>
      <c r="T2845" s="108">
        <v>6.33333333333333</v>
      </c>
      <c r="U2845" s="108">
        <v>7.2</v>
      </c>
      <c r="V2845" s="108">
        <v>6</v>
      </c>
    </row>
    <row r="2846" spans="1:22">
      <c r="A2846" s="143">
        <v>45144</v>
      </c>
      <c r="B2846" s="104" t="s">
        <v>26</v>
      </c>
      <c r="C2846" s="218">
        <v>1423</v>
      </c>
      <c r="D2846" s="218">
        <v>2037</v>
      </c>
      <c r="E2846" s="217">
        <v>24</v>
      </c>
      <c r="F2846" s="106">
        <v>0.016865776528461</v>
      </c>
      <c r="G2846" s="107">
        <v>6</v>
      </c>
      <c r="H2846" s="106">
        <v>0.25</v>
      </c>
      <c r="I2846" s="104">
        <v>2</v>
      </c>
      <c r="J2846" s="106">
        <v>0.0833333333333333</v>
      </c>
      <c r="K2846" s="108">
        <v>47</v>
      </c>
      <c r="L2846" s="108">
        <v>-39.6666666666667</v>
      </c>
      <c r="M2846" s="108">
        <v>-55.4000000000001</v>
      </c>
      <c r="N2846" s="108">
        <v>179</v>
      </c>
      <c r="O2846" s="108">
        <v>-18</v>
      </c>
      <c r="P2846" s="108">
        <v>-10</v>
      </c>
      <c r="Q2846" s="108">
        <v>-9.8</v>
      </c>
      <c r="R2846" s="108">
        <v>-4.14285714285714</v>
      </c>
      <c r="S2846" s="108">
        <v>-7</v>
      </c>
      <c r="T2846" s="108">
        <v>-5</v>
      </c>
      <c r="U2846" s="108">
        <v>-5.4</v>
      </c>
      <c r="V2846" s="108">
        <v>-3.14285714285714</v>
      </c>
    </row>
    <row r="2847" spans="1:22">
      <c r="A2847" s="143">
        <v>45144</v>
      </c>
      <c r="B2847" s="104" t="s">
        <v>27</v>
      </c>
      <c r="C2847" s="218">
        <v>2565</v>
      </c>
      <c r="D2847" s="218">
        <v>345</v>
      </c>
      <c r="E2847" s="217">
        <v>7</v>
      </c>
      <c r="F2847" s="106">
        <v>0.00272904483430799</v>
      </c>
      <c r="G2847" s="107">
        <v>0</v>
      </c>
      <c r="H2847" s="106">
        <v>0</v>
      </c>
      <c r="I2847" s="104">
        <v>0</v>
      </c>
      <c r="J2847" s="106">
        <v>0</v>
      </c>
      <c r="K2847" s="108">
        <v>-433</v>
      </c>
      <c r="L2847" s="108">
        <v>-1323</v>
      </c>
      <c r="M2847" s="108">
        <v>-2889.2</v>
      </c>
      <c r="N2847" s="108">
        <v>-2933.14285714286</v>
      </c>
      <c r="O2847" s="108">
        <v>-1</v>
      </c>
      <c r="P2847" s="108">
        <v>-4.66666666666667</v>
      </c>
      <c r="Q2847" s="108">
        <v>-6.6</v>
      </c>
      <c r="R2847" s="108">
        <v>-4.28571428571429</v>
      </c>
      <c r="S2847" s="108">
        <v>-3</v>
      </c>
      <c r="T2847" s="108">
        <v>-2.33333333333333</v>
      </c>
      <c r="U2847" s="108">
        <v>-2.6</v>
      </c>
      <c r="V2847" s="108">
        <v>-2.85714285714286</v>
      </c>
    </row>
    <row r="2848" hidden="1" spans="1:22">
      <c r="A2848" s="143">
        <v>45144</v>
      </c>
      <c r="B2848" s="104" t="s">
        <v>28</v>
      </c>
      <c r="C2848" s="145">
        <v>0</v>
      </c>
      <c r="D2848" s="145"/>
      <c r="E2848" s="104">
        <v>0</v>
      </c>
      <c r="F2848" s="106">
        <v>0</v>
      </c>
      <c r="G2848" s="107">
        <v>0</v>
      </c>
      <c r="H2848" s="106">
        <v>0</v>
      </c>
      <c r="I2848" s="104">
        <v>0</v>
      </c>
      <c r="J2848" s="106">
        <v>0</v>
      </c>
      <c r="K2848" s="108">
        <v>0</v>
      </c>
      <c r="L2848" s="108">
        <v>0</v>
      </c>
      <c r="M2848" s="108">
        <v>0</v>
      </c>
      <c r="N2848" s="108">
        <v>0</v>
      </c>
      <c r="O2848" s="108">
        <v>0</v>
      </c>
      <c r="P2848" s="108">
        <v>0</v>
      </c>
      <c r="Q2848" s="108">
        <v>0</v>
      </c>
      <c r="R2848" s="108">
        <v>0</v>
      </c>
      <c r="S2848" s="108">
        <v>0</v>
      </c>
      <c r="T2848" s="108">
        <v>0</v>
      </c>
      <c r="U2848" s="108">
        <v>0</v>
      </c>
      <c r="V2848" s="108">
        <v>0</v>
      </c>
    </row>
    <row r="2849" hidden="1" spans="1:22">
      <c r="A2849" s="143">
        <v>45144</v>
      </c>
      <c r="B2849" s="104" t="s">
        <v>29</v>
      </c>
      <c r="C2849" s="145">
        <v>0</v>
      </c>
      <c r="D2849" s="145"/>
      <c r="E2849" s="104">
        <v>0</v>
      </c>
      <c r="F2849" s="106">
        <v>0</v>
      </c>
      <c r="G2849" s="107">
        <v>0</v>
      </c>
      <c r="H2849" s="106">
        <v>0</v>
      </c>
      <c r="I2849" s="104">
        <v>0</v>
      </c>
      <c r="J2849" s="106">
        <v>0</v>
      </c>
      <c r="K2849" s="108">
        <v>0</v>
      </c>
      <c r="L2849" s="108">
        <v>0</v>
      </c>
      <c r="M2849" s="108">
        <v>0</v>
      </c>
      <c r="N2849" s="108">
        <v>0</v>
      </c>
      <c r="O2849" s="108">
        <v>0</v>
      </c>
      <c r="P2849" s="108">
        <v>0</v>
      </c>
      <c r="Q2849" s="108">
        <v>-0.2</v>
      </c>
      <c r="R2849" s="108">
        <v>-0.142857142857143</v>
      </c>
      <c r="S2849" s="108">
        <v>0</v>
      </c>
      <c r="T2849" s="108">
        <v>0</v>
      </c>
      <c r="U2849" s="108">
        <v>0</v>
      </c>
      <c r="V2849" s="108">
        <v>0</v>
      </c>
    </row>
    <row r="2850" hidden="1" spans="1:22">
      <c r="A2850" s="143">
        <v>45144</v>
      </c>
      <c r="B2850" s="104" t="s">
        <v>30</v>
      </c>
      <c r="C2850" s="145">
        <v>0</v>
      </c>
      <c r="D2850" s="145"/>
      <c r="E2850" s="104">
        <v>0</v>
      </c>
      <c r="F2850" s="106">
        <v>0</v>
      </c>
      <c r="G2850" s="107">
        <v>0</v>
      </c>
      <c r="H2850" s="106">
        <v>0</v>
      </c>
      <c r="I2850" s="104">
        <v>0</v>
      </c>
      <c r="J2850" s="106">
        <v>0</v>
      </c>
      <c r="K2850" s="108">
        <v>0</v>
      </c>
      <c r="L2850" s="108">
        <v>0</v>
      </c>
      <c r="M2850" s="108">
        <v>0</v>
      </c>
      <c r="N2850" s="108">
        <v>0</v>
      </c>
      <c r="O2850" s="108">
        <v>0</v>
      </c>
      <c r="P2850" s="108">
        <v>0</v>
      </c>
      <c r="Q2850" s="108">
        <v>0</v>
      </c>
      <c r="R2850" s="108">
        <v>0</v>
      </c>
      <c r="S2850" s="108">
        <v>0</v>
      </c>
      <c r="T2850" s="108">
        <v>0</v>
      </c>
      <c r="U2850" s="108">
        <v>0</v>
      </c>
      <c r="V2850" s="108">
        <v>0</v>
      </c>
    </row>
    <row r="2851" hidden="1" spans="1:22">
      <c r="A2851" s="143">
        <v>45144</v>
      </c>
      <c r="B2851" s="104" t="s">
        <v>31</v>
      </c>
      <c r="C2851" s="145">
        <v>0</v>
      </c>
      <c r="D2851" s="145"/>
      <c r="E2851" s="104">
        <v>0</v>
      </c>
      <c r="F2851" s="106">
        <v>0</v>
      </c>
      <c r="G2851" s="107">
        <v>0</v>
      </c>
      <c r="H2851" s="106">
        <v>0</v>
      </c>
      <c r="I2851" s="104">
        <v>0</v>
      </c>
      <c r="J2851" s="106">
        <v>0</v>
      </c>
      <c r="K2851" s="108">
        <v>0</v>
      </c>
      <c r="L2851" s="108">
        <v>0</v>
      </c>
      <c r="M2851" s="108">
        <v>0</v>
      </c>
      <c r="N2851" s="108">
        <v>0</v>
      </c>
      <c r="O2851" s="108">
        <v>0</v>
      </c>
      <c r="P2851" s="108">
        <v>0</v>
      </c>
      <c r="Q2851" s="108">
        <v>0</v>
      </c>
      <c r="R2851" s="108">
        <v>0</v>
      </c>
      <c r="S2851" s="108">
        <v>0</v>
      </c>
      <c r="T2851" s="108">
        <v>0</v>
      </c>
      <c r="U2851" s="108">
        <v>0</v>
      </c>
      <c r="V2851" s="108">
        <v>0</v>
      </c>
    </row>
    <row r="2852" hidden="1" spans="1:22">
      <c r="A2852" s="143">
        <v>45144</v>
      </c>
      <c r="B2852" s="104" t="s">
        <v>32</v>
      </c>
      <c r="C2852" s="145">
        <v>0</v>
      </c>
      <c r="D2852" s="145"/>
      <c r="E2852" s="104">
        <v>0</v>
      </c>
      <c r="F2852" s="106">
        <v>0</v>
      </c>
      <c r="G2852" s="107">
        <v>0</v>
      </c>
      <c r="H2852" s="106">
        <v>0</v>
      </c>
      <c r="I2852" s="104">
        <v>0</v>
      </c>
      <c r="J2852" s="106">
        <v>0</v>
      </c>
      <c r="K2852" s="108">
        <v>0</v>
      </c>
      <c r="L2852" s="108">
        <v>0</v>
      </c>
      <c r="M2852" s="108">
        <v>0</v>
      </c>
      <c r="N2852" s="108">
        <v>0</v>
      </c>
      <c r="O2852" s="108">
        <v>0</v>
      </c>
      <c r="P2852" s="108">
        <v>0</v>
      </c>
      <c r="Q2852" s="108">
        <v>0</v>
      </c>
      <c r="R2852" s="108">
        <v>0</v>
      </c>
      <c r="S2852" s="108">
        <v>0</v>
      </c>
      <c r="T2852" s="108">
        <v>0</v>
      </c>
      <c r="U2852" s="108">
        <v>0</v>
      </c>
      <c r="V2852" s="108">
        <v>0</v>
      </c>
    </row>
    <row r="2853" hidden="1" spans="1:22">
      <c r="A2853" s="143">
        <v>45144</v>
      </c>
      <c r="B2853" s="104" t="s">
        <v>33</v>
      </c>
      <c r="C2853" s="145">
        <v>0</v>
      </c>
      <c r="D2853" s="145"/>
      <c r="E2853" s="104">
        <v>0</v>
      </c>
      <c r="F2853" s="106">
        <v>0</v>
      </c>
      <c r="G2853" s="107">
        <v>0</v>
      </c>
      <c r="H2853" s="106">
        <v>0</v>
      </c>
      <c r="I2853" s="104">
        <v>0</v>
      </c>
      <c r="J2853" s="106">
        <v>0</v>
      </c>
      <c r="K2853" s="108">
        <v>0</v>
      </c>
      <c r="L2853" s="108">
        <v>0</v>
      </c>
      <c r="M2853" s="108">
        <v>0</v>
      </c>
      <c r="N2853" s="108">
        <v>0</v>
      </c>
      <c r="O2853" s="108">
        <v>0</v>
      </c>
      <c r="P2853" s="108">
        <v>0</v>
      </c>
      <c r="Q2853" s="108">
        <v>0</v>
      </c>
      <c r="R2853" s="108">
        <v>0</v>
      </c>
      <c r="S2853" s="108">
        <v>0</v>
      </c>
      <c r="T2853" s="108">
        <v>0</v>
      </c>
      <c r="U2853" s="108">
        <v>0</v>
      </c>
      <c r="V2853" s="108">
        <v>0</v>
      </c>
    </row>
    <row r="2854" hidden="1" spans="1:22">
      <c r="A2854" s="143">
        <v>45144</v>
      </c>
      <c r="B2854" s="104" t="s">
        <v>34</v>
      </c>
      <c r="C2854" s="145">
        <v>0</v>
      </c>
      <c r="D2854" s="145"/>
      <c r="E2854" s="104">
        <v>0</v>
      </c>
      <c r="F2854" s="106">
        <v>0</v>
      </c>
      <c r="G2854" s="107">
        <v>0</v>
      </c>
      <c r="H2854" s="106">
        <v>0</v>
      </c>
      <c r="I2854" s="104">
        <v>0</v>
      </c>
      <c r="J2854" s="106">
        <v>0</v>
      </c>
      <c r="K2854" s="108">
        <v>0</v>
      </c>
      <c r="L2854" s="108">
        <v>0</v>
      </c>
      <c r="M2854" s="108">
        <v>0</v>
      </c>
      <c r="N2854" s="108">
        <v>0</v>
      </c>
      <c r="O2854" s="108">
        <v>0</v>
      </c>
      <c r="P2854" s="108">
        <v>0</v>
      </c>
      <c r="Q2854" s="108">
        <v>0</v>
      </c>
      <c r="R2854" s="108">
        <v>0</v>
      </c>
      <c r="S2854" s="108">
        <v>0</v>
      </c>
      <c r="T2854" s="108">
        <v>0</v>
      </c>
      <c r="U2854" s="108">
        <v>0</v>
      </c>
      <c r="V2854" s="108">
        <v>0</v>
      </c>
    </row>
    <row r="2855" hidden="1" spans="1:22">
      <c r="A2855" s="143">
        <v>45144</v>
      </c>
      <c r="B2855" s="104" t="s">
        <v>35</v>
      </c>
      <c r="C2855" s="145">
        <v>0</v>
      </c>
      <c r="D2855" s="145"/>
      <c r="E2855" s="104">
        <v>0</v>
      </c>
      <c r="F2855" s="106">
        <v>0</v>
      </c>
      <c r="G2855" s="107">
        <v>0</v>
      </c>
      <c r="H2855" s="106">
        <v>0</v>
      </c>
      <c r="I2855" s="104">
        <v>0</v>
      </c>
      <c r="J2855" s="106">
        <v>0</v>
      </c>
      <c r="K2855" s="108">
        <v>0</v>
      </c>
      <c r="L2855" s="108">
        <v>0</v>
      </c>
      <c r="M2855" s="108">
        <v>0</v>
      </c>
      <c r="N2855" s="108">
        <v>0</v>
      </c>
      <c r="O2855" s="108">
        <v>0</v>
      </c>
      <c r="P2855" s="108">
        <v>0</v>
      </c>
      <c r="Q2855" s="108">
        <v>0</v>
      </c>
      <c r="R2855" s="108">
        <v>0</v>
      </c>
      <c r="S2855" s="108">
        <v>0</v>
      </c>
      <c r="T2855" s="108">
        <v>0</v>
      </c>
      <c r="U2855" s="108">
        <v>0</v>
      </c>
      <c r="V2855" s="108">
        <v>0</v>
      </c>
    </row>
    <row r="2856" hidden="1" spans="1:22">
      <c r="A2856" s="143">
        <v>45144</v>
      </c>
      <c r="B2856" s="104" t="s">
        <v>36</v>
      </c>
      <c r="C2856" s="145">
        <v>0</v>
      </c>
      <c r="D2856" s="145"/>
      <c r="E2856" s="104">
        <v>0</v>
      </c>
      <c r="F2856" s="106">
        <v>0</v>
      </c>
      <c r="G2856" s="107">
        <v>0</v>
      </c>
      <c r="H2856" s="106">
        <v>0</v>
      </c>
      <c r="I2856" s="104">
        <v>0</v>
      </c>
      <c r="J2856" s="106">
        <v>0</v>
      </c>
      <c r="K2856" s="108">
        <v>0</v>
      </c>
      <c r="L2856" s="108">
        <v>0</v>
      </c>
      <c r="M2856" s="108">
        <v>0</v>
      </c>
      <c r="N2856" s="108">
        <v>0</v>
      </c>
      <c r="O2856" s="108">
        <v>0</v>
      </c>
      <c r="P2856" s="108">
        <v>0</v>
      </c>
      <c r="Q2856" s="108">
        <v>0</v>
      </c>
      <c r="R2856" s="108">
        <v>0</v>
      </c>
      <c r="S2856" s="108">
        <v>0</v>
      </c>
      <c r="T2856" s="108">
        <v>0</v>
      </c>
      <c r="U2856" s="108">
        <v>0</v>
      </c>
      <c r="V2856" s="108">
        <v>0</v>
      </c>
    </row>
    <row r="2857" hidden="1" spans="1:22">
      <c r="A2857" s="143">
        <v>45144</v>
      </c>
      <c r="B2857" s="104" t="s">
        <v>37</v>
      </c>
      <c r="C2857" s="145">
        <v>0</v>
      </c>
      <c r="D2857" s="145"/>
      <c r="E2857" s="104">
        <v>1</v>
      </c>
      <c r="F2857" s="106">
        <v>0</v>
      </c>
      <c r="G2857" s="107">
        <v>0</v>
      </c>
      <c r="H2857" s="106">
        <v>0</v>
      </c>
      <c r="I2857" s="104">
        <v>0</v>
      </c>
      <c r="J2857" s="106">
        <v>0</v>
      </c>
      <c r="K2857" s="108">
        <v>0</v>
      </c>
      <c r="L2857" s="108">
        <v>0</v>
      </c>
      <c r="M2857" s="108">
        <v>0</v>
      </c>
      <c r="N2857" s="108">
        <v>0</v>
      </c>
      <c r="O2857" s="108">
        <v>1</v>
      </c>
      <c r="P2857" s="108">
        <v>0.666666666666667</v>
      </c>
      <c r="Q2857" s="108">
        <v>0</v>
      </c>
      <c r="R2857" s="108">
        <v>0</v>
      </c>
      <c r="S2857" s="108">
        <v>0</v>
      </c>
      <c r="T2857" s="108">
        <v>0</v>
      </c>
      <c r="U2857" s="108">
        <v>0</v>
      </c>
      <c r="V2857" s="108">
        <v>0</v>
      </c>
    </row>
    <row r="2858" hidden="1" spans="1:22">
      <c r="A2858" s="143">
        <v>45144</v>
      </c>
      <c r="B2858" s="104" t="s">
        <v>38</v>
      </c>
      <c r="C2858" s="145">
        <v>0</v>
      </c>
      <c r="D2858" s="145"/>
      <c r="E2858" s="104">
        <v>0</v>
      </c>
      <c r="F2858" s="106">
        <v>0</v>
      </c>
      <c r="G2858" s="107">
        <v>0</v>
      </c>
      <c r="H2858" s="106">
        <v>0</v>
      </c>
      <c r="I2858" s="104">
        <v>0</v>
      </c>
      <c r="J2858" s="106">
        <v>0</v>
      </c>
      <c r="K2858" s="108">
        <v>0</v>
      </c>
      <c r="L2858" s="108">
        <v>0</v>
      </c>
      <c r="M2858" s="108">
        <v>0</v>
      </c>
      <c r="N2858" s="108">
        <v>0</v>
      </c>
      <c r="O2858" s="108">
        <v>0</v>
      </c>
      <c r="P2858" s="108">
        <v>0</v>
      </c>
      <c r="Q2858" s="108">
        <v>0</v>
      </c>
      <c r="R2858" s="108">
        <v>0</v>
      </c>
      <c r="S2858" s="108">
        <v>0</v>
      </c>
      <c r="T2858" s="108">
        <v>0</v>
      </c>
      <c r="U2858" s="108">
        <v>0</v>
      </c>
      <c r="V2858" s="108">
        <v>0</v>
      </c>
    </row>
    <row r="2859" spans="1:22">
      <c r="A2859" s="143">
        <v>45144</v>
      </c>
      <c r="B2859" s="111" t="s">
        <v>39</v>
      </c>
      <c r="C2859" s="112">
        <v>22623</v>
      </c>
      <c r="D2859" s="112">
        <v>5742</v>
      </c>
      <c r="E2859" s="112">
        <v>208</v>
      </c>
      <c r="F2859" s="106">
        <v>0.00919418291119657</v>
      </c>
      <c r="G2859" s="112">
        <v>64</v>
      </c>
      <c r="H2859" s="113">
        <v>0.307692307692308</v>
      </c>
      <c r="I2859" s="112">
        <v>43</v>
      </c>
      <c r="J2859" s="106">
        <v>0.206730769230769</v>
      </c>
      <c r="K2859" s="108">
        <v>286</v>
      </c>
      <c r="L2859" s="108">
        <v>-397.666666666668</v>
      </c>
      <c r="M2859" s="108">
        <v>-629</v>
      </c>
      <c r="N2859" s="108">
        <v>2048.57142857143</v>
      </c>
      <c r="O2859" s="108">
        <v>28</v>
      </c>
      <c r="P2859" s="108">
        <v>31.6666666666667</v>
      </c>
      <c r="Q2859" s="108">
        <v>34.6</v>
      </c>
      <c r="R2859" s="108">
        <v>53</v>
      </c>
      <c r="S2859" s="108">
        <v>-7</v>
      </c>
      <c r="T2859" s="108">
        <v>1</v>
      </c>
      <c r="U2859" s="108">
        <v>4</v>
      </c>
      <c r="V2859" s="108">
        <v>10</v>
      </c>
    </row>
    <row r="2860" spans="1:22">
      <c r="A2860" s="143">
        <v>45145</v>
      </c>
      <c r="B2860" s="104" t="s">
        <v>17</v>
      </c>
      <c r="C2860" s="216">
        <v>0</v>
      </c>
      <c r="D2860" s="216">
        <v>51</v>
      </c>
      <c r="E2860" s="217">
        <v>3</v>
      </c>
      <c r="F2860" s="236">
        <v>51</v>
      </c>
      <c r="G2860" s="107">
        <v>2</v>
      </c>
      <c r="H2860" s="106">
        <v>0.666666666666667</v>
      </c>
      <c r="I2860" s="104">
        <v>2</v>
      </c>
      <c r="J2860" s="106">
        <v>0.666666666666667</v>
      </c>
      <c r="K2860" s="108">
        <v>0</v>
      </c>
      <c r="L2860" s="108">
        <v>0</v>
      </c>
      <c r="M2860" s="108">
        <v>-0.2</v>
      </c>
      <c r="N2860" s="108">
        <v>-59.2857142857143</v>
      </c>
      <c r="O2860" s="108">
        <v>2</v>
      </c>
      <c r="P2860" s="108">
        <v>1.66666666666667</v>
      </c>
      <c r="Q2860" s="108">
        <v>1.8</v>
      </c>
      <c r="R2860" s="108">
        <v>2.14285714285714</v>
      </c>
      <c r="S2860" s="108">
        <v>2</v>
      </c>
      <c r="T2860" s="108">
        <v>2</v>
      </c>
      <c r="U2860" s="108">
        <v>1.8</v>
      </c>
      <c r="V2860" s="108">
        <v>1.71428571428571</v>
      </c>
    </row>
    <row r="2861" spans="1:22">
      <c r="A2861" s="143">
        <v>45145</v>
      </c>
      <c r="B2861" s="104" t="s">
        <v>19</v>
      </c>
      <c r="C2861" s="216">
        <v>568</v>
      </c>
      <c r="D2861" s="216">
        <v>440</v>
      </c>
      <c r="E2861" s="217">
        <v>12</v>
      </c>
      <c r="F2861" s="106">
        <v>0.0211267605633803</v>
      </c>
      <c r="G2861" s="107">
        <v>3</v>
      </c>
      <c r="H2861" s="106">
        <v>0.25</v>
      </c>
      <c r="I2861" s="104">
        <v>3</v>
      </c>
      <c r="J2861" s="106">
        <v>0.25</v>
      </c>
      <c r="K2861" s="108">
        <v>-23</v>
      </c>
      <c r="L2861" s="108">
        <v>-100</v>
      </c>
      <c r="M2861" s="108">
        <v>-84.6</v>
      </c>
      <c r="N2861" s="108">
        <v>9.85714285714289</v>
      </c>
      <c r="O2861" s="108">
        <v>-5</v>
      </c>
      <c r="P2861" s="108">
        <v>-6.66666666666667</v>
      </c>
      <c r="Q2861" s="108">
        <v>-2.4</v>
      </c>
      <c r="R2861" s="108">
        <v>0.571428571428571</v>
      </c>
      <c r="S2861" s="108">
        <v>0</v>
      </c>
      <c r="T2861" s="108">
        <v>-4.33333333333333</v>
      </c>
      <c r="U2861" s="108">
        <v>-2.6</v>
      </c>
      <c r="V2861" s="115">
        <v>-2.28571428571429</v>
      </c>
    </row>
    <row r="2862" spans="1:22">
      <c r="A2862" s="143">
        <v>45145</v>
      </c>
      <c r="B2862" s="104" t="s">
        <v>21</v>
      </c>
      <c r="C2862" s="218">
        <v>273</v>
      </c>
      <c r="D2862" s="218">
        <v>225</v>
      </c>
      <c r="E2862" s="217">
        <v>6</v>
      </c>
      <c r="F2862" s="106">
        <v>0.021978021978022</v>
      </c>
      <c r="G2862" s="107">
        <v>0</v>
      </c>
      <c r="H2862" s="106">
        <v>0</v>
      </c>
      <c r="I2862" s="104">
        <v>0</v>
      </c>
      <c r="J2862" s="106">
        <v>0</v>
      </c>
      <c r="K2862" s="108">
        <v>-14</v>
      </c>
      <c r="L2862" s="108">
        <v>-11</v>
      </c>
      <c r="M2862" s="108">
        <v>-3.60000000000002</v>
      </c>
      <c r="N2862" s="108">
        <v>33.5714285714286</v>
      </c>
      <c r="O2862" s="108">
        <v>-2</v>
      </c>
      <c r="P2862" s="108">
        <v>0.666666666666667</v>
      </c>
      <c r="Q2862" s="108">
        <v>0.6</v>
      </c>
      <c r="R2862" s="108">
        <v>1.42857142857143</v>
      </c>
      <c r="S2862" s="108">
        <v>-3</v>
      </c>
      <c r="T2862" s="108">
        <v>-3.33333333333333</v>
      </c>
      <c r="U2862" s="108">
        <v>-2.4</v>
      </c>
      <c r="V2862" s="108">
        <v>-2.42857142857143</v>
      </c>
    </row>
    <row r="2863" spans="1:22">
      <c r="A2863" s="143">
        <v>45145</v>
      </c>
      <c r="B2863" s="104" t="s">
        <v>22</v>
      </c>
      <c r="C2863" s="218">
        <v>3445</v>
      </c>
      <c r="D2863" s="218">
        <v>1072</v>
      </c>
      <c r="E2863" s="217">
        <v>78</v>
      </c>
      <c r="F2863" s="106">
        <v>0.0226415094339623</v>
      </c>
      <c r="G2863" s="107">
        <v>24</v>
      </c>
      <c r="H2863" s="106">
        <v>0.307692307692308</v>
      </c>
      <c r="I2863" s="104">
        <v>18</v>
      </c>
      <c r="J2863" s="106">
        <v>0.230769230769231</v>
      </c>
      <c r="K2863" s="108">
        <v>193</v>
      </c>
      <c r="L2863" s="108">
        <v>293.666666666667</v>
      </c>
      <c r="M2863" s="108">
        <v>516.2</v>
      </c>
      <c r="N2863" s="108">
        <v>1112.85714285714</v>
      </c>
      <c r="O2863" s="108">
        <v>-5</v>
      </c>
      <c r="P2863" s="108">
        <v>17.6666666666667</v>
      </c>
      <c r="Q2863" s="108">
        <v>26</v>
      </c>
      <c r="R2863" s="115">
        <v>35.8571428571429</v>
      </c>
      <c r="S2863" s="108">
        <v>3</v>
      </c>
      <c r="T2863" s="108">
        <v>6.33333333333333</v>
      </c>
      <c r="U2863" s="108">
        <v>8.6</v>
      </c>
      <c r="V2863" s="117">
        <v>12</v>
      </c>
    </row>
    <row r="2864" spans="1:22">
      <c r="A2864" s="143">
        <v>45145</v>
      </c>
      <c r="B2864" s="104" t="s">
        <v>23</v>
      </c>
      <c r="C2864" s="218">
        <v>4853</v>
      </c>
      <c r="D2864" s="218">
        <v>329</v>
      </c>
      <c r="E2864" s="217">
        <v>19</v>
      </c>
      <c r="F2864" s="106">
        <v>0.00391510405934473</v>
      </c>
      <c r="G2864" s="107">
        <v>8</v>
      </c>
      <c r="H2864" s="106">
        <v>0.421052631578947</v>
      </c>
      <c r="I2864" s="104">
        <v>8</v>
      </c>
      <c r="J2864" s="106">
        <v>0.421052631578947</v>
      </c>
      <c r="K2864" s="108">
        <v>157</v>
      </c>
      <c r="L2864" s="108">
        <v>431.666666666667</v>
      </c>
      <c r="M2864" s="108">
        <v>599.2</v>
      </c>
      <c r="N2864" s="108">
        <v>1304.14285714286</v>
      </c>
      <c r="O2864" s="108">
        <v>9</v>
      </c>
      <c r="P2864" s="108">
        <v>11.3333333333333</v>
      </c>
      <c r="Q2864" s="108">
        <v>11.2</v>
      </c>
      <c r="R2864" s="108">
        <v>12.7142857142857</v>
      </c>
      <c r="S2864" s="108">
        <v>1</v>
      </c>
      <c r="T2864" s="116">
        <v>3</v>
      </c>
      <c r="U2864" s="108">
        <v>4</v>
      </c>
      <c r="V2864" s="108">
        <v>4.85714285714286</v>
      </c>
    </row>
    <row r="2865" spans="1:22">
      <c r="A2865" s="143">
        <v>45145</v>
      </c>
      <c r="B2865" s="104" t="s">
        <v>24</v>
      </c>
      <c r="C2865" s="218">
        <v>103</v>
      </c>
      <c r="D2865" s="218">
        <v>0</v>
      </c>
      <c r="E2865" s="217">
        <v>14</v>
      </c>
      <c r="F2865" s="106">
        <v>0.135922330097087</v>
      </c>
      <c r="G2865" s="107">
        <v>5</v>
      </c>
      <c r="H2865" s="106">
        <v>0.357142857142857</v>
      </c>
      <c r="I2865" s="104">
        <v>2</v>
      </c>
      <c r="J2865" s="106">
        <v>0.142857142857143</v>
      </c>
      <c r="K2865" s="108">
        <v>-22</v>
      </c>
      <c r="L2865" s="108">
        <v>-67.3333333333333</v>
      </c>
      <c r="M2865" s="108">
        <v>-424</v>
      </c>
      <c r="N2865" s="108">
        <v>-431.285714285714</v>
      </c>
      <c r="O2865" s="115">
        <v>6</v>
      </c>
      <c r="P2865" s="115">
        <v>2.33333333333333</v>
      </c>
      <c r="Q2865" s="115">
        <v>-1.4</v>
      </c>
      <c r="R2865" s="115">
        <v>-0.285714285714286</v>
      </c>
      <c r="S2865" s="115">
        <v>1</v>
      </c>
      <c r="T2865" s="115">
        <v>-1</v>
      </c>
      <c r="U2865" s="115">
        <v>-2.4</v>
      </c>
      <c r="V2865" s="115">
        <v>-1</v>
      </c>
    </row>
    <row r="2866" spans="1:22">
      <c r="A2866" s="143">
        <v>45145</v>
      </c>
      <c r="B2866" s="104" t="s">
        <v>25</v>
      </c>
      <c r="C2866" s="218">
        <v>7325</v>
      </c>
      <c r="D2866" s="218">
        <v>562</v>
      </c>
      <c r="E2866" s="217">
        <v>37</v>
      </c>
      <c r="F2866" s="106">
        <v>0.00505119453924915</v>
      </c>
      <c r="G2866" s="107">
        <v>13</v>
      </c>
      <c r="H2866" s="106">
        <v>0.351351351351351</v>
      </c>
      <c r="I2866" s="104">
        <v>9</v>
      </c>
      <c r="J2866" s="106">
        <v>0.243243243243243</v>
      </c>
      <c r="K2866" s="108">
        <v>-2359</v>
      </c>
      <c r="L2866" s="108">
        <v>-1960</v>
      </c>
      <c r="M2866" s="108">
        <v>-1843.6</v>
      </c>
      <c r="N2866" s="108">
        <v>278.285714285715</v>
      </c>
      <c r="O2866" s="115">
        <v>-12</v>
      </c>
      <c r="P2866" s="115">
        <v>-5.66666666666666</v>
      </c>
      <c r="Q2866" s="115">
        <v>-5</v>
      </c>
      <c r="R2866" s="115">
        <v>2.28571428571428</v>
      </c>
      <c r="S2866" s="108">
        <v>-7</v>
      </c>
      <c r="T2866" s="108">
        <v>-4.33333333333333</v>
      </c>
      <c r="U2866" s="108">
        <v>-1.6</v>
      </c>
      <c r="V2866" s="108">
        <v>1</v>
      </c>
    </row>
    <row r="2867" spans="1:22">
      <c r="A2867" s="143">
        <v>45145</v>
      </c>
      <c r="B2867" s="104" t="s">
        <v>26</v>
      </c>
      <c r="C2867" s="218">
        <v>1525</v>
      </c>
      <c r="D2867" s="218">
        <v>2160</v>
      </c>
      <c r="E2867" s="217">
        <v>27</v>
      </c>
      <c r="F2867" s="106">
        <v>0.0177049180327869</v>
      </c>
      <c r="G2867" s="107">
        <v>5</v>
      </c>
      <c r="H2867" s="106">
        <v>0.185185185185185</v>
      </c>
      <c r="I2867" s="104">
        <v>5</v>
      </c>
      <c r="J2867" s="106">
        <v>0.185185185185185</v>
      </c>
      <c r="K2867" s="108">
        <v>102</v>
      </c>
      <c r="L2867" s="108">
        <v>106.666666666667</v>
      </c>
      <c r="M2867" s="108">
        <v>49.4000000000001</v>
      </c>
      <c r="N2867" s="108">
        <v>265.714285714286</v>
      </c>
      <c r="O2867" s="108">
        <v>3</v>
      </c>
      <c r="P2867" s="108">
        <v>-4.66666666666667</v>
      </c>
      <c r="Q2867" s="108">
        <v>-4.4</v>
      </c>
      <c r="R2867" s="108">
        <v>-0.571428571428573</v>
      </c>
      <c r="S2867" s="108">
        <v>-1</v>
      </c>
      <c r="T2867" s="108">
        <v>-5.66666666666667</v>
      </c>
      <c r="U2867" s="108">
        <v>-5.8</v>
      </c>
      <c r="V2867" s="108">
        <v>-4</v>
      </c>
    </row>
    <row r="2868" spans="1:22">
      <c r="A2868" s="143">
        <v>45145</v>
      </c>
      <c r="B2868" s="104" t="s">
        <v>27</v>
      </c>
      <c r="C2868" s="218">
        <v>2565</v>
      </c>
      <c r="D2868" s="218">
        <v>298</v>
      </c>
      <c r="E2868" s="217">
        <v>14</v>
      </c>
      <c r="F2868" s="106">
        <v>0.00545808966861598</v>
      </c>
      <c r="G2868" s="107">
        <v>6</v>
      </c>
      <c r="H2868" s="106">
        <v>0.428571428571429</v>
      </c>
      <c r="I2868" s="104">
        <v>3</v>
      </c>
      <c r="J2868" s="106">
        <v>0.214285714285714</v>
      </c>
      <c r="K2868" s="108">
        <v>0</v>
      </c>
      <c r="L2868" s="108">
        <v>-503.333333333333</v>
      </c>
      <c r="M2868" s="108">
        <v>-1438.8</v>
      </c>
      <c r="N2868" s="108">
        <v>-1697.28571428571</v>
      </c>
      <c r="O2868" s="108">
        <v>7</v>
      </c>
      <c r="P2868" s="108">
        <v>5</v>
      </c>
      <c r="Q2868" s="108">
        <v>3</v>
      </c>
      <c r="R2868" s="108">
        <v>3.28571428571429</v>
      </c>
      <c r="S2868" s="108">
        <v>6</v>
      </c>
      <c r="T2868" s="108">
        <v>4</v>
      </c>
      <c r="U2868" s="108">
        <v>3.8</v>
      </c>
      <c r="V2868" s="108">
        <v>4.14285714285714</v>
      </c>
    </row>
    <row r="2869" hidden="1" spans="1:22">
      <c r="A2869" s="143">
        <v>45145</v>
      </c>
      <c r="B2869" s="104" t="s">
        <v>28</v>
      </c>
      <c r="C2869" s="145">
        <v>0</v>
      </c>
      <c r="D2869" s="145"/>
      <c r="E2869" s="104">
        <v>0</v>
      </c>
      <c r="F2869" s="106">
        <v>0</v>
      </c>
      <c r="G2869" s="107">
        <v>0</v>
      </c>
      <c r="H2869" s="106">
        <v>0</v>
      </c>
      <c r="I2869" s="104">
        <v>0</v>
      </c>
      <c r="J2869" s="106">
        <v>0</v>
      </c>
      <c r="K2869" s="108">
        <v>0</v>
      </c>
      <c r="L2869" s="108">
        <v>0</v>
      </c>
      <c r="M2869" s="108">
        <v>0</v>
      </c>
      <c r="N2869" s="108">
        <v>0</v>
      </c>
      <c r="O2869" s="108">
        <v>0</v>
      </c>
      <c r="P2869" s="108">
        <v>0</v>
      </c>
      <c r="Q2869" s="108">
        <v>0</v>
      </c>
      <c r="R2869" s="108">
        <v>0</v>
      </c>
      <c r="S2869" s="108">
        <v>0</v>
      </c>
      <c r="T2869" s="108">
        <v>0</v>
      </c>
      <c r="U2869" s="108">
        <v>0</v>
      </c>
      <c r="V2869" s="108">
        <v>0</v>
      </c>
    </row>
    <row r="2870" hidden="1" spans="1:22">
      <c r="A2870" s="143">
        <v>45145</v>
      </c>
      <c r="B2870" s="104" t="s">
        <v>29</v>
      </c>
      <c r="C2870" s="145">
        <v>0</v>
      </c>
      <c r="D2870" s="145"/>
      <c r="E2870" s="104">
        <v>1</v>
      </c>
      <c r="F2870" s="106">
        <v>0</v>
      </c>
      <c r="G2870" s="107">
        <v>1</v>
      </c>
      <c r="H2870" s="106">
        <v>1</v>
      </c>
      <c r="I2870" s="104">
        <v>1</v>
      </c>
      <c r="J2870" s="106">
        <v>1</v>
      </c>
      <c r="K2870" s="108">
        <v>0</v>
      </c>
      <c r="L2870" s="108">
        <v>0</v>
      </c>
      <c r="M2870" s="108">
        <v>0</v>
      </c>
      <c r="N2870" s="108">
        <v>0</v>
      </c>
      <c r="O2870" s="108">
        <v>1</v>
      </c>
      <c r="P2870" s="108">
        <v>1</v>
      </c>
      <c r="Q2870" s="108">
        <v>0.8</v>
      </c>
      <c r="R2870" s="108">
        <v>0.857142857142857</v>
      </c>
      <c r="S2870" s="108">
        <v>1</v>
      </c>
      <c r="T2870" s="108">
        <v>1</v>
      </c>
      <c r="U2870" s="108">
        <v>1</v>
      </c>
      <c r="V2870" s="108">
        <v>1</v>
      </c>
    </row>
    <row r="2871" hidden="1" spans="1:22">
      <c r="A2871" s="143">
        <v>45145</v>
      </c>
      <c r="B2871" s="104" t="s">
        <v>30</v>
      </c>
      <c r="C2871" s="145">
        <v>0</v>
      </c>
      <c r="D2871" s="145"/>
      <c r="E2871" s="104">
        <v>0</v>
      </c>
      <c r="F2871" s="106">
        <v>0</v>
      </c>
      <c r="G2871" s="107">
        <v>0</v>
      </c>
      <c r="H2871" s="106">
        <v>0</v>
      </c>
      <c r="I2871" s="104">
        <v>0</v>
      </c>
      <c r="J2871" s="106">
        <v>0</v>
      </c>
      <c r="K2871" s="108">
        <v>0</v>
      </c>
      <c r="L2871" s="108">
        <v>0</v>
      </c>
      <c r="M2871" s="108">
        <v>0</v>
      </c>
      <c r="N2871" s="108">
        <v>0</v>
      </c>
      <c r="O2871" s="108">
        <v>0</v>
      </c>
      <c r="P2871" s="108">
        <v>0</v>
      </c>
      <c r="Q2871" s="108">
        <v>0</v>
      </c>
      <c r="R2871" s="108">
        <v>0</v>
      </c>
      <c r="S2871" s="108">
        <v>0</v>
      </c>
      <c r="T2871" s="108">
        <v>0</v>
      </c>
      <c r="U2871" s="108">
        <v>0</v>
      </c>
      <c r="V2871" s="108">
        <v>0</v>
      </c>
    </row>
    <row r="2872" hidden="1" spans="1:22">
      <c r="A2872" s="143">
        <v>45145</v>
      </c>
      <c r="B2872" s="104" t="s">
        <v>31</v>
      </c>
      <c r="C2872" s="145">
        <v>0</v>
      </c>
      <c r="D2872" s="145"/>
      <c r="E2872" s="104">
        <v>0</v>
      </c>
      <c r="F2872" s="106">
        <v>0</v>
      </c>
      <c r="G2872" s="107">
        <v>0</v>
      </c>
      <c r="H2872" s="106">
        <v>0</v>
      </c>
      <c r="I2872" s="104">
        <v>0</v>
      </c>
      <c r="J2872" s="106">
        <v>0</v>
      </c>
      <c r="K2872" s="108">
        <v>0</v>
      </c>
      <c r="L2872" s="108">
        <v>0</v>
      </c>
      <c r="M2872" s="108">
        <v>0</v>
      </c>
      <c r="N2872" s="108">
        <v>0</v>
      </c>
      <c r="O2872" s="108">
        <v>0</v>
      </c>
      <c r="P2872" s="108">
        <v>0</v>
      </c>
      <c r="Q2872" s="108">
        <v>0</v>
      </c>
      <c r="R2872" s="108">
        <v>0</v>
      </c>
      <c r="S2872" s="108">
        <v>0</v>
      </c>
      <c r="T2872" s="108">
        <v>0</v>
      </c>
      <c r="U2872" s="108">
        <v>0</v>
      </c>
      <c r="V2872" s="108">
        <v>0</v>
      </c>
    </row>
    <row r="2873" hidden="1" spans="1:22">
      <c r="A2873" s="143">
        <v>45145</v>
      </c>
      <c r="B2873" s="104" t="s">
        <v>32</v>
      </c>
      <c r="C2873" s="145">
        <v>0</v>
      </c>
      <c r="D2873" s="145"/>
      <c r="E2873" s="104">
        <v>0</v>
      </c>
      <c r="F2873" s="106">
        <v>0</v>
      </c>
      <c r="G2873" s="107">
        <v>0</v>
      </c>
      <c r="H2873" s="106">
        <v>0</v>
      </c>
      <c r="I2873" s="104">
        <v>0</v>
      </c>
      <c r="J2873" s="106">
        <v>0</v>
      </c>
      <c r="K2873" s="108">
        <v>0</v>
      </c>
      <c r="L2873" s="108">
        <v>0</v>
      </c>
      <c r="M2873" s="108">
        <v>0</v>
      </c>
      <c r="N2873" s="108">
        <v>0</v>
      </c>
      <c r="O2873" s="108">
        <v>0</v>
      </c>
      <c r="P2873" s="108">
        <v>0</v>
      </c>
      <c r="Q2873" s="108">
        <v>0</v>
      </c>
      <c r="R2873" s="108">
        <v>0</v>
      </c>
      <c r="S2873" s="108">
        <v>0</v>
      </c>
      <c r="T2873" s="108">
        <v>0</v>
      </c>
      <c r="U2873" s="108">
        <v>0</v>
      </c>
      <c r="V2873" s="108">
        <v>0</v>
      </c>
    </row>
    <row r="2874" hidden="1" spans="1:22">
      <c r="A2874" s="143">
        <v>45145</v>
      </c>
      <c r="B2874" s="104" t="s">
        <v>33</v>
      </c>
      <c r="C2874" s="145">
        <v>0</v>
      </c>
      <c r="D2874" s="145"/>
      <c r="E2874" s="104">
        <v>0</v>
      </c>
      <c r="F2874" s="106">
        <v>0</v>
      </c>
      <c r="G2874" s="107">
        <v>0</v>
      </c>
      <c r="H2874" s="106">
        <v>0</v>
      </c>
      <c r="I2874" s="104">
        <v>0</v>
      </c>
      <c r="J2874" s="106">
        <v>0</v>
      </c>
      <c r="K2874" s="108">
        <v>0</v>
      </c>
      <c r="L2874" s="108">
        <v>0</v>
      </c>
      <c r="M2874" s="108">
        <v>0</v>
      </c>
      <c r="N2874" s="108">
        <v>0</v>
      </c>
      <c r="O2874" s="108">
        <v>0</v>
      </c>
      <c r="P2874" s="108">
        <v>0</v>
      </c>
      <c r="Q2874" s="108">
        <v>0</v>
      </c>
      <c r="R2874" s="108">
        <v>0</v>
      </c>
      <c r="S2874" s="108">
        <v>0</v>
      </c>
      <c r="T2874" s="108">
        <v>0</v>
      </c>
      <c r="U2874" s="108">
        <v>0</v>
      </c>
      <c r="V2874" s="108">
        <v>0</v>
      </c>
    </row>
    <row r="2875" hidden="1" spans="1:22">
      <c r="A2875" s="143">
        <v>45145</v>
      </c>
      <c r="B2875" s="104" t="s">
        <v>34</v>
      </c>
      <c r="C2875" s="145">
        <v>0</v>
      </c>
      <c r="D2875" s="145"/>
      <c r="E2875" s="104">
        <v>0</v>
      </c>
      <c r="F2875" s="106">
        <v>0</v>
      </c>
      <c r="G2875" s="107">
        <v>0</v>
      </c>
      <c r="H2875" s="106">
        <v>0</v>
      </c>
      <c r="I2875" s="104">
        <v>0</v>
      </c>
      <c r="J2875" s="106">
        <v>0</v>
      </c>
      <c r="K2875" s="108">
        <v>0</v>
      </c>
      <c r="L2875" s="108">
        <v>0</v>
      </c>
      <c r="M2875" s="108">
        <v>0</v>
      </c>
      <c r="N2875" s="108">
        <v>0</v>
      </c>
      <c r="O2875" s="108">
        <v>0</v>
      </c>
      <c r="P2875" s="108">
        <v>0</v>
      </c>
      <c r="Q2875" s="108">
        <v>0</v>
      </c>
      <c r="R2875" s="108">
        <v>0</v>
      </c>
      <c r="S2875" s="108">
        <v>0</v>
      </c>
      <c r="T2875" s="108">
        <v>0</v>
      </c>
      <c r="U2875" s="108">
        <v>0</v>
      </c>
      <c r="V2875" s="108">
        <v>0</v>
      </c>
    </row>
    <row r="2876" hidden="1" spans="1:22">
      <c r="A2876" s="143">
        <v>45145</v>
      </c>
      <c r="B2876" s="104" t="s">
        <v>35</v>
      </c>
      <c r="C2876" s="145">
        <v>0</v>
      </c>
      <c r="D2876" s="145"/>
      <c r="E2876" s="104">
        <v>0</v>
      </c>
      <c r="F2876" s="106">
        <v>0</v>
      </c>
      <c r="G2876" s="107">
        <v>0</v>
      </c>
      <c r="H2876" s="106">
        <v>0</v>
      </c>
      <c r="I2876" s="104">
        <v>0</v>
      </c>
      <c r="J2876" s="106">
        <v>0</v>
      </c>
      <c r="K2876" s="108">
        <v>0</v>
      </c>
      <c r="L2876" s="108">
        <v>0</v>
      </c>
      <c r="M2876" s="108">
        <v>0</v>
      </c>
      <c r="N2876" s="108">
        <v>0</v>
      </c>
      <c r="O2876" s="108">
        <v>0</v>
      </c>
      <c r="P2876" s="108">
        <v>0</v>
      </c>
      <c r="Q2876" s="108">
        <v>0</v>
      </c>
      <c r="R2876" s="108">
        <v>0</v>
      </c>
      <c r="S2876" s="108">
        <v>0</v>
      </c>
      <c r="T2876" s="108">
        <v>0</v>
      </c>
      <c r="U2876" s="108">
        <v>0</v>
      </c>
      <c r="V2876" s="108">
        <v>0</v>
      </c>
    </row>
    <row r="2877" hidden="1" spans="1:22">
      <c r="A2877" s="143">
        <v>45145</v>
      </c>
      <c r="B2877" s="104" t="s">
        <v>36</v>
      </c>
      <c r="C2877" s="145">
        <v>0</v>
      </c>
      <c r="D2877" s="145"/>
      <c r="E2877" s="104">
        <v>0</v>
      </c>
      <c r="F2877" s="106">
        <v>0</v>
      </c>
      <c r="G2877" s="107">
        <v>0</v>
      </c>
      <c r="H2877" s="106">
        <v>0</v>
      </c>
      <c r="I2877" s="104">
        <v>0</v>
      </c>
      <c r="J2877" s="106">
        <v>0</v>
      </c>
      <c r="K2877" s="108">
        <v>0</v>
      </c>
      <c r="L2877" s="108">
        <v>0</v>
      </c>
      <c r="M2877" s="108">
        <v>0</v>
      </c>
      <c r="N2877" s="108">
        <v>0</v>
      </c>
      <c r="O2877" s="108">
        <v>0</v>
      </c>
      <c r="P2877" s="108">
        <v>0</v>
      </c>
      <c r="Q2877" s="108">
        <v>0</v>
      </c>
      <c r="R2877" s="108">
        <v>0</v>
      </c>
      <c r="S2877" s="108">
        <v>0</v>
      </c>
      <c r="T2877" s="108">
        <v>0</v>
      </c>
      <c r="U2877" s="108">
        <v>0</v>
      </c>
      <c r="V2877" s="108">
        <v>0</v>
      </c>
    </row>
    <row r="2878" hidden="1" spans="1:22">
      <c r="A2878" s="143">
        <v>45145</v>
      </c>
      <c r="B2878" s="104" t="s">
        <v>37</v>
      </c>
      <c r="C2878" s="145">
        <v>0</v>
      </c>
      <c r="D2878" s="145"/>
      <c r="E2878" s="104">
        <v>2</v>
      </c>
      <c r="F2878" s="106">
        <v>0</v>
      </c>
      <c r="G2878" s="107">
        <v>1</v>
      </c>
      <c r="H2878" s="106">
        <v>0.5</v>
      </c>
      <c r="I2878" s="104">
        <v>0</v>
      </c>
      <c r="J2878" s="106">
        <v>0</v>
      </c>
      <c r="K2878" s="108">
        <v>0</v>
      </c>
      <c r="L2878" s="108">
        <v>0</v>
      </c>
      <c r="M2878" s="108">
        <v>0</v>
      </c>
      <c r="N2878" s="108">
        <v>0</v>
      </c>
      <c r="O2878" s="108">
        <v>1</v>
      </c>
      <c r="P2878" s="108">
        <v>1.66666666666667</v>
      </c>
      <c r="Q2878" s="108">
        <v>1.4</v>
      </c>
      <c r="R2878" s="108">
        <v>1.14285714285714</v>
      </c>
      <c r="S2878" s="108">
        <v>1</v>
      </c>
      <c r="T2878" s="108">
        <v>1</v>
      </c>
      <c r="U2878" s="108">
        <v>1</v>
      </c>
      <c r="V2878" s="108">
        <v>1</v>
      </c>
    </row>
    <row r="2879" hidden="1" spans="1:22">
      <c r="A2879" s="143">
        <v>45145</v>
      </c>
      <c r="B2879" s="104" t="s">
        <v>38</v>
      </c>
      <c r="C2879" s="145">
        <v>0</v>
      </c>
      <c r="D2879" s="145"/>
      <c r="E2879" s="104">
        <v>0</v>
      </c>
      <c r="F2879" s="106">
        <v>0</v>
      </c>
      <c r="G2879" s="107">
        <v>0</v>
      </c>
      <c r="H2879" s="106">
        <v>0</v>
      </c>
      <c r="I2879" s="104">
        <v>0</v>
      </c>
      <c r="J2879" s="106">
        <v>0</v>
      </c>
      <c r="K2879" s="108">
        <v>0</v>
      </c>
      <c r="L2879" s="108">
        <v>0</v>
      </c>
      <c r="M2879" s="108">
        <v>0</v>
      </c>
      <c r="N2879" s="108">
        <v>0</v>
      </c>
      <c r="O2879" s="108">
        <v>0</v>
      </c>
      <c r="P2879" s="108">
        <v>0</v>
      </c>
      <c r="Q2879" s="108">
        <v>0</v>
      </c>
      <c r="R2879" s="108">
        <v>0</v>
      </c>
      <c r="S2879" s="108">
        <v>0</v>
      </c>
      <c r="T2879" s="108">
        <v>0</v>
      </c>
      <c r="U2879" s="108">
        <v>0</v>
      </c>
      <c r="V2879" s="108">
        <v>0</v>
      </c>
    </row>
    <row r="2880" spans="1:22">
      <c r="A2880" s="143">
        <v>45145</v>
      </c>
      <c r="B2880" s="111" t="s">
        <v>39</v>
      </c>
      <c r="C2880" s="112">
        <v>20657</v>
      </c>
      <c r="D2880" s="112">
        <v>5137</v>
      </c>
      <c r="E2880" s="112">
        <v>213</v>
      </c>
      <c r="F2880" s="106">
        <v>0.0103112746284552</v>
      </c>
      <c r="G2880" s="112">
        <v>68</v>
      </c>
      <c r="H2880" s="113">
        <v>0.31924882629108</v>
      </c>
      <c r="I2880" s="112">
        <v>51</v>
      </c>
      <c r="J2880" s="106">
        <v>0.23943661971831</v>
      </c>
      <c r="K2880" s="108">
        <v>-1966</v>
      </c>
      <c r="L2880" s="108">
        <v>-1809.66666666667</v>
      </c>
      <c r="M2880" s="108">
        <v>-2630</v>
      </c>
      <c r="N2880" s="108">
        <v>816.571428571428</v>
      </c>
      <c r="O2880" s="108">
        <v>5</v>
      </c>
      <c r="P2880" s="108">
        <v>24.3333333333333</v>
      </c>
      <c r="Q2880" s="108">
        <v>31.6</v>
      </c>
      <c r="R2880" s="108">
        <v>59.4285714285714</v>
      </c>
      <c r="S2880" s="108">
        <v>4</v>
      </c>
      <c r="T2880" s="108">
        <v>-1.33333333333333</v>
      </c>
      <c r="U2880" s="108">
        <v>5.4</v>
      </c>
      <c r="V2880" s="108">
        <v>16</v>
      </c>
    </row>
  </sheetData>
  <autoFilter ref="A1:AE2880">
    <extLst/>
  </autoFilter>
  <mergeCells count="16">
    <mergeCell ref="P1:S1"/>
    <mergeCell ref="T1:W1"/>
    <mergeCell ref="X1:AA1"/>
    <mergeCell ref="P149:S149"/>
    <mergeCell ref="T149:W149"/>
    <mergeCell ref="X149:AA149"/>
    <mergeCell ref="P166:AA166"/>
    <mergeCell ref="P167:AA167"/>
    <mergeCell ref="P168:AA168"/>
    <mergeCell ref="P169:AA169"/>
    <mergeCell ref="P170:AA170"/>
    <mergeCell ref="P171:AA171"/>
    <mergeCell ref="P189:AA189"/>
    <mergeCell ref="P190:AA190"/>
    <mergeCell ref="P191:AA191"/>
    <mergeCell ref="P192:AA192"/>
  </mergeCells>
  <conditionalFormatting sqref="X1:AA1">
    <cfRule type="cellIs" dxfId="2" priority="1530" operator="lessThan">
      <formula>-5</formula>
    </cfRule>
  </conditionalFormatting>
  <conditionalFormatting sqref="C2:D2">
    <cfRule type="expression" dxfId="0" priority="1658">
      <formula>$C$413-$C$345&gt;=0</formula>
    </cfRule>
  </conditionalFormatting>
  <conditionalFormatting sqref="C17:D17">
    <cfRule type="expression" dxfId="0" priority="1657">
      <formula>$C$368-$C$345&gt;=0</formula>
    </cfRule>
  </conditionalFormatting>
  <conditionalFormatting sqref="C32:D32">
    <cfRule type="expression" dxfId="0" priority="1656">
      <formula>$C$368-$C$345&gt;=0</formula>
    </cfRule>
  </conditionalFormatting>
  <conditionalFormatting sqref="C47:D47">
    <cfRule type="expression" dxfId="0" priority="1655">
      <formula>$C$368-$C$345&gt;=0</formula>
    </cfRule>
  </conditionalFormatting>
  <conditionalFormatting sqref="C62:D62">
    <cfRule type="expression" dxfId="0" priority="1654">
      <formula>$C$368-$C$345&gt;=0</formula>
    </cfRule>
  </conditionalFormatting>
  <conditionalFormatting sqref="C77:D77">
    <cfRule type="expression" dxfId="0" priority="1653">
      <formula>$C$368-$C$345&gt;=0</formula>
    </cfRule>
  </conditionalFormatting>
  <conditionalFormatting sqref="C92:D92">
    <cfRule type="expression" dxfId="0" priority="1652">
      <formula>$C$368-$C$345&gt;=0</formula>
    </cfRule>
  </conditionalFormatting>
  <conditionalFormatting sqref="C107:D107">
    <cfRule type="expression" dxfId="0" priority="1651">
      <formula>$C$368-$C$345&gt;=0</formula>
    </cfRule>
  </conditionalFormatting>
  <conditionalFormatting sqref="C122:D122">
    <cfRule type="expression" dxfId="0" priority="1650">
      <formula>$C$368-$C$345&gt;=0</formula>
    </cfRule>
  </conditionalFormatting>
  <conditionalFormatting sqref="C151:D151">
    <cfRule type="expression" dxfId="0" priority="1648">
      <formula>$C$439-$C$416&gt;=0</formula>
    </cfRule>
  </conditionalFormatting>
  <conditionalFormatting sqref="B163">
    <cfRule type="duplicateValues" dxfId="1" priority="1641"/>
  </conditionalFormatting>
  <conditionalFormatting sqref="B164">
    <cfRule type="duplicateValues" dxfId="1" priority="1647"/>
  </conditionalFormatting>
  <conditionalFormatting sqref="B165">
    <cfRule type="duplicateValues" dxfId="1" priority="1646"/>
  </conditionalFormatting>
  <conditionalFormatting sqref="B166">
    <cfRule type="duplicateValues" dxfId="1" priority="1645"/>
  </conditionalFormatting>
  <conditionalFormatting sqref="B167">
    <cfRule type="duplicateValues" dxfId="1" priority="1644"/>
  </conditionalFormatting>
  <conditionalFormatting sqref="B168">
    <cfRule type="duplicateValues" dxfId="1" priority="1643"/>
  </conditionalFormatting>
  <conditionalFormatting sqref="B169">
    <cfRule type="duplicateValues" dxfId="1" priority="1642"/>
  </conditionalFormatting>
  <conditionalFormatting sqref="B170">
    <cfRule type="duplicateValues" dxfId="1" priority="1640"/>
  </conditionalFormatting>
  <conditionalFormatting sqref="C172:D172">
    <cfRule type="expression" dxfId="0" priority="1619">
      <formula>$C$460-$C$437&gt;=0</formula>
    </cfRule>
  </conditionalFormatting>
  <conditionalFormatting sqref="B184">
    <cfRule type="duplicateValues" dxfId="1" priority="1612"/>
  </conditionalFormatting>
  <conditionalFormatting sqref="B185">
    <cfRule type="duplicateValues" dxfId="1" priority="1618"/>
  </conditionalFormatting>
  <conditionalFormatting sqref="B186">
    <cfRule type="duplicateValues" dxfId="1" priority="1617"/>
  </conditionalFormatting>
  <conditionalFormatting sqref="B187">
    <cfRule type="duplicateValues" dxfId="1" priority="1616"/>
  </conditionalFormatting>
  <conditionalFormatting sqref="B188">
    <cfRule type="duplicateValues" dxfId="1" priority="1615"/>
  </conditionalFormatting>
  <conditionalFormatting sqref="B189">
    <cfRule type="duplicateValues" dxfId="1" priority="1614"/>
  </conditionalFormatting>
  <conditionalFormatting sqref="B190">
    <cfRule type="duplicateValues" dxfId="1" priority="1613"/>
  </conditionalFormatting>
  <conditionalFormatting sqref="B191">
    <cfRule type="duplicateValues" dxfId="1" priority="1611"/>
  </conditionalFormatting>
  <conditionalFormatting sqref="C193:D193">
    <cfRule type="expression" dxfId="0" priority="1606">
      <formula>$C$460-$C$437&gt;=0</formula>
    </cfRule>
  </conditionalFormatting>
  <conditionalFormatting sqref="B205">
    <cfRule type="duplicateValues" dxfId="1" priority="1599"/>
  </conditionalFormatting>
  <conditionalFormatting sqref="B206">
    <cfRule type="duplicateValues" dxfId="1" priority="1605"/>
  </conditionalFormatting>
  <conditionalFormatting sqref="B207">
    <cfRule type="duplicateValues" dxfId="1" priority="1604"/>
  </conditionalFormatting>
  <conditionalFormatting sqref="B208">
    <cfRule type="duplicateValues" dxfId="1" priority="1603"/>
  </conditionalFormatting>
  <conditionalFormatting sqref="B209">
    <cfRule type="duplicateValues" dxfId="1" priority="1602"/>
  </conditionalFormatting>
  <conditionalFormatting sqref="B210">
    <cfRule type="duplicateValues" dxfId="1" priority="1601"/>
  </conditionalFormatting>
  <conditionalFormatting sqref="B211">
    <cfRule type="duplicateValues" dxfId="1" priority="1600"/>
  </conditionalFormatting>
  <conditionalFormatting sqref="B212">
    <cfRule type="duplicateValues" dxfId="1" priority="1598"/>
  </conditionalFormatting>
  <conditionalFormatting sqref="C214:D214">
    <cfRule type="expression" dxfId="0" priority="1595">
      <formula>$C$461-$C$438&gt;=0</formula>
    </cfRule>
  </conditionalFormatting>
  <conditionalFormatting sqref="B226">
    <cfRule type="duplicateValues" dxfId="1" priority="1588"/>
  </conditionalFormatting>
  <conditionalFormatting sqref="B227">
    <cfRule type="duplicateValues" dxfId="1" priority="1594"/>
  </conditionalFormatting>
  <conditionalFormatting sqref="B228">
    <cfRule type="duplicateValues" dxfId="1" priority="1593"/>
  </conditionalFormatting>
  <conditionalFormatting sqref="B229">
    <cfRule type="duplicateValues" dxfId="1" priority="1592"/>
  </conditionalFormatting>
  <conditionalFormatting sqref="B230">
    <cfRule type="duplicateValues" dxfId="1" priority="1591"/>
  </conditionalFormatting>
  <conditionalFormatting sqref="B231">
    <cfRule type="duplicateValues" dxfId="1" priority="1590"/>
  </conditionalFormatting>
  <conditionalFormatting sqref="B232">
    <cfRule type="duplicateValues" dxfId="1" priority="1589"/>
  </conditionalFormatting>
  <conditionalFormatting sqref="B233">
    <cfRule type="duplicateValues" dxfId="1" priority="1587"/>
  </conditionalFormatting>
  <conditionalFormatting sqref="C235:D235">
    <cfRule type="expression" dxfId="0" priority="1584">
      <formula>$C$466-$C$443&gt;=0</formula>
    </cfRule>
  </conditionalFormatting>
  <conditionalFormatting sqref="B247">
    <cfRule type="duplicateValues" dxfId="1" priority="1577"/>
  </conditionalFormatting>
  <conditionalFormatting sqref="B248">
    <cfRule type="duplicateValues" dxfId="1" priority="1583"/>
  </conditionalFormatting>
  <conditionalFormatting sqref="B249">
    <cfRule type="duplicateValues" dxfId="1" priority="1582"/>
  </conditionalFormatting>
  <conditionalFormatting sqref="B250">
    <cfRule type="duplicateValues" dxfId="1" priority="1581"/>
  </conditionalFormatting>
  <conditionalFormatting sqref="B251">
    <cfRule type="duplicateValues" dxfId="1" priority="1580"/>
  </conditionalFormatting>
  <conditionalFormatting sqref="B252">
    <cfRule type="duplicateValues" dxfId="1" priority="1579"/>
  </conditionalFormatting>
  <conditionalFormatting sqref="B253">
    <cfRule type="duplicateValues" dxfId="1" priority="1578"/>
  </conditionalFormatting>
  <conditionalFormatting sqref="B254">
    <cfRule type="duplicateValues" dxfId="1" priority="1576"/>
  </conditionalFormatting>
  <conditionalFormatting sqref="C256:D256">
    <cfRule type="expression" dxfId="0" priority="1573">
      <formula>$C$466-$C$443&gt;=0</formula>
    </cfRule>
  </conditionalFormatting>
  <conditionalFormatting sqref="B268">
    <cfRule type="duplicateValues" dxfId="1" priority="1566"/>
  </conditionalFormatting>
  <conditionalFormatting sqref="B269">
    <cfRule type="duplicateValues" dxfId="1" priority="1572"/>
  </conditionalFormatting>
  <conditionalFormatting sqref="B270">
    <cfRule type="duplicateValues" dxfId="1" priority="1571"/>
  </conditionalFormatting>
  <conditionalFormatting sqref="B271">
    <cfRule type="duplicateValues" dxfId="1" priority="1570"/>
  </conditionalFormatting>
  <conditionalFormatting sqref="B272">
    <cfRule type="duplicateValues" dxfId="1" priority="1569"/>
  </conditionalFormatting>
  <conditionalFormatting sqref="B273">
    <cfRule type="duplicateValues" dxfId="1" priority="1568"/>
  </conditionalFormatting>
  <conditionalFormatting sqref="B274">
    <cfRule type="duplicateValues" dxfId="1" priority="1567"/>
  </conditionalFormatting>
  <conditionalFormatting sqref="B275">
    <cfRule type="duplicateValues" dxfId="1" priority="1565"/>
  </conditionalFormatting>
  <conditionalFormatting sqref="C277:D277">
    <cfRule type="expression" dxfId="0" priority="1562">
      <formula>$C$462-$C$439&gt;=0</formula>
    </cfRule>
  </conditionalFormatting>
  <conditionalFormatting sqref="B289">
    <cfRule type="duplicateValues" dxfId="1" priority="1555"/>
  </conditionalFormatting>
  <conditionalFormatting sqref="B290">
    <cfRule type="duplicateValues" dxfId="1" priority="1561"/>
  </conditionalFormatting>
  <conditionalFormatting sqref="B291">
    <cfRule type="duplicateValues" dxfId="1" priority="1560"/>
  </conditionalFormatting>
  <conditionalFormatting sqref="B292">
    <cfRule type="duplicateValues" dxfId="1" priority="1559"/>
  </conditionalFormatting>
  <conditionalFormatting sqref="B293">
    <cfRule type="duplicateValues" dxfId="1" priority="1558"/>
  </conditionalFormatting>
  <conditionalFormatting sqref="B294">
    <cfRule type="duplicateValues" dxfId="1" priority="1557"/>
  </conditionalFormatting>
  <conditionalFormatting sqref="B295">
    <cfRule type="duplicateValues" dxfId="1" priority="1556"/>
  </conditionalFormatting>
  <conditionalFormatting sqref="B296">
    <cfRule type="duplicateValues" dxfId="1" priority="1554"/>
  </conditionalFormatting>
  <conditionalFormatting sqref="C298:D298">
    <cfRule type="expression" dxfId="0" priority="1551">
      <formula>$C$462-$C$439&gt;=0</formula>
    </cfRule>
  </conditionalFormatting>
  <conditionalFormatting sqref="B310">
    <cfRule type="duplicateValues" dxfId="1" priority="1544"/>
  </conditionalFormatting>
  <conditionalFormatting sqref="B311">
    <cfRule type="duplicateValues" dxfId="1" priority="1550"/>
  </conditionalFormatting>
  <conditionalFormatting sqref="B312">
    <cfRule type="duplicateValues" dxfId="1" priority="1549"/>
  </conditionalFormatting>
  <conditionalFormatting sqref="B313">
    <cfRule type="duplicateValues" dxfId="1" priority="1548"/>
  </conditionalFormatting>
  <conditionalFormatting sqref="B314">
    <cfRule type="duplicateValues" dxfId="1" priority="1547"/>
  </conditionalFormatting>
  <conditionalFormatting sqref="B315">
    <cfRule type="duplicateValues" dxfId="1" priority="1546"/>
  </conditionalFormatting>
  <conditionalFormatting sqref="B316">
    <cfRule type="duplicateValues" dxfId="1" priority="1545"/>
  </conditionalFormatting>
  <conditionalFormatting sqref="B317">
    <cfRule type="duplicateValues" dxfId="1" priority="1543"/>
  </conditionalFormatting>
  <conditionalFormatting sqref="C319:D319">
    <cfRule type="expression" dxfId="0" priority="1540">
      <formula>$C$469-$C$446&gt;=0</formula>
    </cfRule>
  </conditionalFormatting>
  <conditionalFormatting sqref="B331">
    <cfRule type="duplicateValues" dxfId="1" priority="1533"/>
  </conditionalFormatting>
  <conditionalFormatting sqref="B332">
    <cfRule type="duplicateValues" dxfId="1" priority="1539"/>
  </conditionalFormatting>
  <conditionalFormatting sqref="B333">
    <cfRule type="duplicateValues" dxfId="1" priority="1538"/>
  </conditionalFormatting>
  <conditionalFormatting sqref="B334">
    <cfRule type="duplicateValues" dxfId="1" priority="1537"/>
  </conditionalFormatting>
  <conditionalFormatting sqref="B335">
    <cfRule type="duplicateValues" dxfId="1" priority="1536"/>
  </conditionalFormatting>
  <conditionalFormatting sqref="B336">
    <cfRule type="duplicateValues" dxfId="1" priority="1535"/>
  </conditionalFormatting>
  <conditionalFormatting sqref="B337">
    <cfRule type="duplicateValues" dxfId="1" priority="1534"/>
  </conditionalFormatting>
  <conditionalFormatting sqref="B338">
    <cfRule type="duplicateValues" dxfId="1" priority="1532"/>
  </conditionalFormatting>
  <conditionalFormatting sqref="C340:D340">
    <cfRule type="expression" dxfId="0" priority="1517">
      <formula>$C$469-$C$446&gt;=0</formula>
    </cfRule>
  </conditionalFormatting>
  <conditionalFormatting sqref="B352">
    <cfRule type="duplicateValues" dxfId="1" priority="1510"/>
  </conditionalFormatting>
  <conditionalFormatting sqref="B353">
    <cfRule type="duplicateValues" dxfId="1" priority="1516"/>
  </conditionalFormatting>
  <conditionalFormatting sqref="B354">
    <cfRule type="duplicateValues" dxfId="1" priority="1515"/>
  </conditionalFormatting>
  <conditionalFormatting sqref="B355">
    <cfRule type="duplicateValues" dxfId="1" priority="1514"/>
  </conditionalFormatting>
  <conditionalFormatting sqref="B356">
    <cfRule type="duplicateValues" dxfId="1" priority="1513"/>
  </conditionalFormatting>
  <conditionalFormatting sqref="B357">
    <cfRule type="duplicateValues" dxfId="1" priority="1512"/>
  </conditionalFormatting>
  <conditionalFormatting sqref="B358">
    <cfRule type="duplicateValues" dxfId="1" priority="1511"/>
  </conditionalFormatting>
  <conditionalFormatting sqref="B359">
    <cfRule type="duplicateValues" dxfId="1" priority="1509"/>
  </conditionalFormatting>
  <conditionalFormatting sqref="C361:D361">
    <cfRule type="expression" dxfId="0" priority="1506">
      <formula>$C$469-$C$446&gt;=0</formula>
    </cfRule>
  </conditionalFormatting>
  <conditionalFormatting sqref="B373">
    <cfRule type="duplicateValues" dxfId="1" priority="1499"/>
  </conditionalFormatting>
  <conditionalFormatting sqref="B374">
    <cfRule type="duplicateValues" dxfId="1" priority="1505"/>
  </conditionalFormatting>
  <conditionalFormatting sqref="B375">
    <cfRule type="duplicateValues" dxfId="1" priority="1504"/>
  </conditionalFormatting>
  <conditionalFormatting sqref="B376">
    <cfRule type="duplicateValues" dxfId="1" priority="1503"/>
  </conditionalFormatting>
  <conditionalFormatting sqref="B377">
    <cfRule type="duplicateValues" dxfId="1" priority="1502"/>
  </conditionalFormatting>
  <conditionalFormatting sqref="B378">
    <cfRule type="duplicateValues" dxfId="1" priority="1501"/>
  </conditionalFormatting>
  <conditionalFormatting sqref="B379">
    <cfRule type="duplicateValues" dxfId="1" priority="1500"/>
  </conditionalFormatting>
  <conditionalFormatting sqref="B380">
    <cfRule type="duplicateValues" dxfId="1" priority="1498"/>
  </conditionalFormatting>
  <conditionalFormatting sqref="C382:D382">
    <cfRule type="expression" dxfId="0" priority="1495">
      <formula>$C$469-$C$446&gt;=0</formula>
    </cfRule>
  </conditionalFormatting>
  <conditionalFormatting sqref="B394">
    <cfRule type="duplicateValues" dxfId="1" priority="1488"/>
  </conditionalFormatting>
  <conditionalFormatting sqref="B395">
    <cfRule type="duplicateValues" dxfId="1" priority="1494"/>
  </conditionalFormatting>
  <conditionalFormatting sqref="B396">
    <cfRule type="duplicateValues" dxfId="1" priority="1493"/>
  </conditionalFormatting>
  <conditionalFormatting sqref="B397">
    <cfRule type="duplicateValues" dxfId="1" priority="1492"/>
  </conditionalFormatting>
  <conditionalFormatting sqref="B398">
    <cfRule type="duplicateValues" dxfId="1" priority="1491"/>
  </conditionalFormatting>
  <conditionalFormatting sqref="B399">
    <cfRule type="duplicateValues" dxfId="1" priority="1490"/>
  </conditionalFormatting>
  <conditionalFormatting sqref="B400">
    <cfRule type="duplicateValues" dxfId="1" priority="1489"/>
  </conditionalFormatting>
  <conditionalFormatting sqref="B401">
    <cfRule type="duplicateValues" dxfId="1" priority="1487"/>
  </conditionalFormatting>
  <conditionalFormatting sqref="C403:D403">
    <cfRule type="expression" dxfId="0" priority="1484">
      <formula>$C$469-$C$446&gt;=0</formula>
    </cfRule>
  </conditionalFormatting>
  <conditionalFormatting sqref="B415">
    <cfRule type="duplicateValues" dxfId="1" priority="1477"/>
  </conditionalFormatting>
  <conditionalFormatting sqref="B416">
    <cfRule type="duplicateValues" dxfId="1" priority="1483"/>
  </conditionalFormatting>
  <conditionalFormatting sqref="B417">
    <cfRule type="duplicateValues" dxfId="1" priority="1482"/>
  </conditionalFormatting>
  <conditionalFormatting sqref="B418">
    <cfRule type="duplicateValues" dxfId="1" priority="1481"/>
  </conditionalFormatting>
  <conditionalFormatting sqref="B419">
    <cfRule type="duplicateValues" dxfId="1" priority="1480"/>
  </conditionalFormatting>
  <conditionalFormatting sqref="B420">
    <cfRule type="duplicateValues" dxfId="1" priority="1479"/>
  </conditionalFormatting>
  <conditionalFormatting sqref="B421">
    <cfRule type="duplicateValues" dxfId="1" priority="1478"/>
  </conditionalFormatting>
  <conditionalFormatting sqref="B422">
    <cfRule type="duplicateValues" dxfId="1" priority="1476"/>
  </conditionalFormatting>
  <conditionalFormatting sqref="C424:D424">
    <cfRule type="expression" dxfId="0" priority="1473">
      <formula>$C$469-$C$446&gt;=0</formula>
    </cfRule>
  </conditionalFormatting>
  <conditionalFormatting sqref="B436">
    <cfRule type="duplicateValues" dxfId="1" priority="1466"/>
  </conditionalFormatting>
  <conditionalFormatting sqref="B437">
    <cfRule type="duplicateValues" dxfId="1" priority="1472"/>
  </conditionalFormatting>
  <conditionalFormatting sqref="B438">
    <cfRule type="duplicateValues" dxfId="1" priority="1471"/>
  </conditionalFormatting>
  <conditionalFormatting sqref="B439">
    <cfRule type="duplicateValues" dxfId="1" priority="1470"/>
  </conditionalFormatting>
  <conditionalFormatting sqref="B440">
    <cfRule type="duplicateValues" dxfId="1" priority="1469"/>
  </conditionalFormatting>
  <conditionalFormatting sqref="B441">
    <cfRule type="duplicateValues" dxfId="1" priority="1468"/>
  </conditionalFormatting>
  <conditionalFormatting sqref="B442">
    <cfRule type="duplicateValues" dxfId="1" priority="1467"/>
  </conditionalFormatting>
  <conditionalFormatting sqref="B443">
    <cfRule type="duplicateValues" dxfId="1" priority="1465"/>
  </conditionalFormatting>
  <conditionalFormatting sqref="C445:D445">
    <cfRule type="expression" dxfId="0" priority="1451">
      <formula>$C$469-$C$446&gt;=0</formula>
    </cfRule>
  </conditionalFormatting>
  <conditionalFormatting sqref="B457">
    <cfRule type="duplicateValues" dxfId="1" priority="1444"/>
  </conditionalFormatting>
  <conditionalFormatting sqref="B458">
    <cfRule type="duplicateValues" dxfId="1" priority="1450"/>
  </conditionalFormatting>
  <conditionalFormatting sqref="B459">
    <cfRule type="duplicateValues" dxfId="1" priority="1449"/>
  </conditionalFormatting>
  <conditionalFormatting sqref="B460">
    <cfRule type="duplicateValues" dxfId="1" priority="1448"/>
  </conditionalFormatting>
  <conditionalFormatting sqref="B461">
    <cfRule type="duplicateValues" dxfId="1" priority="1447"/>
  </conditionalFormatting>
  <conditionalFormatting sqref="B462">
    <cfRule type="duplicateValues" dxfId="1" priority="1446"/>
  </conditionalFormatting>
  <conditionalFormatting sqref="B463">
    <cfRule type="duplicateValues" dxfId="1" priority="1445"/>
  </conditionalFormatting>
  <conditionalFormatting sqref="B464">
    <cfRule type="duplicateValues" dxfId="1" priority="1443"/>
  </conditionalFormatting>
  <conditionalFormatting sqref="C466:D466">
    <cfRule type="expression" dxfId="0" priority="1440">
      <formula>$C$470-$C$447&gt;=0</formula>
    </cfRule>
  </conditionalFormatting>
  <conditionalFormatting sqref="B478">
    <cfRule type="duplicateValues" dxfId="1" priority="1433"/>
  </conditionalFormatting>
  <conditionalFormatting sqref="B479">
    <cfRule type="duplicateValues" dxfId="1" priority="1439"/>
  </conditionalFormatting>
  <conditionalFormatting sqref="B480">
    <cfRule type="duplicateValues" dxfId="1" priority="1438"/>
  </conditionalFormatting>
  <conditionalFormatting sqref="B481">
    <cfRule type="duplicateValues" dxfId="1" priority="1437"/>
  </conditionalFormatting>
  <conditionalFormatting sqref="B482">
    <cfRule type="duplicateValues" dxfId="1" priority="1436"/>
  </conditionalFormatting>
  <conditionalFormatting sqref="B483">
    <cfRule type="duplicateValues" dxfId="1" priority="1435"/>
  </conditionalFormatting>
  <conditionalFormatting sqref="B484">
    <cfRule type="duplicateValues" dxfId="1" priority="1434"/>
  </conditionalFormatting>
  <conditionalFormatting sqref="B485">
    <cfRule type="duplicateValues" dxfId="1" priority="1432"/>
  </conditionalFormatting>
  <conditionalFormatting sqref="C487:D487">
    <cfRule type="expression" dxfId="0" priority="1418">
      <formula>$C$470-$C$447&gt;=0</formula>
    </cfRule>
  </conditionalFormatting>
  <conditionalFormatting sqref="B499">
    <cfRule type="duplicateValues" dxfId="1" priority="1411"/>
  </conditionalFormatting>
  <conditionalFormatting sqref="B500">
    <cfRule type="duplicateValues" dxfId="1" priority="1417"/>
  </conditionalFormatting>
  <conditionalFormatting sqref="B501">
    <cfRule type="duplicateValues" dxfId="1" priority="1416"/>
  </conditionalFormatting>
  <conditionalFormatting sqref="B502">
    <cfRule type="duplicateValues" dxfId="1" priority="1415"/>
  </conditionalFormatting>
  <conditionalFormatting sqref="B503">
    <cfRule type="duplicateValues" dxfId="1" priority="1414"/>
  </conditionalFormatting>
  <conditionalFormatting sqref="B504">
    <cfRule type="duplicateValues" dxfId="1" priority="1413"/>
  </conditionalFormatting>
  <conditionalFormatting sqref="B505">
    <cfRule type="duplicateValues" dxfId="1" priority="1412"/>
  </conditionalFormatting>
  <conditionalFormatting sqref="B506">
    <cfRule type="duplicateValues" dxfId="1" priority="1410"/>
  </conditionalFormatting>
  <conditionalFormatting sqref="C508:D508">
    <cfRule type="expression" dxfId="0" priority="1407">
      <formula>$C$470-$C$447&gt;=0</formula>
    </cfRule>
  </conditionalFormatting>
  <conditionalFormatting sqref="B520">
    <cfRule type="duplicateValues" dxfId="1" priority="1400"/>
  </conditionalFormatting>
  <conditionalFormatting sqref="B521">
    <cfRule type="duplicateValues" dxfId="1" priority="1406"/>
  </conditionalFormatting>
  <conditionalFormatting sqref="B522">
    <cfRule type="duplicateValues" dxfId="1" priority="1405"/>
  </conditionalFormatting>
  <conditionalFormatting sqref="B523">
    <cfRule type="duplicateValues" dxfId="1" priority="1404"/>
  </conditionalFormatting>
  <conditionalFormatting sqref="B524">
    <cfRule type="duplicateValues" dxfId="1" priority="1403"/>
  </conditionalFormatting>
  <conditionalFormatting sqref="B525">
    <cfRule type="duplicateValues" dxfId="1" priority="1402"/>
  </conditionalFormatting>
  <conditionalFormatting sqref="B526">
    <cfRule type="duplicateValues" dxfId="1" priority="1401"/>
  </conditionalFormatting>
  <conditionalFormatting sqref="B527">
    <cfRule type="duplicateValues" dxfId="1" priority="1399"/>
  </conditionalFormatting>
  <conditionalFormatting sqref="C529:D529">
    <cfRule type="expression" dxfId="0" priority="1396">
      <formula>$C$457-$C$434&gt;=0</formula>
    </cfRule>
  </conditionalFormatting>
  <conditionalFormatting sqref="B541">
    <cfRule type="duplicateValues" dxfId="1" priority="1389"/>
  </conditionalFormatting>
  <conditionalFormatting sqref="B542">
    <cfRule type="duplicateValues" dxfId="1" priority="1395"/>
  </conditionalFormatting>
  <conditionalFormatting sqref="B543">
    <cfRule type="duplicateValues" dxfId="1" priority="1394"/>
  </conditionalFormatting>
  <conditionalFormatting sqref="B544">
    <cfRule type="duplicateValues" dxfId="1" priority="1393"/>
  </conditionalFormatting>
  <conditionalFormatting sqref="B545">
    <cfRule type="duplicateValues" dxfId="1" priority="1392"/>
  </conditionalFormatting>
  <conditionalFormatting sqref="B546">
    <cfRule type="duplicateValues" dxfId="1" priority="1391"/>
  </conditionalFormatting>
  <conditionalFormatting sqref="B547">
    <cfRule type="duplicateValues" dxfId="1" priority="1390"/>
  </conditionalFormatting>
  <conditionalFormatting sqref="B548">
    <cfRule type="duplicateValues" dxfId="1" priority="1388"/>
  </conditionalFormatting>
  <conditionalFormatting sqref="C550:D550">
    <cfRule type="expression" dxfId="0" priority="1385">
      <formula>$C$457-$C$434&gt;=0</formula>
    </cfRule>
  </conditionalFormatting>
  <conditionalFormatting sqref="B562">
    <cfRule type="duplicateValues" dxfId="1" priority="1378"/>
  </conditionalFormatting>
  <conditionalFormatting sqref="B563">
    <cfRule type="duplicateValues" dxfId="1" priority="1384"/>
  </conditionalFormatting>
  <conditionalFormatting sqref="B564">
    <cfRule type="duplicateValues" dxfId="1" priority="1383"/>
  </conditionalFormatting>
  <conditionalFormatting sqref="B565">
    <cfRule type="duplicateValues" dxfId="1" priority="1382"/>
  </conditionalFormatting>
  <conditionalFormatting sqref="B566">
    <cfRule type="duplicateValues" dxfId="1" priority="1381"/>
  </conditionalFormatting>
  <conditionalFormatting sqref="B567">
    <cfRule type="duplicateValues" dxfId="1" priority="1380"/>
  </conditionalFormatting>
  <conditionalFormatting sqref="B568">
    <cfRule type="duplicateValues" dxfId="1" priority="1379"/>
  </conditionalFormatting>
  <conditionalFormatting sqref="B569">
    <cfRule type="duplicateValues" dxfId="1" priority="1377"/>
  </conditionalFormatting>
  <conditionalFormatting sqref="C571:D571">
    <cfRule type="expression" dxfId="0" priority="1374">
      <formula>$C$457-$C$434&gt;=0</formula>
    </cfRule>
  </conditionalFormatting>
  <conditionalFormatting sqref="B583">
    <cfRule type="duplicateValues" dxfId="1" priority="1367"/>
  </conditionalFormatting>
  <conditionalFormatting sqref="B584">
    <cfRule type="duplicateValues" dxfId="1" priority="1373"/>
  </conditionalFormatting>
  <conditionalFormatting sqref="B585">
    <cfRule type="duplicateValues" dxfId="1" priority="1372"/>
  </conditionalFormatting>
  <conditionalFormatting sqref="B586">
    <cfRule type="duplicateValues" dxfId="1" priority="1371"/>
  </conditionalFormatting>
  <conditionalFormatting sqref="B587">
    <cfRule type="duplicateValues" dxfId="1" priority="1370"/>
  </conditionalFormatting>
  <conditionalFormatting sqref="B588">
    <cfRule type="duplicateValues" dxfId="1" priority="1369"/>
  </conditionalFormatting>
  <conditionalFormatting sqref="B589">
    <cfRule type="duplicateValues" dxfId="1" priority="1368"/>
  </conditionalFormatting>
  <conditionalFormatting sqref="B590">
    <cfRule type="duplicateValues" dxfId="1" priority="1366"/>
  </conditionalFormatting>
  <conditionalFormatting sqref="C592:D592">
    <cfRule type="expression" dxfId="0" priority="1363">
      <formula>$C$457-$C$434&gt;=0</formula>
    </cfRule>
  </conditionalFormatting>
  <conditionalFormatting sqref="B604">
    <cfRule type="duplicateValues" dxfId="1" priority="1356"/>
  </conditionalFormatting>
  <conditionalFormatting sqref="B605">
    <cfRule type="duplicateValues" dxfId="1" priority="1362"/>
  </conditionalFormatting>
  <conditionalFormatting sqref="B606">
    <cfRule type="duplicateValues" dxfId="1" priority="1361"/>
  </conditionalFormatting>
  <conditionalFormatting sqref="B607">
    <cfRule type="duplicateValues" dxfId="1" priority="1360"/>
  </conditionalFormatting>
  <conditionalFormatting sqref="B608">
    <cfRule type="duplicateValues" dxfId="1" priority="1359"/>
  </conditionalFormatting>
  <conditionalFormatting sqref="B609">
    <cfRule type="duplicateValues" dxfId="1" priority="1358"/>
  </conditionalFormatting>
  <conditionalFormatting sqref="B610">
    <cfRule type="duplicateValues" dxfId="1" priority="1357"/>
  </conditionalFormatting>
  <conditionalFormatting sqref="B611">
    <cfRule type="duplicateValues" dxfId="1" priority="1355"/>
  </conditionalFormatting>
  <conditionalFormatting sqref="C613:D613">
    <cfRule type="expression" dxfId="0" priority="1352">
      <formula>$C$457-$C$434&gt;=0</formula>
    </cfRule>
  </conditionalFormatting>
  <conditionalFormatting sqref="B625">
    <cfRule type="duplicateValues" dxfId="1" priority="1345"/>
  </conditionalFormatting>
  <conditionalFormatting sqref="B626">
    <cfRule type="duplicateValues" dxfId="1" priority="1351"/>
  </conditionalFormatting>
  <conditionalFormatting sqref="B627">
    <cfRule type="duplicateValues" dxfId="1" priority="1350"/>
  </conditionalFormatting>
  <conditionalFormatting sqref="B628">
    <cfRule type="duplicateValues" dxfId="1" priority="1349"/>
  </conditionalFormatting>
  <conditionalFormatting sqref="B629">
    <cfRule type="duplicateValues" dxfId="1" priority="1348"/>
  </conditionalFormatting>
  <conditionalFormatting sqref="B630">
    <cfRule type="duplicateValues" dxfId="1" priority="1347"/>
  </conditionalFormatting>
  <conditionalFormatting sqref="B631">
    <cfRule type="duplicateValues" dxfId="1" priority="1346"/>
  </conditionalFormatting>
  <conditionalFormatting sqref="B632">
    <cfRule type="duplicateValues" dxfId="1" priority="1344"/>
  </conditionalFormatting>
  <conditionalFormatting sqref="C634:D634">
    <cfRule type="expression" dxfId="0" priority="1341">
      <formula>$C$457-$C$434&gt;=0</formula>
    </cfRule>
  </conditionalFormatting>
  <conditionalFormatting sqref="B646">
    <cfRule type="duplicateValues" dxfId="1" priority="1334"/>
  </conditionalFormatting>
  <conditionalFormatting sqref="B647">
    <cfRule type="duplicateValues" dxfId="1" priority="1340"/>
  </conditionalFormatting>
  <conditionalFormatting sqref="B648">
    <cfRule type="duplicateValues" dxfId="1" priority="1339"/>
  </conditionalFormatting>
  <conditionalFormatting sqref="B649">
    <cfRule type="duplicateValues" dxfId="1" priority="1338"/>
  </conditionalFormatting>
  <conditionalFormatting sqref="B650">
    <cfRule type="duplicateValues" dxfId="1" priority="1337"/>
  </conditionalFormatting>
  <conditionalFormatting sqref="B651">
    <cfRule type="duplicateValues" dxfId="1" priority="1336"/>
  </conditionalFormatting>
  <conditionalFormatting sqref="B652">
    <cfRule type="duplicateValues" dxfId="1" priority="1335"/>
  </conditionalFormatting>
  <conditionalFormatting sqref="B653">
    <cfRule type="duplicateValues" dxfId="1" priority="1333"/>
  </conditionalFormatting>
  <conditionalFormatting sqref="C655:D655">
    <cfRule type="expression" dxfId="0" priority="1330">
      <formula>$C$457-$C$434&gt;=0</formula>
    </cfRule>
  </conditionalFormatting>
  <conditionalFormatting sqref="B667">
    <cfRule type="duplicateValues" dxfId="1" priority="1323"/>
  </conditionalFormatting>
  <conditionalFormatting sqref="B668">
    <cfRule type="duplicateValues" dxfId="1" priority="1329"/>
  </conditionalFormatting>
  <conditionalFormatting sqref="B669">
    <cfRule type="duplicateValues" dxfId="1" priority="1328"/>
  </conditionalFormatting>
  <conditionalFormatting sqref="B670">
    <cfRule type="duplicateValues" dxfId="1" priority="1327"/>
  </conditionalFormatting>
  <conditionalFormatting sqref="B671">
    <cfRule type="duplicateValues" dxfId="1" priority="1326"/>
  </conditionalFormatting>
  <conditionalFormatting sqref="B672">
    <cfRule type="duplicateValues" dxfId="1" priority="1325"/>
  </conditionalFormatting>
  <conditionalFormatting sqref="B673">
    <cfRule type="duplicateValues" dxfId="1" priority="1324"/>
  </conditionalFormatting>
  <conditionalFormatting sqref="B674">
    <cfRule type="duplicateValues" dxfId="1" priority="1322"/>
  </conditionalFormatting>
  <conditionalFormatting sqref="C676:D676">
    <cfRule type="expression" dxfId="0" priority="1308">
      <formula>$C$457-$C$434&gt;=0</formula>
    </cfRule>
  </conditionalFormatting>
  <conditionalFormatting sqref="B688">
    <cfRule type="duplicateValues" dxfId="1" priority="1301"/>
  </conditionalFormatting>
  <conditionalFormatting sqref="B689">
    <cfRule type="duplicateValues" dxfId="1" priority="1307"/>
  </conditionalFormatting>
  <conditionalFormatting sqref="B690">
    <cfRule type="duplicateValues" dxfId="1" priority="1306"/>
  </conditionalFormatting>
  <conditionalFormatting sqref="B691">
    <cfRule type="duplicateValues" dxfId="1" priority="1305"/>
  </conditionalFormatting>
  <conditionalFormatting sqref="B692">
    <cfRule type="duplicateValues" dxfId="1" priority="1304"/>
  </conditionalFormatting>
  <conditionalFormatting sqref="B693">
    <cfRule type="duplicateValues" dxfId="1" priority="1303"/>
  </conditionalFormatting>
  <conditionalFormatting sqref="B694">
    <cfRule type="duplicateValues" dxfId="1" priority="1302"/>
  </conditionalFormatting>
  <conditionalFormatting sqref="B695">
    <cfRule type="duplicateValues" dxfId="1" priority="1300"/>
  </conditionalFormatting>
  <conditionalFormatting sqref="C697:D697">
    <cfRule type="expression" dxfId="0" priority="1297">
      <formula>$C$457-$C$434&gt;=0</formula>
    </cfRule>
  </conditionalFormatting>
  <conditionalFormatting sqref="B709">
    <cfRule type="duplicateValues" dxfId="1" priority="1290"/>
  </conditionalFormatting>
  <conditionalFormatting sqref="B710">
    <cfRule type="duplicateValues" dxfId="1" priority="1296"/>
  </conditionalFormatting>
  <conditionalFormatting sqref="B711">
    <cfRule type="duplicateValues" dxfId="1" priority="1295"/>
  </conditionalFormatting>
  <conditionalFormatting sqref="B712">
    <cfRule type="duplicateValues" dxfId="1" priority="1294"/>
  </conditionalFormatting>
  <conditionalFormatting sqref="B713">
    <cfRule type="duplicateValues" dxfId="1" priority="1293"/>
  </conditionalFormatting>
  <conditionalFormatting sqref="B714">
    <cfRule type="duplicateValues" dxfId="1" priority="1292"/>
  </conditionalFormatting>
  <conditionalFormatting sqref="B715">
    <cfRule type="duplicateValues" dxfId="1" priority="1291"/>
  </conditionalFormatting>
  <conditionalFormatting sqref="B716">
    <cfRule type="duplicateValues" dxfId="1" priority="1289"/>
  </conditionalFormatting>
  <conditionalFormatting sqref="C718:D718">
    <cfRule type="expression" dxfId="0" priority="1286">
      <formula>$C$454-$C$431&gt;=0</formula>
    </cfRule>
  </conditionalFormatting>
  <conditionalFormatting sqref="B730">
    <cfRule type="duplicateValues" dxfId="1" priority="1279"/>
  </conditionalFormatting>
  <conditionalFormatting sqref="B731">
    <cfRule type="duplicateValues" dxfId="1" priority="1285"/>
  </conditionalFormatting>
  <conditionalFormatting sqref="B732">
    <cfRule type="duplicateValues" dxfId="1" priority="1284"/>
  </conditionalFormatting>
  <conditionalFormatting sqref="B733">
    <cfRule type="duplicateValues" dxfId="1" priority="1283"/>
  </conditionalFormatting>
  <conditionalFormatting sqref="B734">
    <cfRule type="duplicateValues" dxfId="1" priority="1282"/>
  </conditionalFormatting>
  <conditionalFormatting sqref="B735">
    <cfRule type="duplicateValues" dxfId="1" priority="1281"/>
  </conditionalFormatting>
  <conditionalFormatting sqref="B736">
    <cfRule type="duplicateValues" dxfId="1" priority="1280"/>
  </conditionalFormatting>
  <conditionalFormatting sqref="B737">
    <cfRule type="duplicateValues" dxfId="1" priority="1278"/>
  </conditionalFormatting>
  <conditionalFormatting sqref="C739:D739">
    <cfRule type="expression" dxfId="0" priority="1274">
      <formula>$C$454-$C$431&gt;=0</formula>
    </cfRule>
  </conditionalFormatting>
  <conditionalFormatting sqref="B751">
    <cfRule type="duplicateValues" dxfId="1" priority="1267"/>
  </conditionalFormatting>
  <conditionalFormatting sqref="B752">
    <cfRule type="duplicateValues" dxfId="1" priority="1273"/>
  </conditionalFormatting>
  <conditionalFormatting sqref="B753">
    <cfRule type="duplicateValues" dxfId="1" priority="1272"/>
  </conditionalFormatting>
  <conditionalFormatting sqref="B754">
    <cfRule type="duplicateValues" dxfId="1" priority="1271"/>
  </conditionalFormatting>
  <conditionalFormatting sqref="B755">
    <cfRule type="duplicateValues" dxfId="1" priority="1270"/>
  </conditionalFormatting>
  <conditionalFormatting sqref="B756">
    <cfRule type="duplicateValues" dxfId="1" priority="1269"/>
  </conditionalFormatting>
  <conditionalFormatting sqref="B757">
    <cfRule type="duplicateValues" dxfId="1" priority="1268"/>
  </conditionalFormatting>
  <conditionalFormatting sqref="B758">
    <cfRule type="duplicateValues" dxfId="1" priority="1266"/>
  </conditionalFormatting>
  <conditionalFormatting sqref="C760:D760">
    <cfRule type="expression" dxfId="0" priority="1263">
      <formula>$C$454-$C$431&gt;=0</formula>
    </cfRule>
  </conditionalFormatting>
  <conditionalFormatting sqref="B772">
    <cfRule type="duplicateValues" dxfId="1" priority="1256"/>
  </conditionalFormatting>
  <conditionalFormatting sqref="B773">
    <cfRule type="duplicateValues" dxfId="1" priority="1262"/>
  </conditionalFormatting>
  <conditionalFormatting sqref="B774">
    <cfRule type="duplicateValues" dxfId="1" priority="1261"/>
  </conditionalFormatting>
  <conditionalFormatting sqref="B775">
    <cfRule type="duplicateValues" dxfId="1" priority="1260"/>
  </conditionalFormatting>
  <conditionalFormatting sqref="B776">
    <cfRule type="duplicateValues" dxfId="1" priority="1259"/>
  </conditionalFormatting>
  <conditionalFormatting sqref="B777">
    <cfRule type="duplicateValues" dxfId="1" priority="1258"/>
  </conditionalFormatting>
  <conditionalFormatting sqref="B778">
    <cfRule type="duplicateValues" dxfId="1" priority="1257"/>
  </conditionalFormatting>
  <conditionalFormatting sqref="B779">
    <cfRule type="duplicateValues" dxfId="1" priority="1255"/>
  </conditionalFormatting>
  <conditionalFormatting sqref="C781:D781">
    <cfRule type="expression" dxfId="0" priority="1252">
      <formula>$C$454-$C$431&gt;=0</formula>
    </cfRule>
  </conditionalFormatting>
  <conditionalFormatting sqref="B793">
    <cfRule type="duplicateValues" dxfId="1" priority="1245"/>
  </conditionalFormatting>
  <conditionalFormatting sqref="B794">
    <cfRule type="duplicateValues" dxfId="1" priority="1251"/>
  </conditionalFormatting>
  <conditionalFormatting sqref="B795">
    <cfRule type="duplicateValues" dxfId="1" priority="1250"/>
  </conditionalFormatting>
  <conditionalFormatting sqref="B796">
    <cfRule type="duplicateValues" dxfId="1" priority="1249"/>
  </conditionalFormatting>
  <conditionalFormatting sqref="B797">
    <cfRule type="duplicateValues" dxfId="1" priority="1248"/>
  </conditionalFormatting>
  <conditionalFormatting sqref="B798">
    <cfRule type="duplicateValues" dxfId="1" priority="1247"/>
  </conditionalFormatting>
  <conditionalFormatting sqref="B799">
    <cfRule type="duplicateValues" dxfId="1" priority="1246"/>
  </conditionalFormatting>
  <conditionalFormatting sqref="B800">
    <cfRule type="duplicateValues" dxfId="1" priority="1244"/>
  </conditionalFormatting>
  <conditionalFormatting sqref="C802:D802">
    <cfRule type="expression" dxfId="0" priority="1241">
      <formula>$C$454-$C$431&gt;=0</formula>
    </cfRule>
  </conditionalFormatting>
  <conditionalFormatting sqref="B814">
    <cfRule type="duplicateValues" dxfId="1" priority="1234"/>
  </conditionalFormatting>
  <conditionalFormatting sqref="B815">
    <cfRule type="duplicateValues" dxfId="1" priority="1240"/>
  </conditionalFormatting>
  <conditionalFormatting sqref="B816">
    <cfRule type="duplicateValues" dxfId="1" priority="1239"/>
  </conditionalFormatting>
  <conditionalFormatting sqref="B817">
    <cfRule type="duplicateValues" dxfId="1" priority="1238"/>
  </conditionalFormatting>
  <conditionalFormatting sqref="B818">
    <cfRule type="duplicateValues" dxfId="1" priority="1237"/>
  </conditionalFormatting>
  <conditionalFormatting sqref="B819">
    <cfRule type="duplicateValues" dxfId="1" priority="1236"/>
  </conditionalFormatting>
  <conditionalFormatting sqref="B820">
    <cfRule type="duplicateValues" dxfId="1" priority="1235"/>
  </conditionalFormatting>
  <conditionalFormatting sqref="B821">
    <cfRule type="duplicateValues" dxfId="1" priority="1233"/>
  </conditionalFormatting>
  <conditionalFormatting sqref="C823:D823">
    <cfRule type="expression" dxfId="0" priority="1230">
      <formula>$C$454-$C$431&gt;=0</formula>
    </cfRule>
  </conditionalFormatting>
  <conditionalFormatting sqref="B835">
    <cfRule type="duplicateValues" dxfId="1" priority="1223"/>
  </conditionalFormatting>
  <conditionalFormatting sqref="B836">
    <cfRule type="duplicateValues" dxfId="1" priority="1229"/>
  </conditionalFormatting>
  <conditionalFormatting sqref="B837">
    <cfRule type="duplicateValues" dxfId="1" priority="1228"/>
  </conditionalFormatting>
  <conditionalFormatting sqref="B838">
    <cfRule type="duplicateValues" dxfId="1" priority="1227"/>
  </conditionalFormatting>
  <conditionalFormatting sqref="B839">
    <cfRule type="duplicateValues" dxfId="1" priority="1226"/>
  </conditionalFormatting>
  <conditionalFormatting sqref="B840">
    <cfRule type="duplicateValues" dxfId="1" priority="1225"/>
  </conditionalFormatting>
  <conditionalFormatting sqref="B841">
    <cfRule type="duplicateValues" dxfId="1" priority="1224"/>
  </conditionalFormatting>
  <conditionalFormatting sqref="B842">
    <cfRule type="duplicateValues" dxfId="1" priority="1222"/>
  </conditionalFormatting>
  <conditionalFormatting sqref="C844:D844">
    <cfRule type="expression" dxfId="0" priority="1219">
      <formula>$C$454-$C$431&gt;=0</formula>
    </cfRule>
  </conditionalFormatting>
  <conditionalFormatting sqref="B856">
    <cfRule type="duplicateValues" dxfId="1" priority="1212"/>
  </conditionalFormatting>
  <conditionalFormatting sqref="B857">
    <cfRule type="duplicateValues" dxfId="1" priority="1218"/>
  </conditionalFormatting>
  <conditionalFormatting sqref="B858">
    <cfRule type="duplicateValues" dxfId="1" priority="1217"/>
  </conditionalFormatting>
  <conditionalFormatting sqref="B859">
    <cfRule type="duplicateValues" dxfId="1" priority="1216"/>
  </conditionalFormatting>
  <conditionalFormatting sqref="B860">
    <cfRule type="duplicateValues" dxfId="1" priority="1215"/>
  </conditionalFormatting>
  <conditionalFormatting sqref="B861">
    <cfRule type="duplicateValues" dxfId="1" priority="1214"/>
  </conditionalFormatting>
  <conditionalFormatting sqref="B862">
    <cfRule type="duplicateValues" dxfId="1" priority="1213"/>
  </conditionalFormatting>
  <conditionalFormatting sqref="B863">
    <cfRule type="duplicateValues" dxfId="1" priority="1211"/>
  </conditionalFormatting>
  <conditionalFormatting sqref="C865:D865">
    <cfRule type="expression" dxfId="0" priority="1196">
      <formula>$C$454-$C$431&gt;=0</formula>
    </cfRule>
  </conditionalFormatting>
  <conditionalFormatting sqref="B877">
    <cfRule type="duplicateValues" dxfId="1" priority="1189"/>
  </conditionalFormatting>
  <conditionalFormatting sqref="B878">
    <cfRule type="duplicateValues" dxfId="1" priority="1195"/>
  </conditionalFormatting>
  <conditionalFormatting sqref="B879">
    <cfRule type="duplicateValues" dxfId="1" priority="1194"/>
  </conditionalFormatting>
  <conditionalFormatting sqref="B880">
    <cfRule type="duplicateValues" dxfId="1" priority="1193"/>
  </conditionalFormatting>
  <conditionalFormatting sqref="B881">
    <cfRule type="duplicateValues" dxfId="1" priority="1192"/>
  </conditionalFormatting>
  <conditionalFormatting sqref="B882">
    <cfRule type="duplicateValues" dxfId="1" priority="1191"/>
  </conditionalFormatting>
  <conditionalFormatting sqref="B883">
    <cfRule type="duplicateValues" dxfId="1" priority="1190"/>
  </conditionalFormatting>
  <conditionalFormatting sqref="B884">
    <cfRule type="duplicateValues" dxfId="1" priority="1188"/>
  </conditionalFormatting>
  <conditionalFormatting sqref="C886:D886">
    <cfRule type="expression" dxfId="0" priority="1184">
      <formula>$C$454-$C$431&gt;=0</formula>
    </cfRule>
  </conditionalFormatting>
  <conditionalFormatting sqref="B898">
    <cfRule type="duplicateValues" dxfId="1" priority="1177"/>
  </conditionalFormatting>
  <conditionalFormatting sqref="B899">
    <cfRule type="duplicateValues" dxfId="1" priority="1183"/>
  </conditionalFormatting>
  <conditionalFormatting sqref="B900">
    <cfRule type="duplicateValues" dxfId="1" priority="1182"/>
  </conditionalFormatting>
  <conditionalFormatting sqref="B901">
    <cfRule type="duplicateValues" dxfId="1" priority="1181"/>
  </conditionalFormatting>
  <conditionalFormatting sqref="B902">
    <cfRule type="duplicateValues" dxfId="1" priority="1180"/>
  </conditionalFormatting>
  <conditionalFormatting sqref="B903">
    <cfRule type="duplicateValues" dxfId="1" priority="1179"/>
  </conditionalFormatting>
  <conditionalFormatting sqref="B904">
    <cfRule type="duplicateValues" dxfId="1" priority="1178"/>
  </conditionalFormatting>
  <conditionalFormatting sqref="B905">
    <cfRule type="duplicateValues" dxfId="1" priority="1176"/>
  </conditionalFormatting>
  <conditionalFormatting sqref="C907:D907">
    <cfRule type="expression" dxfId="0" priority="1173">
      <formula>$C$454-$C$431&gt;=0</formula>
    </cfRule>
  </conditionalFormatting>
  <conditionalFormatting sqref="B919">
    <cfRule type="duplicateValues" dxfId="1" priority="1166"/>
  </conditionalFormatting>
  <conditionalFormatting sqref="B920">
    <cfRule type="duplicateValues" dxfId="1" priority="1172"/>
  </conditionalFormatting>
  <conditionalFormatting sqref="B921">
    <cfRule type="duplicateValues" dxfId="1" priority="1171"/>
  </conditionalFormatting>
  <conditionalFormatting sqref="B922">
    <cfRule type="duplicateValues" dxfId="1" priority="1170"/>
  </conditionalFormatting>
  <conditionalFormatting sqref="B923">
    <cfRule type="duplicateValues" dxfId="1" priority="1169"/>
  </conditionalFormatting>
  <conditionalFormatting sqref="B924">
    <cfRule type="duplicateValues" dxfId="1" priority="1168"/>
  </conditionalFormatting>
  <conditionalFormatting sqref="B925">
    <cfRule type="duplicateValues" dxfId="1" priority="1167"/>
  </conditionalFormatting>
  <conditionalFormatting sqref="B926">
    <cfRule type="duplicateValues" dxfId="1" priority="1165"/>
  </conditionalFormatting>
  <conditionalFormatting sqref="C928:D928">
    <cfRule type="expression" dxfId="0" priority="1162">
      <formula>$C$454-$C$431&gt;=0</formula>
    </cfRule>
  </conditionalFormatting>
  <conditionalFormatting sqref="B940">
    <cfRule type="duplicateValues" dxfId="1" priority="1155"/>
  </conditionalFormatting>
  <conditionalFormatting sqref="B941">
    <cfRule type="duplicateValues" dxfId="1" priority="1161"/>
  </conditionalFormatting>
  <conditionalFormatting sqref="B942">
    <cfRule type="duplicateValues" dxfId="1" priority="1160"/>
  </conditionalFormatting>
  <conditionalFormatting sqref="B943">
    <cfRule type="duplicateValues" dxfId="1" priority="1159"/>
  </conditionalFormatting>
  <conditionalFormatting sqref="B944">
    <cfRule type="duplicateValues" dxfId="1" priority="1158"/>
  </conditionalFormatting>
  <conditionalFormatting sqref="B945">
    <cfRule type="duplicateValues" dxfId="1" priority="1157"/>
  </conditionalFormatting>
  <conditionalFormatting sqref="B946">
    <cfRule type="duplicateValues" dxfId="1" priority="1156"/>
  </conditionalFormatting>
  <conditionalFormatting sqref="B947">
    <cfRule type="duplicateValues" dxfId="1" priority="1154"/>
  </conditionalFormatting>
  <conditionalFormatting sqref="C949:D949">
    <cfRule type="expression" dxfId="0" priority="1151">
      <formula>$C$454-$C$431&gt;=0</formula>
    </cfRule>
  </conditionalFormatting>
  <conditionalFormatting sqref="B961">
    <cfRule type="duplicateValues" dxfId="1" priority="1144"/>
  </conditionalFormatting>
  <conditionalFormatting sqref="B962">
    <cfRule type="duplicateValues" dxfId="1" priority="1150"/>
  </conditionalFormatting>
  <conditionalFormatting sqref="B963">
    <cfRule type="duplicateValues" dxfId="1" priority="1149"/>
  </conditionalFormatting>
  <conditionalFormatting sqref="B964">
    <cfRule type="duplicateValues" dxfId="1" priority="1148"/>
  </conditionalFormatting>
  <conditionalFormatting sqref="B965">
    <cfRule type="duplicateValues" dxfId="1" priority="1147"/>
  </conditionalFormatting>
  <conditionalFormatting sqref="B966">
    <cfRule type="duplicateValues" dxfId="1" priority="1146"/>
  </conditionalFormatting>
  <conditionalFormatting sqref="B967">
    <cfRule type="duplicateValues" dxfId="1" priority="1145"/>
  </conditionalFormatting>
  <conditionalFormatting sqref="B968">
    <cfRule type="duplicateValues" dxfId="1" priority="1143"/>
  </conditionalFormatting>
  <conditionalFormatting sqref="C970:D970">
    <cfRule type="expression" dxfId="0" priority="1140">
      <formula>$C$455-$C$432&gt;=0</formula>
    </cfRule>
  </conditionalFormatting>
  <conditionalFormatting sqref="B982">
    <cfRule type="duplicateValues" dxfId="1" priority="1133"/>
  </conditionalFormatting>
  <conditionalFormatting sqref="B983">
    <cfRule type="duplicateValues" dxfId="1" priority="1139"/>
  </conditionalFormatting>
  <conditionalFormatting sqref="B984">
    <cfRule type="duplicateValues" dxfId="1" priority="1138"/>
  </conditionalFormatting>
  <conditionalFormatting sqref="B985">
    <cfRule type="duplicateValues" dxfId="1" priority="1137"/>
  </conditionalFormatting>
  <conditionalFormatting sqref="B986">
    <cfRule type="duplicateValues" dxfId="1" priority="1136"/>
  </conditionalFormatting>
  <conditionalFormatting sqref="B987">
    <cfRule type="duplicateValues" dxfId="1" priority="1135"/>
  </conditionalFormatting>
  <conditionalFormatting sqref="B988">
    <cfRule type="duplicateValues" dxfId="1" priority="1134"/>
  </conditionalFormatting>
  <conditionalFormatting sqref="B989">
    <cfRule type="duplicateValues" dxfId="1" priority="1132"/>
  </conditionalFormatting>
  <conditionalFormatting sqref="C991:D991">
    <cfRule type="expression" dxfId="0" priority="1129">
      <formula>$C$455-$C$432&gt;=0</formula>
    </cfRule>
  </conditionalFormatting>
  <conditionalFormatting sqref="B1003">
    <cfRule type="duplicateValues" dxfId="1" priority="1122"/>
  </conditionalFormatting>
  <conditionalFormatting sqref="B1004">
    <cfRule type="duplicateValues" dxfId="1" priority="1128"/>
  </conditionalFormatting>
  <conditionalFormatting sqref="B1005">
    <cfRule type="duplicateValues" dxfId="1" priority="1127"/>
  </conditionalFormatting>
  <conditionalFormatting sqref="B1006">
    <cfRule type="duplicateValues" dxfId="1" priority="1126"/>
  </conditionalFormatting>
  <conditionalFormatting sqref="B1007">
    <cfRule type="duplicateValues" dxfId="1" priority="1125"/>
  </conditionalFormatting>
  <conditionalFormatting sqref="B1008">
    <cfRule type="duplicateValues" dxfId="1" priority="1124"/>
  </conditionalFormatting>
  <conditionalFormatting sqref="B1009">
    <cfRule type="duplicateValues" dxfId="1" priority="1123"/>
  </conditionalFormatting>
  <conditionalFormatting sqref="B1010">
    <cfRule type="duplicateValues" dxfId="1" priority="1121"/>
  </conditionalFormatting>
  <conditionalFormatting sqref="C1012:D1012">
    <cfRule type="expression" dxfId="0" priority="1118">
      <formula>$C$455-$C$432&gt;=0</formula>
    </cfRule>
  </conditionalFormatting>
  <conditionalFormatting sqref="B1024">
    <cfRule type="duplicateValues" dxfId="1" priority="1111"/>
  </conditionalFormatting>
  <conditionalFormatting sqref="B1025">
    <cfRule type="duplicateValues" dxfId="1" priority="1117"/>
  </conditionalFormatting>
  <conditionalFormatting sqref="B1026">
    <cfRule type="duplicateValues" dxfId="1" priority="1116"/>
  </conditionalFormatting>
  <conditionalFormatting sqref="B1027">
    <cfRule type="duplicateValues" dxfId="1" priority="1115"/>
  </conditionalFormatting>
  <conditionalFormatting sqref="B1028">
    <cfRule type="duplicateValues" dxfId="1" priority="1114"/>
  </conditionalFormatting>
  <conditionalFormatting sqref="B1029">
    <cfRule type="duplicateValues" dxfId="1" priority="1113"/>
  </conditionalFormatting>
  <conditionalFormatting sqref="B1030">
    <cfRule type="duplicateValues" dxfId="1" priority="1112"/>
  </conditionalFormatting>
  <conditionalFormatting sqref="B1031">
    <cfRule type="duplicateValues" dxfId="1" priority="1110"/>
  </conditionalFormatting>
  <conditionalFormatting sqref="C1033:D1033">
    <cfRule type="expression" dxfId="0" priority="1107">
      <formula>$C$455-$C$432&gt;=0</formula>
    </cfRule>
  </conditionalFormatting>
  <conditionalFormatting sqref="B1045">
    <cfRule type="duplicateValues" dxfId="1" priority="1100"/>
  </conditionalFormatting>
  <conditionalFormatting sqref="B1046">
    <cfRule type="duplicateValues" dxfId="1" priority="1106"/>
  </conditionalFormatting>
  <conditionalFormatting sqref="B1047">
    <cfRule type="duplicateValues" dxfId="1" priority="1105"/>
  </conditionalFormatting>
  <conditionalFormatting sqref="B1048">
    <cfRule type="duplicateValues" dxfId="1" priority="1104"/>
  </conditionalFormatting>
  <conditionalFormatting sqref="B1049">
    <cfRule type="duplicateValues" dxfId="1" priority="1103"/>
  </conditionalFormatting>
  <conditionalFormatting sqref="B1050">
    <cfRule type="duplicateValues" dxfId="1" priority="1102"/>
  </conditionalFormatting>
  <conditionalFormatting sqref="B1051">
    <cfRule type="duplicateValues" dxfId="1" priority="1101"/>
  </conditionalFormatting>
  <conditionalFormatting sqref="B1052">
    <cfRule type="duplicateValues" dxfId="1" priority="1099"/>
  </conditionalFormatting>
  <conditionalFormatting sqref="C1054:D1054">
    <cfRule type="expression" dxfId="0" priority="1096">
      <formula>$C$455-$C$432&gt;=0</formula>
    </cfRule>
  </conditionalFormatting>
  <conditionalFormatting sqref="B1066">
    <cfRule type="duplicateValues" dxfId="1" priority="1089"/>
  </conditionalFormatting>
  <conditionalFormatting sqref="B1067">
    <cfRule type="duplicateValues" dxfId="1" priority="1095"/>
  </conditionalFormatting>
  <conditionalFormatting sqref="B1068">
    <cfRule type="duplicateValues" dxfId="1" priority="1094"/>
  </conditionalFormatting>
  <conditionalFormatting sqref="B1069">
    <cfRule type="duplicateValues" dxfId="1" priority="1093"/>
  </conditionalFormatting>
  <conditionalFormatting sqref="B1070">
    <cfRule type="duplicateValues" dxfId="1" priority="1092"/>
  </conditionalFormatting>
  <conditionalFormatting sqref="B1071">
    <cfRule type="duplicateValues" dxfId="1" priority="1091"/>
  </conditionalFormatting>
  <conditionalFormatting sqref="B1072">
    <cfRule type="duplicateValues" dxfId="1" priority="1090"/>
  </conditionalFormatting>
  <conditionalFormatting sqref="B1073">
    <cfRule type="duplicateValues" dxfId="1" priority="1088"/>
  </conditionalFormatting>
  <conditionalFormatting sqref="C1075:D1075">
    <cfRule type="expression" dxfId="0" priority="1085">
      <formula>$C$455-$C$432&gt;=0</formula>
    </cfRule>
  </conditionalFormatting>
  <conditionalFormatting sqref="B1087">
    <cfRule type="duplicateValues" dxfId="1" priority="1078"/>
  </conditionalFormatting>
  <conditionalFormatting sqref="B1088">
    <cfRule type="duplicateValues" dxfId="1" priority="1084"/>
  </conditionalFormatting>
  <conditionalFormatting sqref="B1089">
    <cfRule type="duplicateValues" dxfId="1" priority="1083"/>
  </conditionalFormatting>
  <conditionalFormatting sqref="B1090">
    <cfRule type="duplicateValues" dxfId="1" priority="1082"/>
  </conditionalFormatting>
  <conditionalFormatting sqref="B1091">
    <cfRule type="duplicateValues" dxfId="1" priority="1081"/>
  </conditionalFormatting>
  <conditionalFormatting sqref="B1092">
    <cfRule type="duplicateValues" dxfId="1" priority="1080"/>
  </conditionalFormatting>
  <conditionalFormatting sqref="B1093">
    <cfRule type="duplicateValues" dxfId="1" priority="1079"/>
  </conditionalFormatting>
  <conditionalFormatting sqref="B1094">
    <cfRule type="duplicateValues" dxfId="1" priority="1077"/>
  </conditionalFormatting>
  <conditionalFormatting sqref="C1096:D1096">
    <cfRule type="expression" dxfId="0" priority="1074">
      <formula>$C$455-$C$432&gt;=0</formula>
    </cfRule>
  </conditionalFormatting>
  <conditionalFormatting sqref="B1108">
    <cfRule type="duplicateValues" dxfId="1" priority="1067"/>
  </conditionalFormatting>
  <conditionalFormatting sqref="B1109">
    <cfRule type="duplicateValues" dxfId="1" priority="1073"/>
  </conditionalFormatting>
  <conditionalFormatting sqref="B1110">
    <cfRule type="duplicateValues" dxfId="1" priority="1072"/>
  </conditionalFormatting>
  <conditionalFormatting sqref="B1111">
    <cfRule type="duplicateValues" dxfId="1" priority="1071"/>
  </conditionalFormatting>
  <conditionalFormatting sqref="B1112">
    <cfRule type="duplicateValues" dxfId="1" priority="1070"/>
  </conditionalFormatting>
  <conditionalFormatting sqref="B1113">
    <cfRule type="duplicateValues" dxfId="1" priority="1069"/>
  </conditionalFormatting>
  <conditionalFormatting sqref="B1114">
    <cfRule type="duplicateValues" dxfId="1" priority="1068"/>
  </conditionalFormatting>
  <conditionalFormatting sqref="B1115">
    <cfRule type="duplicateValues" dxfId="1" priority="1066"/>
  </conditionalFormatting>
  <conditionalFormatting sqref="C1117:D1117">
    <cfRule type="expression" dxfId="0" priority="1063">
      <formula>$C$455-$C$432&gt;=0</formula>
    </cfRule>
  </conditionalFormatting>
  <conditionalFormatting sqref="B1129">
    <cfRule type="duplicateValues" dxfId="1" priority="1056"/>
  </conditionalFormatting>
  <conditionalFormatting sqref="B1130">
    <cfRule type="duplicateValues" dxfId="1" priority="1062"/>
  </conditionalFormatting>
  <conditionalFormatting sqref="B1131">
    <cfRule type="duplicateValues" dxfId="1" priority="1061"/>
  </conditionalFormatting>
  <conditionalFormatting sqref="B1132">
    <cfRule type="duplicateValues" dxfId="1" priority="1060"/>
  </conditionalFormatting>
  <conditionalFormatting sqref="B1133">
    <cfRule type="duplicateValues" dxfId="1" priority="1059"/>
  </conditionalFormatting>
  <conditionalFormatting sqref="B1134">
    <cfRule type="duplicateValues" dxfId="1" priority="1058"/>
  </conditionalFormatting>
  <conditionalFormatting sqref="B1135">
    <cfRule type="duplicateValues" dxfId="1" priority="1057"/>
  </conditionalFormatting>
  <conditionalFormatting sqref="B1136">
    <cfRule type="duplicateValues" dxfId="1" priority="1055"/>
  </conditionalFormatting>
  <conditionalFormatting sqref="C1138:D1138">
    <cfRule type="expression" dxfId="0" priority="1052">
      <formula>$C$455-$C$432&gt;=0</formula>
    </cfRule>
  </conditionalFormatting>
  <conditionalFormatting sqref="B1150">
    <cfRule type="duplicateValues" dxfId="1" priority="1045"/>
  </conditionalFormatting>
  <conditionalFormatting sqref="B1151">
    <cfRule type="duplicateValues" dxfId="1" priority="1051"/>
  </conditionalFormatting>
  <conditionalFormatting sqref="B1152">
    <cfRule type="duplicateValues" dxfId="1" priority="1050"/>
  </conditionalFormatting>
  <conditionalFormatting sqref="B1153">
    <cfRule type="duplicateValues" dxfId="1" priority="1049"/>
  </conditionalFormatting>
  <conditionalFormatting sqref="B1154">
    <cfRule type="duplicateValues" dxfId="1" priority="1048"/>
  </conditionalFormatting>
  <conditionalFormatting sqref="B1155">
    <cfRule type="duplicateValues" dxfId="1" priority="1047"/>
  </conditionalFormatting>
  <conditionalFormatting sqref="B1156">
    <cfRule type="duplicateValues" dxfId="1" priority="1046"/>
  </conditionalFormatting>
  <conditionalFormatting sqref="B1157">
    <cfRule type="duplicateValues" dxfId="1" priority="1044"/>
  </conditionalFormatting>
  <conditionalFormatting sqref="C1159:D1159">
    <cfRule type="expression" dxfId="0" priority="1041">
      <formula>$C$455-$C$432&gt;=0</formula>
    </cfRule>
  </conditionalFormatting>
  <conditionalFormatting sqref="B1171">
    <cfRule type="duplicateValues" dxfId="1" priority="1034"/>
  </conditionalFormatting>
  <conditionalFormatting sqref="B1172">
    <cfRule type="duplicateValues" dxfId="1" priority="1040"/>
  </conditionalFormatting>
  <conditionalFormatting sqref="B1173">
    <cfRule type="duplicateValues" dxfId="1" priority="1039"/>
  </conditionalFormatting>
  <conditionalFormatting sqref="B1174">
    <cfRule type="duplicateValues" dxfId="1" priority="1038"/>
  </conditionalFormatting>
  <conditionalFormatting sqref="B1175">
    <cfRule type="duplicateValues" dxfId="1" priority="1037"/>
  </conditionalFormatting>
  <conditionalFormatting sqref="B1176">
    <cfRule type="duplicateValues" dxfId="1" priority="1036"/>
  </conditionalFormatting>
  <conditionalFormatting sqref="B1177">
    <cfRule type="duplicateValues" dxfId="1" priority="1035"/>
  </conditionalFormatting>
  <conditionalFormatting sqref="B1178">
    <cfRule type="duplicateValues" dxfId="1" priority="1033"/>
  </conditionalFormatting>
  <conditionalFormatting sqref="B1192">
    <cfRule type="duplicateValues" dxfId="1" priority="1023"/>
  </conditionalFormatting>
  <conditionalFormatting sqref="B1193">
    <cfRule type="duplicateValues" dxfId="1" priority="1029"/>
  </conditionalFormatting>
  <conditionalFormatting sqref="B1194">
    <cfRule type="duplicateValues" dxfId="1" priority="1028"/>
  </conditionalFormatting>
  <conditionalFormatting sqref="B1195">
    <cfRule type="duplicateValues" dxfId="1" priority="1027"/>
  </conditionalFormatting>
  <conditionalFormatting sqref="B1196">
    <cfRule type="duplicateValues" dxfId="1" priority="1026"/>
  </conditionalFormatting>
  <conditionalFormatting sqref="B1197">
    <cfRule type="duplicateValues" dxfId="1" priority="1025"/>
  </conditionalFormatting>
  <conditionalFormatting sqref="B1198">
    <cfRule type="duplicateValues" dxfId="1" priority="1024"/>
  </conditionalFormatting>
  <conditionalFormatting sqref="B1199">
    <cfRule type="duplicateValues" dxfId="1" priority="1022"/>
  </conditionalFormatting>
  <conditionalFormatting sqref="B1213">
    <cfRule type="duplicateValues" dxfId="1" priority="1012"/>
  </conditionalFormatting>
  <conditionalFormatting sqref="B1214">
    <cfRule type="duplicateValues" dxfId="1" priority="1018"/>
  </conditionalFormatting>
  <conditionalFormatting sqref="B1215">
    <cfRule type="duplicateValues" dxfId="1" priority="1017"/>
  </conditionalFormatting>
  <conditionalFormatting sqref="B1216">
    <cfRule type="duplicateValues" dxfId="1" priority="1016"/>
  </conditionalFormatting>
  <conditionalFormatting sqref="B1217">
    <cfRule type="duplicateValues" dxfId="1" priority="1015"/>
  </conditionalFormatting>
  <conditionalFormatting sqref="B1218">
    <cfRule type="duplicateValues" dxfId="1" priority="1014"/>
  </conditionalFormatting>
  <conditionalFormatting sqref="B1219">
    <cfRule type="duplicateValues" dxfId="1" priority="1013"/>
  </conditionalFormatting>
  <conditionalFormatting sqref="B1220">
    <cfRule type="duplicateValues" dxfId="1" priority="1011"/>
  </conditionalFormatting>
  <conditionalFormatting sqref="B1234">
    <cfRule type="duplicateValues" dxfId="1" priority="1001"/>
  </conditionalFormatting>
  <conditionalFormatting sqref="B1235">
    <cfRule type="duplicateValues" dxfId="1" priority="1007"/>
  </conditionalFormatting>
  <conditionalFormatting sqref="B1236">
    <cfRule type="duplicateValues" dxfId="1" priority="1006"/>
  </conditionalFormatting>
  <conditionalFormatting sqref="B1237">
    <cfRule type="duplicateValues" dxfId="1" priority="1005"/>
  </conditionalFormatting>
  <conditionalFormatting sqref="B1238">
    <cfRule type="duplicateValues" dxfId="1" priority="1004"/>
  </conditionalFormatting>
  <conditionalFormatting sqref="B1239">
    <cfRule type="duplicateValues" dxfId="1" priority="1003"/>
  </conditionalFormatting>
  <conditionalFormatting sqref="B1240">
    <cfRule type="duplicateValues" dxfId="1" priority="1002"/>
  </conditionalFormatting>
  <conditionalFormatting sqref="B1241">
    <cfRule type="duplicateValues" dxfId="1" priority="1000"/>
  </conditionalFormatting>
  <conditionalFormatting sqref="B1255">
    <cfRule type="duplicateValues" dxfId="1" priority="990"/>
  </conditionalFormatting>
  <conditionalFormatting sqref="B1256">
    <cfRule type="duplicateValues" dxfId="1" priority="996"/>
  </conditionalFormatting>
  <conditionalFormatting sqref="B1257">
    <cfRule type="duplicateValues" dxfId="1" priority="995"/>
  </conditionalFormatting>
  <conditionalFormatting sqref="B1258">
    <cfRule type="duplicateValues" dxfId="1" priority="994"/>
  </conditionalFormatting>
  <conditionalFormatting sqref="B1259">
    <cfRule type="duplicateValues" dxfId="1" priority="993"/>
  </conditionalFormatting>
  <conditionalFormatting sqref="B1260">
    <cfRule type="duplicateValues" dxfId="1" priority="992"/>
  </conditionalFormatting>
  <conditionalFormatting sqref="B1261">
    <cfRule type="duplicateValues" dxfId="1" priority="991"/>
  </conditionalFormatting>
  <conditionalFormatting sqref="B1262">
    <cfRule type="duplicateValues" dxfId="1" priority="989"/>
  </conditionalFormatting>
  <conditionalFormatting sqref="B1276">
    <cfRule type="duplicateValues" dxfId="1" priority="979"/>
  </conditionalFormatting>
  <conditionalFormatting sqref="B1277">
    <cfRule type="duplicateValues" dxfId="1" priority="985"/>
  </conditionalFormatting>
  <conditionalFormatting sqref="B1278">
    <cfRule type="duplicateValues" dxfId="1" priority="984"/>
  </conditionalFormatting>
  <conditionalFormatting sqref="B1279">
    <cfRule type="duplicateValues" dxfId="1" priority="983"/>
  </conditionalFormatting>
  <conditionalFormatting sqref="B1280">
    <cfRule type="duplicateValues" dxfId="1" priority="982"/>
  </conditionalFormatting>
  <conditionalFormatting sqref="B1281">
    <cfRule type="duplicateValues" dxfId="1" priority="981"/>
  </conditionalFormatting>
  <conditionalFormatting sqref="B1282">
    <cfRule type="duplicateValues" dxfId="1" priority="980"/>
  </conditionalFormatting>
  <conditionalFormatting sqref="B1283">
    <cfRule type="duplicateValues" dxfId="1" priority="978"/>
  </conditionalFormatting>
  <conditionalFormatting sqref="C1285:D1285">
    <cfRule type="expression" dxfId="0" priority="973">
      <formula>$C$455-$C$432&gt;=0</formula>
    </cfRule>
  </conditionalFormatting>
  <conditionalFormatting sqref="B1297">
    <cfRule type="duplicateValues" dxfId="1" priority="966"/>
  </conditionalFormatting>
  <conditionalFormatting sqref="B1298">
    <cfRule type="duplicateValues" dxfId="1" priority="972"/>
  </conditionalFormatting>
  <conditionalFormatting sqref="B1299">
    <cfRule type="duplicateValues" dxfId="1" priority="971"/>
  </conditionalFormatting>
  <conditionalFormatting sqref="B1300">
    <cfRule type="duplicateValues" dxfId="1" priority="970"/>
  </conditionalFormatting>
  <conditionalFormatting sqref="B1301">
    <cfRule type="duplicateValues" dxfId="1" priority="969"/>
  </conditionalFormatting>
  <conditionalFormatting sqref="B1302">
    <cfRule type="duplicateValues" dxfId="1" priority="968"/>
  </conditionalFormatting>
  <conditionalFormatting sqref="B1303">
    <cfRule type="duplicateValues" dxfId="1" priority="967"/>
  </conditionalFormatting>
  <conditionalFormatting sqref="B1304">
    <cfRule type="duplicateValues" dxfId="1" priority="965"/>
  </conditionalFormatting>
  <conditionalFormatting sqref="C1306:D1306">
    <cfRule type="expression" dxfId="0" priority="928">
      <formula>$C$455-$C$432&gt;=0</formula>
    </cfRule>
  </conditionalFormatting>
  <conditionalFormatting sqref="B1318">
    <cfRule type="duplicateValues" dxfId="1" priority="921"/>
  </conditionalFormatting>
  <conditionalFormatting sqref="B1319">
    <cfRule type="duplicateValues" dxfId="1" priority="927"/>
  </conditionalFormatting>
  <conditionalFormatting sqref="B1320">
    <cfRule type="duplicateValues" dxfId="1" priority="926"/>
  </conditionalFormatting>
  <conditionalFormatting sqref="B1321">
    <cfRule type="duplicateValues" dxfId="1" priority="925"/>
  </conditionalFormatting>
  <conditionalFormatting sqref="B1322">
    <cfRule type="duplicateValues" dxfId="1" priority="924"/>
  </conditionalFormatting>
  <conditionalFormatting sqref="B1323">
    <cfRule type="duplicateValues" dxfId="1" priority="923"/>
  </conditionalFormatting>
  <conditionalFormatting sqref="B1324">
    <cfRule type="duplicateValues" dxfId="1" priority="922"/>
  </conditionalFormatting>
  <conditionalFormatting sqref="B1325">
    <cfRule type="duplicateValues" dxfId="1" priority="920"/>
  </conditionalFormatting>
  <conditionalFormatting sqref="C1327:D1327">
    <cfRule type="expression" dxfId="0" priority="917">
      <formula>$C$455-$C$432&gt;=0</formula>
    </cfRule>
  </conditionalFormatting>
  <conditionalFormatting sqref="B1339">
    <cfRule type="duplicateValues" dxfId="1" priority="910"/>
  </conditionalFormatting>
  <conditionalFormatting sqref="B1340">
    <cfRule type="duplicateValues" dxfId="1" priority="916"/>
  </conditionalFormatting>
  <conditionalFormatting sqref="B1341">
    <cfRule type="duplicateValues" dxfId="1" priority="915"/>
  </conditionalFormatting>
  <conditionalFormatting sqref="B1342">
    <cfRule type="duplicateValues" dxfId="1" priority="914"/>
  </conditionalFormatting>
  <conditionalFormatting sqref="B1343">
    <cfRule type="duplicateValues" dxfId="1" priority="913"/>
  </conditionalFormatting>
  <conditionalFormatting sqref="B1344">
    <cfRule type="duplicateValues" dxfId="1" priority="912"/>
  </conditionalFormatting>
  <conditionalFormatting sqref="B1345">
    <cfRule type="duplicateValues" dxfId="1" priority="911"/>
  </conditionalFormatting>
  <conditionalFormatting sqref="B1346">
    <cfRule type="duplicateValues" dxfId="1" priority="909"/>
  </conditionalFormatting>
  <conditionalFormatting sqref="C1348:D1348">
    <cfRule type="expression" dxfId="0" priority="906">
      <formula>$C$455-$C$432&gt;=0</formula>
    </cfRule>
  </conditionalFormatting>
  <conditionalFormatting sqref="B1360">
    <cfRule type="duplicateValues" dxfId="1" priority="899"/>
  </conditionalFormatting>
  <conditionalFormatting sqref="B1361">
    <cfRule type="duplicateValues" dxfId="1" priority="905"/>
  </conditionalFormatting>
  <conditionalFormatting sqref="B1362">
    <cfRule type="duplicateValues" dxfId="1" priority="904"/>
  </conditionalFormatting>
  <conditionalFormatting sqref="B1363">
    <cfRule type="duplicateValues" dxfId="1" priority="903"/>
  </conditionalFormatting>
  <conditionalFormatting sqref="B1364">
    <cfRule type="duplicateValues" dxfId="1" priority="902"/>
  </conditionalFormatting>
  <conditionalFormatting sqref="B1365">
    <cfRule type="duplicateValues" dxfId="1" priority="901"/>
  </conditionalFormatting>
  <conditionalFormatting sqref="B1366">
    <cfRule type="duplicateValues" dxfId="1" priority="900"/>
  </conditionalFormatting>
  <conditionalFormatting sqref="B1367">
    <cfRule type="duplicateValues" dxfId="1" priority="898"/>
  </conditionalFormatting>
  <conditionalFormatting sqref="C1369:D1369">
    <cfRule type="expression" dxfId="0" priority="895">
      <formula>$C$455-$C$432&gt;=0</formula>
    </cfRule>
  </conditionalFormatting>
  <conditionalFormatting sqref="B1381">
    <cfRule type="duplicateValues" dxfId="1" priority="888"/>
  </conditionalFormatting>
  <conditionalFormatting sqref="B1382">
    <cfRule type="duplicateValues" dxfId="1" priority="894"/>
  </conditionalFormatting>
  <conditionalFormatting sqref="B1383">
    <cfRule type="duplicateValues" dxfId="1" priority="893"/>
  </conditionalFormatting>
  <conditionalFormatting sqref="B1384">
    <cfRule type="duplicateValues" dxfId="1" priority="892"/>
  </conditionalFormatting>
  <conditionalFormatting sqref="B1385">
    <cfRule type="duplicateValues" dxfId="1" priority="891"/>
  </conditionalFormatting>
  <conditionalFormatting sqref="B1386">
    <cfRule type="duplicateValues" dxfId="1" priority="890"/>
  </conditionalFormatting>
  <conditionalFormatting sqref="B1387">
    <cfRule type="duplicateValues" dxfId="1" priority="889"/>
  </conditionalFormatting>
  <conditionalFormatting sqref="B1388">
    <cfRule type="duplicateValues" dxfId="1" priority="887"/>
  </conditionalFormatting>
  <conditionalFormatting sqref="C1390:D1390">
    <cfRule type="expression" dxfId="0" priority="884">
      <formula>$C$455-$C$432&gt;=0</formula>
    </cfRule>
  </conditionalFormatting>
  <conditionalFormatting sqref="B1402">
    <cfRule type="duplicateValues" dxfId="1" priority="877"/>
  </conditionalFormatting>
  <conditionalFormatting sqref="B1403">
    <cfRule type="duplicateValues" dxfId="1" priority="883"/>
  </conditionalFormatting>
  <conditionalFormatting sqref="B1404">
    <cfRule type="duplicateValues" dxfId="1" priority="882"/>
  </conditionalFormatting>
  <conditionalFormatting sqref="B1405">
    <cfRule type="duplicateValues" dxfId="1" priority="881"/>
  </conditionalFormatting>
  <conditionalFormatting sqref="B1406">
    <cfRule type="duplicateValues" dxfId="1" priority="880"/>
  </conditionalFormatting>
  <conditionalFormatting sqref="B1407">
    <cfRule type="duplicateValues" dxfId="1" priority="879"/>
  </conditionalFormatting>
  <conditionalFormatting sqref="B1408">
    <cfRule type="duplicateValues" dxfId="1" priority="878"/>
  </conditionalFormatting>
  <conditionalFormatting sqref="B1409">
    <cfRule type="duplicateValues" dxfId="1" priority="876"/>
  </conditionalFormatting>
  <conditionalFormatting sqref="C1411:D1411">
    <cfRule type="expression" dxfId="0" priority="873">
      <formula>$C$455-$C$432&gt;=0</formula>
    </cfRule>
  </conditionalFormatting>
  <conditionalFormatting sqref="B1423">
    <cfRule type="duplicateValues" dxfId="1" priority="866"/>
  </conditionalFormatting>
  <conditionalFormatting sqref="B1424">
    <cfRule type="duplicateValues" dxfId="1" priority="872"/>
  </conditionalFormatting>
  <conditionalFormatting sqref="B1425">
    <cfRule type="duplicateValues" dxfId="1" priority="871"/>
  </conditionalFormatting>
  <conditionalFormatting sqref="B1426">
    <cfRule type="duplicateValues" dxfId="1" priority="870"/>
  </conditionalFormatting>
  <conditionalFormatting sqref="B1427">
    <cfRule type="duplicateValues" dxfId="1" priority="869"/>
  </conditionalFormatting>
  <conditionalFormatting sqref="B1428">
    <cfRule type="duplicateValues" dxfId="1" priority="868"/>
  </conditionalFormatting>
  <conditionalFormatting sqref="B1429">
    <cfRule type="duplicateValues" dxfId="1" priority="867"/>
  </conditionalFormatting>
  <conditionalFormatting sqref="B1430">
    <cfRule type="duplicateValues" dxfId="1" priority="865"/>
  </conditionalFormatting>
  <conditionalFormatting sqref="C1432:D1432">
    <cfRule type="expression" dxfId="0" priority="862">
      <formula>$C$455-$C$432&gt;=0</formula>
    </cfRule>
  </conditionalFormatting>
  <conditionalFormatting sqref="B1444">
    <cfRule type="duplicateValues" dxfId="1" priority="855"/>
  </conditionalFormatting>
  <conditionalFormatting sqref="B1445">
    <cfRule type="duplicateValues" dxfId="1" priority="861"/>
  </conditionalFormatting>
  <conditionalFormatting sqref="B1446">
    <cfRule type="duplicateValues" dxfId="1" priority="860"/>
  </conditionalFormatting>
  <conditionalFormatting sqref="B1447">
    <cfRule type="duplicateValues" dxfId="1" priority="859"/>
  </conditionalFormatting>
  <conditionalFormatting sqref="B1448">
    <cfRule type="duplicateValues" dxfId="1" priority="858"/>
  </conditionalFormatting>
  <conditionalFormatting sqref="B1449">
    <cfRule type="duplicateValues" dxfId="1" priority="857"/>
  </conditionalFormatting>
  <conditionalFormatting sqref="B1450">
    <cfRule type="duplicateValues" dxfId="1" priority="856"/>
  </conditionalFormatting>
  <conditionalFormatting sqref="B1451">
    <cfRule type="duplicateValues" dxfId="1" priority="854"/>
  </conditionalFormatting>
  <conditionalFormatting sqref="C1453:D1453">
    <cfRule type="expression" dxfId="0" priority="851">
      <formula>$C$454-$C$431&gt;=0</formula>
    </cfRule>
  </conditionalFormatting>
  <conditionalFormatting sqref="B1465">
    <cfRule type="duplicateValues" dxfId="1" priority="844"/>
  </conditionalFormatting>
  <conditionalFormatting sqref="B1466">
    <cfRule type="duplicateValues" dxfId="1" priority="850"/>
  </conditionalFormatting>
  <conditionalFormatting sqref="B1467">
    <cfRule type="duplicateValues" dxfId="1" priority="849"/>
  </conditionalFormatting>
  <conditionalFormatting sqref="B1468">
    <cfRule type="duplicateValues" dxfId="1" priority="848"/>
  </conditionalFormatting>
  <conditionalFormatting sqref="B1469">
    <cfRule type="duplicateValues" dxfId="1" priority="847"/>
  </conditionalFormatting>
  <conditionalFormatting sqref="B1470">
    <cfRule type="duplicateValues" dxfId="1" priority="846"/>
  </conditionalFormatting>
  <conditionalFormatting sqref="B1471">
    <cfRule type="duplicateValues" dxfId="1" priority="845"/>
  </conditionalFormatting>
  <conditionalFormatting sqref="B1472">
    <cfRule type="duplicateValues" dxfId="1" priority="843"/>
  </conditionalFormatting>
  <conditionalFormatting sqref="C1474:D1474">
    <cfRule type="expression" dxfId="0" priority="840">
      <formula>$C$455-$C$432&gt;=0</formula>
    </cfRule>
  </conditionalFormatting>
  <conditionalFormatting sqref="B1486">
    <cfRule type="duplicateValues" dxfId="1" priority="833"/>
  </conditionalFormatting>
  <conditionalFormatting sqref="B1487">
    <cfRule type="duplicateValues" dxfId="1" priority="839"/>
  </conditionalFormatting>
  <conditionalFormatting sqref="B1488">
    <cfRule type="duplicateValues" dxfId="1" priority="838"/>
  </conditionalFormatting>
  <conditionalFormatting sqref="B1489">
    <cfRule type="duplicateValues" dxfId="1" priority="837"/>
  </conditionalFormatting>
  <conditionalFormatting sqref="B1490">
    <cfRule type="duplicateValues" dxfId="1" priority="836"/>
  </conditionalFormatting>
  <conditionalFormatting sqref="B1491">
    <cfRule type="duplicateValues" dxfId="1" priority="835"/>
  </conditionalFormatting>
  <conditionalFormatting sqref="B1492">
    <cfRule type="duplicateValues" dxfId="1" priority="834"/>
  </conditionalFormatting>
  <conditionalFormatting sqref="B1493">
    <cfRule type="duplicateValues" dxfId="1" priority="832"/>
  </conditionalFormatting>
  <conditionalFormatting sqref="C1495:D1495">
    <cfRule type="expression" dxfId="0" priority="826">
      <formula>$C$455-$C$432&gt;=0</formula>
    </cfRule>
  </conditionalFormatting>
  <conditionalFormatting sqref="B1507">
    <cfRule type="duplicateValues" dxfId="1" priority="819"/>
  </conditionalFormatting>
  <conditionalFormatting sqref="B1508">
    <cfRule type="duplicateValues" dxfId="1" priority="825"/>
  </conditionalFormatting>
  <conditionalFormatting sqref="B1509">
    <cfRule type="duplicateValues" dxfId="1" priority="824"/>
  </conditionalFormatting>
  <conditionalFormatting sqref="B1510">
    <cfRule type="duplicateValues" dxfId="1" priority="823"/>
  </conditionalFormatting>
  <conditionalFormatting sqref="B1511">
    <cfRule type="duplicateValues" dxfId="1" priority="822"/>
  </conditionalFormatting>
  <conditionalFormatting sqref="B1512">
    <cfRule type="duplicateValues" dxfId="1" priority="821"/>
  </conditionalFormatting>
  <conditionalFormatting sqref="B1513">
    <cfRule type="duplicateValues" dxfId="1" priority="820"/>
  </conditionalFormatting>
  <conditionalFormatting sqref="B1514">
    <cfRule type="duplicateValues" dxfId="1" priority="818"/>
  </conditionalFormatting>
  <conditionalFormatting sqref="C1516:D1516">
    <cfRule type="expression" dxfId="0" priority="815">
      <formula>$C$443-$C$420&gt;=0</formula>
    </cfRule>
  </conditionalFormatting>
  <conditionalFormatting sqref="B1528">
    <cfRule type="duplicateValues" dxfId="1" priority="808"/>
  </conditionalFormatting>
  <conditionalFormatting sqref="B1529">
    <cfRule type="duplicateValues" dxfId="1" priority="814"/>
  </conditionalFormatting>
  <conditionalFormatting sqref="B1530">
    <cfRule type="duplicateValues" dxfId="1" priority="813"/>
  </conditionalFormatting>
  <conditionalFormatting sqref="B1531">
    <cfRule type="duplicateValues" dxfId="1" priority="812"/>
  </conditionalFormatting>
  <conditionalFormatting sqref="B1532">
    <cfRule type="duplicateValues" dxfId="1" priority="811"/>
  </conditionalFormatting>
  <conditionalFormatting sqref="B1533">
    <cfRule type="duplicateValues" dxfId="1" priority="810"/>
  </conditionalFormatting>
  <conditionalFormatting sqref="B1534">
    <cfRule type="duplicateValues" dxfId="1" priority="809"/>
  </conditionalFormatting>
  <conditionalFormatting sqref="B1535">
    <cfRule type="duplicateValues" dxfId="1" priority="807"/>
  </conditionalFormatting>
  <conditionalFormatting sqref="C1537:D1537">
    <cfRule type="expression" dxfId="0" priority="804">
      <formula>$C$454-$C$431&gt;=0</formula>
    </cfRule>
  </conditionalFormatting>
  <conditionalFormatting sqref="B1549">
    <cfRule type="duplicateValues" dxfId="1" priority="797"/>
  </conditionalFormatting>
  <conditionalFormatting sqref="B1550">
    <cfRule type="duplicateValues" dxfId="1" priority="803"/>
  </conditionalFormatting>
  <conditionalFormatting sqref="B1551">
    <cfRule type="duplicateValues" dxfId="1" priority="802"/>
  </conditionalFormatting>
  <conditionalFormatting sqref="B1552">
    <cfRule type="duplicateValues" dxfId="1" priority="801"/>
  </conditionalFormatting>
  <conditionalFormatting sqref="B1553">
    <cfRule type="duplicateValues" dxfId="1" priority="800"/>
  </conditionalFormatting>
  <conditionalFormatting sqref="B1554">
    <cfRule type="duplicateValues" dxfId="1" priority="799"/>
  </conditionalFormatting>
  <conditionalFormatting sqref="B1555">
    <cfRule type="duplicateValues" dxfId="1" priority="798"/>
  </conditionalFormatting>
  <conditionalFormatting sqref="B1556">
    <cfRule type="duplicateValues" dxfId="1" priority="796"/>
  </conditionalFormatting>
  <conditionalFormatting sqref="C1558:D1558">
    <cfRule type="expression" dxfId="0" priority="790">
      <formula>$C$454-$C$431&gt;=0</formula>
    </cfRule>
  </conditionalFormatting>
  <conditionalFormatting sqref="B1570">
    <cfRule type="duplicateValues" dxfId="1" priority="783"/>
  </conditionalFormatting>
  <conditionalFormatting sqref="B1571">
    <cfRule type="duplicateValues" dxfId="1" priority="789"/>
  </conditionalFormatting>
  <conditionalFormatting sqref="B1572">
    <cfRule type="duplicateValues" dxfId="1" priority="788"/>
  </conditionalFormatting>
  <conditionalFormatting sqref="B1573">
    <cfRule type="duplicateValues" dxfId="1" priority="787"/>
  </conditionalFormatting>
  <conditionalFormatting sqref="B1574">
    <cfRule type="duplicateValues" dxfId="1" priority="786"/>
  </conditionalFormatting>
  <conditionalFormatting sqref="B1575">
    <cfRule type="duplicateValues" dxfId="1" priority="785"/>
  </conditionalFormatting>
  <conditionalFormatting sqref="B1576">
    <cfRule type="duplicateValues" dxfId="1" priority="784"/>
  </conditionalFormatting>
  <conditionalFormatting sqref="B1577">
    <cfRule type="duplicateValues" dxfId="1" priority="782"/>
  </conditionalFormatting>
  <conditionalFormatting sqref="C1579:D1579">
    <cfRule type="expression" dxfId="0" priority="776">
      <formula>$C$454-$C$431&gt;=0</formula>
    </cfRule>
  </conditionalFormatting>
  <conditionalFormatting sqref="B1591">
    <cfRule type="duplicateValues" dxfId="1" priority="769"/>
  </conditionalFormatting>
  <conditionalFormatting sqref="B1592">
    <cfRule type="duplicateValues" dxfId="1" priority="775"/>
  </conditionalFormatting>
  <conditionalFormatting sqref="B1593">
    <cfRule type="duplicateValues" dxfId="1" priority="774"/>
  </conditionalFormatting>
  <conditionalFormatting sqref="B1594">
    <cfRule type="duplicateValues" dxfId="1" priority="773"/>
  </conditionalFormatting>
  <conditionalFormatting sqref="B1595">
    <cfRule type="duplicateValues" dxfId="1" priority="772"/>
  </conditionalFormatting>
  <conditionalFormatting sqref="B1596">
    <cfRule type="duplicateValues" dxfId="1" priority="771"/>
  </conditionalFormatting>
  <conditionalFormatting sqref="B1597">
    <cfRule type="duplicateValues" dxfId="1" priority="770"/>
  </conditionalFormatting>
  <conditionalFormatting sqref="B1598">
    <cfRule type="duplicateValues" dxfId="1" priority="768"/>
  </conditionalFormatting>
  <conditionalFormatting sqref="C1600:D1600">
    <cfRule type="expression" dxfId="0" priority="762">
      <formula>$C$454-$C$431&gt;=0</formula>
    </cfRule>
  </conditionalFormatting>
  <conditionalFormatting sqref="B1612">
    <cfRule type="duplicateValues" dxfId="1" priority="755"/>
  </conditionalFormatting>
  <conditionalFormatting sqref="B1613">
    <cfRule type="duplicateValues" dxfId="1" priority="761"/>
  </conditionalFormatting>
  <conditionalFormatting sqref="B1614">
    <cfRule type="duplicateValues" dxfId="1" priority="760"/>
  </conditionalFormatting>
  <conditionalFormatting sqref="B1615">
    <cfRule type="duplicateValues" dxfId="1" priority="759"/>
  </conditionalFormatting>
  <conditionalFormatting sqref="B1616">
    <cfRule type="duplicateValues" dxfId="1" priority="758"/>
  </conditionalFormatting>
  <conditionalFormatting sqref="B1617">
    <cfRule type="duplicateValues" dxfId="1" priority="757"/>
  </conditionalFormatting>
  <conditionalFormatting sqref="B1618">
    <cfRule type="duplicateValues" dxfId="1" priority="756"/>
  </conditionalFormatting>
  <conditionalFormatting sqref="B1619">
    <cfRule type="duplicateValues" dxfId="1" priority="754"/>
  </conditionalFormatting>
  <conditionalFormatting sqref="C1621:D1621">
    <cfRule type="expression" dxfId="0" priority="751">
      <formula>$C$454-$C$431&gt;=0</formula>
    </cfRule>
  </conditionalFormatting>
  <conditionalFormatting sqref="B1633">
    <cfRule type="duplicateValues" dxfId="1" priority="744"/>
  </conditionalFormatting>
  <conditionalFormatting sqref="B1634">
    <cfRule type="duplicateValues" dxfId="1" priority="750"/>
  </conditionalFormatting>
  <conditionalFormatting sqref="B1635">
    <cfRule type="duplicateValues" dxfId="1" priority="749"/>
  </conditionalFormatting>
  <conditionalFormatting sqref="B1636">
    <cfRule type="duplicateValues" dxfId="1" priority="748"/>
  </conditionalFormatting>
  <conditionalFormatting sqref="B1637">
    <cfRule type="duplicateValues" dxfId="1" priority="747"/>
  </conditionalFormatting>
  <conditionalFormatting sqref="B1638">
    <cfRule type="duplicateValues" dxfId="1" priority="746"/>
  </conditionalFormatting>
  <conditionalFormatting sqref="B1639">
    <cfRule type="duplicateValues" dxfId="1" priority="745"/>
  </conditionalFormatting>
  <conditionalFormatting sqref="B1640">
    <cfRule type="duplicateValues" dxfId="1" priority="743"/>
  </conditionalFormatting>
  <conditionalFormatting sqref="C1642:D1642">
    <cfRule type="expression" dxfId="0" priority="740">
      <formula>$C$454-$C$431&gt;=0</formula>
    </cfRule>
  </conditionalFormatting>
  <conditionalFormatting sqref="B1654">
    <cfRule type="duplicateValues" dxfId="1" priority="733"/>
  </conditionalFormatting>
  <conditionalFormatting sqref="B1655">
    <cfRule type="duplicateValues" dxfId="1" priority="739"/>
  </conditionalFormatting>
  <conditionalFormatting sqref="B1656">
    <cfRule type="duplicateValues" dxfId="1" priority="738"/>
  </conditionalFormatting>
  <conditionalFormatting sqref="B1657">
    <cfRule type="duplicateValues" dxfId="1" priority="737"/>
  </conditionalFormatting>
  <conditionalFormatting sqref="B1658">
    <cfRule type="duplicateValues" dxfId="1" priority="736"/>
  </conditionalFormatting>
  <conditionalFormatting sqref="B1659">
    <cfRule type="duplicateValues" dxfId="1" priority="735"/>
  </conditionalFormatting>
  <conditionalFormatting sqref="B1660">
    <cfRule type="duplicateValues" dxfId="1" priority="734"/>
  </conditionalFormatting>
  <conditionalFormatting sqref="B1661">
    <cfRule type="duplicateValues" dxfId="1" priority="732"/>
  </conditionalFormatting>
  <conditionalFormatting sqref="C1663:D1663">
    <cfRule type="expression" dxfId="0" priority="726">
      <formula>$C$454-$C$431&gt;=0</formula>
    </cfRule>
  </conditionalFormatting>
  <conditionalFormatting sqref="B1675">
    <cfRule type="duplicateValues" dxfId="1" priority="719"/>
  </conditionalFormatting>
  <conditionalFormatting sqref="B1676">
    <cfRule type="duplicateValues" dxfId="1" priority="725"/>
  </conditionalFormatting>
  <conditionalFormatting sqref="B1677">
    <cfRule type="duplicateValues" dxfId="1" priority="724"/>
  </conditionalFormatting>
  <conditionalFormatting sqref="B1678">
    <cfRule type="duplicateValues" dxfId="1" priority="723"/>
  </conditionalFormatting>
  <conditionalFormatting sqref="B1679">
    <cfRule type="duplicateValues" dxfId="1" priority="722"/>
  </conditionalFormatting>
  <conditionalFormatting sqref="B1680">
    <cfRule type="duplicateValues" dxfId="1" priority="721"/>
  </conditionalFormatting>
  <conditionalFormatting sqref="B1681">
    <cfRule type="duplicateValues" dxfId="1" priority="720"/>
  </conditionalFormatting>
  <conditionalFormatting sqref="B1682">
    <cfRule type="duplicateValues" dxfId="1" priority="718"/>
  </conditionalFormatting>
  <conditionalFormatting sqref="C1684:D1684">
    <cfRule type="expression" dxfId="0" priority="712">
      <formula>$C$454-$C$431&gt;=0</formula>
    </cfRule>
  </conditionalFormatting>
  <conditionalFormatting sqref="B1696">
    <cfRule type="duplicateValues" dxfId="1" priority="705"/>
  </conditionalFormatting>
  <conditionalFormatting sqref="B1697">
    <cfRule type="duplicateValues" dxfId="1" priority="711"/>
  </conditionalFormatting>
  <conditionalFormatting sqref="B1698">
    <cfRule type="duplicateValues" dxfId="1" priority="710"/>
  </conditionalFormatting>
  <conditionalFormatting sqref="B1699">
    <cfRule type="duplicateValues" dxfId="1" priority="709"/>
  </conditionalFormatting>
  <conditionalFormatting sqref="B1700">
    <cfRule type="duplicateValues" dxfId="1" priority="708"/>
  </conditionalFormatting>
  <conditionalFormatting sqref="B1701">
    <cfRule type="duplicateValues" dxfId="1" priority="707"/>
  </conditionalFormatting>
  <conditionalFormatting sqref="B1702">
    <cfRule type="duplicateValues" dxfId="1" priority="706"/>
  </conditionalFormatting>
  <conditionalFormatting sqref="B1703">
    <cfRule type="duplicateValues" dxfId="1" priority="704"/>
  </conditionalFormatting>
  <conditionalFormatting sqref="C1705:D1705">
    <cfRule type="expression" dxfId="0" priority="698">
      <formula>$C$454-$C$431&gt;=0</formula>
    </cfRule>
  </conditionalFormatting>
  <conditionalFormatting sqref="B1717">
    <cfRule type="duplicateValues" dxfId="1" priority="691"/>
  </conditionalFormatting>
  <conditionalFormatting sqref="B1718">
    <cfRule type="duplicateValues" dxfId="1" priority="697"/>
  </conditionalFormatting>
  <conditionalFormatting sqref="B1719">
    <cfRule type="duplicateValues" dxfId="1" priority="696"/>
  </conditionalFormatting>
  <conditionalFormatting sqref="B1720">
    <cfRule type="duplicateValues" dxfId="1" priority="695"/>
  </conditionalFormatting>
  <conditionalFormatting sqref="B1721">
    <cfRule type="duplicateValues" dxfId="1" priority="694"/>
  </conditionalFormatting>
  <conditionalFormatting sqref="B1722">
    <cfRule type="duplicateValues" dxfId="1" priority="693"/>
  </conditionalFormatting>
  <conditionalFormatting sqref="B1723">
    <cfRule type="duplicateValues" dxfId="1" priority="692"/>
  </conditionalFormatting>
  <conditionalFormatting sqref="B1724">
    <cfRule type="duplicateValues" dxfId="1" priority="690"/>
  </conditionalFormatting>
  <conditionalFormatting sqref="C1726:D1726">
    <cfRule type="expression" dxfId="0" priority="684">
      <formula>$C$454-$C$431&gt;=0</formula>
    </cfRule>
  </conditionalFormatting>
  <conditionalFormatting sqref="B1738">
    <cfRule type="duplicateValues" dxfId="1" priority="677"/>
  </conditionalFormatting>
  <conditionalFormatting sqref="B1739">
    <cfRule type="duplicateValues" dxfId="1" priority="683"/>
  </conditionalFormatting>
  <conditionalFormatting sqref="B1740">
    <cfRule type="duplicateValues" dxfId="1" priority="682"/>
  </conditionalFormatting>
  <conditionalFormatting sqref="B1741">
    <cfRule type="duplicateValues" dxfId="1" priority="681"/>
  </conditionalFormatting>
  <conditionalFormatting sqref="B1742">
    <cfRule type="duplicateValues" dxfId="1" priority="680"/>
  </conditionalFormatting>
  <conditionalFormatting sqref="B1743">
    <cfRule type="duplicateValues" dxfId="1" priority="679"/>
  </conditionalFormatting>
  <conditionalFormatting sqref="B1744">
    <cfRule type="duplicateValues" dxfId="1" priority="678"/>
  </conditionalFormatting>
  <conditionalFormatting sqref="B1745">
    <cfRule type="duplicateValues" dxfId="1" priority="676"/>
  </conditionalFormatting>
  <conditionalFormatting sqref="C1747:D1747">
    <cfRule type="expression" dxfId="0" priority="589">
      <formula>$C$452-$C$429&gt;=0</formula>
    </cfRule>
  </conditionalFormatting>
  <conditionalFormatting sqref="B1754">
    <cfRule type="duplicateValues" dxfId="1" priority="580"/>
  </conditionalFormatting>
  <conditionalFormatting sqref="B1759">
    <cfRule type="duplicateValues" dxfId="1" priority="582"/>
  </conditionalFormatting>
  <conditionalFormatting sqref="B1760">
    <cfRule type="duplicateValues" dxfId="1" priority="588"/>
  </conditionalFormatting>
  <conditionalFormatting sqref="B1761">
    <cfRule type="duplicateValues" dxfId="1" priority="587"/>
  </conditionalFormatting>
  <conditionalFormatting sqref="B1762">
    <cfRule type="duplicateValues" dxfId="1" priority="586"/>
  </conditionalFormatting>
  <conditionalFormatting sqref="B1763">
    <cfRule type="duplicateValues" dxfId="1" priority="585"/>
  </conditionalFormatting>
  <conditionalFormatting sqref="B1764">
    <cfRule type="duplicateValues" dxfId="1" priority="584"/>
  </conditionalFormatting>
  <conditionalFormatting sqref="B1765">
    <cfRule type="duplicateValues" dxfId="1" priority="583"/>
  </conditionalFormatting>
  <conditionalFormatting sqref="B1766">
    <cfRule type="duplicateValues" dxfId="1" priority="581"/>
  </conditionalFormatting>
  <conditionalFormatting sqref="C1768:D1768">
    <cfRule type="expression" dxfId="0" priority="660">
      <formula>$C$453-$C$430&gt;=0</formula>
    </cfRule>
  </conditionalFormatting>
  <conditionalFormatting sqref="B1775">
    <cfRule type="duplicateValues" dxfId="1" priority="650"/>
  </conditionalFormatting>
  <conditionalFormatting sqref="B1780">
    <cfRule type="duplicateValues" dxfId="1" priority="653"/>
  </conditionalFormatting>
  <conditionalFormatting sqref="B1781">
    <cfRule type="duplicateValues" dxfId="1" priority="659"/>
  </conditionalFormatting>
  <conditionalFormatting sqref="B1782">
    <cfRule type="duplicateValues" dxfId="1" priority="658"/>
  </conditionalFormatting>
  <conditionalFormatting sqref="B1783">
    <cfRule type="duplicateValues" dxfId="1" priority="657"/>
  </conditionalFormatting>
  <conditionalFormatting sqref="B1784">
    <cfRule type="duplicateValues" dxfId="1" priority="656"/>
  </conditionalFormatting>
  <conditionalFormatting sqref="B1785">
    <cfRule type="duplicateValues" dxfId="1" priority="655"/>
  </conditionalFormatting>
  <conditionalFormatting sqref="B1786">
    <cfRule type="duplicateValues" dxfId="1" priority="654"/>
  </conditionalFormatting>
  <conditionalFormatting sqref="B1787">
    <cfRule type="duplicateValues" dxfId="1" priority="652"/>
  </conditionalFormatting>
  <conditionalFormatting sqref="C1789:D1789">
    <cfRule type="expression" dxfId="0" priority="648">
      <formula>$C$453-$C$430&gt;=0</formula>
    </cfRule>
  </conditionalFormatting>
  <conditionalFormatting sqref="B1796">
    <cfRule type="duplicateValues" dxfId="1" priority="638"/>
  </conditionalFormatting>
  <conditionalFormatting sqref="B1801">
    <cfRule type="duplicateValues" dxfId="1" priority="641"/>
  </conditionalFormatting>
  <conditionalFormatting sqref="B1802">
    <cfRule type="duplicateValues" dxfId="1" priority="647"/>
  </conditionalFormatting>
  <conditionalFormatting sqref="B1803">
    <cfRule type="duplicateValues" dxfId="1" priority="646"/>
  </conditionalFormatting>
  <conditionalFormatting sqref="B1804">
    <cfRule type="duplicateValues" dxfId="1" priority="645"/>
  </conditionalFormatting>
  <conditionalFormatting sqref="B1805">
    <cfRule type="duplicateValues" dxfId="1" priority="644"/>
  </conditionalFormatting>
  <conditionalFormatting sqref="B1806">
    <cfRule type="duplicateValues" dxfId="1" priority="643"/>
  </conditionalFormatting>
  <conditionalFormatting sqref="B1807">
    <cfRule type="duplicateValues" dxfId="1" priority="642"/>
  </conditionalFormatting>
  <conditionalFormatting sqref="B1808">
    <cfRule type="duplicateValues" dxfId="1" priority="640"/>
  </conditionalFormatting>
  <conditionalFormatting sqref="C1810:D1810">
    <cfRule type="expression" dxfId="0" priority="636">
      <formula>$C$445-$C$422&gt;=0</formula>
    </cfRule>
  </conditionalFormatting>
  <conditionalFormatting sqref="B1817">
    <cfRule type="duplicateValues" dxfId="1" priority="626"/>
  </conditionalFormatting>
  <conditionalFormatting sqref="B1822">
    <cfRule type="duplicateValues" dxfId="1" priority="629"/>
  </conditionalFormatting>
  <conditionalFormatting sqref="B1823">
    <cfRule type="duplicateValues" dxfId="1" priority="635"/>
  </conditionalFormatting>
  <conditionalFormatting sqref="B1824">
    <cfRule type="duplicateValues" dxfId="1" priority="634"/>
  </conditionalFormatting>
  <conditionalFormatting sqref="B1825">
    <cfRule type="duplicateValues" dxfId="1" priority="633"/>
  </conditionalFormatting>
  <conditionalFormatting sqref="B1826">
    <cfRule type="duplicateValues" dxfId="1" priority="632"/>
  </conditionalFormatting>
  <conditionalFormatting sqref="B1827">
    <cfRule type="duplicateValues" dxfId="1" priority="631"/>
  </conditionalFormatting>
  <conditionalFormatting sqref="B1828">
    <cfRule type="duplicateValues" dxfId="1" priority="630"/>
  </conditionalFormatting>
  <conditionalFormatting sqref="B1829">
    <cfRule type="duplicateValues" dxfId="1" priority="628"/>
  </conditionalFormatting>
  <conditionalFormatting sqref="C1831:D1831">
    <cfRule type="expression" dxfId="0" priority="624">
      <formula>$C$445-$C$422&gt;=0</formula>
    </cfRule>
  </conditionalFormatting>
  <conditionalFormatting sqref="B1838">
    <cfRule type="duplicateValues" dxfId="1" priority="614"/>
  </conditionalFormatting>
  <conditionalFormatting sqref="B1843">
    <cfRule type="duplicateValues" dxfId="1" priority="617"/>
  </conditionalFormatting>
  <conditionalFormatting sqref="B1844">
    <cfRule type="duplicateValues" dxfId="1" priority="623"/>
  </conditionalFormatting>
  <conditionalFormatting sqref="B1845">
    <cfRule type="duplicateValues" dxfId="1" priority="622"/>
  </conditionalFormatting>
  <conditionalFormatting sqref="B1846">
    <cfRule type="duplicateValues" dxfId="1" priority="621"/>
  </conditionalFormatting>
  <conditionalFormatting sqref="B1847">
    <cfRule type="duplicateValues" dxfId="1" priority="620"/>
  </conditionalFormatting>
  <conditionalFormatting sqref="B1848">
    <cfRule type="duplicateValues" dxfId="1" priority="619"/>
  </conditionalFormatting>
  <conditionalFormatting sqref="B1849">
    <cfRule type="duplicateValues" dxfId="1" priority="618"/>
  </conditionalFormatting>
  <conditionalFormatting sqref="B1850">
    <cfRule type="duplicateValues" dxfId="1" priority="616"/>
  </conditionalFormatting>
  <conditionalFormatting sqref="C1852:D1852">
    <cfRule type="expression" dxfId="0" priority="612">
      <formula>$C$440-$C$417&gt;=0</formula>
    </cfRule>
  </conditionalFormatting>
  <conditionalFormatting sqref="B1859">
    <cfRule type="duplicateValues" dxfId="1" priority="603"/>
  </conditionalFormatting>
  <conditionalFormatting sqref="B1864">
    <cfRule type="duplicateValues" dxfId="1" priority="605"/>
  </conditionalFormatting>
  <conditionalFormatting sqref="B1865">
    <cfRule type="duplicateValues" dxfId="1" priority="611"/>
  </conditionalFormatting>
  <conditionalFormatting sqref="B1866">
    <cfRule type="duplicateValues" dxfId="1" priority="610"/>
  </conditionalFormatting>
  <conditionalFormatting sqref="B1867">
    <cfRule type="duplicateValues" dxfId="1" priority="609"/>
  </conditionalFormatting>
  <conditionalFormatting sqref="B1868">
    <cfRule type="duplicateValues" dxfId="1" priority="608"/>
  </conditionalFormatting>
  <conditionalFormatting sqref="B1869">
    <cfRule type="duplicateValues" dxfId="1" priority="607"/>
  </conditionalFormatting>
  <conditionalFormatting sqref="B1870">
    <cfRule type="duplicateValues" dxfId="1" priority="606"/>
  </conditionalFormatting>
  <conditionalFormatting sqref="B1871">
    <cfRule type="duplicateValues" dxfId="1" priority="604"/>
  </conditionalFormatting>
  <conditionalFormatting sqref="C1873:D1873">
    <cfRule type="expression" dxfId="0" priority="601">
      <formula>$C$452-$C$429&gt;=0</formula>
    </cfRule>
  </conditionalFormatting>
  <conditionalFormatting sqref="B1880">
    <cfRule type="duplicateValues" dxfId="1" priority="592"/>
  </conditionalFormatting>
  <conditionalFormatting sqref="B1885">
    <cfRule type="duplicateValues" dxfId="1" priority="594"/>
  </conditionalFormatting>
  <conditionalFormatting sqref="B1886">
    <cfRule type="duplicateValues" dxfId="1" priority="600"/>
  </conditionalFormatting>
  <conditionalFormatting sqref="B1887">
    <cfRule type="duplicateValues" dxfId="1" priority="599"/>
  </conditionalFormatting>
  <conditionalFormatting sqref="B1888">
    <cfRule type="duplicateValues" dxfId="1" priority="598"/>
  </conditionalFormatting>
  <conditionalFormatting sqref="B1889">
    <cfRule type="duplicateValues" dxfId="1" priority="597"/>
  </conditionalFormatting>
  <conditionalFormatting sqref="B1890">
    <cfRule type="duplicateValues" dxfId="1" priority="596"/>
  </conditionalFormatting>
  <conditionalFormatting sqref="B1891">
    <cfRule type="duplicateValues" dxfId="1" priority="595"/>
  </conditionalFormatting>
  <conditionalFormatting sqref="B1892">
    <cfRule type="duplicateValues" dxfId="1" priority="593"/>
  </conditionalFormatting>
  <conditionalFormatting sqref="C1894:D1894">
    <cfRule type="expression" dxfId="0" priority="577">
      <formula>$C$452-$C$429&gt;=0</formula>
    </cfRule>
  </conditionalFormatting>
  <conditionalFormatting sqref="B1901">
    <cfRule type="duplicateValues" dxfId="1" priority="568"/>
  </conditionalFormatting>
  <conditionalFormatting sqref="B1906">
    <cfRule type="duplicateValues" dxfId="1" priority="570"/>
  </conditionalFormatting>
  <conditionalFormatting sqref="B1907">
    <cfRule type="duplicateValues" dxfId="1" priority="576"/>
  </conditionalFormatting>
  <conditionalFormatting sqref="B1908">
    <cfRule type="duplicateValues" dxfId="1" priority="575"/>
  </conditionalFormatting>
  <conditionalFormatting sqref="B1909">
    <cfRule type="duplicateValues" dxfId="1" priority="574"/>
  </conditionalFormatting>
  <conditionalFormatting sqref="B1910">
    <cfRule type="duplicateValues" dxfId="1" priority="573"/>
  </conditionalFormatting>
  <conditionalFormatting sqref="B1911">
    <cfRule type="duplicateValues" dxfId="1" priority="572"/>
  </conditionalFormatting>
  <conditionalFormatting sqref="B1912">
    <cfRule type="duplicateValues" dxfId="1" priority="571"/>
  </conditionalFormatting>
  <conditionalFormatting sqref="B1913">
    <cfRule type="duplicateValues" dxfId="1" priority="569"/>
  </conditionalFormatting>
  <conditionalFormatting sqref="C1915:D1915">
    <cfRule type="expression" dxfId="0" priority="565">
      <formula>$C$452-$C$429&gt;=0</formula>
    </cfRule>
  </conditionalFormatting>
  <conditionalFormatting sqref="B1922">
    <cfRule type="duplicateValues" dxfId="1" priority="556"/>
  </conditionalFormatting>
  <conditionalFormatting sqref="B1927">
    <cfRule type="duplicateValues" dxfId="1" priority="558"/>
  </conditionalFormatting>
  <conditionalFormatting sqref="B1928">
    <cfRule type="duplicateValues" dxfId="1" priority="564"/>
  </conditionalFormatting>
  <conditionalFormatting sqref="B1929">
    <cfRule type="duplicateValues" dxfId="1" priority="563"/>
  </conditionalFormatting>
  <conditionalFormatting sqref="B1930">
    <cfRule type="duplicateValues" dxfId="1" priority="562"/>
  </conditionalFormatting>
  <conditionalFormatting sqref="B1931">
    <cfRule type="duplicateValues" dxfId="1" priority="561"/>
  </conditionalFormatting>
  <conditionalFormatting sqref="B1932">
    <cfRule type="duplicateValues" dxfId="1" priority="560"/>
  </conditionalFormatting>
  <conditionalFormatting sqref="B1933">
    <cfRule type="duplicateValues" dxfId="1" priority="559"/>
  </conditionalFormatting>
  <conditionalFormatting sqref="B1934">
    <cfRule type="duplicateValues" dxfId="1" priority="557"/>
  </conditionalFormatting>
  <conditionalFormatting sqref="C1936:D1936">
    <cfRule type="expression" dxfId="0" priority="553">
      <formula>$C$452-$C$429&gt;=0</formula>
    </cfRule>
  </conditionalFormatting>
  <conditionalFormatting sqref="B1943">
    <cfRule type="duplicateValues" dxfId="1" priority="544"/>
  </conditionalFormatting>
  <conditionalFormatting sqref="B1948">
    <cfRule type="duplicateValues" dxfId="1" priority="546"/>
  </conditionalFormatting>
  <conditionalFormatting sqref="B1949">
    <cfRule type="duplicateValues" dxfId="1" priority="552"/>
  </conditionalFormatting>
  <conditionalFormatting sqref="B1950">
    <cfRule type="duplicateValues" dxfId="1" priority="551"/>
  </conditionalFormatting>
  <conditionalFormatting sqref="B1951">
    <cfRule type="duplicateValues" dxfId="1" priority="550"/>
  </conditionalFormatting>
  <conditionalFormatting sqref="B1952">
    <cfRule type="duplicateValues" dxfId="1" priority="549"/>
  </conditionalFormatting>
  <conditionalFormatting sqref="B1953">
    <cfRule type="duplicateValues" dxfId="1" priority="548"/>
  </conditionalFormatting>
  <conditionalFormatting sqref="B1954">
    <cfRule type="duplicateValues" dxfId="1" priority="547"/>
  </conditionalFormatting>
  <conditionalFormatting sqref="B1955">
    <cfRule type="duplicateValues" dxfId="1" priority="545"/>
  </conditionalFormatting>
  <conditionalFormatting sqref="C1957:D1957">
    <cfRule type="expression" dxfId="0" priority="541">
      <formula>$C$449-$C$426&gt;=0</formula>
    </cfRule>
  </conditionalFormatting>
  <conditionalFormatting sqref="B1964">
    <cfRule type="duplicateValues" dxfId="1" priority="532"/>
  </conditionalFormatting>
  <conditionalFormatting sqref="B1969">
    <cfRule type="duplicateValues" dxfId="1" priority="534"/>
  </conditionalFormatting>
  <conditionalFormatting sqref="B1970">
    <cfRule type="duplicateValues" dxfId="1" priority="540"/>
  </conditionalFormatting>
  <conditionalFormatting sqref="B1971">
    <cfRule type="duplicateValues" dxfId="1" priority="539"/>
  </conditionalFormatting>
  <conditionalFormatting sqref="B1972">
    <cfRule type="duplicateValues" dxfId="1" priority="538"/>
  </conditionalFormatting>
  <conditionalFormatting sqref="B1973">
    <cfRule type="duplicateValues" dxfId="1" priority="537"/>
  </conditionalFormatting>
  <conditionalFormatting sqref="B1974">
    <cfRule type="duplicateValues" dxfId="1" priority="536"/>
  </conditionalFormatting>
  <conditionalFormatting sqref="B1975">
    <cfRule type="duplicateValues" dxfId="1" priority="535"/>
  </conditionalFormatting>
  <conditionalFormatting sqref="B1976">
    <cfRule type="duplicateValues" dxfId="1" priority="533"/>
  </conditionalFormatting>
  <conditionalFormatting sqref="C1978:D1978">
    <cfRule type="expression" dxfId="0" priority="529">
      <formula>$C$449-$C$426&gt;=0</formula>
    </cfRule>
  </conditionalFormatting>
  <conditionalFormatting sqref="B1985">
    <cfRule type="duplicateValues" dxfId="1" priority="520"/>
  </conditionalFormatting>
  <conditionalFormatting sqref="B1990">
    <cfRule type="duplicateValues" dxfId="1" priority="522"/>
  </conditionalFormatting>
  <conditionalFormatting sqref="B1991">
    <cfRule type="duplicateValues" dxfId="1" priority="528"/>
  </conditionalFormatting>
  <conditionalFormatting sqref="B1992">
    <cfRule type="duplicateValues" dxfId="1" priority="527"/>
  </conditionalFormatting>
  <conditionalFormatting sqref="B1993">
    <cfRule type="duplicateValues" dxfId="1" priority="526"/>
  </conditionalFormatting>
  <conditionalFormatting sqref="B1994">
    <cfRule type="duplicateValues" dxfId="1" priority="525"/>
  </conditionalFormatting>
  <conditionalFormatting sqref="B1995">
    <cfRule type="duplicateValues" dxfId="1" priority="524"/>
  </conditionalFormatting>
  <conditionalFormatting sqref="B1996">
    <cfRule type="duplicateValues" dxfId="1" priority="523"/>
  </conditionalFormatting>
  <conditionalFormatting sqref="B1997">
    <cfRule type="duplicateValues" dxfId="1" priority="521"/>
  </conditionalFormatting>
  <conditionalFormatting sqref="C1999:D1999">
    <cfRule type="expression" dxfId="0" priority="517">
      <formula>$C$452-$C$429&gt;=0</formula>
    </cfRule>
  </conditionalFormatting>
  <conditionalFormatting sqref="B2006">
    <cfRule type="duplicateValues" dxfId="1" priority="508"/>
  </conditionalFormatting>
  <conditionalFormatting sqref="B2011">
    <cfRule type="duplicateValues" dxfId="1" priority="510"/>
  </conditionalFormatting>
  <conditionalFormatting sqref="B2012">
    <cfRule type="duplicateValues" dxfId="1" priority="516"/>
  </conditionalFormatting>
  <conditionalFormatting sqref="B2013">
    <cfRule type="duplicateValues" dxfId="1" priority="515"/>
  </conditionalFormatting>
  <conditionalFormatting sqref="B2014">
    <cfRule type="duplicateValues" dxfId="1" priority="514"/>
  </conditionalFormatting>
  <conditionalFormatting sqref="B2015">
    <cfRule type="duplicateValues" dxfId="1" priority="513"/>
  </conditionalFormatting>
  <conditionalFormatting sqref="B2016">
    <cfRule type="duplicateValues" dxfId="1" priority="512"/>
  </conditionalFormatting>
  <conditionalFormatting sqref="B2017">
    <cfRule type="duplicateValues" dxfId="1" priority="511"/>
  </conditionalFormatting>
  <conditionalFormatting sqref="B2018">
    <cfRule type="duplicateValues" dxfId="1" priority="509"/>
  </conditionalFormatting>
  <conditionalFormatting sqref="C2020:D2020">
    <cfRule type="expression" dxfId="0" priority="505">
      <formula>$C$451-$C$428&gt;=0</formula>
    </cfRule>
  </conditionalFormatting>
  <conditionalFormatting sqref="B2027">
    <cfRule type="duplicateValues" dxfId="1" priority="496"/>
  </conditionalFormatting>
  <conditionalFormatting sqref="B2032">
    <cfRule type="duplicateValues" dxfId="1" priority="498"/>
  </conditionalFormatting>
  <conditionalFormatting sqref="B2033">
    <cfRule type="duplicateValues" dxfId="1" priority="504"/>
  </conditionalFormatting>
  <conditionalFormatting sqref="B2034">
    <cfRule type="duplicateValues" dxfId="1" priority="503"/>
  </conditionalFormatting>
  <conditionalFormatting sqref="B2035">
    <cfRule type="duplicateValues" dxfId="1" priority="502"/>
  </conditionalFormatting>
  <conditionalFormatting sqref="B2036">
    <cfRule type="duplicateValues" dxfId="1" priority="501"/>
  </conditionalFormatting>
  <conditionalFormatting sqref="B2037">
    <cfRule type="duplicateValues" dxfId="1" priority="500"/>
  </conditionalFormatting>
  <conditionalFormatting sqref="B2038">
    <cfRule type="duplicateValues" dxfId="1" priority="499"/>
  </conditionalFormatting>
  <conditionalFormatting sqref="B2039">
    <cfRule type="duplicateValues" dxfId="1" priority="497"/>
  </conditionalFormatting>
  <conditionalFormatting sqref="C2041:D2041">
    <cfRule type="expression" dxfId="0" priority="493">
      <formula>$C$452-$C$429&gt;=0</formula>
    </cfRule>
  </conditionalFormatting>
  <conditionalFormatting sqref="B2048">
    <cfRule type="duplicateValues" dxfId="1" priority="484"/>
  </conditionalFormatting>
  <conditionalFormatting sqref="B2053">
    <cfRule type="duplicateValues" dxfId="1" priority="486"/>
  </conditionalFormatting>
  <conditionalFormatting sqref="B2054">
    <cfRule type="duplicateValues" dxfId="1" priority="492"/>
  </conditionalFormatting>
  <conditionalFormatting sqref="B2055">
    <cfRule type="duplicateValues" dxfId="1" priority="491"/>
  </conditionalFormatting>
  <conditionalFormatting sqref="B2056">
    <cfRule type="duplicateValues" dxfId="1" priority="490"/>
  </conditionalFormatting>
  <conditionalFormatting sqref="B2057">
    <cfRule type="duplicateValues" dxfId="1" priority="489"/>
  </conditionalFormatting>
  <conditionalFormatting sqref="B2058">
    <cfRule type="duplicateValues" dxfId="1" priority="488"/>
  </conditionalFormatting>
  <conditionalFormatting sqref="B2059">
    <cfRule type="duplicateValues" dxfId="1" priority="487"/>
  </conditionalFormatting>
  <conditionalFormatting sqref="B2060">
    <cfRule type="duplicateValues" dxfId="1" priority="485"/>
  </conditionalFormatting>
  <conditionalFormatting sqref="C2062:D2062">
    <cfRule type="expression" dxfId="0" priority="481">
      <formula>$C$450-$C$427&gt;=0</formula>
    </cfRule>
  </conditionalFormatting>
  <conditionalFormatting sqref="B2069">
    <cfRule type="duplicateValues" dxfId="1" priority="472"/>
  </conditionalFormatting>
  <conditionalFormatting sqref="B2074">
    <cfRule type="duplicateValues" dxfId="1" priority="474"/>
  </conditionalFormatting>
  <conditionalFormatting sqref="B2075">
    <cfRule type="duplicateValues" dxfId="1" priority="480"/>
  </conditionalFormatting>
  <conditionalFormatting sqref="B2076">
    <cfRule type="duplicateValues" dxfId="1" priority="479"/>
  </conditionalFormatting>
  <conditionalFormatting sqref="B2077">
    <cfRule type="duplicateValues" dxfId="1" priority="478"/>
  </conditionalFormatting>
  <conditionalFormatting sqref="B2078">
    <cfRule type="duplicateValues" dxfId="1" priority="477"/>
  </conditionalFormatting>
  <conditionalFormatting sqref="B2079">
    <cfRule type="duplicateValues" dxfId="1" priority="476"/>
  </conditionalFormatting>
  <conditionalFormatting sqref="B2080">
    <cfRule type="duplicateValues" dxfId="1" priority="475"/>
  </conditionalFormatting>
  <conditionalFormatting sqref="B2081">
    <cfRule type="duplicateValues" dxfId="1" priority="473"/>
  </conditionalFormatting>
  <conditionalFormatting sqref="C2083:D2083">
    <cfRule type="expression" dxfId="0" priority="469">
      <formula>$C$450-$C$427&gt;=0</formula>
    </cfRule>
  </conditionalFormatting>
  <conditionalFormatting sqref="B2090">
    <cfRule type="duplicateValues" dxfId="1" priority="460"/>
  </conditionalFormatting>
  <conditionalFormatting sqref="B2095">
    <cfRule type="duplicateValues" dxfId="1" priority="462"/>
  </conditionalFormatting>
  <conditionalFormatting sqref="B2096">
    <cfRule type="duplicateValues" dxfId="1" priority="468"/>
  </conditionalFormatting>
  <conditionalFormatting sqref="B2097">
    <cfRule type="duplicateValues" dxfId="1" priority="467"/>
  </conditionalFormatting>
  <conditionalFormatting sqref="B2098">
    <cfRule type="duplicateValues" dxfId="1" priority="466"/>
  </conditionalFormatting>
  <conditionalFormatting sqref="B2099">
    <cfRule type="duplicateValues" dxfId="1" priority="465"/>
  </conditionalFormatting>
  <conditionalFormatting sqref="B2100">
    <cfRule type="duplicateValues" dxfId="1" priority="464"/>
  </conditionalFormatting>
  <conditionalFormatting sqref="B2101">
    <cfRule type="duplicateValues" dxfId="1" priority="463"/>
  </conditionalFormatting>
  <conditionalFormatting sqref="B2102">
    <cfRule type="duplicateValues" dxfId="1" priority="461"/>
  </conditionalFormatting>
  <conditionalFormatting sqref="C2104:D2104">
    <cfRule type="expression" dxfId="0" priority="457">
      <formula>$C$449-$C$426&gt;=0</formula>
    </cfRule>
  </conditionalFormatting>
  <conditionalFormatting sqref="B2111">
    <cfRule type="duplicateValues" dxfId="1" priority="448"/>
  </conditionalFormatting>
  <conditionalFormatting sqref="B2116">
    <cfRule type="duplicateValues" dxfId="1" priority="450"/>
  </conditionalFormatting>
  <conditionalFormatting sqref="B2117">
    <cfRule type="duplicateValues" dxfId="1" priority="456"/>
  </conditionalFormatting>
  <conditionalFormatting sqref="B2118">
    <cfRule type="duplicateValues" dxfId="1" priority="455"/>
  </conditionalFormatting>
  <conditionalFormatting sqref="B2119">
    <cfRule type="duplicateValues" dxfId="1" priority="454"/>
  </conditionalFormatting>
  <conditionalFormatting sqref="B2120">
    <cfRule type="duplicateValues" dxfId="1" priority="453"/>
  </conditionalFormatting>
  <conditionalFormatting sqref="B2121">
    <cfRule type="duplicateValues" dxfId="1" priority="452"/>
  </conditionalFormatting>
  <conditionalFormatting sqref="B2122">
    <cfRule type="duplicateValues" dxfId="1" priority="451"/>
  </conditionalFormatting>
  <conditionalFormatting sqref="B2123">
    <cfRule type="duplicateValues" dxfId="1" priority="449"/>
  </conditionalFormatting>
  <conditionalFormatting sqref="C2125:D2125">
    <cfRule type="expression" dxfId="0" priority="445">
      <formula>$C$452-$C$429&gt;=0</formula>
    </cfRule>
  </conditionalFormatting>
  <conditionalFormatting sqref="B2132">
    <cfRule type="duplicateValues" dxfId="1" priority="436"/>
  </conditionalFormatting>
  <conditionalFormatting sqref="B2137">
    <cfRule type="duplicateValues" dxfId="1" priority="438"/>
  </conditionalFormatting>
  <conditionalFormatting sqref="B2138">
    <cfRule type="duplicateValues" dxfId="1" priority="444"/>
  </conditionalFormatting>
  <conditionalFormatting sqref="B2139">
    <cfRule type="duplicateValues" dxfId="1" priority="443"/>
  </conditionalFormatting>
  <conditionalFormatting sqref="B2140">
    <cfRule type="duplicateValues" dxfId="1" priority="442"/>
  </conditionalFormatting>
  <conditionalFormatting sqref="B2141">
    <cfRule type="duplicateValues" dxfId="1" priority="441"/>
  </conditionalFormatting>
  <conditionalFormatting sqref="B2142">
    <cfRule type="duplicateValues" dxfId="1" priority="440"/>
  </conditionalFormatting>
  <conditionalFormatting sqref="B2143">
    <cfRule type="duplicateValues" dxfId="1" priority="439"/>
  </conditionalFormatting>
  <conditionalFormatting sqref="B2144">
    <cfRule type="duplicateValues" dxfId="1" priority="437"/>
  </conditionalFormatting>
  <conditionalFormatting sqref="C2146:D2146">
    <cfRule type="expression" dxfId="0" priority="433">
      <formula>$C$446-$C$423&gt;=0</formula>
    </cfRule>
  </conditionalFormatting>
  <conditionalFormatting sqref="B2153">
    <cfRule type="duplicateValues" dxfId="1" priority="424"/>
  </conditionalFormatting>
  <conditionalFormatting sqref="B2158">
    <cfRule type="duplicateValues" dxfId="1" priority="426"/>
  </conditionalFormatting>
  <conditionalFormatting sqref="B2159">
    <cfRule type="duplicateValues" dxfId="1" priority="432"/>
  </conditionalFormatting>
  <conditionalFormatting sqref="B2160">
    <cfRule type="duplicateValues" dxfId="1" priority="431"/>
  </conditionalFormatting>
  <conditionalFormatting sqref="B2161">
    <cfRule type="duplicateValues" dxfId="1" priority="430"/>
  </conditionalFormatting>
  <conditionalFormatting sqref="B2162">
    <cfRule type="duplicateValues" dxfId="1" priority="429"/>
  </conditionalFormatting>
  <conditionalFormatting sqref="B2163">
    <cfRule type="duplicateValues" dxfId="1" priority="428"/>
  </conditionalFormatting>
  <conditionalFormatting sqref="B2164">
    <cfRule type="duplicateValues" dxfId="1" priority="427"/>
  </conditionalFormatting>
  <conditionalFormatting sqref="B2165">
    <cfRule type="duplicateValues" dxfId="1" priority="425"/>
  </conditionalFormatting>
  <conditionalFormatting sqref="C2167:D2167">
    <cfRule type="expression" dxfId="0" priority="409">
      <formula>$C$452-$C$429&gt;=0</formula>
    </cfRule>
  </conditionalFormatting>
  <conditionalFormatting sqref="B2174">
    <cfRule type="duplicateValues" dxfId="1" priority="400"/>
  </conditionalFormatting>
  <conditionalFormatting sqref="B2179">
    <cfRule type="duplicateValues" dxfId="1" priority="402"/>
  </conditionalFormatting>
  <conditionalFormatting sqref="B2180">
    <cfRule type="duplicateValues" dxfId="1" priority="408"/>
  </conditionalFormatting>
  <conditionalFormatting sqref="B2181">
    <cfRule type="duplicateValues" dxfId="1" priority="407"/>
  </conditionalFormatting>
  <conditionalFormatting sqref="B2182">
    <cfRule type="duplicateValues" dxfId="1" priority="406"/>
  </conditionalFormatting>
  <conditionalFormatting sqref="B2183">
    <cfRule type="duplicateValues" dxfId="1" priority="405"/>
  </conditionalFormatting>
  <conditionalFormatting sqref="B2184">
    <cfRule type="duplicateValues" dxfId="1" priority="404"/>
  </conditionalFormatting>
  <conditionalFormatting sqref="B2185">
    <cfRule type="duplicateValues" dxfId="1" priority="403"/>
  </conditionalFormatting>
  <conditionalFormatting sqref="B2186">
    <cfRule type="duplicateValues" dxfId="1" priority="401"/>
  </conditionalFormatting>
  <conditionalFormatting sqref="C2188:D2188">
    <cfRule type="expression" dxfId="0" priority="397">
      <formula>$C$450-$C$427&gt;=0</formula>
    </cfRule>
  </conditionalFormatting>
  <conditionalFormatting sqref="B2195">
    <cfRule type="duplicateValues" dxfId="1" priority="388"/>
  </conditionalFormatting>
  <conditionalFormatting sqref="B2200">
    <cfRule type="duplicateValues" dxfId="1" priority="390"/>
  </conditionalFormatting>
  <conditionalFormatting sqref="B2201">
    <cfRule type="duplicateValues" dxfId="1" priority="396"/>
  </conditionalFormatting>
  <conditionalFormatting sqref="B2202">
    <cfRule type="duplicateValues" dxfId="1" priority="395"/>
  </conditionalFormatting>
  <conditionalFormatting sqref="B2203">
    <cfRule type="duplicateValues" dxfId="1" priority="394"/>
  </conditionalFormatting>
  <conditionalFormatting sqref="B2204">
    <cfRule type="duplicateValues" dxfId="1" priority="393"/>
  </conditionalFormatting>
  <conditionalFormatting sqref="B2205">
    <cfRule type="duplicateValues" dxfId="1" priority="392"/>
  </conditionalFormatting>
  <conditionalFormatting sqref="B2206">
    <cfRule type="duplicateValues" dxfId="1" priority="391"/>
  </conditionalFormatting>
  <conditionalFormatting sqref="B2207">
    <cfRule type="duplicateValues" dxfId="1" priority="389"/>
  </conditionalFormatting>
  <conditionalFormatting sqref="C2209:D2209">
    <cfRule type="expression" dxfId="0" priority="385">
      <formula>$C$450-$C$427&gt;=0</formula>
    </cfRule>
  </conditionalFormatting>
  <conditionalFormatting sqref="B2216">
    <cfRule type="duplicateValues" dxfId="1" priority="376"/>
  </conditionalFormatting>
  <conditionalFormatting sqref="B2221">
    <cfRule type="duplicateValues" dxfId="1" priority="378"/>
  </conditionalFormatting>
  <conditionalFormatting sqref="B2222">
    <cfRule type="duplicateValues" dxfId="1" priority="384"/>
  </conditionalFormatting>
  <conditionalFormatting sqref="B2223">
    <cfRule type="duplicateValues" dxfId="1" priority="383"/>
  </conditionalFormatting>
  <conditionalFormatting sqref="B2224">
    <cfRule type="duplicateValues" dxfId="1" priority="382"/>
  </conditionalFormatting>
  <conditionalFormatting sqref="B2225">
    <cfRule type="duplicateValues" dxfId="1" priority="381"/>
  </conditionalFormatting>
  <conditionalFormatting sqref="B2226">
    <cfRule type="duplicateValues" dxfId="1" priority="380"/>
  </conditionalFormatting>
  <conditionalFormatting sqref="B2227">
    <cfRule type="duplicateValues" dxfId="1" priority="379"/>
  </conditionalFormatting>
  <conditionalFormatting sqref="B2228">
    <cfRule type="duplicateValues" dxfId="1" priority="377"/>
  </conditionalFormatting>
  <conditionalFormatting sqref="C2230:D2230">
    <cfRule type="expression" dxfId="0" priority="373">
      <formula>$C$449-$C$426&gt;=0</formula>
    </cfRule>
  </conditionalFormatting>
  <conditionalFormatting sqref="B2237">
    <cfRule type="duplicateValues" dxfId="1" priority="364"/>
  </conditionalFormatting>
  <conditionalFormatting sqref="B2242">
    <cfRule type="duplicateValues" dxfId="1" priority="366"/>
  </conditionalFormatting>
  <conditionalFormatting sqref="B2243">
    <cfRule type="duplicateValues" dxfId="1" priority="372"/>
  </conditionalFormatting>
  <conditionalFormatting sqref="B2244">
    <cfRule type="duplicateValues" dxfId="1" priority="371"/>
  </conditionalFormatting>
  <conditionalFormatting sqref="B2245">
    <cfRule type="duplicateValues" dxfId="1" priority="370"/>
  </conditionalFormatting>
  <conditionalFormatting sqref="B2246">
    <cfRule type="duplicateValues" dxfId="1" priority="369"/>
  </conditionalFormatting>
  <conditionalFormatting sqref="B2247">
    <cfRule type="duplicateValues" dxfId="1" priority="368"/>
  </conditionalFormatting>
  <conditionalFormatting sqref="B2248">
    <cfRule type="duplicateValues" dxfId="1" priority="367"/>
  </conditionalFormatting>
  <conditionalFormatting sqref="B2249">
    <cfRule type="duplicateValues" dxfId="1" priority="365"/>
  </conditionalFormatting>
  <conditionalFormatting sqref="C2251:D2251">
    <cfRule type="expression" dxfId="0" priority="361">
      <formula>$C$449-$C$426&gt;=0</formula>
    </cfRule>
  </conditionalFormatting>
  <conditionalFormatting sqref="B2258">
    <cfRule type="duplicateValues" dxfId="1" priority="352"/>
  </conditionalFormatting>
  <conditionalFormatting sqref="B2263">
    <cfRule type="duplicateValues" dxfId="1" priority="354"/>
  </conditionalFormatting>
  <conditionalFormatting sqref="B2264">
    <cfRule type="duplicateValues" dxfId="1" priority="360"/>
  </conditionalFormatting>
  <conditionalFormatting sqref="B2265">
    <cfRule type="duplicateValues" dxfId="1" priority="359"/>
  </conditionalFormatting>
  <conditionalFormatting sqref="B2266">
    <cfRule type="duplicateValues" dxfId="1" priority="358"/>
  </conditionalFormatting>
  <conditionalFormatting sqref="B2267">
    <cfRule type="duplicateValues" dxfId="1" priority="357"/>
  </conditionalFormatting>
  <conditionalFormatting sqref="B2268">
    <cfRule type="duplicateValues" dxfId="1" priority="356"/>
  </conditionalFormatting>
  <conditionalFormatting sqref="B2269">
    <cfRule type="duplicateValues" dxfId="1" priority="355"/>
  </conditionalFormatting>
  <conditionalFormatting sqref="B2270">
    <cfRule type="duplicateValues" dxfId="1" priority="353"/>
  </conditionalFormatting>
  <conditionalFormatting sqref="C2272:D2272">
    <cfRule type="expression" dxfId="0" priority="349">
      <formula>$C$452-$C$429&gt;=0</formula>
    </cfRule>
  </conditionalFormatting>
  <conditionalFormatting sqref="B2279">
    <cfRule type="duplicateValues" dxfId="1" priority="340"/>
  </conditionalFormatting>
  <conditionalFormatting sqref="B2284">
    <cfRule type="duplicateValues" dxfId="1" priority="342"/>
  </conditionalFormatting>
  <conditionalFormatting sqref="B2285">
    <cfRule type="duplicateValues" dxfId="1" priority="348"/>
  </conditionalFormatting>
  <conditionalFormatting sqref="B2286">
    <cfRule type="duplicateValues" dxfId="1" priority="347"/>
  </conditionalFormatting>
  <conditionalFormatting sqref="B2287">
    <cfRule type="duplicateValues" dxfId="1" priority="346"/>
  </conditionalFormatting>
  <conditionalFormatting sqref="B2288">
    <cfRule type="duplicateValues" dxfId="1" priority="345"/>
  </conditionalFormatting>
  <conditionalFormatting sqref="B2289">
    <cfRule type="duplicateValues" dxfId="1" priority="344"/>
  </conditionalFormatting>
  <conditionalFormatting sqref="B2290">
    <cfRule type="duplicateValues" dxfId="1" priority="343"/>
  </conditionalFormatting>
  <conditionalFormatting sqref="B2291">
    <cfRule type="duplicateValues" dxfId="1" priority="341"/>
  </conditionalFormatting>
  <conditionalFormatting sqref="C2293:D2293">
    <cfRule type="expression" dxfId="0" priority="337">
      <formula>$C$452-$C$429&gt;=0</formula>
    </cfRule>
  </conditionalFormatting>
  <conditionalFormatting sqref="B2300">
    <cfRule type="duplicateValues" dxfId="1" priority="328"/>
  </conditionalFormatting>
  <conditionalFormatting sqref="B2305">
    <cfRule type="duplicateValues" dxfId="1" priority="330"/>
  </conditionalFormatting>
  <conditionalFormatting sqref="B2306">
    <cfRule type="duplicateValues" dxfId="1" priority="336"/>
  </conditionalFormatting>
  <conditionalFormatting sqref="B2307">
    <cfRule type="duplicateValues" dxfId="1" priority="335"/>
  </conditionalFormatting>
  <conditionalFormatting sqref="B2308">
    <cfRule type="duplicateValues" dxfId="1" priority="334"/>
  </conditionalFormatting>
  <conditionalFormatting sqref="B2309">
    <cfRule type="duplicateValues" dxfId="1" priority="333"/>
  </conditionalFormatting>
  <conditionalFormatting sqref="B2310">
    <cfRule type="duplicateValues" dxfId="1" priority="332"/>
  </conditionalFormatting>
  <conditionalFormatting sqref="B2311">
    <cfRule type="duplicateValues" dxfId="1" priority="331"/>
  </conditionalFormatting>
  <conditionalFormatting sqref="B2312">
    <cfRule type="duplicateValues" dxfId="1" priority="329"/>
  </conditionalFormatting>
  <conditionalFormatting sqref="C2314:D2314">
    <cfRule type="expression" dxfId="0" priority="325">
      <formula>$C$447-$C$424&gt;=0</formula>
    </cfRule>
  </conditionalFormatting>
  <conditionalFormatting sqref="B2321">
    <cfRule type="duplicateValues" dxfId="1" priority="316"/>
  </conditionalFormatting>
  <conditionalFormatting sqref="B2326">
    <cfRule type="duplicateValues" dxfId="1" priority="318"/>
  </conditionalFormatting>
  <conditionalFormatting sqref="B2327">
    <cfRule type="duplicateValues" dxfId="1" priority="324"/>
  </conditionalFormatting>
  <conditionalFormatting sqref="B2328">
    <cfRule type="duplicateValues" dxfId="1" priority="323"/>
  </conditionalFormatting>
  <conditionalFormatting sqref="B2329">
    <cfRule type="duplicateValues" dxfId="1" priority="322"/>
  </conditionalFormatting>
  <conditionalFormatting sqref="B2330">
    <cfRule type="duplicateValues" dxfId="1" priority="321"/>
  </conditionalFormatting>
  <conditionalFormatting sqref="B2331">
    <cfRule type="duplicateValues" dxfId="1" priority="320"/>
  </conditionalFormatting>
  <conditionalFormatting sqref="B2332">
    <cfRule type="duplicateValues" dxfId="1" priority="319"/>
  </conditionalFormatting>
  <conditionalFormatting sqref="B2333">
    <cfRule type="duplicateValues" dxfId="1" priority="317"/>
  </conditionalFormatting>
  <conditionalFormatting sqref="C2335:D2335">
    <cfRule type="expression" dxfId="0" priority="313">
      <formula>$C$452-$C$429&gt;=0</formula>
    </cfRule>
  </conditionalFormatting>
  <conditionalFormatting sqref="B2342">
    <cfRule type="duplicateValues" dxfId="1" priority="304"/>
  </conditionalFormatting>
  <conditionalFormatting sqref="B2347">
    <cfRule type="duplicateValues" dxfId="1" priority="306"/>
  </conditionalFormatting>
  <conditionalFormatting sqref="B2348">
    <cfRule type="duplicateValues" dxfId="1" priority="312"/>
  </conditionalFormatting>
  <conditionalFormatting sqref="B2349">
    <cfRule type="duplicateValues" dxfId="1" priority="311"/>
  </conditionalFormatting>
  <conditionalFormatting sqref="B2350">
    <cfRule type="duplicateValues" dxfId="1" priority="310"/>
  </conditionalFormatting>
  <conditionalFormatting sqref="B2351">
    <cfRule type="duplicateValues" dxfId="1" priority="309"/>
  </conditionalFormatting>
  <conditionalFormatting sqref="B2352">
    <cfRule type="duplicateValues" dxfId="1" priority="308"/>
  </conditionalFormatting>
  <conditionalFormatting sqref="B2353">
    <cfRule type="duplicateValues" dxfId="1" priority="307"/>
  </conditionalFormatting>
  <conditionalFormatting sqref="B2354">
    <cfRule type="duplicateValues" dxfId="1" priority="305"/>
  </conditionalFormatting>
  <conditionalFormatting sqref="C2356:D2356">
    <cfRule type="expression" dxfId="0" priority="301">
      <formula>$C$443-$C$420&gt;=0</formula>
    </cfRule>
  </conditionalFormatting>
  <conditionalFormatting sqref="B2363">
    <cfRule type="duplicateValues" dxfId="1" priority="292"/>
  </conditionalFormatting>
  <conditionalFormatting sqref="B2368">
    <cfRule type="duplicateValues" dxfId="1" priority="294"/>
  </conditionalFormatting>
  <conditionalFormatting sqref="B2369">
    <cfRule type="duplicateValues" dxfId="1" priority="300"/>
  </conditionalFormatting>
  <conditionalFormatting sqref="B2370">
    <cfRule type="duplicateValues" dxfId="1" priority="299"/>
  </conditionalFormatting>
  <conditionalFormatting sqref="B2371">
    <cfRule type="duplicateValues" dxfId="1" priority="298"/>
  </conditionalFormatting>
  <conditionalFormatting sqref="B2372">
    <cfRule type="duplicateValues" dxfId="1" priority="297"/>
  </conditionalFormatting>
  <conditionalFormatting sqref="B2373">
    <cfRule type="duplicateValues" dxfId="1" priority="296"/>
  </conditionalFormatting>
  <conditionalFormatting sqref="B2374">
    <cfRule type="duplicateValues" dxfId="1" priority="295"/>
  </conditionalFormatting>
  <conditionalFormatting sqref="B2375">
    <cfRule type="duplicateValues" dxfId="1" priority="293"/>
  </conditionalFormatting>
  <conditionalFormatting sqref="C2377:D2377">
    <cfRule type="expression" dxfId="0" priority="289">
      <formula>$C$443-$C$420&gt;=0</formula>
    </cfRule>
  </conditionalFormatting>
  <conditionalFormatting sqref="B2384">
    <cfRule type="duplicateValues" dxfId="1" priority="280"/>
  </conditionalFormatting>
  <conditionalFormatting sqref="B2389">
    <cfRule type="duplicateValues" dxfId="1" priority="282"/>
  </conditionalFormatting>
  <conditionalFormatting sqref="B2390">
    <cfRule type="duplicateValues" dxfId="1" priority="288"/>
  </conditionalFormatting>
  <conditionalFormatting sqref="B2391">
    <cfRule type="duplicateValues" dxfId="1" priority="287"/>
  </conditionalFormatting>
  <conditionalFormatting sqref="B2392">
    <cfRule type="duplicateValues" dxfId="1" priority="286"/>
  </conditionalFormatting>
  <conditionalFormatting sqref="B2393">
    <cfRule type="duplicateValues" dxfId="1" priority="285"/>
  </conditionalFormatting>
  <conditionalFormatting sqref="B2394">
    <cfRule type="duplicateValues" dxfId="1" priority="284"/>
  </conditionalFormatting>
  <conditionalFormatting sqref="B2395">
    <cfRule type="duplicateValues" dxfId="1" priority="283"/>
  </conditionalFormatting>
  <conditionalFormatting sqref="B2396">
    <cfRule type="duplicateValues" dxfId="1" priority="281"/>
  </conditionalFormatting>
  <conditionalFormatting sqref="C2398:D2398">
    <cfRule type="expression" dxfId="0" priority="277">
      <formula>$C$452-$C$429&gt;=0</formula>
    </cfRule>
  </conditionalFormatting>
  <conditionalFormatting sqref="B2405">
    <cfRule type="duplicateValues" dxfId="1" priority="268"/>
  </conditionalFormatting>
  <conditionalFormatting sqref="B2410">
    <cfRule type="duplicateValues" dxfId="1" priority="270"/>
  </conditionalFormatting>
  <conditionalFormatting sqref="B2411">
    <cfRule type="duplicateValues" dxfId="1" priority="276"/>
  </conditionalFormatting>
  <conditionalFormatting sqref="B2412">
    <cfRule type="duplicateValues" dxfId="1" priority="275"/>
  </conditionalFormatting>
  <conditionalFormatting sqref="B2413">
    <cfRule type="duplicateValues" dxfId="1" priority="274"/>
  </conditionalFormatting>
  <conditionalFormatting sqref="B2414">
    <cfRule type="duplicateValues" dxfId="1" priority="273"/>
  </conditionalFormatting>
  <conditionalFormatting sqref="B2415">
    <cfRule type="duplicateValues" dxfId="1" priority="272"/>
  </conditionalFormatting>
  <conditionalFormatting sqref="B2416">
    <cfRule type="duplicateValues" dxfId="1" priority="271"/>
  </conditionalFormatting>
  <conditionalFormatting sqref="B2417">
    <cfRule type="duplicateValues" dxfId="1" priority="269"/>
  </conditionalFormatting>
  <conditionalFormatting sqref="C2419:D2419">
    <cfRule type="expression" dxfId="0" priority="265">
      <formula>$C$452-$C$429&gt;=0</formula>
    </cfRule>
  </conditionalFormatting>
  <conditionalFormatting sqref="B2426">
    <cfRule type="duplicateValues" dxfId="1" priority="256"/>
  </conditionalFormatting>
  <conditionalFormatting sqref="B2431">
    <cfRule type="duplicateValues" dxfId="1" priority="258"/>
  </conditionalFormatting>
  <conditionalFormatting sqref="B2432">
    <cfRule type="duplicateValues" dxfId="1" priority="264"/>
  </conditionalFormatting>
  <conditionalFormatting sqref="B2433">
    <cfRule type="duplicateValues" dxfId="1" priority="263"/>
  </conditionalFormatting>
  <conditionalFormatting sqref="B2434">
    <cfRule type="duplicateValues" dxfId="1" priority="262"/>
  </conditionalFormatting>
  <conditionalFormatting sqref="B2435">
    <cfRule type="duplicateValues" dxfId="1" priority="261"/>
  </conditionalFormatting>
  <conditionalFormatting sqref="B2436">
    <cfRule type="duplicateValues" dxfId="1" priority="260"/>
  </conditionalFormatting>
  <conditionalFormatting sqref="B2437">
    <cfRule type="duplicateValues" dxfId="1" priority="259"/>
  </conditionalFormatting>
  <conditionalFormatting sqref="B2438">
    <cfRule type="duplicateValues" dxfId="1" priority="257"/>
  </conditionalFormatting>
  <conditionalFormatting sqref="C2440:D2440">
    <cfRule type="expression" dxfId="0" priority="253">
      <formula>$C$443-$C$420&gt;=0</formula>
    </cfRule>
  </conditionalFormatting>
  <conditionalFormatting sqref="B2447">
    <cfRule type="duplicateValues" dxfId="1" priority="244"/>
  </conditionalFormatting>
  <conditionalFormatting sqref="B2452">
    <cfRule type="duplicateValues" dxfId="1" priority="246"/>
  </conditionalFormatting>
  <conditionalFormatting sqref="B2453">
    <cfRule type="duplicateValues" dxfId="1" priority="252"/>
  </conditionalFormatting>
  <conditionalFormatting sqref="B2454">
    <cfRule type="duplicateValues" dxfId="1" priority="251"/>
  </conditionalFormatting>
  <conditionalFormatting sqref="B2455">
    <cfRule type="duplicateValues" dxfId="1" priority="250"/>
  </conditionalFormatting>
  <conditionalFormatting sqref="B2456">
    <cfRule type="duplicateValues" dxfId="1" priority="249"/>
  </conditionalFormatting>
  <conditionalFormatting sqref="B2457">
    <cfRule type="duplicateValues" dxfId="1" priority="248"/>
  </conditionalFormatting>
  <conditionalFormatting sqref="B2458">
    <cfRule type="duplicateValues" dxfId="1" priority="247"/>
  </conditionalFormatting>
  <conditionalFormatting sqref="B2459">
    <cfRule type="duplicateValues" dxfId="1" priority="245"/>
  </conditionalFormatting>
  <conditionalFormatting sqref="C2482:D2482">
    <cfRule type="expression" dxfId="0" priority="241">
      <formula>$C$452-$C$429&gt;=0</formula>
    </cfRule>
  </conditionalFormatting>
  <conditionalFormatting sqref="B2489">
    <cfRule type="duplicateValues" dxfId="1" priority="232"/>
  </conditionalFormatting>
  <conditionalFormatting sqref="B2494">
    <cfRule type="duplicateValues" dxfId="1" priority="234"/>
  </conditionalFormatting>
  <conditionalFormatting sqref="B2495">
    <cfRule type="duplicateValues" dxfId="1" priority="240"/>
  </conditionalFormatting>
  <conditionalFormatting sqref="B2496">
    <cfRule type="duplicateValues" dxfId="1" priority="239"/>
  </conditionalFormatting>
  <conditionalFormatting sqref="B2497">
    <cfRule type="duplicateValues" dxfId="1" priority="238"/>
  </conditionalFormatting>
  <conditionalFormatting sqref="B2498">
    <cfRule type="duplicateValues" dxfId="1" priority="237"/>
  </conditionalFormatting>
  <conditionalFormatting sqref="B2499">
    <cfRule type="duplicateValues" dxfId="1" priority="236"/>
  </conditionalFormatting>
  <conditionalFormatting sqref="B2500">
    <cfRule type="duplicateValues" dxfId="1" priority="235"/>
  </conditionalFormatting>
  <conditionalFormatting sqref="B2501">
    <cfRule type="duplicateValues" dxfId="1" priority="233"/>
  </conditionalFormatting>
  <conditionalFormatting sqref="C2503:D2503">
    <cfRule type="expression" dxfId="0" priority="229">
      <formula>$C$452-$C$429&gt;=0</formula>
    </cfRule>
  </conditionalFormatting>
  <conditionalFormatting sqref="B2510">
    <cfRule type="duplicateValues" dxfId="1" priority="219"/>
  </conditionalFormatting>
  <conditionalFormatting sqref="B2515">
    <cfRule type="duplicateValues" dxfId="1" priority="222"/>
  </conditionalFormatting>
  <conditionalFormatting sqref="B2516">
    <cfRule type="duplicateValues" dxfId="1" priority="228"/>
  </conditionalFormatting>
  <conditionalFormatting sqref="B2517">
    <cfRule type="duplicateValues" dxfId="1" priority="227"/>
  </conditionalFormatting>
  <conditionalFormatting sqref="B2518">
    <cfRule type="duplicateValues" dxfId="1" priority="226"/>
  </conditionalFormatting>
  <conditionalFormatting sqref="B2519">
    <cfRule type="duplicateValues" dxfId="1" priority="225"/>
  </conditionalFormatting>
  <conditionalFormatting sqref="B2520">
    <cfRule type="duplicateValues" dxfId="1" priority="224"/>
  </conditionalFormatting>
  <conditionalFormatting sqref="B2521">
    <cfRule type="duplicateValues" dxfId="1" priority="223"/>
  </conditionalFormatting>
  <conditionalFormatting sqref="B2522">
    <cfRule type="duplicateValues" dxfId="1" priority="221"/>
  </conditionalFormatting>
  <conditionalFormatting sqref="C2524:D2524">
    <cfRule type="expression" dxfId="0" priority="216">
      <formula>$C$452-$C$429&gt;=0</formula>
    </cfRule>
  </conditionalFormatting>
  <conditionalFormatting sqref="B2531">
    <cfRule type="duplicateValues" dxfId="1" priority="207"/>
  </conditionalFormatting>
  <conditionalFormatting sqref="B2536">
    <cfRule type="duplicateValues" dxfId="1" priority="209"/>
  </conditionalFormatting>
  <conditionalFormatting sqref="B2537">
    <cfRule type="duplicateValues" dxfId="1" priority="215"/>
  </conditionalFormatting>
  <conditionalFormatting sqref="B2538">
    <cfRule type="duplicateValues" dxfId="1" priority="214"/>
  </conditionalFormatting>
  <conditionalFormatting sqref="B2539">
    <cfRule type="duplicateValues" dxfId="1" priority="213"/>
  </conditionalFormatting>
  <conditionalFormatting sqref="B2540">
    <cfRule type="duplicateValues" dxfId="1" priority="212"/>
  </conditionalFormatting>
  <conditionalFormatting sqref="B2541">
    <cfRule type="duplicateValues" dxfId="1" priority="211"/>
  </conditionalFormatting>
  <conditionalFormatting sqref="B2542">
    <cfRule type="duplicateValues" dxfId="1" priority="210"/>
  </conditionalFormatting>
  <conditionalFormatting sqref="B2543">
    <cfRule type="duplicateValues" dxfId="1" priority="208"/>
  </conditionalFormatting>
  <conditionalFormatting sqref="C2545:D2545">
    <cfRule type="expression" dxfId="0" priority="192">
      <formula>$C$452-$C$429&gt;=0</formula>
    </cfRule>
  </conditionalFormatting>
  <conditionalFormatting sqref="B2552">
    <cfRule type="duplicateValues" dxfId="1" priority="183"/>
  </conditionalFormatting>
  <conditionalFormatting sqref="B2557">
    <cfRule type="duplicateValues" dxfId="1" priority="185"/>
  </conditionalFormatting>
  <conditionalFormatting sqref="B2558">
    <cfRule type="duplicateValues" dxfId="1" priority="191"/>
  </conditionalFormatting>
  <conditionalFormatting sqref="B2559">
    <cfRule type="duplicateValues" dxfId="1" priority="190"/>
  </conditionalFormatting>
  <conditionalFormatting sqref="B2560">
    <cfRule type="duplicateValues" dxfId="1" priority="189"/>
  </conditionalFormatting>
  <conditionalFormatting sqref="B2561">
    <cfRule type="duplicateValues" dxfId="1" priority="188"/>
  </conditionalFormatting>
  <conditionalFormatting sqref="B2562">
    <cfRule type="duplicateValues" dxfId="1" priority="187"/>
  </conditionalFormatting>
  <conditionalFormatting sqref="B2563">
    <cfRule type="duplicateValues" dxfId="1" priority="186"/>
  </conditionalFormatting>
  <conditionalFormatting sqref="B2564">
    <cfRule type="duplicateValues" dxfId="1" priority="184"/>
  </conditionalFormatting>
  <conditionalFormatting sqref="C2566:D2566">
    <cfRule type="expression" dxfId="0" priority="180">
      <formula>$C$452-$C$429&gt;=0</formula>
    </cfRule>
  </conditionalFormatting>
  <conditionalFormatting sqref="B2573">
    <cfRule type="duplicateValues" dxfId="1" priority="171"/>
  </conditionalFormatting>
  <conditionalFormatting sqref="B2578">
    <cfRule type="duplicateValues" dxfId="1" priority="173"/>
  </conditionalFormatting>
  <conditionalFormatting sqref="B2579">
    <cfRule type="duplicateValues" dxfId="1" priority="179"/>
  </conditionalFormatting>
  <conditionalFormatting sqref="B2580">
    <cfRule type="duplicateValues" dxfId="1" priority="178"/>
  </conditionalFormatting>
  <conditionalFormatting sqref="B2581">
    <cfRule type="duplicateValues" dxfId="1" priority="177"/>
  </conditionalFormatting>
  <conditionalFormatting sqref="B2582">
    <cfRule type="duplicateValues" dxfId="1" priority="176"/>
  </conditionalFormatting>
  <conditionalFormatting sqref="B2583">
    <cfRule type="duplicateValues" dxfId="1" priority="175"/>
  </conditionalFormatting>
  <conditionalFormatting sqref="B2584">
    <cfRule type="duplicateValues" dxfId="1" priority="174"/>
  </conditionalFormatting>
  <conditionalFormatting sqref="B2585">
    <cfRule type="duplicateValues" dxfId="1" priority="172"/>
  </conditionalFormatting>
  <conditionalFormatting sqref="C2587:D2587">
    <cfRule type="expression" dxfId="0" priority="168">
      <formula>$C$446-$C$423&gt;=0</formula>
    </cfRule>
  </conditionalFormatting>
  <conditionalFormatting sqref="B2594">
    <cfRule type="duplicateValues" dxfId="1" priority="159"/>
  </conditionalFormatting>
  <conditionalFormatting sqref="B2599">
    <cfRule type="duplicateValues" dxfId="1" priority="161"/>
  </conditionalFormatting>
  <conditionalFormatting sqref="B2600">
    <cfRule type="duplicateValues" dxfId="1" priority="167"/>
  </conditionalFormatting>
  <conditionalFormatting sqref="B2601">
    <cfRule type="duplicateValues" dxfId="1" priority="166"/>
  </conditionalFormatting>
  <conditionalFormatting sqref="B2602">
    <cfRule type="duplicateValues" dxfId="1" priority="165"/>
  </conditionalFormatting>
  <conditionalFormatting sqref="B2603">
    <cfRule type="duplicateValues" dxfId="1" priority="164"/>
  </conditionalFormatting>
  <conditionalFormatting sqref="B2604">
    <cfRule type="duplicateValues" dxfId="1" priority="163"/>
  </conditionalFormatting>
  <conditionalFormatting sqref="B2605">
    <cfRule type="duplicateValues" dxfId="1" priority="162"/>
  </conditionalFormatting>
  <conditionalFormatting sqref="B2606">
    <cfRule type="duplicateValues" dxfId="1" priority="160"/>
  </conditionalFormatting>
  <conditionalFormatting sqref="C2608:D2608">
    <cfRule type="expression" dxfId="0" priority="156">
      <formula>$C$445-$C$422&gt;=0</formula>
    </cfRule>
  </conditionalFormatting>
  <conditionalFormatting sqref="B2615">
    <cfRule type="duplicateValues" dxfId="1" priority="147"/>
  </conditionalFormatting>
  <conditionalFormatting sqref="B2620">
    <cfRule type="duplicateValues" dxfId="1" priority="149"/>
  </conditionalFormatting>
  <conditionalFormatting sqref="B2621">
    <cfRule type="duplicateValues" dxfId="1" priority="155"/>
  </conditionalFormatting>
  <conditionalFormatting sqref="B2622">
    <cfRule type="duplicateValues" dxfId="1" priority="154"/>
  </conditionalFormatting>
  <conditionalFormatting sqref="B2623">
    <cfRule type="duplicateValues" dxfId="1" priority="153"/>
  </conditionalFormatting>
  <conditionalFormatting sqref="B2624">
    <cfRule type="duplicateValues" dxfId="1" priority="152"/>
  </conditionalFormatting>
  <conditionalFormatting sqref="B2625">
    <cfRule type="duplicateValues" dxfId="1" priority="151"/>
  </conditionalFormatting>
  <conditionalFormatting sqref="B2626">
    <cfRule type="duplicateValues" dxfId="1" priority="150"/>
  </conditionalFormatting>
  <conditionalFormatting sqref="B2627">
    <cfRule type="duplicateValues" dxfId="1" priority="148"/>
  </conditionalFormatting>
  <conditionalFormatting sqref="C2629:D2629">
    <cfRule type="expression" dxfId="0" priority="144">
      <formula>$C$444-$C$421&gt;=0</formula>
    </cfRule>
  </conditionalFormatting>
  <conditionalFormatting sqref="B2636">
    <cfRule type="duplicateValues" dxfId="1" priority="135"/>
  </conditionalFormatting>
  <conditionalFormatting sqref="B2641">
    <cfRule type="duplicateValues" dxfId="1" priority="137"/>
  </conditionalFormatting>
  <conditionalFormatting sqref="B2642">
    <cfRule type="duplicateValues" dxfId="1" priority="143"/>
  </conditionalFormatting>
  <conditionalFormatting sqref="B2643">
    <cfRule type="duplicateValues" dxfId="1" priority="142"/>
  </conditionalFormatting>
  <conditionalFormatting sqref="B2644">
    <cfRule type="duplicateValues" dxfId="1" priority="141"/>
  </conditionalFormatting>
  <conditionalFormatting sqref="B2645">
    <cfRule type="duplicateValues" dxfId="1" priority="140"/>
  </conditionalFormatting>
  <conditionalFormatting sqref="B2646">
    <cfRule type="duplicateValues" dxfId="1" priority="139"/>
  </conditionalFormatting>
  <conditionalFormatting sqref="B2647">
    <cfRule type="duplicateValues" dxfId="1" priority="138"/>
  </conditionalFormatting>
  <conditionalFormatting sqref="B2648">
    <cfRule type="duplicateValues" dxfId="1" priority="136"/>
  </conditionalFormatting>
  <conditionalFormatting sqref="C2650:D2650">
    <cfRule type="expression" dxfId="0" priority="132">
      <formula>$C$444-$C$421&gt;=0</formula>
    </cfRule>
  </conditionalFormatting>
  <conditionalFormatting sqref="B2657">
    <cfRule type="duplicateValues" dxfId="1" priority="123"/>
  </conditionalFormatting>
  <conditionalFormatting sqref="B2662">
    <cfRule type="duplicateValues" dxfId="1" priority="125"/>
  </conditionalFormatting>
  <conditionalFormatting sqref="B2663">
    <cfRule type="duplicateValues" dxfId="1" priority="131"/>
  </conditionalFormatting>
  <conditionalFormatting sqref="B2664">
    <cfRule type="duplicateValues" dxfId="1" priority="130"/>
  </conditionalFormatting>
  <conditionalFormatting sqref="B2665">
    <cfRule type="duplicateValues" dxfId="1" priority="129"/>
  </conditionalFormatting>
  <conditionalFormatting sqref="B2666">
    <cfRule type="duplicateValues" dxfId="1" priority="128"/>
  </conditionalFormatting>
  <conditionalFormatting sqref="B2667">
    <cfRule type="duplicateValues" dxfId="1" priority="127"/>
  </conditionalFormatting>
  <conditionalFormatting sqref="B2668">
    <cfRule type="duplicateValues" dxfId="1" priority="126"/>
  </conditionalFormatting>
  <conditionalFormatting sqref="B2669">
    <cfRule type="duplicateValues" dxfId="1" priority="124"/>
  </conditionalFormatting>
  <conditionalFormatting sqref="C2671:D2671">
    <cfRule type="expression" dxfId="0" priority="120">
      <formula>$C$439-$C$416&gt;=0</formula>
    </cfRule>
  </conditionalFormatting>
  <conditionalFormatting sqref="B2678">
    <cfRule type="duplicateValues" dxfId="1" priority="111"/>
  </conditionalFormatting>
  <conditionalFormatting sqref="B2683">
    <cfRule type="duplicateValues" dxfId="1" priority="113"/>
  </conditionalFormatting>
  <conditionalFormatting sqref="B2684">
    <cfRule type="duplicateValues" dxfId="1" priority="119"/>
  </conditionalFormatting>
  <conditionalFormatting sqref="B2685">
    <cfRule type="duplicateValues" dxfId="1" priority="118"/>
  </conditionalFormatting>
  <conditionalFormatting sqref="B2686">
    <cfRule type="duplicateValues" dxfId="1" priority="117"/>
  </conditionalFormatting>
  <conditionalFormatting sqref="B2687">
    <cfRule type="duplicateValues" dxfId="1" priority="116"/>
  </conditionalFormatting>
  <conditionalFormatting sqref="B2688">
    <cfRule type="duplicateValues" dxfId="1" priority="115"/>
  </conditionalFormatting>
  <conditionalFormatting sqref="B2689">
    <cfRule type="duplicateValues" dxfId="1" priority="114"/>
  </conditionalFormatting>
  <conditionalFormatting sqref="B2690">
    <cfRule type="duplicateValues" dxfId="1" priority="112"/>
  </conditionalFormatting>
  <conditionalFormatting sqref="C2692:D2692">
    <cfRule type="expression" dxfId="0" priority="108">
      <formula>$C$452-$C$429&gt;=0</formula>
    </cfRule>
  </conditionalFormatting>
  <conditionalFormatting sqref="B2699">
    <cfRule type="duplicateValues" dxfId="1" priority="99"/>
  </conditionalFormatting>
  <conditionalFormatting sqref="B2704">
    <cfRule type="duplicateValues" dxfId="1" priority="101"/>
  </conditionalFormatting>
  <conditionalFormatting sqref="B2705">
    <cfRule type="duplicateValues" dxfId="1" priority="107"/>
  </conditionalFormatting>
  <conditionalFormatting sqref="B2706">
    <cfRule type="duplicateValues" dxfId="1" priority="106"/>
  </conditionalFormatting>
  <conditionalFormatting sqref="B2707">
    <cfRule type="duplicateValues" dxfId="1" priority="105"/>
  </conditionalFormatting>
  <conditionalFormatting sqref="B2708">
    <cfRule type="duplicateValues" dxfId="1" priority="104"/>
  </conditionalFormatting>
  <conditionalFormatting sqref="B2709">
    <cfRule type="duplicateValues" dxfId="1" priority="103"/>
  </conditionalFormatting>
  <conditionalFormatting sqref="B2710">
    <cfRule type="duplicateValues" dxfId="1" priority="102"/>
  </conditionalFormatting>
  <conditionalFormatting sqref="B2711">
    <cfRule type="duplicateValues" dxfId="1" priority="100"/>
  </conditionalFormatting>
  <conditionalFormatting sqref="C2713:D2713">
    <cfRule type="expression" dxfId="0" priority="96">
      <formula>$C$452-$C$429&gt;=0</formula>
    </cfRule>
  </conditionalFormatting>
  <conditionalFormatting sqref="B2720">
    <cfRule type="duplicateValues" dxfId="1" priority="87"/>
  </conditionalFormatting>
  <conditionalFormatting sqref="B2725">
    <cfRule type="duplicateValues" dxfId="1" priority="89"/>
  </conditionalFormatting>
  <conditionalFormatting sqref="B2726">
    <cfRule type="duplicateValues" dxfId="1" priority="95"/>
  </conditionalFormatting>
  <conditionalFormatting sqref="B2727">
    <cfRule type="duplicateValues" dxfId="1" priority="94"/>
  </conditionalFormatting>
  <conditionalFormatting sqref="B2728">
    <cfRule type="duplicateValues" dxfId="1" priority="93"/>
  </conditionalFormatting>
  <conditionalFormatting sqref="B2729">
    <cfRule type="duplicateValues" dxfId="1" priority="92"/>
  </conditionalFormatting>
  <conditionalFormatting sqref="B2730">
    <cfRule type="duplicateValues" dxfId="1" priority="91"/>
  </conditionalFormatting>
  <conditionalFormatting sqref="B2731">
    <cfRule type="duplicateValues" dxfId="1" priority="90"/>
  </conditionalFormatting>
  <conditionalFormatting sqref="B2732">
    <cfRule type="duplicateValues" dxfId="1" priority="88"/>
  </conditionalFormatting>
  <conditionalFormatting sqref="C2734:D2734">
    <cfRule type="expression" dxfId="0" priority="84">
      <formula>$C$452-$C$429&gt;=0</formula>
    </cfRule>
  </conditionalFormatting>
  <conditionalFormatting sqref="B2741">
    <cfRule type="duplicateValues" dxfId="1" priority="74"/>
  </conditionalFormatting>
  <conditionalFormatting sqref="B2746">
    <cfRule type="duplicateValues" dxfId="1" priority="77"/>
  </conditionalFormatting>
  <conditionalFormatting sqref="B2747">
    <cfRule type="duplicateValues" dxfId="1" priority="83"/>
  </conditionalFormatting>
  <conditionalFormatting sqref="B2748">
    <cfRule type="duplicateValues" dxfId="1" priority="82"/>
  </conditionalFormatting>
  <conditionalFormatting sqref="B2749">
    <cfRule type="duplicateValues" dxfId="1" priority="81"/>
  </conditionalFormatting>
  <conditionalFormatting sqref="B2750">
    <cfRule type="duplicateValues" dxfId="1" priority="80"/>
  </conditionalFormatting>
  <conditionalFormatting sqref="B2751">
    <cfRule type="duplicateValues" dxfId="1" priority="79"/>
  </conditionalFormatting>
  <conditionalFormatting sqref="B2752">
    <cfRule type="duplicateValues" dxfId="1" priority="78"/>
  </conditionalFormatting>
  <conditionalFormatting sqref="B2753">
    <cfRule type="duplicateValues" dxfId="1" priority="76"/>
  </conditionalFormatting>
  <conditionalFormatting sqref="C2755:D2755">
    <cfRule type="expression" dxfId="0" priority="71">
      <formula>$C$452-$C$429&gt;=0</formula>
    </cfRule>
  </conditionalFormatting>
  <conditionalFormatting sqref="B2762">
    <cfRule type="duplicateValues" dxfId="1" priority="62"/>
  </conditionalFormatting>
  <conditionalFormatting sqref="B2767">
    <cfRule type="duplicateValues" dxfId="1" priority="64"/>
  </conditionalFormatting>
  <conditionalFormatting sqref="B2768">
    <cfRule type="duplicateValues" dxfId="1" priority="70"/>
  </conditionalFormatting>
  <conditionalFormatting sqref="B2769">
    <cfRule type="duplicateValues" dxfId="1" priority="69"/>
  </conditionalFormatting>
  <conditionalFormatting sqref="B2770">
    <cfRule type="duplicateValues" dxfId="1" priority="68"/>
  </conditionalFormatting>
  <conditionalFormatting sqref="B2771">
    <cfRule type="duplicateValues" dxfId="1" priority="67"/>
  </conditionalFormatting>
  <conditionalFormatting sqref="B2772">
    <cfRule type="duplicateValues" dxfId="1" priority="66"/>
  </conditionalFormatting>
  <conditionalFormatting sqref="B2773">
    <cfRule type="duplicateValues" dxfId="1" priority="65"/>
  </conditionalFormatting>
  <conditionalFormatting sqref="B2774">
    <cfRule type="duplicateValues" dxfId="1" priority="63"/>
  </conditionalFormatting>
  <conditionalFormatting sqref="C2797:D2797">
    <cfRule type="expression" dxfId="0" priority="47">
      <formula>$C$452-$C$429&gt;=0</formula>
    </cfRule>
  </conditionalFormatting>
  <conditionalFormatting sqref="B2804">
    <cfRule type="duplicateValues" dxfId="1" priority="38"/>
  </conditionalFormatting>
  <conditionalFormatting sqref="B2809">
    <cfRule type="duplicateValues" dxfId="1" priority="40"/>
  </conditionalFormatting>
  <conditionalFormatting sqref="B2810">
    <cfRule type="duplicateValues" dxfId="1" priority="46"/>
  </conditionalFormatting>
  <conditionalFormatting sqref="B2811">
    <cfRule type="duplicateValues" dxfId="1" priority="45"/>
  </conditionalFormatting>
  <conditionalFormatting sqref="B2812">
    <cfRule type="duplicateValues" dxfId="1" priority="44"/>
  </conditionalFormatting>
  <conditionalFormatting sqref="B2813">
    <cfRule type="duplicateValues" dxfId="1" priority="43"/>
  </conditionalFormatting>
  <conditionalFormatting sqref="B2814">
    <cfRule type="duplicateValues" dxfId="1" priority="42"/>
  </conditionalFormatting>
  <conditionalFormatting sqref="B2815">
    <cfRule type="duplicateValues" dxfId="1" priority="41"/>
  </conditionalFormatting>
  <conditionalFormatting sqref="B2816">
    <cfRule type="duplicateValues" dxfId="1" priority="39"/>
  </conditionalFormatting>
  <conditionalFormatting sqref="C2818:D2818">
    <cfRule type="expression" dxfId="0" priority="35">
      <formula>$C$452-$C$429&gt;=0</formula>
    </cfRule>
  </conditionalFormatting>
  <conditionalFormatting sqref="B2825">
    <cfRule type="duplicateValues" dxfId="1" priority="26"/>
  </conditionalFormatting>
  <conditionalFormatting sqref="B2830">
    <cfRule type="duplicateValues" dxfId="1" priority="28"/>
  </conditionalFormatting>
  <conditionalFormatting sqref="B2831">
    <cfRule type="duplicateValues" dxfId="1" priority="34"/>
  </conditionalFormatting>
  <conditionalFormatting sqref="B2832">
    <cfRule type="duplicateValues" dxfId="1" priority="33"/>
  </conditionalFormatting>
  <conditionalFormatting sqref="B2833">
    <cfRule type="duplicateValues" dxfId="1" priority="32"/>
  </conditionalFormatting>
  <conditionalFormatting sqref="B2834">
    <cfRule type="duplicateValues" dxfId="1" priority="31"/>
  </conditionalFormatting>
  <conditionalFormatting sqref="B2835">
    <cfRule type="duplicateValues" dxfId="1" priority="30"/>
  </conditionalFormatting>
  <conditionalFormatting sqref="B2836">
    <cfRule type="duplicateValues" dxfId="1" priority="29"/>
  </conditionalFormatting>
  <conditionalFormatting sqref="B2837">
    <cfRule type="duplicateValues" dxfId="1" priority="27"/>
  </conditionalFormatting>
  <conditionalFormatting sqref="C2839:D2839">
    <cfRule type="expression" dxfId="0" priority="23">
      <formula>$C$448-$C$425&gt;=0</formula>
    </cfRule>
  </conditionalFormatting>
  <conditionalFormatting sqref="B2846">
    <cfRule type="duplicateValues" dxfId="1" priority="14"/>
  </conditionalFormatting>
  <conditionalFormatting sqref="B2851">
    <cfRule type="duplicateValues" dxfId="1" priority="16"/>
  </conditionalFormatting>
  <conditionalFormatting sqref="B2852">
    <cfRule type="duplicateValues" dxfId="1" priority="22"/>
  </conditionalFormatting>
  <conditionalFormatting sqref="B2853">
    <cfRule type="duplicateValues" dxfId="1" priority="21"/>
  </conditionalFormatting>
  <conditionalFormatting sqref="B2854">
    <cfRule type="duplicateValues" dxfId="1" priority="20"/>
  </conditionalFormatting>
  <conditionalFormatting sqref="B2855">
    <cfRule type="duplicateValues" dxfId="1" priority="19"/>
  </conditionalFormatting>
  <conditionalFormatting sqref="B2856">
    <cfRule type="duplicateValues" dxfId="1" priority="18"/>
  </conditionalFormatting>
  <conditionalFormatting sqref="B2857">
    <cfRule type="duplicateValues" dxfId="1" priority="17"/>
  </conditionalFormatting>
  <conditionalFormatting sqref="B2858">
    <cfRule type="duplicateValues" dxfId="1" priority="15"/>
  </conditionalFormatting>
  <conditionalFormatting sqref="C2860:D2860">
    <cfRule type="expression" dxfId="0" priority="11">
      <formula>$C$452-$C$429&gt;=0</formula>
    </cfRule>
  </conditionalFormatting>
  <conditionalFormatting sqref="B2867">
    <cfRule type="duplicateValues" dxfId="1" priority="2"/>
  </conditionalFormatting>
  <conditionalFormatting sqref="B2872">
    <cfRule type="duplicateValues" dxfId="1" priority="4"/>
  </conditionalFormatting>
  <conditionalFormatting sqref="B2873">
    <cfRule type="duplicateValues" dxfId="1" priority="10"/>
  </conditionalFormatting>
  <conditionalFormatting sqref="B2874">
    <cfRule type="duplicateValues" dxfId="1" priority="9"/>
  </conditionalFormatting>
  <conditionalFormatting sqref="B2875">
    <cfRule type="duplicateValues" dxfId="1" priority="8"/>
  </conditionalFormatting>
  <conditionalFormatting sqref="B2876">
    <cfRule type="duplicateValues" dxfId="1" priority="7"/>
  </conditionalFormatting>
  <conditionalFormatting sqref="B2877">
    <cfRule type="duplicateValues" dxfId="1" priority="6"/>
  </conditionalFormatting>
  <conditionalFormatting sqref="B2878">
    <cfRule type="duplicateValues" dxfId="1" priority="5"/>
  </conditionalFormatting>
  <conditionalFormatting sqref="B2879">
    <cfRule type="duplicateValues" dxfId="1" priority="3"/>
  </conditionalFormatting>
  <conditionalFormatting sqref="X149:AA162">
    <cfRule type="cellIs" dxfId="2" priority="1636" operator="lessThan">
      <formula>-5</formula>
    </cfRule>
  </conditionalFormatting>
  <conditionalFormatting sqref="P150:S162">
    <cfRule type="cellIs" dxfId="2" priority="1634" operator="lessThan">
      <formula>-50</formula>
    </cfRule>
  </conditionalFormatting>
  <conditionalFormatting sqref="T150:W162">
    <cfRule type="cellIs" dxfId="2" priority="1635" operator="lessThan">
      <formula>-10</formula>
    </cfRule>
  </conditionalFormatting>
  <conditionalFormatting sqref="B151:B162 B171">
    <cfRule type="duplicateValues" dxfId="1" priority="1649"/>
  </conditionalFormatting>
  <conditionalFormatting sqref="B172:B183 B192">
    <cfRule type="duplicateValues" dxfId="1" priority="1620"/>
  </conditionalFormatting>
  <conditionalFormatting sqref="P172:S186">
    <cfRule type="cellIs" dxfId="2" priority="1608" operator="lessThan">
      <formula>-50</formula>
    </cfRule>
  </conditionalFormatting>
  <conditionalFormatting sqref="T172:W186">
    <cfRule type="cellIs" dxfId="2" priority="1609" operator="lessThan">
      <formula>-10</formula>
    </cfRule>
  </conditionalFormatting>
  <conditionalFormatting sqref="X172:AA186">
    <cfRule type="cellIs" dxfId="2" priority="1610" operator="lessThan">
      <formula>-5</formula>
    </cfRule>
  </conditionalFormatting>
  <conditionalFormatting sqref="B193:B204 B213">
    <cfRule type="duplicateValues" dxfId="1" priority="1607"/>
  </conditionalFormatting>
  <conditionalFormatting sqref="P193:AA255">
    <cfRule type="cellIs" dxfId="3" priority="1575" operator="lessThan">
      <formula>0</formula>
    </cfRule>
  </conditionalFormatting>
  <conditionalFormatting sqref="B214:B225 B234">
    <cfRule type="duplicateValues" dxfId="1" priority="1596"/>
  </conditionalFormatting>
  <conditionalFormatting sqref="B235:B246 B255">
    <cfRule type="duplicateValues" dxfId="1" priority="1585"/>
  </conditionalFormatting>
  <conditionalFormatting sqref="B256:B267 B276">
    <cfRule type="duplicateValues" dxfId="1" priority="1574"/>
  </conditionalFormatting>
  <conditionalFormatting sqref="L256:W1536">
    <cfRule type="cellIs" dxfId="3" priority="806" operator="lessThan">
      <formula>0</formula>
    </cfRule>
  </conditionalFormatting>
  <conditionalFormatting sqref="B277:B288 B297">
    <cfRule type="duplicateValues" dxfId="1" priority="1563"/>
  </conditionalFormatting>
  <conditionalFormatting sqref="B298:B309 B318">
    <cfRule type="duplicateValues" dxfId="1" priority="1552"/>
  </conditionalFormatting>
  <conditionalFormatting sqref="B319:B330 B339">
    <cfRule type="duplicateValues" dxfId="1" priority="1541"/>
  </conditionalFormatting>
  <conditionalFormatting sqref="B340:B351 B360">
    <cfRule type="duplicateValues" dxfId="1" priority="1518"/>
  </conditionalFormatting>
  <conditionalFormatting sqref="B361:B372 B381">
    <cfRule type="duplicateValues" dxfId="1" priority="1507"/>
  </conditionalFormatting>
  <conditionalFormatting sqref="B382:B393 B402">
    <cfRule type="duplicateValues" dxfId="1" priority="1496"/>
  </conditionalFormatting>
  <conditionalFormatting sqref="B403:B414 B423">
    <cfRule type="duplicateValues" dxfId="1" priority="1485"/>
  </conditionalFormatting>
  <conditionalFormatting sqref="B424:B435 B444">
    <cfRule type="duplicateValues" dxfId="1" priority="1474"/>
  </conditionalFormatting>
  <conditionalFormatting sqref="B445:B456 B465">
    <cfRule type="duplicateValues" dxfId="1" priority="1452"/>
  </conditionalFormatting>
  <conditionalFormatting sqref="B466:B477 B486">
    <cfRule type="duplicateValues" dxfId="1" priority="1441"/>
  </conditionalFormatting>
  <conditionalFormatting sqref="B487:B498 B507">
    <cfRule type="duplicateValues" dxfId="1" priority="1419"/>
  </conditionalFormatting>
  <conditionalFormatting sqref="B508:B519 B528">
    <cfRule type="duplicateValues" dxfId="1" priority="1408"/>
  </conditionalFormatting>
  <conditionalFormatting sqref="B529:B540 B549">
    <cfRule type="duplicateValues" dxfId="1" priority="1397"/>
  </conditionalFormatting>
  <conditionalFormatting sqref="B550:B561 B570">
    <cfRule type="duplicateValues" dxfId="1" priority="1386"/>
  </conditionalFormatting>
  <conditionalFormatting sqref="B571:B582 B591">
    <cfRule type="duplicateValues" dxfId="1" priority="1375"/>
  </conditionalFormatting>
  <conditionalFormatting sqref="B592:B603 B612">
    <cfRule type="duplicateValues" dxfId="1" priority="1364"/>
  </conditionalFormatting>
  <conditionalFormatting sqref="B613:B624 B633">
    <cfRule type="duplicateValues" dxfId="1" priority="1353"/>
  </conditionalFormatting>
  <conditionalFormatting sqref="B634:B645 B654">
    <cfRule type="duplicateValues" dxfId="1" priority="1342"/>
  </conditionalFormatting>
  <conditionalFormatting sqref="B655:B666 B675">
    <cfRule type="duplicateValues" dxfId="1" priority="1331"/>
  </conditionalFormatting>
  <conditionalFormatting sqref="B676:B687 B696">
    <cfRule type="duplicateValues" dxfId="1" priority="1309"/>
  </conditionalFormatting>
  <conditionalFormatting sqref="B697:B708 B717">
    <cfRule type="duplicateValues" dxfId="1" priority="1298"/>
  </conditionalFormatting>
  <conditionalFormatting sqref="B738 B718:B729">
    <cfRule type="duplicateValues" dxfId="1" priority="1287"/>
  </conditionalFormatting>
  <conditionalFormatting sqref="B739:B750 B759">
    <cfRule type="duplicateValues" dxfId="1" priority="1275"/>
  </conditionalFormatting>
  <conditionalFormatting sqref="B760:B771 B780">
    <cfRule type="duplicateValues" dxfId="1" priority="1264"/>
  </conditionalFormatting>
  <conditionalFormatting sqref="B781:B792 B801">
    <cfRule type="duplicateValues" dxfId="1" priority="1253"/>
  </conditionalFormatting>
  <conditionalFormatting sqref="B802:B813 B822">
    <cfRule type="duplicateValues" dxfId="1" priority="1242"/>
  </conditionalFormatting>
  <conditionalFormatting sqref="B823:B834 B843">
    <cfRule type="duplicateValues" dxfId="1" priority="1231"/>
  </conditionalFormatting>
  <conditionalFormatting sqref="B844:B855 B864">
    <cfRule type="duplicateValues" dxfId="1" priority="1220"/>
  </conditionalFormatting>
  <conditionalFormatting sqref="B885 B865:B876">
    <cfRule type="duplicateValues" dxfId="1" priority="1197"/>
  </conditionalFormatting>
  <conditionalFormatting sqref="B886:B897 B906">
    <cfRule type="duplicateValues" dxfId="1" priority="1185"/>
  </conditionalFormatting>
  <conditionalFormatting sqref="B907:B918 B927">
    <cfRule type="duplicateValues" dxfId="1" priority="1174"/>
  </conditionalFormatting>
  <conditionalFormatting sqref="B928:B939 B948">
    <cfRule type="duplicateValues" dxfId="1" priority="1163"/>
  </conditionalFormatting>
  <conditionalFormatting sqref="B949:B960 B969">
    <cfRule type="duplicateValues" dxfId="1" priority="1152"/>
  </conditionalFormatting>
  <conditionalFormatting sqref="B970:B981 B990">
    <cfRule type="duplicateValues" dxfId="1" priority="1141"/>
  </conditionalFormatting>
  <conditionalFormatting sqref="B991:B1002 B1011">
    <cfRule type="duplicateValues" dxfId="1" priority="1130"/>
  </conditionalFormatting>
  <conditionalFormatting sqref="B1012:B1023 B1032">
    <cfRule type="duplicateValues" dxfId="1" priority="1119"/>
  </conditionalFormatting>
  <conditionalFormatting sqref="B1033:B1044 B1053">
    <cfRule type="duplicateValues" dxfId="1" priority="1108"/>
  </conditionalFormatting>
  <conditionalFormatting sqref="B1054:B1065 B1074">
    <cfRule type="duplicateValues" dxfId="1" priority="1097"/>
  </conditionalFormatting>
  <conditionalFormatting sqref="B1075:B1086 B1095">
    <cfRule type="duplicateValues" dxfId="1" priority="1086"/>
  </conditionalFormatting>
  <conditionalFormatting sqref="B1096:B1107 B1116">
    <cfRule type="duplicateValues" dxfId="1" priority="1075"/>
  </conditionalFormatting>
  <conditionalFormatting sqref="B1117:B1128 B1137">
    <cfRule type="duplicateValues" dxfId="1" priority="1064"/>
  </conditionalFormatting>
  <conditionalFormatting sqref="B1138:B1149 B1158">
    <cfRule type="duplicateValues" dxfId="1" priority="1053"/>
  </conditionalFormatting>
  <conditionalFormatting sqref="B1159:B1170 B1179">
    <cfRule type="duplicateValues" dxfId="1" priority="1042"/>
  </conditionalFormatting>
  <conditionalFormatting sqref="C1161:D1164">
    <cfRule type="expression" dxfId="0" priority="960">
      <formula>$C$455-$C$432&gt;=0</formula>
    </cfRule>
  </conditionalFormatting>
  <conditionalFormatting sqref="C1179:D1180">
    <cfRule type="expression" dxfId="0" priority="958">
      <formula>$C$455-$C$432&gt;=0</formula>
    </cfRule>
  </conditionalFormatting>
  <conditionalFormatting sqref="B1180:B1191 B1200">
    <cfRule type="duplicateValues" dxfId="1" priority="1031"/>
  </conditionalFormatting>
  <conditionalFormatting sqref="C1182:D1185">
    <cfRule type="expression" dxfId="0" priority="954">
      <formula>$C$455-$C$432&gt;=0</formula>
    </cfRule>
  </conditionalFormatting>
  <conditionalFormatting sqref="C1200:D1201">
    <cfRule type="expression" dxfId="0" priority="952">
      <formula>$C$455-$C$432&gt;=0</formula>
    </cfRule>
  </conditionalFormatting>
  <conditionalFormatting sqref="B1201:B1212 B1221">
    <cfRule type="duplicateValues" dxfId="1" priority="1020"/>
  </conditionalFormatting>
  <conditionalFormatting sqref="C1203:D1206">
    <cfRule type="expression" dxfId="0" priority="948">
      <formula>$C$455-$C$432&gt;=0</formula>
    </cfRule>
  </conditionalFormatting>
  <conditionalFormatting sqref="C1221:D1227">
    <cfRule type="expression" dxfId="0" priority="942">
      <formula>$C$455-$C$432&gt;=0</formula>
    </cfRule>
  </conditionalFormatting>
  <conditionalFormatting sqref="B1222:B1233 B1242">
    <cfRule type="duplicateValues" dxfId="1" priority="1009"/>
  </conditionalFormatting>
  <conditionalFormatting sqref="C1242:D1243">
    <cfRule type="expression" dxfId="0" priority="940">
      <formula>$C$455-$C$432&gt;=0</formula>
    </cfRule>
  </conditionalFormatting>
  <conditionalFormatting sqref="B1243:B1254 B1263">
    <cfRule type="duplicateValues" dxfId="1" priority="998"/>
  </conditionalFormatting>
  <conditionalFormatting sqref="C1245:D1248">
    <cfRule type="expression" dxfId="0" priority="936">
      <formula>$C$455-$C$432&gt;=0</formula>
    </cfRule>
  </conditionalFormatting>
  <conditionalFormatting sqref="C1263:D1264">
    <cfRule type="expression" dxfId="0" priority="934">
      <formula>$C$455-$C$432&gt;=0</formula>
    </cfRule>
  </conditionalFormatting>
  <conditionalFormatting sqref="B1264:B1275 B1284">
    <cfRule type="duplicateValues" dxfId="1" priority="987"/>
  </conditionalFormatting>
  <conditionalFormatting sqref="C1266:D1269">
    <cfRule type="expression" dxfId="0" priority="930">
      <formula>$C$455-$C$432&gt;=0</formula>
    </cfRule>
  </conditionalFormatting>
  <conditionalFormatting sqref="B1285:B1296 B1305">
    <cfRule type="duplicateValues" dxfId="1" priority="974"/>
  </conditionalFormatting>
  <conditionalFormatting sqref="B1306:B1317 B1326">
    <cfRule type="duplicateValues" dxfId="1" priority="929"/>
  </conditionalFormatting>
  <conditionalFormatting sqref="B1327:B1338 B1347">
    <cfRule type="duplicateValues" dxfId="1" priority="918"/>
  </conditionalFormatting>
  <conditionalFormatting sqref="B1348:B1359 B1368">
    <cfRule type="duplicateValues" dxfId="1" priority="907"/>
  </conditionalFormatting>
  <conditionalFormatting sqref="B1369:B1380 B1389">
    <cfRule type="duplicateValues" dxfId="1" priority="896"/>
  </conditionalFormatting>
  <conditionalFormatting sqref="B1390:B1401 B1410">
    <cfRule type="duplicateValues" dxfId="1" priority="885"/>
  </conditionalFormatting>
  <conditionalFormatting sqref="B1411:B1422 B1431">
    <cfRule type="duplicateValues" dxfId="1" priority="874"/>
  </conditionalFormatting>
  <conditionalFormatting sqref="B1432:B1443 B1452">
    <cfRule type="duplicateValues" dxfId="1" priority="863"/>
  </conditionalFormatting>
  <conditionalFormatting sqref="B1453:B1464 B1473">
    <cfRule type="duplicateValues" dxfId="1" priority="852"/>
  </conditionalFormatting>
  <conditionalFormatting sqref="B1474:B1485 B1494">
    <cfRule type="duplicateValues" dxfId="1" priority="841"/>
  </conditionalFormatting>
  <conditionalFormatting sqref="X1474:Z1484">
    <cfRule type="cellIs" dxfId="3" priority="828" operator="lessThan">
      <formula>0</formula>
    </cfRule>
  </conditionalFormatting>
  <conditionalFormatting sqref="B1495:B1506 B1515">
    <cfRule type="duplicateValues" dxfId="1" priority="827"/>
  </conditionalFormatting>
  <conditionalFormatting sqref="B1516:B1527 B1536">
    <cfRule type="duplicateValues" dxfId="1" priority="816"/>
  </conditionalFormatting>
  <conditionalFormatting sqref="B1537:B1548 B1557">
    <cfRule type="duplicateValues" dxfId="1" priority="805"/>
  </conditionalFormatting>
  <conditionalFormatting sqref="L1537:W1746">
    <cfRule type="cellIs" dxfId="5" priority="674" operator="lessThan">
      <formula>0</formula>
    </cfRule>
  </conditionalFormatting>
  <conditionalFormatting sqref="X1537:Z1547">
    <cfRule type="cellIs" dxfId="3" priority="793" operator="lessThan">
      <formula>0</formula>
    </cfRule>
  </conditionalFormatting>
  <conditionalFormatting sqref="B1558:B1569 B1578">
    <cfRule type="duplicateValues" dxfId="1" priority="791"/>
  </conditionalFormatting>
  <conditionalFormatting sqref="X1558:Z1568">
    <cfRule type="cellIs" dxfId="3" priority="779" operator="lessThan">
      <formula>0</formula>
    </cfRule>
  </conditionalFormatting>
  <conditionalFormatting sqref="B1579:B1590 B1599">
    <cfRule type="duplicateValues" dxfId="1" priority="777"/>
  </conditionalFormatting>
  <conditionalFormatting sqref="X1579:Z1589">
    <cfRule type="cellIs" dxfId="3" priority="765" operator="lessThan">
      <formula>0</formula>
    </cfRule>
  </conditionalFormatting>
  <conditionalFormatting sqref="B1600:B1611 B1620">
    <cfRule type="duplicateValues" dxfId="1" priority="763"/>
  </conditionalFormatting>
  <conditionalFormatting sqref="B1621:B1632 B1641">
    <cfRule type="duplicateValues" dxfId="1" priority="752"/>
  </conditionalFormatting>
  <conditionalFormatting sqref="B1642:B1653 B1662">
    <cfRule type="duplicateValues" dxfId="1" priority="741"/>
  </conditionalFormatting>
  <conditionalFormatting sqref="X1642:Z1652">
    <cfRule type="cellIs" dxfId="3" priority="729" operator="lessThan">
      <formula>0</formula>
    </cfRule>
  </conditionalFormatting>
  <conditionalFormatting sqref="B1663:B1674 B1683">
    <cfRule type="duplicateValues" dxfId="1" priority="727"/>
  </conditionalFormatting>
  <conditionalFormatting sqref="X1663:Z1673">
    <cfRule type="cellIs" dxfId="3" priority="715" operator="lessThan">
      <formula>0</formula>
    </cfRule>
  </conditionalFormatting>
  <conditionalFormatting sqref="B1684:B1695 B1704">
    <cfRule type="duplicateValues" dxfId="1" priority="713"/>
  </conditionalFormatting>
  <conditionalFormatting sqref="X1684:Z1694">
    <cfRule type="cellIs" dxfId="3" priority="701" operator="lessThan">
      <formula>0</formula>
    </cfRule>
  </conditionalFormatting>
  <conditionalFormatting sqref="B1705:B1716 B1725">
    <cfRule type="duplicateValues" dxfId="1" priority="699"/>
  </conditionalFormatting>
  <conditionalFormatting sqref="X1705:Z1715">
    <cfRule type="cellIs" dxfId="3" priority="687" operator="lessThan">
      <formula>0</formula>
    </cfRule>
  </conditionalFormatting>
  <conditionalFormatting sqref="B1746 B1726:B1737">
    <cfRule type="duplicateValues" dxfId="1" priority="685"/>
  </conditionalFormatting>
  <conditionalFormatting sqref="B1747:B1753 B1755:B1758 B1767">
    <cfRule type="duplicateValues" dxfId="1" priority="590"/>
  </conditionalFormatting>
  <conditionalFormatting sqref="K1747:V1767">
    <cfRule type="cellIs" dxfId="3" priority="579" operator="lessThan">
      <formula>0</formula>
    </cfRule>
  </conditionalFormatting>
  <conditionalFormatting sqref="B1768:B1774 B1776:B1779 B1788">
    <cfRule type="duplicateValues" dxfId="1" priority="661"/>
  </conditionalFormatting>
  <conditionalFormatting sqref="L1768:W1851">
    <cfRule type="cellIs" dxfId="5" priority="615" operator="lessThan">
      <formula>0</formula>
    </cfRule>
  </conditionalFormatting>
  <conditionalFormatting sqref="B1789:B1795 B1797:B1800 B1809">
    <cfRule type="duplicateValues" dxfId="1" priority="649"/>
  </conditionalFormatting>
  <conditionalFormatting sqref="B1810:B1816 B1818:B1821 B1830">
    <cfRule type="duplicateValues" dxfId="1" priority="637"/>
  </conditionalFormatting>
  <conditionalFormatting sqref="B1831:B1837 B1839:B1842 B1851">
    <cfRule type="duplicateValues" dxfId="1" priority="625"/>
  </conditionalFormatting>
  <conditionalFormatting sqref="B1852:B1858 B1860:B1863 B1872">
    <cfRule type="duplicateValues" dxfId="1" priority="613"/>
  </conditionalFormatting>
  <conditionalFormatting sqref="B1873:B1879 B1881:B1884 B1893">
    <cfRule type="duplicateValues" dxfId="1" priority="602"/>
  </conditionalFormatting>
  <conditionalFormatting sqref="K1873:V1956">
    <cfRule type="cellIs" dxfId="3" priority="543" operator="lessThan">
      <formula>0</formula>
    </cfRule>
  </conditionalFormatting>
  <conditionalFormatting sqref="B1894:B1900 B1902:B1905 B1914">
    <cfRule type="duplicateValues" dxfId="1" priority="578"/>
  </conditionalFormatting>
  <conditionalFormatting sqref="B1915:B1921 B1923:B1926 B1935">
    <cfRule type="duplicateValues" dxfId="1" priority="566"/>
  </conditionalFormatting>
  <conditionalFormatting sqref="B1936:B1942 B1944:B1947 B1956">
    <cfRule type="duplicateValues" dxfId="1" priority="554"/>
  </conditionalFormatting>
  <conditionalFormatting sqref="B1957:B1963 B1965:B1968 B1977">
    <cfRule type="duplicateValues" dxfId="1" priority="542"/>
  </conditionalFormatting>
  <conditionalFormatting sqref="K1957:V1977">
    <cfRule type="cellIs" dxfId="3" priority="531" operator="lessThan">
      <formula>0</formula>
    </cfRule>
  </conditionalFormatting>
  <conditionalFormatting sqref="B1978:B1984 B1986:B1989 B1998">
    <cfRule type="duplicateValues" dxfId="1" priority="530"/>
  </conditionalFormatting>
  <conditionalFormatting sqref="K1978:V1998">
    <cfRule type="cellIs" dxfId="3" priority="519" operator="lessThan">
      <formula>0</formula>
    </cfRule>
  </conditionalFormatting>
  <conditionalFormatting sqref="B1999:B2005 B2007:B2010 B2019">
    <cfRule type="duplicateValues" dxfId="1" priority="518"/>
  </conditionalFormatting>
  <conditionalFormatting sqref="K1999:V2019">
    <cfRule type="cellIs" dxfId="3" priority="507" operator="lessThan">
      <formula>0</formula>
    </cfRule>
  </conditionalFormatting>
  <conditionalFormatting sqref="B2020:B2026 B2028:B2031 B2040">
    <cfRule type="duplicateValues" dxfId="1" priority="506"/>
  </conditionalFormatting>
  <conditionalFormatting sqref="K2020:V2040">
    <cfRule type="cellIs" dxfId="3" priority="495" operator="lessThan">
      <formula>0</formula>
    </cfRule>
  </conditionalFormatting>
  <conditionalFormatting sqref="B2041:B2047 B2049:B2052 B2061">
    <cfRule type="duplicateValues" dxfId="1" priority="494"/>
  </conditionalFormatting>
  <conditionalFormatting sqref="K2041:V2061">
    <cfRule type="cellIs" dxfId="3" priority="483" operator="lessThan">
      <formula>0</formula>
    </cfRule>
  </conditionalFormatting>
  <conditionalFormatting sqref="B2062:B2068 B2070:B2073 B2082">
    <cfRule type="duplicateValues" dxfId="1" priority="482"/>
  </conditionalFormatting>
  <conditionalFormatting sqref="K2062:V2082">
    <cfRule type="cellIs" dxfId="3" priority="471" operator="lessThan">
      <formula>0</formula>
    </cfRule>
  </conditionalFormatting>
  <conditionalFormatting sqref="B2083:B2089 B2091:B2094 B2103">
    <cfRule type="duplicateValues" dxfId="1" priority="470"/>
  </conditionalFormatting>
  <conditionalFormatting sqref="K2083:V2103">
    <cfRule type="cellIs" dxfId="3" priority="459" operator="lessThan">
      <formula>0</formula>
    </cfRule>
  </conditionalFormatting>
  <conditionalFormatting sqref="B2104:B2110 B2112:B2115 B2124">
    <cfRule type="duplicateValues" dxfId="1" priority="458"/>
  </conditionalFormatting>
  <conditionalFormatting sqref="K2104:V2124">
    <cfRule type="cellIs" dxfId="3" priority="447" operator="lessThan">
      <formula>0</formula>
    </cfRule>
  </conditionalFormatting>
  <conditionalFormatting sqref="B2125:B2131 B2133:B2136 B2145">
    <cfRule type="duplicateValues" dxfId="1" priority="446"/>
  </conditionalFormatting>
  <conditionalFormatting sqref="K2125:V2145">
    <cfRule type="cellIs" dxfId="3" priority="435" operator="lessThan">
      <formula>0</formula>
    </cfRule>
  </conditionalFormatting>
  <conditionalFormatting sqref="B2146:B2152 B2154:B2157 B2166">
    <cfRule type="duplicateValues" dxfId="1" priority="434"/>
  </conditionalFormatting>
  <conditionalFormatting sqref="K2146:V2166">
    <cfRule type="cellIs" dxfId="3" priority="423" operator="lessThan">
      <formula>0</formula>
    </cfRule>
  </conditionalFormatting>
  <conditionalFormatting sqref="B2167:B2173 B2175:B2178 B2187">
    <cfRule type="duplicateValues" dxfId="1" priority="410"/>
  </conditionalFormatting>
  <conditionalFormatting sqref="K2167:V2187">
    <cfRule type="cellIs" dxfId="3" priority="399" operator="lessThan">
      <formula>0</formula>
    </cfRule>
  </conditionalFormatting>
  <conditionalFormatting sqref="B2188:B2194 B2196:B2199 B2208">
    <cfRule type="duplicateValues" dxfId="1" priority="398"/>
  </conditionalFormatting>
  <conditionalFormatting sqref="K2188:V2208">
    <cfRule type="cellIs" dxfId="3" priority="387" operator="lessThan">
      <formula>0</formula>
    </cfRule>
  </conditionalFormatting>
  <conditionalFormatting sqref="B2209:B2215 B2217:B2220 B2229">
    <cfRule type="duplicateValues" dxfId="1" priority="386"/>
  </conditionalFormatting>
  <conditionalFormatting sqref="K2209:V2229">
    <cfRule type="cellIs" dxfId="3" priority="375" operator="lessThan">
      <formula>0</formula>
    </cfRule>
  </conditionalFormatting>
  <conditionalFormatting sqref="B2230:B2236 B2238:B2241 B2250">
    <cfRule type="duplicateValues" dxfId="1" priority="374"/>
  </conditionalFormatting>
  <conditionalFormatting sqref="K2230:V2250">
    <cfRule type="cellIs" dxfId="3" priority="363" operator="lessThan">
      <formula>0</formula>
    </cfRule>
  </conditionalFormatting>
  <conditionalFormatting sqref="B2251:B2257 B2259:B2262 B2271">
    <cfRule type="duplicateValues" dxfId="1" priority="362"/>
  </conditionalFormatting>
  <conditionalFormatting sqref="K2251:V2271">
    <cfRule type="cellIs" dxfId="3" priority="351" operator="lessThan">
      <formula>0</formula>
    </cfRule>
  </conditionalFormatting>
  <conditionalFormatting sqref="B2272:B2278 B2280:B2283 B2292">
    <cfRule type="duplicateValues" dxfId="1" priority="350"/>
  </conditionalFormatting>
  <conditionalFormatting sqref="K2272:V2292">
    <cfRule type="cellIs" dxfId="3" priority="339" operator="lessThan">
      <formula>0</formula>
    </cfRule>
  </conditionalFormatting>
  <conditionalFormatting sqref="B2293:B2299 B2301:B2304 B2313">
    <cfRule type="duplicateValues" dxfId="1" priority="338"/>
  </conditionalFormatting>
  <conditionalFormatting sqref="K2293:V2313">
    <cfRule type="cellIs" dxfId="3" priority="327" operator="lessThan">
      <formula>0</formula>
    </cfRule>
  </conditionalFormatting>
  <conditionalFormatting sqref="B2314:B2320 B2322:B2325 B2334">
    <cfRule type="duplicateValues" dxfId="1" priority="326"/>
  </conditionalFormatting>
  <conditionalFormatting sqref="K2314:V2334">
    <cfRule type="cellIs" dxfId="3" priority="315" operator="lessThan">
      <formula>0</formula>
    </cfRule>
  </conditionalFormatting>
  <conditionalFormatting sqref="B2335:B2341 B2343:B2346 B2355">
    <cfRule type="duplicateValues" dxfId="1" priority="314"/>
  </conditionalFormatting>
  <conditionalFormatting sqref="K2335:V2355">
    <cfRule type="cellIs" dxfId="3" priority="303" operator="lessThan">
      <formula>0</formula>
    </cfRule>
  </conditionalFormatting>
  <conditionalFormatting sqref="B2356:B2362 B2364:B2367 B2376">
    <cfRule type="duplicateValues" dxfId="1" priority="302"/>
  </conditionalFormatting>
  <conditionalFormatting sqref="K2356:V2376">
    <cfRule type="cellIs" dxfId="3" priority="291" operator="lessThan">
      <formula>0</formula>
    </cfRule>
  </conditionalFormatting>
  <conditionalFormatting sqref="B2377:B2383 B2385:B2388 B2397">
    <cfRule type="duplicateValues" dxfId="1" priority="290"/>
  </conditionalFormatting>
  <conditionalFormatting sqref="K2377:V2397">
    <cfRule type="cellIs" dxfId="3" priority="279" operator="lessThan">
      <formula>0</formula>
    </cfRule>
  </conditionalFormatting>
  <conditionalFormatting sqref="B2398:B2404 B2406:B2409 B2418">
    <cfRule type="duplicateValues" dxfId="1" priority="278"/>
  </conditionalFormatting>
  <conditionalFormatting sqref="K2398:V2418">
    <cfRule type="cellIs" dxfId="3" priority="267" operator="lessThan">
      <formula>0</formula>
    </cfRule>
  </conditionalFormatting>
  <conditionalFormatting sqref="B2419:B2425 B2427:B2430 B2439">
    <cfRule type="duplicateValues" dxfId="1" priority="266"/>
  </conditionalFormatting>
  <conditionalFormatting sqref="K2419:V2439">
    <cfRule type="cellIs" dxfId="3" priority="255" operator="lessThan">
      <formula>0</formula>
    </cfRule>
  </conditionalFormatting>
  <conditionalFormatting sqref="B2440:B2446 B2448:B2451 B2460">
    <cfRule type="duplicateValues" dxfId="1" priority="254"/>
  </conditionalFormatting>
  <conditionalFormatting sqref="K2440:V2460">
    <cfRule type="cellIs" dxfId="3" priority="243" operator="lessThan">
      <formula>0</formula>
    </cfRule>
  </conditionalFormatting>
  <conditionalFormatting sqref="B2482:B2488 B2490:B2493 B2502">
    <cfRule type="duplicateValues" dxfId="1" priority="242"/>
  </conditionalFormatting>
  <conditionalFormatting sqref="K2482:V2502">
    <cfRule type="cellIs" dxfId="3" priority="231" operator="lessThan">
      <formula>0</formula>
    </cfRule>
  </conditionalFormatting>
  <conditionalFormatting sqref="B2523 B2511:B2514 B2503:B2509">
    <cfRule type="duplicateValues" dxfId="1" priority="230"/>
  </conditionalFormatting>
  <conditionalFormatting sqref="K2503:V2523">
    <cfRule type="cellIs" dxfId="3" priority="218" operator="lessThan">
      <formula>0</formula>
    </cfRule>
  </conditionalFormatting>
  <conditionalFormatting sqref="B2524:B2530 B2532:B2535 B2544">
    <cfRule type="duplicateValues" dxfId="1" priority="217"/>
  </conditionalFormatting>
  <conditionalFormatting sqref="K2524:V2544">
    <cfRule type="cellIs" dxfId="3" priority="206" operator="lessThan">
      <formula>0</formula>
    </cfRule>
  </conditionalFormatting>
  <conditionalFormatting sqref="B2545:B2551 B2553:B2556 B2565">
    <cfRule type="duplicateValues" dxfId="1" priority="193"/>
  </conditionalFormatting>
  <conditionalFormatting sqref="K2545:V2565">
    <cfRule type="cellIs" dxfId="3" priority="182" operator="lessThan">
      <formula>0</formula>
    </cfRule>
  </conditionalFormatting>
  <conditionalFormatting sqref="B2566:B2572 B2574:B2577 B2586">
    <cfRule type="duplicateValues" dxfId="1" priority="181"/>
  </conditionalFormatting>
  <conditionalFormatting sqref="K2566:V2586">
    <cfRule type="cellIs" dxfId="3" priority="170" operator="lessThan">
      <formula>0</formula>
    </cfRule>
  </conditionalFormatting>
  <conditionalFormatting sqref="B2587:B2593 B2595:B2598 B2607">
    <cfRule type="duplicateValues" dxfId="1" priority="169"/>
  </conditionalFormatting>
  <conditionalFormatting sqref="K2587:V2607">
    <cfRule type="cellIs" dxfId="3" priority="158" operator="lessThan">
      <formula>0</formula>
    </cfRule>
  </conditionalFormatting>
  <conditionalFormatting sqref="B2608:B2614 B2616:B2619 B2628">
    <cfRule type="duplicateValues" dxfId="1" priority="157"/>
  </conditionalFormatting>
  <conditionalFormatting sqref="K2608:V2628">
    <cfRule type="cellIs" dxfId="3" priority="146" operator="lessThan">
      <formula>0</formula>
    </cfRule>
  </conditionalFormatting>
  <conditionalFormatting sqref="B2629:B2635 B2637:B2640 B2649">
    <cfRule type="duplicateValues" dxfId="1" priority="145"/>
  </conditionalFormatting>
  <conditionalFormatting sqref="K2629:V2649">
    <cfRule type="cellIs" dxfId="3" priority="134" operator="lessThan">
      <formula>0</formula>
    </cfRule>
  </conditionalFormatting>
  <conditionalFormatting sqref="B2650:B2656 B2658:B2661 B2670">
    <cfRule type="duplicateValues" dxfId="1" priority="133"/>
  </conditionalFormatting>
  <conditionalFormatting sqref="K2650:V2670">
    <cfRule type="cellIs" dxfId="3" priority="122" operator="lessThan">
      <formula>0</formula>
    </cfRule>
  </conditionalFormatting>
  <conditionalFormatting sqref="B2671:B2677 B2679:B2682 B2691">
    <cfRule type="duplicateValues" dxfId="1" priority="121"/>
  </conditionalFormatting>
  <conditionalFormatting sqref="K2671:V2691">
    <cfRule type="cellIs" dxfId="3" priority="110" operator="lessThan">
      <formula>0</formula>
    </cfRule>
  </conditionalFormatting>
  <conditionalFormatting sqref="B2692:B2698 B2700:B2703 B2712">
    <cfRule type="duplicateValues" dxfId="1" priority="109"/>
  </conditionalFormatting>
  <conditionalFormatting sqref="K2692:V2712">
    <cfRule type="cellIs" dxfId="3" priority="98" operator="lessThan">
      <formula>0</formula>
    </cfRule>
  </conditionalFormatting>
  <conditionalFormatting sqref="B2713:B2719 B2721:B2724 B2733">
    <cfRule type="duplicateValues" dxfId="1" priority="97"/>
  </conditionalFormatting>
  <conditionalFormatting sqref="K2713:V2733">
    <cfRule type="cellIs" dxfId="3" priority="86" operator="lessThan">
      <formula>0</formula>
    </cfRule>
  </conditionalFormatting>
  <conditionalFormatting sqref="B2754 B2742:B2745 B2734:B2740">
    <cfRule type="duplicateValues" dxfId="1" priority="85"/>
  </conditionalFormatting>
  <conditionalFormatting sqref="K2734:V2754">
    <cfRule type="cellIs" dxfId="3" priority="73" operator="lessThan">
      <formula>0</formula>
    </cfRule>
  </conditionalFormatting>
  <conditionalFormatting sqref="B2755:B2761 B2763:B2766 B2775">
    <cfRule type="duplicateValues" dxfId="1" priority="72"/>
  </conditionalFormatting>
  <conditionalFormatting sqref="K2755:V2775">
    <cfRule type="cellIs" dxfId="3" priority="61" operator="lessThan">
      <formula>0</formula>
    </cfRule>
  </conditionalFormatting>
  <conditionalFormatting sqref="B2797:B2803 B2805:B2808 B2817">
    <cfRule type="duplicateValues" dxfId="1" priority="48"/>
  </conditionalFormatting>
  <conditionalFormatting sqref="K2797:V2817">
    <cfRule type="cellIs" dxfId="3" priority="37" operator="lessThan">
      <formula>0</formula>
    </cfRule>
  </conditionalFormatting>
  <conditionalFormatting sqref="B2818:B2824 B2826:B2829 B2838">
    <cfRule type="duplicateValues" dxfId="1" priority="36"/>
  </conditionalFormatting>
  <conditionalFormatting sqref="K2818:V2838">
    <cfRule type="cellIs" dxfId="3" priority="25" operator="lessThan">
      <formula>0</formula>
    </cfRule>
  </conditionalFormatting>
  <conditionalFormatting sqref="B2839:B2845 B2847:B2850 B2859">
    <cfRule type="duplicateValues" dxfId="1" priority="24"/>
  </conditionalFormatting>
  <conditionalFormatting sqref="K2839:V2859">
    <cfRule type="cellIs" dxfId="3" priority="13" operator="lessThan">
      <formula>0</formula>
    </cfRule>
  </conditionalFormatting>
  <conditionalFormatting sqref="B2860:B2866 B2868:B2871 B2880">
    <cfRule type="duplicateValues" dxfId="1" priority="12"/>
  </conditionalFormatting>
  <conditionalFormatting sqref="K2860:V2880">
    <cfRule type="cellIs" dxfId="3" priority="1" operator="lessThan">
      <formula>0</formula>
    </cfRule>
  </conditionalFormatting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722"/>
  <sheetViews>
    <sheetView topLeftCell="A2674" workbookViewId="0">
      <selection activeCell="E2697" sqref="E2697"/>
    </sheetView>
  </sheetViews>
  <sheetFormatPr defaultColWidth="8.875" defaultRowHeight="13.5" outlineLevelCol="4"/>
  <cols>
    <col min="1" max="1" width="13" customWidth="1"/>
    <col min="2" max="2" width="17.125" customWidth="1"/>
  </cols>
  <sheetData>
    <row r="1" ht="16.5" spans="1:4">
      <c r="A1" s="172" t="s">
        <v>4787</v>
      </c>
      <c r="B1" s="172" t="s">
        <v>4788</v>
      </c>
      <c r="C1" s="172" t="s">
        <v>4789</v>
      </c>
      <c r="D1" s="172" t="s">
        <v>4622</v>
      </c>
    </row>
    <row r="2" ht="16.5" spans="1:4">
      <c r="A2" s="173" t="s">
        <v>4790</v>
      </c>
      <c r="B2" s="173" t="s">
        <v>4791</v>
      </c>
      <c r="C2" s="173" t="s">
        <v>4792</v>
      </c>
      <c r="D2" s="173" t="s">
        <v>4793</v>
      </c>
    </row>
    <row r="3" ht="16.5" spans="1:4">
      <c r="A3" s="173" t="s">
        <v>4794</v>
      </c>
      <c r="B3" s="173" t="s">
        <v>4795</v>
      </c>
      <c r="C3" s="173" t="s">
        <v>4796</v>
      </c>
      <c r="D3" s="173" t="s">
        <v>4797</v>
      </c>
    </row>
    <row r="4" ht="16.5" spans="1:4">
      <c r="A4" s="173" t="s">
        <v>4798</v>
      </c>
      <c r="B4" s="173" t="s">
        <v>4799</v>
      </c>
      <c r="C4" s="173" t="s">
        <v>4800</v>
      </c>
      <c r="D4" s="173" t="s">
        <v>4801</v>
      </c>
    </row>
    <row r="5" ht="16.5" spans="1:4">
      <c r="A5" s="173" t="s">
        <v>4802</v>
      </c>
      <c r="B5" s="173" t="s">
        <v>4795</v>
      </c>
      <c r="C5" s="173" t="s">
        <v>4796</v>
      </c>
      <c r="D5" s="173" t="s">
        <v>4797</v>
      </c>
    </row>
    <row r="6" ht="16.5" spans="1:4">
      <c r="A6" s="173" t="s">
        <v>4803</v>
      </c>
      <c r="B6" s="173" t="s">
        <v>4799</v>
      </c>
      <c r="C6" s="173" t="s">
        <v>4800</v>
      </c>
      <c r="D6" s="173" t="s">
        <v>4801</v>
      </c>
    </row>
    <row r="7" ht="16.5" spans="1:4">
      <c r="A7" s="173" t="s">
        <v>4804</v>
      </c>
      <c r="B7" s="173" t="s">
        <v>4799</v>
      </c>
      <c r="C7" s="173" t="s">
        <v>4800</v>
      </c>
      <c r="D7" s="173" t="s">
        <v>4801</v>
      </c>
    </row>
    <row r="8" ht="16.5" spans="1:4">
      <c r="A8" s="173" t="s">
        <v>4805</v>
      </c>
      <c r="B8" s="173" t="s">
        <v>4799</v>
      </c>
      <c r="C8" s="173" t="s">
        <v>4800</v>
      </c>
      <c r="D8" s="173" t="s">
        <v>4801</v>
      </c>
    </row>
    <row r="9" ht="16.5" spans="1:4">
      <c r="A9" s="173" t="s">
        <v>4806</v>
      </c>
      <c r="B9" s="173" t="s">
        <v>4799</v>
      </c>
      <c r="C9" s="173" t="s">
        <v>4800</v>
      </c>
      <c r="D9" s="173" t="s">
        <v>4801</v>
      </c>
    </row>
    <row r="10" ht="16.5" spans="1:4">
      <c r="A10" s="173" t="s">
        <v>4807</v>
      </c>
      <c r="B10" s="173" t="s">
        <v>4799</v>
      </c>
      <c r="C10" s="173" t="s">
        <v>4800</v>
      </c>
      <c r="D10" s="173" t="s">
        <v>4801</v>
      </c>
    </row>
    <row r="11" ht="16.5" spans="1:4">
      <c r="A11" s="173" t="s">
        <v>4808</v>
      </c>
      <c r="B11" s="173" t="s">
        <v>4799</v>
      </c>
      <c r="C11" s="173" t="s">
        <v>4800</v>
      </c>
      <c r="D11" s="173" t="s">
        <v>4801</v>
      </c>
    </row>
    <row r="12" ht="16.5" spans="1:4">
      <c r="A12" s="173" t="s">
        <v>4809</v>
      </c>
      <c r="B12" s="173" t="s">
        <v>4799</v>
      </c>
      <c r="C12" s="173" t="s">
        <v>4800</v>
      </c>
      <c r="D12" s="173" t="s">
        <v>4801</v>
      </c>
    </row>
    <row r="13" ht="16.5" spans="1:4">
      <c r="A13" s="173" t="s">
        <v>4810</v>
      </c>
      <c r="B13" s="173" t="s">
        <v>4799</v>
      </c>
      <c r="C13" s="173" t="s">
        <v>4800</v>
      </c>
      <c r="D13" s="173" t="s">
        <v>4801</v>
      </c>
    </row>
    <row r="14" ht="16.5" spans="1:4">
      <c r="A14" s="173" t="s">
        <v>4811</v>
      </c>
      <c r="B14" s="173" t="s">
        <v>4812</v>
      </c>
      <c r="C14" s="173" t="s">
        <v>4813</v>
      </c>
      <c r="D14" s="173" t="s">
        <v>4814</v>
      </c>
    </row>
    <row r="15" ht="16.5" spans="1:4">
      <c r="A15" s="173" t="s">
        <v>4815</v>
      </c>
      <c r="B15" s="173" t="s">
        <v>4812</v>
      </c>
      <c r="C15" s="173" t="s">
        <v>4813</v>
      </c>
      <c r="D15" s="173" t="s">
        <v>4814</v>
      </c>
    </row>
    <row r="16" ht="16.5" spans="1:4">
      <c r="A16" s="173" t="s">
        <v>4816</v>
      </c>
      <c r="B16" s="173" t="s">
        <v>4817</v>
      </c>
      <c r="C16" s="173" t="s">
        <v>4818</v>
      </c>
      <c r="D16" s="173" t="s">
        <v>4819</v>
      </c>
    </row>
    <row r="17" ht="16.5" spans="1:4">
      <c r="A17" s="173" t="s">
        <v>4820</v>
      </c>
      <c r="B17" s="173" t="s">
        <v>4812</v>
      </c>
      <c r="C17" s="173" t="s">
        <v>4813</v>
      </c>
      <c r="D17" s="173" t="s">
        <v>4814</v>
      </c>
    </row>
    <row r="18" ht="16.5" spans="1:4">
      <c r="A18" s="173" t="s">
        <v>4821</v>
      </c>
      <c r="B18" s="173" t="s">
        <v>4822</v>
      </c>
      <c r="C18" s="173" t="s">
        <v>4823</v>
      </c>
      <c r="D18" s="173" t="s">
        <v>4823</v>
      </c>
    </row>
    <row r="19" ht="16.5" spans="1:4">
      <c r="A19" s="173" t="s">
        <v>4824</v>
      </c>
      <c r="B19" s="173" t="s">
        <v>4822</v>
      </c>
      <c r="C19" s="173" t="s">
        <v>4823</v>
      </c>
      <c r="D19" s="173" t="s">
        <v>4823</v>
      </c>
    </row>
    <row r="20" ht="16.5" spans="1:4">
      <c r="A20" s="173" t="s">
        <v>4825</v>
      </c>
      <c r="B20" s="173" t="s">
        <v>4822</v>
      </c>
      <c r="C20" s="173" t="s">
        <v>4823</v>
      </c>
      <c r="D20" s="173" t="s">
        <v>4823</v>
      </c>
    </row>
    <row r="21" ht="16.5" spans="1:4">
      <c r="A21" s="173" t="s">
        <v>4826</v>
      </c>
      <c r="B21" s="173" t="s">
        <v>4822</v>
      </c>
      <c r="C21" s="173" t="s">
        <v>4823</v>
      </c>
      <c r="D21" s="173" t="s">
        <v>4823</v>
      </c>
    </row>
    <row r="22" ht="16.5" spans="1:4">
      <c r="A22" s="173" t="s">
        <v>4822</v>
      </c>
      <c r="B22" s="173" t="s">
        <v>4822</v>
      </c>
      <c r="C22" s="173" t="s">
        <v>4823</v>
      </c>
      <c r="D22" s="173" t="s">
        <v>4823</v>
      </c>
    </row>
    <row r="23" ht="16.5" spans="1:4">
      <c r="A23" s="173" t="s">
        <v>4827</v>
      </c>
      <c r="B23" s="173" t="s">
        <v>4812</v>
      </c>
      <c r="C23" s="173" t="s">
        <v>4813</v>
      </c>
      <c r="D23" s="173" t="s">
        <v>4814</v>
      </c>
    </row>
    <row r="24" ht="16.5" spans="1:4">
      <c r="A24" s="173" t="s">
        <v>4828</v>
      </c>
      <c r="B24" s="173" t="s">
        <v>4812</v>
      </c>
      <c r="C24" s="173" t="s">
        <v>4813</v>
      </c>
      <c r="D24" s="173" t="s">
        <v>4814</v>
      </c>
    </row>
    <row r="25" ht="16.5" spans="1:4">
      <c r="A25" s="173" t="s">
        <v>4829</v>
      </c>
      <c r="B25" s="173" t="s">
        <v>4830</v>
      </c>
      <c r="C25" s="173" t="s">
        <v>4831</v>
      </c>
      <c r="D25" s="173" t="s">
        <v>4832</v>
      </c>
    </row>
    <row r="26" ht="16.5" spans="1:4">
      <c r="A26" s="173" t="s">
        <v>4833</v>
      </c>
      <c r="B26" s="173" t="s">
        <v>4830</v>
      </c>
      <c r="C26" s="173" t="s">
        <v>4831</v>
      </c>
      <c r="D26" s="173" t="s">
        <v>4832</v>
      </c>
    </row>
    <row r="27" ht="16.5" spans="1:4">
      <c r="A27" s="173" t="s">
        <v>4834</v>
      </c>
      <c r="B27" s="173" t="s">
        <v>4812</v>
      </c>
      <c r="C27" s="173" t="s">
        <v>4813</v>
      </c>
      <c r="D27" s="173" t="s">
        <v>4814</v>
      </c>
    </row>
    <row r="28" ht="16.5" spans="1:4">
      <c r="A28" s="173" t="s">
        <v>4835</v>
      </c>
      <c r="B28" s="173" t="s">
        <v>4795</v>
      </c>
      <c r="C28" s="173" t="s">
        <v>4796</v>
      </c>
      <c r="D28" s="173" t="s">
        <v>4797</v>
      </c>
    </row>
    <row r="29" ht="16.5" spans="1:4">
      <c r="A29" s="173" t="s">
        <v>4836</v>
      </c>
      <c r="B29" s="173" t="s">
        <v>4836</v>
      </c>
      <c r="C29" s="173" t="s">
        <v>4837</v>
      </c>
      <c r="D29" s="173" t="s">
        <v>4838</v>
      </c>
    </row>
    <row r="30" ht="16.5" spans="1:4">
      <c r="A30" s="173" t="s">
        <v>754</v>
      </c>
      <c r="B30" s="173" t="s">
        <v>754</v>
      </c>
      <c r="C30" s="173" t="s">
        <v>4839</v>
      </c>
      <c r="D30" s="173" t="s">
        <v>4838</v>
      </c>
    </row>
    <row r="31" ht="16.5" spans="1:4">
      <c r="A31" s="173" t="s">
        <v>4840</v>
      </c>
      <c r="B31" s="173" t="s">
        <v>4840</v>
      </c>
      <c r="C31" s="173" t="s">
        <v>4841</v>
      </c>
      <c r="D31" s="173" t="s">
        <v>4842</v>
      </c>
    </row>
    <row r="32" ht="16.5" spans="1:4">
      <c r="A32" s="173" t="s">
        <v>4843</v>
      </c>
      <c r="B32" s="173" t="s">
        <v>4843</v>
      </c>
      <c r="C32" s="173" t="s">
        <v>4844</v>
      </c>
      <c r="D32" s="173" t="s">
        <v>4838</v>
      </c>
    </row>
    <row r="33" ht="16.5" spans="1:4">
      <c r="A33" s="173" t="s">
        <v>240</v>
      </c>
      <c r="B33" s="173" t="s">
        <v>240</v>
      </c>
      <c r="C33" s="173" t="s">
        <v>4845</v>
      </c>
      <c r="D33" s="173" t="s">
        <v>4838</v>
      </c>
    </row>
    <row r="34" ht="16.5" spans="1:4">
      <c r="A34" s="173" t="s">
        <v>4846</v>
      </c>
      <c r="B34" s="173" t="s">
        <v>4846</v>
      </c>
      <c r="C34" s="173" t="s">
        <v>4847</v>
      </c>
      <c r="D34" s="173" t="s">
        <v>4838</v>
      </c>
    </row>
    <row r="35" ht="16.5" spans="1:4">
      <c r="A35" s="173" t="s">
        <v>1048</v>
      </c>
      <c r="B35" s="173" t="s">
        <v>1048</v>
      </c>
      <c r="C35" s="173" t="s">
        <v>4848</v>
      </c>
      <c r="D35" s="173" t="s">
        <v>4838</v>
      </c>
    </row>
    <row r="36" ht="16.5" spans="1:4">
      <c r="A36" s="173" t="s">
        <v>4849</v>
      </c>
      <c r="B36" s="173" t="s">
        <v>4849</v>
      </c>
      <c r="C36" s="173" t="s">
        <v>4850</v>
      </c>
      <c r="D36" s="173" t="s">
        <v>4838</v>
      </c>
    </row>
    <row r="37" ht="16.5" spans="1:4">
      <c r="A37" s="173" t="s">
        <v>4851</v>
      </c>
      <c r="B37" s="173" t="s">
        <v>4799</v>
      </c>
      <c r="C37" s="173" t="s">
        <v>4800</v>
      </c>
      <c r="D37" s="173" t="s">
        <v>4801</v>
      </c>
    </row>
    <row r="38" ht="16.5" spans="1:4">
      <c r="A38" s="173" t="s">
        <v>4852</v>
      </c>
      <c r="B38" s="173" t="s">
        <v>4799</v>
      </c>
      <c r="C38" s="173" t="s">
        <v>4800</v>
      </c>
      <c r="D38" s="173" t="s">
        <v>4801</v>
      </c>
    </row>
    <row r="39" ht="16.5" spans="1:4">
      <c r="A39" s="173" t="s">
        <v>4853</v>
      </c>
      <c r="B39" s="173" t="s">
        <v>4854</v>
      </c>
      <c r="C39" s="174" t="s">
        <v>4855</v>
      </c>
      <c r="D39" s="173" t="s">
        <v>4856</v>
      </c>
    </row>
    <row r="40" ht="16.5" spans="1:4">
      <c r="A40" s="173" t="s">
        <v>4857</v>
      </c>
      <c r="B40" s="173" t="s">
        <v>4858</v>
      </c>
      <c r="C40" s="173" t="s">
        <v>4859</v>
      </c>
      <c r="D40" s="173" t="s">
        <v>4860</v>
      </c>
    </row>
    <row r="41" ht="16.5" spans="1:4">
      <c r="A41" s="173" t="s">
        <v>4861</v>
      </c>
      <c r="B41" s="173" t="s">
        <v>4791</v>
      </c>
      <c r="C41" s="173" t="s">
        <v>4792</v>
      </c>
      <c r="D41" s="173" t="s">
        <v>4793</v>
      </c>
    </row>
    <row r="42" ht="16.5" spans="1:4">
      <c r="A42" s="173" t="s">
        <v>4862</v>
      </c>
      <c r="B42" s="173" t="s">
        <v>4863</v>
      </c>
      <c r="C42" s="173" t="s">
        <v>4864</v>
      </c>
      <c r="D42" s="173" t="s">
        <v>4865</v>
      </c>
    </row>
    <row r="43" ht="16.5" spans="1:4">
      <c r="A43" s="173" t="s">
        <v>4863</v>
      </c>
      <c r="B43" s="173" t="s">
        <v>4863</v>
      </c>
      <c r="C43" s="173" t="s">
        <v>4864</v>
      </c>
      <c r="D43" s="173" t="s">
        <v>4865</v>
      </c>
    </row>
    <row r="44" ht="16.5" spans="1:4">
      <c r="A44" s="173" t="s">
        <v>4866</v>
      </c>
      <c r="B44" s="173" t="s">
        <v>4817</v>
      </c>
      <c r="C44" s="173" t="s">
        <v>4818</v>
      </c>
      <c r="D44" s="173" t="s">
        <v>4819</v>
      </c>
    </row>
    <row r="45" ht="16.5" spans="1:4">
      <c r="A45" s="173" t="s">
        <v>4867</v>
      </c>
      <c r="B45" s="173" t="s">
        <v>4830</v>
      </c>
      <c r="C45" s="173" t="s">
        <v>4831</v>
      </c>
      <c r="D45" s="173" t="s">
        <v>4832</v>
      </c>
    </row>
    <row r="46" ht="16.5" spans="1:4">
      <c r="A46" s="173" t="s">
        <v>4868</v>
      </c>
      <c r="B46" s="173" t="s">
        <v>4812</v>
      </c>
      <c r="C46" s="173" t="s">
        <v>4813</v>
      </c>
      <c r="D46" s="173" t="s">
        <v>4814</v>
      </c>
    </row>
    <row r="47" ht="16.5" spans="1:4">
      <c r="A47" s="173" t="s">
        <v>4869</v>
      </c>
      <c r="B47" s="173" t="s">
        <v>4812</v>
      </c>
      <c r="C47" s="173" t="s">
        <v>4813</v>
      </c>
      <c r="D47" s="173" t="s">
        <v>4814</v>
      </c>
    </row>
    <row r="48" ht="16.5" spans="1:4">
      <c r="A48" s="173" t="s">
        <v>4870</v>
      </c>
      <c r="B48" s="173" t="s">
        <v>4812</v>
      </c>
      <c r="C48" s="173" t="s">
        <v>4813</v>
      </c>
      <c r="D48" s="173" t="s">
        <v>4814</v>
      </c>
    </row>
    <row r="49" ht="16.5" spans="1:4">
      <c r="A49" s="173" t="s">
        <v>4871</v>
      </c>
      <c r="B49" s="173" t="s">
        <v>4812</v>
      </c>
      <c r="C49" s="173" t="s">
        <v>4813</v>
      </c>
      <c r="D49" s="173" t="s">
        <v>4814</v>
      </c>
    </row>
    <row r="50" ht="16.5" spans="1:4">
      <c r="A50" s="173" t="s">
        <v>4872</v>
      </c>
      <c r="B50" s="173" t="s">
        <v>4812</v>
      </c>
      <c r="C50" s="173" t="s">
        <v>4813</v>
      </c>
      <c r="D50" s="173" t="s">
        <v>4814</v>
      </c>
    </row>
    <row r="51" ht="16.5" spans="1:4">
      <c r="A51" s="173" t="s">
        <v>4873</v>
      </c>
      <c r="B51" s="173" t="s">
        <v>4854</v>
      </c>
      <c r="C51" s="173" t="s">
        <v>4874</v>
      </c>
      <c r="D51" s="173" t="s">
        <v>4875</v>
      </c>
    </row>
    <row r="52" ht="16.5" spans="1:4">
      <c r="A52" s="173" t="s">
        <v>4876</v>
      </c>
      <c r="B52" s="173" t="s">
        <v>4854</v>
      </c>
      <c r="C52" s="173" t="s">
        <v>4874</v>
      </c>
      <c r="D52" s="173" t="s">
        <v>4875</v>
      </c>
    </row>
    <row r="53" ht="16.5" spans="1:4">
      <c r="A53" s="173" t="s">
        <v>4877</v>
      </c>
      <c r="B53" s="173" t="s">
        <v>4854</v>
      </c>
      <c r="C53" s="173" t="s">
        <v>4874</v>
      </c>
      <c r="D53" s="173" t="s">
        <v>4875</v>
      </c>
    </row>
    <row r="54" ht="16.5" spans="1:4">
      <c r="A54" s="173" t="s">
        <v>4878</v>
      </c>
      <c r="B54" s="173" t="s">
        <v>4854</v>
      </c>
      <c r="C54" s="173" t="s">
        <v>4874</v>
      </c>
      <c r="D54" s="173" t="s">
        <v>4875</v>
      </c>
    </row>
    <row r="55" ht="16.5" spans="1:4">
      <c r="A55" s="173" t="s">
        <v>4879</v>
      </c>
      <c r="B55" s="173" t="s">
        <v>4854</v>
      </c>
      <c r="C55" s="173" t="s">
        <v>4874</v>
      </c>
      <c r="D55" s="173" t="s">
        <v>4875</v>
      </c>
    </row>
    <row r="56" ht="16.5" spans="1:4">
      <c r="A56" s="173" t="s">
        <v>4880</v>
      </c>
      <c r="B56" s="173" t="s">
        <v>4854</v>
      </c>
      <c r="C56" s="173" t="s">
        <v>4874</v>
      </c>
      <c r="D56" s="173" t="s">
        <v>4875</v>
      </c>
    </row>
    <row r="57" ht="16.5" spans="1:4">
      <c r="A57" s="173" t="s">
        <v>4881</v>
      </c>
      <c r="B57" s="173" t="s">
        <v>4854</v>
      </c>
      <c r="C57" s="173" t="s">
        <v>4874</v>
      </c>
      <c r="D57" s="173" t="s">
        <v>4875</v>
      </c>
    </row>
    <row r="58" ht="16.5" spans="1:4">
      <c r="A58" s="173" t="s">
        <v>4882</v>
      </c>
      <c r="B58" s="173" t="s">
        <v>4854</v>
      </c>
      <c r="C58" s="173" t="s">
        <v>4874</v>
      </c>
      <c r="D58" s="173" t="s">
        <v>4875</v>
      </c>
    </row>
    <row r="59" ht="16.5" spans="1:4">
      <c r="A59" s="173" t="s">
        <v>4883</v>
      </c>
      <c r="B59" s="173" t="s">
        <v>4854</v>
      </c>
      <c r="C59" s="173" t="s">
        <v>4874</v>
      </c>
      <c r="D59" s="173" t="s">
        <v>4875</v>
      </c>
    </row>
    <row r="60" ht="16.5" spans="1:4">
      <c r="A60" s="173" t="s">
        <v>4884</v>
      </c>
      <c r="B60" s="173" t="s">
        <v>4854</v>
      </c>
      <c r="C60" s="173" t="s">
        <v>4874</v>
      </c>
      <c r="D60" s="173" t="s">
        <v>4875</v>
      </c>
    </row>
    <row r="61" ht="16.5" spans="1:4">
      <c r="A61" s="173" t="s">
        <v>4885</v>
      </c>
      <c r="B61" s="173" t="s">
        <v>4854</v>
      </c>
      <c r="C61" s="173" t="s">
        <v>4874</v>
      </c>
      <c r="D61" s="173" t="s">
        <v>4875</v>
      </c>
    </row>
    <row r="62" ht="16.5" spans="1:4">
      <c r="A62" s="173" t="s">
        <v>4886</v>
      </c>
      <c r="B62" s="173" t="s">
        <v>4854</v>
      </c>
      <c r="C62" s="173" t="s">
        <v>4874</v>
      </c>
      <c r="D62" s="173" t="s">
        <v>4875</v>
      </c>
    </row>
    <row r="63" ht="16.5" spans="1:4">
      <c r="A63" s="173" t="s">
        <v>4887</v>
      </c>
      <c r="B63" s="173" t="s">
        <v>4854</v>
      </c>
      <c r="C63" s="173" t="s">
        <v>4874</v>
      </c>
      <c r="D63" s="173" t="s">
        <v>4875</v>
      </c>
    </row>
    <row r="64" ht="16.5" spans="1:4">
      <c r="A64" s="173" t="s">
        <v>4888</v>
      </c>
      <c r="B64" s="173" t="s">
        <v>4791</v>
      </c>
      <c r="C64" s="173" t="s">
        <v>4792</v>
      </c>
      <c r="D64" s="173" t="s">
        <v>4793</v>
      </c>
    </row>
    <row r="65" ht="16.5" spans="1:4">
      <c r="A65" s="173" t="s">
        <v>4889</v>
      </c>
      <c r="B65" s="173" t="s">
        <v>4812</v>
      </c>
      <c r="C65" s="173" t="s">
        <v>4813</v>
      </c>
      <c r="D65" s="173" t="s">
        <v>4814</v>
      </c>
    </row>
    <row r="66" ht="16.5" spans="1:4">
      <c r="A66" s="173" t="s">
        <v>4890</v>
      </c>
      <c r="B66" s="173" t="s">
        <v>4817</v>
      </c>
      <c r="C66" s="173" t="s">
        <v>4818</v>
      </c>
      <c r="D66" s="173" t="s">
        <v>4819</v>
      </c>
    </row>
    <row r="67" ht="16.5" spans="1:4">
      <c r="A67" s="173" t="s">
        <v>4891</v>
      </c>
      <c r="B67" s="173" t="s">
        <v>4830</v>
      </c>
      <c r="C67" s="173" t="s">
        <v>4831</v>
      </c>
      <c r="D67" s="173" t="s">
        <v>4832</v>
      </c>
    </row>
    <row r="68" ht="16.5" spans="1:4">
      <c r="A68" s="173" t="s">
        <v>4892</v>
      </c>
      <c r="B68" s="173" t="s">
        <v>4812</v>
      </c>
      <c r="C68" s="173" t="s">
        <v>4813</v>
      </c>
      <c r="D68" s="173" t="s">
        <v>4814</v>
      </c>
    </row>
    <row r="69" ht="16.5" spans="1:4">
      <c r="A69" s="173" t="s">
        <v>4893</v>
      </c>
      <c r="B69" s="173" t="s">
        <v>4812</v>
      </c>
      <c r="C69" s="173" t="s">
        <v>4813</v>
      </c>
      <c r="D69" s="173" t="s">
        <v>4814</v>
      </c>
    </row>
    <row r="70" ht="16.5" spans="1:4">
      <c r="A70" s="173" t="s">
        <v>4894</v>
      </c>
      <c r="B70" s="173" t="s">
        <v>4812</v>
      </c>
      <c r="C70" s="173" t="s">
        <v>4813</v>
      </c>
      <c r="D70" s="173" t="s">
        <v>4814</v>
      </c>
    </row>
    <row r="71" ht="16.5" spans="1:4">
      <c r="A71" s="173" t="s">
        <v>4895</v>
      </c>
      <c r="B71" s="173" t="s">
        <v>4812</v>
      </c>
      <c r="C71" s="173" t="s">
        <v>4813</v>
      </c>
      <c r="D71" s="173" t="s">
        <v>4814</v>
      </c>
    </row>
    <row r="72" ht="16.5" spans="1:4">
      <c r="A72" s="173" t="s">
        <v>4896</v>
      </c>
      <c r="B72" s="173" t="s">
        <v>4812</v>
      </c>
      <c r="C72" s="173" t="s">
        <v>4813</v>
      </c>
      <c r="D72" s="173" t="s">
        <v>4814</v>
      </c>
    </row>
    <row r="73" ht="16.5" spans="1:4">
      <c r="A73" s="173" t="s">
        <v>4897</v>
      </c>
      <c r="B73" s="173" t="s">
        <v>4812</v>
      </c>
      <c r="C73" s="173" t="s">
        <v>4813</v>
      </c>
      <c r="D73" s="173" t="s">
        <v>4814</v>
      </c>
    </row>
    <row r="74" ht="16.5" spans="1:4">
      <c r="A74" s="173" t="s">
        <v>4898</v>
      </c>
      <c r="B74" s="173" t="s">
        <v>4812</v>
      </c>
      <c r="C74" s="173" t="s">
        <v>4813</v>
      </c>
      <c r="D74" s="173" t="s">
        <v>4814</v>
      </c>
    </row>
    <row r="75" ht="16.5" spans="1:4">
      <c r="A75" s="173" t="s">
        <v>4899</v>
      </c>
      <c r="B75" s="173" t="s">
        <v>4812</v>
      </c>
      <c r="C75" s="173" t="s">
        <v>4813</v>
      </c>
      <c r="D75" s="173" t="s">
        <v>4814</v>
      </c>
    </row>
    <row r="76" ht="16.5" spans="1:4">
      <c r="A76" s="173" t="s">
        <v>4900</v>
      </c>
      <c r="B76" s="173" t="s">
        <v>4812</v>
      </c>
      <c r="C76" s="173" t="s">
        <v>4813</v>
      </c>
      <c r="D76" s="173" t="s">
        <v>4814</v>
      </c>
    </row>
    <row r="77" ht="16.5" spans="1:4">
      <c r="A77" s="173" t="s">
        <v>4901</v>
      </c>
      <c r="B77" s="173" t="s">
        <v>4830</v>
      </c>
      <c r="C77" s="173" t="s">
        <v>4831</v>
      </c>
      <c r="D77" s="173" t="s">
        <v>4832</v>
      </c>
    </row>
    <row r="78" ht="16.5" spans="1:4">
      <c r="A78" s="173" t="s">
        <v>1737</v>
      </c>
      <c r="B78" s="173" t="s">
        <v>1737</v>
      </c>
      <c r="C78" s="173" t="s">
        <v>4902</v>
      </c>
      <c r="D78" s="173" t="s">
        <v>4903</v>
      </c>
    </row>
    <row r="79" ht="16.5" spans="1:4">
      <c r="A79" s="173" t="s">
        <v>4904</v>
      </c>
      <c r="B79" s="173" t="s">
        <v>4795</v>
      </c>
      <c r="C79" s="173" t="s">
        <v>4796</v>
      </c>
      <c r="D79" s="173" t="s">
        <v>4797</v>
      </c>
    </row>
    <row r="80" ht="16.5" spans="1:4">
      <c r="A80" s="173" t="s">
        <v>4905</v>
      </c>
      <c r="B80" s="173" t="s">
        <v>4830</v>
      </c>
      <c r="C80" s="173" t="s">
        <v>4831</v>
      </c>
      <c r="D80" s="173" t="s">
        <v>4832</v>
      </c>
    </row>
    <row r="81" ht="16.5" spans="1:4">
      <c r="A81" s="173" t="s">
        <v>4906</v>
      </c>
      <c r="B81" s="173" t="s">
        <v>4817</v>
      </c>
      <c r="C81" s="173" t="s">
        <v>4818</v>
      </c>
      <c r="D81" s="173" t="s">
        <v>4819</v>
      </c>
    </row>
    <row r="82" ht="16.5" spans="1:4">
      <c r="A82" s="173" t="s">
        <v>1098</v>
      </c>
      <c r="B82" s="173" t="s">
        <v>4830</v>
      </c>
      <c r="C82" s="173" t="s">
        <v>4831</v>
      </c>
      <c r="D82" s="173" t="s">
        <v>4832</v>
      </c>
    </row>
    <row r="83" ht="16.5" spans="1:4">
      <c r="A83" s="173" t="s">
        <v>4907</v>
      </c>
      <c r="B83" s="173" t="s">
        <v>4791</v>
      </c>
      <c r="C83" s="173" t="s">
        <v>4792</v>
      </c>
      <c r="D83" s="173" t="s">
        <v>4793</v>
      </c>
    </row>
    <row r="84" ht="16.5" spans="1:4">
      <c r="A84" s="173" t="s">
        <v>4908</v>
      </c>
      <c r="B84" s="173" t="s">
        <v>4799</v>
      </c>
      <c r="C84" s="173" t="s">
        <v>4800</v>
      </c>
      <c r="D84" s="173" t="s">
        <v>4801</v>
      </c>
    </row>
    <row r="85" ht="16.5" spans="1:4">
      <c r="A85" s="173" t="s">
        <v>4909</v>
      </c>
      <c r="B85" s="173" t="s">
        <v>4817</v>
      </c>
      <c r="C85" s="173" t="s">
        <v>4818</v>
      </c>
      <c r="D85" s="173" t="s">
        <v>4819</v>
      </c>
    </row>
    <row r="86" ht="16.5" spans="1:4">
      <c r="A86" s="173" t="s">
        <v>4910</v>
      </c>
      <c r="B86" s="173" t="s">
        <v>4830</v>
      </c>
      <c r="C86" s="173" t="s">
        <v>4831</v>
      </c>
      <c r="D86" s="173" t="s">
        <v>4832</v>
      </c>
    </row>
    <row r="87" ht="16.5" spans="1:4">
      <c r="A87" s="173" t="s">
        <v>4911</v>
      </c>
      <c r="B87" s="173" t="s">
        <v>4830</v>
      </c>
      <c r="C87" s="173" t="s">
        <v>4831</v>
      </c>
      <c r="D87" s="173" t="s">
        <v>4832</v>
      </c>
    </row>
    <row r="88" ht="16.5" spans="1:4">
      <c r="A88" s="173" t="s">
        <v>4912</v>
      </c>
      <c r="B88" s="173" t="s">
        <v>4795</v>
      </c>
      <c r="C88" s="173" t="s">
        <v>4796</v>
      </c>
      <c r="D88" s="173" t="s">
        <v>4797</v>
      </c>
    </row>
    <row r="89" ht="16.5" spans="1:4">
      <c r="A89" s="173" t="s">
        <v>4913</v>
      </c>
      <c r="B89" s="173" t="s">
        <v>4795</v>
      </c>
      <c r="C89" s="173" t="s">
        <v>4796</v>
      </c>
      <c r="D89" s="173" t="s">
        <v>4797</v>
      </c>
    </row>
    <row r="90" ht="16.5" spans="1:4">
      <c r="A90" s="173" t="s">
        <v>4914</v>
      </c>
      <c r="B90" s="173" t="s">
        <v>4812</v>
      </c>
      <c r="C90" s="173" t="s">
        <v>4813</v>
      </c>
      <c r="D90" s="173" t="s">
        <v>4814</v>
      </c>
    </row>
    <row r="91" ht="16.5" spans="1:4">
      <c r="A91" s="173" t="s">
        <v>4915</v>
      </c>
      <c r="B91" s="173" t="s">
        <v>4830</v>
      </c>
      <c r="C91" s="173" t="s">
        <v>4831</v>
      </c>
      <c r="D91" s="173" t="s">
        <v>4832</v>
      </c>
    </row>
    <row r="92" ht="16.5" spans="1:4">
      <c r="A92" s="173" t="s">
        <v>4916</v>
      </c>
      <c r="B92" s="173" t="s">
        <v>4812</v>
      </c>
      <c r="C92" s="173" t="s">
        <v>4813</v>
      </c>
      <c r="D92" s="173" t="s">
        <v>4814</v>
      </c>
    </row>
    <row r="93" ht="16.5" spans="1:4">
      <c r="A93" s="173" t="s">
        <v>4917</v>
      </c>
      <c r="B93" s="173" t="s">
        <v>4812</v>
      </c>
      <c r="C93" s="173" t="s">
        <v>4813</v>
      </c>
      <c r="D93" s="173" t="s">
        <v>4814</v>
      </c>
    </row>
    <row r="94" ht="16.5" spans="1:4">
      <c r="A94" s="173" t="s">
        <v>4918</v>
      </c>
      <c r="B94" s="173" t="s">
        <v>4791</v>
      </c>
      <c r="C94" s="173" t="s">
        <v>4792</v>
      </c>
      <c r="D94" s="173" t="s">
        <v>4793</v>
      </c>
    </row>
    <row r="95" ht="16.5" spans="1:4">
      <c r="A95" s="173" t="s">
        <v>4919</v>
      </c>
      <c r="B95" s="173" t="s">
        <v>4920</v>
      </c>
      <c r="C95" s="173" t="s">
        <v>4921</v>
      </c>
      <c r="D95" s="173" t="s">
        <v>4922</v>
      </c>
    </row>
    <row r="96" ht="16.5" spans="1:4">
      <c r="A96" s="173" t="s">
        <v>4923</v>
      </c>
      <c r="B96" s="173" t="s">
        <v>4920</v>
      </c>
      <c r="C96" s="173" t="s">
        <v>4921</v>
      </c>
      <c r="D96" s="173" t="s">
        <v>4922</v>
      </c>
    </row>
    <row r="97" ht="16.5" spans="1:4">
      <c r="A97" s="173" t="s">
        <v>4924</v>
      </c>
      <c r="B97" s="173" t="s">
        <v>4920</v>
      </c>
      <c r="C97" s="173" t="s">
        <v>4921</v>
      </c>
      <c r="D97" s="173" t="s">
        <v>4922</v>
      </c>
    </row>
    <row r="98" ht="16.5" spans="1:4">
      <c r="A98" s="173" t="s">
        <v>4925</v>
      </c>
      <c r="B98" s="173" t="s">
        <v>4920</v>
      </c>
      <c r="C98" s="173" t="s">
        <v>4921</v>
      </c>
      <c r="D98" s="173" t="s">
        <v>4922</v>
      </c>
    </row>
    <row r="99" ht="16.5" spans="1:4">
      <c r="A99" s="173" t="s">
        <v>4926</v>
      </c>
      <c r="B99" s="173" t="s">
        <v>4920</v>
      </c>
      <c r="C99" s="173" t="s">
        <v>4921</v>
      </c>
      <c r="D99" s="173" t="s">
        <v>4922</v>
      </c>
    </row>
    <row r="100" ht="16.5" spans="1:4">
      <c r="A100" s="173" t="s">
        <v>4927</v>
      </c>
      <c r="B100" s="173" t="s">
        <v>4920</v>
      </c>
      <c r="C100" s="173" t="s">
        <v>4921</v>
      </c>
      <c r="D100" s="173" t="s">
        <v>4922</v>
      </c>
    </row>
    <row r="101" ht="16.5" spans="1:4">
      <c r="A101" s="173" t="s">
        <v>4928</v>
      </c>
      <c r="B101" s="173" t="s">
        <v>4920</v>
      </c>
      <c r="C101" s="173" t="s">
        <v>4921</v>
      </c>
      <c r="D101" s="173" t="s">
        <v>4922</v>
      </c>
    </row>
    <row r="102" ht="16.5" spans="1:4">
      <c r="A102" s="173" t="s">
        <v>4929</v>
      </c>
      <c r="B102" s="173" t="s">
        <v>4854</v>
      </c>
      <c r="C102" s="173" t="s">
        <v>4855</v>
      </c>
      <c r="D102" s="173" t="s">
        <v>4856</v>
      </c>
    </row>
    <row r="103" ht="16.5" spans="1:4">
      <c r="A103" s="173" t="s">
        <v>4930</v>
      </c>
      <c r="B103" s="173" t="s">
        <v>4791</v>
      </c>
      <c r="C103" s="173" t="s">
        <v>4792</v>
      </c>
      <c r="D103" s="173" t="s">
        <v>4793</v>
      </c>
    </row>
    <row r="104" ht="16.5" spans="1:4">
      <c r="A104" s="173" t="s">
        <v>4931</v>
      </c>
      <c r="B104" s="173" t="s">
        <v>4795</v>
      </c>
      <c r="C104" s="173" t="s">
        <v>4796</v>
      </c>
      <c r="D104" s="173" t="s">
        <v>4797</v>
      </c>
    </row>
    <row r="105" ht="16.5" spans="1:4">
      <c r="A105" s="173" t="s">
        <v>4932</v>
      </c>
      <c r="B105" s="173" t="s">
        <v>4795</v>
      </c>
      <c r="C105" s="173" t="s">
        <v>4796</v>
      </c>
      <c r="D105" s="173" t="s">
        <v>4797</v>
      </c>
    </row>
    <row r="106" ht="16.5" spans="1:4">
      <c r="A106" s="173" t="s">
        <v>4933</v>
      </c>
      <c r="B106" s="173" t="s">
        <v>4812</v>
      </c>
      <c r="C106" s="173" t="s">
        <v>4813</v>
      </c>
      <c r="D106" s="173" t="s">
        <v>4814</v>
      </c>
    </row>
    <row r="107" ht="16.5" spans="1:4">
      <c r="A107" s="173" t="s">
        <v>4934</v>
      </c>
      <c r="B107" s="173" t="s">
        <v>4791</v>
      </c>
      <c r="C107" s="173" t="s">
        <v>4792</v>
      </c>
      <c r="D107" s="173" t="s">
        <v>4793</v>
      </c>
    </row>
    <row r="108" ht="16.5" spans="1:4">
      <c r="A108" s="173" t="s">
        <v>4935</v>
      </c>
      <c r="B108" s="173" t="s">
        <v>4795</v>
      </c>
      <c r="C108" s="173" t="s">
        <v>4796</v>
      </c>
      <c r="D108" s="173" t="s">
        <v>4797</v>
      </c>
    </row>
    <row r="109" ht="16.5" spans="1:4">
      <c r="A109" s="173" t="s">
        <v>4936</v>
      </c>
      <c r="B109" s="173" t="s">
        <v>4791</v>
      </c>
      <c r="C109" s="173" t="s">
        <v>4792</v>
      </c>
      <c r="D109" s="173" t="s">
        <v>4793</v>
      </c>
    </row>
    <row r="110" ht="16.5" spans="1:4">
      <c r="A110" s="173" t="s">
        <v>4937</v>
      </c>
      <c r="B110" s="173" t="s">
        <v>4812</v>
      </c>
      <c r="C110" s="173" t="s">
        <v>4813</v>
      </c>
      <c r="D110" s="173" t="s">
        <v>4814</v>
      </c>
    </row>
    <row r="111" ht="16.5" spans="1:4">
      <c r="A111" s="173" t="s">
        <v>4938</v>
      </c>
      <c r="B111" s="173" t="s">
        <v>4938</v>
      </c>
      <c r="C111" s="173" t="s">
        <v>4864</v>
      </c>
      <c r="D111" s="173" t="s">
        <v>4865</v>
      </c>
    </row>
    <row r="112" ht="16.5" spans="1:4">
      <c r="A112" s="173" t="s">
        <v>4939</v>
      </c>
      <c r="B112" s="173" t="s">
        <v>4939</v>
      </c>
      <c r="C112" s="173" t="s">
        <v>4864</v>
      </c>
      <c r="D112" s="173" t="s">
        <v>4865</v>
      </c>
    </row>
    <row r="113" ht="16.5" spans="1:4">
      <c r="A113" s="173" t="s">
        <v>4940</v>
      </c>
      <c r="B113" s="173" t="s">
        <v>4840</v>
      </c>
      <c r="C113" s="173" t="s">
        <v>4841</v>
      </c>
      <c r="D113" s="173" t="s">
        <v>4842</v>
      </c>
    </row>
    <row r="114" ht="16.5" spans="1:4">
      <c r="A114" s="173" t="s">
        <v>4941</v>
      </c>
      <c r="B114" s="173" t="s">
        <v>4830</v>
      </c>
      <c r="C114" s="173" t="s">
        <v>4831</v>
      </c>
      <c r="D114" s="173" t="s">
        <v>4832</v>
      </c>
    </row>
    <row r="115" ht="16.5" spans="1:4">
      <c r="A115" s="173" t="s">
        <v>4942</v>
      </c>
      <c r="B115" s="173" t="s">
        <v>4830</v>
      </c>
      <c r="C115" s="173" t="s">
        <v>4831</v>
      </c>
      <c r="D115" s="173" t="s">
        <v>4832</v>
      </c>
    </row>
    <row r="116" ht="16.5" spans="1:4">
      <c r="A116" s="173" t="s">
        <v>4943</v>
      </c>
      <c r="B116" s="173" t="s">
        <v>4812</v>
      </c>
      <c r="C116" s="173" t="s">
        <v>4813</v>
      </c>
      <c r="D116" s="173" t="s">
        <v>4814</v>
      </c>
    </row>
    <row r="117" ht="16.5" spans="1:4">
      <c r="A117" s="173" t="s">
        <v>4944</v>
      </c>
      <c r="B117" s="173" t="s">
        <v>4944</v>
      </c>
      <c r="C117" s="173" t="s">
        <v>4841</v>
      </c>
      <c r="D117" s="173" t="s">
        <v>4945</v>
      </c>
    </row>
    <row r="118" ht="16.5" spans="1:4">
      <c r="A118" s="173" t="s">
        <v>4946</v>
      </c>
      <c r="B118" s="173" t="s">
        <v>4946</v>
      </c>
      <c r="C118" s="173" t="s">
        <v>4841</v>
      </c>
      <c r="D118" s="173" t="s">
        <v>4947</v>
      </c>
    </row>
    <row r="119" ht="16.5" spans="1:4">
      <c r="A119" s="173" t="s">
        <v>4948</v>
      </c>
      <c r="B119" s="173" t="s">
        <v>4948</v>
      </c>
      <c r="C119" s="173" t="s">
        <v>4841</v>
      </c>
      <c r="D119" s="173" t="s">
        <v>4949</v>
      </c>
    </row>
    <row r="120" ht="16.5" spans="1:4">
      <c r="A120" s="173" t="s">
        <v>4950</v>
      </c>
      <c r="B120" s="173" t="s">
        <v>4950</v>
      </c>
      <c r="C120" s="173" t="s">
        <v>4841</v>
      </c>
      <c r="D120" s="173" t="s">
        <v>4951</v>
      </c>
    </row>
    <row r="121" ht="16.5" spans="1:4">
      <c r="A121" s="173" t="s">
        <v>4952</v>
      </c>
      <c r="B121" s="173" t="s">
        <v>4952</v>
      </c>
      <c r="C121" s="173" t="s">
        <v>4841</v>
      </c>
      <c r="D121" s="173" t="s">
        <v>4953</v>
      </c>
    </row>
    <row r="122" ht="16.5" spans="1:4">
      <c r="A122" s="173" t="s">
        <v>4954</v>
      </c>
      <c r="B122" s="173" t="s">
        <v>4954</v>
      </c>
      <c r="C122" s="173" t="s">
        <v>4841</v>
      </c>
      <c r="D122" s="173" t="s">
        <v>4955</v>
      </c>
    </row>
    <row r="123" ht="16.5" spans="1:4">
      <c r="A123" s="173" t="s">
        <v>4956</v>
      </c>
      <c r="B123" s="173" t="s">
        <v>4956</v>
      </c>
      <c r="C123" s="173" t="s">
        <v>4841</v>
      </c>
      <c r="D123" s="173" t="s">
        <v>4957</v>
      </c>
    </row>
    <row r="124" ht="16.5" spans="1:4">
      <c r="A124" s="173" t="s">
        <v>4958</v>
      </c>
      <c r="B124" s="173" t="s">
        <v>4958</v>
      </c>
      <c r="C124" s="173" t="s">
        <v>4841</v>
      </c>
      <c r="D124" s="173" t="s">
        <v>4959</v>
      </c>
    </row>
    <row r="125" ht="16.5" spans="1:4">
      <c r="A125" s="173" t="s">
        <v>4960</v>
      </c>
      <c r="B125" s="173" t="s">
        <v>4961</v>
      </c>
      <c r="C125" s="173" t="s">
        <v>4841</v>
      </c>
      <c r="D125" s="173" t="s">
        <v>4962</v>
      </c>
    </row>
    <row r="126" ht="16.5" spans="1:4">
      <c r="A126" s="173" t="s">
        <v>4961</v>
      </c>
      <c r="B126" s="173" t="s">
        <v>4961</v>
      </c>
      <c r="C126" s="173" t="s">
        <v>4841</v>
      </c>
      <c r="D126" s="173" t="s">
        <v>4962</v>
      </c>
    </row>
    <row r="127" ht="16.5" spans="1:4">
      <c r="A127" s="173" t="s">
        <v>4963</v>
      </c>
      <c r="B127" s="173" t="s">
        <v>4963</v>
      </c>
      <c r="C127" s="173" t="s">
        <v>4841</v>
      </c>
      <c r="D127" s="173" t="s">
        <v>4964</v>
      </c>
    </row>
    <row r="128" ht="16.5" spans="1:4">
      <c r="A128" s="173" t="s">
        <v>4965</v>
      </c>
      <c r="B128" s="173" t="s">
        <v>4965</v>
      </c>
      <c r="C128" s="173" t="s">
        <v>4841</v>
      </c>
      <c r="D128" s="173" t="s">
        <v>4966</v>
      </c>
    </row>
    <row r="129" ht="16.5" spans="1:4">
      <c r="A129" s="173" t="s">
        <v>4967</v>
      </c>
      <c r="B129" s="173" t="s">
        <v>4967</v>
      </c>
      <c r="C129" s="173" t="s">
        <v>4841</v>
      </c>
      <c r="D129" s="173" t="s">
        <v>4968</v>
      </c>
    </row>
    <row r="130" ht="16.5" spans="1:4">
      <c r="A130" s="173" t="s">
        <v>4969</v>
      </c>
      <c r="B130" s="173" t="s">
        <v>4969</v>
      </c>
      <c r="C130" s="173" t="s">
        <v>4841</v>
      </c>
      <c r="D130" s="173" t="s">
        <v>4970</v>
      </c>
    </row>
    <row r="131" ht="16.5" spans="1:4">
      <c r="A131" s="173" t="s">
        <v>4971</v>
      </c>
      <c r="B131" s="173" t="s">
        <v>4971</v>
      </c>
      <c r="C131" s="173" t="s">
        <v>4841</v>
      </c>
      <c r="D131" s="173" t="s">
        <v>4972</v>
      </c>
    </row>
    <row r="132" ht="16.5" spans="1:4">
      <c r="A132" s="173" t="s">
        <v>4973</v>
      </c>
      <c r="B132" s="173" t="s">
        <v>4973</v>
      </c>
      <c r="C132" s="173" t="s">
        <v>4841</v>
      </c>
      <c r="D132" s="173" t="s">
        <v>4974</v>
      </c>
    </row>
    <row r="133" ht="16.5" spans="1:4">
      <c r="A133" s="173" t="s">
        <v>4975</v>
      </c>
      <c r="B133" s="173" t="s">
        <v>4975</v>
      </c>
      <c r="C133" s="173" t="s">
        <v>4841</v>
      </c>
      <c r="D133" s="173" t="s">
        <v>4976</v>
      </c>
    </row>
    <row r="134" ht="16.5" spans="1:4">
      <c r="A134" s="173" t="s">
        <v>4977</v>
      </c>
      <c r="B134" s="173" t="s">
        <v>4977</v>
      </c>
      <c r="C134" s="173" t="s">
        <v>4841</v>
      </c>
      <c r="D134" s="173" t="s">
        <v>4978</v>
      </c>
    </row>
    <row r="135" ht="16.5" spans="1:4">
      <c r="A135" s="173" t="s">
        <v>4979</v>
      </c>
      <c r="B135" s="173" t="s">
        <v>4979</v>
      </c>
      <c r="C135" s="173" t="s">
        <v>4841</v>
      </c>
      <c r="D135" s="173" t="s">
        <v>4980</v>
      </c>
    </row>
    <row r="136" ht="16.5" spans="1:4">
      <c r="A136" s="173" t="s">
        <v>4981</v>
      </c>
      <c r="B136" s="173" t="s">
        <v>4981</v>
      </c>
      <c r="C136" s="173" t="s">
        <v>4841</v>
      </c>
      <c r="D136" s="173" t="s">
        <v>4982</v>
      </c>
    </row>
    <row r="137" ht="16.5" spans="1:4">
      <c r="A137" s="173" t="s">
        <v>4983</v>
      </c>
      <c r="B137" s="173" t="s">
        <v>4983</v>
      </c>
      <c r="C137" s="173" t="s">
        <v>4841</v>
      </c>
      <c r="D137" s="173" t="s">
        <v>4984</v>
      </c>
    </row>
    <row r="138" ht="16.5" spans="1:4">
      <c r="A138" s="173" t="s">
        <v>4985</v>
      </c>
      <c r="B138" s="173" t="s">
        <v>4985</v>
      </c>
      <c r="C138" s="173" t="s">
        <v>4841</v>
      </c>
      <c r="D138" s="173" t="s">
        <v>4986</v>
      </c>
    </row>
    <row r="139" ht="16.5" spans="1:4">
      <c r="A139" s="173" t="s">
        <v>4987</v>
      </c>
      <c r="B139" s="173" t="s">
        <v>4987</v>
      </c>
      <c r="C139" s="173" t="s">
        <v>4841</v>
      </c>
      <c r="D139" s="173" t="s">
        <v>4988</v>
      </c>
    </row>
    <row r="140" ht="16.5" spans="1:4">
      <c r="A140" s="173" t="s">
        <v>4989</v>
      </c>
      <c r="B140" s="173" t="s">
        <v>4989</v>
      </c>
      <c r="C140" s="173" t="s">
        <v>4841</v>
      </c>
      <c r="D140" s="173" t="s">
        <v>4990</v>
      </c>
    </row>
    <row r="141" ht="16.5" spans="1:4">
      <c r="A141" s="173" t="s">
        <v>4991</v>
      </c>
      <c r="B141" s="173" t="s">
        <v>4991</v>
      </c>
      <c r="C141" s="173" t="s">
        <v>4841</v>
      </c>
      <c r="D141" s="173" t="s">
        <v>4992</v>
      </c>
    </row>
    <row r="142" ht="16.5" spans="1:4">
      <c r="A142" s="173" t="s">
        <v>4993</v>
      </c>
      <c r="B142" s="173" t="s">
        <v>4993</v>
      </c>
      <c r="C142" s="173" t="s">
        <v>4841</v>
      </c>
      <c r="D142" s="173" t="s">
        <v>4994</v>
      </c>
    </row>
    <row r="143" ht="16.5" spans="1:4">
      <c r="A143" s="173" t="s">
        <v>4995</v>
      </c>
      <c r="B143" s="173" t="s">
        <v>4995</v>
      </c>
      <c r="C143" s="173" t="s">
        <v>4841</v>
      </c>
      <c r="D143" s="173" t="s">
        <v>4996</v>
      </c>
    </row>
    <row r="144" ht="16.5" spans="1:4">
      <c r="A144" s="173" t="s">
        <v>4997</v>
      </c>
      <c r="B144" s="173" t="s">
        <v>4997</v>
      </c>
      <c r="C144" s="173" t="s">
        <v>4841</v>
      </c>
      <c r="D144" s="173" t="s">
        <v>4998</v>
      </c>
    </row>
    <row r="145" ht="16.5" spans="1:4">
      <c r="A145" s="173" t="s">
        <v>4999</v>
      </c>
      <c r="B145" s="173" t="s">
        <v>4999</v>
      </c>
      <c r="C145" s="173" t="s">
        <v>4841</v>
      </c>
      <c r="D145" s="173" t="s">
        <v>5000</v>
      </c>
    </row>
    <row r="146" ht="16.5" spans="1:4">
      <c r="A146" s="173" t="s">
        <v>5001</v>
      </c>
      <c r="B146" s="173" t="s">
        <v>5001</v>
      </c>
      <c r="C146" s="173" t="s">
        <v>4841</v>
      </c>
      <c r="D146" s="173" t="s">
        <v>5002</v>
      </c>
    </row>
    <row r="147" ht="16.5" spans="1:4">
      <c r="A147" s="173" t="s">
        <v>5003</v>
      </c>
      <c r="B147" s="173" t="s">
        <v>5003</v>
      </c>
      <c r="C147" s="173" t="s">
        <v>4841</v>
      </c>
      <c r="D147" s="173" t="s">
        <v>5004</v>
      </c>
    </row>
    <row r="148" ht="16.5" spans="1:4">
      <c r="A148" s="173" t="s">
        <v>5005</v>
      </c>
      <c r="B148" s="173" t="s">
        <v>5005</v>
      </c>
      <c r="C148" s="173" t="s">
        <v>4841</v>
      </c>
      <c r="D148" s="173" t="s">
        <v>5006</v>
      </c>
    </row>
    <row r="149" ht="16.5" spans="1:4">
      <c r="A149" s="173" t="s">
        <v>5007</v>
      </c>
      <c r="B149" s="173" t="s">
        <v>4840</v>
      </c>
      <c r="C149" s="173" t="s">
        <v>4841</v>
      </c>
      <c r="D149" s="173" t="s">
        <v>4842</v>
      </c>
    </row>
    <row r="150" ht="16.5" spans="1:4">
      <c r="A150" s="173" t="s">
        <v>5008</v>
      </c>
      <c r="B150" s="173" t="s">
        <v>4840</v>
      </c>
      <c r="C150" s="173" t="s">
        <v>4841</v>
      </c>
      <c r="D150" s="173" t="s">
        <v>4842</v>
      </c>
    </row>
    <row r="151" ht="16.5" spans="1:4">
      <c r="A151" s="173" t="s">
        <v>5009</v>
      </c>
      <c r="B151" s="173" t="s">
        <v>4840</v>
      </c>
      <c r="C151" s="173" t="s">
        <v>4841</v>
      </c>
      <c r="D151" s="173" t="s">
        <v>4842</v>
      </c>
    </row>
    <row r="152" ht="16.5" spans="1:4">
      <c r="A152" s="173" t="s">
        <v>5010</v>
      </c>
      <c r="B152" s="173" t="s">
        <v>4840</v>
      </c>
      <c r="C152" s="173" t="s">
        <v>4841</v>
      </c>
      <c r="D152" s="173" t="s">
        <v>4842</v>
      </c>
    </row>
    <row r="153" ht="16.5" spans="1:4">
      <c r="A153" s="173" t="s">
        <v>5011</v>
      </c>
      <c r="B153" s="173" t="s">
        <v>4840</v>
      </c>
      <c r="C153" s="173" t="s">
        <v>4841</v>
      </c>
      <c r="D153" s="173" t="s">
        <v>4842</v>
      </c>
    </row>
    <row r="154" ht="16.5" spans="1:4">
      <c r="A154" s="173" t="s">
        <v>5012</v>
      </c>
      <c r="B154" s="173" t="s">
        <v>4840</v>
      </c>
      <c r="C154" s="173" t="s">
        <v>4841</v>
      </c>
      <c r="D154" s="173" t="s">
        <v>4842</v>
      </c>
    </row>
    <row r="155" ht="16.5" spans="1:4">
      <c r="A155" s="173" t="s">
        <v>5013</v>
      </c>
      <c r="B155" s="173" t="s">
        <v>5013</v>
      </c>
      <c r="C155" s="173" t="s">
        <v>4841</v>
      </c>
      <c r="D155" s="173" t="s">
        <v>5014</v>
      </c>
    </row>
    <row r="156" ht="16.5" spans="1:4">
      <c r="A156" s="173" t="s">
        <v>5015</v>
      </c>
      <c r="B156" s="173" t="s">
        <v>4840</v>
      </c>
      <c r="C156" s="173" t="s">
        <v>4841</v>
      </c>
      <c r="D156" s="173" t="s">
        <v>4842</v>
      </c>
    </row>
    <row r="157" ht="16.5" spans="1:4">
      <c r="A157" s="173" t="s">
        <v>5016</v>
      </c>
      <c r="B157" s="173" t="s">
        <v>4840</v>
      </c>
      <c r="C157" s="173" t="s">
        <v>4841</v>
      </c>
      <c r="D157" s="173" t="s">
        <v>4842</v>
      </c>
    </row>
    <row r="158" ht="16.5" spans="1:4">
      <c r="A158" s="173" t="s">
        <v>5017</v>
      </c>
      <c r="B158" s="173" t="s">
        <v>4840</v>
      </c>
      <c r="C158" s="173" t="s">
        <v>4841</v>
      </c>
      <c r="D158" s="173" t="s">
        <v>4842</v>
      </c>
    </row>
    <row r="159" ht="16.5" spans="1:4">
      <c r="A159" s="173" t="s">
        <v>5018</v>
      </c>
      <c r="B159" s="173" t="s">
        <v>4840</v>
      </c>
      <c r="C159" s="173" t="s">
        <v>4841</v>
      </c>
      <c r="D159" s="173" t="s">
        <v>4842</v>
      </c>
    </row>
    <row r="160" ht="16.5" spans="1:4">
      <c r="A160" s="173" t="s">
        <v>5019</v>
      </c>
      <c r="B160" s="173" t="s">
        <v>4840</v>
      </c>
      <c r="C160" s="173" t="s">
        <v>4841</v>
      </c>
      <c r="D160" s="173" t="s">
        <v>4842</v>
      </c>
    </row>
    <row r="161" ht="16.5" spans="1:4">
      <c r="A161" s="173" t="s">
        <v>5020</v>
      </c>
      <c r="B161" s="173" t="s">
        <v>4840</v>
      </c>
      <c r="C161" s="173" t="s">
        <v>4841</v>
      </c>
      <c r="D161" s="173" t="s">
        <v>4842</v>
      </c>
    </row>
    <row r="162" ht="16.5" spans="1:4">
      <c r="A162" s="173" t="s">
        <v>270</v>
      </c>
      <c r="B162" s="173" t="s">
        <v>4840</v>
      </c>
      <c r="C162" s="173" t="s">
        <v>4841</v>
      </c>
      <c r="D162" s="173" t="s">
        <v>4842</v>
      </c>
    </row>
    <row r="163" ht="16.5" spans="1:4">
      <c r="A163" s="173" t="s">
        <v>5021</v>
      </c>
      <c r="B163" s="173" t="s">
        <v>4840</v>
      </c>
      <c r="C163" s="173" t="s">
        <v>4841</v>
      </c>
      <c r="D163" s="173" t="s">
        <v>4842</v>
      </c>
    </row>
    <row r="164" ht="16.5" spans="1:4">
      <c r="A164" s="173" t="s">
        <v>5022</v>
      </c>
      <c r="B164" s="173" t="s">
        <v>4840</v>
      </c>
      <c r="C164" s="173" t="s">
        <v>4841</v>
      </c>
      <c r="D164" s="173" t="s">
        <v>4842</v>
      </c>
    </row>
    <row r="165" ht="16.5" spans="1:4">
      <c r="A165" s="173" t="s">
        <v>5023</v>
      </c>
      <c r="B165" s="173" t="s">
        <v>4840</v>
      </c>
      <c r="C165" s="173" t="s">
        <v>4841</v>
      </c>
      <c r="D165" s="173" t="s">
        <v>4842</v>
      </c>
    </row>
    <row r="166" ht="16.5" spans="1:4">
      <c r="A166" s="173" t="s">
        <v>5024</v>
      </c>
      <c r="B166" s="173" t="s">
        <v>5024</v>
      </c>
      <c r="C166" s="173" t="s">
        <v>4841</v>
      </c>
      <c r="D166" s="173" t="s">
        <v>5025</v>
      </c>
    </row>
    <row r="167" ht="16.5" spans="1:4">
      <c r="A167" s="173" t="s">
        <v>5026</v>
      </c>
      <c r="B167" s="173" t="s">
        <v>4840</v>
      </c>
      <c r="C167" s="173" t="s">
        <v>4841</v>
      </c>
      <c r="D167" s="173" t="s">
        <v>4842</v>
      </c>
    </row>
    <row r="168" ht="16.5" spans="1:4">
      <c r="A168" s="173" t="s">
        <v>5027</v>
      </c>
      <c r="B168" s="173" t="s">
        <v>4840</v>
      </c>
      <c r="C168" s="173" t="s">
        <v>4841</v>
      </c>
      <c r="D168" s="173" t="s">
        <v>4842</v>
      </c>
    </row>
    <row r="169" ht="16.5" spans="1:4">
      <c r="A169" s="173" t="s">
        <v>5028</v>
      </c>
      <c r="B169" s="173" t="s">
        <v>4840</v>
      </c>
      <c r="C169" s="173" t="s">
        <v>4841</v>
      </c>
      <c r="D169" s="173" t="s">
        <v>4842</v>
      </c>
    </row>
    <row r="170" ht="16.5" spans="1:4">
      <c r="A170" s="173" t="s">
        <v>5029</v>
      </c>
      <c r="B170" s="173" t="s">
        <v>4840</v>
      </c>
      <c r="C170" s="173" t="s">
        <v>4841</v>
      </c>
      <c r="D170" s="173" t="s">
        <v>4842</v>
      </c>
    </row>
    <row r="171" ht="16.5" spans="1:4">
      <c r="A171" s="173" t="s">
        <v>5030</v>
      </c>
      <c r="B171" s="173" t="s">
        <v>4840</v>
      </c>
      <c r="C171" s="173" t="s">
        <v>4841</v>
      </c>
      <c r="D171" s="173" t="s">
        <v>4842</v>
      </c>
    </row>
    <row r="172" ht="16.5" spans="1:4">
      <c r="A172" s="173" t="s">
        <v>5031</v>
      </c>
      <c r="B172" s="173" t="s">
        <v>4840</v>
      </c>
      <c r="C172" s="173" t="s">
        <v>4841</v>
      </c>
      <c r="D172" s="173" t="s">
        <v>4842</v>
      </c>
    </row>
    <row r="173" ht="16.5" spans="1:4">
      <c r="A173" s="173" t="s">
        <v>5032</v>
      </c>
      <c r="B173" s="173" t="s">
        <v>4840</v>
      </c>
      <c r="C173" s="173" t="s">
        <v>4841</v>
      </c>
      <c r="D173" s="173" t="s">
        <v>4842</v>
      </c>
    </row>
    <row r="174" ht="16.5" spans="1:4">
      <c r="A174" s="173" t="s">
        <v>5033</v>
      </c>
      <c r="B174" s="173" t="s">
        <v>4840</v>
      </c>
      <c r="C174" s="173" t="s">
        <v>4841</v>
      </c>
      <c r="D174" s="173" t="s">
        <v>4842</v>
      </c>
    </row>
    <row r="175" ht="16.5" spans="1:4">
      <c r="A175" s="173" t="s">
        <v>5034</v>
      </c>
      <c r="B175" s="173" t="s">
        <v>4840</v>
      </c>
      <c r="C175" s="173" t="s">
        <v>4841</v>
      </c>
      <c r="D175" s="173" t="s">
        <v>4842</v>
      </c>
    </row>
    <row r="176" ht="16.5" spans="1:4">
      <c r="A176" s="173" t="s">
        <v>5035</v>
      </c>
      <c r="B176" s="173" t="s">
        <v>4840</v>
      </c>
      <c r="C176" s="173" t="s">
        <v>4841</v>
      </c>
      <c r="D176" s="173" t="s">
        <v>4842</v>
      </c>
    </row>
    <row r="177" ht="16.5" spans="1:4">
      <c r="A177" s="173" t="s">
        <v>5036</v>
      </c>
      <c r="B177" s="173" t="s">
        <v>5036</v>
      </c>
      <c r="C177" s="173" t="s">
        <v>4841</v>
      </c>
      <c r="D177" s="173" t="s">
        <v>5037</v>
      </c>
    </row>
    <row r="178" ht="16.5" spans="1:4">
      <c r="A178" s="173" t="s">
        <v>5038</v>
      </c>
      <c r="B178" s="173" t="s">
        <v>4840</v>
      </c>
      <c r="C178" s="173" t="s">
        <v>4841</v>
      </c>
      <c r="D178" s="173" t="s">
        <v>4842</v>
      </c>
    </row>
    <row r="179" ht="16.5" spans="1:4">
      <c r="A179" s="173" t="s">
        <v>5039</v>
      </c>
      <c r="B179" s="173" t="s">
        <v>4840</v>
      </c>
      <c r="C179" s="173" t="s">
        <v>4841</v>
      </c>
      <c r="D179" s="173" t="s">
        <v>4842</v>
      </c>
    </row>
    <row r="180" ht="16.5" spans="1:4">
      <c r="A180" s="173" t="s">
        <v>5040</v>
      </c>
      <c r="B180" s="173" t="s">
        <v>4840</v>
      </c>
      <c r="C180" s="173" t="s">
        <v>4841</v>
      </c>
      <c r="D180" s="173" t="s">
        <v>4842</v>
      </c>
    </row>
    <row r="181" ht="16.5" spans="1:4">
      <c r="A181" s="173" t="s">
        <v>5041</v>
      </c>
      <c r="B181" s="173" t="s">
        <v>4840</v>
      </c>
      <c r="C181" s="173" t="s">
        <v>4841</v>
      </c>
      <c r="D181" s="173" t="s">
        <v>4842</v>
      </c>
    </row>
    <row r="182" ht="16.5" spans="1:4">
      <c r="A182" s="173" t="s">
        <v>5042</v>
      </c>
      <c r="B182" s="173" t="s">
        <v>4840</v>
      </c>
      <c r="C182" s="173" t="s">
        <v>4841</v>
      </c>
      <c r="D182" s="173" t="s">
        <v>4842</v>
      </c>
    </row>
    <row r="183" ht="16.5" spans="1:4">
      <c r="A183" s="173" t="s">
        <v>5043</v>
      </c>
      <c r="B183" s="173" t="s">
        <v>4840</v>
      </c>
      <c r="C183" s="173" t="s">
        <v>4841</v>
      </c>
      <c r="D183" s="173" t="s">
        <v>4842</v>
      </c>
    </row>
    <row r="184" ht="16.5" spans="1:4">
      <c r="A184" s="173" t="s">
        <v>5044</v>
      </c>
      <c r="B184" s="173" t="s">
        <v>4840</v>
      </c>
      <c r="C184" s="173" t="s">
        <v>4841</v>
      </c>
      <c r="D184" s="173" t="s">
        <v>4842</v>
      </c>
    </row>
    <row r="185" ht="16.5" spans="1:4">
      <c r="A185" s="173" t="s">
        <v>5045</v>
      </c>
      <c r="B185" s="173" t="s">
        <v>4840</v>
      </c>
      <c r="C185" s="173" t="s">
        <v>4841</v>
      </c>
      <c r="D185" s="173" t="s">
        <v>4842</v>
      </c>
    </row>
    <row r="186" ht="16.5" spans="1:4">
      <c r="A186" s="173" t="s">
        <v>5046</v>
      </c>
      <c r="B186" s="173" t="s">
        <v>4840</v>
      </c>
      <c r="C186" s="173" t="s">
        <v>4841</v>
      </c>
      <c r="D186" s="173" t="s">
        <v>4842</v>
      </c>
    </row>
    <row r="187" ht="16.5" spans="1:4">
      <c r="A187" s="173" t="s">
        <v>5047</v>
      </c>
      <c r="B187" s="173" t="s">
        <v>4840</v>
      </c>
      <c r="C187" s="173" t="s">
        <v>4841</v>
      </c>
      <c r="D187" s="173" t="s">
        <v>4842</v>
      </c>
    </row>
    <row r="188" ht="16.5" spans="1:4">
      <c r="A188" s="173" t="s">
        <v>5048</v>
      </c>
      <c r="B188" s="173" t="s">
        <v>5048</v>
      </c>
      <c r="C188" s="173" t="s">
        <v>4841</v>
      </c>
      <c r="D188" s="173" t="s">
        <v>5049</v>
      </c>
    </row>
    <row r="189" ht="16.5" spans="1:4">
      <c r="A189" s="173" t="s">
        <v>5050</v>
      </c>
      <c r="B189" s="173" t="s">
        <v>4840</v>
      </c>
      <c r="C189" s="173" t="s">
        <v>4841</v>
      </c>
      <c r="D189" s="173" t="s">
        <v>4842</v>
      </c>
    </row>
    <row r="190" ht="16.5" spans="1:4">
      <c r="A190" s="173" t="s">
        <v>5051</v>
      </c>
      <c r="B190" s="173" t="s">
        <v>4840</v>
      </c>
      <c r="C190" s="173" t="s">
        <v>4841</v>
      </c>
      <c r="D190" s="173" t="s">
        <v>4842</v>
      </c>
    </row>
    <row r="191" ht="16.5" spans="1:4">
      <c r="A191" s="173" t="s">
        <v>5052</v>
      </c>
      <c r="B191" s="173" t="s">
        <v>4840</v>
      </c>
      <c r="C191" s="173" t="s">
        <v>4841</v>
      </c>
      <c r="D191" s="173" t="s">
        <v>4842</v>
      </c>
    </row>
    <row r="192" ht="16.5" spans="1:4">
      <c r="A192" s="173" t="s">
        <v>5053</v>
      </c>
      <c r="B192" s="173" t="s">
        <v>4840</v>
      </c>
      <c r="C192" s="173" t="s">
        <v>4841</v>
      </c>
      <c r="D192" s="173" t="s">
        <v>4842</v>
      </c>
    </row>
    <row r="193" ht="16.5" spans="1:4">
      <c r="A193" s="173" t="s">
        <v>5054</v>
      </c>
      <c r="B193" s="173" t="s">
        <v>4840</v>
      </c>
      <c r="C193" s="173" t="s">
        <v>4841</v>
      </c>
      <c r="D193" s="173" t="s">
        <v>4842</v>
      </c>
    </row>
    <row r="194" ht="16.5" spans="1:4">
      <c r="A194" s="173" t="s">
        <v>5055</v>
      </c>
      <c r="B194" s="173" t="s">
        <v>4840</v>
      </c>
      <c r="C194" s="173" t="s">
        <v>4841</v>
      </c>
      <c r="D194" s="173" t="s">
        <v>4842</v>
      </c>
    </row>
    <row r="195" ht="16.5" spans="1:4">
      <c r="A195" s="173" t="s">
        <v>5056</v>
      </c>
      <c r="B195" s="173" t="s">
        <v>4840</v>
      </c>
      <c r="C195" s="173" t="s">
        <v>4841</v>
      </c>
      <c r="D195" s="173" t="s">
        <v>4842</v>
      </c>
    </row>
    <row r="196" ht="16.5" spans="1:4">
      <c r="A196" s="173" t="s">
        <v>5057</v>
      </c>
      <c r="B196" s="173" t="s">
        <v>4840</v>
      </c>
      <c r="C196" s="173" t="s">
        <v>4841</v>
      </c>
      <c r="D196" s="173" t="s">
        <v>4842</v>
      </c>
    </row>
    <row r="197" ht="16.5" spans="1:4">
      <c r="A197" s="173" t="s">
        <v>5058</v>
      </c>
      <c r="B197" s="173" t="s">
        <v>4840</v>
      </c>
      <c r="C197" s="173" t="s">
        <v>4841</v>
      </c>
      <c r="D197" s="173" t="s">
        <v>4842</v>
      </c>
    </row>
    <row r="198" ht="16.5" spans="1:4">
      <c r="A198" s="173" t="s">
        <v>5059</v>
      </c>
      <c r="B198" s="173" t="s">
        <v>4840</v>
      </c>
      <c r="C198" s="173" t="s">
        <v>4841</v>
      </c>
      <c r="D198" s="173" t="s">
        <v>4842</v>
      </c>
    </row>
    <row r="199" ht="16.5" spans="1:4">
      <c r="A199" s="173" t="s">
        <v>5060</v>
      </c>
      <c r="B199" s="173" t="s">
        <v>5060</v>
      </c>
      <c r="C199" s="173" t="s">
        <v>4841</v>
      </c>
      <c r="D199" s="173" t="s">
        <v>5061</v>
      </c>
    </row>
    <row r="200" ht="16.5" spans="1:4">
      <c r="A200" s="173" t="s">
        <v>5062</v>
      </c>
      <c r="B200" s="173" t="s">
        <v>4840</v>
      </c>
      <c r="C200" s="173" t="s">
        <v>4841</v>
      </c>
      <c r="D200" s="173" t="s">
        <v>4842</v>
      </c>
    </row>
    <row r="201" ht="16.5" spans="1:4">
      <c r="A201" s="173" t="s">
        <v>5063</v>
      </c>
      <c r="B201" s="173" t="s">
        <v>4840</v>
      </c>
      <c r="C201" s="173" t="s">
        <v>4841</v>
      </c>
      <c r="D201" s="173" t="s">
        <v>4842</v>
      </c>
    </row>
    <row r="202" ht="16.5" spans="1:4">
      <c r="A202" s="173" t="s">
        <v>5064</v>
      </c>
      <c r="B202" s="173" t="s">
        <v>4840</v>
      </c>
      <c r="C202" s="173" t="s">
        <v>4841</v>
      </c>
      <c r="D202" s="173" t="s">
        <v>4842</v>
      </c>
    </row>
    <row r="203" ht="16.5" spans="1:4">
      <c r="A203" s="173" t="s">
        <v>5065</v>
      </c>
      <c r="B203" s="173" t="s">
        <v>4840</v>
      </c>
      <c r="C203" s="173" t="s">
        <v>4841</v>
      </c>
      <c r="D203" s="173" t="s">
        <v>4842</v>
      </c>
    </row>
    <row r="204" ht="16.5" spans="1:4">
      <c r="A204" s="173" t="s">
        <v>5066</v>
      </c>
      <c r="B204" s="173" t="s">
        <v>4840</v>
      </c>
      <c r="C204" s="173" t="s">
        <v>4841</v>
      </c>
      <c r="D204" s="173" t="s">
        <v>4842</v>
      </c>
    </row>
    <row r="205" ht="16.5" spans="1:4">
      <c r="A205" s="173" t="s">
        <v>5067</v>
      </c>
      <c r="B205" s="173" t="s">
        <v>4840</v>
      </c>
      <c r="C205" s="173" t="s">
        <v>4841</v>
      </c>
      <c r="D205" s="173" t="s">
        <v>4842</v>
      </c>
    </row>
    <row r="206" ht="16.5" spans="1:4">
      <c r="A206" s="173" t="s">
        <v>5068</v>
      </c>
      <c r="B206" s="173" t="s">
        <v>4840</v>
      </c>
      <c r="C206" s="173" t="s">
        <v>4841</v>
      </c>
      <c r="D206" s="173" t="s">
        <v>4842</v>
      </c>
    </row>
    <row r="207" ht="16.5" spans="1:4">
      <c r="A207" s="173" t="s">
        <v>5069</v>
      </c>
      <c r="B207" s="173" t="s">
        <v>4840</v>
      </c>
      <c r="C207" s="173" t="s">
        <v>4841</v>
      </c>
      <c r="D207" s="173" t="s">
        <v>4842</v>
      </c>
    </row>
    <row r="208" ht="16.5" spans="1:4">
      <c r="A208" s="173" t="s">
        <v>5070</v>
      </c>
      <c r="B208" s="173" t="s">
        <v>4840</v>
      </c>
      <c r="C208" s="173" t="s">
        <v>4841</v>
      </c>
      <c r="D208" s="173" t="s">
        <v>4842</v>
      </c>
    </row>
    <row r="209" ht="16.5" spans="1:4">
      <c r="A209" s="173" t="s">
        <v>5071</v>
      </c>
      <c r="B209" s="173" t="s">
        <v>4840</v>
      </c>
      <c r="C209" s="173" t="s">
        <v>4841</v>
      </c>
      <c r="D209" s="173" t="s">
        <v>4842</v>
      </c>
    </row>
    <row r="210" ht="16.5" spans="1:4">
      <c r="A210" s="173" t="s">
        <v>5072</v>
      </c>
      <c r="B210" s="173" t="s">
        <v>5072</v>
      </c>
      <c r="C210" s="173" t="s">
        <v>4841</v>
      </c>
      <c r="D210" s="173" t="s">
        <v>5073</v>
      </c>
    </row>
    <row r="211" ht="16.5" spans="1:4">
      <c r="A211" s="173" t="s">
        <v>5074</v>
      </c>
      <c r="B211" s="173" t="s">
        <v>4840</v>
      </c>
      <c r="C211" s="173" t="s">
        <v>4841</v>
      </c>
      <c r="D211" s="173" t="s">
        <v>4842</v>
      </c>
    </row>
    <row r="212" ht="16.5" spans="1:4">
      <c r="A212" s="173" t="s">
        <v>5075</v>
      </c>
      <c r="B212" s="173" t="s">
        <v>4840</v>
      </c>
      <c r="C212" s="173" t="s">
        <v>4841</v>
      </c>
      <c r="D212" s="173" t="s">
        <v>4842</v>
      </c>
    </row>
    <row r="213" ht="16.5" spans="1:4">
      <c r="A213" s="173" t="s">
        <v>5076</v>
      </c>
      <c r="B213" s="173" t="s">
        <v>4840</v>
      </c>
      <c r="C213" s="173" t="s">
        <v>4841</v>
      </c>
      <c r="D213" s="173" t="s">
        <v>4842</v>
      </c>
    </row>
    <row r="214" ht="16.5" spans="1:4">
      <c r="A214" s="173" t="s">
        <v>5077</v>
      </c>
      <c r="B214" s="173" t="s">
        <v>4840</v>
      </c>
      <c r="C214" s="173" t="s">
        <v>4841</v>
      </c>
      <c r="D214" s="173" t="s">
        <v>4842</v>
      </c>
    </row>
    <row r="215" ht="16.5" spans="1:4">
      <c r="A215" s="173" t="s">
        <v>5078</v>
      </c>
      <c r="B215" s="173" t="s">
        <v>4840</v>
      </c>
      <c r="C215" s="173" t="s">
        <v>4841</v>
      </c>
      <c r="D215" s="173" t="s">
        <v>4842</v>
      </c>
    </row>
    <row r="216" ht="16.5" spans="1:4">
      <c r="A216" s="173" t="s">
        <v>5079</v>
      </c>
      <c r="B216" s="173" t="s">
        <v>4840</v>
      </c>
      <c r="C216" s="173" t="s">
        <v>4841</v>
      </c>
      <c r="D216" s="173" t="s">
        <v>4842</v>
      </c>
    </row>
    <row r="217" ht="16.5" spans="1:4">
      <c r="A217" s="173" t="s">
        <v>5080</v>
      </c>
      <c r="B217" s="173" t="s">
        <v>4840</v>
      </c>
      <c r="C217" s="173" t="s">
        <v>4841</v>
      </c>
      <c r="D217" s="173" t="s">
        <v>4842</v>
      </c>
    </row>
    <row r="218" ht="16.5" spans="1:4">
      <c r="A218" s="173" t="s">
        <v>5081</v>
      </c>
      <c r="B218" s="173" t="s">
        <v>4840</v>
      </c>
      <c r="C218" s="173" t="s">
        <v>4841</v>
      </c>
      <c r="D218" s="173" t="s">
        <v>4842</v>
      </c>
    </row>
    <row r="219" ht="16.5" spans="1:4">
      <c r="A219" s="173" t="s">
        <v>5082</v>
      </c>
      <c r="B219" s="173" t="s">
        <v>4840</v>
      </c>
      <c r="C219" s="173" t="s">
        <v>4841</v>
      </c>
      <c r="D219" s="173" t="s">
        <v>4842</v>
      </c>
    </row>
    <row r="220" ht="16.5" spans="1:4">
      <c r="A220" s="173" t="s">
        <v>5083</v>
      </c>
      <c r="B220" s="173" t="s">
        <v>4840</v>
      </c>
      <c r="C220" s="173" t="s">
        <v>4841</v>
      </c>
      <c r="D220" s="173" t="s">
        <v>4842</v>
      </c>
    </row>
    <row r="221" ht="16.5" spans="1:4">
      <c r="A221" s="173" t="s">
        <v>5084</v>
      </c>
      <c r="B221" s="173" t="s">
        <v>5084</v>
      </c>
      <c r="C221" s="173" t="s">
        <v>4841</v>
      </c>
      <c r="D221" s="173" t="s">
        <v>5085</v>
      </c>
    </row>
    <row r="222" ht="16.5" spans="1:4">
      <c r="A222" s="173" t="s">
        <v>5086</v>
      </c>
      <c r="B222" s="173" t="s">
        <v>4840</v>
      </c>
      <c r="C222" s="173" t="s">
        <v>4841</v>
      </c>
      <c r="D222" s="173" t="s">
        <v>4842</v>
      </c>
    </row>
    <row r="223" ht="16.5" spans="1:4">
      <c r="A223" s="173" t="s">
        <v>5087</v>
      </c>
      <c r="B223" s="173" t="s">
        <v>4840</v>
      </c>
      <c r="C223" s="173" t="s">
        <v>4841</v>
      </c>
      <c r="D223" s="173" t="s">
        <v>4842</v>
      </c>
    </row>
    <row r="224" ht="16.5" spans="1:4">
      <c r="A224" s="173" t="s">
        <v>5088</v>
      </c>
      <c r="B224" s="173" t="s">
        <v>4840</v>
      </c>
      <c r="C224" s="173" t="s">
        <v>4841</v>
      </c>
      <c r="D224" s="173" t="s">
        <v>4842</v>
      </c>
    </row>
    <row r="225" ht="16.5" spans="1:4">
      <c r="A225" s="173" t="s">
        <v>5089</v>
      </c>
      <c r="B225" s="173" t="s">
        <v>4840</v>
      </c>
      <c r="C225" s="173" t="s">
        <v>4841</v>
      </c>
      <c r="D225" s="173" t="s">
        <v>4842</v>
      </c>
    </row>
    <row r="226" ht="16.5" spans="1:4">
      <c r="A226" s="173" t="s">
        <v>5090</v>
      </c>
      <c r="B226" s="173" t="s">
        <v>4840</v>
      </c>
      <c r="C226" s="173" t="s">
        <v>4841</v>
      </c>
      <c r="D226" s="173" t="s">
        <v>4842</v>
      </c>
    </row>
    <row r="227" ht="16.5" spans="1:4">
      <c r="A227" s="173" t="s">
        <v>5091</v>
      </c>
      <c r="B227" s="173" t="s">
        <v>4840</v>
      </c>
      <c r="C227" s="173" t="s">
        <v>4841</v>
      </c>
      <c r="D227" s="173" t="s">
        <v>4842</v>
      </c>
    </row>
    <row r="228" ht="16.5" spans="1:4">
      <c r="A228" s="173" t="s">
        <v>5092</v>
      </c>
      <c r="B228" s="173" t="s">
        <v>4840</v>
      </c>
      <c r="C228" s="173" t="s">
        <v>4841</v>
      </c>
      <c r="D228" s="173" t="s">
        <v>4842</v>
      </c>
    </row>
    <row r="229" ht="16.5" spans="1:4">
      <c r="A229" s="173" t="s">
        <v>5093</v>
      </c>
      <c r="B229" s="173" t="s">
        <v>4840</v>
      </c>
      <c r="C229" s="173" t="s">
        <v>4841</v>
      </c>
      <c r="D229" s="173" t="s">
        <v>4842</v>
      </c>
    </row>
    <row r="230" ht="16.5" spans="1:4">
      <c r="A230" s="173" t="s">
        <v>5094</v>
      </c>
      <c r="B230" s="173" t="s">
        <v>4840</v>
      </c>
      <c r="C230" s="173" t="s">
        <v>4841</v>
      </c>
      <c r="D230" s="173" t="s">
        <v>4842</v>
      </c>
    </row>
    <row r="231" ht="16.5" spans="1:4">
      <c r="A231" s="173" t="s">
        <v>5095</v>
      </c>
      <c r="B231" s="173" t="s">
        <v>4840</v>
      </c>
      <c r="C231" s="173" t="s">
        <v>4841</v>
      </c>
      <c r="D231" s="173" t="s">
        <v>4842</v>
      </c>
    </row>
    <row r="232" ht="16.5" spans="1:4">
      <c r="A232" s="173" t="s">
        <v>5096</v>
      </c>
      <c r="B232" s="173" t="s">
        <v>4840</v>
      </c>
      <c r="C232" s="173" t="s">
        <v>4841</v>
      </c>
      <c r="D232" s="173" t="s">
        <v>4842</v>
      </c>
    </row>
    <row r="233" ht="16.5" spans="1:4">
      <c r="A233" s="173" t="s">
        <v>5097</v>
      </c>
      <c r="B233" s="173" t="s">
        <v>5097</v>
      </c>
      <c r="C233" s="173" t="s">
        <v>4841</v>
      </c>
      <c r="D233" s="173" t="s">
        <v>5098</v>
      </c>
    </row>
    <row r="234" ht="16.5" spans="1:4">
      <c r="A234" s="173" t="s">
        <v>5099</v>
      </c>
      <c r="B234" s="173" t="s">
        <v>4840</v>
      </c>
      <c r="C234" s="173" t="s">
        <v>4841</v>
      </c>
      <c r="D234" s="173" t="s">
        <v>4842</v>
      </c>
    </row>
    <row r="235" ht="16.5" spans="1:4">
      <c r="A235" s="173" t="s">
        <v>5100</v>
      </c>
      <c r="B235" s="173" t="s">
        <v>4840</v>
      </c>
      <c r="C235" s="173" t="s">
        <v>4841</v>
      </c>
      <c r="D235" s="173" t="s">
        <v>4842</v>
      </c>
    </row>
    <row r="236" ht="16.5" spans="1:4">
      <c r="A236" s="175" t="s">
        <v>5101</v>
      </c>
      <c r="B236" s="173" t="s">
        <v>4840</v>
      </c>
      <c r="C236" s="173" t="s">
        <v>4841</v>
      </c>
      <c r="D236" s="173" t="s">
        <v>4842</v>
      </c>
    </row>
    <row r="237" ht="16.5" spans="1:4">
      <c r="A237" s="175" t="s">
        <v>5102</v>
      </c>
      <c r="B237" s="173" t="s">
        <v>4840</v>
      </c>
      <c r="C237" s="173" t="s">
        <v>4841</v>
      </c>
      <c r="D237" s="173" t="s">
        <v>4842</v>
      </c>
    </row>
    <row r="238" ht="16.5" spans="1:4">
      <c r="A238" s="175" t="s">
        <v>5103</v>
      </c>
      <c r="B238" s="173" t="s">
        <v>4840</v>
      </c>
      <c r="C238" s="173" t="s">
        <v>4841</v>
      </c>
      <c r="D238" s="173" t="s">
        <v>4842</v>
      </c>
    </row>
    <row r="239" ht="16.5" spans="1:4">
      <c r="A239" s="175" t="s">
        <v>5104</v>
      </c>
      <c r="B239" s="173" t="s">
        <v>4840</v>
      </c>
      <c r="C239" s="173" t="s">
        <v>4841</v>
      </c>
      <c r="D239" s="173" t="s">
        <v>4842</v>
      </c>
    </row>
    <row r="240" ht="16.5" spans="1:4">
      <c r="A240" s="175" t="s">
        <v>5105</v>
      </c>
      <c r="B240" s="173" t="s">
        <v>4840</v>
      </c>
      <c r="C240" s="173" t="s">
        <v>4841</v>
      </c>
      <c r="D240" s="173" t="s">
        <v>4842</v>
      </c>
    </row>
    <row r="241" ht="16.5" spans="1:4">
      <c r="A241" s="175" t="s">
        <v>5106</v>
      </c>
      <c r="B241" s="173" t="s">
        <v>4840</v>
      </c>
      <c r="C241" s="173" t="s">
        <v>4841</v>
      </c>
      <c r="D241" s="173" t="s">
        <v>4842</v>
      </c>
    </row>
    <row r="242" ht="16.5" spans="1:4">
      <c r="A242" s="175" t="s">
        <v>5107</v>
      </c>
      <c r="B242" s="173" t="s">
        <v>4840</v>
      </c>
      <c r="C242" s="173" t="s">
        <v>4841</v>
      </c>
      <c r="D242" s="173" t="s">
        <v>4842</v>
      </c>
    </row>
    <row r="243" ht="16.5" spans="1:4">
      <c r="A243" s="175" t="s">
        <v>5108</v>
      </c>
      <c r="B243" s="173" t="s">
        <v>4840</v>
      </c>
      <c r="C243" s="173" t="s">
        <v>4841</v>
      </c>
      <c r="D243" s="173" t="s">
        <v>4842</v>
      </c>
    </row>
    <row r="244" ht="16.5" spans="1:4">
      <c r="A244" s="173" t="s">
        <v>5109</v>
      </c>
      <c r="B244" s="173" t="s">
        <v>5109</v>
      </c>
      <c r="C244" s="173" t="s">
        <v>4841</v>
      </c>
      <c r="D244" s="173" t="s">
        <v>5110</v>
      </c>
    </row>
    <row r="245" ht="16.5" spans="1:4">
      <c r="A245" s="173" t="s">
        <v>5111</v>
      </c>
      <c r="B245" s="173" t="s">
        <v>4840</v>
      </c>
      <c r="C245" s="173" t="s">
        <v>4841</v>
      </c>
      <c r="D245" s="173" t="s">
        <v>4842</v>
      </c>
    </row>
    <row r="246" ht="16.5" spans="1:4">
      <c r="A246" s="173" t="s">
        <v>5112</v>
      </c>
      <c r="B246" s="173" t="s">
        <v>4840</v>
      </c>
      <c r="C246" s="173" t="s">
        <v>4841</v>
      </c>
      <c r="D246" s="173" t="s">
        <v>4842</v>
      </c>
    </row>
    <row r="247" ht="16.5" spans="1:4">
      <c r="A247" s="173" t="s">
        <v>5113</v>
      </c>
      <c r="B247" s="173" t="s">
        <v>4840</v>
      </c>
      <c r="C247" s="173" t="s">
        <v>4841</v>
      </c>
      <c r="D247" s="173" t="s">
        <v>4842</v>
      </c>
    </row>
    <row r="248" ht="16.5" spans="1:4">
      <c r="A248" s="173" t="s">
        <v>5114</v>
      </c>
      <c r="B248" s="173" t="s">
        <v>4840</v>
      </c>
      <c r="C248" s="173" t="s">
        <v>4841</v>
      </c>
      <c r="D248" s="173" t="s">
        <v>4842</v>
      </c>
    </row>
    <row r="249" ht="16.5" spans="1:4">
      <c r="A249" s="173" t="s">
        <v>5115</v>
      </c>
      <c r="B249" s="173" t="s">
        <v>4840</v>
      </c>
      <c r="C249" s="173" t="s">
        <v>4841</v>
      </c>
      <c r="D249" s="173" t="s">
        <v>4842</v>
      </c>
    </row>
    <row r="250" ht="16.5" spans="1:4">
      <c r="A250" s="173" t="s">
        <v>5116</v>
      </c>
      <c r="B250" s="173" t="s">
        <v>4840</v>
      </c>
      <c r="C250" s="173" t="s">
        <v>4841</v>
      </c>
      <c r="D250" s="173" t="s">
        <v>4842</v>
      </c>
    </row>
    <row r="251" ht="16.5" spans="1:4">
      <c r="A251" s="173" t="s">
        <v>5117</v>
      </c>
      <c r="B251" s="173" t="s">
        <v>4840</v>
      </c>
      <c r="C251" s="173" t="s">
        <v>4841</v>
      </c>
      <c r="D251" s="173" t="s">
        <v>4842</v>
      </c>
    </row>
    <row r="252" ht="16.5" spans="1:4">
      <c r="A252" s="173" t="s">
        <v>5118</v>
      </c>
      <c r="B252" s="173" t="s">
        <v>4840</v>
      </c>
      <c r="C252" s="173" t="s">
        <v>4841</v>
      </c>
      <c r="D252" s="173" t="s">
        <v>4842</v>
      </c>
    </row>
    <row r="253" ht="16.5" spans="1:4">
      <c r="A253" s="173" t="s">
        <v>5119</v>
      </c>
      <c r="B253" s="173" t="s">
        <v>4840</v>
      </c>
      <c r="C253" s="173" t="s">
        <v>4841</v>
      </c>
      <c r="D253" s="173" t="s">
        <v>4842</v>
      </c>
    </row>
    <row r="254" ht="16.5" spans="1:4">
      <c r="A254" s="173" t="s">
        <v>5120</v>
      </c>
      <c r="B254" s="173" t="s">
        <v>4840</v>
      </c>
      <c r="C254" s="173" t="s">
        <v>4841</v>
      </c>
      <c r="D254" s="173" t="s">
        <v>4842</v>
      </c>
    </row>
    <row r="255" ht="16.5" spans="1:4">
      <c r="A255" s="173" t="s">
        <v>5121</v>
      </c>
      <c r="B255" s="173" t="s">
        <v>5121</v>
      </c>
      <c r="C255" s="173" t="s">
        <v>4841</v>
      </c>
      <c r="D255" s="173" t="s">
        <v>5122</v>
      </c>
    </row>
    <row r="256" ht="16.5" spans="1:4">
      <c r="A256" s="173" t="s">
        <v>5123</v>
      </c>
      <c r="B256" s="173" t="s">
        <v>4840</v>
      </c>
      <c r="C256" s="173" t="s">
        <v>4841</v>
      </c>
      <c r="D256" s="173" t="s">
        <v>4842</v>
      </c>
    </row>
    <row r="257" ht="16.5" spans="1:4">
      <c r="A257" s="173" t="s">
        <v>5124</v>
      </c>
      <c r="B257" s="173" t="s">
        <v>4840</v>
      </c>
      <c r="C257" s="173" t="s">
        <v>4841</v>
      </c>
      <c r="D257" s="173" t="s">
        <v>4842</v>
      </c>
    </row>
    <row r="258" ht="16.5" spans="1:4">
      <c r="A258" s="173" t="s">
        <v>5125</v>
      </c>
      <c r="B258" s="173" t="s">
        <v>4840</v>
      </c>
      <c r="C258" s="173" t="s">
        <v>4841</v>
      </c>
      <c r="D258" s="173" t="s">
        <v>4842</v>
      </c>
    </row>
    <row r="259" ht="16.5" spans="1:4">
      <c r="A259" s="173" t="s">
        <v>5126</v>
      </c>
      <c r="B259" s="173" t="s">
        <v>4840</v>
      </c>
      <c r="C259" s="173" t="s">
        <v>4841</v>
      </c>
      <c r="D259" s="173" t="s">
        <v>4842</v>
      </c>
    </row>
    <row r="260" ht="16.5" spans="1:4">
      <c r="A260" s="173" t="s">
        <v>5127</v>
      </c>
      <c r="B260" s="173" t="s">
        <v>4840</v>
      </c>
      <c r="C260" s="173" t="s">
        <v>4841</v>
      </c>
      <c r="D260" s="173" t="s">
        <v>4842</v>
      </c>
    </row>
    <row r="261" ht="16.5" spans="1:4">
      <c r="A261" s="173" t="s">
        <v>5128</v>
      </c>
      <c r="B261" s="173" t="s">
        <v>4840</v>
      </c>
      <c r="C261" s="173" t="s">
        <v>4841</v>
      </c>
      <c r="D261" s="173" t="s">
        <v>4842</v>
      </c>
    </row>
    <row r="262" ht="16.5" spans="1:4">
      <c r="A262" s="173" t="s">
        <v>5129</v>
      </c>
      <c r="B262" s="173" t="s">
        <v>4840</v>
      </c>
      <c r="C262" s="173" t="s">
        <v>4841</v>
      </c>
      <c r="D262" s="173" t="s">
        <v>4842</v>
      </c>
    </row>
    <row r="263" ht="16.5" spans="1:4">
      <c r="A263" s="173" t="s">
        <v>5130</v>
      </c>
      <c r="B263" s="173" t="s">
        <v>4840</v>
      </c>
      <c r="C263" s="173" t="s">
        <v>4841</v>
      </c>
      <c r="D263" s="173" t="s">
        <v>4842</v>
      </c>
    </row>
    <row r="264" ht="16.5" spans="1:4">
      <c r="A264" s="173" t="s">
        <v>5131</v>
      </c>
      <c r="B264" s="173" t="s">
        <v>4840</v>
      </c>
      <c r="C264" s="173" t="s">
        <v>4841</v>
      </c>
      <c r="D264" s="173" t="s">
        <v>4842</v>
      </c>
    </row>
    <row r="265" ht="16.5" spans="1:4">
      <c r="A265" s="173" t="s">
        <v>5132</v>
      </c>
      <c r="B265" s="173" t="s">
        <v>4840</v>
      </c>
      <c r="C265" s="173" t="s">
        <v>4841</v>
      </c>
      <c r="D265" s="173" t="s">
        <v>4842</v>
      </c>
    </row>
    <row r="266" ht="16.5" spans="1:4">
      <c r="A266" s="173" t="s">
        <v>5133</v>
      </c>
      <c r="B266" s="173" t="s">
        <v>5133</v>
      </c>
      <c r="C266" s="173" t="s">
        <v>4841</v>
      </c>
      <c r="D266" s="173" t="s">
        <v>5134</v>
      </c>
    </row>
    <row r="267" ht="16.5" spans="1:4">
      <c r="A267" s="173" t="s">
        <v>5135</v>
      </c>
      <c r="B267" s="173" t="s">
        <v>4840</v>
      </c>
      <c r="C267" s="173" t="s">
        <v>4841</v>
      </c>
      <c r="D267" s="173" t="s">
        <v>4842</v>
      </c>
    </row>
    <row r="268" ht="16.5" spans="1:4">
      <c r="A268" s="173" t="s">
        <v>5136</v>
      </c>
      <c r="B268" s="173" t="s">
        <v>4840</v>
      </c>
      <c r="C268" s="173" t="s">
        <v>4841</v>
      </c>
      <c r="D268" s="173" t="s">
        <v>4842</v>
      </c>
    </row>
    <row r="269" ht="16.5" spans="1:4">
      <c r="A269" s="173" t="s">
        <v>5137</v>
      </c>
      <c r="B269" s="173" t="s">
        <v>4840</v>
      </c>
      <c r="C269" s="173" t="s">
        <v>4841</v>
      </c>
      <c r="D269" s="173" t="s">
        <v>4842</v>
      </c>
    </row>
    <row r="270" ht="16.5" spans="1:4">
      <c r="A270" s="173" t="s">
        <v>5138</v>
      </c>
      <c r="B270" s="173" t="s">
        <v>4840</v>
      </c>
      <c r="C270" s="173" t="s">
        <v>4841</v>
      </c>
      <c r="D270" s="173" t="s">
        <v>4842</v>
      </c>
    </row>
    <row r="271" ht="16.5" spans="1:4">
      <c r="A271" s="173" t="s">
        <v>5139</v>
      </c>
      <c r="B271" s="173" t="s">
        <v>4840</v>
      </c>
      <c r="C271" s="173" t="s">
        <v>4841</v>
      </c>
      <c r="D271" s="173" t="s">
        <v>4842</v>
      </c>
    </row>
    <row r="272" ht="16.5" spans="1:4">
      <c r="A272" s="173" t="s">
        <v>5140</v>
      </c>
      <c r="B272" s="173" t="s">
        <v>4840</v>
      </c>
      <c r="C272" s="173" t="s">
        <v>4841</v>
      </c>
      <c r="D272" s="173" t="s">
        <v>4842</v>
      </c>
    </row>
    <row r="273" ht="16.5" spans="1:4">
      <c r="A273" s="173" t="s">
        <v>5141</v>
      </c>
      <c r="B273" s="173" t="s">
        <v>4840</v>
      </c>
      <c r="C273" s="173" t="s">
        <v>4841</v>
      </c>
      <c r="D273" s="173" t="s">
        <v>4842</v>
      </c>
    </row>
    <row r="274" ht="16.5" spans="1:4">
      <c r="A274" s="173" t="s">
        <v>5142</v>
      </c>
      <c r="B274" s="173" t="s">
        <v>4840</v>
      </c>
      <c r="C274" s="173" t="s">
        <v>4841</v>
      </c>
      <c r="D274" s="173" t="s">
        <v>4842</v>
      </c>
    </row>
    <row r="275" ht="16.5" spans="1:4">
      <c r="A275" s="173" t="s">
        <v>5143</v>
      </c>
      <c r="B275" s="173" t="s">
        <v>4840</v>
      </c>
      <c r="C275" s="173" t="s">
        <v>4841</v>
      </c>
      <c r="D275" s="173" t="s">
        <v>4842</v>
      </c>
    </row>
    <row r="276" ht="16.5" spans="1:4">
      <c r="A276" s="173" t="s">
        <v>5144</v>
      </c>
      <c r="B276" s="173" t="s">
        <v>4840</v>
      </c>
      <c r="C276" s="173" t="s">
        <v>4841</v>
      </c>
      <c r="D276" s="173" t="s">
        <v>4842</v>
      </c>
    </row>
    <row r="277" ht="16.5" spans="1:4">
      <c r="A277" s="173" t="s">
        <v>5145</v>
      </c>
      <c r="B277" s="173" t="s">
        <v>5145</v>
      </c>
      <c r="C277" s="173" t="s">
        <v>4841</v>
      </c>
      <c r="D277" s="173" t="s">
        <v>5146</v>
      </c>
    </row>
    <row r="278" ht="16.5" spans="1:4">
      <c r="A278" s="173" t="s">
        <v>5147</v>
      </c>
      <c r="B278" s="173" t="s">
        <v>4840</v>
      </c>
      <c r="C278" s="173" t="s">
        <v>4841</v>
      </c>
      <c r="D278" s="173" t="s">
        <v>4842</v>
      </c>
    </row>
    <row r="279" ht="16.5" spans="1:4">
      <c r="A279" s="173" t="s">
        <v>5148</v>
      </c>
      <c r="B279" s="173" t="s">
        <v>4840</v>
      </c>
      <c r="C279" s="173" t="s">
        <v>4841</v>
      </c>
      <c r="D279" s="173" t="s">
        <v>4842</v>
      </c>
    </row>
    <row r="280" ht="16.5" spans="1:4">
      <c r="A280" s="173" t="s">
        <v>5149</v>
      </c>
      <c r="B280" s="173" t="s">
        <v>4840</v>
      </c>
      <c r="C280" s="173" t="s">
        <v>4841</v>
      </c>
      <c r="D280" s="173" t="s">
        <v>4842</v>
      </c>
    </row>
    <row r="281" ht="16.5" spans="1:4">
      <c r="A281" s="173" t="s">
        <v>5150</v>
      </c>
      <c r="B281" s="173" t="s">
        <v>4840</v>
      </c>
      <c r="C281" s="173" t="s">
        <v>4841</v>
      </c>
      <c r="D281" s="173" t="s">
        <v>4842</v>
      </c>
    </row>
    <row r="282" ht="16.5" spans="1:4">
      <c r="A282" s="173" t="s">
        <v>5151</v>
      </c>
      <c r="B282" s="173" t="s">
        <v>4840</v>
      </c>
      <c r="C282" s="173" t="s">
        <v>4841</v>
      </c>
      <c r="D282" s="173" t="s">
        <v>4842</v>
      </c>
    </row>
    <row r="283" ht="16.5" spans="1:4">
      <c r="A283" s="173" t="s">
        <v>5152</v>
      </c>
      <c r="B283" s="173" t="s">
        <v>4840</v>
      </c>
      <c r="C283" s="173" t="s">
        <v>4841</v>
      </c>
      <c r="D283" s="173" t="s">
        <v>4842</v>
      </c>
    </row>
    <row r="284" ht="16.5" spans="1:4">
      <c r="A284" s="173" t="s">
        <v>5153</v>
      </c>
      <c r="B284" s="173" t="s">
        <v>4840</v>
      </c>
      <c r="C284" s="173" t="s">
        <v>4841</v>
      </c>
      <c r="D284" s="173" t="s">
        <v>4842</v>
      </c>
    </row>
    <row r="285" ht="16.5" spans="1:4">
      <c r="A285" s="173" t="s">
        <v>5154</v>
      </c>
      <c r="B285" s="173" t="s">
        <v>4840</v>
      </c>
      <c r="C285" s="173" t="s">
        <v>4841</v>
      </c>
      <c r="D285" s="173" t="s">
        <v>4842</v>
      </c>
    </row>
    <row r="286" ht="16.5" spans="1:4">
      <c r="A286" s="173" t="s">
        <v>5155</v>
      </c>
      <c r="B286" s="173" t="s">
        <v>4840</v>
      </c>
      <c r="C286" s="173" t="s">
        <v>4841</v>
      </c>
      <c r="D286" s="173" t="s">
        <v>4842</v>
      </c>
    </row>
    <row r="287" ht="16.5" spans="1:4">
      <c r="A287" s="173" t="s">
        <v>5156</v>
      </c>
      <c r="B287" s="173" t="s">
        <v>4840</v>
      </c>
      <c r="C287" s="173" t="s">
        <v>4841</v>
      </c>
      <c r="D287" s="173" t="s">
        <v>4842</v>
      </c>
    </row>
    <row r="288" ht="16.5" spans="1:4">
      <c r="A288" s="173" t="s">
        <v>5157</v>
      </c>
      <c r="B288" s="173" t="s">
        <v>5157</v>
      </c>
      <c r="C288" s="173" t="s">
        <v>4841</v>
      </c>
      <c r="D288" s="173" t="s">
        <v>5158</v>
      </c>
    </row>
    <row r="289" ht="16.5" spans="1:4">
      <c r="A289" s="173" t="s">
        <v>5159</v>
      </c>
      <c r="B289" s="173" t="s">
        <v>4840</v>
      </c>
      <c r="C289" s="173" t="s">
        <v>4841</v>
      </c>
      <c r="D289" s="173" t="s">
        <v>4842</v>
      </c>
    </row>
    <row r="290" ht="16.5" spans="1:4">
      <c r="A290" s="173" t="s">
        <v>5160</v>
      </c>
      <c r="B290" s="173" t="s">
        <v>4840</v>
      </c>
      <c r="C290" s="173" t="s">
        <v>4841</v>
      </c>
      <c r="D290" s="173" t="s">
        <v>4842</v>
      </c>
    </row>
    <row r="291" ht="16.5" spans="1:4">
      <c r="A291" s="173" t="s">
        <v>5161</v>
      </c>
      <c r="B291" s="173" t="s">
        <v>4840</v>
      </c>
      <c r="C291" s="173" t="s">
        <v>4841</v>
      </c>
      <c r="D291" s="173" t="s">
        <v>4842</v>
      </c>
    </row>
    <row r="292" ht="16.5" spans="1:4">
      <c r="A292" s="173" t="s">
        <v>5162</v>
      </c>
      <c r="B292" s="173" t="s">
        <v>4840</v>
      </c>
      <c r="C292" s="173" t="s">
        <v>4841</v>
      </c>
      <c r="D292" s="173" t="s">
        <v>4842</v>
      </c>
    </row>
    <row r="293" ht="16.5" spans="1:4">
      <c r="A293" s="173" t="s">
        <v>5163</v>
      </c>
      <c r="B293" s="173" t="s">
        <v>4840</v>
      </c>
      <c r="C293" s="173" t="s">
        <v>4841</v>
      </c>
      <c r="D293" s="173" t="s">
        <v>4842</v>
      </c>
    </row>
    <row r="294" ht="16.5" spans="1:4">
      <c r="A294" s="173" t="s">
        <v>5164</v>
      </c>
      <c r="B294" s="173" t="s">
        <v>4840</v>
      </c>
      <c r="C294" s="173" t="s">
        <v>4841</v>
      </c>
      <c r="D294" s="173" t="s">
        <v>4842</v>
      </c>
    </row>
    <row r="295" ht="16.5" spans="1:4">
      <c r="A295" s="173" t="s">
        <v>5165</v>
      </c>
      <c r="B295" s="173" t="s">
        <v>4840</v>
      </c>
      <c r="C295" s="173" t="s">
        <v>4841</v>
      </c>
      <c r="D295" s="173" t="s">
        <v>4842</v>
      </c>
    </row>
    <row r="296" ht="16.5" spans="1:4">
      <c r="A296" s="173" t="s">
        <v>5166</v>
      </c>
      <c r="B296" s="173" t="s">
        <v>4840</v>
      </c>
      <c r="C296" s="173" t="s">
        <v>4841</v>
      </c>
      <c r="D296" s="173" t="s">
        <v>4842</v>
      </c>
    </row>
    <row r="297" ht="16.5" spans="1:4">
      <c r="A297" s="173" t="s">
        <v>5167</v>
      </c>
      <c r="B297" s="173" t="s">
        <v>4840</v>
      </c>
      <c r="C297" s="173" t="s">
        <v>4841</v>
      </c>
      <c r="D297" s="173" t="s">
        <v>4842</v>
      </c>
    </row>
    <row r="298" ht="16.5" spans="1:4">
      <c r="A298" s="173" t="s">
        <v>5168</v>
      </c>
      <c r="B298" s="173" t="s">
        <v>4840</v>
      </c>
      <c r="C298" s="173" t="s">
        <v>4841</v>
      </c>
      <c r="D298" s="173" t="s">
        <v>4842</v>
      </c>
    </row>
    <row r="299" ht="16.5" spans="1:4">
      <c r="A299" s="173" t="s">
        <v>5169</v>
      </c>
      <c r="B299" s="173" t="s">
        <v>4840</v>
      </c>
      <c r="C299" s="173" t="s">
        <v>4841</v>
      </c>
      <c r="D299" s="173" t="s">
        <v>4842</v>
      </c>
    </row>
    <row r="300" ht="16.5" spans="1:4">
      <c r="A300" s="173" t="s">
        <v>5170</v>
      </c>
      <c r="B300" s="173" t="s">
        <v>5170</v>
      </c>
      <c r="C300" s="173" t="s">
        <v>4841</v>
      </c>
      <c r="D300" s="173" t="s">
        <v>5171</v>
      </c>
    </row>
    <row r="301" ht="16.5" spans="1:4">
      <c r="A301" s="173" t="s">
        <v>5172</v>
      </c>
      <c r="B301" s="173" t="s">
        <v>4840</v>
      </c>
      <c r="C301" s="173" t="s">
        <v>4841</v>
      </c>
      <c r="D301" s="173" t="s">
        <v>4842</v>
      </c>
    </row>
    <row r="302" ht="16.5" spans="1:4">
      <c r="A302" s="173" t="s">
        <v>5173</v>
      </c>
      <c r="B302" s="173" t="s">
        <v>4840</v>
      </c>
      <c r="C302" s="173" t="s">
        <v>4841</v>
      </c>
      <c r="D302" s="173" t="s">
        <v>4842</v>
      </c>
    </row>
    <row r="303" ht="16.5" spans="1:4">
      <c r="A303" s="173" t="s">
        <v>5174</v>
      </c>
      <c r="B303" s="173" t="s">
        <v>4840</v>
      </c>
      <c r="C303" s="173" t="s">
        <v>4841</v>
      </c>
      <c r="D303" s="173" t="s">
        <v>4842</v>
      </c>
    </row>
    <row r="304" ht="16.5" spans="1:4">
      <c r="A304" s="173" t="s">
        <v>5175</v>
      </c>
      <c r="B304" s="173" t="s">
        <v>4840</v>
      </c>
      <c r="C304" s="173" t="s">
        <v>4841</v>
      </c>
      <c r="D304" s="173" t="s">
        <v>4842</v>
      </c>
    </row>
    <row r="305" ht="16.5" spans="1:4">
      <c r="A305" s="173" t="s">
        <v>5176</v>
      </c>
      <c r="B305" s="173" t="s">
        <v>4840</v>
      </c>
      <c r="C305" s="173" t="s">
        <v>4841</v>
      </c>
      <c r="D305" s="173" t="s">
        <v>4842</v>
      </c>
    </row>
    <row r="306" ht="16.5" spans="1:4">
      <c r="A306" s="173" t="s">
        <v>5177</v>
      </c>
      <c r="B306" s="173" t="s">
        <v>4840</v>
      </c>
      <c r="C306" s="173" t="s">
        <v>4841</v>
      </c>
      <c r="D306" s="173" t="s">
        <v>4842</v>
      </c>
    </row>
    <row r="307" ht="16.5" spans="1:4">
      <c r="A307" s="173" t="s">
        <v>5178</v>
      </c>
      <c r="B307" s="173" t="s">
        <v>4840</v>
      </c>
      <c r="C307" s="173" t="s">
        <v>4841</v>
      </c>
      <c r="D307" s="173" t="s">
        <v>4842</v>
      </c>
    </row>
    <row r="308" ht="16.5" spans="1:4">
      <c r="A308" s="173" t="s">
        <v>5179</v>
      </c>
      <c r="B308" s="173" t="s">
        <v>4840</v>
      </c>
      <c r="C308" s="173" t="s">
        <v>4841</v>
      </c>
      <c r="D308" s="173" t="s">
        <v>4842</v>
      </c>
    </row>
    <row r="309" ht="16.5" spans="1:4">
      <c r="A309" s="173" t="s">
        <v>5180</v>
      </c>
      <c r="B309" s="173" t="s">
        <v>4840</v>
      </c>
      <c r="C309" s="173" t="s">
        <v>4841</v>
      </c>
      <c r="D309" s="173" t="s">
        <v>4842</v>
      </c>
    </row>
    <row r="310" ht="16.5" spans="1:4">
      <c r="A310" s="173" t="s">
        <v>5181</v>
      </c>
      <c r="B310" s="173" t="s">
        <v>4840</v>
      </c>
      <c r="C310" s="173" t="s">
        <v>4841</v>
      </c>
      <c r="D310" s="173" t="s">
        <v>4842</v>
      </c>
    </row>
    <row r="311" ht="16.5" spans="1:4">
      <c r="A311" s="173" t="s">
        <v>5182</v>
      </c>
      <c r="B311" s="173" t="s">
        <v>4840</v>
      </c>
      <c r="C311" s="173" t="s">
        <v>4841</v>
      </c>
      <c r="D311" s="173" t="s">
        <v>4842</v>
      </c>
    </row>
    <row r="312" ht="16.5" spans="1:4">
      <c r="A312" s="173" t="s">
        <v>5183</v>
      </c>
      <c r="B312" s="173" t="s">
        <v>5183</v>
      </c>
      <c r="C312" s="173" t="s">
        <v>4841</v>
      </c>
      <c r="D312" s="173" t="s">
        <v>5184</v>
      </c>
    </row>
    <row r="313" ht="16.5" spans="1:4">
      <c r="A313" s="173" t="s">
        <v>5185</v>
      </c>
      <c r="B313" s="173" t="s">
        <v>4840</v>
      </c>
      <c r="C313" s="173" t="s">
        <v>4841</v>
      </c>
      <c r="D313" s="173" t="s">
        <v>4842</v>
      </c>
    </row>
    <row r="314" ht="16.5" spans="1:4">
      <c r="A314" s="173" t="s">
        <v>5186</v>
      </c>
      <c r="B314" s="173" t="s">
        <v>4840</v>
      </c>
      <c r="C314" s="173" t="s">
        <v>4841</v>
      </c>
      <c r="D314" s="173" t="s">
        <v>4842</v>
      </c>
    </row>
    <row r="315" ht="16.5" spans="1:4">
      <c r="A315" s="173" t="s">
        <v>5187</v>
      </c>
      <c r="B315" s="173" t="s">
        <v>4840</v>
      </c>
      <c r="C315" s="173" t="s">
        <v>4841</v>
      </c>
      <c r="D315" s="173" t="s">
        <v>4842</v>
      </c>
    </row>
    <row r="316" ht="16.5" spans="1:4">
      <c r="A316" s="173" t="s">
        <v>5188</v>
      </c>
      <c r="B316" s="173" t="s">
        <v>4840</v>
      </c>
      <c r="C316" s="173" t="s">
        <v>4841</v>
      </c>
      <c r="D316" s="173" t="s">
        <v>4842</v>
      </c>
    </row>
    <row r="317" ht="16.5" spans="1:4">
      <c r="A317" s="173" t="s">
        <v>5189</v>
      </c>
      <c r="B317" s="173" t="s">
        <v>4840</v>
      </c>
      <c r="C317" s="173" t="s">
        <v>4841</v>
      </c>
      <c r="D317" s="173" t="s">
        <v>4842</v>
      </c>
    </row>
    <row r="318" ht="16.5" spans="1:4">
      <c r="A318" s="173" t="s">
        <v>5190</v>
      </c>
      <c r="B318" s="173" t="s">
        <v>4840</v>
      </c>
      <c r="C318" s="173" t="s">
        <v>4841</v>
      </c>
      <c r="D318" s="173" t="s">
        <v>4842</v>
      </c>
    </row>
    <row r="319" ht="16.5" spans="1:4">
      <c r="A319" s="173" t="s">
        <v>5191</v>
      </c>
      <c r="B319" s="173" t="s">
        <v>4840</v>
      </c>
      <c r="C319" s="173" t="s">
        <v>4841</v>
      </c>
      <c r="D319" s="173" t="s">
        <v>4842</v>
      </c>
    </row>
    <row r="320" ht="16.5" spans="1:4">
      <c r="A320" s="173" t="s">
        <v>5192</v>
      </c>
      <c r="B320" s="173" t="s">
        <v>4840</v>
      </c>
      <c r="C320" s="173" t="s">
        <v>4841</v>
      </c>
      <c r="D320" s="173" t="s">
        <v>4842</v>
      </c>
    </row>
    <row r="321" ht="16.5" spans="1:4">
      <c r="A321" s="173" t="s">
        <v>5193</v>
      </c>
      <c r="B321" s="173" t="s">
        <v>4840</v>
      </c>
      <c r="C321" s="173" t="s">
        <v>4841</v>
      </c>
      <c r="D321" s="173" t="s">
        <v>4842</v>
      </c>
    </row>
    <row r="322" ht="16.5" spans="1:4">
      <c r="A322" s="173" t="s">
        <v>5194</v>
      </c>
      <c r="B322" s="173" t="s">
        <v>4840</v>
      </c>
      <c r="C322" s="173" t="s">
        <v>4841</v>
      </c>
      <c r="D322" s="173" t="s">
        <v>4842</v>
      </c>
    </row>
    <row r="323" ht="16.5" spans="1:4">
      <c r="A323" s="173" t="s">
        <v>5195</v>
      </c>
      <c r="B323" s="173" t="s">
        <v>4840</v>
      </c>
      <c r="C323" s="173" t="s">
        <v>4841</v>
      </c>
      <c r="D323" s="173" t="s">
        <v>4842</v>
      </c>
    </row>
    <row r="324" ht="16.5" spans="1:4">
      <c r="A324" s="173" t="s">
        <v>5196</v>
      </c>
      <c r="B324" s="173" t="s">
        <v>4840</v>
      </c>
      <c r="C324" s="173" t="s">
        <v>4841</v>
      </c>
      <c r="D324" s="173" t="s">
        <v>4842</v>
      </c>
    </row>
    <row r="325" ht="16.5" spans="1:4">
      <c r="A325" s="173" t="s">
        <v>5197</v>
      </c>
      <c r="B325" s="173" t="s">
        <v>4840</v>
      </c>
      <c r="C325" s="173" t="s">
        <v>4841</v>
      </c>
      <c r="D325" s="173" t="s">
        <v>4842</v>
      </c>
    </row>
    <row r="326" ht="16.5" spans="1:4">
      <c r="A326" s="173" t="s">
        <v>5198</v>
      </c>
      <c r="B326" s="173" t="s">
        <v>4840</v>
      </c>
      <c r="C326" s="173" t="s">
        <v>4841</v>
      </c>
      <c r="D326" s="173" t="s">
        <v>4842</v>
      </c>
    </row>
    <row r="327" ht="16.5" spans="1:4">
      <c r="A327" s="173" t="s">
        <v>5199</v>
      </c>
      <c r="B327" s="173" t="s">
        <v>4840</v>
      </c>
      <c r="C327" s="173" t="s">
        <v>4841</v>
      </c>
      <c r="D327" s="173" t="s">
        <v>4842</v>
      </c>
    </row>
    <row r="328" ht="16.5" spans="1:4">
      <c r="A328" s="173" t="s">
        <v>5200</v>
      </c>
      <c r="B328" s="173" t="s">
        <v>4840</v>
      </c>
      <c r="C328" s="173" t="s">
        <v>4841</v>
      </c>
      <c r="D328" s="173" t="s">
        <v>4842</v>
      </c>
    </row>
    <row r="329" ht="16.5" spans="1:4">
      <c r="A329" s="173" t="s">
        <v>5201</v>
      </c>
      <c r="B329" s="173" t="s">
        <v>4840</v>
      </c>
      <c r="C329" s="173" t="s">
        <v>4841</v>
      </c>
      <c r="D329" s="173" t="s">
        <v>4842</v>
      </c>
    </row>
    <row r="330" ht="16.5" spans="1:4">
      <c r="A330" s="173" t="s">
        <v>5202</v>
      </c>
      <c r="B330" s="173" t="s">
        <v>4840</v>
      </c>
      <c r="C330" s="173" t="s">
        <v>4841</v>
      </c>
      <c r="D330" s="173" t="s">
        <v>4842</v>
      </c>
    </row>
    <row r="331" ht="16.5" spans="1:4">
      <c r="A331" s="173" t="s">
        <v>5203</v>
      </c>
      <c r="B331" s="173" t="s">
        <v>4840</v>
      </c>
      <c r="C331" s="173" t="s">
        <v>4841</v>
      </c>
      <c r="D331" s="173" t="s">
        <v>4842</v>
      </c>
    </row>
    <row r="332" ht="16.5" spans="1:4">
      <c r="A332" s="173" t="s">
        <v>5204</v>
      </c>
      <c r="B332" s="173" t="s">
        <v>4840</v>
      </c>
      <c r="C332" s="173" t="s">
        <v>4841</v>
      </c>
      <c r="D332" s="173" t="s">
        <v>4842</v>
      </c>
    </row>
    <row r="333" ht="16.5" spans="1:4">
      <c r="A333" s="173" t="s">
        <v>5205</v>
      </c>
      <c r="B333" s="173" t="s">
        <v>5205</v>
      </c>
      <c r="C333" s="173" t="s">
        <v>4841</v>
      </c>
      <c r="D333" s="173" t="s">
        <v>5206</v>
      </c>
    </row>
    <row r="334" ht="16.5" spans="1:4">
      <c r="A334" s="173" t="s">
        <v>5207</v>
      </c>
      <c r="B334" s="173" t="s">
        <v>4840</v>
      </c>
      <c r="C334" s="173" t="s">
        <v>4841</v>
      </c>
      <c r="D334" s="173" t="s">
        <v>4842</v>
      </c>
    </row>
    <row r="335" ht="16.5" spans="1:4">
      <c r="A335" s="173" t="s">
        <v>5208</v>
      </c>
      <c r="B335" s="173" t="s">
        <v>4840</v>
      </c>
      <c r="C335" s="173" t="s">
        <v>4841</v>
      </c>
      <c r="D335" s="173" t="s">
        <v>4842</v>
      </c>
    </row>
    <row r="336" ht="16.5" spans="1:4">
      <c r="A336" s="173" t="s">
        <v>5209</v>
      </c>
      <c r="B336" s="173" t="s">
        <v>4840</v>
      </c>
      <c r="C336" s="173" t="s">
        <v>4841</v>
      </c>
      <c r="D336" s="173" t="s">
        <v>4842</v>
      </c>
    </row>
    <row r="337" ht="16.5" spans="1:4">
      <c r="A337" s="173" t="s">
        <v>5210</v>
      </c>
      <c r="B337" s="173" t="s">
        <v>4840</v>
      </c>
      <c r="C337" s="173" t="s">
        <v>4841</v>
      </c>
      <c r="D337" s="173" t="s">
        <v>4842</v>
      </c>
    </row>
    <row r="338" ht="16.5" spans="1:4">
      <c r="A338" s="173" t="s">
        <v>5211</v>
      </c>
      <c r="B338" s="173" t="s">
        <v>4840</v>
      </c>
      <c r="C338" s="173" t="s">
        <v>4841</v>
      </c>
      <c r="D338" s="173" t="s">
        <v>4842</v>
      </c>
    </row>
    <row r="339" ht="16.5" spans="1:4">
      <c r="A339" s="173" t="s">
        <v>5212</v>
      </c>
      <c r="B339" s="173" t="s">
        <v>4840</v>
      </c>
      <c r="C339" s="173" t="s">
        <v>4841</v>
      </c>
      <c r="D339" s="173" t="s">
        <v>4842</v>
      </c>
    </row>
    <row r="340" ht="16.5" spans="1:4">
      <c r="A340" s="173" t="s">
        <v>5213</v>
      </c>
      <c r="B340" s="173" t="s">
        <v>4840</v>
      </c>
      <c r="C340" s="173" t="s">
        <v>4841</v>
      </c>
      <c r="D340" s="173" t="s">
        <v>4842</v>
      </c>
    </row>
    <row r="341" ht="16.5" spans="1:4">
      <c r="A341" s="173" t="s">
        <v>5214</v>
      </c>
      <c r="B341" s="173" t="s">
        <v>4840</v>
      </c>
      <c r="C341" s="173" t="s">
        <v>4841</v>
      </c>
      <c r="D341" s="173" t="s">
        <v>4842</v>
      </c>
    </row>
    <row r="342" ht="16.5" spans="1:4">
      <c r="A342" s="173" t="s">
        <v>5215</v>
      </c>
      <c r="B342" s="173" t="s">
        <v>4840</v>
      </c>
      <c r="C342" s="173" t="s">
        <v>4841</v>
      </c>
      <c r="D342" s="173" t="s">
        <v>4842</v>
      </c>
    </row>
    <row r="343" ht="16.5" spans="1:4">
      <c r="A343" s="173" t="s">
        <v>5216</v>
      </c>
      <c r="B343" s="173" t="s">
        <v>4840</v>
      </c>
      <c r="C343" s="173" t="s">
        <v>4841</v>
      </c>
      <c r="D343" s="173" t="s">
        <v>4842</v>
      </c>
    </row>
    <row r="344" ht="16.5" spans="1:4">
      <c r="A344" s="173" t="s">
        <v>5217</v>
      </c>
      <c r="B344" s="173" t="s">
        <v>5217</v>
      </c>
      <c r="C344" s="173" t="s">
        <v>4841</v>
      </c>
      <c r="D344" s="173" t="s">
        <v>5218</v>
      </c>
    </row>
    <row r="345" ht="16.5" spans="1:4">
      <c r="A345" s="173" t="s">
        <v>5219</v>
      </c>
      <c r="B345" s="173" t="s">
        <v>4840</v>
      </c>
      <c r="C345" s="173" t="s">
        <v>4841</v>
      </c>
      <c r="D345" s="173" t="s">
        <v>4842</v>
      </c>
    </row>
    <row r="346" ht="16.5" spans="1:4">
      <c r="A346" s="173" t="s">
        <v>5220</v>
      </c>
      <c r="B346" s="173" t="s">
        <v>4840</v>
      </c>
      <c r="C346" s="173" t="s">
        <v>4841</v>
      </c>
      <c r="D346" s="173" t="s">
        <v>4842</v>
      </c>
    </row>
    <row r="347" ht="16.5" spans="1:4">
      <c r="A347" s="173" t="s">
        <v>5221</v>
      </c>
      <c r="B347" s="173" t="s">
        <v>4840</v>
      </c>
      <c r="C347" s="173" t="s">
        <v>4841</v>
      </c>
      <c r="D347" s="173" t="s">
        <v>4842</v>
      </c>
    </row>
    <row r="348" ht="16.5" spans="1:4">
      <c r="A348" s="173" t="s">
        <v>5222</v>
      </c>
      <c r="B348" s="173" t="s">
        <v>4840</v>
      </c>
      <c r="C348" s="173" t="s">
        <v>4841</v>
      </c>
      <c r="D348" s="173" t="s">
        <v>4842</v>
      </c>
    </row>
    <row r="349" ht="16.5" spans="1:4">
      <c r="A349" s="173" t="s">
        <v>5223</v>
      </c>
      <c r="B349" s="173" t="s">
        <v>4840</v>
      </c>
      <c r="C349" s="173" t="s">
        <v>4841</v>
      </c>
      <c r="D349" s="173" t="s">
        <v>4842</v>
      </c>
    </row>
    <row r="350" ht="16.5" spans="1:4">
      <c r="A350" s="173" t="s">
        <v>5224</v>
      </c>
      <c r="B350" s="173" t="s">
        <v>4840</v>
      </c>
      <c r="C350" s="173" t="s">
        <v>4841</v>
      </c>
      <c r="D350" s="173" t="s">
        <v>4842</v>
      </c>
    </row>
    <row r="351" ht="16.5" spans="1:4">
      <c r="A351" s="173" t="s">
        <v>5225</v>
      </c>
      <c r="B351" s="173" t="s">
        <v>4840</v>
      </c>
      <c r="C351" s="173" t="s">
        <v>4841</v>
      </c>
      <c r="D351" s="173" t="s">
        <v>4842</v>
      </c>
    </row>
    <row r="352" ht="16.5" spans="1:4">
      <c r="A352" s="173" t="s">
        <v>5226</v>
      </c>
      <c r="B352" s="173" t="s">
        <v>4840</v>
      </c>
      <c r="C352" s="173" t="s">
        <v>4841</v>
      </c>
      <c r="D352" s="173" t="s">
        <v>4842</v>
      </c>
    </row>
    <row r="353" ht="16.5" spans="1:4">
      <c r="A353" s="173" t="s">
        <v>5227</v>
      </c>
      <c r="B353" s="173" t="s">
        <v>4840</v>
      </c>
      <c r="C353" s="173" t="s">
        <v>4841</v>
      </c>
      <c r="D353" s="173" t="s">
        <v>4842</v>
      </c>
    </row>
    <row r="354" ht="16.5" spans="1:4">
      <c r="A354" s="173" t="s">
        <v>5228</v>
      </c>
      <c r="B354" s="173" t="s">
        <v>4840</v>
      </c>
      <c r="C354" s="173" t="s">
        <v>4841</v>
      </c>
      <c r="D354" s="173" t="s">
        <v>4842</v>
      </c>
    </row>
    <row r="355" ht="16.5" spans="1:4">
      <c r="A355" s="173" t="s">
        <v>5229</v>
      </c>
      <c r="B355" s="173" t="s">
        <v>5229</v>
      </c>
      <c r="C355" s="173" t="s">
        <v>4841</v>
      </c>
      <c r="D355" s="173" t="s">
        <v>5230</v>
      </c>
    </row>
    <row r="356" ht="16.5" spans="1:4">
      <c r="A356" s="173" t="s">
        <v>5231</v>
      </c>
      <c r="B356" s="173" t="s">
        <v>4840</v>
      </c>
      <c r="C356" s="173" t="s">
        <v>4841</v>
      </c>
      <c r="D356" s="173" t="s">
        <v>4842</v>
      </c>
    </row>
    <row r="357" ht="16.5" spans="1:4">
      <c r="A357" s="173" t="s">
        <v>5232</v>
      </c>
      <c r="B357" s="173" t="s">
        <v>4840</v>
      </c>
      <c r="C357" s="173" t="s">
        <v>4841</v>
      </c>
      <c r="D357" s="173" t="s">
        <v>4842</v>
      </c>
    </row>
    <row r="358" ht="16.5" spans="1:4">
      <c r="A358" s="173" t="s">
        <v>5233</v>
      </c>
      <c r="B358" s="173" t="s">
        <v>4840</v>
      </c>
      <c r="C358" s="173" t="s">
        <v>4841</v>
      </c>
      <c r="D358" s="173" t="s">
        <v>4842</v>
      </c>
    </row>
    <row r="359" ht="16.5" spans="1:4">
      <c r="A359" s="173" t="s">
        <v>5234</v>
      </c>
      <c r="B359" s="173" t="s">
        <v>4840</v>
      </c>
      <c r="C359" s="173" t="s">
        <v>4841</v>
      </c>
      <c r="D359" s="173" t="s">
        <v>4842</v>
      </c>
    </row>
    <row r="360" ht="16.5" spans="1:4">
      <c r="A360" s="173" t="s">
        <v>5235</v>
      </c>
      <c r="B360" s="173" t="s">
        <v>4840</v>
      </c>
      <c r="C360" s="173" t="s">
        <v>4841</v>
      </c>
      <c r="D360" s="173" t="s">
        <v>4842</v>
      </c>
    </row>
    <row r="361" ht="16.5" spans="1:4">
      <c r="A361" s="173" t="s">
        <v>5236</v>
      </c>
      <c r="B361" s="173" t="s">
        <v>4840</v>
      </c>
      <c r="C361" s="173" t="s">
        <v>4841</v>
      </c>
      <c r="D361" s="173" t="s">
        <v>4842</v>
      </c>
    </row>
    <row r="362" ht="16.5" spans="1:4">
      <c r="A362" s="173" t="s">
        <v>5237</v>
      </c>
      <c r="B362" s="173" t="s">
        <v>4840</v>
      </c>
      <c r="C362" s="173" t="s">
        <v>4841</v>
      </c>
      <c r="D362" s="173" t="s">
        <v>4842</v>
      </c>
    </row>
    <row r="363" ht="16.5" spans="1:4">
      <c r="A363" s="173" t="s">
        <v>5238</v>
      </c>
      <c r="B363" s="173" t="s">
        <v>4840</v>
      </c>
      <c r="C363" s="173" t="s">
        <v>4841</v>
      </c>
      <c r="D363" s="173" t="s">
        <v>4842</v>
      </c>
    </row>
    <row r="364" ht="16.5" spans="1:4">
      <c r="A364" s="173" t="s">
        <v>5239</v>
      </c>
      <c r="B364" s="173" t="s">
        <v>4840</v>
      </c>
      <c r="C364" s="173" t="s">
        <v>4841</v>
      </c>
      <c r="D364" s="173" t="s">
        <v>4842</v>
      </c>
    </row>
    <row r="365" ht="16.5" spans="1:4">
      <c r="A365" s="173" t="s">
        <v>5240</v>
      </c>
      <c r="B365" s="173" t="s">
        <v>4840</v>
      </c>
      <c r="C365" s="173" t="s">
        <v>4841</v>
      </c>
      <c r="D365" s="173" t="s">
        <v>4842</v>
      </c>
    </row>
    <row r="366" ht="16.5" spans="1:4">
      <c r="A366" s="173" t="s">
        <v>5241</v>
      </c>
      <c r="B366" s="173" t="s">
        <v>5241</v>
      </c>
      <c r="C366" s="173" t="s">
        <v>4841</v>
      </c>
      <c r="D366" s="173" t="s">
        <v>5242</v>
      </c>
    </row>
    <row r="367" ht="16.5" spans="1:4">
      <c r="A367" s="173" t="s">
        <v>5243</v>
      </c>
      <c r="B367" s="173" t="s">
        <v>4840</v>
      </c>
      <c r="C367" s="173" t="s">
        <v>4841</v>
      </c>
      <c r="D367" s="173" t="s">
        <v>4842</v>
      </c>
    </row>
    <row r="368" ht="16.5" spans="1:4">
      <c r="A368" s="173" t="s">
        <v>5244</v>
      </c>
      <c r="B368" s="173" t="s">
        <v>4840</v>
      </c>
      <c r="C368" s="173" t="s">
        <v>4841</v>
      </c>
      <c r="D368" s="173" t="s">
        <v>4842</v>
      </c>
    </row>
    <row r="369" ht="16.5" spans="1:4">
      <c r="A369" s="173" t="s">
        <v>5245</v>
      </c>
      <c r="B369" s="173" t="s">
        <v>4840</v>
      </c>
      <c r="C369" s="173" t="s">
        <v>4841</v>
      </c>
      <c r="D369" s="173" t="s">
        <v>4842</v>
      </c>
    </row>
    <row r="370" ht="16.5" spans="1:4">
      <c r="A370" s="173" t="s">
        <v>5246</v>
      </c>
      <c r="B370" s="173" t="s">
        <v>4840</v>
      </c>
      <c r="C370" s="173" t="s">
        <v>4841</v>
      </c>
      <c r="D370" s="173" t="s">
        <v>4842</v>
      </c>
    </row>
    <row r="371" ht="16.5" spans="1:4">
      <c r="A371" s="175" t="s">
        <v>5247</v>
      </c>
      <c r="B371" s="173" t="s">
        <v>4840</v>
      </c>
      <c r="C371" s="173" t="s">
        <v>4841</v>
      </c>
      <c r="D371" s="173" t="s">
        <v>4842</v>
      </c>
    </row>
    <row r="372" ht="16.5" spans="1:4">
      <c r="A372" s="173" t="s">
        <v>5248</v>
      </c>
      <c r="B372" s="173" t="s">
        <v>4840</v>
      </c>
      <c r="C372" s="173" t="s">
        <v>4841</v>
      </c>
      <c r="D372" s="173" t="s">
        <v>4842</v>
      </c>
    </row>
    <row r="373" ht="16.5" spans="1:4">
      <c r="A373" s="173" t="s">
        <v>5249</v>
      </c>
      <c r="B373" s="173" t="s">
        <v>4840</v>
      </c>
      <c r="C373" s="173" t="s">
        <v>4841</v>
      </c>
      <c r="D373" s="173" t="s">
        <v>4842</v>
      </c>
    </row>
    <row r="374" ht="16.5" spans="1:4">
      <c r="A374" s="173" t="s">
        <v>4756</v>
      </c>
      <c r="B374" s="173" t="s">
        <v>4840</v>
      </c>
      <c r="C374" s="173" t="s">
        <v>4841</v>
      </c>
      <c r="D374" s="173" t="s">
        <v>4842</v>
      </c>
    </row>
    <row r="375" ht="16.5" spans="1:4">
      <c r="A375" s="173" t="s">
        <v>5250</v>
      </c>
      <c r="B375" s="173" t="s">
        <v>4840</v>
      </c>
      <c r="C375" s="173" t="s">
        <v>4841</v>
      </c>
      <c r="D375" s="173" t="s">
        <v>4842</v>
      </c>
    </row>
    <row r="376" ht="16.5" spans="1:4">
      <c r="A376" s="173" t="s">
        <v>5251</v>
      </c>
      <c r="B376" s="173" t="s">
        <v>4840</v>
      </c>
      <c r="C376" s="173" t="s">
        <v>4841</v>
      </c>
      <c r="D376" s="173" t="s">
        <v>4842</v>
      </c>
    </row>
    <row r="377" ht="16.5" spans="1:4">
      <c r="A377" s="173" t="s">
        <v>5252</v>
      </c>
      <c r="B377" s="173" t="s">
        <v>4840</v>
      </c>
      <c r="C377" s="173" t="s">
        <v>4841</v>
      </c>
      <c r="D377" s="173" t="s">
        <v>4842</v>
      </c>
    </row>
    <row r="378" ht="16.5" spans="1:4">
      <c r="A378" s="173" t="s">
        <v>5253</v>
      </c>
      <c r="B378" s="173" t="s">
        <v>4840</v>
      </c>
      <c r="C378" s="173" t="s">
        <v>4841</v>
      </c>
      <c r="D378" s="173" t="s">
        <v>4842</v>
      </c>
    </row>
    <row r="379" ht="16.5" spans="1:4">
      <c r="A379" s="173" t="s">
        <v>5254</v>
      </c>
      <c r="B379" s="173" t="s">
        <v>4840</v>
      </c>
      <c r="C379" s="173" t="s">
        <v>4841</v>
      </c>
      <c r="D379" s="173" t="s">
        <v>4842</v>
      </c>
    </row>
    <row r="380" ht="16.5" spans="1:4">
      <c r="A380" s="173" t="s">
        <v>5255</v>
      </c>
      <c r="B380" s="173" t="s">
        <v>4840</v>
      </c>
      <c r="C380" s="173" t="s">
        <v>4841</v>
      </c>
      <c r="D380" s="173" t="s">
        <v>4842</v>
      </c>
    </row>
    <row r="381" ht="16.5" spans="1:4">
      <c r="A381" s="173" t="s">
        <v>5256</v>
      </c>
      <c r="B381" s="173" t="s">
        <v>4840</v>
      </c>
      <c r="C381" s="173" t="s">
        <v>4841</v>
      </c>
      <c r="D381" s="173" t="s">
        <v>4842</v>
      </c>
    </row>
    <row r="382" ht="16.5" spans="1:4">
      <c r="A382" s="173" t="s">
        <v>5257</v>
      </c>
      <c r="B382" s="173" t="s">
        <v>4840</v>
      </c>
      <c r="C382" s="173" t="s">
        <v>4841</v>
      </c>
      <c r="D382" s="173" t="s">
        <v>4842</v>
      </c>
    </row>
    <row r="383" ht="16.5" spans="1:4">
      <c r="A383" s="173" t="s">
        <v>5258</v>
      </c>
      <c r="B383" s="173" t="s">
        <v>4840</v>
      </c>
      <c r="C383" s="173" t="s">
        <v>4841</v>
      </c>
      <c r="D383" s="173" t="s">
        <v>4842</v>
      </c>
    </row>
    <row r="384" ht="16.5" spans="1:4">
      <c r="A384" s="173" t="s">
        <v>5259</v>
      </c>
      <c r="B384" s="173" t="s">
        <v>5259</v>
      </c>
      <c r="C384" s="173" t="s">
        <v>4841</v>
      </c>
      <c r="D384" s="173" t="s">
        <v>5260</v>
      </c>
    </row>
    <row r="385" ht="16.5" spans="1:4">
      <c r="A385" s="173" t="s">
        <v>5261</v>
      </c>
      <c r="B385" s="173" t="s">
        <v>4840</v>
      </c>
      <c r="C385" s="173" t="s">
        <v>4841</v>
      </c>
      <c r="D385" s="173" t="s">
        <v>4842</v>
      </c>
    </row>
    <row r="386" ht="16.5" spans="1:4">
      <c r="A386" s="173" t="s">
        <v>5262</v>
      </c>
      <c r="B386" s="173" t="s">
        <v>4840</v>
      </c>
      <c r="C386" s="173" t="s">
        <v>4841</v>
      </c>
      <c r="D386" s="173" t="s">
        <v>4842</v>
      </c>
    </row>
    <row r="387" ht="16.5" spans="1:4">
      <c r="A387" s="173" t="s">
        <v>5263</v>
      </c>
      <c r="B387" s="173" t="s">
        <v>4840</v>
      </c>
      <c r="C387" s="173" t="s">
        <v>4841</v>
      </c>
      <c r="D387" s="173" t="s">
        <v>4842</v>
      </c>
    </row>
    <row r="388" ht="16.5" spans="1:4">
      <c r="A388" s="173" t="s">
        <v>5264</v>
      </c>
      <c r="B388" s="173" t="s">
        <v>4840</v>
      </c>
      <c r="C388" s="173" t="s">
        <v>4841</v>
      </c>
      <c r="D388" s="173" t="s">
        <v>4842</v>
      </c>
    </row>
    <row r="389" ht="16.5" spans="1:4">
      <c r="A389" s="173" t="s">
        <v>5265</v>
      </c>
      <c r="B389" s="173" t="s">
        <v>4840</v>
      </c>
      <c r="C389" s="173" t="s">
        <v>4841</v>
      </c>
      <c r="D389" s="173" t="s">
        <v>4842</v>
      </c>
    </row>
    <row r="390" ht="16.5" spans="1:4">
      <c r="A390" s="173" t="s">
        <v>5266</v>
      </c>
      <c r="B390" s="173" t="s">
        <v>4840</v>
      </c>
      <c r="C390" s="173" t="s">
        <v>4841</v>
      </c>
      <c r="D390" s="173" t="s">
        <v>4842</v>
      </c>
    </row>
    <row r="391" ht="16.5" spans="1:4">
      <c r="A391" s="173" t="s">
        <v>5267</v>
      </c>
      <c r="B391" s="173" t="s">
        <v>4840</v>
      </c>
      <c r="C391" s="173" t="s">
        <v>4841</v>
      </c>
      <c r="D391" s="173" t="s">
        <v>4842</v>
      </c>
    </row>
    <row r="392" ht="16.5" spans="1:4">
      <c r="A392" s="173" t="s">
        <v>5268</v>
      </c>
      <c r="B392" s="173" t="s">
        <v>4840</v>
      </c>
      <c r="C392" s="173" t="s">
        <v>4841</v>
      </c>
      <c r="D392" s="173" t="s">
        <v>4842</v>
      </c>
    </row>
    <row r="393" ht="16.5" spans="1:4">
      <c r="A393" s="173" t="s">
        <v>5269</v>
      </c>
      <c r="B393" s="173" t="s">
        <v>4840</v>
      </c>
      <c r="C393" s="173" t="s">
        <v>4841</v>
      </c>
      <c r="D393" s="173" t="s">
        <v>4842</v>
      </c>
    </row>
    <row r="394" ht="16.5" spans="1:4">
      <c r="A394" s="173" t="s">
        <v>5270</v>
      </c>
      <c r="B394" s="173" t="s">
        <v>4840</v>
      </c>
      <c r="C394" s="173" t="s">
        <v>4841</v>
      </c>
      <c r="D394" s="173" t="s">
        <v>4842</v>
      </c>
    </row>
    <row r="395" ht="16.5" spans="1:4">
      <c r="A395" s="173" t="s">
        <v>5271</v>
      </c>
      <c r="B395" s="173" t="s">
        <v>5271</v>
      </c>
      <c r="C395" s="173" t="s">
        <v>4841</v>
      </c>
      <c r="D395" s="173" t="s">
        <v>5272</v>
      </c>
    </row>
    <row r="396" ht="16.5" spans="1:4">
      <c r="A396" s="173" t="s">
        <v>5273</v>
      </c>
      <c r="B396" s="173" t="s">
        <v>4840</v>
      </c>
      <c r="C396" s="173" t="s">
        <v>4841</v>
      </c>
      <c r="D396" s="173" t="s">
        <v>4842</v>
      </c>
    </row>
    <row r="397" ht="16.5" spans="1:4">
      <c r="A397" s="173" t="s">
        <v>5274</v>
      </c>
      <c r="B397" s="173" t="s">
        <v>4840</v>
      </c>
      <c r="C397" s="173" t="s">
        <v>4841</v>
      </c>
      <c r="D397" s="173" t="s">
        <v>4842</v>
      </c>
    </row>
    <row r="398" ht="16.5" spans="1:4">
      <c r="A398" s="173" t="s">
        <v>5275</v>
      </c>
      <c r="B398" s="173" t="s">
        <v>4840</v>
      </c>
      <c r="C398" s="173" t="s">
        <v>4841</v>
      </c>
      <c r="D398" s="173" t="s">
        <v>4842</v>
      </c>
    </row>
    <row r="399" ht="16.5" spans="1:4">
      <c r="A399" s="173" t="s">
        <v>5276</v>
      </c>
      <c r="B399" s="173" t="s">
        <v>4840</v>
      </c>
      <c r="C399" s="173" t="s">
        <v>4841</v>
      </c>
      <c r="D399" s="173" t="s">
        <v>4842</v>
      </c>
    </row>
    <row r="400" ht="16.5" spans="1:4">
      <c r="A400" s="173" t="s">
        <v>5277</v>
      </c>
      <c r="B400" s="173" t="s">
        <v>4840</v>
      </c>
      <c r="C400" s="173" t="s">
        <v>4841</v>
      </c>
      <c r="D400" s="173" t="s">
        <v>4842</v>
      </c>
    </row>
    <row r="401" ht="16.5" spans="1:4">
      <c r="A401" s="173" t="s">
        <v>5278</v>
      </c>
      <c r="B401" s="173" t="s">
        <v>4840</v>
      </c>
      <c r="C401" s="173" t="s">
        <v>4841</v>
      </c>
      <c r="D401" s="173" t="s">
        <v>4842</v>
      </c>
    </row>
    <row r="402" ht="16.5" spans="1:4">
      <c r="A402" s="173" t="s">
        <v>5279</v>
      </c>
      <c r="B402" s="173" t="s">
        <v>4840</v>
      </c>
      <c r="C402" s="173" t="s">
        <v>4841</v>
      </c>
      <c r="D402" s="173" t="s">
        <v>4842</v>
      </c>
    </row>
    <row r="403" ht="16.5" spans="1:4">
      <c r="A403" s="173" t="s">
        <v>5280</v>
      </c>
      <c r="B403" s="173" t="s">
        <v>4840</v>
      </c>
      <c r="C403" s="173" t="s">
        <v>4841</v>
      </c>
      <c r="D403" s="173" t="s">
        <v>4842</v>
      </c>
    </row>
    <row r="404" ht="16.5" spans="1:4">
      <c r="A404" s="173" t="s">
        <v>5281</v>
      </c>
      <c r="B404" s="173" t="s">
        <v>4840</v>
      </c>
      <c r="C404" s="173" t="s">
        <v>4841</v>
      </c>
      <c r="D404" s="173" t="s">
        <v>4842</v>
      </c>
    </row>
    <row r="405" ht="16.5" spans="1:4">
      <c r="A405" s="173" t="s">
        <v>5282</v>
      </c>
      <c r="B405" s="173" t="s">
        <v>4840</v>
      </c>
      <c r="C405" s="173" t="s">
        <v>4841</v>
      </c>
      <c r="D405" s="173" t="s">
        <v>4842</v>
      </c>
    </row>
    <row r="406" ht="16.5" spans="1:4">
      <c r="A406" s="173" t="s">
        <v>5283</v>
      </c>
      <c r="B406" s="173" t="s">
        <v>5283</v>
      </c>
      <c r="C406" s="173" t="s">
        <v>4841</v>
      </c>
      <c r="D406" s="173" t="s">
        <v>5284</v>
      </c>
    </row>
    <row r="407" ht="16.5" spans="1:4">
      <c r="A407" s="173" t="s">
        <v>5285</v>
      </c>
      <c r="B407" s="173" t="s">
        <v>4840</v>
      </c>
      <c r="C407" s="173" t="s">
        <v>4841</v>
      </c>
      <c r="D407" s="173" t="s">
        <v>4842</v>
      </c>
    </row>
    <row r="408" ht="16.5" spans="1:4">
      <c r="A408" s="173" t="s">
        <v>5286</v>
      </c>
      <c r="B408" s="173" t="s">
        <v>4840</v>
      </c>
      <c r="C408" s="173" t="s">
        <v>4841</v>
      </c>
      <c r="D408" s="173" t="s">
        <v>4842</v>
      </c>
    </row>
    <row r="409" ht="16.5" spans="1:4">
      <c r="A409" s="173" t="s">
        <v>5287</v>
      </c>
      <c r="B409" s="173" t="s">
        <v>4840</v>
      </c>
      <c r="C409" s="173" t="s">
        <v>4841</v>
      </c>
      <c r="D409" s="173" t="s">
        <v>4842</v>
      </c>
    </row>
    <row r="410" ht="16.5" spans="1:4">
      <c r="A410" s="173" t="s">
        <v>5288</v>
      </c>
      <c r="B410" s="173" t="s">
        <v>4840</v>
      </c>
      <c r="C410" s="173" t="s">
        <v>4841</v>
      </c>
      <c r="D410" s="173" t="s">
        <v>4842</v>
      </c>
    </row>
    <row r="411" ht="16.5" spans="1:4">
      <c r="A411" s="173" t="s">
        <v>5289</v>
      </c>
      <c r="B411" s="173" t="s">
        <v>4840</v>
      </c>
      <c r="C411" s="173" t="s">
        <v>4841</v>
      </c>
      <c r="D411" s="173" t="s">
        <v>4842</v>
      </c>
    </row>
    <row r="412" ht="16.5" spans="1:4">
      <c r="A412" s="173" t="s">
        <v>5290</v>
      </c>
      <c r="B412" s="173" t="s">
        <v>4840</v>
      </c>
      <c r="C412" s="173" t="s">
        <v>4841</v>
      </c>
      <c r="D412" s="173" t="s">
        <v>4842</v>
      </c>
    </row>
    <row r="413" ht="16.5" spans="1:4">
      <c r="A413" s="173" t="s">
        <v>5291</v>
      </c>
      <c r="B413" s="173" t="s">
        <v>4840</v>
      </c>
      <c r="C413" s="173" t="s">
        <v>4841</v>
      </c>
      <c r="D413" s="173" t="s">
        <v>4842</v>
      </c>
    </row>
    <row r="414" ht="16.5" spans="1:4">
      <c r="A414" s="173" t="s">
        <v>5292</v>
      </c>
      <c r="B414" s="173" t="s">
        <v>4840</v>
      </c>
      <c r="C414" s="173" t="s">
        <v>4841</v>
      </c>
      <c r="D414" s="173" t="s">
        <v>4842</v>
      </c>
    </row>
    <row r="415" ht="16.5" spans="1:4">
      <c r="A415" s="173" t="s">
        <v>5293</v>
      </c>
      <c r="B415" s="173" t="s">
        <v>4840</v>
      </c>
      <c r="C415" s="173" t="s">
        <v>4841</v>
      </c>
      <c r="D415" s="173" t="s">
        <v>4842</v>
      </c>
    </row>
    <row r="416" ht="16.5" spans="1:4">
      <c r="A416" s="173" t="s">
        <v>5294</v>
      </c>
      <c r="B416" s="173" t="s">
        <v>4840</v>
      </c>
      <c r="C416" s="173" t="s">
        <v>4841</v>
      </c>
      <c r="D416" s="173" t="s">
        <v>4842</v>
      </c>
    </row>
    <row r="417" ht="16.5" spans="1:4">
      <c r="A417" s="173" t="s">
        <v>5295</v>
      </c>
      <c r="B417" s="173" t="s">
        <v>5295</v>
      </c>
      <c r="C417" s="173" t="s">
        <v>4841</v>
      </c>
      <c r="D417" s="173" t="s">
        <v>5296</v>
      </c>
    </row>
    <row r="418" ht="16.5" spans="1:4">
      <c r="A418" s="173" t="s">
        <v>5297</v>
      </c>
      <c r="B418" s="173" t="s">
        <v>4840</v>
      </c>
      <c r="C418" s="173" t="s">
        <v>4841</v>
      </c>
      <c r="D418" s="173" t="s">
        <v>4842</v>
      </c>
    </row>
    <row r="419" ht="16.5" spans="1:4">
      <c r="A419" s="173" t="s">
        <v>5298</v>
      </c>
      <c r="B419" s="173" t="s">
        <v>4840</v>
      </c>
      <c r="C419" s="173" t="s">
        <v>4841</v>
      </c>
      <c r="D419" s="173" t="s">
        <v>4842</v>
      </c>
    </row>
    <row r="420" ht="16.5" spans="1:4">
      <c r="A420" s="173" t="s">
        <v>5299</v>
      </c>
      <c r="B420" s="173" t="s">
        <v>4840</v>
      </c>
      <c r="C420" s="173" t="s">
        <v>4841</v>
      </c>
      <c r="D420" s="173" t="s">
        <v>4842</v>
      </c>
    </row>
    <row r="421" ht="16.5" spans="1:4">
      <c r="A421" s="173" t="s">
        <v>5300</v>
      </c>
      <c r="B421" s="173" t="s">
        <v>4840</v>
      </c>
      <c r="C421" s="173" t="s">
        <v>4841</v>
      </c>
      <c r="D421" s="173" t="s">
        <v>4842</v>
      </c>
    </row>
    <row r="422" ht="16.5" spans="1:4">
      <c r="A422" s="173" t="s">
        <v>5301</v>
      </c>
      <c r="B422" s="173" t="s">
        <v>4840</v>
      </c>
      <c r="C422" s="173" t="s">
        <v>4841</v>
      </c>
      <c r="D422" s="173" t="s">
        <v>4842</v>
      </c>
    </row>
    <row r="423" ht="16.5" spans="1:4">
      <c r="A423" s="173" t="s">
        <v>5302</v>
      </c>
      <c r="B423" s="173" t="s">
        <v>4840</v>
      </c>
      <c r="C423" s="173" t="s">
        <v>4841</v>
      </c>
      <c r="D423" s="173" t="s">
        <v>4842</v>
      </c>
    </row>
    <row r="424" ht="16.5" spans="1:4">
      <c r="A424" s="173" t="s">
        <v>5303</v>
      </c>
      <c r="B424" s="173" t="s">
        <v>4840</v>
      </c>
      <c r="C424" s="173" t="s">
        <v>4841</v>
      </c>
      <c r="D424" s="173" t="s">
        <v>4842</v>
      </c>
    </row>
    <row r="425" ht="16.5" spans="1:4">
      <c r="A425" s="173" t="s">
        <v>5304</v>
      </c>
      <c r="B425" s="173" t="s">
        <v>4840</v>
      </c>
      <c r="C425" s="173" t="s">
        <v>4841</v>
      </c>
      <c r="D425" s="173" t="s">
        <v>4842</v>
      </c>
    </row>
    <row r="426" ht="16.5" spans="1:4">
      <c r="A426" s="173" t="s">
        <v>5305</v>
      </c>
      <c r="B426" s="173" t="s">
        <v>4840</v>
      </c>
      <c r="C426" s="173" t="s">
        <v>4841</v>
      </c>
      <c r="D426" s="173" t="s">
        <v>4842</v>
      </c>
    </row>
    <row r="427" ht="16.5" spans="1:4">
      <c r="A427" s="173" t="s">
        <v>5306</v>
      </c>
      <c r="B427" s="173" t="s">
        <v>4840</v>
      </c>
      <c r="C427" s="173" t="s">
        <v>4841</v>
      </c>
      <c r="D427" s="173" t="s">
        <v>4842</v>
      </c>
    </row>
    <row r="428" ht="16.5" spans="1:4">
      <c r="A428" s="173" t="s">
        <v>5307</v>
      </c>
      <c r="B428" s="173" t="s">
        <v>4840</v>
      </c>
      <c r="C428" s="173" t="s">
        <v>4841</v>
      </c>
      <c r="D428" s="173" t="s">
        <v>4842</v>
      </c>
    </row>
    <row r="429" ht="16.5" spans="1:4">
      <c r="A429" s="173" t="s">
        <v>5308</v>
      </c>
      <c r="B429" s="173" t="s">
        <v>4840</v>
      </c>
      <c r="C429" s="173" t="s">
        <v>4841</v>
      </c>
      <c r="D429" s="173" t="s">
        <v>4842</v>
      </c>
    </row>
    <row r="430" ht="16.5" spans="1:4">
      <c r="A430" s="173" t="s">
        <v>5309</v>
      </c>
      <c r="B430" s="173" t="s">
        <v>4840</v>
      </c>
      <c r="C430" s="173" t="s">
        <v>4841</v>
      </c>
      <c r="D430" s="173" t="s">
        <v>4842</v>
      </c>
    </row>
    <row r="431" ht="16.5" spans="1:4">
      <c r="A431" s="173" t="s">
        <v>5310</v>
      </c>
      <c r="B431" s="173" t="s">
        <v>4840</v>
      </c>
      <c r="C431" s="173" t="s">
        <v>4841</v>
      </c>
      <c r="D431" s="173" t="s">
        <v>4842</v>
      </c>
    </row>
    <row r="432" ht="16.5" spans="1:4">
      <c r="A432" s="173" t="s">
        <v>5311</v>
      </c>
      <c r="B432" s="173" t="s">
        <v>4840</v>
      </c>
      <c r="C432" s="173" t="s">
        <v>4841</v>
      </c>
      <c r="D432" s="173" t="s">
        <v>4842</v>
      </c>
    </row>
    <row r="433" ht="16.5" spans="1:4">
      <c r="A433" s="173" t="s">
        <v>5312</v>
      </c>
      <c r="B433" s="173" t="s">
        <v>4840</v>
      </c>
      <c r="C433" s="173" t="s">
        <v>4841</v>
      </c>
      <c r="D433" s="173" t="s">
        <v>4842</v>
      </c>
    </row>
    <row r="434" ht="16.5" spans="1:4">
      <c r="A434" s="173" t="s">
        <v>5313</v>
      </c>
      <c r="B434" s="173" t="s">
        <v>4840</v>
      </c>
      <c r="C434" s="173" t="s">
        <v>4841</v>
      </c>
      <c r="D434" s="173" t="s">
        <v>4842</v>
      </c>
    </row>
    <row r="435" ht="16.5" spans="1:4">
      <c r="A435" s="173" t="s">
        <v>5314</v>
      </c>
      <c r="B435" s="173" t="s">
        <v>4840</v>
      </c>
      <c r="C435" s="173" t="s">
        <v>4841</v>
      </c>
      <c r="D435" s="173" t="s">
        <v>4842</v>
      </c>
    </row>
    <row r="436" ht="16.5" spans="1:4">
      <c r="A436" s="173" t="s">
        <v>5315</v>
      </c>
      <c r="B436" s="173" t="s">
        <v>4840</v>
      </c>
      <c r="C436" s="173" t="s">
        <v>4841</v>
      </c>
      <c r="D436" s="173" t="s">
        <v>4842</v>
      </c>
    </row>
    <row r="437" ht="16.5" spans="1:4">
      <c r="A437" s="173" t="s">
        <v>5316</v>
      </c>
      <c r="B437" s="173" t="s">
        <v>4840</v>
      </c>
      <c r="C437" s="173" t="s">
        <v>4841</v>
      </c>
      <c r="D437" s="173" t="s">
        <v>4842</v>
      </c>
    </row>
    <row r="438" ht="16.5" spans="1:4">
      <c r="A438" s="173" t="s">
        <v>5317</v>
      </c>
      <c r="B438" s="173" t="s">
        <v>5317</v>
      </c>
      <c r="C438" s="173" t="s">
        <v>4841</v>
      </c>
      <c r="D438" s="173" t="s">
        <v>5318</v>
      </c>
    </row>
    <row r="439" ht="16.5" spans="1:4">
      <c r="A439" s="173" t="s">
        <v>5319</v>
      </c>
      <c r="B439" s="173" t="s">
        <v>4840</v>
      </c>
      <c r="C439" s="173" t="s">
        <v>4841</v>
      </c>
      <c r="D439" s="173" t="s">
        <v>4842</v>
      </c>
    </row>
    <row r="440" ht="16.5" spans="1:4">
      <c r="A440" s="173" t="s">
        <v>5320</v>
      </c>
      <c r="B440" s="173" t="s">
        <v>4840</v>
      </c>
      <c r="C440" s="173" t="s">
        <v>4841</v>
      </c>
      <c r="D440" s="173" t="s">
        <v>4842</v>
      </c>
    </row>
    <row r="441" ht="16.5" spans="1:4">
      <c r="A441" s="173" t="s">
        <v>5321</v>
      </c>
      <c r="B441" s="173" t="s">
        <v>4840</v>
      </c>
      <c r="C441" s="173" t="s">
        <v>4841</v>
      </c>
      <c r="D441" s="173" t="s">
        <v>4842</v>
      </c>
    </row>
    <row r="442" ht="16.5" spans="1:4">
      <c r="A442" s="173" t="s">
        <v>5322</v>
      </c>
      <c r="B442" s="173" t="s">
        <v>4840</v>
      </c>
      <c r="C442" s="173" t="s">
        <v>4841</v>
      </c>
      <c r="D442" s="173" t="s">
        <v>4842</v>
      </c>
    </row>
    <row r="443" ht="16.5" spans="1:4">
      <c r="A443" s="173" t="s">
        <v>5323</v>
      </c>
      <c r="B443" s="173" t="s">
        <v>4840</v>
      </c>
      <c r="C443" s="173" t="s">
        <v>4841</v>
      </c>
      <c r="D443" s="173" t="s">
        <v>4842</v>
      </c>
    </row>
    <row r="444" ht="16.5" spans="1:4">
      <c r="A444" s="173" t="s">
        <v>5324</v>
      </c>
      <c r="B444" s="173" t="s">
        <v>4840</v>
      </c>
      <c r="C444" s="173" t="s">
        <v>4841</v>
      </c>
      <c r="D444" s="173" t="s">
        <v>4842</v>
      </c>
    </row>
    <row r="445" ht="16.5" spans="1:4">
      <c r="A445" s="173" t="s">
        <v>5325</v>
      </c>
      <c r="B445" s="173" t="s">
        <v>4840</v>
      </c>
      <c r="C445" s="173" t="s">
        <v>4841</v>
      </c>
      <c r="D445" s="173" t="s">
        <v>4842</v>
      </c>
    </row>
    <row r="446" ht="16.5" spans="1:4">
      <c r="A446" s="173" t="s">
        <v>5326</v>
      </c>
      <c r="B446" s="173" t="s">
        <v>4840</v>
      </c>
      <c r="C446" s="173" t="s">
        <v>4841</v>
      </c>
      <c r="D446" s="173" t="s">
        <v>4842</v>
      </c>
    </row>
    <row r="447" ht="16.5" spans="1:4">
      <c r="A447" s="173" t="s">
        <v>5327</v>
      </c>
      <c r="B447" s="173" t="s">
        <v>4840</v>
      </c>
      <c r="C447" s="173" t="s">
        <v>4841</v>
      </c>
      <c r="D447" s="173" t="s">
        <v>4842</v>
      </c>
    </row>
    <row r="448" ht="16.5" spans="1:4">
      <c r="A448" s="173" t="s">
        <v>5328</v>
      </c>
      <c r="B448" s="173" t="s">
        <v>4840</v>
      </c>
      <c r="C448" s="173" t="s">
        <v>4841</v>
      </c>
      <c r="D448" s="173" t="s">
        <v>4842</v>
      </c>
    </row>
    <row r="449" ht="16.5" spans="1:4">
      <c r="A449" s="173" t="s">
        <v>5329</v>
      </c>
      <c r="B449" s="173" t="s">
        <v>5329</v>
      </c>
      <c r="C449" s="173" t="s">
        <v>4841</v>
      </c>
      <c r="D449" s="173" t="s">
        <v>5330</v>
      </c>
    </row>
    <row r="450" ht="16.5" spans="1:4">
      <c r="A450" s="173" t="s">
        <v>5331</v>
      </c>
      <c r="B450" s="173" t="s">
        <v>4840</v>
      </c>
      <c r="C450" s="173" t="s">
        <v>4841</v>
      </c>
      <c r="D450" s="173" t="s">
        <v>4842</v>
      </c>
    </row>
    <row r="451" ht="16.5" spans="1:4">
      <c r="A451" s="173" t="s">
        <v>5332</v>
      </c>
      <c r="B451" s="173" t="s">
        <v>4840</v>
      </c>
      <c r="C451" s="173" t="s">
        <v>4841</v>
      </c>
      <c r="D451" s="173" t="s">
        <v>4842</v>
      </c>
    </row>
    <row r="452" ht="16.5" spans="1:4">
      <c r="A452" s="173" t="s">
        <v>5333</v>
      </c>
      <c r="B452" s="173" t="s">
        <v>4840</v>
      </c>
      <c r="C452" s="173" t="s">
        <v>4841</v>
      </c>
      <c r="D452" s="173" t="s">
        <v>4842</v>
      </c>
    </row>
    <row r="453" ht="16.5" spans="1:4">
      <c r="A453" s="173" t="s">
        <v>5334</v>
      </c>
      <c r="B453" s="173" t="s">
        <v>4840</v>
      </c>
      <c r="C453" s="173" t="s">
        <v>4841</v>
      </c>
      <c r="D453" s="173" t="s">
        <v>4842</v>
      </c>
    </row>
    <row r="454" ht="16.5" spans="1:4">
      <c r="A454" s="173" t="s">
        <v>5335</v>
      </c>
      <c r="B454" s="173" t="s">
        <v>4840</v>
      </c>
      <c r="C454" s="173" t="s">
        <v>4841</v>
      </c>
      <c r="D454" s="173" t="s">
        <v>4842</v>
      </c>
    </row>
    <row r="455" ht="16.5" spans="1:4">
      <c r="A455" s="173" t="s">
        <v>5336</v>
      </c>
      <c r="B455" s="173" t="s">
        <v>4840</v>
      </c>
      <c r="C455" s="173" t="s">
        <v>4841</v>
      </c>
      <c r="D455" s="173" t="s">
        <v>4842</v>
      </c>
    </row>
    <row r="456" ht="16.5" spans="1:4">
      <c r="A456" s="173" t="s">
        <v>5337</v>
      </c>
      <c r="B456" s="173" t="s">
        <v>4840</v>
      </c>
      <c r="C456" s="173" t="s">
        <v>4841</v>
      </c>
      <c r="D456" s="173" t="s">
        <v>4842</v>
      </c>
    </row>
    <row r="457" ht="16.5" spans="1:4">
      <c r="A457" s="173" t="s">
        <v>5338</v>
      </c>
      <c r="B457" s="173" t="s">
        <v>4840</v>
      </c>
      <c r="C457" s="173" t="s">
        <v>4841</v>
      </c>
      <c r="D457" s="173" t="s">
        <v>4842</v>
      </c>
    </row>
    <row r="458" ht="16.5" spans="1:4">
      <c r="A458" s="173" t="s">
        <v>5339</v>
      </c>
      <c r="B458" s="173" t="s">
        <v>4840</v>
      </c>
      <c r="C458" s="173" t="s">
        <v>4841</v>
      </c>
      <c r="D458" s="173" t="s">
        <v>4842</v>
      </c>
    </row>
    <row r="459" ht="16.5" spans="1:4">
      <c r="A459" s="173" t="s">
        <v>5340</v>
      </c>
      <c r="B459" s="173" t="s">
        <v>4840</v>
      </c>
      <c r="C459" s="173" t="s">
        <v>4841</v>
      </c>
      <c r="D459" s="173" t="s">
        <v>4842</v>
      </c>
    </row>
    <row r="460" ht="16.5" spans="1:4">
      <c r="A460" s="173" t="s">
        <v>5341</v>
      </c>
      <c r="B460" s="173" t="s">
        <v>5341</v>
      </c>
      <c r="C460" s="173" t="s">
        <v>4841</v>
      </c>
      <c r="D460" s="173" t="s">
        <v>5342</v>
      </c>
    </row>
    <row r="461" ht="16.5" spans="1:4">
      <c r="A461" s="173" t="s">
        <v>5343</v>
      </c>
      <c r="B461" s="173" t="s">
        <v>4840</v>
      </c>
      <c r="C461" s="173" t="s">
        <v>4841</v>
      </c>
      <c r="D461" s="173" t="s">
        <v>4842</v>
      </c>
    </row>
    <row r="462" ht="16.5" spans="1:4">
      <c r="A462" s="173" t="s">
        <v>5344</v>
      </c>
      <c r="B462" s="173" t="s">
        <v>4840</v>
      </c>
      <c r="C462" s="173" t="s">
        <v>4841</v>
      </c>
      <c r="D462" s="173" t="s">
        <v>4842</v>
      </c>
    </row>
    <row r="463" ht="16.5" spans="1:4">
      <c r="A463" s="173" t="s">
        <v>5345</v>
      </c>
      <c r="B463" s="173" t="s">
        <v>4840</v>
      </c>
      <c r="C463" s="173" t="s">
        <v>4841</v>
      </c>
      <c r="D463" s="173" t="s">
        <v>4842</v>
      </c>
    </row>
    <row r="464" ht="16.5" spans="1:4">
      <c r="A464" s="173" t="s">
        <v>5346</v>
      </c>
      <c r="B464" s="173" t="s">
        <v>4840</v>
      </c>
      <c r="C464" s="173" t="s">
        <v>4841</v>
      </c>
      <c r="D464" s="173" t="s">
        <v>4842</v>
      </c>
    </row>
    <row r="465" ht="16.5" spans="1:4">
      <c r="A465" s="173" t="s">
        <v>5347</v>
      </c>
      <c r="B465" s="173" t="s">
        <v>4840</v>
      </c>
      <c r="C465" s="173" t="s">
        <v>4841</v>
      </c>
      <c r="D465" s="173" t="s">
        <v>4842</v>
      </c>
    </row>
    <row r="466" ht="16.5" spans="1:4">
      <c r="A466" s="173" t="s">
        <v>5348</v>
      </c>
      <c r="B466" s="173" t="s">
        <v>4840</v>
      </c>
      <c r="C466" s="173" t="s">
        <v>4841</v>
      </c>
      <c r="D466" s="173" t="s">
        <v>4842</v>
      </c>
    </row>
    <row r="467" ht="16.5" spans="1:4">
      <c r="A467" s="173" t="s">
        <v>5349</v>
      </c>
      <c r="B467" s="173" t="s">
        <v>4840</v>
      </c>
      <c r="C467" s="173" t="s">
        <v>4841</v>
      </c>
      <c r="D467" s="173" t="s">
        <v>4842</v>
      </c>
    </row>
    <row r="468" ht="16.5" spans="1:4">
      <c r="A468" s="173" t="s">
        <v>5350</v>
      </c>
      <c r="B468" s="173" t="s">
        <v>4840</v>
      </c>
      <c r="C468" s="173" t="s">
        <v>4841</v>
      </c>
      <c r="D468" s="173" t="s">
        <v>4842</v>
      </c>
    </row>
    <row r="469" ht="16.5" spans="1:4">
      <c r="A469" s="173" t="s">
        <v>5351</v>
      </c>
      <c r="B469" s="173" t="s">
        <v>4840</v>
      </c>
      <c r="C469" s="173" t="s">
        <v>4841</v>
      </c>
      <c r="D469" s="173" t="s">
        <v>4842</v>
      </c>
    </row>
    <row r="470" ht="16.5" spans="1:4">
      <c r="A470" s="175" t="s">
        <v>5352</v>
      </c>
      <c r="B470" s="173" t="s">
        <v>4840</v>
      </c>
      <c r="C470" s="173" t="s">
        <v>4841</v>
      </c>
      <c r="D470" s="173" t="s">
        <v>4842</v>
      </c>
    </row>
    <row r="471" ht="16.5" spans="1:4">
      <c r="A471" s="173" t="s">
        <v>5353</v>
      </c>
      <c r="B471" s="173" t="s">
        <v>4840</v>
      </c>
      <c r="C471" s="173" t="s">
        <v>4841</v>
      </c>
      <c r="D471" s="173" t="s">
        <v>4842</v>
      </c>
    </row>
    <row r="472" ht="16.5" spans="1:4">
      <c r="A472" s="173" t="s">
        <v>5354</v>
      </c>
      <c r="B472" s="173" t="s">
        <v>4840</v>
      </c>
      <c r="C472" s="173" t="s">
        <v>4841</v>
      </c>
      <c r="D472" s="173" t="s">
        <v>4842</v>
      </c>
    </row>
    <row r="473" ht="16.5" spans="1:4">
      <c r="A473" s="173" t="s">
        <v>5355</v>
      </c>
      <c r="B473" s="173" t="s">
        <v>5355</v>
      </c>
      <c r="C473" s="173" t="s">
        <v>4841</v>
      </c>
      <c r="D473" s="173" t="s">
        <v>5356</v>
      </c>
    </row>
    <row r="474" ht="16.5" spans="1:4">
      <c r="A474" s="173" t="s">
        <v>5357</v>
      </c>
      <c r="B474" s="173" t="s">
        <v>4840</v>
      </c>
      <c r="C474" s="173" t="s">
        <v>4841</v>
      </c>
      <c r="D474" s="173" t="s">
        <v>4842</v>
      </c>
    </row>
    <row r="475" ht="16.5" spans="1:4">
      <c r="A475" s="173" t="s">
        <v>5358</v>
      </c>
      <c r="B475" s="173" t="s">
        <v>4840</v>
      </c>
      <c r="C475" s="173" t="s">
        <v>4841</v>
      </c>
      <c r="D475" s="173" t="s">
        <v>4842</v>
      </c>
    </row>
    <row r="476" ht="16.5" spans="1:4">
      <c r="A476" s="173" t="s">
        <v>5359</v>
      </c>
      <c r="B476" s="173" t="s">
        <v>4840</v>
      </c>
      <c r="C476" s="173" t="s">
        <v>4841</v>
      </c>
      <c r="D476" s="173" t="s">
        <v>4842</v>
      </c>
    </row>
    <row r="477" ht="16.5" spans="1:4">
      <c r="A477" s="173" t="s">
        <v>5360</v>
      </c>
      <c r="B477" s="173" t="s">
        <v>4840</v>
      </c>
      <c r="C477" s="173" t="s">
        <v>4841</v>
      </c>
      <c r="D477" s="173" t="s">
        <v>4842</v>
      </c>
    </row>
    <row r="478" ht="16.5" spans="1:4">
      <c r="A478" s="173" t="s">
        <v>5361</v>
      </c>
      <c r="B478" s="173" t="s">
        <v>4840</v>
      </c>
      <c r="C478" s="173" t="s">
        <v>4841</v>
      </c>
      <c r="D478" s="173" t="s">
        <v>4842</v>
      </c>
    </row>
    <row r="479" ht="16.5" spans="1:4">
      <c r="A479" s="173" t="s">
        <v>5362</v>
      </c>
      <c r="B479" s="173" t="s">
        <v>4840</v>
      </c>
      <c r="C479" s="173" t="s">
        <v>4841</v>
      </c>
      <c r="D479" s="173" t="s">
        <v>4842</v>
      </c>
    </row>
    <row r="480" ht="16.5" spans="1:4">
      <c r="A480" s="173" t="s">
        <v>5363</v>
      </c>
      <c r="B480" s="173" t="s">
        <v>4840</v>
      </c>
      <c r="C480" s="173" t="s">
        <v>4841</v>
      </c>
      <c r="D480" s="173" t="s">
        <v>4842</v>
      </c>
    </row>
    <row r="481" ht="16.5" spans="1:4">
      <c r="A481" s="173" t="s">
        <v>5364</v>
      </c>
      <c r="B481" s="173" t="s">
        <v>4840</v>
      </c>
      <c r="C481" s="173" t="s">
        <v>4841</v>
      </c>
      <c r="D481" s="173" t="s">
        <v>4842</v>
      </c>
    </row>
    <row r="482" ht="16.5" spans="1:4">
      <c r="A482" s="173" t="s">
        <v>5365</v>
      </c>
      <c r="B482" s="173" t="s">
        <v>4840</v>
      </c>
      <c r="C482" s="173" t="s">
        <v>4841</v>
      </c>
      <c r="D482" s="173" t="s">
        <v>4842</v>
      </c>
    </row>
    <row r="483" ht="16.5" spans="1:4">
      <c r="A483" s="173" t="s">
        <v>5366</v>
      </c>
      <c r="B483" s="173" t="s">
        <v>4840</v>
      </c>
      <c r="C483" s="173" t="s">
        <v>4841</v>
      </c>
      <c r="D483" s="173" t="s">
        <v>4842</v>
      </c>
    </row>
    <row r="484" ht="16.5" spans="1:4">
      <c r="A484" s="173" t="s">
        <v>5367</v>
      </c>
      <c r="B484" s="173" t="s">
        <v>4840</v>
      </c>
      <c r="C484" s="173" t="s">
        <v>4841</v>
      </c>
      <c r="D484" s="173" t="s">
        <v>4842</v>
      </c>
    </row>
    <row r="485" ht="16.5" spans="1:4">
      <c r="A485" s="173" t="s">
        <v>5368</v>
      </c>
      <c r="B485" s="173" t="s">
        <v>5368</v>
      </c>
      <c r="C485" s="173" t="s">
        <v>4841</v>
      </c>
      <c r="D485" s="173" t="s">
        <v>5369</v>
      </c>
    </row>
    <row r="486" ht="16.5" spans="1:4">
      <c r="A486" s="173" t="s">
        <v>5370</v>
      </c>
      <c r="B486" s="173" t="s">
        <v>4840</v>
      </c>
      <c r="C486" s="173" t="s">
        <v>4841</v>
      </c>
      <c r="D486" s="173" t="s">
        <v>4842</v>
      </c>
    </row>
    <row r="487" ht="16.5" spans="1:4">
      <c r="A487" s="173" t="s">
        <v>5371</v>
      </c>
      <c r="B487" s="173" t="s">
        <v>4840</v>
      </c>
      <c r="C487" s="173" t="s">
        <v>4841</v>
      </c>
      <c r="D487" s="173" t="s">
        <v>4842</v>
      </c>
    </row>
    <row r="488" ht="16.5" spans="1:4">
      <c r="A488" s="173" t="s">
        <v>5372</v>
      </c>
      <c r="B488" s="173" t="s">
        <v>4840</v>
      </c>
      <c r="C488" s="173" t="s">
        <v>4841</v>
      </c>
      <c r="D488" s="173" t="s">
        <v>4842</v>
      </c>
    </row>
    <row r="489" ht="16.5" spans="1:4">
      <c r="A489" s="173" t="s">
        <v>5373</v>
      </c>
      <c r="B489" s="173" t="s">
        <v>4840</v>
      </c>
      <c r="C489" s="173" t="s">
        <v>4841</v>
      </c>
      <c r="D489" s="173" t="s">
        <v>4842</v>
      </c>
    </row>
    <row r="490" ht="16.5" spans="1:4">
      <c r="A490" s="173" t="s">
        <v>5374</v>
      </c>
      <c r="B490" s="173" t="s">
        <v>4840</v>
      </c>
      <c r="C490" s="173" t="s">
        <v>4841</v>
      </c>
      <c r="D490" s="173" t="s">
        <v>4842</v>
      </c>
    </row>
    <row r="491" ht="16.5" spans="1:4">
      <c r="A491" s="173" t="s">
        <v>5375</v>
      </c>
      <c r="B491" s="173" t="s">
        <v>4840</v>
      </c>
      <c r="C491" s="173" t="s">
        <v>4841</v>
      </c>
      <c r="D491" s="173" t="s">
        <v>4842</v>
      </c>
    </row>
    <row r="492" ht="16.5" spans="1:4">
      <c r="A492" s="173" t="s">
        <v>5376</v>
      </c>
      <c r="B492" s="173" t="s">
        <v>4840</v>
      </c>
      <c r="C492" s="173" t="s">
        <v>4841</v>
      </c>
      <c r="D492" s="173" t="s">
        <v>4842</v>
      </c>
    </row>
    <row r="493" ht="16.5" spans="1:4">
      <c r="A493" s="173" t="s">
        <v>5377</v>
      </c>
      <c r="B493" s="173" t="s">
        <v>4840</v>
      </c>
      <c r="C493" s="173" t="s">
        <v>4841</v>
      </c>
      <c r="D493" s="173" t="s">
        <v>4842</v>
      </c>
    </row>
    <row r="494" ht="16.5" spans="1:4">
      <c r="A494" s="173" t="s">
        <v>5378</v>
      </c>
      <c r="B494" s="173" t="s">
        <v>4840</v>
      </c>
      <c r="C494" s="173" t="s">
        <v>4841</v>
      </c>
      <c r="D494" s="173" t="s">
        <v>4842</v>
      </c>
    </row>
    <row r="495" ht="16.5" spans="1:4">
      <c r="A495" s="173" t="s">
        <v>5379</v>
      </c>
      <c r="B495" s="173" t="s">
        <v>4840</v>
      </c>
      <c r="C495" s="173" t="s">
        <v>4841</v>
      </c>
      <c r="D495" s="173" t="s">
        <v>4842</v>
      </c>
    </row>
    <row r="496" ht="16.5" spans="1:4">
      <c r="A496" s="173" t="s">
        <v>5380</v>
      </c>
      <c r="B496" s="173" t="s">
        <v>4840</v>
      </c>
      <c r="C496" s="173" t="s">
        <v>4841</v>
      </c>
      <c r="D496" s="173" t="s">
        <v>4842</v>
      </c>
    </row>
    <row r="497" ht="16.5" spans="1:4">
      <c r="A497" s="173" t="s">
        <v>5381</v>
      </c>
      <c r="B497" s="173" t="s">
        <v>5381</v>
      </c>
      <c r="C497" s="173" t="s">
        <v>4841</v>
      </c>
      <c r="D497" s="173" t="s">
        <v>5382</v>
      </c>
    </row>
    <row r="498" ht="16.5" spans="1:4">
      <c r="A498" s="173" t="s">
        <v>5383</v>
      </c>
      <c r="B498" s="173" t="s">
        <v>4840</v>
      </c>
      <c r="C498" s="173" t="s">
        <v>4841</v>
      </c>
      <c r="D498" s="173" t="s">
        <v>4842</v>
      </c>
    </row>
    <row r="499" ht="16.5" spans="1:4">
      <c r="A499" s="173" t="s">
        <v>5384</v>
      </c>
      <c r="B499" s="173" t="s">
        <v>4840</v>
      </c>
      <c r="C499" s="173" t="s">
        <v>4841</v>
      </c>
      <c r="D499" s="173" t="s">
        <v>4842</v>
      </c>
    </row>
    <row r="500" ht="16.5" spans="1:4">
      <c r="A500" s="173" t="s">
        <v>5385</v>
      </c>
      <c r="B500" s="173" t="s">
        <v>4840</v>
      </c>
      <c r="C500" s="173" t="s">
        <v>4841</v>
      </c>
      <c r="D500" s="173" t="s">
        <v>4842</v>
      </c>
    </row>
    <row r="501" ht="16.5" spans="1:4">
      <c r="A501" s="173" t="s">
        <v>5386</v>
      </c>
      <c r="B501" s="173" t="s">
        <v>4840</v>
      </c>
      <c r="C501" s="173" t="s">
        <v>4841</v>
      </c>
      <c r="D501" s="173" t="s">
        <v>4842</v>
      </c>
    </row>
    <row r="502" ht="16.5" spans="1:4">
      <c r="A502" s="173" t="s">
        <v>5387</v>
      </c>
      <c r="B502" s="173" t="s">
        <v>4840</v>
      </c>
      <c r="C502" s="173" t="s">
        <v>4841</v>
      </c>
      <c r="D502" s="173" t="s">
        <v>4842</v>
      </c>
    </row>
    <row r="503" ht="16.5" spans="1:4">
      <c r="A503" s="173" t="s">
        <v>5388</v>
      </c>
      <c r="B503" s="173" t="s">
        <v>4840</v>
      </c>
      <c r="C503" s="173" t="s">
        <v>4841</v>
      </c>
      <c r="D503" s="173" t="s">
        <v>4842</v>
      </c>
    </row>
    <row r="504" ht="16.5" spans="1:4">
      <c r="A504" s="173" t="s">
        <v>5389</v>
      </c>
      <c r="B504" s="173" t="s">
        <v>4840</v>
      </c>
      <c r="C504" s="173" t="s">
        <v>4841</v>
      </c>
      <c r="D504" s="173" t="s">
        <v>4842</v>
      </c>
    </row>
    <row r="505" ht="16.5" spans="1:4">
      <c r="A505" s="173" t="s">
        <v>5390</v>
      </c>
      <c r="B505" s="173" t="s">
        <v>4840</v>
      </c>
      <c r="C505" s="173" t="s">
        <v>4841</v>
      </c>
      <c r="D505" s="173" t="s">
        <v>4842</v>
      </c>
    </row>
    <row r="506" ht="16.5" spans="1:4">
      <c r="A506" s="173" t="s">
        <v>5391</v>
      </c>
      <c r="B506" s="173" t="s">
        <v>4840</v>
      </c>
      <c r="C506" s="173" t="s">
        <v>4841</v>
      </c>
      <c r="D506" s="173" t="s">
        <v>4842</v>
      </c>
    </row>
    <row r="507" ht="16.5" spans="1:4">
      <c r="A507" s="173" t="s">
        <v>5392</v>
      </c>
      <c r="B507" s="173" t="s">
        <v>4840</v>
      </c>
      <c r="C507" s="173" t="s">
        <v>4841</v>
      </c>
      <c r="D507" s="173" t="s">
        <v>4842</v>
      </c>
    </row>
    <row r="508" ht="16.5" spans="1:4">
      <c r="A508" s="173" t="s">
        <v>5393</v>
      </c>
      <c r="B508" s="173" t="s">
        <v>5393</v>
      </c>
      <c r="C508" s="173" t="s">
        <v>4841</v>
      </c>
      <c r="D508" s="173" t="s">
        <v>5394</v>
      </c>
    </row>
    <row r="509" ht="16.5" spans="1:4">
      <c r="A509" s="173" t="s">
        <v>5395</v>
      </c>
      <c r="B509" s="173" t="s">
        <v>4840</v>
      </c>
      <c r="C509" s="173" t="s">
        <v>4841</v>
      </c>
      <c r="D509" s="173" t="s">
        <v>4842</v>
      </c>
    </row>
    <row r="510" ht="16.5" spans="1:4">
      <c r="A510" s="173" t="s">
        <v>5396</v>
      </c>
      <c r="B510" s="173" t="s">
        <v>4840</v>
      </c>
      <c r="C510" s="173" t="s">
        <v>4841</v>
      </c>
      <c r="D510" s="173" t="s">
        <v>4842</v>
      </c>
    </row>
    <row r="511" ht="16.5" spans="1:4">
      <c r="A511" s="173" t="s">
        <v>5397</v>
      </c>
      <c r="B511" s="173" t="s">
        <v>4840</v>
      </c>
      <c r="C511" s="173" t="s">
        <v>4841</v>
      </c>
      <c r="D511" s="173" t="s">
        <v>4842</v>
      </c>
    </row>
    <row r="512" ht="16.5" spans="1:4">
      <c r="A512" s="173" t="s">
        <v>5398</v>
      </c>
      <c r="B512" s="173" t="s">
        <v>4840</v>
      </c>
      <c r="C512" s="173" t="s">
        <v>4841</v>
      </c>
      <c r="D512" s="173" t="s">
        <v>4842</v>
      </c>
    </row>
    <row r="513" ht="16.5" spans="1:4">
      <c r="A513" s="173" t="s">
        <v>5399</v>
      </c>
      <c r="B513" s="173" t="s">
        <v>4840</v>
      </c>
      <c r="C513" s="173" t="s">
        <v>4841</v>
      </c>
      <c r="D513" s="173" t="s">
        <v>4842</v>
      </c>
    </row>
    <row r="514" ht="16.5" spans="1:4">
      <c r="A514" s="173" t="s">
        <v>5400</v>
      </c>
      <c r="B514" s="173" t="s">
        <v>4840</v>
      </c>
      <c r="C514" s="173" t="s">
        <v>4841</v>
      </c>
      <c r="D514" s="173" t="s">
        <v>4842</v>
      </c>
    </row>
    <row r="515" ht="16.5" spans="1:4">
      <c r="A515" s="173" t="s">
        <v>5401</v>
      </c>
      <c r="B515" s="173" t="s">
        <v>4840</v>
      </c>
      <c r="C515" s="173" t="s">
        <v>4841</v>
      </c>
      <c r="D515" s="173" t="s">
        <v>4842</v>
      </c>
    </row>
    <row r="516" ht="16.5" spans="1:4">
      <c r="A516" s="173" t="s">
        <v>5402</v>
      </c>
      <c r="B516" s="173" t="s">
        <v>4840</v>
      </c>
      <c r="C516" s="173" t="s">
        <v>4841</v>
      </c>
      <c r="D516" s="173" t="s">
        <v>4842</v>
      </c>
    </row>
    <row r="517" ht="16.5" spans="1:4">
      <c r="A517" s="173" t="s">
        <v>5403</v>
      </c>
      <c r="B517" s="173" t="s">
        <v>4840</v>
      </c>
      <c r="C517" s="173" t="s">
        <v>4841</v>
      </c>
      <c r="D517" s="173" t="s">
        <v>4842</v>
      </c>
    </row>
    <row r="518" ht="16.5" spans="1:4">
      <c r="A518" s="173" t="s">
        <v>5404</v>
      </c>
      <c r="B518" s="173" t="s">
        <v>4840</v>
      </c>
      <c r="C518" s="173" t="s">
        <v>4841</v>
      </c>
      <c r="D518" s="173" t="s">
        <v>4842</v>
      </c>
    </row>
    <row r="519" ht="16.5" spans="1:4">
      <c r="A519" s="173" t="s">
        <v>5405</v>
      </c>
      <c r="B519" s="173" t="s">
        <v>4840</v>
      </c>
      <c r="C519" s="173" t="s">
        <v>4841</v>
      </c>
      <c r="D519" s="173" t="s">
        <v>4842</v>
      </c>
    </row>
    <row r="520" ht="16.5" spans="1:4">
      <c r="A520" s="173" t="s">
        <v>5406</v>
      </c>
      <c r="B520" s="173" t="s">
        <v>4840</v>
      </c>
      <c r="C520" s="173" t="s">
        <v>4841</v>
      </c>
      <c r="D520" s="173" t="s">
        <v>4842</v>
      </c>
    </row>
    <row r="521" ht="16.5" spans="1:4">
      <c r="A521" s="173" t="s">
        <v>5407</v>
      </c>
      <c r="B521" s="173" t="s">
        <v>5407</v>
      </c>
      <c r="C521" s="173" t="s">
        <v>4841</v>
      </c>
      <c r="D521" s="173" t="s">
        <v>5408</v>
      </c>
    </row>
    <row r="522" ht="16.5" spans="1:4">
      <c r="A522" s="173" t="s">
        <v>5409</v>
      </c>
      <c r="B522" s="173" t="s">
        <v>4840</v>
      </c>
      <c r="C522" s="173" t="s">
        <v>4841</v>
      </c>
      <c r="D522" s="173" t="s">
        <v>4842</v>
      </c>
    </row>
    <row r="523" ht="16.5" spans="1:4">
      <c r="A523" s="173" t="s">
        <v>5410</v>
      </c>
      <c r="B523" s="173" t="s">
        <v>4840</v>
      </c>
      <c r="C523" s="173" t="s">
        <v>4841</v>
      </c>
      <c r="D523" s="173" t="s">
        <v>4842</v>
      </c>
    </row>
    <row r="524" ht="16.5" spans="1:4">
      <c r="A524" s="173" t="s">
        <v>5411</v>
      </c>
      <c r="B524" s="173" t="s">
        <v>4840</v>
      </c>
      <c r="C524" s="173" t="s">
        <v>4841</v>
      </c>
      <c r="D524" s="173" t="s">
        <v>4842</v>
      </c>
    </row>
    <row r="525" ht="16.5" spans="1:4">
      <c r="A525" s="173" t="s">
        <v>5412</v>
      </c>
      <c r="B525" s="173" t="s">
        <v>4840</v>
      </c>
      <c r="C525" s="173" t="s">
        <v>4841</v>
      </c>
      <c r="D525" s="173" t="s">
        <v>4842</v>
      </c>
    </row>
    <row r="526" ht="16.5" spans="1:4">
      <c r="A526" s="173" t="s">
        <v>936</v>
      </c>
      <c r="B526" s="173" t="s">
        <v>4840</v>
      </c>
      <c r="C526" s="173" t="s">
        <v>4841</v>
      </c>
      <c r="D526" s="173" t="s">
        <v>4842</v>
      </c>
    </row>
    <row r="527" ht="16.5" spans="1:4">
      <c r="A527" s="173" t="s">
        <v>5413</v>
      </c>
      <c r="B527" s="173" t="s">
        <v>4840</v>
      </c>
      <c r="C527" s="173" t="s">
        <v>4841</v>
      </c>
      <c r="D527" s="173" t="s">
        <v>4842</v>
      </c>
    </row>
    <row r="528" ht="16.5" spans="1:4">
      <c r="A528" s="173" t="s">
        <v>5414</v>
      </c>
      <c r="B528" s="173" t="s">
        <v>4840</v>
      </c>
      <c r="C528" s="173" t="s">
        <v>4841</v>
      </c>
      <c r="D528" s="173" t="s">
        <v>4842</v>
      </c>
    </row>
    <row r="529" ht="16.5" spans="1:4">
      <c r="A529" s="173" t="s">
        <v>5415</v>
      </c>
      <c r="B529" s="173" t="s">
        <v>4840</v>
      </c>
      <c r="C529" s="173" t="s">
        <v>4841</v>
      </c>
      <c r="D529" s="173" t="s">
        <v>4842</v>
      </c>
    </row>
    <row r="530" ht="16.5" spans="1:4">
      <c r="A530" s="173" t="s">
        <v>5416</v>
      </c>
      <c r="B530" s="173" t="s">
        <v>4840</v>
      </c>
      <c r="C530" s="173" t="s">
        <v>4841</v>
      </c>
      <c r="D530" s="173" t="s">
        <v>4842</v>
      </c>
    </row>
    <row r="531" ht="16.5" spans="1:4">
      <c r="A531" s="173" t="s">
        <v>5417</v>
      </c>
      <c r="B531" s="173" t="s">
        <v>4840</v>
      </c>
      <c r="C531" s="173" t="s">
        <v>4841</v>
      </c>
      <c r="D531" s="173" t="s">
        <v>4842</v>
      </c>
    </row>
    <row r="532" ht="16.5" spans="1:4">
      <c r="A532" s="173" t="s">
        <v>5418</v>
      </c>
      <c r="B532" s="173" t="s">
        <v>5418</v>
      </c>
      <c r="C532" s="173" t="s">
        <v>4841</v>
      </c>
      <c r="D532" s="173" t="s">
        <v>5419</v>
      </c>
    </row>
    <row r="533" ht="16.5" spans="1:4">
      <c r="A533" s="173" t="s">
        <v>5420</v>
      </c>
      <c r="B533" s="173" t="s">
        <v>4840</v>
      </c>
      <c r="C533" s="173" t="s">
        <v>4841</v>
      </c>
      <c r="D533" s="173" t="s">
        <v>4842</v>
      </c>
    </row>
    <row r="534" ht="16.5" spans="1:4">
      <c r="A534" s="173" t="s">
        <v>5421</v>
      </c>
      <c r="B534" s="173" t="s">
        <v>4840</v>
      </c>
      <c r="C534" s="173" t="s">
        <v>4841</v>
      </c>
      <c r="D534" s="173" t="s">
        <v>4842</v>
      </c>
    </row>
    <row r="535" ht="16.5" spans="1:4">
      <c r="A535" s="173" t="s">
        <v>5422</v>
      </c>
      <c r="B535" s="173" t="s">
        <v>4840</v>
      </c>
      <c r="C535" s="173" t="s">
        <v>4841</v>
      </c>
      <c r="D535" s="173" t="s">
        <v>4842</v>
      </c>
    </row>
    <row r="536" ht="16.5" spans="1:4">
      <c r="A536" s="173" t="s">
        <v>5423</v>
      </c>
      <c r="B536" s="173" t="s">
        <v>4840</v>
      </c>
      <c r="C536" s="173" t="s">
        <v>4841</v>
      </c>
      <c r="D536" s="173" t="s">
        <v>4842</v>
      </c>
    </row>
    <row r="537" ht="16.5" spans="1:4">
      <c r="A537" s="173" t="s">
        <v>5424</v>
      </c>
      <c r="B537" s="173" t="s">
        <v>4840</v>
      </c>
      <c r="C537" s="173" t="s">
        <v>4841</v>
      </c>
      <c r="D537" s="173" t="s">
        <v>4842</v>
      </c>
    </row>
    <row r="538" ht="16.5" spans="1:4">
      <c r="A538" s="173" t="s">
        <v>5425</v>
      </c>
      <c r="B538" s="173" t="s">
        <v>4840</v>
      </c>
      <c r="C538" s="173" t="s">
        <v>4841</v>
      </c>
      <c r="D538" s="173" t="s">
        <v>4842</v>
      </c>
    </row>
    <row r="539" ht="16.5" spans="1:4">
      <c r="A539" s="173" t="s">
        <v>5426</v>
      </c>
      <c r="B539" s="173" t="s">
        <v>4840</v>
      </c>
      <c r="C539" s="173" t="s">
        <v>4841</v>
      </c>
      <c r="D539" s="173" t="s">
        <v>4842</v>
      </c>
    </row>
    <row r="540" ht="16.5" spans="1:4">
      <c r="A540" s="173" t="s">
        <v>5427</v>
      </c>
      <c r="B540" s="173" t="s">
        <v>4840</v>
      </c>
      <c r="C540" s="173" t="s">
        <v>4841</v>
      </c>
      <c r="D540" s="173" t="s">
        <v>4842</v>
      </c>
    </row>
    <row r="541" ht="16.5" spans="1:4">
      <c r="A541" s="173" t="s">
        <v>5428</v>
      </c>
      <c r="B541" s="173" t="s">
        <v>4840</v>
      </c>
      <c r="C541" s="173" t="s">
        <v>4841</v>
      </c>
      <c r="D541" s="173" t="s">
        <v>4842</v>
      </c>
    </row>
    <row r="542" ht="16.5" spans="1:4">
      <c r="A542" s="173" t="s">
        <v>5429</v>
      </c>
      <c r="B542" s="173" t="s">
        <v>4840</v>
      </c>
      <c r="C542" s="173" t="s">
        <v>4841</v>
      </c>
      <c r="D542" s="173" t="s">
        <v>4842</v>
      </c>
    </row>
    <row r="543" ht="16.5" spans="1:4">
      <c r="A543" s="173" t="s">
        <v>5430</v>
      </c>
      <c r="B543" s="173" t="s">
        <v>4840</v>
      </c>
      <c r="C543" s="173" t="s">
        <v>4841</v>
      </c>
      <c r="D543" s="173" t="s">
        <v>4842</v>
      </c>
    </row>
    <row r="544" ht="16.5" spans="1:4">
      <c r="A544" s="173" t="s">
        <v>5431</v>
      </c>
      <c r="B544" s="173" t="s">
        <v>4840</v>
      </c>
      <c r="C544" s="173" t="s">
        <v>4841</v>
      </c>
      <c r="D544" s="173" t="s">
        <v>4842</v>
      </c>
    </row>
    <row r="545" ht="16.5" spans="1:4">
      <c r="A545" s="173" t="s">
        <v>5432</v>
      </c>
      <c r="B545" s="173" t="s">
        <v>4840</v>
      </c>
      <c r="C545" s="173" t="s">
        <v>4841</v>
      </c>
      <c r="D545" s="173" t="s">
        <v>4842</v>
      </c>
    </row>
    <row r="546" ht="16.5" spans="1:4">
      <c r="A546" s="173" t="s">
        <v>5433</v>
      </c>
      <c r="B546" s="173" t="s">
        <v>5433</v>
      </c>
      <c r="C546" s="173" t="s">
        <v>4841</v>
      </c>
      <c r="D546" s="173" t="s">
        <v>5434</v>
      </c>
    </row>
    <row r="547" ht="16.5" spans="1:4">
      <c r="A547" s="173" t="s">
        <v>5435</v>
      </c>
      <c r="B547" s="173" t="s">
        <v>4840</v>
      </c>
      <c r="C547" s="173" t="s">
        <v>4841</v>
      </c>
      <c r="D547" s="173" t="s">
        <v>4842</v>
      </c>
    </row>
    <row r="548" ht="16.5" spans="1:4">
      <c r="A548" s="173" t="s">
        <v>5436</v>
      </c>
      <c r="B548" s="173" t="s">
        <v>4840</v>
      </c>
      <c r="C548" s="173" t="s">
        <v>4841</v>
      </c>
      <c r="D548" s="173" t="s">
        <v>4842</v>
      </c>
    </row>
    <row r="549" ht="16.5" spans="1:4">
      <c r="A549" s="173" t="s">
        <v>5437</v>
      </c>
      <c r="B549" s="173" t="s">
        <v>4840</v>
      </c>
      <c r="C549" s="173" t="s">
        <v>4841</v>
      </c>
      <c r="D549" s="173" t="s">
        <v>4842</v>
      </c>
    </row>
    <row r="550" ht="16.5" spans="1:4">
      <c r="A550" s="173" t="s">
        <v>5438</v>
      </c>
      <c r="B550" s="173" t="s">
        <v>4840</v>
      </c>
      <c r="C550" s="173" t="s">
        <v>4841</v>
      </c>
      <c r="D550" s="173" t="s">
        <v>4842</v>
      </c>
    </row>
    <row r="551" ht="16.5" spans="1:4">
      <c r="A551" s="173" t="s">
        <v>5439</v>
      </c>
      <c r="B551" s="173" t="s">
        <v>4840</v>
      </c>
      <c r="C551" s="173" t="s">
        <v>4841</v>
      </c>
      <c r="D551" s="173" t="s">
        <v>4842</v>
      </c>
    </row>
    <row r="552" ht="16.5" spans="1:4">
      <c r="A552" s="173" t="s">
        <v>5440</v>
      </c>
      <c r="B552" s="173" t="s">
        <v>4840</v>
      </c>
      <c r="C552" s="173" t="s">
        <v>4841</v>
      </c>
      <c r="D552" s="173" t="s">
        <v>4842</v>
      </c>
    </row>
    <row r="553" ht="16.5" spans="1:4">
      <c r="A553" s="173" t="s">
        <v>5441</v>
      </c>
      <c r="B553" s="173" t="s">
        <v>4840</v>
      </c>
      <c r="C553" s="173" t="s">
        <v>4841</v>
      </c>
      <c r="D553" s="173" t="s">
        <v>4842</v>
      </c>
    </row>
    <row r="554" ht="16.5" spans="1:4">
      <c r="A554" s="173" t="s">
        <v>5442</v>
      </c>
      <c r="B554" s="173" t="s">
        <v>4840</v>
      </c>
      <c r="C554" s="173" t="s">
        <v>4841</v>
      </c>
      <c r="D554" s="173" t="s">
        <v>4842</v>
      </c>
    </row>
    <row r="555" ht="16.5" spans="1:4">
      <c r="A555" s="173" t="s">
        <v>5443</v>
      </c>
      <c r="B555" s="173" t="s">
        <v>4840</v>
      </c>
      <c r="C555" s="173" t="s">
        <v>4841</v>
      </c>
      <c r="D555" s="173" t="s">
        <v>4842</v>
      </c>
    </row>
    <row r="556" ht="16.5" spans="1:4">
      <c r="A556" s="173" t="s">
        <v>5444</v>
      </c>
      <c r="B556" s="173" t="s">
        <v>4840</v>
      </c>
      <c r="C556" s="173" t="s">
        <v>4841</v>
      </c>
      <c r="D556" s="173" t="s">
        <v>4842</v>
      </c>
    </row>
    <row r="557" ht="16.5" spans="1:4">
      <c r="A557" s="173" t="s">
        <v>5445</v>
      </c>
      <c r="B557" s="173" t="s">
        <v>5445</v>
      </c>
      <c r="C557" s="173" t="s">
        <v>4841</v>
      </c>
      <c r="D557" s="173" t="s">
        <v>5446</v>
      </c>
    </row>
    <row r="558" ht="16.5" spans="1:4">
      <c r="A558" s="173" t="s">
        <v>5447</v>
      </c>
      <c r="B558" s="173" t="s">
        <v>4840</v>
      </c>
      <c r="C558" s="173" t="s">
        <v>4841</v>
      </c>
      <c r="D558" s="173" t="s">
        <v>4842</v>
      </c>
    </row>
    <row r="559" ht="16.5" spans="1:4">
      <c r="A559" s="173" t="s">
        <v>5448</v>
      </c>
      <c r="B559" s="173" t="s">
        <v>4840</v>
      </c>
      <c r="C559" s="173" t="s">
        <v>4841</v>
      </c>
      <c r="D559" s="173" t="s">
        <v>4842</v>
      </c>
    </row>
    <row r="560" ht="16.5" spans="1:4">
      <c r="A560" s="173" t="s">
        <v>5449</v>
      </c>
      <c r="B560" s="173" t="s">
        <v>4840</v>
      </c>
      <c r="C560" s="173" t="s">
        <v>4841</v>
      </c>
      <c r="D560" s="173" t="s">
        <v>4842</v>
      </c>
    </row>
    <row r="561" ht="16.5" spans="1:4">
      <c r="A561" s="173" t="s">
        <v>5450</v>
      </c>
      <c r="B561" s="173" t="s">
        <v>4840</v>
      </c>
      <c r="C561" s="173" t="s">
        <v>4841</v>
      </c>
      <c r="D561" s="173" t="s">
        <v>4842</v>
      </c>
    </row>
    <row r="562" ht="16.5" spans="1:4">
      <c r="A562" s="173" t="s">
        <v>5451</v>
      </c>
      <c r="B562" s="173" t="s">
        <v>4840</v>
      </c>
      <c r="C562" s="173" t="s">
        <v>4841</v>
      </c>
      <c r="D562" s="173" t="s">
        <v>4842</v>
      </c>
    </row>
    <row r="563" ht="16.5" spans="1:4">
      <c r="A563" s="173" t="s">
        <v>5452</v>
      </c>
      <c r="B563" s="173" t="s">
        <v>4840</v>
      </c>
      <c r="C563" s="173" t="s">
        <v>4841</v>
      </c>
      <c r="D563" s="173" t="s">
        <v>4842</v>
      </c>
    </row>
    <row r="564" ht="16.5" spans="1:4">
      <c r="A564" s="173" t="s">
        <v>5453</v>
      </c>
      <c r="B564" s="173" t="s">
        <v>4840</v>
      </c>
      <c r="C564" s="173" t="s">
        <v>4841</v>
      </c>
      <c r="D564" s="173" t="s">
        <v>4842</v>
      </c>
    </row>
    <row r="565" ht="16.5" spans="1:4">
      <c r="A565" s="173" t="s">
        <v>5454</v>
      </c>
      <c r="B565" s="173" t="s">
        <v>4840</v>
      </c>
      <c r="C565" s="173" t="s">
        <v>4841</v>
      </c>
      <c r="D565" s="173" t="s">
        <v>4842</v>
      </c>
    </row>
    <row r="566" ht="16.5" spans="1:4">
      <c r="A566" s="173" t="s">
        <v>5455</v>
      </c>
      <c r="B566" s="173" t="s">
        <v>4840</v>
      </c>
      <c r="C566" s="173" t="s">
        <v>4841</v>
      </c>
      <c r="D566" s="173" t="s">
        <v>4842</v>
      </c>
    </row>
    <row r="567" ht="16.5" spans="1:4">
      <c r="A567" s="173" t="s">
        <v>5456</v>
      </c>
      <c r="B567" s="173" t="s">
        <v>4840</v>
      </c>
      <c r="C567" s="173" t="s">
        <v>4841</v>
      </c>
      <c r="D567" s="173" t="s">
        <v>4842</v>
      </c>
    </row>
    <row r="568" ht="16.5" spans="1:4">
      <c r="A568" s="173" t="s">
        <v>5457</v>
      </c>
      <c r="B568" s="173" t="s">
        <v>5457</v>
      </c>
      <c r="C568" s="173" t="s">
        <v>4841</v>
      </c>
      <c r="D568" s="173" t="s">
        <v>5458</v>
      </c>
    </row>
    <row r="569" ht="16.5" spans="1:4">
      <c r="A569" s="173" t="s">
        <v>5459</v>
      </c>
      <c r="B569" s="173" t="s">
        <v>4840</v>
      </c>
      <c r="C569" s="173" t="s">
        <v>4841</v>
      </c>
      <c r="D569" s="173" t="s">
        <v>4842</v>
      </c>
    </row>
    <row r="570" ht="16.5" spans="1:4">
      <c r="A570" s="173" t="s">
        <v>5460</v>
      </c>
      <c r="B570" s="173" t="s">
        <v>4840</v>
      </c>
      <c r="C570" s="173" t="s">
        <v>4841</v>
      </c>
      <c r="D570" s="173" t="s">
        <v>4842</v>
      </c>
    </row>
    <row r="571" ht="16.5" spans="1:4">
      <c r="A571" s="173" t="s">
        <v>5461</v>
      </c>
      <c r="B571" s="173" t="s">
        <v>4840</v>
      </c>
      <c r="C571" s="173" t="s">
        <v>4841</v>
      </c>
      <c r="D571" s="173" t="s">
        <v>4842</v>
      </c>
    </row>
    <row r="572" ht="16.5" spans="1:4">
      <c r="A572" s="173" t="s">
        <v>5462</v>
      </c>
      <c r="B572" s="173" t="s">
        <v>4840</v>
      </c>
      <c r="C572" s="173" t="s">
        <v>4841</v>
      </c>
      <c r="D572" s="173" t="s">
        <v>4842</v>
      </c>
    </row>
    <row r="573" ht="16.5" spans="1:4">
      <c r="A573" s="173" t="s">
        <v>5463</v>
      </c>
      <c r="B573" s="173" t="s">
        <v>4840</v>
      </c>
      <c r="C573" s="173" t="s">
        <v>4841</v>
      </c>
      <c r="D573" s="173" t="s">
        <v>4842</v>
      </c>
    </row>
    <row r="574" ht="16.5" spans="1:4">
      <c r="A574" s="173" t="s">
        <v>5464</v>
      </c>
      <c r="B574" s="173" t="s">
        <v>4840</v>
      </c>
      <c r="C574" s="173" t="s">
        <v>4841</v>
      </c>
      <c r="D574" s="173" t="s">
        <v>4842</v>
      </c>
    </row>
    <row r="575" ht="16.5" spans="1:4">
      <c r="A575" s="173" t="s">
        <v>5465</v>
      </c>
      <c r="B575" s="173" t="s">
        <v>4840</v>
      </c>
      <c r="C575" s="173" t="s">
        <v>4841</v>
      </c>
      <c r="D575" s="173" t="s">
        <v>4842</v>
      </c>
    </row>
    <row r="576" ht="16.5" spans="1:4">
      <c r="A576" s="173" t="s">
        <v>5466</v>
      </c>
      <c r="B576" s="173" t="s">
        <v>4840</v>
      </c>
      <c r="C576" s="173" t="s">
        <v>4841</v>
      </c>
      <c r="D576" s="173" t="s">
        <v>4842</v>
      </c>
    </row>
    <row r="577" ht="16.5" spans="1:4">
      <c r="A577" s="173" t="s">
        <v>5467</v>
      </c>
      <c r="B577" s="173" t="s">
        <v>4840</v>
      </c>
      <c r="C577" s="173" t="s">
        <v>4841</v>
      </c>
      <c r="D577" s="173" t="s">
        <v>4842</v>
      </c>
    </row>
    <row r="578" ht="16.5" spans="1:4">
      <c r="A578" s="173" t="s">
        <v>5468</v>
      </c>
      <c r="B578" s="173" t="s">
        <v>4840</v>
      </c>
      <c r="C578" s="173" t="s">
        <v>4841</v>
      </c>
      <c r="D578" s="173" t="s">
        <v>4842</v>
      </c>
    </row>
    <row r="579" ht="16.5" spans="1:4">
      <c r="A579" s="173" t="s">
        <v>5469</v>
      </c>
      <c r="B579" s="173" t="s">
        <v>5469</v>
      </c>
      <c r="C579" s="173" t="s">
        <v>4841</v>
      </c>
      <c r="D579" s="173" t="s">
        <v>5470</v>
      </c>
    </row>
    <row r="580" ht="16.5" spans="1:4">
      <c r="A580" s="173" t="s">
        <v>5471</v>
      </c>
      <c r="B580" s="173" t="s">
        <v>4840</v>
      </c>
      <c r="C580" s="173" t="s">
        <v>4841</v>
      </c>
      <c r="D580" s="173" t="s">
        <v>4842</v>
      </c>
    </row>
    <row r="581" ht="16.5" spans="1:4">
      <c r="A581" s="173" t="s">
        <v>5472</v>
      </c>
      <c r="B581" s="173" t="s">
        <v>4840</v>
      </c>
      <c r="C581" s="173" t="s">
        <v>4841</v>
      </c>
      <c r="D581" s="173" t="s">
        <v>4842</v>
      </c>
    </row>
    <row r="582" ht="16.5" spans="1:4">
      <c r="A582" s="173" t="s">
        <v>5473</v>
      </c>
      <c r="B582" s="173" t="s">
        <v>4840</v>
      </c>
      <c r="C582" s="173" t="s">
        <v>4841</v>
      </c>
      <c r="D582" s="173" t="s">
        <v>4842</v>
      </c>
    </row>
    <row r="583" ht="16.5" spans="1:4">
      <c r="A583" s="173" t="s">
        <v>5474</v>
      </c>
      <c r="B583" s="173" t="s">
        <v>4840</v>
      </c>
      <c r="C583" s="173" t="s">
        <v>4841</v>
      </c>
      <c r="D583" s="173" t="s">
        <v>4842</v>
      </c>
    </row>
    <row r="584" ht="16.5" spans="1:4">
      <c r="A584" s="173" t="s">
        <v>5475</v>
      </c>
      <c r="B584" s="173" t="s">
        <v>4840</v>
      </c>
      <c r="C584" s="173" t="s">
        <v>4841</v>
      </c>
      <c r="D584" s="173" t="s">
        <v>4842</v>
      </c>
    </row>
    <row r="585" ht="16.5" spans="1:4">
      <c r="A585" s="173" t="s">
        <v>5476</v>
      </c>
      <c r="B585" s="173" t="s">
        <v>4840</v>
      </c>
      <c r="C585" s="173" t="s">
        <v>4841</v>
      </c>
      <c r="D585" s="173" t="s">
        <v>4842</v>
      </c>
    </row>
    <row r="586" ht="16.5" spans="1:4">
      <c r="A586" s="173" t="s">
        <v>5477</v>
      </c>
      <c r="B586" s="173" t="s">
        <v>4840</v>
      </c>
      <c r="C586" s="173" t="s">
        <v>4841</v>
      </c>
      <c r="D586" s="173" t="s">
        <v>4842</v>
      </c>
    </row>
    <row r="587" ht="16.5" spans="1:4">
      <c r="A587" s="173" t="s">
        <v>5478</v>
      </c>
      <c r="B587" s="173" t="s">
        <v>4840</v>
      </c>
      <c r="C587" s="173" t="s">
        <v>4841</v>
      </c>
      <c r="D587" s="173" t="s">
        <v>4842</v>
      </c>
    </row>
    <row r="588" ht="16.5" spans="1:4">
      <c r="A588" s="173" t="s">
        <v>5479</v>
      </c>
      <c r="B588" s="173" t="s">
        <v>4840</v>
      </c>
      <c r="C588" s="173" t="s">
        <v>4841</v>
      </c>
      <c r="D588" s="173" t="s">
        <v>4842</v>
      </c>
    </row>
    <row r="589" ht="16.5" spans="1:4">
      <c r="A589" s="173" t="s">
        <v>5480</v>
      </c>
      <c r="B589" s="173" t="s">
        <v>4840</v>
      </c>
      <c r="C589" s="173" t="s">
        <v>4841</v>
      </c>
      <c r="D589" s="173" t="s">
        <v>4842</v>
      </c>
    </row>
    <row r="590" ht="16.5" spans="1:4">
      <c r="A590" s="173" t="s">
        <v>5481</v>
      </c>
      <c r="B590" s="173" t="s">
        <v>4840</v>
      </c>
      <c r="C590" s="173" t="s">
        <v>4841</v>
      </c>
      <c r="D590" s="173" t="s">
        <v>4842</v>
      </c>
    </row>
    <row r="591" ht="16.5" spans="1:4">
      <c r="A591" s="173" t="s">
        <v>5482</v>
      </c>
      <c r="B591" s="173" t="s">
        <v>4840</v>
      </c>
      <c r="C591" s="173" t="s">
        <v>4841</v>
      </c>
      <c r="D591" s="173" t="s">
        <v>4842</v>
      </c>
    </row>
    <row r="592" ht="16.5" spans="1:4">
      <c r="A592" s="173" t="s">
        <v>5483</v>
      </c>
      <c r="B592" s="173" t="s">
        <v>4840</v>
      </c>
      <c r="C592" s="173" t="s">
        <v>4841</v>
      </c>
      <c r="D592" s="173" t="s">
        <v>4842</v>
      </c>
    </row>
    <row r="593" ht="16.5" spans="1:4">
      <c r="A593" s="173" t="s">
        <v>5484</v>
      </c>
      <c r="B593" s="173" t="s">
        <v>5484</v>
      </c>
      <c r="C593" s="173" t="s">
        <v>4841</v>
      </c>
      <c r="D593" s="173" t="s">
        <v>5485</v>
      </c>
    </row>
    <row r="594" ht="16.5" spans="1:4">
      <c r="A594" s="173" t="s">
        <v>5486</v>
      </c>
      <c r="B594" s="173" t="s">
        <v>4840</v>
      </c>
      <c r="C594" s="173" t="s">
        <v>4841</v>
      </c>
      <c r="D594" s="173" t="s">
        <v>4842</v>
      </c>
    </row>
    <row r="595" ht="16.5" spans="1:4">
      <c r="A595" s="173" t="s">
        <v>5487</v>
      </c>
      <c r="B595" s="173" t="s">
        <v>4840</v>
      </c>
      <c r="C595" s="173" t="s">
        <v>4841</v>
      </c>
      <c r="D595" s="173" t="s">
        <v>4842</v>
      </c>
    </row>
    <row r="596" ht="16.5" spans="1:4">
      <c r="A596" s="173" t="s">
        <v>5488</v>
      </c>
      <c r="B596" s="173" t="s">
        <v>4840</v>
      </c>
      <c r="C596" s="173" t="s">
        <v>4841</v>
      </c>
      <c r="D596" s="173" t="s">
        <v>4842</v>
      </c>
    </row>
    <row r="597" ht="16.5" spans="1:4">
      <c r="A597" s="173" t="s">
        <v>5489</v>
      </c>
      <c r="B597" s="173" t="s">
        <v>4840</v>
      </c>
      <c r="C597" s="173" t="s">
        <v>4841</v>
      </c>
      <c r="D597" s="173" t="s">
        <v>4842</v>
      </c>
    </row>
    <row r="598" ht="16.5" spans="1:4">
      <c r="A598" s="173" t="s">
        <v>5490</v>
      </c>
      <c r="B598" s="173" t="s">
        <v>4840</v>
      </c>
      <c r="C598" s="173" t="s">
        <v>4841</v>
      </c>
      <c r="D598" s="173" t="s">
        <v>4842</v>
      </c>
    </row>
    <row r="599" ht="16.5" spans="1:4">
      <c r="A599" s="173" t="s">
        <v>5491</v>
      </c>
      <c r="B599" s="173" t="s">
        <v>4840</v>
      </c>
      <c r="C599" s="173" t="s">
        <v>4841</v>
      </c>
      <c r="D599" s="173" t="s">
        <v>4842</v>
      </c>
    </row>
    <row r="600" ht="16.5" spans="1:4">
      <c r="A600" s="173" t="s">
        <v>5492</v>
      </c>
      <c r="B600" s="173" t="s">
        <v>4840</v>
      </c>
      <c r="C600" s="173" t="s">
        <v>4841</v>
      </c>
      <c r="D600" s="173" t="s">
        <v>4842</v>
      </c>
    </row>
    <row r="601" ht="16.5" spans="1:4">
      <c r="A601" s="173" t="s">
        <v>5493</v>
      </c>
      <c r="B601" s="173" t="s">
        <v>4840</v>
      </c>
      <c r="C601" s="173" t="s">
        <v>4841</v>
      </c>
      <c r="D601" s="173" t="s">
        <v>4842</v>
      </c>
    </row>
    <row r="602" ht="16.5" spans="1:4">
      <c r="A602" s="173" t="s">
        <v>5494</v>
      </c>
      <c r="B602" s="173" t="s">
        <v>4840</v>
      </c>
      <c r="C602" s="173" t="s">
        <v>4841</v>
      </c>
      <c r="D602" s="173" t="s">
        <v>4842</v>
      </c>
    </row>
    <row r="603" ht="16.5" spans="1:4">
      <c r="A603" s="173" t="s">
        <v>5495</v>
      </c>
      <c r="B603" s="173" t="s">
        <v>4840</v>
      </c>
      <c r="C603" s="173" t="s">
        <v>4841</v>
      </c>
      <c r="D603" s="173" t="s">
        <v>4842</v>
      </c>
    </row>
    <row r="604" ht="16.5" spans="1:4">
      <c r="A604" s="173" t="s">
        <v>5496</v>
      </c>
      <c r="B604" s="173" t="s">
        <v>5496</v>
      </c>
      <c r="C604" s="173" t="s">
        <v>4841</v>
      </c>
      <c r="D604" s="173" t="s">
        <v>5497</v>
      </c>
    </row>
    <row r="605" ht="16.5" spans="1:4">
      <c r="A605" s="173" t="s">
        <v>5498</v>
      </c>
      <c r="B605" s="173" t="s">
        <v>4840</v>
      </c>
      <c r="C605" s="173" t="s">
        <v>4841</v>
      </c>
      <c r="D605" s="173" t="s">
        <v>4842</v>
      </c>
    </row>
    <row r="606" ht="16.5" spans="1:4">
      <c r="A606" s="173" t="s">
        <v>5499</v>
      </c>
      <c r="B606" s="173" t="s">
        <v>4840</v>
      </c>
      <c r="C606" s="173" t="s">
        <v>4841</v>
      </c>
      <c r="D606" s="173" t="s">
        <v>4842</v>
      </c>
    </row>
    <row r="607" ht="16.5" spans="1:4">
      <c r="A607" s="173" t="s">
        <v>5500</v>
      </c>
      <c r="B607" s="173" t="s">
        <v>4840</v>
      </c>
      <c r="C607" s="173" t="s">
        <v>4841</v>
      </c>
      <c r="D607" s="173" t="s">
        <v>4842</v>
      </c>
    </row>
    <row r="608" ht="16.5" spans="1:4">
      <c r="A608" s="173" t="s">
        <v>5501</v>
      </c>
      <c r="B608" s="173" t="s">
        <v>4840</v>
      </c>
      <c r="C608" s="173" t="s">
        <v>4841</v>
      </c>
      <c r="D608" s="173" t="s">
        <v>4842</v>
      </c>
    </row>
    <row r="609" ht="16.5" spans="1:4">
      <c r="A609" s="173" t="s">
        <v>5502</v>
      </c>
      <c r="B609" s="173" t="s">
        <v>4840</v>
      </c>
      <c r="C609" s="173" t="s">
        <v>4841</v>
      </c>
      <c r="D609" s="173" t="s">
        <v>4842</v>
      </c>
    </row>
    <row r="610" ht="16.5" spans="1:4">
      <c r="A610" s="173" t="s">
        <v>5503</v>
      </c>
      <c r="B610" s="173" t="s">
        <v>4840</v>
      </c>
      <c r="C610" s="173" t="s">
        <v>4841</v>
      </c>
      <c r="D610" s="173" t="s">
        <v>4842</v>
      </c>
    </row>
    <row r="611" ht="16.5" spans="1:4">
      <c r="A611" s="173" t="s">
        <v>5504</v>
      </c>
      <c r="B611" s="173" t="s">
        <v>4840</v>
      </c>
      <c r="C611" s="173" t="s">
        <v>4841</v>
      </c>
      <c r="D611" s="173" t="s">
        <v>4842</v>
      </c>
    </row>
    <row r="612" ht="16.5" spans="1:4">
      <c r="A612" s="173" t="s">
        <v>5505</v>
      </c>
      <c r="B612" s="173" t="s">
        <v>4840</v>
      </c>
      <c r="C612" s="173" t="s">
        <v>4841</v>
      </c>
      <c r="D612" s="173" t="s">
        <v>4842</v>
      </c>
    </row>
    <row r="613" ht="16.5" spans="1:4">
      <c r="A613" s="173" t="s">
        <v>5506</v>
      </c>
      <c r="B613" s="173" t="s">
        <v>4840</v>
      </c>
      <c r="C613" s="173" t="s">
        <v>4841</v>
      </c>
      <c r="D613" s="173" t="s">
        <v>4842</v>
      </c>
    </row>
    <row r="614" ht="16.5" spans="1:4">
      <c r="A614" s="173" t="s">
        <v>5507</v>
      </c>
      <c r="B614" s="173" t="s">
        <v>4840</v>
      </c>
      <c r="C614" s="173" t="s">
        <v>4841</v>
      </c>
      <c r="D614" s="173" t="s">
        <v>4842</v>
      </c>
    </row>
    <row r="615" ht="16.5" spans="1:4">
      <c r="A615" s="173" t="s">
        <v>5508</v>
      </c>
      <c r="B615" s="173" t="s">
        <v>4840</v>
      </c>
      <c r="C615" s="173" t="s">
        <v>4841</v>
      </c>
      <c r="D615" s="173" t="s">
        <v>4842</v>
      </c>
    </row>
    <row r="616" ht="16.5" spans="1:4">
      <c r="A616" s="173" t="s">
        <v>5509</v>
      </c>
      <c r="B616" s="173" t="s">
        <v>4840</v>
      </c>
      <c r="C616" s="173" t="s">
        <v>4841</v>
      </c>
      <c r="D616" s="173" t="s">
        <v>4842</v>
      </c>
    </row>
    <row r="617" ht="16.5" spans="1:4">
      <c r="A617" s="173" t="s">
        <v>5510</v>
      </c>
      <c r="B617" s="173" t="s">
        <v>4840</v>
      </c>
      <c r="C617" s="173" t="s">
        <v>4841</v>
      </c>
      <c r="D617" s="173" t="s">
        <v>4842</v>
      </c>
    </row>
    <row r="618" ht="16.5" spans="1:4">
      <c r="A618" s="173" t="s">
        <v>5511</v>
      </c>
      <c r="B618" s="173" t="s">
        <v>5511</v>
      </c>
      <c r="C618" s="173" t="s">
        <v>4841</v>
      </c>
      <c r="D618" s="173" t="s">
        <v>5512</v>
      </c>
    </row>
    <row r="619" ht="16.5" spans="1:4">
      <c r="A619" s="173" t="s">
        <v>5513</v>
      </c>
      <c r="B619" s="173" t="s">
        <v>4840</v>
      </c>
      <c r="C619" s="173" t="s">
        <v>4841</v>
      </c>
      <c r="D619" s="173" t="s">
        <v>4842</v>
      </c>
    </row>
    <row r="620" ht="16.5" spans="1:4">
      <c r="A620" s="173" t="s">
        <v>5514</v>
      </c>
      <c r="B620" s="173" t="s">
        <v>4840</v>
      </c>
      <c r="C620" s="173" t="s">
        <v>4841</v>
      </c>
      <c r="D620" s="173" t="s">
        <v>4842</v>
      </c>
    </row>
    <row r="621" ht="16.5" spans="1:4">
      <c r="A621" s="173" t="s">
        <v>5515</v>
      </c>
      <c r="B621" s="173" t="s">
        <v>4840</v>
      </c>
      <c r="C621" s="173" t="s">
        <v>4841</v>
      </c>
      <c r="D621" s="173" t="s">
        <v>4842</v>
      </c>
    </row>
    <row r="622" ht="16.5" spans="1:4">
      <c r="A622" s="173" t="s">
        <v>5516</v>
      </c>
      <c r="B622" s="173" t="s">
        <v>4840</v>
      </c>
      <c r="C622" s="173" t="s">
        <v>4841</v>
      </c>
      <c r="D622" s="173" t="s">
        <v>4842</v>
      </c>
    </row>
    <row r="623" ht="16.5" spans="1:4">
      <c r="A623" s="173" t="s">
        <v>5517</v>
      </c>
      <c r="B623" s="173" t="s">
        <v>4840</v>
      </c>
      <c r="C623" s="173" t="s">
        <v>4841</v>
      </c>
      <c r="D623" s="173" t="s">
        <v>4842</v>
      </c>
    </row>
    <row r="624" ht="16.5" spans="1:4">
      <c r="A624" s="173" t="s">
        <v>5518</v>
      </c>
      <c r="B624" s="173" t="s">
        <v>4840</v>
      </c>
      <c r="C624" s="173" t="s">
        <v>4841</v>
      </c>
      <c r="D624" s="173" t="s">
        <v>4842</v>
      </c>
    </row>
    <row r="625" ht="16.5" spans="1:4">
      <c r="A625" s="173" t="s">
        <v>5519</v>
      </c>
      <c r="B625" s="173" t="s">
        <v>4840</v>
      </c>
      <c r="C625" s="173" t="s">
        <v>4841</v>
      </c>
      <c r="D625" s="173" t="s">
        <v>4842</v>
      </c>
    </row>
    <row r="626" ht="16.5" spans="1:4">
      <c r="A626" s="173" t="s">
        <v>5520</v>
      </c>
      <c r="B626" s="173" t="s">
        <v>4840</v>
      </c>
      <c r="C626" s="173" t="s">
        <v>4841</v>
      </c>
      <c r="D626" s="173" t="s">
        <v>4842</v>
      </c>
    </row>
    <row r="627" ht="16.5" spans="1:4">
      <c r="A627" s="173" t="s">
        <v>5521</v>
      </c>
      <c r="B627" s="173" t="s">
        <v>4840</v>
      </c>
      <c r="C627" s="173" t="s">
        <v>4841</v>
      </c>
      <c r="D627" s="173" t="s">
        <v>4842</v>
      </c>
    </row>
    <row r="628" ht="16.5" spans="1:4">
      <c r="A628" s="173" t="s">
        <v>5522</v>
      </c>
      <c r="B628" s="173" t="s">
        <v>4840</v>
      </c>
      <c r="C628" s="173" t="s">
        <v>4841</v>
      </c>
      <c r="D628" s="173" t="s">
        <v>4842</v>
      </c>
    </row>
    <row r="629" ht="16.5" spans="1:4">
      <c r="A629" s="173" t="s">
        <v>5523</v>
      </c>
      <c r="B629" s="173" t="s">
        <v>4840</v>
      </c>
      <c r="C629" s="173" t="s">
        <v>4841</v>
      </c>
      <c r="D629" s="173" t="s">
        <v>4842</v>
      </c>
    </row>
    <row r="630" ht="16.5" spans="1:4">
      <c r="A630" s="173" t="s">
        <v>5524</v>
      </c>
      <c r="B630" s="173" t="s">
        <v>4840</v>
      </c>
      <c r="C630" s="173" t="s">
        <v>4841</v>
      </c>
      <c r="D630" s="173" t="s">
        <v>4842</v>
      </c>
    </row>
    <row r="631" ht="16.5" spans="1:4">
      <c r="A631" s="173" t="s">
        <v>5525</v>
      </c>
      <c r="B631" s="173" t="s">
        <v>4840</v>
      </c>
      <c r="C631" s="173" t="s">
        <v>4841</v>
      </c>
      <c r="D631" s="173" t="s">
        <v>4842</v>
      </c>
    </row>
    <row r="632" ht="16.5" spans="1:4">
      <c r="A632" s="173" t="s">
        <v>5526</v>
      </c>
      <c r="B632" s="173" t="s">
        <v>5526</v>
      </c>
      <c r="C632" s="173" t="s">
        <v>4841</v>
      </c>
      <c r="D632" s="173" t="s">
        <v>5527</v>
      </c>
    </row>
    <row r="633" ht="16.5" spans="1:4">
      <c r="A633" s="173" t="s">
        <v>5528</v>
      </c>
      <c r="B633" s="173" t="s">
        <v>4840</v>
      </c>
      <c r="C633" s="173" t="s">
        <v>4841</v>
      </c>
      <c r="D633" s="173" t="s">
        <v>4842</v>
      </c>
    </row>
    <row r="634" ht="16.5" spans="1:4">
      <c r="A634" s="173" t="s">
        <v>5529</v>
      </c>
      <c r="B634" s="173" t="s">
        <v>4840</v>
      </c>
      <c r="C634" s="173" t="s">
        <v>4841</v>
      </c>
      <c r="D634" s="173" t="s">
        <v>4842</v>
      </c>
    </row>
    <row r="635" ht="16.5" spans="1:4">
      <c r="A635" s="173" t="s">
        <v>5530</v>
      </c>
      <c r="B635" s="173" t="s">
        <v>4840</v>
      </c>
      <c r="C635" s="173" t="s">
        <v>4841</v>
      </c>
      <c r="D635" s="173" t="s">
        <v>4842</v>
      </c>
    </row>
    <row r="636" ht="16.5" spans="1:4">
      <c r="A636" s="173" t="s">
        <v>5531</v>
      </c>
      <c r="B636" s="173" t="s">
        <v>4840</v>
      </c>
      <c r="C636" s="173" t="s">
        <v>4841</v>
      </c>
      <c r="D636" s="173" t="s">
        <v>4842</v>
      </c>
    </row>
    <row r="637" ht="16.5" spans="1:4">
      <c r="A637" s="173" t="s">
        <v>5532</v>
      </c>
      <c r="B637" s="173" t="s">
        <v>4840</v>
      </c>
      <c r="C637" s="173" t="s">
        <v>4841</v>
      </c>
      <c r="D637" s="173" t="s">
        <v>4842</v>
      </c>
    </row>
    <row r="638" ht="16.5" spans="1:4">
      <c r="A638" s="173" t="s">
        <v>5533</v>
      </c>
      <c r="B638" s="173" t="s">
        <v>4840</v>
      </c>
      <c r="C638" s="173" t="s">
        <v>4841</v>
      </c>
      <c r="D638" s="173" t="s">
        <v>4842</v>
      </c>
    </row>
    <row r="639" ht="16.5" spans="1:4">
      <c r="A639" s="173" t="s">
        <v>5534</v>
      </c>
      <c r="B639" s="173" t="s">
        <v>4840</v>
      </c>
      <c r="C639" s="173" t="s">
        <v>4841</v>
      </c>
      <c r="D639" s="173" t="s">
        <v>4842</v>
      </c>
    </row>
    <row r="640" ht="16.5" spans="1:4">
      <c r="A640" s="173" t="s">
        <v>5535</v>
      </c>
      <c r="B640" s="173" t="s">
        <v>4840</v>
      </c>
      <c r="C640" s="173" t="s">
        <v>4841</v>
      </c>
      <c r="D640" s="173" t="s">
        <v>4842</v>
      </c>
    </row>
    <row r="641" ht="16.5" spans="1:4">
      <c r="A641" s="173" t="s">
        <v>5536</v>
      </c>
      <c r="B641" s="173" t="s">
        <v>4840</v>
      </c>
      <c r="C641" s="173" t="s">
        <v>4841</v>
      </c>
      <c r="D641" s="173" t="s">
        <v>4842</v>
      </c>
    </row>
    <row r="642" ht="16.5" spans="1:4">
      <c r="A642" s="173" t="s">
        <v>5537</v>
      </c>
      <c r="B642" s="173" t="s">
        <v>4840</v>
      </c>
      <c r="C642" s="173" t="s">
        <v>4841</v>
      </c>
      <c r="D642" s="173" t="s">
        <v>4842</v>
      </c>
    </row>
    <row r="643" ht="16.5" spans="1:4">
      <c r="A643" s="173" t="s">
        <v>5538</v>
      </c>
      <c r="B643" s="173" t="s">
        <v>4840</v>
      </c>
      <c r="C643" s="173" t="s">
        <v>4841</v>
      </c>
      <c r="D643" s="173" t="s">
        <v>4842</v>
      </c>
    </row>
    <row r="644" ht="16.5" spans="1:4">
      <c r="A644" s="173" t="s">
        <v>5539</v>
      </c>
      <c r="B644" s="173" t="s">
        <v>4840</v>
      </c>
      <c r="C644" s="173" t="s">
        <v>4841</v>
      </c>
      <c r="D644" s="173" t="s">
        <v>4842</v>
      </c>
    </row>
    <row r="645" ht="16.5" spans="1:4">
      <c r="A645" s="173" t="s">
        <v>5540</v>
      </c>
      <c r="B645" s="173" t="s">
        <v>5540</v>
      </c>
      <c r="C645" s="173" t="s">
        <v>4841</v>
      </c>
      <c r="D645" s="173" t="s">
        <v>5541</v>
      </c>
    </row>
    <row r="646" ht="16.5" spans="1:4">
      <c r="A646" s="173" t="s">
        <v>5542</v>
      </c>
      <c r="B646" s="173" t="s">
        <v>4840</v>
      </c>
      <c r="C646" s="173" t="s">
        <v>4841</v>
      </c>
      <c r="D646" s="173" t="s">
        <v>4842</v>
      </c>
    </row>
    <row r="647" ht="16.5" spans="1:4">
      <c r="A647" s="173" t="s">
        <v>5543</v>
      </c>
      <c r="B647" s="173" t="s">
        <v>4840</v>
      </c>
      <c r="C647" s="173" t="s">
        <v>4841</v>
      </c>
      <c r="D647" s="173" t="s">
        <v>4842</v>
      </c>
    </row>
    <row r="648" ht="16.5" spans="1:4">
      <c r="A648" s="173" t="s">
        <v>5544</v>
      </c>
      <c r="B648" s="173" t="s">
        <v>4840</v>
      </c>
      <c r="C648" s="173" t="s">
        <v>4841</v>
      </c>
      <c r="D648" s="173" t="s">
        <v>4842</v>
      </c>
    </row>
    <row r="649" ht="16.5" spans="1:4">
      <c r="A649" s="173" t="s">
        <v>5545</v>
      </c>
      <c r="B649" s="173" t="s">
        <v>4840</v>
      </c>
      <c r="C649" s="173" t="s">
        <v>4841</v>
      </c>
      <c r="D649" s="173" t="s">
        <v>4842</v>
      </c>
    </row>
    <row r="650" ht="16.5" spans="1:4">
      <c r="A650" s="173" t="s">
        <v>5546</v>
      </c>
      <c r="B650" s="173" t="s">
        <v>4840</v>
      </c>
      <c r="C650" s="173" t="s">
        <v>4841</v>
      </c>
      <c r="D650" s="173" t="s">
        <v>4842</v>
      </c>
    </row>
    <row r="651" ht="16.5" spans="1:4">
      <c r="A651" s="173" t="s">
        <v>5547</v>
      </c>
      <c r="B651" s="173" t="s">
        <v>4840</v>
      </c>
      <c r="C651" s="173" t="s">
        <v>4841</v>
      </c>
      <c r="D651" s="173" t="s">
        <v>4842</v>
      </c>
    </row>
    <row r="652" ht="16.5" spans="1:4">
      <c r="A652" s="173" t="s">
        <v>5548</v>
      </c>
      <c r="B652" s="173" t="s">
        <v>4840</v>
      </c>
      <c r="C652" s="173" t="s">
        <v>4841</v>
      </c>
      <c r="D652" s="173" t="s">
        <v>4842</v>
      </c>
    </row>
    <row r="653" ht="16.5" spans="1:4">
      <c r="A653" s="173" t="s">
        <v>5549</v>
      </c>
      <c r="B653" s="173" t="s">
        <v>4840</v>
      </c>
      <c r="C653" s="173" t="s">
        <v>4841</v>
      </c>
      <c r="D653" s="173" t="s">
        <v>4842</v>
      </c>
    </row>
    <row r="654" ht="16.5" spans="1:4">
      <c r="A654" s="173" t="s">
        <v>5550</v>
      </c>
      <c r="B654" s="173" t="s">
        <v>4840</v>
      </c>
      <c r="C654" s="173" t="s">
        <v>4841</v>
      </c>
      <c r="D654" s="173" t="s">
        <v>4842</v>
      </c>
    </row>
    <row r="655" ht="16.5" spans="1:4">
      <c r="A655" s="173" t="s">
        <v>5551</v>
      </c>
      <c r="B655" s="173" t="s">
        <v>4840</v>
      </c>
      <c r="C655" s="173" t="s">
        <v>4841</v>
      </c>
      <c r="D655" s="173" t="s">
        <v>4842</v>
      </c>
    </row>
    <row r="656" ht="16.5" spans="1:4">
      <c r="A656" s="173" t="s">
        <v>5552</v>
      </c>
      <c r="B656" s="173" t="s">
        <v>4840</v>
      </c>
      <c r="C656" s="173" t="s">
        <v>4841</v>
      </c>
      <c r="D656" s="173" t="s">
        <v>4842</v>
      </c>
    </row>
    <row r="657" ht="16.5" spans="1:4">
      <c r="A657" s="173" t="s">
        <v>5553</v>
      </c>
      <c r="B657" s="173" t="s">
        <v>5553</v>
      </c>
      <c r="C657" s="173" t="s">
        <v>4841</v>
      </c>
      <c r="D657" s="173" t="s">
        <v>5554</v>
      </c>
    </row>
    <row r="658" ht="16.5" spans="1:4">
      <c r="A658" s="173" t="s">
        <v>5555</v>
      </c>
      <c r="B658" s="173" t="s">
        <v>4840</v>
      </c>
      <c r="C658" s="173" t="s">
        <v>4841</v>
      </c>
      <c r="D658" s="173" t="s">
        <v>4842</v>
      </c>
    </row>
    <row r="659" ht="16.5" spans="1:4">
      <c r="A659" s="173" t="s">
        <v>5556</v>
      </c>
      <c r="B659" s="173" t="s">
        <v>4840</v>
      </c>
      <c r="C659" s="173" t="s">
        <v>4841</v>
      </c>
      <c r="D659" s="173" t="s">
        <v>4842</v>
      </c>
    </row>
    <row r="660" ht="16.5" spans="1:4">
      <c r="A660" s="173" t="s">
        <v>5557</v>
      </c>
      <c r="B660" s="173" t="s">
        <v>4840</v>
      </c>
      <c r="C660" s="173" t="s">
        <v>4841</v>
      </c>
      <c r="D660" s="173" t="s">
        <v>4842</v>
      </c>
    </row>
    <row r="661" ht="16.5" spans="1:4">
      <c r="A661" s="173" t="s">
        <v>5558</v>
      </c>
      <c r="B661" s="173" t="s">
        <v>4840</v>
      </c>
      <c r="C661" s="173" t="s">
        <v>4841</v>
      </c>
      <c r="D661" s="173" t="s">
        <v>4842</v>
      </c>
    </row>
    <row r="662" ht="16.5" spans="1:4">
      <c r="A662" s="173" t="s">
        <v>5559</v>
      </c>
      <c r="B662" s="173" t="s">
        <v>4840</v>
      </c>
      <c r="C662" s="173" t="s">
        <v>4841</v>
      </c>
      <c r="D662" s="173" t="s">
        <v>4842</v>
      </c>
    </row>
    <row r="663" ht="16.5" spans="1:4">
      <c r="A663" s="173" t="s">
        <v>5560</v>
      </c>
      <c r="B663" s="173" t="s">
        <v>4840</v>
      </c>
      <c r="C663" s="173" t="s">
        <v>4841</v>
      </c>
      <c r="D663" s="173" t="s">
        <v>4842</v>
      </c>
    </row>
    <row r="664" ht="16.5" spans="1:4">
      <c r="A664" s="173" t="s">
        <v>5561</v>
      </c>
      <c r="B664" s="173" t="s">
        <v>4840</v>
      </c>
      <c r="C664" s="173" t="s">
        <v>4841</v>
      </c>
      <c r="D664" s="173" t="s">
        <v>4842</v>
      </c>
    </row>
    <row r="665" ht="16.5" spans="1:4">
      <c r="A665" s="173" t="s">
        <v>5562</v>
      </c>
      <c r="B665" s="173" t="s">
        <v>4840</v>
      </c>
      <c r="C665" s="173" t="s">
        <v>4841</v>
      </c>
      <c r="D665" s="173" t="s">
        <v>4842</v>
      </c>
    </row>
    <row r="666" ht="16.5" spans="1:4">
      <c r="A666" s="173" t="s">
        <v>5563</v>
      </c>
      <c r="B666" s="173" t="s">
        <v>4840</v>
      </c>
      <c r="C666" s="173" t="s">
        <v>4841</v>
      </c>
      <c r="D666" s="173" t="s">
        <v>4842</v>
      </c>
    </row>
    <row r="667" ht="16.5" spans="1:4">
      <c r="A667" s="173" t="s">
        <v>5564</v>
      </c>
      <c r="B667" s="173" t="s">
        <v>4840</v>
      </c>
      <c r="C667" s="173" t="s">
        <v>4841</v>
      </c>
      <c r="D667" s="173" t="s">
        <v>4842</v>
      </c>
    </row>
    <row r="668" ht="16.5" spans="1:4">
      <c r="A668" s="173" t="s">
        <v>5565</v>
      </c>
      <c r="B668" s="173" t="s">
        <v>4840</v>
      </c>
      <c r="C668" s="173" t="s">
        <v>4841</v>
      </c>
      <c r="D668" s="173" t="s">
        <v>4842</v>
      </c>
    </row>
    <row r="669" ht="16.5" spans="1:4">
      <c r="A669" s="173" t="s">
        <v>5566</v>
      </c>
      <c r="B669" s="173" t="s">
        <v>4840</v>
      </c>
      <c r="C669" s="173" t="s">
        <v>4841</v>
      </c>
      <c r="D669" s="173" t="s">
        <v>4842</v>
      </c>
    </row>
    <row r="670" ht="16.5" spans="1:4">
      <c r="A670" s="173" t="s">
        <v>5567</v>
      </c>
      <c r="B670" s="173" t="s">
        <v>5567</v>
      </c>
      <c r="C670" s="173" t="s">
        <v>4841</v>
      </c>
      <c r="D670" s="173" t="s">
        <v>5568</v>
      </c>
    </row>
    <row r="671" ht="16.5" spans="1:4">
      <c r="A671" s="173" t="s">
        <v>5569</v>
      </c>
      <c r="B671" s="173" t="s">
        <v>4840</v>
      </c>
      <c r="C671" s="173" t="s">
        <v>4841</v>
      </c>
      <c r="D671" s="173" t="s">
        <v>4842</v>
      </c>
    </row>
    <row r="672" ht="16.5" spans="1:4">
      <c r="A672" s="173" t="s">
        <v>5570</v>
      </c>
      <c r="B672" s="173" t="s">
        <v>4840</v>
      </c>
      <c r="C672" s="173" t="s">
        <v>4841</v>
      </c>
      <c r="D672" s="173" t="s">
        <v>4842</v>
      </c>
    </row>
    <row r="673" ht="16.5" spans="1:4">
      <c r="A673" s="173" t="s">
        <v>5571</v>
      </c>
      <c r="B673" s="173" t="s">
        <v>4840</v>
      </c>
      <c r="C673" s="173" t="s">
        <v>4841</v>
      </c>
      <c r="D673" s="173" t="s">
        <v>4842</v>
      </c>
    </row>
    <row r="674" ht="16.5" spans="1:4">
      <c r="A674" s="173" t="s">
        <v>5572</v>
      </c>
      <c r="B674" s="173" t="s">
        <v>4840</v>
      </c>
      <c r="C674" s="173" t="s">
        <v>4841</v>
      </c>
      <c r="D674" s="173" t="s">
        <v>4842</v>
      </c>
    </row>
    <row r="675" ht="16.5" spans="1:4">
      <c r="A675" s="173" t="s">
        <v>5573</v>
      </c>
      <c r="B675" s="173" t="s">
        <v>4840</v>
      </c>
      <c r="C675" s="173" t="s">
        <v>4841</v>
      </c>
      <c r="D675" s="173" t="s">
        <v>4842</v>
      </c>
    </row>
    <row r="676" ht="16.5" spans="1:4">
      <c r="A676" s="173" t="s">
        <v>5574</v>
      </c>
      <c r="B676" s="173" t="s">
        <v>4840</v>
      </c>
      <c r="C676" s="173" t="s">
        <v>4841</v>
      </c>
      <c r="D676" s="173" t="s">
        <v>4842</v>
      </c>
    </row>
    <row r="677" ht="16.5" spans="1:4">
      <c r="A677" s="173" t="s">
        <v>5575</v>
      </c>
      <c r="B677" s="173" t="s">
        <v>4840</v>
      </c>
      <c r="C677" s="173" t="s">
        <v>4841</v>
      </c>
      <c r="D677" s="173" t="s">
        <v>4842</v>
      </c>
    </row>
    <row r="678" ht="16.5" spans="1:4">
      <c r="A678" s="173" t="s">
        <v>5576</v>
      </c>
      <c r="B678" s="173" t="s">
        <v>4840</v>
      </c>
      <c r="C678" s="173" t="s">
        <v>4841</v>
      </c>
      <c r="D678" s="173" t="s">
        <v>4842</v>
      </c>
    </row>
    <row r="679" ht="16.5" spans="1:4">
      <c r="A679" s="173" t="s">
        <v>5577</v>
      </c>
      <c r="B679" s="173" t="s">
        <v>4840</v>
      </c>
      <c r="C679" s="173" t="s">
        <v>4841</v>
      </c>
      <c r="D679" s="173" t="s">
        <v>4842</v>
      </c>
    </row>
    <row r="680" ht="16.5" spans="1:4">
      <c r="A680" s="173" t="s">
        <v>5578</v>
      </c>
      <c r="B680" s="173" t="s">
        <v>4840</v>
      </c>
      <c r="C680" s="173" t="s">
        <v>4841</v>
      </c>
      <c r="D680" s="173" t="s">
        <v>4842</v>
      </c>
    </row>
    <row r="681" ht="16.5" spans="1:4">
      <c r="A681" s="173" t="s">
        <v>5579</v>
      </c>
      <c r="B681" s="173" t="s">
        <v>5579</v>
      </c>
      <c r="C681" s="173" t="s">
        <v>4841</v>
      </c>
      <c r="D681" s="173" t="s">
        <v>5580</v>
      </c>
    </row>
    <row r="682" ht="16.5" spans="1:4">
      <c r="A682" s="173" t="s">
        <v>5581</v>
      </c>
      <c r="B682" s="173" t="s">
        <v>4840</v>
      </c>
      <c r="C682" s="173" t="s">
        <v>4841</v>
      </c>
      <c r="D682" s="173" t="s">
        <v>4842</v>
      </c>
    </row>
    <row r="683" ht="16.5" spans="1:4">
      <c r="A683" s="173" t="s">
        <v>5582</v>
      </c>
      <c r="B683" s="173" t="s">
        <v>4840</v>
      </c>
      <c r="C683" s="173" t="s">
        <v>4841</v>
      </c>
      <c r="D683" s="173" t="s">
        <v>4842</v>
      </c>
    </row>
    <row r="684" ht="16.5" spans="1:4">
      <c r="A684" s="173" t="s">
        <v>5583</v>
      </c>
      <c r="B684" s="173" t="s">
        <v>4840</v>
      </c>
      <c r="C684" s="173" t="s">
        <v>4841</v>
      </c>
      <c r="D684" s="173" t="s">
        <v>4842</v>
      </c>
    </row>
    <row r="685" ht="16.5" spans="1:4">
      <c r="A685" s="173" t="s">
        <v>5584</v>
      </c>
      <c r="B685" s="173" t="s">
        <v>4840</v>
      </c>
      <c r="C685" s="173" t="s">
        <v>4841</v>
      </c>
      <c r="D685" s="173" t="s">
        <v>4842</v>
      </c>
    </row>
    <row r="686" ht="16.5" spans="1:4">
      <c r="A686" s="173" t="s">
        <v>5585</v>
      </c>
      <c r="B686" s="173" t="s">
        <v>4840</v>
      </c>
      <c r="C686" s="173" t="s">
        <v>4841</v>
      </c>
      <c r="D686" s="173" t="s">
        <v>4842</v>
      </c>
    </row>
    <row r="687" ht="16.5" spans="1:4">
      <c r="A687" s="173" t="s">
        <v>5586</v>
      </c>
      <c r="B687" s="173" t="s">
        <v>4840</v>
      </c>
      <c r="C687" s="173" t="s">
        <v>4841</v>
      </c>
      <c r="D687" s="173" t="s">
        <v>4842</v>
      </c>
    </row>
    <row r="688" ht="16.5" spans="1:4">
      <c r="A688" s="173" t="s">
        <v>5587</v>
      </c>
      <c r="B688" s="173" t="s">
        <v>4840</v>
      </c>
      <c r="C688" s="173" t="s">
        <v>4841</v>
      </c>
      <c r="D688" s="173" t="s">
        <v>4842</v>
      </c>
    </row>
    <row r="689" ht="16.5" spans="1:4">
      <c r="A689" s="173" t="s">
        <v>5588</v>
      </c>
      <c r="B689" s="173" t="s">
        <v>4840</v>
      </c>
      <c r="C689" s="173" t="s">
        <v>4841</v>
      </c>
      <c r="D689" s="173" t="s">
        <v>4842</v>
      </c>
    </row>
    <row r="690" ht="16.5" spans="1:4">
      <c r="A690" s="173" t="s">
        <v>5589</v>
      </c>
      <c r="B690" s="173" t="s">
        <v>4840</v>
      </c>
      <c r="C690" s="173" t="s">
        <v>4841</v>
      </c>
      <c r="D690" s="173" t="s">
        <v>4842</v>
      </c>
    </row>
    <row r="691" ht="16.5" spans="1:4">
      <c r="A691" s="173" t="s">
        <v>5590</v>
      </c>
      <c r="B691" s="173" t="s">
        <v>4840</v>
      </c>
      <c r="C691" s="173" t="s">
        <v>4841</v>
      </c>
      <c r="D691" s="173" t="s">
        <v>4842</v>
      </c>
    </row>
    <row r="692" ht="16.5" spans="1:4">
      <c r="A692" s="173" t="s">
        <v>5591</v>
      </c>
      <c r="B692" s="173" t="s">
        <v>5591</v>
      </c>
      <c r="C692" s="173" t="s">
        <v>4841</v>
      </c>
      <c r="D692" s="173" t="s">
        <v>5592</v>
      </c>
    </row>
    <row r="693" ht="16.5" spans="1:4">
      <c r="A693" s="173" t="s">
        <v>5593</v>
      </c>
      <c r="B693" s="173" t="s">
        <v>4840</v>
      </c>
      <c r="C693" s="173" t="s">
        <v>4841</v>
      </c>
      <c r="D693" s="173" t="s">
        <v>4842</v>
      </c>
    </row>
    <row r="694" ht="16.5" spans="1:4">
      <c r="A694" s="173" t="s">
        <v>5594</v>
      </c>
      <c r="B694" s="173" t="s">
        <v>4840</v>
      </c>
      <c r="C694" s="173" t="s">
        <v>4841</v>
      </c>
      <c r="D694" s="173" t="s">
        <v>4842</v>
      </c>
    </row>
    <row r="695" ht="16.5" spans="1:4">
      <c r="A695" s="173" t="s">
        <v>5595</v>
      </c>
      <c r="B695" s="173" t="s">
        <v>4840</v>
      </c>
      <c r="C695" s="173" t="s">
        <v>4841</v>
      </c>
      <c r="D695" s="173" t="s">
        <v>4842</v>
      </c>
    </row>
    <row r="696" ht="16.5" spans="1:4">
      <c r="A696" s="173" t="s">
        <v>5596</v>
      </c>
      <c r="B696" s="173" t="s">
        <v>5596</v>
      </c>
      <c r="C696" s="173" t="s">
        <v>4841</v>
      </c>
      <c r="D696" s="173" t="s">
        <v>5597</v>
      </c>
    </row>
    <row r="697" ht="16.5" spans="1:4">
      <c r="A697" s="173" t="s">
        <v>5598</v>
      </c>
      <c r="B697" s="173" t="s">
        <v>5598</v>
      </c>
      <c r="C697" s="173" t="s">
        <v>4841</v>
      </c>
      <c r="D697" s="173" t="s">
        <v>5599</v>
      </c>
    </row>
    <row r="698" ht="16.5" spans="1:4">
      <c r="A698" s="173" t="s">
        <v>5600</v>
      </c>
      <c r="B698" s="173" t="s">
        <v>5600</v>
      </c>
      <c r="C698" s="173" t="s">
        <v>4841</v>
      </c>
      <c r="D698" s="173" t="s">
        <v>5601</v>
      </c>
    </row>
    <row r="699" ht="16.5" spans="1:4">
      <c r="A699" s="173" t="s">
        <v>5602</v>
      </c>
      <c r="B699" s="173" t="s">
        <v>5602</v>
      </c>
      <c r="C699" s="173" t="s">
        <v>4841</v>
      </c>
      <c r="D699" s="173" t="s">
        <v>5603</v>
      </c>
    </row>
    <row r="700" ht="16.5" spans="1:4">
      <c r="A700" s="173" t="s">
        <v>5604</v>
      </c>
      <c r="B700" s="173" t="s">
        <v>5604</v>
      </c>
      <c r="C700" s="173" t="s">
        <v>4841</v>
      </c>
      <c r="D700" s="173" t="s">
        <v>5605</v>
      </c>
    </row>
    <row r="701" ht="16.5" spans="1:4">
      <c r="A701" s="173" t="s">
        <v>5606</v>
      </c>
      <c r="B701" s="173" t="s">
        <v>5606</v>
      </c>
      <c r="C701" s="173" t="s">
        <v>4841</v>
      </c>
      <c r="D701" s="173" t="s">
        <v>5607</v>
      </c>
    </row>
    <row r="702" ht="16.5" spans="1:4">
      <c r="A702" s="173" t="s">
        <v>5608</v>
      </c>
      <c r="B702" s="173" t="s">
        <v>5608</v>
      </c>
      <c r="C702" s="173" t="s">
        <v>4841</v>
      </c>
      <c r="D702" s="173" t="s">
        <v>5609</v>
      </c>
    </row>
    <row r="703" ht="16.5" spans="1:4">
      <c r="A703" s="173" t="s">
        <v>5610</v>
      </c>
      <c r="B703" s="173" t="s">
        <v>5610</v>
      </c>
      <c r="C703" s="173" t="s">
        <v>4841</v>
      </c>
      <c r="D703" s="173" t="s">
        <v>5611</v>
      </c>
    </row>
    <row r="704" ht="16.5" spans="1:4">
      <c r="A704" s="173" t="s">
        <v>5612</v>
      </c>
      <c r="B704" s="173" t="s">
        <v>5612</v>
      </c>
      <c r="C704" s="173" t="s">
        <v>4841</v>
      </c>
      <c r="D704" s="173" t="s">
        <v>5613</v>
      </c>
    </row>
    <row r="705" ht="16.5" spans="1:4">
      <c r="A705" s="173" t="s">
        <v>5614</v>
      </c>
      <c r="B705" s="173" t="s">
        <v>5614</v>
      </c>
      <c r="C705" s="173" t="s">
        <v>4841</v>
      </c>
      <c r="D705" s="173" t="s">
        <v>5615</v>
      </c>
    </row>
    <row r="706" ht="16.5" spans="1:4">
      <c r="A706" s="173" t="s">
        <v>5616</v>
      </c>
      <c r="B706" s="173" t="s">
        <v>5616</v>
      </c>
      <c r="C706" s="173" t="s">
        <v>4841</v>
      </c>
      <c r="D706" s="173" t="s">
        <v>5617</v>
      </c>
    </row>
    <row r="707" ht="16.5" spans="1:4">
      <c r="A707" s="173" t="s">
        <v>5618</v>
      </c>
      <c r="B707" s="173" t="s">
        <v>5618</v>
      </c>
      <c r="C707" s="173" t="s">
        <v>4841</v>
      </c>
      <c r="D707" s="173" t="s">
        <v>5619</v>
      </c>
    </row>
    <row r="708" ht="16.5" spans="1:4">
      <c r="A708" s="173" t="s">
        <v>5620</v>
      </c>
      <c r="B708" s="173" t="s">
        <v>5620</v>
      </c>
      <c r="C708" s="173" t="s">
        <v>4841</v>
      </c>
      <c r="D708" s="173" t="s">
        <v>5621</v>
      </c>
    </row>
    <row r="709" ht="16.5" spans="1:4">
      <c r="A709" s="173" t="s">
        <v>5622</v>
      </c>
      <c r="B709" s="173" t="s">
        <v>5622</v>
      </c>
      <c r="C709" s="173" t="s">
        <v>4841</v>
      </c>
      <c r="D709" s="173" t="s">
        <v>5623</v>
      </c>
    </row>
    <row r="710" ht="16.5" spans="1:4">
      <c r="A710" s="173" t="s">
        <v>5624</v>
      </c>
      <c r="B710" s="173" t="s">
        <v>5625</v>
      </c>
      <c r="C710" s="173" t="s">
        <v>4841</v>
      </c>
      <c r="D710" s="173" t="s">
        <v>5626</v>
      </c>
    </row>
    <row r="711" ht="16.5" spans="1:4">
      <c r="A711" s="173" t="s">
        <v>5627</v>
      </c>
      <c r="B711" s="173" t="s">
        <v>5625</v>
      </c>
      <c r="C711" s="173" t="s">
        <v>4841</v>
      </c>
      <c r="D711" s="173" t="s">
        <v>5626</v>
      </c>
    </row>
    <row r="712" ht="16.5" spans="1:4">
      <c r="A712" s="173" t="s">
        <v>5625</v>
      </c>
      <c r="B712" s="173" t="s">
        <v>5625</v>
      </c>
      <c r="C712" s="173" t="s">
        <v>4841</v>
      </c>
      <c r="D712" s="173" t="s">
        <v>5626</v>
      </c>
    </row>
    <row r="713" ht="16.5" spans="1:4">
      <c r="A713" s="173" t="s">
        <v>5628</v>
      </c>
      <c r="B713" s="173" t="s">
        <v>5628</v>
      </c>
      <c r="C713" s="173" t="s">
        <v>4841</v>
      </c>
      <c r="D713" s="173" t="s">
        <v>5629</v>
      </c>
    </row>
    <row r="714" ht="16.5" spans="1:4">
      <c r="A714" s="173" t="s">
        <v>5630</v>
      </c>
      <c r="B714" s="173" t="s">
        <v>5630</v>
      </c>
      <c r="C714" s="173" t="s">
        <v>4841</v>
      </c>
      <c r="D714" s="173" t="s">
        <v>5631</v>
      </c>
    </row>
    <row r="715" ht="16.5" spans="1:4">
      <c r="A715" s="173" t="s">
        <v>5632</v>
      </c>
      <c r="B715" s="173" t="s">
        <v>5632</v>
      </c>
      <c r="C715" s="173" t="s">
        <v>4841</v>
      </c>
      <c r="D715" s="173" t="s">
        <v>5633</v>
      </c>
    </row>
    <row r="716" ht="16.5" spans="1:4">
      <c r="A716" s="173" t="s">
        <v>5634</v>
      </c>
      <c r="B716" s="173" t="s">
        <v>5634</v>
      </c>
      <c r="C716" s="173" t="s">
        <v>4841</v>
      </c>
      <c r="D716" s="173" t="s">
        <v>5635</v>
      </c>
    </row>
    <row r="717" ht="16.5" spans="1:4">
      <c r="A717" s="173" t="s">
        <v>5636</v>
      </c>
      <c r="B717" s="173" t="s">
        <v>5636</v>
      </c>
      <c r="C717" s="173" t="s">
        <v>4841</v>
      </c>
      <c r="D717" s="173" t="s">
        <v>5637</v>
      </c>
    </row>
    <row r="718" ht="16.5" spans="1:4">
      <c r="A718" s="173" t="s">
        <v>5638</v>
      </c>
      <c r="B718" s="173" t="s">
        <v>5638</v>
      </c>
      <c r="C718" s="173" t="s">
        <v>4841</v>
      </c>
      <c r="D718" s="173" t="s">
        <v>5639</v>
      </c>
    </row>
    <row r="719" ht="16.5" spans="1:4">
      <c r="A719" s="173" t="s">
        <v>5640</v>
      </c>
      <c r="B719" s="173" t="s">
        <v>5640</v>
      </c>
      <c r="C719" s="173" t="s">
        <v>4841</v>
      </c>
      <c r="D719" s="173" t="s">
        <v>5641</v>
      </c>
    </row>
    <row r="720" ht="16.5" spans="1:4">
      <c r="A720" s="173" t="s">
        <v>5642</v>
      </c>
      <c r="B720" s="173" t="s">
        <v>5643</v>
      </c>
      <c r="C720" s="173" t="s">
        <v>4841</v>
      </c>
      <c r="D720" s="173" t="s">
        <v>5644</v>
      </c>
    </row>
    <row r="721" ht="16.5" spans="1:4">
      <c r="A721" s="173" t="s">
        <v>5643</v>
      </c>
      <c r="B721" s="173" t="s">
        <v>5643</v>
      </c>
      <c r="C721" s="173" t="s">
        <v>4841</v>
      </c>
      <c r="D721" s="173" t="s">
        <v>5644</v>
      </c>
    </row>
    <row r="722" ht="16.5" spans="1:4">
      <c r="A722" s="173" t="s">
        <v>5645</v>
      </c>
      <c r="B722" s="173" t="s">
        <v>5645</v>
      </c>
      <c r="C722" s="173" t="s">
        <v>4841</v>
      </c>
      <c r="D722" s="173" t="s">
        <v>5646</v>
      </c>
    </row>
    <row r="723" ht="16.5" spans="1:4">
      <c r="A723" s="173" t="s">
        <v>5647</v>
      </c>
      <c r="B723" s="173" t="s">
        <v>5647</v>
      </c>
      <c r="C723" s="173" t="s">
        <v>4841</v>
      </c>
      <c r="D723" s="173" t="s">
        <v>5648</v>
      </c>
    </row>
    <row r="724" ht="16.5" spans="1:4">
      <c r="A724" s="173" t="s">
        <v>5649</v>
      </c>
      <c r="B724" s="173" t="s">
        <v>5649</v>
      </c>
      <c r="C724" s="173" t="s">
        <v>4841</v>
      </c>
      <c r="D724" s="173" t="s">
        <v>5650</v>
      </c>
    </row>
    <row r="725" ht="16.5" spans="1:4">
      <c r="A725" s="173" t="s">
        <v>5651</v>
      </c>
      <c r="B725" s="173" t="s">
        <v>5652</v>
      </c>
      <c r="C725" s="173" t="s">
        <v>4841</v>
      </c>
      <c r="D725" s="173" t="s">
        <v>5653</v>
      </c>
    </row>
    <row r="726" ht="16.5" spans="1:4">
      <c r="A726" s="173" t="s">
        <v>5652</v>
      </c>
      <c r="B726" s="173" t="s">
        <v>5652</v>
      </c>
      <c r="C726" s="173" t="s">
        <v>4841</v>
      </c>
      <c r="D726" s="173" t="s">
        <v>5653</v>
      </c>
    </row>
    <row r="727" ht="16.5" spans="1:4">
      <c r="A727" s="173" t="s">
        <v>5654</v>
      </c>
      <c r="B727" s="173" t="s">
        <v>5654</v>
      </c>
      <c r="C727" s="173" t="s">
        <v>4841</v>
      </c>
      <c r="D727" s="173" t="s">
        <v>5655</v>
      </c>
    </row>
    <row r="728" ht="16.5" spans="1:4">
      <c r="A728" s="173" t="s">
        <v>5656</v>
      </c>
      <c r="B728" s="173" t="s">
        <v>5656</v>
      </c>
      <c r="C728" s="173" t="s">
        <v>4841</v>
      </c>
      <c r="D728" s="173" t="s">
        <v>5657</v>
      </c>
    </row>
    <row r="729" ht="16.5" spans="1:4">
      <c r="A729" s="173" t="s">
        <v>5658</v>
      </c>
      <c r="B729" s="173" t="s">
        <v>5658</v>
      </c>
      <c r="C729" s="173" t="s">
        <v>4841</v>
      </c>
      <c r="D729" s="173" t="s">
        <v>5659</v>
      </c>
    </row>
    <row r="730" ht="16.5" spans="1:4">
      <c r="A730" s="173" t="s">
        <v>5660</v>
      </c>
      <c r="B730" s="173" t="s">
        <v>5660</v>
      </c>
      <c r="C730" s="173" t="s">
        <v>4841</v>
      </c>
      <c r="D730" s="173" t="s">
        <v>5661</v>
      </c>
    </row>
    <row r="731" ht="16.5" spans="1:4">
      <c r="A731" s="173" t="s">
        <v>5662</v>
      </c>
      <c r="B731" s="173" t="s">
        <v>5662</v>
      </c>
      <c r="C731" s="173" t="s">
        <v>4841</v>
      </c>
      <c r="D731" s="173" t="s">
        <v>5663</v>
      </c>
    </row>
    <row r="732" ht="16.5" spans="1:4">
      <c r="A732" s="173" t="s">
        <v>5664</v>
      </c>
      <c r="B732" s="173" t="s">
        <v>5664</v>
      </c>
      <c r="C732" s="173" t="s">
        <v>4841</v>
      </c>
      <c r="D732" s="173" t="s">
        <v>5665</v>
      </c>
    </row>
    <row r="733" ht="16.5" spans="1:4">
      <c r="A733" s="173" t="s">
        <v>5666</v>
      </c>
      <c r="B733" s="173" t="s">
        <v>5666</v>
      </c>
      <c r="C733" s="173" t="s">
        <v>4841</v>
      </c>
      <c r="D733" s="173" t="s">
        <v>5667</v>
      </c>
    </row>
    <row r="734" ht="16.5" spans="1:4">
      <c r="A734" s="173" t="s">
        <v>5668</v>
      </c>
      <c r="B734" s="173" t="s">
        <v>5668</v>
      </c>
      <c r="C734" s="173" t="s">
        <v>4841</v>
      </c>
      <c r="D734" s="173" t="s">
        <v>5669</v>
      </c>
    </row>
    <row r="735" ht="16.5" spans="1:4">
      <c r="A735" s="173" t="s">
        <v>5670</v>
      </c>
      <c r="B735" s="173" t="s">
        <v>5670</v>
      </c>
      <c r="C735" s="173" t="s">
        <v>4841</v>
      </c>
      <c r="D735" s="173" t="s">
        <v>5671</v>
      </c>
    </row>
    <row r="736" ht="16.5" spans="1:4">
      <c r="A736" s="173" t="s">
        <v>5672</v>
      </c>
      <c r="B736" s="173" t="s">
        <v>5672</v>
      </c>
      <c r="C736" s="173" t="s">
        <v>4841</v>
      </c>
      <c r="D736" s="173" t="s">
        <v>5673</v>
      </c>
    </row>
    <row r="737" ht="16.5" spans="1:4">
      <c r="A737" s="173" t="s">
        <v>5674</v>
      </c>
      <c r="B737" s="173" t="s">
        <v>5674</v>
      </c>
      <c r="C737" s="173" t="s">
        <v>4841</v>
      </c>
      <c r="D737" s="173" t="s">
        <v>5675</v>
      </c>
    </row>
    <row r="738" ht="16.5" spans="1:4">
      <c r="A738" s="173" t="s">
        <v>5676</v>
      </c>
      <c r="B738" s="173" t="s">
        <v>5676</v>
      </c>
      <c r="C738" s="173" t="s">
        <v>4841</v>
      </c>
      <c r="D738" s="173" t="s">
        <v>5677</v>
      </c>
    </row>
    <row r="739" ht="16.5" spans="1:4">
      <c r="A739" s="173" t="s">
        <v>5678</v>
      </c>
      <c r="B739" s="173" t="s">
        <v>5678</v>
      </c>
      <c r="C739" s="173" t="s">
        <v>4841</v>
      </c>
      <c r="D739" s="173" t="s">
        <v>5679</v>
      </c>
    </row>
    <row r="740" ht="16.5" spans="1:4">
      <c r="A740" s="173" t="s">
        <v>5680</v>
      </c>
      <c r="B740" s="173" t="s">
        <v>5680</v>
      </c>
      <c r="C740" s="173" t="s">
        <v>4841</v>
      </c>
      <c r="D740" s="173" t="s">
        <v>5681</v>
      </c>
    </row>
    <row r="741" ht="16.5" spans="1:4">
      <c r="A741" s="173" t="s">
        <v>5682</v>
      </c>
      <c r="B741" s="173" t="s">
        <v>5682</v>
      </c>
      <c r="C741" s="173" t="s">
        <v>4841</v>
      </c>
      <c r="D741" s="173" t="s">
        <v>5683</v>
      </c>
    </row>
    <row r="742" ht="16.5" spans="1:4">
      <c r="A742" s="173" t="s">
        <v>5684</v>
      </c>
      <c r="B742" s="173" t="s">
        <v>5684</v>
      </c>
      <c r="C742" s="173" t="s">
        <v>4841</v>
      </c>
      <c r="D742" s="173" t="s">
        <v>5685</v>
      </c>
    </row>
    <row r="743" ht="16.5" spans="1:4">
      <c r="A743" s="173" t="s">
        <v>5686</v>
      </c>
      <c r="B743" s="173" t="s">
        <v>5686</v>
      </c>
      <c r="C743" s="173" t="s">
        <v>4841</v>
      </c>
      <c r="D743" s="173" t="s">
        <v>5687</v>
      </c>
    </row>
    <row r="744" ht="16.5" spans="1:4">
      <c r="A744" s="173" t="s">
        <v>5688</v>
      </c>
      <c r="B744" s="173" t="s">
        <v>5688</v>
      </c>
      <c r="C744" s="173" t="s">
        <v>4841</v>
      </c>
      <c r="D744" s="173" t="s">
        <v>5689</v>
      </c>
    </row>
    <row r="745" ht="16.5" spans="1:4">
      <c r="A745" s="173" t="s">
        <v>5690</v>
      </c>
      <c r="B745" s="173" t="s">
        <v>5690</v>
      </c>
      <c r="C745" s="173" t="s">
        <v>4841</v>
      </c>
      <c r="D745" s="173" t="s">
        <v>5691</v>
      </c>
    </row>
    <row r="746" ht="16.5" spans="1:4">
      <c r="A746" s="173" t="s">
        <v>5692</v>
      </c>
      <c r="B746" s="173" t="s">
        <v>5692</v>
      </c>
      <c r="C746" s="173" t="s">
        <v>4841</v>
      </c>
      <c r="D746" s="173" t="s">
        <v>5693</v>
      </c>
    </row>
    <row r="747" ht="16.5" spans="1:4">
      <c r="A747" s="173" t="s">
        <v>5694</v>
      </c>
      <c r="B747" s="173" t="s">
        <v>5694</v>
      </c>
      <c r="C747" s="173" t="s">
        <v>4841</v>
      </c>
      <c r="D747" s="173" t="s">
        <v>5695</v>
      </c>
    </row>
    <row r="748" ht="16.5" spans="1:4">
      <c r="A748" s="173" t="s">
        <v>5696</v>
      </c>
      <c r="B748" s="173" t="s">
        <v>5696</v>
      </c>
      <c r="C748" s="173" t="s">
        <v>4841</v>
      </c>
      <c r="D748" s="173" t="s">
        <v>5697</v>
      </c>
    </row>
    <row r="749" ht="16.5" spans="1:4">
      <c r="A749" s="173" t="s">
        <v>5698</v>
      </c>
      <c r="B749" s="173" t="s">
        <v>5698</v>
      </c>
      <c r="C749" s="173" t="s">
        <v>4841</v>
      </c>
      <c r="D749" s="173" t="s">
        <v>5699</v>
      </c>
    </row>
    <row r="750" ht="16.5" spans="1:4">
      <c r="A750" s="173" t="s">
        <v>5700</v>
      </c>
      <c r="B750" s="173" t="s">
        <v>5700</v>
      </c>
      <c r="C750" s="173" t="s">
        <v>4841</v>
      </c>
      <c r="D750" s="173" t="s">
        <v>5701</v>
      </c>
    </row>
    <row r="751" ht="16.5" spans="1:4">
      <c r="A751" s="173" t="s">
        <v>5702</v>
      </c>
      <c r="B751" s="173" t="s">
        <v>5702</v>
      </c>
      <c r="C751" s="173" t="s">
        <v>4841</v>
      </c>
      <c r="D751" s="173" t="s">
        <v>5703</v>
      </c>
    </row>
    <row r="752" ht="16.5" spans="1:4">
      <c r="A752" s="173" t="s">
        <v>5704</v>
      </c>
      <c r="B752" s="173" t="s">
        <v>5704</v>
      </c>
      <c r="C752" s="173" t="s">
        <v>4841</v>
      </c>
      <c r="D752" s="173" t="s">
        <v>5705</v>
      </c>
    </row>
    <row r="753" ht="16.5" spans="1:4">
      <c r="A753" s="173" t="s">
        <v>5706</v>
      </c>
      <c r="B753" s="173" t="s">
        <v>5706</v>
      </c>
      <c r="C753" s="173" t="s">
        <v>4841</v>
      </c>
      <c r="D753" s="173" t="s">
        <v>5707</v>
      </c>
    </row>
    <row r="754" ht="16.5" spans="1:4">
      <c r="A754" s="173" t="s">
        <v>5708</v>
      </c>
      <c r="B754" s="173" t="s">
        <v>5708</v>
      </c>
      <c r="C754" s="173" t="s">
        <v>4841</v>
      </c>
      <c r="D754" s="173" t="s">
        <v>5709</v>
      </c>
    </row>
    <row r="755" ht="16.5" spans="1:4">
      <c r="A755" s="173" t="s">
        <v>5710</v>
      </c>
      <c r="B755" s="173" t="s">
        <v>5710</v>
      </c>
      <c r="C755" s="173" t="s">
        <v>4841</v>
      </c>
      <c r="D755" s="173" t="s">
        <v>5711</v>
      </c>
    </row>
    <row r="756" ht="16.5" spans="1:4">
      <c r="A756" s="173" t="s">
        <v>5712</v>
      </c>
      <c r="B756" s="173" t="s">
        <v>5712</v>
      </c>
      <c r="C756" s="173" t="s">
        <v>4841</v>
      </c>
      <c r="D756" s="173" t="s">
        <v>5713</v>
      </c>
    </row>
    <row r="757" ht="16.5" spans="1:4">
      <c r="A757" s="173" t="s">
        <v>5714</v>
      </c>
      <c r="B757" s="173" t="s">
        <v>5714</v>
      </c>
      <c r="C757" s="173" t="s">
        <v>4841</v>
      </c>
      <c r="D757" s="173" t="s">
        <v>5715</v>
      </c>
    </row>
    <row r="758" ht="16.5" spans="1:4">
      <c r="A758" s="173" t="s">
        <v>5716</v>
      </c>
      <c r="B758" s="173" t="s">
        <v>5717</v>
      </c>
      <c r="C758" s="173" t="s">
        <v>4841</v>
      </c>
      <c r="D758" s="173" t="s">
        <v>5718</v>
      </c>
    </row>
    <row r="759" ht="16.5" spans="1:4">
      <c r="A759" s="173" t="s">
        <v>5717</v>
      </c>
      <c r="B759" s="173" t="s">
        <v>5717</v>
      </c>
      <c r="C759" s="173" t="s">
        <v>4841</v>
      </c>
      <c r="D759" s="173" t="s">
        <v>5718</v>
      </c>
    </row>
    <row r="760" ht="16.5" spans="1:4">
      <c r="A760" s="173" t="s">
        <v>5719</v>
      </c>
      <c r="B760" s="173" t="s">
        <v>5719</v>
      </c>
      <c r="C760" s="173" t="s">
        <v>4841</v>
      </c>
      <c r="D760" s="173" t="s">
        <v>5720</v>
      </c>
    </row>
    <row r="761" ht="16.5" spans="1:4">
      <c r="A761" s="173" t="s">
        <v>5721</v>
      </c>
      <c r="B761" s="173" t="s">
        <v>5722</v>
      </c>
      <c r="C761" s="173" t="s">
        <v>4841</v>
      </c>
      <c r="D761" s="173" t="s">
        <v>5723</v>
      </c>
    </row>
    <row r="762" ht="16.5" spans="1:4">
      <c r="A762" s="173" t="s">
        <v>5722</v>
      </c>
      <c r="B762" s="173" t="s">
        <v>5722</v>
      </c>
      <c r="C762" s="173" t="s">
        <v>4841</v>
      </c>
      <c r="D762" s="173" t="s">
        <v>5723</v>
      </c>
    </row>
    <row r="763" ht="16.5" spans="1:4">
      <c r="A763" s="173" t="s">
        <v>5724</v>
      </c>
      <c r="B763" s="173" t="s">
        <v>5724</v>
      </c>
      <c r="C763" s="173" t="s">
        <v>4841</v>
      </c>
      <c r="D763" s="173" t="s">
        <v>5725</v>
      </c>
    </row>
    <row r="764" ht="16.5" spans="1:4">
      <c r="A764" s="173" t="s">
        <v>5726</v>
      </c>
      <c r="B764" s="173" t="s">
        <v>5726</v>
      </c>
      <c r="C764" s="173" t="s">
        <v>4841</v>
      </c>
      <c r="D764" s="173" t="s">
        <v>5727</v>
      </c>
    </row>
    <row r="765" ht="16.5" spans="1:4">
      <c r="A765" s="173" t="s">
        <v>5728</v>
      </c>
      <c r="B765" s="173" t="s">
        <v>5728</v>
      </c>
      <c r="C765" s="173" t="s">
        <v>4841</v>
      </c>
      <c r="D765" s="173" t="s">
        <v>5729</v>
      </c>
    </row>
    <row r="766" ht="16.5" spans="1:4">
      <c r="A766" s="173" t="s">
        <v>5730</v>
      </c>
      <c r="B766" s="173" t="s">
        <v>5730</v>
      </c>
      <c r="C766" s="173" t="s">
        <v>4841</v>
      </c>
      <c r="D766" s="173" t="s">
        <v>5731</v>
      </c>
    </row>
    <row r="767" ht="16.5" spans="1:4">
      <c r="A767" s="173" t="s">
        <v>5732</v>
      </c>
      <c r="B767" s="173" t="s">
        <v>5732</v>
      </c>
      <c r="C767" s="173" t="s">
        <v>4841</v>
      </c>
      <c r="D767" s="173" t="s">
        <v>5733</v>
      </c>
    </row>
    <row r="768" ht="16.5" spans="1:4">
      <c r="A768" s="173" t="s">
        <v>5734</v>
      </c>
      <c r="B768" s="173" t="s">
        <v>5734</v>
      </c>
      <c r="C768" s="173" t="s">
        <v>4841</v>
      </c>
      <c r="D768" s="173" t="s">
        <v>5735</v>
      </c>
    </row>
    <row r="769" ht="16.5" spans="1:4">
      <c r="A769" s="173" t="s">
        <v>5736</v>
      </c>
      <c r="B769" s="173" t="s">
        <v>5736</v>
      </c>
      <c r="C769" s="173" t="s">
        <v>4841</v>
      </c>
      <c r="D769" s="173" t="s">
        <v>5737</v>
      </c>
    </row>
    <row r="770" ht="16.5" spans="1:4">
      <c r="A770" s="173" t="s">
        <v>5738</v>
      </c>
      <c r="B770" s="173" t="s">
        <v>5739</v>
      </c>
      <c r="C770" s="173" t="s">
        <v>4841</v>
      </c>
      <c r="D770" s="173" t="s">
        <v>5740</v>
      </c>
    </row>
    <row r="771" ht="16.5" spans="1:4">
      <c r="A771" s="173" t="s">
        <v>5741</v>
      </c>
      <c r="B771" s="173" t="s">
        <v>5739</v>
      </c>
      <c r="C771" s="173" t="s">
        <v>4841</v>
      </c>
      <c r="D771" s="173" t="s">
        <v>5740</v>
      </c>
    </row>
    <row r="772" ht="16.5" spans="1:4">
      <c r="A772" s="173" t="s">
        <v>5742</v>
      </c>
      <c r="B772" s="173" t="s">
        <v>5739</v>
      </c>
      <c r="C772" s="173" t="s">
        <v>4841</v>
      </c>
      <c r="D772" s="173" t="s">
        <v>5740</v>
      </c>
    </row>
    <row r="773" ht="16.5" spans="1:4">
      <c r="A773" s="173" t="s">
        <v>5743</v>
      </c>
      <c r="B773" s="173" t="s">
        <v>5739</v>
      </c>
      <c r="C773" s="173" t="s">
        <v>4841</v>
      </c>
      <c r="D773" s="173" t="s">
        <v>5740</v>
      </c>
    </row>
    <row r="774" ht="16.5" spans="1:4">
      <c r="A774" s="173" t="s">
        <v>5744</v>
      </c>
      <c r="B774" s="173" t="s">
        <v>5739</v>
      </c>
      <c r="C774" s="173" t="s">
        <v>4841</v>
      </c>
      <c r="D774" s="173" t="s">
        <v>5740</v>
      </c>
    </row>
    <row r="775" ht="16.5" spans="1:4">
      <c r="A775" s="173" t="s">
        <v>5739</v>
      </c>
      <c r="B775" s="173" t="s">
        <v>5739</v>
      </c>
      <c r="C775" s="173" t="s">
        <v>4841</v>
      </c>
      <c r="D775" s="173" t="s">
        <v>5740</v>
      </c>
    </row>
    <row r="776" ht="16.5" spans="1:4">
      <c r="A776" s="173" t="s">
        <v>5745</v>
      </c>
      <c r="B776" s="173" t="s">
        <v>5745</v>
      </c>
      <c r="C776" s="173" t="s">
        <v>4841</v>
      </c>
      <c r="D776" s="173" t="s">
        <v>5746</v>
      </c>
    </row>
    <row r="777" ht="16.5" spans="1:4">
      <c r="A777" s="173" t="s">
        <v>5747</v>
      </c>
      <c r="B777" s="173" t="s">
        <v>5747</v>
      </c>
      <c r="C777" s="173" t="s">
        <v>4841</v>
      </c>
      <c r="D777" s="173" t="s">
        <v>5748</v>
      </c>
    </row>
    <row r="778" ht="16.5" spans="1:4">
      <c r="A778" s="173" t="s">
        <v>5749</v>
      </c>
      <c r="B778" s="173" t="s">
        <v>5749</v>
      </c>
      <c r="C778" s="173" t="s">
        <v>4841</v>
      </c>
      <c r="D778" s="173" t="s">
        <v>5750</v>
      </c>
    </row>
    <row r="779" ht="16.5" spans="1:4">
      <c r="A779" s="173" t="s">
        <v>5751</v>
      </c>
      <c r="B779" s="173" t="s">
        <v>5752</v>
      </c>
      <c r="C779" s="173" t="s">
        <v>4841</v>
      </c>
      <c r="D779" s="173" t="s">
        <v>5753</v>
      </c>
    </row>
    <row r="780" ht="16.5" spans="1:4">
      <c r="A780" s="173" t="s">
        <v>5752</v>
      </c>
      <c r="B780" s="173" t="s">
        <v>5752</v>
      </c>
      <c r="C780" s="173" t="s">
        <v>4841</v>
      </c>
      <c r="D780" s="173" t="s">
        <v>5753</v>
      </c>
    </row>
    <row r="781" ht="16.5" spans="1:4">
      <c r="A781" s="173" t="s">
        <v>5754</v>
      </c>
      <c r="B781" s="173" t="s">
        <v>5754</v>
      </c>
      <c r="C781" s="173" t="s">
        <v>4841</v>
      </c>
      <c r="D781" s="173" t="s">
        <v>5755</v>
      </c>
    </row>
    <row r="782" ht="16.5" spans="1:4">
      <c r="A782" s="173" t="s">
        <v>5756</v>
      </c>
      <c r="B782" s="173" t="s">
        <v>5757</v>
      </c>
      <c r="C782" s="173" t="s">
        <v>4841</v>
      </c>
      <c r="D782" s="173" t="s">
        <v>5758</v>
      </c>
    </row>
    <row r="783" ht="16.5" spans="1:4">
      <c r="A783" s="173" t="s">
        <v>5757</v>
      </c>
      <c r="B783" s="173" t="s">
        <v>5757</v>
      </c>
      <c r="C783" s="173" t="s">
        <v>4841</v>
      </c>
      <c r="D783" s="173" t="s">
        <v>5758</v>
      </c>
    </row>
    <row r="784" ht="16.5" spans="1:4">
      <c r="A784" s="173" t="s">
        <v>5759</v>
      </c>
      <c r="B784" s="173" t="s">
        <v>5759</v>
      </c>
      <c r="C784" s="173" t="s">
        <v>4841</v>
      </c>
      <c r="D784" s="173" t="s">
        <v>5760</v>
      </c>
    </row>
    <row r="785" ht="16.5" spans="1:4">
      <c r="A785" s="173" t="s">
        <v>5761</v>
      </c>
      <c r="B785" s="173" t="s">
        <v>5761</v>
      </c>
      <c r="C785" s="173" t="s">
        <v>4841</v>
      </c>
      <c r="D785" s="173" t="s">
        <v>5762</v>
      </c>
    </row>
    <row r="786" ht="16.5" spans="1:4">
      <c r="A786" s="173" t="s">
        <v>5763</v>
      </c>
      <c r="B786" s="173" t="s">
        <v>5764</v>
      </c>
      <c r="C786" s="173" t="s">
        <v>4841</v>
      </c>
      <c r="D786" s="173" t="s">
        <v>5765</v>
      </c>
    </row>
    <row r="787" ht="16.5" spans="1:4">
      <c r="A787" s="173" t="s">
        <v>5766</v>
      </c>
      <c r="B787" s="173" t="s">
        <v>5764</v>
      </c>
      <c r="C787" s="173" t="s">
        <v>4841</v>
      </c>
      <c r="D787" s="173" t="s">
        <v>5765</v>
      </c>
    </row>
    <row r="788" ht="16.5" spans="1:4">
      <c r="A788" s="173" t="s">
        <v>5767</v>
      </c>
      <c r="B788" s="173" t="s">
        <v>5764</v>
      </c>
      <c r="C788" s="173" t="s">
        <v>4841</v>
      </c>
      <c r="D788" s="173" t="s">
        <v>5765</v>
      </c>
    </row>
    <row r="789" ht="16.5" spans="1:4">
      <c r="A789" s="173" t="s">
        <v>5768</v>
      </c>
      <c r="B789" s="173" t="s">
        <v>5764</v>
      </c>
      <c r="C789" s="173" t="s">
        <v>4841</v>
      </c>
      <c r="D789" s="173" t="s">
        <v>5765</v>
      </c>
    </row>
    <row r="790" ht="16.5" spans="1:4">
      <c r="A790" s="173" t="s">
        <v>5769</v>
      </c>
      <c r="B790" s="173" t="s">
        <v>5764</v>
      </c>
      <c r="C790" s="173" t="s">
        <v>4841</v>
      </c>
      <c r="D790" s="173" t="s">
        <v>5765</v>
      </c>
    </row>
    <row r="791" ht="16.5" spans="1:4">
      <c r="A791" s="173" t="s">
        <v>5764</v>
      </c>
      <c r="B791" s="173" t="s">
        <v>5764</v>
      </c>
      <c r="C791" s="173" t="s">
        <v>4841</v>
      </c>
      <c r="D791" s="173" t="s">
        <v>5765</v>
      </c>
    </row>
    <row r="792" ht="16.5" spans="1:4">
      <c r="A792" s="173" t="s">
        <v>5770</v>
      </c>
      <c r="B792" s="173" t="s">
        <v>5770</v>
      </c>
      <c r="C792" s="173" t="s">
        <v>4841</v>
      </c>
      <c r="D792" s="173" t="s">
        <v>5771</v>
      </c>
    </row>
    <row r="793" ht="16.5" spans="1:4">
      <c r="A793" s="173" t="s">
        <v>5772</v>
      </c>
      <c r="B793" s="173" t="s">
        <v>5772</v>
      </c>
      <c r="C793" s="173" t="s">
        <v>4841</v>
      </c>
      <c r="D793" s="173" t="s">
        <v>5773</v>
      </c>
    </row>
    <row r="794" ht="16.5" spans="1:4">
      <c r="A794" s="173" t="s">
        <v>5774</v>
      </c>
      <c r="B794" s="173" t="s">
        <v>5774</v>
      </c>
      <c r="C794" s="173" t="s">
        <v>4841</v>
      </c>
      <c r="D794" s="173" t="s">
        <v>5775</v>
      </c>
    </row>
    <row r="795" ht="16.5" spans="1:4">
      <c r="A795" s="173" t="s">
        <v>5776</v>
      </c>
      <c r="B795" s="173" t="s">
        <v>5776</v>
      </c>
      <c r="C795" s="173" t="s">
        <v>4841</v>
      </c>
      <c r="D795" s="173" t="s">
        <v>5777</v>
      </c>
    </row>
    <row r="796" ht="16.5" spans="1:4">
      <c r="A796" s="173" t="s">
        <v>5778</v>
      </c>
      <c r="B796" s="173" t="s">
        <v>5778</v>
      </c>
      <c r="C796" s="173" t="s">
        <v>4841</v>
      </c>
      <c r="D796" s="173" t="s">
        <v>5779</v>
      </c>
    </row>
    <row r="797" ht="16.5" spans="1:4">
      <c r="A797" s="173" t="s">
        <v>5780</v>
      </c>
      <c r="B797" s="173" t="s">
        <v>5780</v>
      </c>
      <c r="C797" s="173" t="s">
        <v>4841</v>
      </c>
      <c r="D797" s="173" t="s">
        <v>5781</v>
      </c>
    </row>
    <row r="798" ht="16.5" spans="1:4">
      <c r="A798" s="173" t="s">
        <v>5782</v>
      </c>
      <c r="B798" s="173" t="s">
        <v>5782</v>
      </c>
      <c r="C798" s="173" t="s">
        <v>4841</v>
      </c>
      <c r="D798" s="173" t="s">
        <v>5783</v>
      </c>
    </row>
    <row r="799" ht="16.5" spans="1:4">
      <c r="A799" s="173" t="s">
        <v>5784</v>
      </c>
      <c r="B799" s="173" t="s">
        <v>5784</v>
      </c>
      <c r="C799" s="173" t="s">
        <v>4841</v>
      </c>
      <c r="D799" s="173" t="s">
        <v>5785</v>
      </c>
    </row>
    <row r="800" ht="16.5" spans="1:4">
      <c r="A800" s="173" t="s">
        <v>5786</v>
      </c>
      <c r="B800" s="173" t="s">
        <v>5786</v>
      </c>
      <c r="C800" s="173" t="s">
        <v>4841</v>
      </c>
      <c r="D800" s="173" t="s">
        <v>5787</v>
      </c>
    </row>
    <row r="801" ht="16.5" spans="1:4">
      <c r="A801" s="173" t="s">
        <v>5788</v>
      </c>
      <c r="B801" s="173" t="s">
        <v>5788</v>
      </c>
      <c r="C801" s="173" t="s">
        <v>4841</v>
      </c>
      <c r="D801" s="173" t="s">
        <v>5789</v>
      </c>
    </row>
    <row r="802" ht="16.5" spans="1:4">
      <c r="A802" s="173" t="s">
        <v>5790</v>
      </c>
      <c r="B802" s="173" t="s">
        <v>5790</v>
      </c>
      <c r="C802" s="173" t="s">
        <v>4841</v>
      </c>
      <c r="D802" s="173" t="s">
        <v>5791</v>
      </c>
    </row>
    <row r="803" ht="16.5" spans="1:4">
      <c r="A803" s="173" t="s">
        <v>5792</v>
      </c>
      <c r="B803" s="173" t="s">
        <v>5792</v>
      </c>
      <c r="C803" s="173" t="s">
        <v>4841</v>
      </c>
      <c r="D803" s="173" t="s">
        <v>5793</v>
      </c>
    </row>
    <row r="804" ht="16.5" spans="1:4">
      <c r="A804" s="173" t="s">
        <v>5794</v>
      </c>
      <c r="B804" s="173" t="s">
        <v>5794</v>
      </c>
      <c r="C804" s="173" t="s">
        <v>4841</v>
      </c>
      <c r="D804" s="173" t="s">
        <v>5795</v>
      </c>
    </row>
    <row r="805" ht="16.5" spans="1:4">
      <c r="A805" s="173" t="s">
        <v>5796</v>
      </c>
      <c r="B805" s="173" t="s">
        <v>5796</v>
      </c>
      <c r="C805" s="173" t="s">
        <v>4841</v>
      </c>
      <c r="D805" s="173" t="s">
        <v>5797</v>
      </c>
    </row>
    <row r="806" ht="16.5" spans="1:4">
      <c r="A806" s="173" t="s">
        <v>5798</v>
      </c>
      <c r="B806" s="173" t="s">
        <v>5798</v>
      </c>
      <c r="C806" s="173" t="s">
        <v>4841</v>
      </c>
      <c r="D806" s="173" t="s">
        <v>5799</v>
      </c>
    </row>
    <row r="807" ht="16.5" spans="1:4">
      <c r="A807" s="173" t="s">
        <v>5800</v>
      </c>
      <c r="B807" s="173" t="s">
        <v>5800</v>
      </c>
      <c r="C807" s="173" t="s">
        <v>4841</v>
      </c>
      <c r="D807" s="173" t="s">
        <v>5801</v>
      </c>
    </row>
    <row r="808" ht="16.5" spans="1:4">
      <c r="A808" s="173" t="s">
        <v>5802</v>
      </c>
      <c r="B808" s="173" t="s">
        <v>5802</v>
      </c>
      <c r="C808" s="173" t="s">
        <v>4841</v>
      </c>
      <c r="D808" s="173" t="s">
        <v>5803</v>
      </c>
    </row>
    <row r="809" ht="16.5" spans="1:4">
      <c r="A809" s="173" t="s">
        <v>5804</v>
      </c>
      <c r="B809" s="173" t="s">
        <v>5804</v>
      </c>
      <c r="C809" s="173" t="s">
        <v>4841</v>
      </c>
      <c r="D809" s="173" t="s">
        <v>5805</v>
      </c>
    </row>
    <row r="810" ht="16.5" spans="1:4">
      <c r="A810" s="173" t="s">
        <v>5806</v>
      </c>
      <c r="B810" s="173" t="s">
        <v>5806</v>
      </c>
      <c r="C810" s="173" t="s">
        <v>4841</v>
      </c>
      <c r="D810" s="173" t="s">
        <v>5807</v>
      </c>
    </row>
    <row r="811" ht="16.5" spans="1:4">
      <c r="A811" s="173" t="s">
        <v>5808</v>
      </c>
      <c r="B811" s="173" t="s">
        <v>5808</v>
      </c>
      <c r="C811" s="173" t="s">
        <v>4841</v>
      </c>
      <c r="D811" s="173" t="s">
        <v>5809</v>
      </c>
    </row>
    <row r="812" ht="16.5" spans="1:4">
      <c r="A812" s="173" t="s">
        <v>5810</v>
      </c>
      <c r="B812" s="173" t="s">
        <v>5810</v>
      </c>
      <c r="C812" s="173" t="s">
        <v>4841</v>
      </c>
      <c r="D812" s="173" t="s">
        <v>5811</v>
      </c>
    </row>
    <row r="813" ht="16.5" spans="1:4">
      <c r="A813" s="173" t="s">
        <v>5812</v>
      </c>
      <c r="B813" s="173" t="s">
        <v>5812</v>
      </c>
      <c r="C813" s="173" t="s">
        <v>4841</v>
      </c>
      <c r="D813" s="173" t="s">
        <v>5813</v>
      </c>
    </row>
    <row r="814" ht="16.5" spans="1:4">
      <c r="A814" s="173" t="s">
        <v>5814</v>
      </c>
      <c r="B814" s="173" t="s">
        <v>5814</v>
      </c>
      <c r="C814" s="173" t="s">
        <v>4841</v>
      </c>
      <c r="D814" s="173" t="s">
        <v>5815</v>
      </c>
    </row>
    <row r="815" ht="16.5" spans="1:4">
      <c r="A815" s="173" t="s">
        <v>5816</v>
      </c>
      <c r="B815" s="173" t="s">
        <v>5816</v>
      </c>
      <c r="C815" s="173" t="s">
        <v>4841</v>
      </c>
      <c r="D815" s="173" t="s">
        <v>5817</v>
      </c>
    </row>
    <row r="816" ht="16.5" spans="1:4">
      <c r="A816" s="173" t="s">
        <v>5818</v>
      </c>
      <c r="B816" s="173" t="s">
        <v>5819</v>
      </c>
      <c r="C816" s="173" t="s">
        <v>4841</v>
      </c>
      <c r="D816" s="173" t="s">
        <v>5820</v>
      </c>
    </row>
    <row r="817" ht="16.5" spans="1:4">
      <c r="A817" s="173" t="s">
        <v>5821</v>
      </c>
      <c r="B817" s="173" t="s">
        <v>5819</v>
      </c>
      <c r="C817" s="173" t="s">
        <v>4841</v>
      </c>
      <c r="D817" s="173" t="s">
        <v>5820</v>
      </c>
    </row>
    <row r="818" ht="16.5" spans="1:4">
      <c r="A818" s="173" t="s">
        <v>5822</v>
      </c>
      <c r="B818" s="173" t="s">
        <v>5819</v>
      </c>
      <c r="C818" s="173" t="s">
        <v>4841</v>
      </c>
      <c r="D818" s="173" t="s">
        <v>5820</v>
      </c>
    </row>
    <row r="819" ht="16.5" spans="1:4">
      <c r="A819" s="173" t="s">
        <v>5823</v>
      </c>
      <c r="B819" s="173" t="s">
        <v>5819</v>
      </c>
      <c r="C819" s="173" t="s">
        <v>4841</v>
      </c>
      <c r="D819" s="173" t="s">
        <v>5820</v>
      </c>
    </row>
    <row r="820" ht="16.5" spans="1:4">
      <c r="A820" s="173" t="s">
        <v>5824</v>
      </c>
      <c r="B820" s="173" t="s">
        <v>5819</v>
      </c>
      <c r="C820" s="173" t="s">
        <v>4841</v>
      </c>
      <c r="D820" s="173" t="s">
        <v>5820</v>
      </c>
    </row>
    <row r="821" ht="16.5" spans="1:4">
      <c r="A821" s="173" t="s">
        <v>5819</v>
      </c>
      <c r="B821" s="173" t="s">
        <v>5819</v>
      </c>
      <c r="C821" s="173" t="s">
        <v>4841</v>
      </c>
      <c r="D821" s="173" t="s">
        <v>5820</v>
      </c>
    </row>
    <row r="822" ht="16.5" spans="1:4">
      <c r="A822" s="173" t="s">
        <v>5825</v>
      </c>
      <c r="B822" s="173" t="s">
        <v>5825</v>
      </c>
      <c r="C822" s="173" t="s">
        <v>4841</v>
      </c>
      <c r="D822" s="173" t="s">
        <v>5826</v>
      </c>
    </row>
    <row r="823" ht="16.5" spans="1:4">
      <c r="A823" s="173" t="s">
        <v>5827</v>
      </c>
      <c r="B823" s="173" t="s">
        <v>5827</v>
      </c>
      <c r="C823" s="173" t="s">
        <v>4841</v>
      </c>
      <c r="D823" s="173" t="s">
        <v>5828</v>
      </c>
    </row>
    <row r="824" ht="16.5" spans="1:4">
      <c r="A824" s="173" t="s">
        <v>5829</v>
      </c>
      <c r="B824" s="173" t="s">
        <v>5829</v>
      </c>
      <c r="C824" s="173" t="s">
        <v>4841</v>
      </c>
      <c r="D824" s="173" t="s">
        <v>5830</v>
      </c>
    </row>
    <row r="825" ht="16.5" spans="1:4">
      <c r="A825" s="173" t="s">
        <v>5831</v>
      </c>
      <c r="B825" s="173" t="s">
        <v>5831</v>
      </c>
      <c r="C825" s="173" t="s">
        <v>4841</v>
      </c>
      <c r="D825" s="173" t="s">
        <v>5832</v>
      </c>
    </row>
    <row r="826" ht="16.5" spans="1:4">
      <c r="A826" s="173" t="s">
        <v>5833</v>
      </c>
      <c r="B826" s="173" t="s">
        <v>5833</v>
      </c>
      <c r="C826" s="173" t="s">
        <v>4841</v>
      </c>
      <c r="D826" s="173" t="s">
        <v>5834</v>
      </c>
    </row>
    <row r="827" ht="16.5" spans="1:4">
      <c r="A827" s="173" t="s">
        <v>5835</v>
      </c>
      <c r="B827" s="173" t="s">
        <v>5835</v>
      </c>
      <c r="C827" s="173" t="s">
        <v>4841</v>
      </c>
      <c r="D827" s="173" t="s">
        <v>5836</v>
      </c>
    </row>
    <row r="828" ht="16.5" spans="1:4">
      <c r="A828" s="173" t="s">
        <v>5837</v>
      </c>
      <c r="B828" s="173" t="s">
        <v>5837</v>
      </c>
      <c r="C828" s="173" t="s">
        <v>4841</v>
      </c>
      <c r="D828" s="173" t="s">
        <v>5838</v>
      </c>
    </row>
    <row r="829" ht="16.5" spans="1:4">
      <c r="A829" s="173" t="s">
        <v>5839</v>
      </c>
      <c r="B829" s="173" t="s">
        <v>5839</v>
      </c>
      <c r="C829" s="173" t="s">
        <v>4841</v>
      </c>
      <c r="D829" s="173" t="s">
        <v>5840</v>
      </c>
    </row>
    <row r="830" ht="16.5" spans="1:4">
      <c r="A830" s="173" t="s">
        <v>5841</v>
      </c>
      <c r="B830" s="173" t="s">
        <v>5841</v>
      </c>
      <c r="C830" s="173" t="s">
        <v>4841</v>
      </c>
      <c r="D830" s="173" t="s">
        <v>5842</v>
      </c>
    </row>
    <row r="831" ht="16.5" spans="1:4">
      <c r="A831" s="173" t="s">
        <v>5843</v>
      </c>
      <c r="B831" s="173" t="s">
        <v>5843</v>
      </c>
      <c r="C831" s="173" t="s">
        <v>4841</v>
      </c>
      <c r="D831" s="173" t="s">
        <v>5844</v>
      </c>
    </row>
    <row r="832" ht="16.5" spans="1:4">
      <c r="A832" s="173" t="s">
        <v>5845</v>
      </c>
      <c r="B832" s="173" t="s">
        <v>5845</v>
      </c>
      <c r="C832" s="173" t="s">
        <v>4841</v>
      </c>
      <c r="D832" s="173" t="s">
        <v>5846</v>
      </c>
    </row>
    <row r="833" ht="16.5" spans="1:4">
      <c r="A833" s="173" t="s">
        <v>5847</v>
      </c>
      <c r="B833" s="173" t="s">
        <v>5847</v>
      </c>
      <c r="C833" s="173" t="s">
        <v>4841</v>
      </c>
      <c r="D833" s="173" t="s">
        <v>5848</v>
      </c>
    </row>
    <row r="834" ht="16.5" spans="1:4">
      <c r="A834" s="173" t="s">
        <v>5849</v>
      </c>
      <c r="B834" s="173" t="s">
        <v>5849</v>
      </c>
      <c r="C834" s="173" t="s">
        <v>4841</v>
      </c>
      <c r="D834" s="173" t="s">
        <v>5850</v>
      </c>
    </row>
    <row r="835" ht="16.5" spans="1:4">
      <c r="A835" s="173" t="s">
        <v>5851</v>
      </c>
      <c r="B835" s="173" t="s">
        <v>5851</v>
      </c>
      <c r="C835" s="173" t="s">
        <v>4841</v>
      </c>
      <c r="D835" s="173" t="s">
        <v>5852</v>
      </c>
    </row>
    <row r="836" ht="16.5" spans="1:4">
      <c r="A836" s="173" t="s">
        <v>5853</v>
      </c>
      <c r="B836" s="173" t="s">
        <v>5853</v>
      </c>
      <c r="C836" s="173" t="s">
        <v>4841</v>
      </c>
      <c r="D836" s="173" t="s">
        <v>5854</v>
      </c>
    </row>
    <row r="837" ht="16.5" spans="1:4">
      <c r="A837" s="173" t="s">
        <v>5855</v>
      </c>
      <c r="B837" s="173" t="s">
        <v>5855</v>
      </c>
      <c r="C837" s="173" t="s">
        <v>4841</v>
      </c>
      <c r="D837" s="173" t="s">
        <v>5856</v>
      </c>
    </row>
    <row r="838" ht="16.5" spans="1:4">
      <c r="A838" s="173" t="s">
        <v>5857</v>
      </c>
      <c r="B838" s="173" t="s">
        <v>5857</v>
      </c>
      <c r="C838" s="173" t="s">
        <v>4841</v>
      </c>
      <c r="D838" s="173" t="s">
        <v>5858</v>
      </c>
    </row>
    <row r="839" ht="16.5" spans="1:4">
      <c r="A839" s="173" t="s">
        <v>5859</v>
      </c>
      <c r="B839" s="173" t="s">
        <v>5859</v>
      </c>
      <c r="C839" s="173" t="s">
        <v>4841</v>
      </c>
      <c r="D839" s="173" t="s">
        <v>5860</v>
      </c>
    </row>
    <row r="840" ht="16.5" spans="1:4">
      <c r="A840" s="173" t="s">
        <v>5861</v>
      </c>
      <c r="B840" s="173" t="s">
        <v>5861</v>
      </c>
      <c r="C840" s="173" t="s">
        <v>4841</v>
      </c>
      <c r="D840" s="173" t="s">
        <v>5862</v>
      </c>
    </row>
    <row r="841" ht="16.5" spans="1:4">
      <c r="A841" s="173" t="s">
        <v>5863</v>
      </c>
      <c r="B841" s="173" t="s">
        <v>5863</v>
      </c>
      <c r="C841" s="173" t="s">
        <v>4841</v>
      </c>
      <c r="D841" s="173" t="s">
        <v>5864</v>
      </c>
    </row>
    <row r="842" ht="16.5" spans="1:4">
      <c r="A842" s="173" t="s">
        <v>5865</v>
      </c>
      <c r="B842" s="173" t="s">
        <v>5865</v>
      </c>
      <c r="C842" s="173" t="s">
        <v>4841</v>
      </c>
      <c r="D842" s="173" t="s">
        <v>5866</v>
      </c>
    </row>
    <row r="843" ht="16.5" spans="1:4">
      <c r="A843" s="173" t="s">
        <v>5867</v>
      </c>
      <c r="B843" s="173" t="s">
        <v>5867</v>
      </c>
      <c r="C843" s="173" t="s">
        <v>4841</v>
      </c>
      <c r="D843" s="173" t="s">
        <v>5868</v>
      </c>
    </row>
    <row r="844" ht="16.5" spans="1:4">
      <c r="A844" s="173" t="s">
        <v>5869</v>
      </c>
      <c r="B844" s="173" t="s">
        <v>5869</v>
      </c>
      <c r="C844" s="173" t="s">
        <v>4841</v>
      </c>
      <c r="D844" s="173" t="s">
        <v>5870</v>
      </c>
    </row>
    <row r="845" ht="16.5" spans="1:4">
      <c r="A845" s="173" t="s">
        <v>5871</v>
      </c>
      <c r="B845" s="173" t="s">
        <v>5871</v>
      </c>
      <c r="C845" s="173" t="s">
        <v>4841</v>
      </c>
      <c r="D845" s="173" t="s">
        <v>5872</v>
      </c>
    </row>
    <row r="846" ht="16.5" spans="1:4">
      <c r="A846" s="173" t="s">
        <v>5873</v>
      </c>
      <c r="B846" s="173" t="s">
        <v>5873</v>
      </c>
      <c r="C846" s="173" t="s">
        <v>4841</v>
      </c>
      <c r="D846" s="173" t="s">
        <v>5874</v>
      </c>
    </row>
    <row r="847" ht="16.5" spans="1:4">
      <c r="A847" s="173" t="s">
        <v>5875</v>
      </c>
      <c r="B847" s="173" t="s">
        <v>5875</v>
      </c>
      <c r="C847" s="173" t="s">
        <v>4841</v>
      </c>
      <c r="D847" s="173" t="s">
        <v>5876</v>
      </c>
    </row>
    <row r="848" ht="16.5" spans="1:4">
      <c r="A848" s="173" t="s">
        <v>5877</v>
      </c>
      <c r="B848" s="173" t="s">
        <v>5877</v>
      </c>
      <c r="C848" s="173" t="s">
        <v>4841</v>
      </c>
      <c r="D848" s="173" t="s">
        <v>5878</v>
      </c>
    </row>
    <row r="849" ht="16.5" spans="1:4">
      <c r="A849" s="173" t="s">
        <v>5879</v>
      </c>
      <c r="B849" s="173" t="s">
        <v>5879</v>
      </c>
      <c r="C849" s="173" t="s">
        <v>4841</v>
      </c>
      <c r="D849" s="173" t="s">
        <v>5880</v>
      </c>
    </row>
    <row r="850" ht="16.5" spans="1:4">
      <c r="A850" s="173" t="s">
        <v>5881</v>
      </c>
      <c r="B850" s="173" t="s">
        <v>5881</v>
      </c>
      <c r="C850" s="173" t="s">
        <v>4841</v>
      </c>
      <c r="D850" s="173" t="s">
        <v>5882</v>
      </c>
    </row>
    <row r="851" ht="16.5" spans="1:4">
      <c r="A851" s="173" t="s">
        <v>5883</v>
      </c>
      <c r="B851" s="173" t="s">
        <v>5883</v>
      </c>
      <c r="C851" s="173" t="s">
        <v>4841</v>
      </c>
      <c r="D851" s="173" t="s">
        <v>5884</v>
      </c>
    </row>
    <row r="852" ht="16.5" spans="1:4">
      <c r="A852" s="173" t="s">
        <v>5885</v>
      </c>
      <c r="B852" s="173" t="s">
        <v>5885</v>
      </c>
      <c r="C852" s="173" t="s">
        <v>4841</v>
      </c>
      <c r="D852" s="173" t="s">
        <v>5886</v>
      </c>
    </row>
    <row r="853" ht="16.5" spans="1:4">
      <c r="A853" s="173" t="s">
        <v>5887</v>
      </c>
      <c r="B853" s="173" t="s">
        <v>5887</v>
      </c>
      <c r="C853" s="173" t="s">
        <v>4841</v>
      </c>
      <c r="D853" s="173" t="s">
        <v>5888</v>
      </c>
    </row>
    <row r="854" ht="16.5" spans="1:4">
      <c r="A854" s="173" t="s">
        <v>5889</v>
      </c>
      <c r="B854" s="173" t="s">
        <v>5889</v>
      </c>
      <c r="C854" s="173" t="s">
        <v>4841</v>
      </c>
      <c r="D854" s="173" t="s">
        <v>5890</v>
      </c>
    </row>
    <row r="855" ht="16.5" spans="1:4">
      <c r="A855" s="173" t="s">
        <v>5891</v>
      </c>
      <c r="B855" s="173" t="s">
        <v>5891</v>
      </c>
      <c r="C855" s="173" t="s">
        <v>4841</v>
      </c>
      <c r="D855" s="173" t="s">
        <v>5892</v>
      </c>
    </row>
    <row r="856" ht="16.5" spans="1:4">
      <c r="A856" s="173" t="s">
        <v>5893</v>
      </c>
      <c r="B856" s="173" t="s">
        <v>5764</v>
      </c>
      <c r="C856" s="173" t="s">
        <v>4841</v>
      </c>
      <c r="D856" s="173" t="s">
        <v>5765</v>
      </c>
    </row>
    <row r="857" ht="16.5" spans="1:4">
      <c r="A857" s="173" t="s">
        <v>5894</v>
      </c>
      <c r="B857" s="173" t="s">
        <v>5788</v>
      </c>
      <c r="C857" s="173" t="s">
        <v>4841</v>
      </c>
      <c r="D857" s="173" t="s">
        <v>5789</v>
      </c>
    </row>
    <row r="858" ht="16.5" spans="1:4">
      <c r="A858" s="173" t="s">
        <v>5895</v>
      </c>
      <c r="B858" s="173" t="s">
        <v>5895</v>
      </c>
      <c r="C858" s="173" t="s">
        <v>4841</v>
      </c>
      <c r="D858" s="173" t="s">
        <v>5896</v>
      </c>
    </row>
    <row r="859" ht="16.5" spans="1:4">
      <c r="A859" s="173" t="s">
        <v>5897</v>
      </c>
      <c r="B859" s="173" t="s">
        <v>5897</v>
      </c>
      <c r="C859" s="173" t="s">
        <v>4864</v>
      </c>
      <c r="D859" s="173" t="s">
        <v>4865</v>
      </c>
    </row>
    <row r="860" ht="16.5" spans="1:4">
      <c r="A860" s="173" t="s">
        <v>5898</v>
      </c>
      <c r="B860" s="173" t="s">
        <v>4920</v>
      </c>
      <c r="C860" s="173" t="s">
        <v>4921</v>
      </c>
      <c r="D860" s="173" t="s">
        <v>4922</v>
      </c>
    </row>
    <row r="861" ht="16.5" spans="1:4">
      <c r="A861" s="173" t="s">
        <v>5899</v>
      </c>
      <c r="B861" s="173" t="s">
        <v>4920</v>
      </c>
      <c r="C861" s="173" t="s">
        <v>4921</v>
      </c>
      <c r="D861" s="173" t="s">
        <v>4922</v>
      </c>
    </row>
    <row r="862" ht="16.5" spans="1:4">
      <c r="A862" s="173" t="s">
        <v>5900</v>
      </c>
      <c r="B862" s="173" t="s">
        <v>4920</v>
      </c>
      <c r="C862" s="173" t="s">
        <v>4921</v>
      </c>
      <c r="D862" s="173" t="s">
        <v>4922</v>
      </c>
    </row>
    <row r="863" ht="16.5" spans="1:4">
      <c r="A863" s="173" t="s">
        <v>5901</v>
      </c>
      <c r="B863" s="173" t="s">
        <v>4920</v>
      </c>
      <c r="C863" s="173" t="s">
        <v>4921</v>
      </c>
      <c r="D863" s="173" t="s">
        <v>4922</v>
      </c>
    </row>
    <row r="864" ht="16.5" spans="1:4">
      <c r="A864" s="173" t="s">
        <v>5902</v>
      </c>
      <c r="B864" s="173" t="s">
        <v>4920</v>
      </c>
      <c r="C864" s="173" t="s">
        <v>4921</v>
      </c>
      <c r="D864" s="173" t="s">
        <v>4922</v>
      </c>
    </row>
    <row r="865" ht="16.5" spans="1:4">
      <c r="A865" s="173" t="s">
        <v>5903</v>
      </c>
      <c r="B865" s="173" t="s">
        <v>4920</v>
      </c>
      <c r="C865" s="173" t="s">
        <v>4921</v>
      </c>
      <c r="D865" s="173" t="s">
        <v>4922</v>
      </c>
    </row>
    <row r="866" ht="16.5" spans="1:4">
      <c r="A866" s="173" t="s">
        <v>5904</v>
      </c>
      <c r="B866" s="173" t="s">
        <v>4920</v>
      </c>
      <c r="C866" s="173" t="s">
        <v>4921</v>
      </c>
      <c r="D866" s="173" t="s">
        <v>4922</v>
      </c>
    </row>
    <row r="867" ht="16.5" spans="1:4">
      <c r="A867" s="173" t="s">
        <v>5905</v>
      </c>
      <c r="B867" s="173" t="s">
        <v>4920</v>
      </c>
      <c r="C867" s="173" t="s">
        <v>4921</v>
      </c>
      <c r="D867" s="173" t="s">
        <v>4922</v>
      </c>
    </row>
    <row r="868" ht="16.5" spans="1:4">
      <c r="A868" s="173" t="s">
        <v>5906</v>
      </c>
      <c r="B868" s="173" t="s">
        <v>4920</v>
      </c>
      <c r="C868" s="173" t="s">
        <v>4921</v>
      </c>
      <c r="D868" s="173" t="s">
        <v>4922</v>
      </c>
    </row>
    <row r="869" ht="16.5" spans="1:4">
      <c r="A869" s="173" t="s">
        <v>5907</v>
      </c>
      <c r="B869" s="173" t="s">
        <v>4920</v>
      </c>
      <c r="C869" s="173" t="s">
        <v>4921</v>
      </c>
      <c r="D869" s="173" t="s">
        <v>4922</v>
      </c>
    </row>
    <row r="870" ht="16.5" spans="1:4">
      <c r="A870" s="173" t="s">
        <v>5908</v>
      </c>
      <c r="B870" s="173" t="s">
        <v>4920</v>
      </c>
      <c r="C870" s="173" t="s">
        <v>4921</v>
      </c>
      <c r="D870" s="173" t="s">
        <v>4922</v>
      </c>
    </row>
    <row r="871" ht="16.5" spans="1:4">
      <c r="A871" s="173" t="s">
        <v>5909</v>
      </c>
      <c r="B871" s="173" t="s">
        <v>4920</v>
      </c>
      <c r="C871" s="173" t="s">
        <v>4921</v>
      </c>
      <c r="D871" s="173" t="s">
        <v>4922</v>
      </c>
    </row>
    <row r="872" ht="16.5" spans="1:4">
      <c r="A872" s="173" t="s">
        <v>5910</v>
      </c>
      <c r="B872" s="173" t="s">
        <v>4920</v>
      </c>
      <c r="C872" s="173" t="s">
        <v>4921</v>
      </c>
      <c r="D872" s="173" t="s">
        <v>4922</v>
      </c>
    </row>
    <row r="873" ht="16.5" spans="1:4">
      <c r="A873" s="173" t="s">
        <v>5911</v>
      </c>
      <c r="B873" s="173" t="s">
        <v>4920</v>
      </c>
      <c r="C873" s="173" t="s">
        <v>4921</v>
      </c>
      <c r="D873" s="173" t="s">
        <v>4922</v>
      </c>
    </row>
    <row r="874" ht="16.5" spans="1:4">
      <c r="A874" s="173" t="s">
        <v>5912</v>
      </c>
      <c r="B874" s="173" t="s">
        <v>4920</v>
      </c>
      <c r="C874" s="173" t="s">
        <v>4921</v>
      </c>
      <c r="D874" s="173" t="s">
        <v>4922</v>
      </c>
    </row>
    <row r="875" ht="16.5" spans="1:4">
      <c r="A875" s="173" t="s">
        <v>5913</v>
      </c>
      <c r="B875" s="173" t="s">
        <v>4920</v>
      </c>
      <c r="C875" s="173" t="s">
        <v>4921</v>
      </c>
      <c r="D875" s="173" t="s">
        <v>4922</v>
      </c>
    </row>
    <row r="876" ht="16.5" spans="1:4">
      <c r="A876" s="173" t="s">
        <v>5914</v>
      </c>
      <c r="B876" s="173" t="s">
        <v>4920</v>
      </c>
      <c r="C876" s="173" t="s">
        <v>4921</v>
      </c>
      <c r="D876" s="173" t="s">
        <v>4922</v>
      </c>
    </row>
    <row r="877" ht="16.5" spans="1:4">
      <c r="A877" s="173" t="s">
        <v>5915</v>
      </c>
      <c r="B877" s="173" t="s">
        <v>5915</v>
      </c>
      <c r="C877" s="173" t="s">
        <v>5916</v>
      </c>
      <c r="D877" s="173" t="s">
        <v>5917</v>
      </c>
    </row>
    <row r="878" ht="16.5" spans="1:4">
      <c r="A878" s="173" t="s">
        <v>5918</v>
      </c>
      <c r="B878" s="173" t="s">
        <v>4799</v>
      </c>
      <c r="C878" s="173" t="s">
        <v>4800</v>
      </c>
      <c r="D878" s="173" t="s">
        <v>4801</v>
      </c>
    </row>
    <row r="879" ht="16.5" spans="1:4">
      <c r="A879" s="173" t="s">
        <v>5919</v>
      </c>
      <c r="B879" s="173" t="s">
        <v>4799</v>
      </c>
      <c r="C879" s="173" t="s">
        <v>4800</v>
      </c>
      <c r="D879" s="173" t="s">
        <v>4801</v>
      </c>
    </row>
    <row r="880" ht="16.5" spans="1:4">
      <c r="A880" s="173" t="s">
        <v>5920</v>
      </c>
      <c r="B880" s="173" t="s">
        <v>4799</v>
      </c>
      <c r="C880" s="173" t="s">
        <v>4800</v>
      </c>
      <c r="D880" s="173" t="s">
        <v>4801</v>
      </c>
    </row>
    <row r="881" ht="16.5" spans="1:4">
      <c r="A881" s="173" t="s">
        <v>5921</v>
      </c>
      <c r="B881" s="173" t="s">
        <v>4799</v>
      </c>
      <c r="C881" s="173" t="s">
        <v>4800</v>
      </c>
      <c r="D881" s="173" t="s">
        <v>4801</v>
      </c>
    </row>
    <row r="882" ht="16.5" spans="1:4">
      <c r="A882" s="173" t="s">
        <v>5922</v>
      </c>
      <c r="B882" s="173" t="s">
        <v>4799</v>
      </c>
      <c r="C882" s="173" t="s">
        <v>4800</v>
      </c>
      <c r="D882" s="173" t="s">
        <v>4801</v>
      </c>
    </row>
    <row r="883" ht="16.5" spans="1:4">
      <c r="A883" s="173" t="s">
        <v>5923</v>
      </c>
      <c r="B883" s="173" t="s">
        <v>4799</v>
      </c>
      <c r="C883" s="173" t="s">
        <v>4800</v>
      </c>
      <c r="D883" s="173" t="s">
        <v>4801</v>
      </c>
    </row>
    <row r="884" ht="16.5" spans="1:4">
      <c r="A884" s="173" t="s">
        <v>5924</v>
      </c>
      <c r="B884" s="173" t="s">
        <v>4799</v>
      </c>
      <c r="C884" s="173" t="s">
        <v>4800</v>
      </c>
      <c r="D884" s="173" t="s">
        <v>4801</v>
      </c>
    </row>
    <row r="885" ht="16.5" spans="1:4">
      <c r="A885" s="173" t="s">
        <v>5925</v>
      </c>
      <c r="B885" s="173" t="s">
        <v>4799</v>
      </c>
      <c r="C885" s="173" t="s">
        <v>4800</v>
      </c>
      <c r="D885" s="173" t="s">
        <v>4801</v>
      </c>
    </row>
    <row r="886" ht="16.5" spans="1:4">
      <c r="A886" s="173" t="s">
        <v>5926</v>
      </c>
      <c r="B886" s="173" t="s">
        <v>4799</v>
      </c>
      <c r="C886" s="173" t="s">
        <v>4800</v>
      </c>
      <c r="D886" s="173" t="s">
        <v>4801</v>
      </c>
    </row>
    <row r="887" ht="16.5" spans="1:4">
      <c r="A887" s="173" t="s">
        <v>5927</v>
      </c>
      <c r="B887" s="173" t="s">
        <v>5928</v>
      </c>
      <c r="C887" s="173" t="s">
        <v>4841</v>
      </c>
      <c r="D887" s="173" t="s">
        <v>5929</v>
      </c>
    </row>
    <row r="888" ht="16.5" spans="1:4">
      <c r="A888" s="173" t="s">
        <v>5930</v>
      </c>
      <c r="B888" s="173" t="s">
        <v>4795</v>
      </c>
      <c r="C888" s="173" t="s">
        <v>4796</v>
      </c>
      <c r="D888" s="173" t="s">
        <v>4797</v>
      </c>
    </row>
    <row r="889" ht="16.5" spans="1:4">
      <c r="A889" s="173" t="s">
        <v>5931</v>
      </c>
      <c r="B889" s="173" t="s">
        <v>4795</v>
      </c>
      <c r="C889" s="173" t="s">
        <v>4796</v>
      </c>
      <c r="D889" s="173" t="s">
        <v>4797</v>
      </c>
    </row>
    <row r="890" ht="16.5" spans="1:4">
      <c r="A890" s="173" t="s">
        <v>5932</v>
      </c>
      <c r="B890" s="173" t="s">
        <v>4795</v>
      </c>
      <c r="C890" s="173" t="s">
        <v>4796</v>
      </c>
      <c r="D890" s="173" t="s">
        <v>4797</v>
      </c>
    </row>
    <row r="891" ht="16.5" spans="1:4">
      <c r="A891" s="173" t="s">
        <v>5933</v>
      </c>
      <c r="B891" s="173" t="s">
        <v>4830</v>
      </c>
      <c r="C891" s="173" t="s">
        <v>4831</v>
      </c>
      <c r="D891" s="173" t="s">
        <v>4832</v>
      </c>
    </row>
    <row r="892" ht="16.5" spans="1:4">
      <c r="A892" s="173" t="s">
        <v>5934</v>
      </c>
      <c r="B892" s="173" t="s">
        <v>4799</v>
      </c>
      <c r="C892" s="173" t="s">
        <v>4800</v>
      </c>
      <c r="D892" s="173" t="s">
        <v>4801</v>
      </c>
    </row>
    <row r="893" ht="16.5" spans="1:4">
      <c r="A893" s="173" t="s">
        <v>5935</v>
      </c>
      <c r="B893" s="173" t="s">
        <v>5935</v>
      </c>
      <c r="C893" s="173" t="s">
        <v>4841</v>
      </c>
      <c r="D893" s="173" t="s">
        <v>5936</v>
      </c>
    </row>
    <row r="894" ht="16.5" spans="1:4">
      <c r="A894" s="173" t="s">
        <v>5937</v>
      </c>
      <c r="B894" s="173" t="s">
        <v>4858</v>
      </c>
      <c r="C894" s="173" t="s">
        <v>4859</v>
      </c>
      <c r="D894" s="173" t="s">
        <v>4860</v>
      </c>
    </row>
    <row r="895" ht="16.5" spans="1:4">
      <c r="A895" s="173" t="s">
        <v>5938</v>
      </c>
      <c r="B895" s="173" t="s">
        <v>4858</v>
      </c>
      <c r="C895" s="173" t="s">
        <v>4859</v>
      </c>
      <c r="D895" s="173" t="s">
        <v>4860</v>
      </c>
    </row>
    <row r="896" ht="16.5" spans="1:4">
      <c r="A896" s="173" t="s">
        <v>5939</v>
      </c>
      <c r="B896" s="173" t="s">
        <v>4858</v>
      </c>
      <c r="C896" s="173" t="s">
        <v>4859</v>
      </c>
      <c r="D896" s="173" t="s">
        <v>4860</v>
      </c>
    </row>
    <row r="897" ht="16.5" spans="1:4">
      <c r="A897" s="173" t="s">
        <v>5940</v>
      </c>
      <c r="B897" s="173" t="s">
        <v>4858</v>
      </c>
      <c r="C897" s="173" t="s">
        <v>4859</v>
      </c>
      <c r="D897" s="173" t="s">
        <v>4860</v>
      </c>
    </row>
    <row r="898" ht="16.5" spans="1:4">
      <c r="A898" s="173" t="s">
        <v>5941</v>
      </c>
      <c r="B898" s="173" t="s">
        <v>4858</v>
      </c>
      <c r="C898" s="173" t="s">
        <v>4859</v>
      </c>
      <c r="D898" s="173" t="s">
        <v>4860</v>
      </c>
    </row>
    <row r="899" ht="16.5" spans="1:4">
      <c r="A899" s="173" t="s">
        <v>5942</v>
      </c>
      <c r="B899" s="173" t="s">
        <v>4858</v>
      </c>
      <c r="C899" s="173" t="s">
        <v>4859</v>
      </c>
      <c r="D899" s="173" t="s">
        <v>4860</v>
      </c>
    </row>
    <row r="900" ht="16.5" spans="1:4">
      <c r="A900" s="173" t="s">
        <v>5943</v>
      </c>
      <c r="B900" s="173" t="s">
        <v>4791</v>
      </c>
      <c r="C900" s="173" t="s">
        <v>4792</v>
      </c>
      <c r="D900" s="173" t="s">
        <v>4793</v>
      </c>
    </row>
    <row r="901" ht="16.5" spans="1:4">
      <c r="A901" s="173" t="s">
        <v>5944</v>
      </c>
      <c r="B901" s="173" t="s">
        <v>5944</v>
      </c>
      <c r="C901" s="173" t="s">
        <v>4864</v>
      </c>
      <c r="D901" s="173" t="s">
        <v>4865</v>
      </c>
    </row>
    <row r="902" ht="16.5" spans="1:4">
      <c r="A902" s="173" t="s">
        <v>5945</v>
      </c>
      <c r="B902" s="173" t="s">
        <v>5945</v>
      </c>
      <c r="C902" s="173" t="s">
        <v>4864</v>
      </c>
      <c r="D902" s="173" t="s">
        <v>4865</v>
      </c>
    </row>
    <row r="903" ht="16.5" spans="1:4">
      <c r="A903" s="173" t="s">
        <v>5946</v>
      </c>
      <c r="B903" s="173" t="s">
        <v>5946</v>
      </c>
      <c r="C903" s="173" t="s">
        <v>4813</v>
      </c>
      <c r="D903" s="173" t="s">
        <v>5947</v>
      </c>
    </row>
    <row r="904" ht="16.5" spans="1:4">
      <c r="A904" s="173" t="s">
        <v>5948</v>
      </c>
      <c r="B904" s="173" t="s">
        <v>5948</v>
      </c>
      <c r="C904" s="173" t="s">
        <v>4813</v>
      </c>
      <c r="D904" s="173" t="s">
        <v>5949</v>
      </c>
    </row>
    <row r="905" ht="16.5" spans="1:4">
      <c r="A905" s="173" t="s">
        <v>4812</v>
      </c>
      <c r="B905" s="173" t="s">
        <v>4812</v>
      </c>
      <c r="C905" s="173" t="s">
        <v>4813</v>
      </c>
      <c r="D905" s="173" t="s">
        <v>4814</v>
      </c>
    </row>
    <row r="906" ht="16.5" spans="1:4">
      <c r="A906" s="173" t="s">
        <v>5950</v>
      </c>
      <c r="B906" s="173" t="s">
        <v>4812</v>
      </c>
      <c r="C906" s="173" t="s">
        <v>4813</v>
      </c>
      <c r="D906" s="173" t="s">
        <v>4814</v>
      </c>
    </row>
    <row r="907" ht="16.5" spans="1:4">
      <c r="A907" s="173" t="s">
        <v>5951</v>
      </c>
      <c r="B907" s="173" t="s">
        <v>4822</v>
      </c>
      <c r="C907" s="173" t="s">
        <v>4823</v>
      </c>
      <c r="D907" s="173" t="s">
        <v>4823</v>
      </c>
    </row>
    <row r="908" ht="16.5" spans="1:4">
      <c r="A908" s="173" t="s">
        <v>5952</v>
      </c>
      <c r="B908" s="173" t="s">
        <v>4822</v>
      </c>
      <c r="C908" s="173" t="s">
        <v>4823</v>
      </c>
      <c r="D908" s="173" t="s">
        <v>4823</v>
      </c>
    </row>
    <row r="909" ht="16.5" spans="1:4">
      <c r="A909" s="173" t="s">
        <v>5953</v>
      </c>
      <c r="B909" s="173" t="s">
        <v>4830</v>
      </c>
      <c r="C909" s="173" t="s">
        <v>4831</v>
      </c>
      <c r="D909" s="173" t="s">
        <v>4832</v>
      </c>
    </row>
    <row r="910" ht="16.5" spans="1:4">
      <c r="A910" s="176" t="s">
        <v>5954</v>
      </c>
      <c r="B910" s="176" t="s">
        <v>5955</v>
      </c>
      <c r="C910" s="176" t="s">
        <v>4813</v>
      </c>
      <c r="D910" s="176" t="s">
        <v>5956</v>
      </c>
    </row>
    <row r="911" ht="16.5" spans="1:4">
      <c r="A911" s="173" t="s">
        <v>5957</v>
      </c>
      <c r="B911" s="173" t="s">
        <v>1755</v>
      </c>
      <c r="C911" s="173" t="s">
        <v>5958</v>
      </c>
      <c r="D911" s="173" t="s">
        <v>5959</v>
      </c>
    </row>
    <row r="912" ht="16.5" spans="1:4">
      <c r="A912" s="173" t="s">
        <v>5960</v>
      </c>
      <c r="B912" s="173" t="s">
        <v>5961</v>
      </c>
      <c r="C912" s="173" t="s">
        <v>5962</v>
      </c>
      <c r="D912" s="173" t="s">
        <v>5963</v>
      </c>
    </row>
    <row r="913" ht="16.5" spans="1:4">
      <c r="A913" s="173" t="s">
        <v>5964</v>
      </c>
      <c r="B913" s="173" t="s">
        <v>5961</v>
      </c>
      <c r="C913" s="173" t="s">
        <v>5962</v>
      </c>
      <c r="D913" s="173" t="s">
        <v>5963</v>
      </c>
    </row>
    <row r="914" ht="16.5" spans="1:4">
      <c r="A914" s="173" t="s">
        <v>5965</v>
      </c>
      <c r="B914" s="173" t="s">
        <v>5961</v>
      </c>
      <c r="C914" s="173" t="s">
        <v>5962</v>
      </c>
      <c r="D914" s="173" t="s">
        <v>5963</v>
      </c>
    </row>
    <row r="915" ht="16.5" spans="1:4">
      <c r="A915" s="173" t="s">
        <v>5966</v>
      </c>
      <c r="B915" s="173" t="s">
        <v>5961</v>
      </c>
      <c r="C915" s="173" t="s">
        <v>5962</v>
      </c>
      <c r="D915" s="173" t="s">
        <v>5963</v>
      </c>
    </row>
    <row r="916" ht="16.5" spans="1:4">
      <c r="A916" s="173" t="s">
        <v>4817</v>
      </c>
      <c r="B916" s="173" t="s">
        <v>4817</v>
      </c>
      <c r="C916" s="173" t="s">
        <v>4818</v>
      </c>
      <c r="D916" s="173" t="s">
        <v>4819</v>
      </c>
    </row>
    <row r="917" ht="16.5" spans="1:4">
      <c r="A917" s="173" t="s">
        <v>5967</v>
      </c>
      <c r="B917" s="173" t="s">
        <v>4812</v>
      </c>
      <c r="C917" s="173" t="s">
        <v>4813</v>
      </c>
      <c r="D917" s="173" t="s">
        <v>4814</v>
      </c>
    </row>
    <row r="918" ht="16.5" spans="1:4">
      <c r="A918" s="176" t="s">
        <v>5955</v>
      </c>
      <c r="B918" s="176" t="s">
        <v>5955</v>
      </c>
      <c r="C918" s="176" t="s">
        <v>4813</v>
      </c>
      <c r="D918" s="176" t="s">
        <v>5956</v>
      </c>
    </row>
    <row r="919" ht="16.5" spans="1:4">
      <c r="A919" s="176" t="s">
        <v>5968</v>
      </c>
      <c r="B919" s="176" t="s">
        <v>5955</v>
      </c>
      <c r="C919" s="176" t="s">
        <v>4813</v>
      </c>
      <c r="D919" s="176" t="s">
        <v>5956</v>
      </c>
    </row>
    <row r="920" ht="16.5" spans="1:4">
      <c r="A920" s="176" t="s">
        <v>5969</v>
      </c>
      <c r="B920" s="176" t="s">
        <v>5955</v>
      </c>
      <c r="C920" s="176" t="s">
        <v>4813</v>
      </c>
      <c r="D920" s="176" t="s">
        <v>5956</v>
      </c>
    </row>
    <row r="921" ht="16.5" spans="1:4">
      <c r="A921" s="176" t="s">
        <v>5970</v>
      </c>
      <c r="B921" s="176" t="s">
        <v>5955</v>
      </c>
      <c r="C921" s="176" t="s">
        <v>4813</v>
      </c>
      <c r="D921" s="176" t="s">
        <v>5956</v>
      </c>
    </row>
    <row r="922" ht="16.5" spans="1:4">
      <c r="A922" s="173" t="s">
        <v>5971</v>
      </c>
      <c r="B922" s="173" t="s">
        <v>4812</v>
      </c>
      <c r="C922" s="173" t="s">
        <v>4813</v>
      </c>
      <c r="D922" s="173" t="s">
        <v>4814</v>
      </c>
    </row>
    <row r="923" ht="16.5" spans="1:4">
      <c r="A923" s="173" t="s">
        <v>5972</v>
      </c>
      <c r="B923" s="173" t="s">
        <v>4830</v>
      </c>
      <c r="C923" s="173" t="s">
        <v>4831</v>
      </c>
      <c r="D923" s="173" t="s">
        <v>4832</v>
      </c>
    </row>
    <row r="924" ht="16.5" spans="1:4">
      <c r="A924" s="173" t="s">
        <v>5973</v>
      </c>
      <c r="B924" s="173" t="s">
        <v>5974</v>
      </c>
      <c r="C924" s="173" t="s">
        <v>4864</v>
      </c>
      <c r="D924" s="173" t="s">
        <v>4865</v>
      </c>
    </row>
    <row r="925" ht="16.5" spans="1:4">
      <c r="A925" s="173" t="s">
        <v>5975</v>
      </c>
      <c r="B925" s="173" t="s">
        <v>5974</v>
      </c>
      <c r="C925" s="173" t="s">
        <v>4864</v>
      </c>
      <c r="D925" s="173" t="s">
        <v>4865</v>
      </c>
    </row>
    <row r="926" ht="16.5" spans="1:4">
      <c r="A926" s="173" t="s">
        <v>5974</v>
      </c>
      <c r="B926" s="173" t="s">
        <v>5974</v>
      </c>
      <c r="C926" s="173" t="s">
        <v>4864</v>
      </c>
      <c r="D926" s="173" t="s">
        <v>4865</v>
      </c>
    </row>
    <row r="927" ht="16.5" spans="1:4">
      <c r="A927" s="173" t="s">
        <v>5976</v>
      </c>
      <c r="B927" s="173" t="s">
        <v>4791</v>
      </c>
      <c r="C927" s="173" t="s">
        <v>4792</v>
      </c>
      <c r="D927" s="173" t="s">
        <v>4793</v>
      </c>
    </row>
    <row r="928" ht="16.5" spans="1:4">
      <c r="A928" s="173" t="s">
        <v>5977</v>
      </c>
      <c r="B928" s="173" t="s">
        <v>4791</v>
      </c>
      <c r="C928" s="173" t="s">
        <v>4792</v>
      </c>
      <c r="D928" s="173" t="s">
        <v>4793</v>
      </c>
    </row>
    <row r="929" ht="16.5" spans="1:4">
      <c r="A929" s="173" t="s">
        <v>5978</v>
      </c>
      <c r="B929" s="173" t="s">
        <v>4812</v>
      </c>
      <c r="C929" s="173" t="s">
        <v>4813</v>
      </c>
      <c r="D929" s="173" t="s">
        <v>4814</v>
      </c>
    </row>
    <row r="930" ht="16.5" spans="1:4">
      <c r="A930" s="173" t="s">
        <v>5979</v>
      </c>
      <c r="B930" s="173" t="s">
        <v>5979</v>
      </c>
      <c r="C930" s="173" t="s">
        <v>5980</v>
      </c>
      <c r="D930" s="173" t="s">
        <v>4838</v>
      </c>
    </row>
    <row r="931" ht="16.5" spans="1:4">
      <c r="A931" s="173" t="s">
        <v>5981</v>
      </c>
      <c r="B931" s="173" t="s">
        <v>5981</v>
      </c>
      <c r="C931" s="173" t="s">
        <v>66</v>
      </c>
      <c r="D931" s="173" t="s">
        <v>4838</v>
      </c>
    </row>
    <row r="932" ht="16.5" spans="1:4">
      <c r="A932" s="173" t="s">
        <v>5982</v>
      </c>
      <c r="B932" s="173" t="s">
        <v>5982</v>
      </c>
      <c r="C932" s="173" t="s">
        <v>5983</v>
      </c>
      <c r="D932" s="173" t="s">
        <v>4838</v>
      </c>
    </row>
    <row r="933" ht="16.5" spans="1:4">
      <c r="A933" s="173" t="s">
        <v>5984</v>
      </c>
      <c r="B933" s="173" t="s">
        <v>5984</v>
      </c>
      <c r="C933" s="173" t="s">
        <v>68</v>
      </c>
      <c r="D933" s="173" t="s">
        <v>4838</v>
      </c>
    </row>
    <row r="934" ht="16.5" spans="1:4">
      <c r="A934" s="173" t="s">
        <v>5985</v>
      </c>
      <c r="B934" s="173" t="s">
        <v>5985</v>
      </c>
      <c r="C934" s="173" t="s">
        <v>5986</v>
      </c>
      <c r="D934" s="173" t="s">
        <v>4838</v>
      </c>
    </row>
    <row r="935" ht="16.5" spans="1:4">
      <c r="A935" s="173" t="s">
        <v>5987</v>
      </c>
      <c r="B935" s="173" t="s">
        <v>5987</v>
      </c>
      <c r="C935" s="173" t="s">
        <v>5986</v>
      </c>
      <c r="D935" s="173" t="s">
        <v>4838</v>
      </c>
    </row>
    <row r="936" ht="16.5" spans="1:4">
      <c r="A936" s="173" t="s">
        <v>5988</v>
      </c>
      <c r="B936" s="173" t="s">
        <v>5988</v>
      </c>
      <c r="C936" s="173" t="s">
        <v>5986</v>
      </c>
      <c r="D936" s="173" t="s">
        <v>4838</v>
      </c>
    </row>
    <row r="937" ht="16.5" spans="1:4">
      <c r="A937" s="173" t="s">
        <v>5989</v>
      </c>
      <c r="B937" s="173" t="s">
        <v>5989</v>
      </c>
      <c r="C937" s="173" t="s">
        <v>69</v>
      </c>
      <c r="D937" s="173" t="s">
        <v>4838</v>
      </c>
    </row>
    <row r="938" ht="16.5" spans="1:4">
      <c r="A938" s="173" t="s">
        <v>5990</v>
      </c>
      <c r="B938" s="173" t="s">
        <v>5990</v>
      </c>
      <c r="C938" s="173" t="s">
        <v>5991</v>
      </c>
      <c r="D938" s="173" t="s">
        <v>4838</v>
      </c>
    </row>
    <row r="939" ht="16.5" spans="1:4">
      <c r="A939" s="173" t="s">
        <v>5992</v>
      </c>
      <c r="B939" s="173" t="s">
        <v>5992</v>
      </c>
      <c r="C939" s="173" t="s">
        <v>70</v>
      </c>
      <c r="D939" s="173" t="s">
        <v>4838</v>
      </c>
    </row>
    <row r="940" ht="16.5" spans="1:4">
      <c r="A940" s="173" t="s">
        <v>5993</v>
      </c>
      <c r="B940" s="173" t="s">
        <v>5993</v>
      </c>
      <c r="C940" s="173" t="s">
        <v>5994</v>
      </c>
      <c r="D940" s="173" t="s">
        <v>4838</v>
      </c>
    </row>
    <row r="941" ht="16.5" spans="1:4">
      <c r="A941" s="173" t="s">
        <v>5995</v>
      </c>
      <c r="B941" s="173" t="s">
        <v>5995</v>
      </c>
      <c r="C941" s="173" t="s">
        <v>5980</v>
      </c>
      <c r="D941" s="173" t="s">
        <v>4838</v>
      </c>
    </row>
    <row r="942" ht="16.5" spans="1:4">
      <c r="A942" s="173" t="s">
        <v>5996</v>
      </c>
      <c r="B942" s="173" t="s">
        <v>5996</v>
      </c>
      <c r="C942" s="173" t="s">
        <v>71</v>
      </c>
      <c r="D942" s="173" t="s">
        <v>4838</v>
      </c>
    </row>
    <row r="943" ht="16.5" spans="1:4">
      <c r="A943" s="173" t="s">
        <v>5997</v>
      </c>
      <c r="B943" s="173" t="s">
        <v>5997</v>
      </c>
      <c r="C943" s="173" t="s">
        <v>71</v>
      </c>
      <c r="D943" s="173" t="s">
        <v>4838</v>
      </c>
    </row>
    <row r="944" ht="16.5" spans="1:4">
      <c r="A944" s="173" t="s">
        <v>5998</v>
      </c>
      <c r="B944" s="173" t="s">
        <v>5998</v>
      </c>
      <c r="C944" s="173" t="s">
        <v>71</v>
      </c>
      <c r="D944" s="173" t="s">
        <v>4838</v>
      </c>
    </row>
    <row r="945" ht="16.5" spans="1:4">
      <c r="A945" s="173" t="s">
        <v>5999</v>
      </c>
      <c r="B945" s="173" t="s">
        <v>5999</v>
      </c>
      <c r="C945" s="173" t="s">
        <v>71</v>
      </c>
      <c r="D945" s="173" t="s">
        <v>4838</v>
      </c>
    </row>
    <row r="946" ht="16.5" spans="1:4">
      <c r="A946" s="173" t="s">
        <v>6000</v>
      </c>
      <c r="B946" s="173" t="s">
        <v>6000</v>
      </c>
      <c r="C946" s="173" t="s">
        <v>71</v>
      </c>
      <c r="D946" s="173" t="s">
        <v>4838</v>
      </c>
    </row>
    <row r="947" ht="16.5" spans="1:4">
      <c r="A947" s="173" t="s">
        <v>6001</v>
      </c>
      <c r="B947" s="173" t="s">
        <v>6001</v>
      </c>
      <c r="C947" s="173" t="s">
        <v>67</v>
      </c>
      <c r="D947" s="173" t="s">
        <v>4838</v>
      </c>
    </row>
    <row r="948" ht="16.5" spans="1:4">
      <c r="A948" s="173" t="s">
        <v>6002</v>
      </c>
      <c r="B948" s="173" t="s">
        <v>6002</v>
      </c>
      <c r="C948" s="173" t="s">
        <v>6003</v>
      </c>
      <c r="D948" s="173" t="s">
        <v>4838</v>
      </c>
    </row>
    <row r="949" ht="16.5" spans="1:4">
      <c r="A949" s="173" t="s">
        <v>6004</v>
      </c>
      <c r="B949" s="173" t="s">
        <v>6004</v>
      </c>
      <c r="C949" s="173" t="s">
        <v>26</v>
      </c>
      <c r="D949" s="173" t="s">
        <v>4838</v>
      </c>
    </row>
    <row r="950" ht="16.5" spans="1:4">
      <c r="A950" s="173" t="s">
        <v>6005</v>
      </c>
      <c r="B950" s="173" t="s">
        <v>4812</v>
      </c>
      <c r="C950" s="173" t="s">
        <v>4813</v>
      </c>
      <c r="D950" s="173" t="s">
        <v>4814</v>
      </c>
    </row>
    <row r="951" ht="16.5" spans="1:4">
      <c r="A951" s="173" t="s">
        <v>6006</v>
      </c>
      <c r="B951" s="173" t="s">
        <v>6006</v>
      </c>
      <c r="C951" s="173" t="s">
        <v>4864</v>
      </c>
      <c r="D951" s="173" t="s">
        <v>4865</v>
      </c>
    </row>
    <row r="952" ht="16.5" spans="1:4">
      <c r="A952" s="173" t="s">
        <v>6007</v>
      </c>
      <c r="B952" s="173" t="s">
        <v>6007</v>
      </c>
      <c r="C952" s="173" t="s">
        <v>6008</v>
      </c>
      <c r="D952" s="173" t="s">
        <v>6008</v>
      </c>
    </row>
    <row r="953" ht="16.5" spans="1:4">
      <c r="A953" s="173" t="s">
        <v>2712</v>
      </c>
      <c r="B953" s="173" t="s">
        <v>4830</v>
      </c>
      <c r="C953" s="173" t="s">
        <v>4831</v>
      </c>
      <c r="D953" s="173" t="s">
        <v>4832</v>
      </c>
    </row>
    <row r="954" ht="16.5" spans="1:4">
      <c r="A954" s="173" t="s">
        <v>6009</v>
      </c>
      <c r="B954" s="173" t="s">
        <v>5928</v>
      </c>
      <c r="C954" s="173" t="s">
        <v>4841</v>
      </c>
      <c r="D954" s="173" t="s">
        <v>5929</v>
      </c>
    </row>
    <row r="955" ht="16.5" spans="1:4">
      <c r="A955" s="173" t="s">
        <v>6010</v>
      </c>
      <c r="B955" s="173" t="s">
        <v>5024</v>
      </c>
      <c r="C955" s="173" t="s">
        <v>4841</v>
      </c>
      <c r="D955" s="173" t="s">
        <v>5025</v>
      </c>
    </row>
    <row r="956" ht="16.5" spans="1:4">
      <c r="A956" s="173" t="s">
        <v>6011</v>
      </c>
      <c r="B956" s="173" t="s">
        <v>5928</v>
      </c>
      <c r="C956" s="173" t="s">
        <v>4841</v>
      </c>
      <c r="D956" s="173" t="s">
        <v>5929</v>
      </c>
    </row>
    <row r="957" ht="16.5" spans="1:4">
      <c r="A957" s="173" t="s">
        <v>6012</v>
      </c>
      <c r="B957" s="173" t="s">
        <v>6012</v>
      </c>
      <c r="C957" s="173" t="s">
        <v>4841</v>
      </c>
      <c r="D957" s="173" t="s">
        <v>6013</v>
      </c>
    </row>
    <row r="958" ht="16.5" spans="1:4">
      <c r="A958" s="173" t="s">
        <v>6014</v>
      </c>
      <c r="B958" s="173" t="s">
        <v>4830</v>
      </c>
      <c r="C958" s="173" t="s">
        <v>4831</v>
      </c>
      <c r="D958" s="173" t="s">
        <v>4832</v>
      </c>
    </row>
    <row r="959" ht="16.5" spans="1:4">
      <c r="A959" s="173" t="s">
        <v>4830</v>
      </c>
      <c r="B959" s="173" t="s">
        <v>4830</v>
      </c>
      <c r="C959" s="173" t="s">
        <v>4831</v>
      </c>
      <c r="D959" s="173" t="s">
        <v>4832</v>
      </c>
    </row>
    <row r="960" ht="16.5" spans="1:4">
      <c r="A960" s="173" t="s">
        <v>6015</v>
      </c>
      <c r="B960" s="173" t="s">
        <v>4791</v>
      </c>
      <c r="C960" s="173" t="s">
        <v>4792</v>
      </c>
      <c r="D960" s="173" t="s">
        <v>4793</v>
      </c>
    </row>
    <row r="961" ht="16.5" spans="1:4">
      <c r="A961" s="173" t="s">
        <v>6016</v>
      </c>
      <c r="B961" s="173" t="s">
        <v>4812</v>
      </c>
      <c r="C961" s="173" t="s">
        <v>4813</v>
      </c>
      <c r="D961" s="173" t="s">
        <v>4814</v>
      </c>
    </row>
    <row r="962" ht="16.5" spans="1:4">
      <c r="A962" s="173" t="s">
        <v>6017</v>
      </c>
      <c r="B962" s="173" t="s">
        <v>6017</v>
      </c>
      <c r="C962" s="173" t="s">
        <v>4841</v>
      </c>
      <c r="D962" s="173" t="s">
        <v>6018</v>
      </c>
    </row>
    <row r="963" ht="16.5" spans="1:4">
      <c r="A963" s="173" t="s">
        <v>6019</v>
      </c>
      <c r="B963" s="173" t="s">
        <v>4812</v>
      </c>
      <c r="C963" s="173" t="s">
        <v>4813</v>
      </c>
      <c r="D963" s="173" t="s">
        <v>4814</v>
      </c>
    </row>
    <row r="964" ht="16.5" spans="1:4">
      <c r="A964" s="173" t="s">
        <v>6020</v>
      </c>
      <c r="B964" s="173" t="s">
        <v>6020</v>
      </c>
      <c r="C964" s="173" t="s">
        <v>6021</v>
      </c>
      <c r="D964" s="173" t="s">
        <v>6021</v>
      </c>
    </row>
    <row r="965" ht="16.5" spans="1:4">
      <c r="A965" s="173" t="s">
        <v>6022</v>
      </c>
      <c r="B965" s="173" t="s">
        <v>4791</v>
      </c>
      <c r="C965" s="173" t="s">
        <v>4792</v>
      </c>
      <c r="D965" s="173" t="s">
        <v>4793</v>
      </c>
    </row>
    <row r="966" ht="16.5" spans="1:4">
      <c r="A966" s="173" t="s">
        <v>6023</v>
      </c>
      <c r="B966" s="173" t="s">
        <v>4817</v>
      </c>
      <c r="C966" s="173" t="s">
        <v>4818</v>
      </c>
      <c r="D966" s="173" t="s">
        <v>4819</v>
      </c>
    </row>
    <row r="967" ht="16.5" spans="1:4">
      <c r="A967" s="173" t="s">
        <v>6024</v>
      </c>
      <c r="B967" s="173" t="s">
        <v>4830</v>
      </c>
      <c r="C967" s="173" t="s">
        <v>4831</v>
      </c>
      <c r="D967" s="173" t="s">
        <v>4832</v>
      </c>
    </row>
    <row r="968" ht="16.5" spans="1:4">
      <c r="A968" s="173" t="s">
        <v>6025</v>
      </c>
      <c r="B968" s="173" t="s">
        <v>4830</v>
      </c>
      <c r="C968" s="173" t="s">
        <v>4831</v>
      </c>
      <c r="D968" s="173" t="s">
        <v>4832</v>
      </c>
    </row>
    <row r="969" ht="16.5" spans="1:4">
      <c r="A969" s="173" t="s">
        <v>6026</v>
      </c>
      <c r="B969" s="173" t="s">
        <v>4830</v>
      </c>
      <c r="C969" s="173" t="s">
        <v>4831</v>
      </c>
      <c r="D969" s="173" t="s">
        <v>4832</v>
      </c>
    </row>
    <row r="970" ht="16.5" spans="1:4">
      <c r="A970" s="173" t="s">
        <v>6027</v>
      </c>
      <c r="B970" s="173" t="s">
        <v>4830</v>
      </c>
      <c r="C970" s="173" t="s">
        <v>4831</v>
      </c>
      <c r="D970" s="173" t="s">
        <v>4832</v>
      </c>
    </row>
    <row r="971" ht="16.5" spans="1:4">
      <c r="A971" s="173" t="s">
        <v>6028</v>
      </c>
      <c r="B971" s="173" t="s">
        <v>6029</v>
      </c>
      <c r="C971" s="173" t="s">
        <v>4841</v>
      </c>
      <c r="D971" s="173" t="s">
        <v>6030</v>
      </c>
    </row>
    <row r="972" ht="16.5" spans="1:4">
      <c r="A972" s="173" t="s">
        <v>6031</v>
      </c>
      <c r="B972" s="173" t="s">
        <v>6031</v>
      </c>
      <c r="C972" s="173" t="s">
        <v>6021</v>
      </c>
      <c r="D972" s="173" t="s">
        <v>6021</v>
      </c>
    </row>
    <row r="973" ht="16.5" spans="1:4">
      <c r="A973" s="173" t="s">
        <v>6032</v>
      </c>
      <c r="B973" s="173" t="s">
        <v>4795</v>
      </c>
      <c r="C973" s="173" t="s">
        <v>4796</v>
      </c>
      <c r="D973" s="173" t="s">
        <v>4797</v>
      </c>
    </row>
    <row r="974" ht="16.5" spans="1:4">
      <c r="A974" s="173" t="s">
        <v>6033</v>
      </c>
      <c r="B974" s="173" t="s">
        <v>6033</v>
      </c>
      <c r="C974" s="173" t="s">
        <v>6034</v>
      </c>
      <c r="D974" s="173" t="s">
        <v>4865</v>
      </c>
    </row>
    <row r="975" ht="16.5" spans="1:4">
      <c r="A975" s="173" t="s">
        <v>6035</v>
      </c>
      <c r="B975" s="173" t="s">
        <v>6033</v>
      </c>
      <c r="C975" s="173" t="s">
        <v>6034</v>
      </c>
      <c r="D975" s="173" t="s">
        <v>4865</v>
      </c>
    </row>
    <row r="976" ht="16.5" spans="1:4">
      <c r="A976" s="176" t="s">
        <v>6036</v>
      </c>
      <c r="B976" s="176" t="s">
        <v>5955</v>
      </c>
      <c r="C976" s="176" t="s">
        <v>4813</v>
      </c>
      <c r="D976" s="176" t="s">
        <v>5956</v>
      </c>
    </row>
    <row r="977" ht="16.5" spans="1:4">
      <c r="A977" s="173" t="s">
        <v>6037</v>
      </c>
      <c r="B977" s="173" t="s">
        <v>4812</v>
      </c>
      <c r="C977" s="173" t="s">
        <v>4813</v>
      </c>
      <c r="D977" s="173" t="s">
        <v>4814</v>
      </c>
    </row>
    <row r="978" ht="16.5" spans="1:4">
      <c r="A978" s="173" t="s">
        <v>6038</v>
      </c>
      <c r="B978" s="173" t="s">
        <v>4812</v>
      </c>
      <c r="C978" s="173" t="s">
        <v>4813</v>
      </c>
      <c r="D978" s="173" t="s">
        <v>4814</v>
      </c>
    </row>
    <row r="979" ht="16.5" spans="1:4">
      <c r="A979" s="173" t="s">
        <v>6039</v>
      </c>
      <c r="B979" s="173" t="s">
        <v>4795</v>
      </c>
      <c r="C979" s="173" t="s">
        <v>4796</v>
      </c>
      <c r="D979" s="173" t="s">
        <v>4797</v>
      </c>
    </row>
    <row r="980" ht="16.5" spans="1:4">
      <c r="A980" s="173" t="s">
        <v>6040</v>
      </c>
      <c r="B980" s="173" t="s">
        <v>4799</v>
      </c>
      <c r="C980" s="173" t="s">
        <v>4800</v>
      </c>
      <c r="D980" s="173" t="s">
        <v>4801</v>
      </c>
    </row>
    <row r="981" ht="16.5" spans="1:4">
      <c r="A981" s="173" t="s">
        <v>6041</v>
      </c>
      <c r="B981" s="173" t="s">
        <v>4795</v>
      </c>
      <c r="C981" s="173" t="s">
        <v>4796</v>
      </c>
      <c r="D981" s="173" t="s">
        <v>4797</v>
      </c>
    </row>
    <row r="982" ht="16.5" spans="1:4">
      <c r="A982" s="173" t="s">
        <v>6042</v>
      </c>
      <c r="B982" s="173" t="s">
        <v>4812</v>
      </c>
      <c r="C982" s="173" t="s">
        <v>4813</v>
      </c>
      <c r="D982" s="173" t="s">
        <v>4814</v>
      </c>
    </row>
    <row r="983" ht="16.5" spans="1:4">
      <c r="A983" s="176" t="s">
        <v>6043</v>
      </c>
      <c r="B983" s="176" t="s">
        <v>5955</v>
      </c>
      <c r="C983" s="176" t="s">
        <v>4813</v>
      </c>
      <c r="D983" s="176" t="s">
        <v>5956</v>
      </c>
    </row>
    <row r="984" ht="16.5" spans="1:4">
      <c r="A984" s="173" t="s">
        <v>6044</v>
      </c>
      <c r="B984" s="173" t="s">
        <v>6045</v>
      </c>
      <c r="C984" s="173" t="s">
        <v>4865</v>
      </c>
      <c r="D984" s="173" t="s">
        <v>4865</v>
      </c>
    </row>
    <row r="985" ht="16.5" spans="1:4">
      <c r="A985" s="173" t="s">
        <v>6045</v>
      </c>
      <c r="B985" s="173" t="s">
        <v>6045</v>
      </c>
      <c r="C985" s="173" t="s">
        <v>4865</v>
      </c>
      <c r="D985" s="173" t="s">
        <v>4865</v>
      </c>
    </row>
    <row r="986" ht="16.5" spans="1:4">
      <c r="A986" s="173" t="s">
        <v>6046</v>
      </c>
      <c r="B986" s="173" t="s">
        <v>6046</v>
      </c>
      <c r="C986" s="173" t="s">
        <v>4865</v>
      </c>
      <c r="D986" s="173" t="s">
        <v>4865</v>
      </c>
    </row>
    <row r="987" ht="16.5" spans="1:4">
      <c r="A987" s="173" t="s">
        <v>6047</v>
      </c>
      <c r="B987" s="173" t="s">
        <v>6045</v>
      </c>
      <c r="C987" s="173" t="s">
        <v>4865</v>
      </c>
      <c r="D987" s="173" t="s">
        <v>4865</v>
      </c>
    </row>
    <row r="988" ht="16.5" spans="1:4">
      <c r="A988" s="173" t="s">
        <v>6048</v>
      </c>
      <c r="B988" s="173" t="s">
        <v>4799</v>
      </c>
      <c r="C988" s="173" t="s">
        <v>4800</v>
      </c>
      <c r="D988" s="173" t="s">
        <v>4801</v>
      </c>
    </row>
    <row r="989" ht="16.5" spans="1:4">
      <c r="A989" s="173" t="s">
        <v>6049</v>
      </c>
      <c r="B989" s="173" t="s">
        <v>4799</v>
      </c>
      <c r="C989" s="173" t="s">
        <v>4800</v>
      </c>
      <c r="D989" s="173" t="s">
        <v>4801</v>
      </c>
    </row>
    <row r="990" ht="16.5" spans="1:4">
      <c r="A990" s="173" t="s">
        <v>6050</v>
      </c>
      <c r="B990" s="173" t="s">
        <v>4791</v>
      </c>
      <c r="C990" s="173" t="s">
        <v>4792</v>
      </c>
      <c r="D990" s="173" t="s">
        <v>4793</v>
      </c>
    </row>
    <row r="991" ht="16.5" spans="1:4">
      <c r="A991" s="173" t="s">
        <v>6051</v>
      </c>
      <c r="B991" s="173" t="s">
        <v>5988</v>
      </c>
      <c r="C991" s="173" t="s">
        <v>5986</v>
      </c>
      <c r="D991" s="173" t="s">
        <v>4838</v>
      </c>
    </row>
    <row r="992" ht="16.5" spans="1:4">
      <c r="A992" s="173" t="s">
        <v>6052</v>
      </c>
      <c r="B992" s="173" t="s">
        <v>4830</v>
      </c>
      <c r="C992" s="173" t="s">
        <v>4831</v>
      </c>
      <c r="D992" s="173" t="s">
        <v>4832</v>
      </c>
    </row>
    <row r="993" ht="16.5" spans="1:4">
      <c r="A993" s="173" t="s">
        <v>6053</v>
      </c>
      <c r="B993" s="173" t="s">
        <v>6053</v>
      </c>
      <c r="C993" s="173" t="s">
        <v>4841</v>
      </c>
      <c r="D993" s="173" t="s">
        <v>6054</v>
      </c>
    </row>
    <row r="994" ht="16.5" spans="1:4">
      <c r="A994" s="173" t="s">
        <v>6055</v>
      </c>
      <c r="B994" s="173" t="s">
        <v>4812</v>
      </c>
      <c r="C994" s="173" t="s">
        <v>4813</v>
      </c>
      <c r="D994" s="173" t="s">
        <v>4814</v>
      </c>
    </row>
    <row r="995" ht="16.5" spans="1:4">
      <c r="A995" s="173" t="s">
        <v>6056</v>
      </c>
      <c r="B995" s="173" t="s">
        <v>4830</v>
      </c>
      <c r="C995" s="173" t="s">
        <v>4831</v>
      </c>
      <c r="D995" s="173" t="s">
        <v>4832</v>
      </c>
    </row>
    <row r="996" ht="16.5" spans="1:4">
      <c r="A996" s="173" t="s">
        <v>6057</v>
      </c>
      <c r="B996" s="173" t="s">
        <v>6029</v>
      </c>
      <c r="C996" s="173" t="s">
        <v>4841</v>
      </c>
      <c r="D996" s="173" t="s">
        <v>6030</v>
      </c>
    </row>
    <row r="997" ht="16.5" spans="1:4">
      <c r="A997" s="173" t="s">
        <v>6058</v>
      </c>
      <c r="B997" s="173" t="s">
        <v>4812</v>
      </c>
      <c r="C997" s="173" t="s">
        <v>4813</v>
      </c>
      <c r="D997" s="173" t="s">
        <v>4814</v>
      </c>
    </row>
    <row r="998" ht="16.5" spans="1:4">
      <c r="A998" s="173" t="s">
        <v>6059</v>
      </c>
      <c r="B998" s="173" t="s">
        <v>6059</v>
      </c>
      <c r="C998" s="173" t="s">
        <v>4841</v>
      </c>
      <c r="D998" s="173" t="s">
        <v>6060</v>
      </c>
    </row>
    <row r="999" ht="16.5" spans="1:4">
      <c r="A999" s="173" t="s">
        <v>6061</v>
      </c>
      <c r="B999" s="173" t="s">
        <v>4812</v>
      </c>
      <c r="C999" s="173" t="s">
        <v>4813</v>
      </c>
      <c r="D999" s="173" t="s">
        <v>4814</v>
      </c>
    </row>
    <row r="1000" ht="16.5" spans="1:4">
      <c r="A1000" s="173" t="s">
        <v>6062</v>
      </c>
      <c r="B1000" s="173" t="s">
        <v>4830</v>
      </c>
      <c r="C1000" s="173" t="s">
        <v>4831</v>
      </c>
      <c r="D1000" s="173" t="s">
        <v>4832</v>
      </c>
    </row>
    <row r="1001" ht="16.5" spans="1:4">
      <c r="A1001" s="173" t="s">
        <v>6063</v>
      </c>
      <c r="B1001" s="173" t="s">
        <v>4812</v>
      </c>
      <c r="C1001" s="173" t="s">
        <v>4813</v>
      </c>
      <c r="D1001" s="173" t="s">
        <v>4814</v>
      </c>
    </row>
    <row r="1002" ht="16.5" spans="1:4">
      <c r="A1002" s="173" t="s">
        <v>6064</v>
      </c>
      <c r="B1002" s="173" t="s">
        <v>6064</v>
      </c>
      <c r="C1002" s="173" t="s">
        <v>4841</v>
      </c>
      <c r="D1002" s="173" t="s">
        <v>6065</v>
      </c>
    </row>
    <row r="1003" ht="16.5" spans="1:4">
      <c r="A1003" s="173" t="s">
        <v>6066</v>
      </c>
      <c r="B1003" s="173" t="s">
        <v>4812</v>
      </c>
      <c r="C1003" s="173" t="s">
        <v>4813</v>
      </c>
      <c r="D1003" s="173" t="s">
        <v>4814</v>
      </c>
    </row>
    <row r="1004" ht="16.5" spans="1:4">
      <c r="A1004" s="173" t="s">
        <v>6067</v>
      </c>
      <c r="B1004" s="173" t="s">
        <v>4830</v>
      </c>
      <c r="C1004" s="173" t="s">
        <v>4831</v>
      </c>
      <c r="D1004" s="173" t="s">
        <v>4832</v>
      </c>
    </row>
    <row r="1005" ht="16.5" spans="1:4">
      <c r="A1005" s="173" t="s">
        <v>6068</v>
      </c>
      <c r="B1005" s="173" t="s">
        <v>6068</v>
      </c>
      <c r="C1005" s="173" t="s">
        <v>4865</v>
      </c>
      <c r="D1005" s="173" t="s">
        <v>4865</v>
      </c>
    </row>
    <row r="1006" ht="16.5" spans="1:4">
      <c r="A1006" s="173" t="s">
        <v>6069</v>
      </c>
      <c r="B1006" s="173" t="s">
        <v>4812</v>
      </c>
      <c r="C1006" s="173" t="s">
        <v>4813</v>
      </c>
      <c r="D1006" s="173" t="s">
        <v>4814</v>
      </c>
    </row>
    <row r="1007" ht="16.5" spans="1:4">
      <c r="A1007" s="173" t="s">
        <v>1468</v>
      </c>
      <c r="B1007" s="173" t="s">
        <v>1468</v>
      </c>
      <c r="C1007" s="173" t="s">
        <v>71</v>
      </c>
      <c r="D1007" s="173" t="s">
        <v>4838</v>
      </c>
    </row>
    <row r="1008" ht="16.5" spans="1:4">
      <c r="A1008" s="173" t="s">
        <v>6070</v>
      </c>
      <c r="B1008" s="173" t="s">
        <v>4812</v>
      </c>
      <c r="C1008" s="173" t="s">
        <v>4813</v>
      </c>
      <c r="D1008" s="173" t="s">
        <v>4814</v>
      </c>
    </row>
    <row r="1009" ht="16.5" spans="1:4">
      <c r="A1009" s="173" t="s">
        <v>6071</v>
      </c>
      <c r="B1009" s="173" t="s">
        <v>4812</v>
      </c>
      <c r="C1009" s="173" t="s">
        <v>4813</v>
      </c>
      <c r="D1009" s="173" t="s">
        <v>4814</v>
      </c>
    </row>
    <row r="1010" ht="16.5" spans="1:4">
      <c r="A1010" s="173" t="s">
        <v>6072</v>
      </c>
      <c r="B1010" s="173" t="s">
        <v>4791</v>
      </c>
      <c r="C1010" s="173" t="s">
        <v>4792</v>
      </c>
      <c r="D1010" s="173" t="s">
        <v>4793</v>
      </c>
    </row>
    <row r="1011" ht="16.5" spans="1:4">
      <c r="A1011" s="173" t="s">
        <v>6073</v>
      </c>
      <c r="B1011" s="173" t="s">
        <v>4822</v>
      </c>
      <c r="C1011" s="173" t="s">
        <v>4823</v>
      </c>
      <c r="D1011" s="173" t="s">
        <v>4823</v>
      </c>
    </row>
    <row r="1012" ht="16.5" spans="1:4">
      <c r="A1012" s="173" t="s">
        <v>6074</v>
      </c>
      <c r="B1012" s="173" t="s">
        <v>4791</v>
      </c>
      <c r="C1012" s="173" t="s">
        <v>4792</v>
      </c>
      <c r="D1012" s="173" t="s">
        <v>4793</v>
      </c>
    </row>
    <row r="1013" ht="16.5" spans="1:4">
      <c r="A1013" s="173" t="s">
        <v>6075</v>
      </c>
      <c r="B1013" s="173" t="s">
        <v>4830</v>
      </c>
      <c r="C1013" s="173" t="s">
        <v>4831</v>
      </c>
      <c r="D1013" s="173" t="s">
        <v>4832</v>
      </c>
    </row>
    <row r="1014" ht="16.5" spans="1:4">
      <c r="A1014" s="173" t="s">
        <v>6076</v>
      </c>
      <c r="B1014" s="173" t="s">
        <v>4830</v>
      </c>
      <c r="C1014" s="173" t="s">
        <v>4831</v>
      </c>
      <c r="D1014" s="173" t="s">
        <v>4832</v>
      </c>
    </row>
    <row r="1015" ht="16.5" spans="1:4">
      <c r="A1015" s="173" t="s">
        <v>6077</v>
      </c>
      <c r="B1015" s="173" t="s">
        <v>4812</v>
      </c>
      <c r="C1015" s="173" t="s">
        <v>4813</v>
      </c>
      <c r="D1015" s="173" t="s">
        <v>4814</v>
      </c>
    </row>
    <row r="1016" ht="16.5" spans="1:4">
      <c r="A1016" s="173" t="s">
        <v>6078</v>
      </c>
      <c r="B1016" s="173" t="s">
        <v>4822</v>
      </c>
      <c r="C1016" s="173" t="s">
        <v>4823</v>
      </c>
      <c r="D1016" s="173" t="s">
        <v>4823</v>
      </c>
    </row>
    <row r="1017" ht="16.5" spans="1:4">
      <c r="A1017" s="173" t="s">
        <v>6079</v>
      </c>
      <c r="B1017" s="173" t="s">
        <v>4812</v>
      </c>
      <c r="C1017" s="173" t="s">
        <v>4813</v>
      </c>
      <c r="D1017" s="173" t="s">
        <v>4814</v>
      </c>
    </row>
    <row r="1018" ht="16.5" spans="1:4">
      <c r="A1018" s="173" t="s">
        <v>6080</v>
      </c>
      <c r="B1018" s="173" t="s">
        <v>4830</v>
      </c>
      <c r="C1018" s="173" t="s">
        <v>4831</v>
      </c>
      <c r="D1018" s="173" t="s">
        <v>4832</v>
      </c>
    </row>
    <row r="1019" ht="16.5" spans="1:4">
      <c r="A1019" s="173" t="s">
        <v>6081</v>
      </c>
      <c r="B1019" s="173" t="s">
        <v>4812</v>
      </c>
      <c r="C1019" s="173" t="s">
        <v>4813</v>
      </c>
      <c r="D1019" s="173" t="s">
        <v>4814</v>
      </c>
    </row>
    <row r="1020" ht="16.5" spans="1:4">
      <c r="A1020" s="173" t="s">
        <v>6082</v>
      </c>
      <c r="B1020" s="173" t="s">
        <v>6082</v>
      </c>
      <c r="C1020" s="173" t="s">
        <v>4864</v>
      </c>
      <c r="D1020" s="173" t="s">
        <v>4865</v>
      </c>
    </row>
    <row r="1021" ht="16.5" spans="1:4">
      <c r="A1021" s="173" t="s">
        <v>6083</v>
      </c>
      <c r="B1021" s="173" t="s">
        <v>4812</v>
      </c>
      <c r="C1021" s="173" t="s">
        <v>4813</v>
      </c>
      <c r="D1021" s="173" t="s">
        <v>4814</v>
      </c>
    </row>
    <row r="1022" ht="16.5" spans="1:4">
      <c r="A1022" s="173" t="s">
        <v>6084</v>
      </c>
      <c r="B1022" s="173" t="s">
        <v>4791</v>
      </c>
      <c r="C1022" s="173" t="s">
        <v>4792</v>
      </c>
      <c r="D1022" s="173" t="s">
        <v>4793</v>
      </c>
    </row>
    <row r="1023" ht="16.5" spans="1:4">
      <c r="A1023" s="173" t="s">
        <v>6085</v>
      </c>
      <c r="B1023" s="173" t="s">
        <v>6085</v>
      </c>
      <c r="C1023" s="173" t="s">
        <v>4865</v>
      </c>
      <c r="D1023" s="173" t="s">
        <v>4865</v>
      </c>
    </row>
    <row r="1024" ht="16.5" spans="1:4">
      <c r="A1024" s="173" t="s">
        <v>6086</v>
      </c>
      <c r="B1024" s="173" t="s">
        <v>4830</v>
      </c>
      <c r="C1024" s="173" t="s">
        <v>4831</v>
      </c>
      <c r="D1024" s="173" t="s">
        <v>4832</v>
      </c>
    </row>
    <row r="1025" ht="16.5" spans="1:4">
      <c r="A1025" s="173" t="s">
        <v>6087</v>
      </c>
      <c r="B1025" s="173" t="s">
        <v>4799</v>
      </c>
      <c r="C1025" s="173" t="s">
        <v>4800</v>
      </c>
      <c r="D1025" s="173" t="s">
        <v>4801</v>
      </c>
    </row>
    <row r="1026" ht="16.5" spans="1:4">
      <c r="A1026" s="173" t="s">
        <v>6088</v>
      </c>
      <c r="B1026" s="173" t="s">
        <v>6088</v>
      </c>
      <c r="C1026" s="173" t="s">
        <v>4841</v>
      </c>
      <c r="D1026" s="173" t="s">
        <v>6089</v>
      </c>
    </row>
    <row r="1027" ht="16.5" spans="1:4">
      <c r="A1027" s="173" t="s">
        <v>6090</v>
      </c>
      <c r="B1027" s="173" t="s">
        <v>4795</v>
      </c>
      <c r="C1027" s="173" t="s">
        <v>4796</v>
      </c>
      <c r="D1027" s="173" t="s">
        <v>4797</v>
      </c>
    </row>
    <row r="1028" ht="16.5" spans="1:4">
      <c r="A1028" s="173" t="s">
        <v>1273</v>
      </c>
      <c r="B1028" s="173" t="s">
        <v>4795</v>
      </c>
      <c r="C1028" s="173" t="s">
        <v>4796</v>
      </c>
      <c r="D1028" s="173" t="s">
        <v>4797</v>
      </c>
    </row>
    <row r="1029" ht="16.5" spans="1:4">
      <c r="A1029" s="173" t="s">
        <v>6091</v>
      </c>
      <c r="B1029" s="173" t="s">
        <v>4830</v>
      </c>
      <c r="C1029" s="173" t="s">
        <v>4831</v>
      </c>
      <c r="D1029" s="173" t="s">
        <v>4832</v>
      </c>
    </row>
    <row r="1030" ht="16.5" spans="1:4">
      <c r="A1030" s="173" t="s">
        <v>5928</v>
      </c>
      <c r="B1030" s="173" t="s">
        <v>5928</v>
      </c>
      <c r="C1030" s="173" t="s">
        <v>4841</v>
      </c>
      <c r="D1030" s="173" t="s">
        <v>5929</v>
      </c>
    </row>
    <row r="1031" ht="16.5" spans="1:4">
      <c r="A1031" s="173" t="s">
        <v>6092</v>
      </c>
      <c r="B1031" s="173" t="s">
        <v>4812</v>
      </c>
      <c r="C1031" s="173" t="s">
        <v>4813</v>
      </c>
      <c r="D1031" s="173" t="s">
        <v>4814</v>
      </c>
    </row>
    <row r="1032" ht="16.5" spans="1:4">
      <c r="A1032" s="173" t="s">
        <v>6093</v>
      </c>
      <c r="B1032" s="173" t="s">
        <v>4812</v>
      </c>
      <c r="C1032" s="173" t="s">
        <v>4813</v>
      </c>
      <c r="D1032" s="173" t="s">
        <v>4814</v>
      </c>
    </row>
    <row r="1033" ht="16.5" spans="1:4">
      <c r="A1033" s="173" t="s">
        <v>6094</v>
      </c>
      <c r="B1033" s="173" t="s">
        <v>4795</v>
      </c>
      <c r="C1033" s="173" t="s">
        <v>4796</v>
      </c>
      <c r="D1033" s="173" t="s">
        <v>4797</v>
      </c>
    </row>
    <row r="1034" ht="16.5" spans="1:4">
      <c r="A1034" s="173" t="s">
        <v>6095</v>
      </c>
      <c r="B1034" s="173" t="s">
        <v>4854</v>
      </c>
      <c r="C1034" s="173" t="s">
        <v>4855</v>
      </c>
      <c r="D1034" s="173" t="s">
        <v>4856</v>
      </c>
    </row>
    <row r="1035" ht="16.5" spans="1:4">
      <c r="A1035" s="173" t="s">
        <v>6096</v>
      </c>
      <c r="B1035" s="173" t="s">
        <v>4854</v>
      </c>
      <c r="C1035" s="174" t="s">
        <v>4855</v>
      </c>
      <c r="D1035" s="173" t="s">
        <v>4856</v>
      </c>
    </row>
    <row r="1036" ht="16.5" spans="1:4">
      <c r="A1036" s="173" t="s">
        <v>6097</v>
      </c>
      <c r="B1036" s="173" t="s">
        <v>6097</v>
      </c>
      <c r="C1036" s="174" t="s">
        <v>4855</v>
      </c>
      <c r="D1036" s="173" t="s">
        <v>6098</v>
      </c>
    </row>
    <row r="1037" ht="16.5" spans="1:4">
      <c r="A1037" s="173" t="s">
        <v>4858</v>
      </c>
      <c r="B1037" s="173" t="s">
        <v>4858</v>
      </c>
      <c r="C1037" s="173" t="s">
        <v>4859</v>
      </c>
      <c r="D1037" s="173" t="s">
        <v>4860</v>
      </c>
    </row>
    <row r="1038" ht="16.5" spans="1:4">
      <c r="A1038" s="173" t="s">
        <v>6099</v>
      </c>
      <c r="B1038" s="173" t="s">
        <v>4854</v>
      </c>
      <c r="C1038" s="174" t="s">
        <v>4855</v>
      </c>
      <c r="D1038" s="173" t="s">
        <v>4856</v>
      </c>
    </row>
    <row r="1039" ht="16.5" spans="1:4">
      <c r="A1039" s="173" t="s">
        <v>6100</v>
      </c>
      <c r="B1039" s="173" t="s">
        <v>4854</v>
      </c>
      <c r="C1039" s="173" t="s">
        <v>4855</v>
      </c>
      <c r="D1039" s="173" t="s">
        <v>4856</v>
      </c>
    </row>
    <row r="1040" ht="16.5" spans="1:4">
      <c r="A1040" s="173" t="s">
        <v>6101</v>
      </c>
      <c r="B1040" s="173" t="s">
        <v>4854</v>
      </c>
      <c r="C1040" s="173" t="s">
        <v>4855</v>
      </c>
      <c r="D1040" s="173" t="s">
        <v>4856</v>
      </c>
    </row>
    <row r="1041" ht="16.5" spans="1:4">
      <c r="A1041" s="173" t="s">
        <v>6102</v>
      </c>
      <c r="B1041" s="173" t="s">
        <v>4854</v>
      </c>
      <c r="C1041" s="173" t="s">
        <v>4855</v>
      </c>
      <c r="D1041" s="173" t="s">
        <v>4856</v>
      </c>
    </row>
    <row r="1042" ht="16.5" spans="1:4">
      <c r="A1042" s="173" t="s">
        <v>6103</v>
      </c>
      <c r="B1042" s="173" t="s">
        <v>4854</v>
      </c>
      <c r="C1042" s="173" t="s">
        <v>4855</v>
      </c>
      <c r="D1042" s="173" t="s">
        <v>4856</v>
      </c>
    </row>
    <row r="1043" ht="16.5" spans="1:4">
      <c r="A1043" s="173" t="s">
        <v>6104</v>
      </c>
      <c r="B1043" s="173" t="s">
        <v>4854</v>
      </c>
      <c r="C1043" s="173" t="s">
        <v>4855</v>
      </c>
      <c r="D1043" s="173" t="s">
        <v>4856</v>
      </c>
    </row>
    <row r="1044" ht="16.5" spans="1:4">
      <c r="A1044" s="173" t="s">
        <v>6105</v>
      </c>
      <c r="B1044" s="173" t="s">
        <v>4854</v>
      </c>
      <c r="C1044" s="174" t="s">
        <v>4855</v>
      </c>
      <c r="D1044" s="173" t="s">
        <v>4856</v>
      </c>
    </row>
    <row r="1045" ht="16.5" spans="1:4">
      <c r="A1045" s="173" t="s">
        <v>6106</v>
      </c>
      <c r="B1045" s="173" t="s">
        <v>4854</v>
      </c>
      <c r="C1045" s="174" t="s">
        <v>4855</v>
      </c>
      <c r="D1045" s="173" t="s">
        <v>4856</v>
      </c>
    </row>
    <row r="1046" ht="16.5" spans="1:4">
      <c r="A1046" s="173" t="s">
        <v>6107</v>
      </c>
      <c r="B1046" s="173" t="s">
        <v>4854</v>
      </c>
      <c r="C1046" s="174" t="s">
        <v>4855</v>
      </c>
      <c r="D1046" s="173" t="s">
        <v>4856</v>
      </c>
    </row>
    <row r="1047" ht="16.5" spans="1:4">
      <c r="A1047" s="173" t="s">
        <v>6108</v>
      </c>
      <c r="B1047" s="173" t="s">
        <v>4854</v>
      </c>
      <c r="C1047" s="174" t="s">
        <v>4855</v>
      </c>
      <c r="D1047" s="173" t="s">
        <v>4856</v>
      </c>
    </row>
    <row r="1048" ht="16.5" spans="1:4">
      <c r="A1048" s="173" t="s">
        <v>6109</v>
      </c>
      <c r="B1048" s="173" t="s">
        <v>4854</v>
      </c>
      <c r="C1048" s="174" t="s">
        <v>4855</v>
      </c>
      <c r="D1048" s="173" t="s">
        <v>4856</v>
      </c>
    </row>
    <row r="1049" ht="16.5" spans="1:4">
      <c r="A1049" s="173" t="s">
        <v>6110</v>
      </c>
      <c r="B1049" s="173" t="s">
        <v>4854</v>
      </c>
      <c r="C1049" s="174" t="s">
        <v>4855</v>
      </c>
      <c r="D1049" s="173" t="s">
        <v>4856</v>
      </c>
    </row>
    <row r="1050" ht="16.5" spans="1:4">
      <c r="A1050" s="173" t="s">
        <v>6111</v>
      </c>
      <c r="B1050" s="173" t="s">
        <v>4854</v>
      </c>
      <c r="C1050" s="174" t="s">
        <v>4855</v>
      </c>
      <c r="D1050" s="173" t="s">
        <v>4856</v>
      </c>
    </row>
    <row r="1051" ht="16.5" spans="1:4">
      <c r="A1051" s="173" t="s">
        <v>4854</v>
      </c>
      <c r="B1051" s="173" t="s">
        <v>4854</v>
      </c>
      <c r="C1051" s="174" t="s">
        <v>4855</v>
      </c>
      <c r="D1051" s="173" t="s">
        <v>4856</v>
      </c>
    </row>
    <row r="1052" ht="16.5" spans="1:4">
      <c r="A1052" s="173" t="s">
        <v>1525</v>
      </c>
      <c r="B1052" s="173" t="s">
        <v>4854</v>
      </c>
      <c r="C1052" s="173" t="s">
        <v>4855</v>
      </c>
      <c r="D1052" s="173" t="s">
        <v>4856</v>
      </c>
    </row>
    <row r="1053" ht="16.5" spans="1:4">
      <c r="A1053" s="175" t="s">
        <v>479</v>
      </c>
      <c r="B1053" s="173" t="s">
        <v>4854</v>
      </c>
      <c r="C1053" s="174" t="s">
        <v>4855</v>
      </c>
      <c r="D1053" s="173" t="s">
        <v>4856</v>
      </c>
    </row>
    <row r="1054" ht="16.5" spans="1:4">
      <c r="A1054" s="173" t="s">
        <v>760</v>
      </c>
      <c r="B1054" s="173" t="s">
        <v>4854</v>
      </c>
      <c r="C1054" s="173" t="s">
        <v>4855</v>
      </c>
      <c r="D1054" s="173" t="s">
        <v>4856</v>
      </c>
    </row>
    <row r="1055" ht="16.5" spans="1:4">
      <c r="A1055" s="173" t="s">
        <v>6112</v>
      </c>
      <c r="B1055" s="173" t="s">
        <v>4854</v>
      </c>
      <c r="C1055" s="174" t="s">
        <v>4855</v>
      </c>
      <c r="D1055" s="173" t="s">
        <v>4856</v>
      </c>
    </row>
    <row r="1056" ht="16.5" spans="1:4">
      <c r="A1056" s="173" t="s">
        <v>1963</v>
      </c>
      <c r="B1056" s="173" t="s">
        <v>4854</v>
      </c>
      <c r="C1056" s="173" t="s">
        <v>4855</v>
      </c>
      <c r="D1056" s="173" t="s">
        <v>4856</v>
      </c>
    </row>
    <row r="1057" ht="16.5" spans="1:4">
      <c r="A1057" s="173" t="s">
        <v>6113</v>
      </c>
      <c r="B1057" s="173" t="s">
        <v>6113</v>
      </c>
      <c r="C1057" s="173" t="s">
        <v>4855</v>
      </c>
      <c r="D1057" s="173" t="s">
        <v>6114</v>
      </c>
    </row>
    <row r="1058" ht="16.5" spans="1:4">
      <c r="A1058" s="173" t="s">
        <v>6115</v>
      </c>
      <c r="B1058" s="173" t="s">
        <v>4854</v>
      </c>
      <c r="C1058" s="174" t="s">
        <v>4855</v>
      </c>
      <c r="D1058" s="173" t="s">
        <v>4856</v>
      </c>
    </row>
    <row r="1059" ht="16.5" spans="1:4">
      <c r="A1059" s="173" t="s">
        <v>2880</v>
      </c>
      <c r="B1059" s="173" t="s">
        <v>4858</v>
      </c>
      <c r="C1059" s="173" t="s">
        <v>4859</v>
      </c>
      <c r="D1059" s="173" t="s">
        <v>4860</v>
      </c>
    </row>
    <row r="1060" ht="16.5" spans="1:4">
      <c r="A1060" s="173" t="s">
        <v>6116</v>
      </c>
      <c r="B1060" s="173" t="s">
        <v>4858</v>
      </c>
      <c r="C1060" s="173" t="s">
        <v>4859</v>
      </c>
      <c r="D1060" s="173" t="s">
        <v>4860</v>
      </c>
    </row>
    <row r="1061" ht="16.5" spans="1:4">
      <c r="A1061" s="173" t="s">
        <v>6117</v>
      </c>
      <c r="B1061" s="173" t="s">
        <v>4858</v>
      </c>
      <c r="C1061" s="173" t="s">
        <v>4859</v>
      </c>
      <c r="D1061" s="173" t="s">
        <v>4860</v>
      </c>
    </row>
    <row r="1062" ht="16.5" spans="1:4">
      <c r="A1062" s="173" t="s">
        <v>609</v>
      </c>
      <c r="B1062" s="173" t="s">
        <v>4858</v>
      </c>
      <c r="C1062" s="173" t="s">
        <v>4859</v>
      </c>
      <c r="D1062" s="173" t="s">
        <v>4860</v>
      </c>
    </row>
    <row r="1063" ht="16.5" spans="1:4">
      <c r="A1063" s="173" t="s">
        <v>4732</v>
      </c>
      <c r="B1063" s="173" t="s">
        <v>4858</v>
      </c>
      <c r="C1063" s="173" t="s">
        <v>4859</v>
      </c>
      <c r="D1063" s="173" t="s">
        <v>4860</v>
      </c>
    </row>
    <row r="1064" ht="16.5" spans="1:4">
      <c r="A1064" s="173" t="s">
        <v>4655</v>
      </c>
      <c r="B1064" s="173" t="s">
        <v>4858</v>
      </c>
      <c r="C1064" s="173" t="s">
        <v>4859</v>
      </c>
      <c r="D1064" s="173" t="s">
        <v>4860</v>
      </c>
    </row>
    <row r="1065" ht="16.5" spans="1:4">
      <c r="A1065" s="173" t="s">
        <v>1602</v>
      </c>
      <c r="B1065" s="173" t="s">
        <v>4858</v>
      </c>
      <c r="C1065" s="173" t="s">
        <v>4859</v>
      </c>
      <c r="D1065" s="173" t="s">
        <v>4860</v>
      </c>
    </row>
    <row r="1066" ht="16.5" spans="1:4">
      <c r="A1066" s="173" t="s">
        <v>6118</v>
      </c>
      <c r="B1066" s="173" t="s">
        <v>4812</v>
      </c>
      <c r="C1066" s="173" t="s">
        <v>4813</v>
      </c>
      <c r="D1066" s="173" t="s">
        <v>4814</v>
      </c>
    </row>
    <row r="1067" ht="16.5" spans="1:4">
      <c r="A1067" s="173" t="s">
        <v>6119</v>
      </c>
      <c r="B1067" s="173" t="s">
        <v>4812</v>
      </c>
      <c r="C1067" s="173" t="s">
        <v>4813</v>
      </c>
      <c r="D1067" s="173" t="s">
        <v>4814</v>
      </c>
    </row>
    <row r="1068" ht="16.5" spans="1:4">
      <c r="A1068" s="173" t="s">
        <v>6120</v>
      </c>
      <c r="B1068" s="173" t="s">
        <v>4795</v>
      </c>
      <c r="C1068" s="173" t="s">
        <v>4796</v>
      </c>
      <c r="D1068" s="173" t="s">
        <v>4797</v>
      </c>
    </row>
    <row r="1069" ht="16.5" spans="1:4">
      <c r="A1069" s="173" t="s">
        <v>6121</v>
      </c>
      <c r="B1069" s="173" t="s">
        <v>4795</v>
      </c>
      <c r="C1069" s="173" t="s">
        <v>4796</v>
      </c>
      <c r="D1069" s="173" t="s">
        <v>4797</v>
      </c>
    </row>
    <row r="1070" ht="16.5" spans="1:4">
      <c r="A1070" s="173" t="s">
        <v>6122</v>
      </c>
      <c r="B1070" s="173" t="s">
        <v>4920</v>
      </c>
      <c r="C1070" s="173" t="s">
        <v>4921</v>
      </c>
      <c r="D1070" s="173" t="s">
        <v>4922</v>
      </c>
    </row>
    <row r="1071" ht="16.5" spans="1:4">
      <c r="A1071" s="173" t="s">
        <v>6123</v>
      </c>
      <c r="B1071" s="173" t="s">
        <v>4920</v>
      </c>
      <c r="C1071" s="173" t="s">
        <v>4921</v>
      </c>
      <c r="D1071" s="173" t="s">
        <v>4922</v>
      </c>
    </row>
    <row r="1072" ht="16.5" spans="1:4">
      <c r="A1072" s="173" t="s">
        <v>6124</v>
      </c>
      <c r="B1072" s="173" t="s">
        <v>4812</v>
      </c>
      <c r="C1072" s="173" t="s">
        <v>4813</v>
      </c>
      <c r="D1072" s="173" t="s">
        <v>4814</v>
      </c>
    </row>
    <row r="1073" ht="16.5" spans="1:4">
      <c r="A1073" s="173" t="s">
        <v>6125</v>
      </c>
      <c r="B1073" s="173" t="s">
        <v>4795</v>
      </c>
      <c r="C1073" s="173" t="s">
        <v>4796</v>
      </c>
      <c r="D1073" s="173" t="s">
        <v>4797</v>
      </c>
    </row>
    <row r="1074" ht="16.5" spans="1:4">
      <c r="A1074" s="173" t="s">
        <v>6126</v>
      </c>
      <c r="B1074" s="173" t="s">
        <v>5961</v>
      </c>
      <c r="C1074" s="173" t="s">
        <v>5962</v>
      </c>
      <c r="D1074" s="173" t="s">
        <v>5963</v>
      </c>
    </row>
    <row r="1075" ht="16.5" spans="1:4">
      <c r="A1075" s="173" t="s">
        <v>6127</v>
      </c>
      <c r="B1075" s="173" t="s">
        <v>4920</v>
      </c>
      <c r="C1075" s="173" t="s">
        <v>4921</v>
      </c>
      <c r="D1075" s="173" t="s">
        <v>4922</v>
      </c>
    </row>
    <row r="1076" ht="16.5" spans="1:4">
      <c r="A1076" s="173" t="s">
        <v>4920</v>
      </c>
      <c r="B1076" s="173" t="s">
        <v>4920</v>
      </c>
      <c r="C1076" s="173" t="s">
        <v>4921</v>
      </c>
      <c r="D1076" s="173" t="s">
        <v>4922</v>
      </c>
    </row>
    <row r="1077" ht="16.5" spans="1:4">
      <c r="A1077" s="173" t="s">
        <v>5961</v>
      </c>
      <c r="B1077" s="173" t="s">
        <v>5961</v>
      </c>
      <c r="C1077" s="173" t="s">
        <v>5962</v>
      </c>
      <c r="D1077" s="173" t="s">
        <v>5963</v>
      </c>
    </row>
    <row r="1078" ht="16.5" spans="1:4">
      <c r="A1078" s="173" t="s">
        <v>6128</v>
      </c>
      <c r="B1078" s="173" t="s">
        <v>4817</v>
      </c>
      <c r="C1078" s="173" t="s">
        <v>4818</v>
      </c>
      <c r="D1078" s="173" t="s">
        <v>4819</v>
      </c>
    </row>
    <row r="1079" ht="16.5" spans="1:4">
      <c r="A1079" s="173" t="s">
        <v>6129</v>
      </c>
      <c r="B1079" s="173" t="s">
        <v>4830</v>
      </c>
      <c r="C1079" s="173" t="s">
        <v>4831</v>
      </c>
      <c r="D1079" s="173" t="s">
        <v>4832</v>
      </c>
    </row>
    <row r="1080" ht="16.5" spans="1:4">
      <c r="A1080" s="173" t="s">
        <v>6130</v>
      </c>
      <c r="B1080" s="173" t="s">
        <v>4817</v>
      </c>
      <c r="C1080" s="173" t="s">
        <v>4818</v>
      </c>
      <c r="D1080" s="173" t="s">
        <v>4819</v>
      </c>
    </row>
    <row r="1081" ht="16.5" spans="1:4">
      <c r="A1081" s="173" t="s">
        <v>6131</v>
      </c>
      <c r="B1081" s="173" t="s">
        <v>4817</v>
      </c>
      <c r="C1081" s="173" t="s">
        <v>4818</v>
      </c>
      <c r="D1081" s="173" t="s">
        <v>4819</v>
      </c>
    </row>
    <row r="1082" ht="16.5" spans="1:4">
      <c r="A1082" s="173" t="s">
        <v>6132</v>
      </c>
      <c r="B1082" s="173" t="s">
        <v>4817</v>
      </c>
      <c r="C1082" s="173" t="s">
        <v>4818</v>
      </c>
      <c r="D1082" s="173" t="s">
        <v>4819</v>
      </c>
    </row>
    <row r="1083" ht="16.5" spans="1:4">
      <c r="A1083" s="173" t="s">
        <v>6133</v>
      </c>
      <c r="B1083" s="173" t="s">
        <v>4817</v>
      </c>
      <c r="C1083" s="173" t="s">
        <v>4818</v>
      </c>
      <c r="D1083" s="173" t="s">
        <v>4819</v>
      </c>
    </row>
    <row r="1084" ht="16.5" spans="1:4">
      <c r="A1084" s="173" t="s">
        <v>6134</v>
      </c>
      <c r="B1084" s="173" t="s">
        <v>5764</v>
      </c>
      <c r="C1084" s="173" t="s">
        <v>4841</v>
      </c>
      <c r="D1084" s="173" t="s">
        <v>5765</v>
      </c>
    </row>
    <row r="1085" ht="16.5" spans="1:4">
      <c r="A1085" s="173" t="s">
        <v>6135</v>
      </c>
      <c r="B1085" s="173" t="s">
        <v>4812</v>
      </c>
      <c r="C1085" s="173" t="s">
        <v>4813</v>
      </c>
      <c r="D1085" s="173" t="s">
        <v>4814</v>
      </c>
    </row>
    <row r="1086" ht="16.5" spans="1:4">
      <c r="A1086" s="173" t="s">
        <v>6136</v>
      </c>
      <c r="B1086" s="173" t="s">
        <v>4795</v>
      </c>
      <c r="C1086" s="173" t="s">
        <v>4796</v>
      </c>
      <c r="D1086" s="173" t="s">
        <v>4797</v>
      </c>
    </row>
    <row r="1087" ht="16.5" spans="1:4">
      <c r="A1087" s="173" t="s">
        <v>1294</v>
      </c>
      <c r="B1087" s="173" t="s">
        <v>4854</v>
      </c>
      <c r="C1087" s="173" t="s">
        <v>4855</v>
      </c>
      <c r="D1087" s="173" t="s">
        <v>4856</v>
      </c>
    </row>
    <row r="1088" ht="16.5" spans="1:4">
      <c r="A1088" s="173" t="s">
        <v>6137</v>
      </c>
      <c r="B1088" s="173" t="s">
        <v>4854</v>
      </c>
      <c r="C1088" s="174" t="s">
        <v>4855</v>
      </c>
      <c r="D1088" s="173" t="s">
        <v>4856</v>
      </c>
    </row>
    <row r="1089" ht="16.5" spans="1:4">
      <c r="A1089" s="173" t="s">
        <v>6138</v>
      </c>
      <c r="B1089" s="173" t="s">
        <v>6138</v>
      </c>
      <c r="C1089" s="173" t="s">
        <v>4865</v>
      </c>
      <c r="D1089" s="173" t="s">
        <v>4865</v>
      </c>
    </row>
    <row r="1090" ht="16.5" spans="1:4">
      <c r="A1090" s="173" t="s">
        <v>6139</v>
      </c>
      <c r="B1090" s="173" t="s">
        <v>6139</v>
      </c>
      <c r="C1090" s="173" t="s">
        <v>4864</v>
      </c>
      <c r="D1090" s="173" t="s">
        <v>4865</v>
      </c>
    </row>
    <row r="1091" ht="16.5" spans="1:4">
      <c r="A1091" s="173" t="s">
        <v>6140</v>
      </c>
      <c r="B1091" s="173" t="s">
        <v>4812</v>
      </c>
      <c r="C1091" s="173" t="s">
        <v>4813</v>
      </c>
      <c r="D1091" s="173" t="s">
        <v>4814</v>
      </c>
    </row>
    <row r="1092" ht="16.5" spans="1:4">
      <c r="A1092" s="173" t="s">
        <v>6141</v>
      </c>
      <c r="B1092" s="173" t="s">
        <v>4791</v>
      </c>
      <c r="C1092" s="173" t="s">
        <v>4792</v>
      </c>
      <c r="D1092" s="173" t="s">
        <v>4793</v>
      </c>
    </row>
    <row r="1093" ht="16.5" spans="1:4">
      <c r="A1093" s="173" t="s">
        <v>6142</v>
      </c>
      <c r="B1093" s="173" t="s">
        <v>4791</v>
      </c>
      <c r="C1093" s="173" t="s">
        <v>4792</v>
      </c>
      <c r="D1093" s="173" t="s">
        <v>4793</v>
      </c>
    </row>
    <row r="1094" ht="16.5" spans="1:4">
      <c r="A1094" s="173" t="s">
        <v>6143</v>
      </c>
      <c r="B1094" s="173" t="s">
        <v>4817</v>
      </c>
      <c r="C1094" s="173" t="s">
        <v>4818</v>
      </c>
      <c r="D1094" s="173" t="s">
        <v>4819</v>
      </c>
    </row>
    <row r="1095" ht="16.5" spans="1:4">
      <c r="A1095" s="173" t="s">
        <v>6144</v>
      </c>
      <c r="B1095" s="173" t="s">
        <v>4830</v>
      </c>
      <c r="C1095" s="173" t="s">
        <v>4831</v>
      </c>
      <c r="D1095" s="173" t="s">
        <v>4832</v>
      </c>
    </row>
    <row r="1096" ht="16.5" spans="1:4">
      <c r="A1096" s="173" t="s">
        <v>1283</v>
      </c>
      <c r="B1096" s="173" t="s">
        <v>4858</v>
      </c>
      <c r="C1096" s="173" t="s">
        <v>4859</v>
      </c>
      <c r="D1096" s="173" t="s">
        <v>4860</v>
      </c>
    </row>
    <row r="1097" ht="16.5" spans="1:4">
      <c r="A1097" s="173" t="s">
        <v>6145</v>
      </c>
      <c r="B1097" s="173" t="s">
        <v>4791</v>
      </c>
      <c r="C1097" s="173" t="s">
        <v>4792</v>
      </c>
      <c r="D1097" s="173" t="s">
        <v>4793</v>
      </c>
    </row>
    <row r="1098" ht="16.5" spans="1:4">
      <c r="A1098" s="173" t="s">
        <v>6146</v>
      </c>
      <c r="B1098" s="173" t="s">
        <v>4817</v>
      </c>
      <c r="C1098" s="173" t="s">
        <v>4818</v>
      </c>
      <c r="D1098" s="173" t="s">
        <v>4819</v>
      </c>
    </row>
    <row r="1099" ht="16.5" spans="1:4">
      <c r="A1099" s="173" t="s">
        <v>6147</v>
      </c>
      <c r="B1099" s="173" t="s">
        <v>4830</v>
      </c>
      <c r="C1099" s="173" t="s">
        <v>4831</v>
      </c>
      <c r="D1099" s="173" t="s">
        <v>4832</v>
      </c>
    </row>
    <row r="1100" ht="16.5" spans="1:4">
      <c r="A1100" s="173" t="s">
        <v>6148</v>
      </c>
      <c r="B1100" s="173" t="s">
        <v>4791</v>
      </c>
      <c r="C1100" s="173" t="s">
        <v>4792</v>
      </c>
      <c r="D1100" s="173" t="s">
        <v>4793</v>
      </c>
    </row>
    <row r="1101" ht="16.5" spans="1:4">
      <c r="A1101" s="173" t="s">
        <v>6149</v>
      </c>
      <c r="B1101" s="173" t="s">
        <v>6149</v>
      </c>
      <c r="C1101" s="173" t="s">
        <v>4864</v>
      </c>
      <c r="D1101" s="173" t="s">
        <v>4865</v>
      </c>
    </row>
    <row r="1102" ht="16.5" spans="1:4">
      <c r="A1102" s="173" t="s">
        <v>6150</v>
      </c>
      <c r="B1102" s="173" t="s">
        <v>4791</v>
      </c>
      <c r="C1102" s="173" t="s">
        <v>4792</v>
      </c>
      <c r="D1102" s="173" t="s">
        <v>4793</v>
      </c>
    </row>
    <row r="1103" ht="16.5" spans="1:4">
      <c r="A1103" s="173" t="s">
        <v>6151</v>
      </c>
      <c r="B1103" s="173" t="s">
        <v>6151</v>
      </c>
      <c r="C1103" s="173" t="s">
        <v>4865</v>
      </c>
      <c r="D1103" s="173" t="s">
        <v>4865</v>
      </c>
    </row>
    <row r="1104" ht="16.5" spans="1:4">
      <c r="A1104" s="173" t="s">
        <v>6152</v>
      </c>
      <c r="B1104" s="173" t="s">
        <v>6152</v>
      </c>
      <c r="C1104" s="173" t="s">
        <v>4865</v>
      </c>
      <c r="D1104" s="173" t="s">
        <v>4865</v>
      </c>
    </row>
    <row r="1105" ht="16.5" spans="1:4">
      <c r="A1105" s="173" t="s">
        <v>6153</v>
      </c>
      <c r="B1105" s="173" t="s">
        <v>6152</v>
      </c>
      <c r="C1105" s="173" t="s">
        <v>4865</v>
      </c>
      <c r="D1105" s="173" t="s">
        <v>4865</v>
      </c>
    </row>
    <row r="1106" ht="16.5" spans="1:4">
      <c r="A1106" s="173" t="s">
        <v>6154</v>
      </c>
      <c r="B1106" s="173" t="s">
        <v>6152</v>
      </c>
      <c r="C1106" s="173" t="s">
        <v>4865</v>
      </c>
      <c r="D1106" s="173" t="s">
        <v>4865</v>
      </c>
    </row>
    <row r="1107" ht="16.5" spans="1:4">
      <c r="A1107" s="173" t="s">
        <v>6155</v>
      </c>
      <c r="B1107" s="173" t="s">
        <v>6152</v>
      </c>
      <c r="C1107" s="173" t="s">
        <v>4865</v>
      </c>
      <c r="D1107" s="173" t="s">
        <v>4865</v>
      </c>
    </row>
    <row r="1108" ht="16.5" spans="1:4">
      <c r="A1108" s="173" t="s">
        <v>6156</v>
      </c>
      <c r="B1108" s="173" t="s">
        <v>6156</v>
      </c>
      <c r="C1108" s="173" t="s">
        <v>6157</v>
      </c>
      <c r="D1108" s="173" t="s">
        <v>6158</v>
      </c>
    </row>
    <row r="1109" ht="16.5" spans="1:4">
      <c r="A1109" s="173" t="s">
        <v>6159</v>
      </c>
      <c r="B1109" s="173" t="s">
        <v>4812</v>
      </c>
      <c r="C1109" s="173" t="s">
        <v>4813</v>
      </c>
      <c r="D1109" s="173" t="s">
        <v>4814</v>
      </c>
    </row>
    <row r="1110" ht="16.5" spans="1:4">
      <c r="A1110" s="173" t="s">
        <v>6160</v>
      </c>
      <c r="B1110" s="173" t="s">
        <v>4812</v>
      </c>
      <c r="C1110" s="173" t="s">
        <v>4813</v>
      </c>
      <c r="D1110" s="173" t="s">
        <v>4814</v>
      </c>
    </row>
    <row r="1111" ht="16.5" spans="1:4">
      <c r="A1111" s="173" t="s">
        <v>6161</v>
      </c>
      <c r="B1111" s="173" t="s">
        <v>4812</v>
      </c>
      <c r="C1111" s="173" t="s">
        <v>4813</v>
      </c>
      <c r="D1111" s="173" t="s">
        <v>4814</v>
      </c>
    </row>
    <row r="1112" ht="16.5" spans="1:4">
      <c r="A1112" s="173" t="s">
        <v>6162</v>
      </c>
      <c r="B1112" s="173" t="s">
        <v>4812</v>
      </c>
      <c r="C1112" s="173" t="s">
        <v>4813</v>
      </c>
      <c r="D1112" s="173" t="s">
        <v>4814</v>
      </c>
    </row>
    <row r="1113" ht="16.5" spans="1:4">
      <c r="A1113" s="173" t="s">
        <v>6163</v>
      </c>
      <c r="B1113" s="173" t="s">
        <v>4812</v>
      </c>
      <c r="C1113" s="173" t="s">
        <v>4813</v>
      </c>
      <c r="D1113" s="173" t="s">
        <v>4814</v>
      </c>
    </row>
    <row r="1114" ht="16.5" spans="1:4">
      <c r="A1114" s="173" t="s">
        <v>6164</v>
      </c>
      <c r="B1114" s="173" t="s">
        <v>6164</v>
      </c>
      <c r="C1114" s="173" t="s">
        <v>4865</v>
      </c>
      <c r="D1114" s="173" t="s">
        <v>4865</v>
      </c>
    </row>
    <row r="1115" ht="16.5" spans="1:4">
      <c r="A1115" s="173" t="s">
        <v>6165</v>
      </c>
      <c r="B1115" s="173" t="s">
        <v>4795</v>
      </c>
      <c r="C1115" s="173" t="s">
        <v>4796</v>
      </c>
      <c r="D1115" s="173" t="s">
        <v>4797</v>
      </c>
    </row>
    <row r="1116" ht="16.5" spans="1:4">
      <c r="A1116" s="173" t="s">
        <v>6166</v>
      </c>
      <c r="B1116" s="173" t="s">
        <v>4830</v>
      </c>
      <c r="C1116" s="173" t="s">
        <v>4831</v>
      </c>
      <c r="D1116" s="173" t="s">
        <v>4832</v>
      </c>
    </row>
    <row r="1117" ht="16.5" spans="1:4">
      <c r="A1117" s="173" t="s">
        <v>6167</v>
      </c>
      <c r="B1117" s="173" t="s">
        <v>4840</v>
      </c>
      <c r="C1117" s="173" t="s">
        <v>4841</v>
      </c>
      <c r="D1117" s="173" t="s">
        <v>4842</v>
      </c>
    </row>
    <row r="1118" ht="16.5" spans="1:4">
      <c r="A1118" s="173" t="s">
        <v>1406</v>
      </c>
      <c r="B1118" s="173" t="s">
        <v>1406</v>
      </c>
      <c r="C1118" s="173" t="s">
        <v>6168</v>
      </c>
      <c r="D1118" s="173" t="s">
        <v>6168</v>
      </c>
    </row>
    <row r="1119" ht="16.5" spans="1:4">
      <c r="A1119" s="173" t="s">
        <v>6169</v>
      </c>
      <c r="B1119" s="173" t="s">
        <v>6169</v>
      </c>
      <c r="C1119" s="173" t="s">
        <v>4847</v>
      </c>
      <c r="D1119" s="173" t="s">
        <v>4838</v>
      </c>
    </row>
    <row r="1120" ht="16.5" spans="1:4">
      <c r="A1120" s="173" t="s">
        <v>6170</v>
      </c>
      <c r="B1120" s="173" t="s">
        <v>6170</v>
      </c>
      <c r="C1120" s="173" t="s">
        <v>4847</v>
      </c>
      <c r="D1120" s="173" t="s">
        <v>4838</v>
      </c>
    </row>
    <row r="1121" ht="16.5" spans="1:4">
      <c r="A1121" s="173" t="s">
        <v>6171</v>
      </c>
      <c r="B1121" s="173" t="s">
        <v>6171</v>
      </c>
      <c r="C1121" s="173" t="s">
        <v>4847</v>
      </c>
      <c r="D1121" s="173" t="s">
        <v>4838</v>
      </c>
    </row>
    <row r="1122" ht="16.5" spans="1:4">
      <c r="A1122" s="173" t="s">
        <v>594</v>
      </c>
      <c r="B1122" s="173" t="s">
        <v>594</v>
      </c>
      <c r="C1122" s="173" t="s">
        <v>66</v>
      </c>
      <c r="D1122" s="173" t="s">
        <v>4838</v>
      </c>
    </row>
    <row r="1123" ht="16.5" spans="1:4">
      <c r="A1123" s="173" t="s">
        <v>6172</v>
      </c>
      <c r="B1123" s="173" t="s">
        <v>6172</v>
      </c>
      <c r="C1123" s="173" t="s">
        <v>5983</v>
      </c>
      <c r="D1123" s="173" t="s">
        <v>4838</v>
      </c>
    </row>
    <row r="1124" ht="16.5" spans="1:4">
      <c r="A1124" s="173" t="s">
        <v>235</v>
      </c>
      <c r="B1124" s="173" t="s">
        <v>235</v>
      </c>
      <c r="C1124" s="173" t="s">
        <v>68</v>
      </c>
      <c r="D1124" s="173" t="s">
        <v>4838</v>
      </c>
    </row>
    <row r="1125" ht="16.5" spans="1:4">
      <c r="A1125" s="173" t="s">
        <v>6173</v>
      </c>
      <c r="B1125" s="173" t="s">
        <v>6173</v>
      </c>
      <c r="C1125" s="173" t="s">
        <v>6174</v>
      </c>
      <c r="D1125" s="173" t="s">
        <v>4838</v>
      </c>
    </row>
    <row r="1126" ht="16.5" spans="1:4">
      <c r="A1126" s="177" t="s">
        <v>6175</v>
      </c>
      <c r="B1126" s="177" t="s">
        <v>6175</v>
      </c>
      <c r="C1126" s="173" t="s">
        <v>5986</v>
      </c>
      <c r="D1126" s="173" t="s">
        <v>4838</v>
      </c>
    </row>
    <row r="1127" ht="16.5" spans="1:4">
      <c r="A1127" s="173" t="s">
        <v>4627</v>
      </c>
      <c r="B1127" s="173" t="s">
        <v>4627</v>
      </c>
      <c r="C1127" s="173" t="s">
        <v>5986</v>
      </c>
      <c r="D1127" s="173" t="s">
        <v>4838</v>
      </c>
    </row>
    <row r="1128" ht="16.5" spans="1:4">
      <c r="A1128" s="173" t="s">
        <v>148</v>
      </c>
      <c r="B1128" s="173" t="s">
        <v>148</v>
      </c>
      <c r="C1128" s="173" t="s">
        <v>5986</v>
      </c>
      <c r="D1128" s="173" t="s">
        <v>4838</v>
      </c>
    </row>
    <row r="1129" ht="16.5" spans="1:4">
      <c r="A1129" s="173" t="s">
        <v>154</v>
      </c>
      <c r="B1129" s="173" t="s">
        <v>154</v>
      </c>
      <c r="C1129" s="173" t="s">
        <v>69</v>
      </c>
      <c r="D1129" s="173" t="s">
        <v>4838</v>
      </c>
    </row>
    <row r="1130" ht="16.5" spans="1:4">
      <c r="A1130" s="173" t="s">
        <v>6176</v>
      </c>
      <c r="B1130" s="173" t="s">
        <v>6176</v>
      </c>
      <c r="C1130" s="173" t="s">
        <v>6177</v>
      </c>
      <c r="D1130" s="173" t="s">
        <v>4838</v>
      </c>
    </row>
    <row r="1131" ht="16.5" spans="1:4">
      <c r="A1131" s="173" t="s">
        <v>6178</v>
      </c>
      <c r="B1131" s="173" t="s">
        <v>6178</v>
      </c>
      <c r="C1131" s="173" t="s">
        <v>6179</v>
      </c>
      <c r="D1131" s="173" t="s">
        <v>4838</v>
      </c>
    </row>
    <row r="1132" ht="16.5" spans="1:4">
      <c r="A1132" s="173" t="s">
        <v>6180</v>
      </c>
      <c r="B1132" s="173" t="s">
        <v>6180</v>
      </c>
      <c r="C1132" s="173" t="s">
        <v>5991</v>
      </c>
      <c r="D1132" s="173" t="s">
        <v>4838</v>
      </c>
    </row>
    <row r="1133" ht="16.5" spans="1:4">
      <c r="A1133" s="173" t="s">
        <v>205</v>
      </c>
      <c r="B1133" s="173" t="s">
        <v>205</v>
      </c>
      <c r="C1133" s="173" t="s">
        <v>72</v>
      </c>
      <c r="D1133" s="173" t="s">
        <v>4838</v>
      </c>
    </row>
    <row r="1134" ht="16.5" spans="1:4">
      <c r="A1134" s="173" t="s">
        <v>6181</v>
      </c>
      <c r="B1134" s="173" t="s">
        <v>6181</v>
      </c>
      <c r="C1134" s="173" t="s">
        <v>4838</v>
      </c>
      <c r="D1134" s="173" t="s">
        <v>4838</v>
      </c>
    </row>
    <row r="1135" ht="16.5" spans="1:4">
      <c r="A1135" s="173" t="s">
        <v>6182</v>
      </c>
      <c r="B1135" s="173" t="s">
        <v>6182</v>
      </c>
      <c r="C1135" s="173" t="s">
        <v>70</v>
      </c>
      <c r="D1135" s="173" t="s">
        <v>4838</v>
      </c>
    </row>
    <row r="1136" ht="16.5" spans="1:4">
      <c r="A1136" s="173" t="s">
        <v>180</v>
      </c>
      <c r="B1136" s="173" t="s">
        <v>180</v>
      </c>
      <c r="C1136" s="173" t="s">
        <v>70</v>
      </c>
      <c r="D1136" s="173" t="s">
        <v>4838</v>
      </c>
    </row>
    <row r="1137" ht="16.5" spans="1:4">
      <c r="A1137" s="173" t="s">
        <v>6183</v>
      </c>
      <c r="B1137" s="173" t="s">
        <v>6183</v>
      </c>
      <c r="C1137" s="173" t="s">
        <v>5994</v>
      </c>
      <c r="D1137" s="173" t="s">
        <v>4838</v>
      </c>
    </row>
    <row r="1138" ht="16.5" spans="1:4">
      <c r="A1138" s="173" t="s">
        <v>6184</v>
      </c>
      <c r="B1138" s="173" t="s">
        <v>6184</v>
      </c>
      <c r="C1138" s="173" t="s">
        <v>31</v>
      </c>
      <c r="D1138" s="173" t="s">
        <v>4838</v>
      </c>
    </row>
    <row r="1139" ht="16.5" spans="1:4">
      <c r="A1139" s="173" t="s">
        <v>3307</v>
      </c>
      <c r="B1139" s="173" t="s">
        <v>3307</v>
      </c>
      <c r="C1139" s="173" t="s">
        <v>37</v>
      </c>
      <c r="D1139" s="173" t="s">
        <v>4838</v>
      </c>
    </row>
    <row r="1140" ht="16.5" spans="1:4">
      <c r="A1140" s="173" t="s">
        <v>6185</v>
      </c>
      <c r="B1140" s="173" t="s">
        <v>6185</v>
      </c>
      <c r="C1140" s="173" t="s">
        <v>6186</v>
      </c>
      <c r="D1140" s="173" t="s">
        <v>4838</v>
      </c>
    </row>
    <row r="1141" ht="16.5" spans="1:4">
      <c r="A1141" s="173" t="s">
        <v>6187</v>
      </c>
      <c r="B1141" s="173" t="s">
        <v>6187</v>
      </c>
      <c r="C1141" s="173" t="s">
        <v>6188</v>
      </c>
      <c r="D1141" s="173" t="s">
        <v>4838</v>
      </c>
    </row>
    <row r="1142" ht="16.5" spans="1:4">
      <c r="A1142" s="177" t="s">
        <v>6189</v>
      </c>
      <c r="B1142" s="177" t="s">
        <v>6189</v>
      </c>
      <c r="C1142" s="173" t="s">
        <v>71</v>
      </c>
      <c r="D1142" s="173" t="s">
        <v>4838</v>
      </c>
    </row>
    <row r="1143" ht="16.5" spans="1:4">
      <c r="A1143" s="173" t="s">
        <v>1175</v>
      </c>
      <c r="B1143" s="173" t="s">
        <v>1175</v>
      </c>
      <c r="C1143" s="173" t="s">
        <v>29</v>
      </c>
      <c r="D1143" s="173" t="s">
        <v>4838</v>
      </c>
    </row>
    <row r="1144" ht="16.5" spans="1:4">
      <c r="A1144" s="173" t="s">
        <v>6190</v>
      </c>
      <c r="B1144" s="173" t="s">
        <v>6190</v>
      </c>
      <c r="C1144" s="173" t="s">
        <v>6190</v>
      </c>
      <c r="D1144" s="173" t="s">
        <v>4838</v>
      </c>
    </row>
    <row r="1145" ht="16.5" spans="1:4">
      <c r="A1145" s="173" t="s">
        <v>6191</v>
      </c>
      <c r="B1145" s="173" t="s">
        <v>6191</v>
      </c>
      <c r="C1145" s="173" t="s">
        <v>6192</v>
      </c>
      <c r="D1145" s="173" t="s">
        <v>4838</v>
      </c>
    </row>
    <row r="1146" ht="16.5" spans="1:4">
      <c r="A1146" s="173" t="s">
        <v>6193</v>
      </c>
      <c r="B1146" s="173" t="s">
        <v>6193</v>
      </c>
      <c r="C1146" s="173" t="s">
        <v>6194</v>
      </c>
      <c r="D1146" s="173" t="s">
        <v>4838</v>
      </c>
    </row>
    <row r="1147" ht="16.5" spans="1:4">
      <c r="A1147" s="173" t="s">
        <v>6195</v>
      </c>
      <c r="B1147" s="173" t="s">
        <v>6195</v>
      </c>
      <c r="C1147" s="173" t="s">
        <v>28</v>
      </c>
      <c r="D1147" s="173" t="s">
        <v>4838</v>
      </c>
    </row>
    <row r="1148" ht="16.5" spans="1:4">
      <c r="A1148" s="173" t="s">
        <v>6196</v>
      </c>
      <c r="B1148" s="173" t="s">
        <v>6196</v>
      </c>
      <c r="C1148" s="173" t="s">
        <v>6197</v>
      </c>
      <c r="D1148" s="173" t="s">
        <v>4838</v>
      </c>
    </row>
    <row r="1149" ht="16.5" spans="1:4">
      <c r="A1149" s="177" t="s">
        <v>6198</v>
      </c>
      <c r="B1149" s="177" t="s">
        <v>6198</v>
      </c>
      <c r="C1149" s="173" t="s">
        <v>71</v>
      </c>
      <c r="D1149" s="173" t="s">
        <v>4838</v>
      </c>
    </row>
    <row r="1150" ht="16.5" spans="1:4">
      <c r="A1150" s="177" t="s">
        <v>6199</v>
      </c>
      <c r="B1150" s="177" t="s">
        <v>6199</v>
      </c>
      <c r="C1150" s="173" t="s">
        <v>71</v>
      </c>
      <c r="D1150" s="173" t="s">
        <v>4838</v>
      </c>
    </row>
    <row r="1151" ht="16.5" spans="1:4">
      <c r="A1151" s="173" t="s">
        <v>6200</v>
      </c>
      <c r="B1151" s="173" t="s">
        <v>6200</v>
      </c>
      <c r="C1151" s="173" t="s">
        <v>6200</v>
      </c>
      <c r="D1151" s="173" t="s">
        <v>4838</v>
      </c>
    </row>
    <row r="1152" ht="16.5" spans="1:4">
      <c r="A1152" s="173" t="s">
        <v>6201</v>
      </c>
      <c r="B1152" s="173" t="s">
        <v>6201</v>
      </c>
      <c r="C1152" s="173" t="s">
        <v>6202</v>
      </c>
      <c r="D1152" s="173" t="s">
        <v>4838</v>
      </c>
    </row>
    <row r="1153" ht="16.5" spans="1:4">
      <c r="A1153" s="173" t="s">
        <v>485</v>
      </c>
      <c r="B1153" s="173" t="s">
        <v>485</v>
      </c>
      <c r="C1153" s="173" t="s">
        <v>71</v>
      </c>
      <c r="D1153" s="173" t="s">
        <v>4838</v>
      </c>
    </row>
    <row r="1154" ht="16.5" spans="1:4">
      <c r="A1154" s="173" t="s">
        <v>6203</v>
      </c>
      <c r="B1154" s="173" t="s">
        <v>6203</v>
      </c>
      <c r="C1154" s="173" t="s">
        <v>6204</v>
      </c>
      <c r="D1154" s="173" t="s">
        <v>4838</v>
      </c>
    </row>
    <row r="1155" ht="16.5" spans="1:4">
      <c r="A1155" s="173" t="s">
        <v>6205</v>
      </c>
      <c r="B1155" s="173" t="s">
        <v>6206</v>
      </c>
      <c r="C1155" s="173" t="s">
        <v>4864</v>
      </c>
      <c r="D1155" s="173" t="s">
        <v>4865</v>
      </c>
    </row>
    <row r="1156" ht="16.5" spans="1:4">
      <c r="A1156" s="173" t="s">
        <v>6206</v>
      </c>
      <c r="B1156" s="173" t="s">
        <v>6206</v>
      </c>
      <c r="C1156" s="173" t="s">
        <v>4864</v>
      </c>
      <c r="D1156" s="173" t="s">
        <v>4865</v>
      </c>
    </row>
    <row r="1157" ht="16.5" spans="1:4">
      <c r="A1157" s="173" t="s">
        <v>259</v>
      </c>
      <c r="B1157" s="173" t="s">
        <v>259</v>
      </c>
      <c r="C1157" s="173" t="s">
        <v>67</v>
      </c>
      <c r="D1157" s="173" t="s">
        <v>4838</v>
      </c>
    </row>
    <row r="1158" ht="16.5" spans="1:4">
      <c r="A1158" s="173" t="s">
        <v>6207</v>
      </c>
      <c r="B1158" s="173" t="s">
        <v>6207</v>
      </c>
      <c r="C1158" s="173" t="s">
        <v>6208</v>
      </c>
      <c r="D1158" s="173" t="s">
        <v>4838</v>
      </c>
    </row>
    <row r="1159" ht="16.5" spans="1:4">
      <c r="A1159" s="173" t="s">
        <v>6209</v>
      </c>
      <c r="B1159" s="173" t="s">
        <v>6209</v>
      </c>
      <c r="C1159" s="173" t="s">
        <v>6210</v>
      </c>
      <c r="D1159" s="173" t="s">
        <v>4838</v>
      </c>
    </row>
    <row r="1160" ht="16.5" spans="1:4">
      <c r="A1160" s="173" t="s">
        <v>6211</v>
      </c>
      <c r="B1160" s="173" t="s">
        <v>6211</v>
      </c>
      <c r="C1160" s="173" t="s">
        <v>6003</v>
      </c>
      <c r="D1160" s="173" t="s">
        <v>4838</v>
      </c>
    </row>
    <row r="1161" ht="16.5" spans="1:4">
      <c r="A1161" s="173" t="s">
        <v>294</v>
      </c>
      <c r="B1161" s="173" t="s">
        <v>294</v>
      </c>
      <c r="C1161" s="173" t="s">
        <v>26</v>
      </c>
      <c r="D1161" s="173" t="s">
        <v>4838</v>
      </c>
    </row>
    <row r="1162" ht="16.5" spans="1:4">
      <c r="A1162" s="173" t="s">
        <v>6212</v>
      </c>
      <c r="B1162" s="173" t="s">
        <v>4795</v>
      </c>
      <c r="C1162" s="173" t="s">
        <v>4796</v>
      </c>
      <c r="D1162" s="173" t="s">
        <v>4797</v>
      </c>
    </row>
    <row r="1163" ht="16.5" spans="1:4">
      <c r="A1163" s="173" t="s">
        <v>6213</v>
      </c>
      <c r="B1163" s="173" t="s">
        <v>6213</v>
      </c>
      <c r="C1163" s="173" t="s">
        <v>6214</v>
      </c>
      <c r="D1163" s="173" t="s">
        <v>6214</v>
      </c>
    </row>
    <row r="1164" ht="16.5" spans="1:4">
      <c r="A1164" s="173" t="s">
        <v>301</v>
      </c>
      <c r="B1164" s="173" t="s">
        <v>301</v>
      </c>
      <c r="C1164" s="173" t="s">
        <v>6215</v>
      </c>
      <c r="D1164" s="173" t="s">
        <v>4838</v>
      </c>
    </row>
    <row r="1165" ht="16.5" spans="1:4">
      <c r="A1165" s="173" t="s">
        <v>6216</v>
      </c>
      <c r="B1165" s="173" t="s">
        <v>6216</v>
      </c>
      <c r="C1165" s="173" t="s">
        <v>6217</v>
      </c>
      <c r="D1165" s="173" t="s">
        <v>6217</v>
      </c>
    </row>
    <row r="1166" ht="16.5" spans="1:4">
      <c r="A1166" s="173" t="s">
        <v>6218</v>
      </c>
      <c r="B1166" s="173" t="s">
        <v>6218</v>
      </c>
      <c r="C1166" s="173" t="s">
        <v>6219</v>
      </c>
      <c r="D1166" s="173" t="s">
        <v>6220</v>
      </c>
    </row>
    <row r="1167" ht="16.5" spans="1:4">
      <c r="A1167" s="173" t="s">
        <v>6221</v>
      </c>
      <c r="B1167" s="173" t="s">
        <v>6221</v>
      </c>
      <c r="C1167" s="173" t="s">
        <v>6219</v>
      </c>
      <c r="D1167" s="173" t="s">
        <v>6220</v>
      </c>
    </row>
    <row r="1168" ht="16.5" spans="1:4">
      <c r="A1168" s="173" t="s">
        <v>6222</v>
      </c>
      <c r="B1168" s="173" t="s">
        <v>6222</v>
      </c>
      <c r="C1168" s="173" t="s">
        <v>6021</v>
      </c>
      <c r="D1168" s="173" t="s">
        <v>6021</v>
      </c>
    </row>
    <row r="1169" ht="16.5" spans="1:4">
      <c r="A1169" s="173" t="s">
        <v>6223</v>
      </c>
      <c r="B1169" s="173" t="s">
        <v>4795</v>
      </c>
      <c r="C1169" s="173" t="s">
        <v>4796</v>
      </c>
      <c r="D1169" s="173" t="s">
        <v>4797</v>
      </c>
    </row>
    <row r="1170" ht="16.5" spans="1:4">
      <c r="A1170" s="173" t="s">
        <v>6224</v>
      </c>
      <c r="B1170" s="173" t="s">
        <v>4795</v>
      </c>
      <c r="C1170" s="173" t="s">
        <v>4796</v>
      </c>
      <c r="D1170" s="173" t="s">
        <v>4797</v>
      </c>
    </row>
    <row r="1171" ht="16.5" spans="1:4">
      <c r="A1171" s="173" t="s">
        <v>6225</v>
      </c>
      <c r="B1171" s="173" t="s">
        <v>6225</v>
      </c>
      <c r="C1171" s="173" t="s">
        <v>6226</v>
      </c>
      <c r="D1171" s="173" t="s">
        <v>6226</v>
      </c>
    </row>
    <row r="1172" ht="16.5" spans="1:4">
      <c r="A1172" s="173" t="s">
        <v>6227</v>
      </c>
      <c r="B1172" s="173" t="s">
        <v>6227</v>
      </c>
      <c r="C1172" s="173" t="s">
        <v>6226</v>
      </c>
      <c r="D1172" s="173" t="s">
        <v>6226</v>
      </c>
    </row>
    <row r="1173" ht="16.5" spans="1:4">
      <c r="A1173" s="173" t="s">
        <v>6228</v>
      </c>
      <c r="B1173" s="173" t="s">
        <v>6228</v>
      </c>
      <c r="C1173" s="173" t="s">
        <v>6226</v>
      </c>
      <c r="D1173" s="173" t="s">
        <v>6226</v>
      </c>
    </row>
    <row r="1174" ht="16.5" spans="1:4">
      <c r="A1174" s="173" t="s">
        <v>6229</v>
      </c>
      <c r="B1174" s="173" t="s">
        <v>4795</v>
      </c>
      <c r="C1174" s="173" t="s">
        <v>4796</v>
      </c>
      <c r="D1174" s="173" t="s">
        <v>4797</v>
      </c>
    </row>
    <row r="1175" ht="16.5" spans="1:4">
      <c r="A1175" s="173" t="s">
        <v>6230</v>
      </c>
      <c r="B1175" s="173" t="s">
        <v>4795</v>
      </c>
      <c r="C1175" s="173" t="s">
        <v>4796</v>
      </c>
      <c r="D1175" s="173" t="s">
        <v>4797</v>
      </c>
    </row>
    <row r="1176" ht="16.5" spans="1:4">
      <c r="A1176" s="173" t="s">
        <v>6231</v>
      </c>
      <c r="B1176" s="173" t="s">
        <v>4795</v>
      </c>
      <c r="C1176" s="173" t="s">
        <v>4796</v>
      </c>
      <c r="D1176" s="173" t="s">
        <v>4797</v>
      </c>
    </row>
    <row r="1177" ht="16.5" spans="1:4">
      <c r="A1177" s="173" t="s">
        <v>6232</v>
      </c>
      <c r="B1177" s="173" t="s">
        <v>6233</v>
      </c>
      <c r="C1177" s="173" t="s">
        <v>6234</v>
      </c>
      <c r="D1177" s="173" t="s">
        <v>6235</v>
      </c>
    </row>
    <row r="1178" ht="16.5" spans="1:4">
      <c r="A1178" s="173" t="s">
        <v>6236</v>
      </c>
      <c r="B1178" s="173" t="s">
        <v>6233</v>
      </c>
      <c r="C1178" s="173" t="s">
        <v>6234</v>
      </c>
      <c r="D1178" s="173" t="s">
        <v>6235</v>
      </c>
    </row>
    <row r="1179" ht="16.5" spans="1:4">
      <c r="A1179" s="173" t="s">
        <v>6233</v>
      </c>
      <c r="B1179" s="173" t="s">
        <v>6233</v>
      </c>
      <c r="C1179" s="173" t="s">
        <v>6234</v>
      </c>
      <c r="D1179" s="173" t="s">
        <v>6235</v>
      </c>
    </row>
    <row r="1180" ht="16.5" spans="1:4">
      <c r="A1180" s="173" t="s">
        <v>6237</v>
      </c>
      <c r="B1180" s="173" t="s">
        <v>6237</v>
      </c>
      <c r="C1180" s="173" t="s">
        <v>6217</v>
      </c>
      <c r="D1180" s="173" t="s">
        <v>6238</v>
      </c>
    </row>
    <row r="1181" ht="16.5" spans="1:4">
      <c r="A1181" s="173" t="s">
        <v>6239</v>
      </c>
      <c r="B1181" s="173" t="s">
        <v>6239</v>
      </c>
      <c r="C1181" s="173" t="s">
        <v>6021</v>
      </c>
      <c r="D1181" s="173" t="s">
        <v>6021</v>
      </c>
    </row>
    <row r="1182" ht="16.5" spans="1:4">
      <c r="A1182" s="176" t="s">
        <v>6240</v>
      </c>
      <c r="B1182" s="176" t="s">
        <v>6241</v>
      </c>
      <c r="C1182" s="176" t="s">
        <v>6242</v>
      </c>
      <c r="D1182" s="176" t="s">
        <v>6242</v>
      </c>
    </row>
    <row r="1183" ht="16.5" spans="1:4">
      <c r="A1183" s="176" t="s">
        <v>6243</v>
      </c>
      <c r="B1183" s="176" t="s">
        <v>6241</v>
      </c>
      <c r="C1183" s="176" t="s">
        <v>6242</v>
      </c>
      <c r="D1183" s="176" t="s">
        <v>6242</v>
      </c>
    </row>
    <row r="1184" ht="16.5" spans="1:4">
      <c r="A1184" s="176" t="s">
        <v>6244</v>
      </c>
      <c r="B1184" s="176" t="s">
        <v>6241</v>
      </c>
      <c r="C1184" s="176" t="s">
        <v>6242</v>
      </c>
      <c r="D1184" s="176" t="s">
        <v>6242</v>
      </c>
    </row>
    <row r="1185" ht="16.5" spans="1:4">
      <c r="A1185" s="173" t="s">
        <v>6245</v>
      </c>
      <c r="B1185" s="173" t="s">
        <v>6245</v>
      </c>
      <c r="C1185" s="173" t="s">
        <v>6246</v>
      </c>
      <c r="D1185" s="173" t="s">
        <v>6246</v>
      </c>
    </row>
    <row r="1186" ht="16.5" spans="1:4">
      <c r="A1186" s="176" t="s">
        <v>6247</v>
      </c>
      <c r="B1186" s="176" t="s">
        <v>6241</v>
      </c>
      <c r="C1186" s="176" t="s">
        <v>6242</v>
      </c>
      <c r="D1186" s="176" t="s">
        <v>6242</v>
      </c>
    </row>
    <row r="1187" ht="16.5" spans="1:4">
      <c r="A1187" s="176" t="s">
        <v>6248</v>
      </c>
      <c r="B1187" s="176" t="s">
        <v>6241</v>
      </c>
      <c r="C1187" s="176" t="s">
        <v>6242</v>
      </c>
      <c r="D1187" s="176" t="s">
        <v>6242</v>
      </c>
    </row>
    <row r="1188" ht="16.5" spans="1:4">
      <c r="A1188" s="176" t="s">
        <v>6249</v>
      </c>
      <c r="B1188" s="176" t="s">
        <v>6241</v>
      </c>
      <c r="C1188" s="176" t="s">
        <v>6242</v>
      </c>
      <c r="D1188" s="176" t="s">
        <v>6242</v>
      </c>
    </row>
    <row r="1189" ht="16.5" spans="1:4">
      <c r="A1189" s="176" t="s">
        <v>6250</v>
      </c>
      <c r="B1189" s="176" t="s">
        <v>6241</v>
      </c>
      <c r="C1189" s="176" t="s">
        <v>6242</v>
      </c>
      <c r="D1189" s="176" t="s">
        <v>6242</v>
      </c>
    </row>
    <row r="1190" ht="16.5" spans="1:4">
      <c r="A1190" s="176" t="s">
        <v>6241</v>
      </c>
      <c r="B1190" s="176" t="s">
        <v>6241</v>
      </c>
      <c r="C1190" s="176" t="s">
        <v>6242</v>
      </c>
      <c r="D1190" s="176" t="s">
        <v>6242</v>
      </c>
    </row>
    <row r="1191" ht="16.5" spans="1:4">
      <c r="A1191" s="173" t="s">
        <v>6251</v>
      </c>
      <c r="B1191" s="173" t="s">
        <v>6251</v>
      </c>
      <c r="C1191" s="173" t="s">
        <v>6252</v>
      </c>
      <c r="D1191" s="173" t="s">
        <v>6253</v>
      </c>
    </row>
    <row r="1192" ht="16.5" spans="1:4">
      <c r="A1192" s="173" t="s">
        <v>4799</v>
      </c>
      <c r="B1192" s="173" t="s">
        <v>4799</v>
      </c>
      <c r="C1192" s="173" t="s">
        <v>4800</v>
      </c>
      <c r="D1192" s="173" t="s">
        <v>4801</v>
      </c>
    </row>
    <row r="1193" ht="16.5" spans="1:4">
      <c r="A1193" s="173" t="s">
        <v>6254</v>
      </c>
      <c r="B1193" s="173" t="s">
        <v>6254</v>
      </c>
      <c r="C1193" s="173" t="s">
        <v>4841</v>
      </c>
      <c r="D1193" s="173" t="s">
        <v>6255</v>
      </c>
    </row>
    <row r="1194" ht="16.5" spans="1:4">
      <c r="A1194" s="173" t="s">
        <v>6256</v>
      </c>
      <c r="B1194" s="173" t="s">
        <v>4791</v>
      </c>
      <c r="C1194" s="173" t="s">
        <v>4792</v>
      </c>
      <c r="D1194" s="173" t="s">
        <v>4793</v>
      </c>
    </row>
    <row r="1195" ht="16.5" spans="1:4">
      <c r="A1195" s="173" t="s">
        <v>6257</v>
      </c>
      <c r="B1195" s="173" t="s">
        <v>4791</v>
      </c>
      <c r="C1195" s="173" t="s">
        <v>4792</v>
      </c>
      <c r="D1195" s="173" t="s">
        <v>4793</v>
      </c>
    </row>
    <row r="1196" ht="16.5" spans="1:4">
      <c r="A1196" s="173" t="s">
        <v>6258</v>
      </c>
      <c r="B1196" s="173" t="s">
        <v>4791</v>
      </c>
      <c r="C1196" s="173" t="s">
        <v>4792</v>
      </c>
      <c r="D1196" s="173" t="s">
        <v>4793</v>
      </c>
    </row>
    <row r="1197" ht="16.5" spans="1:4">
      <c r="A1197" s="173" t="s">
        <v>6259</v>
      </c>
      <c r="B1197" s="173" t="s">
        <v>4791</v>
      </c>
      <c r="C1197" s="173" t="s">
        <v>4792</v>
      </c>
      <c r="D1197" s="173" t="s">
        <v>4793</v>
      </c>
    </row>
    <row r="1198" ht="16.5" spans="1:4">
      <c r="A1198" s="173" t="s">
        <v>6260</v>
      </c>
      <c r="B1198" s="173" t="s">
        <v>4791</v>
      </c>
      <c r="C1198" s="173" t="s">
        <v>4792</v>
      </c>
      <c r="D1198" s="173" t="s">
        <v>4793</v>
      </c>
    </row>
    <row r="1199" ht="16.5" spans="1:4">
      <c r="A1199" s="173" t="s">
        <v>6261</v>
      </c>
      <c r="B1199" s="173" t="s">
        <v>4791</v>
      </c>
      <c r="C1199" s="173" t="s">
        <v>4792</v>
      </c>
      <c r="D1199" s="173" t="s">
        <v>4793</v>
      </c>
    </row>
    <row r="1200" ht="16.5" spans="1:4">
      <c r="A1200" s="173" t="s">
        <v>6262</v>
      </c>
      <c r="B1200" s="173" t="s">
        <v>4791</v>
      </c>
      <c r="C1200" s="173" t="s">
        <v>4792</v>
      </c>
      <c r="D1200" s="173" t="s">
        <v>4793</v>
      </c>
    </row>
    <row r="1201" ht="16.5" spans="1:4">
      <c r="A1201" s="173" t="s">
        <v>6263</v>
      </c>
      <c r="B1201" s="173" t="s">
        <v>4791</v>
      </c>
      <c r="C1201" s="173" t="s">
        <v>4792</v>
      </c>
      <c r="D1201" s="173" t="s">
        <v>4793</v>
      </c>
    </row>
    <row r="1202" ht="16.5" spans="1:4">
      <c r="A1202" s="173" t="s">
        <v>6264</v>
      </c>
      <c r="B1202" s="173" t="s">
        <v>4791</v>
      </c>
      <c r="C1202" s="173" t="s">
        <v>4792</v>
      </c>
      <c r="D1202" s="173" t="s">
        <v>4793</v>
      </c>
    </row>
    <row r="1203" ht="16.5" spans="1:4">
      <c r="A1203" s="173" t="s">
        <v>6265</v>
      </c>
      <c r="B1203" s="173" t="s">
        <v>4791</v>
      </c>
      <c r="C1203" s="173" t="s">
        <v>4792</v>
      </c>
      <c r="D1203" s="173" t="s">
        <v>4793</v>
      </c>
    </row>
    <row r="1204" ht="16.5" spans="1:4">
      <c r="A1204" s="173" t="s">
        <v>6266</v>
      </c>
      <c r="B1204" s="173" t="s">
        <v>4791</v>
      </c>
      <c r="C1204" s="173" t="s">
        <v>4792</v>
      </c>
      <c r="D1204" s="173" t="s">
        <v>4793</v>
      </c>
    </row>
    <row r="1205" ht="16.5" spans="1:4">
      <c r="A1205" s="173" t="s">
        <v>6267</v>
      </c>
      <c r="B1205" s="173" t="s">
        <v>4791</v>
      </c>
      <c r="C1205" s="173" t="s">
        <v>4792</v>
      </c>
      <c r="D1205" s="173" t="s">
        <v>4793</v>
      </c>
    </row>
    <row r="1206" ht="16.5" spans="1:4">
      <c r="A1206" s="173" t="s">
        <v>6268</v>
      </c>
      <c r="B1206" s="173" t="s">
        <v>4791</v>
      </c>
      <c r="C1206" s="173" t="s">
        <v>4792</v>
      </c>
      <c r="D1206" s="173" t="s">
        <v>4793</v>
      </c>
    </row>
    <row r="1207" ht="16.5" spans="1:4">
      <c r="A1207" s="173" t="s">
        <v>6269</v>
      </c>
      <c r="B1207" s="173" t="s">
        <v>4791</v>
      </c>
      <c r="C1207" s="173" t="s">
        <v>4792</v>
      </c>
      <c r="D1207" s="173" t="s">
        <v>4793</v>
      </c>
    </row>
    <row r="1208" ht="16.5" spans="1:4">
      <c r="A1208" s="173" t="s">
        <v>6270</v>
      </c>
      <c r="B1208" s="173" t="s">
        <v>4791</v>
      </c>
      <c r="C1208" s="173" t="s">
        <v>4792</v>
      </c>
      <c r="D1208" s="173" t="s">
        <v>4793</v>
      </c>
    </row>
    <row r="1209" ht="16.5" spans="1:4">
      <c r="A1209" s="173" t="s">
        <v>4791</v>
      </c>
      <c r="B1209" s="173" t="s">
        <v>4791</v>
      </c>
      <c r="C1209" s="173" t="s">
        <v>4792</v>
      </c>
      <c r="D1209" s="173" t="s">
        <v>4793</v>
      </c>
    </row>
    <row r="1210" ht="16.5" spans="1:4">
      <c r="A1210" s="175" t="s">
        <v>6271</v>
      </c>
      <c r="B1210" s="173" t="s">
        <v>4795</v>
      </c>
      <c r="C1210" s="173" t="s">
        <v>4796</v>
      </c>
      <c r="D1210" s="173" t="s">
        <v>4797</v>
      </c>
    </row>
    <row r="1211" ht="16.5" spans="1:4">
      <c r="A1211" s="173" t="s">
        <v>6272</v>
      </c>
      <c r="B1211" s="173" t="s">
        <v>4795</v>
      </c>
      <c r="C1211" s="173" t="s">
        <v>4796</v>
      </c>
      <c r="D1211" s="173" t="s">
        <v>4797</v>
      </c>
    </row>
    <row r="1212" ht="16.5" spans="1:4">
      <c r="A1212" s="173" t="s">
        <v>6273</v>
      </c>
      <c r="B1212" s="173" t="s">
        <v>4795</v>
      </c>
      <c r="C1212" s="173" t="s">
        <v>4796</v>
      </c>
      <c r="D1212" s="173" t="s">
        <v>4797</v>
      </c>
    </row>
    <row r="1213" ht="16.5" spans="1:4">
      <c r="A1213" s="173" t="s">
        <v>6274</v>
      </c>
      <c r="B1213" s="173" t="s">
        <v>4795</v>
      </c>
      <c r="C1213" s="173" t="s">
        <v>4796</v>
      </c>
      <c r="D1213" s="173" t="s">
        <v>4797</v>
      </c>
    </row>
    <row r="1214" ht="16.5" spans="1:4">
      <c r="A1214" s="173" t="s">
        <v>6275</v>
      </c>
      <c r="B1214" s="173" t="s">
        <v>4795</v>
      </c>
      <c r="C1214" s="173" t="s">
        <v>4796</v>
      </c>
      <c r="D1214" s="173" t="s">
        <v>4797</v>
      </c>
    </row>
    <row r="1215" ht="16.5" spans="1:4">
      <c r="A1215" s="173" t="s">
        <v>6276</v>
      </c>
      <c r="B1215" s="173" t="s">
        <v>4795</v>
      </c>
      <c r="C1215" s="173" t="s">
        <v>4796</v>
      </c>
      <c r="D1215" s="173" t="s">
        <v>4797</v>
      </c>
    </row>
    <row r="1216" ht="16.5" spans="1:4">
      <c r="A1216" s="173" t="s">
        <v>6277</v>
      </c>
      <c r="B1216" s="173" t="s">
        <v>4795</v>
      </c>
      <c r="C1216" s="173" t="s">
        <v>4796</v>
      </c>
      <c r="D1216" s="173" t="s">
        <v>4797</v>
      </c>
    </row>
    <row r="1217" ht="16.5" spans="1:4">
      <c r="A1217" s="173" t="s">
        <v>6278</v>
      </c>
      <c r="B1217" s="173" t="s">
        <v>4795</v>
      </c>
      <c r="C1217" s="173" t="s">
        <v>4796</v>
      </c>
      <c r="D1217" s="173" t="s">
        <v>4797</v>
      </c>
    </row>
    <row r="1218" ht="16.5" spans="1:4">
      <c r="A1218" s="173" t="s">
        <v>6279</v>
      </c>
      <c r="B1218" s="173" t="s">
        <v>4795</v>
      </c>
      <c r="C1218" s="173" t="s">
        <v>4796</v>
      </c>
      <c r="D1218" s="173" t="s">
        <v>4797</v>
      </c>
    </row>
    <row r="1219" ht="16.5" spans="1:4">
      <c r="A1219" s="173" t="s">
        <v>6280</v>
      </c>
      <c r="B1219" s="173" t="s">
        <v>4795</v>
      </c>
      <c r="C1219" s="173" t="s">
        <v>4796</v>
      </c>
      <c r="D1219" s="173" t="s">
        <v>4797</v>
      </c>
    </row>
    <row r="1220" ht="16.5" spans="1:4">
      <c r="A1220" s="173" t="s">
        <v>6281</v>
      </c>
      <c r="B1220" s="173" t="s">
        <v>4795</v>
      </c>
      <c r="C1220" s="173" t="s">
        <v>4796</v>
      </c>
      <c r="D1220" s="173" t="s">
        <v>4797</v>
      </c>
    </row>
    <row r="1221" ht="16.5" spans="1:4">
      <c r="A1221" s="173" t="s">
        <v>6282</v>
      </c>
      <c r="B1221" s="173" t="s">
        <v>4795</v>
      </c>
      <c r="C1221" s="173" t="s">
        <v>4796</v>
      </c>
      <c r="D1221" s="173" t="s">
        <v>4797</v>
      </c>
    </row>
    <row r="1222" ht="16.5" spans="1:4">
      <c r="A1222" s="173" t="s">
        <v>6283</v>
      </c>
      <c r="B1222" s="173" t="s">
        <v>4795</v>
      </c>
      <c r="C1222" s="173" t="s">
        <v>4796</v>
      </c>
      <c r="D1222" s="173" t="s">
        <v>4797</v>
      </c>
    </row>
    <row r="1223" ht="16.5" spans="1:4">
      <c r="A1223" s="173" t="s">
        <v>6284</v>
      </c>
      <c r="B1223" s="173" t="s">
        <v>4795</v>
      </c>
      <c r="C1223" s="173" t="s">
        <v>4796</v>
      </c>
      <c r="D1223" s="173" t="s">
        <v>4797</v>
      </c>
    </row>
    <row r="1224" ht="16.5" spans="1:4">
      <c r="A1224" s="173" t="s">
        <v>6285</v>
      </c>
      <c r="B1224" s="173" t="s">
        <v>4795</v>
      </c>
      <c r="C1224" s="173" t="s">
        <v>4796</v>
      </c>
      <c r="D1224" s="173" t="s">
        <v>4797</v>
      </c>
    </row>
    <row r="1225" ht="16.5" spans="1:4">
      <c r="A1225" s="173" t="s">
        <v>6286</v>
      </c>
      <c r="B1225" s="173" t="s">
        <v>4795</v>
      </c>
      <c r="C1225" s="173" t="s">
        <v>4796</v>
      </c>
      <c r="D1225" s="173" t="s">
        <v>4797</v>
      </c>
    </row>
    <row r="1226" ht="16.5" spans="1:4">
      <c r="A1226" s="173" t="s">
        <v>6287</v>
      </c>
      <c r="B1226" s="173" t="s">
        <v>4795</v>
      </c>
      <c r="C1226" s="173" t="s">
        <v>4796</v>
      </c>
      <c r="D1226" s="173" t="s">
        <v>4797</v>
      </c>
    </row>
    <row r="1227" ht="16.5" spans="1:4">
      <c r="A1227" s="173" t="s">
        <v>6288</v>
      </c>
      <c r="B1227" s="173" t="s">
        <v>4795</v>
      </c>
      <c r="C1227" s="173" t="s">
        <v>4796</v>
      </c>
      <c r="D1227" s="173" t="s">
        <v>4797</v>
      </c>
    </row>
    <row r="1228" ht="16.5" spans="1:4">
      <c r="A1228" s="173" t="s">
        <v>6289</v>
      </c>
      <c r="B1228" s="173" t="s">
        <v>4795</v>
      </c>
      <c r="C1228" s="173" t="s">
        <v>4796</v>
      </c>
      <c r="D1228" s="173" t="s">
        <v>4797</v>
      </c>
    </row>
    <row r="1229" ht="16.5" spans="1:4">
      <c r="A1229" s="173" t="s">
        <v>6290</v>
      </c>
      <c r="B1229" s="173" t="s">
        <v>4795</v>
      </c>
      <c r="C1229" s="173" t="s">
        <v>4796</v>
      </c>
      <c r="D1229" s="173" t="s">
        <v>4797</v>
      </c>
    </row>
    <row r="1230" ht="16.5" spans="1:4">
      <c r="A1230" s="173" t="s">
        <v>6291</v>
      </c>
      <c r="B1230" s="173" t="s">
        <v>4795</v>
      </c>
      <c r="C1230" s="173" t="s">
        <v>4796</v>
      </c>
      <c r="D1230" s="173" t="s">
        <v>4797</v>
      </c>
    </row>
    <row r="1231" ht="16.5" spans="1:4">
      <c r="A1231" s="173" t="s">
        <v>6292</v>
      </c>
      <c r="B1231" s="173" t="s">
        <v>4795</v>
      </c>
      <c r="C1231" s="173" t="s">
        <v>4796</v>
      </c>
      <c r="D1231" s="173" t="s">
        <v>4797</v>
      </c>
    </row>
    <row r="1232" ht="16.5" spans="1:4">
      <c r="A1232" s="173" t="s">
        <v>6293</v>
      </c>
      <c r="B1232" s="173" t="s">
        <v>4795</v>
      </c>
      <c r="C1232" s="173" t="s">
        <v>4796</v>
      </c>
      <c r="D1232" s="173" t="s">
        <v>4797</v>
      </c>
    </row>
    <row r="1233" ht="16.5" spans="1:4">
      <c r="A1233" s="173" t="s">
        <v>6294</v>
      </c>
      <c r="B1233" s="173" t="s">
        <v>4795</v>
      </c>
      <c r="C1233" s="173" t="s">
        <v>4796</v>
      </c>
      <c r="D1233" s="173" t="s">
        <v>4797</v>
      </c>
    </row>
    <row r="1234" ht="16.5" spans="1:4">
      <c r="A1234" s="173" t="s">
        <v>6295</v>
      </c>
      <c r="B1234" s="173" t="s">
        <v>4795</v>
      </c>
      <c r="C1234" s="173" t="s">
        <v>4796</v>
      </c>
      <c r="D1234" s="173" t="s">
        <v>4797</v>
      </c>
    </row>
    <row r="1235" ht="16.5" spans="1:4">
      <c r="A1235" s="173" t="s">
        <v>6296</v>
      </c>
      <c r="B1235" s="173" t="s">
        <v>4795</v>
      </c>
      <c r="C1235" s="173" t="s">
        <v>4796</v>
      </c>
      <c r="D1235" s="173" t="s">
        <v>4797</v>
      </c>
    </row>
    <row r="1236" ht="16.5" spans="1:4">
      <c r="A1236" s="173" t="s">
        <v>6297</v>
      </c>
      <c r="B1236" s="173" t="s">
        <v>4795</v>
      </c>
      <c r="C1236" s="173" t="s">
        <v>4796</v>
      </c>
      <c r="D1236" s="173" t="s">
        <v>4797</v>
      </c>
    </row>
    <row r="1237" ht="16.5" spans="1:4">
      <c r="A1237" s="173" t="s">
        <v>6298</v>
      </c>
      <c r="B1237" s="173" t="s">
        <v>4795</v>
      </c>
      <c r="C1237" s="173" t="s">
        <v>4796</v>
      </c>
      <c r="D1237" s="173" t="s">
        <v>4797</v>
      </c>
    </row>
    <row r="1238" ht="16.5" spans="1:4">
      <c r="A1238" s="173" t="s">
        <v>6299</v>
      </c>
      <c r="B1238" s="173" t="s">
        <v>4795</v>
      </c>
      <c r="C1238" s="173" t="s">
        <v>4796</v>
      </c>
      <c r="D1238" s="173" t="s">
        <v>4797</v>
      </c>
    </row>
    <row r="1239" ht="16.5" spans="1:4">
      <c r="A1239" s="173" t="s">
        <v>6300</v>
      </c>
      <c r="B1239" s="173" t="s">
        <v>4795</v>
      </c>
      <c r="C1239" s="173" t="s">
        <v>4796</v>
      </c>
      <c r="D1239" s="173" t="s">
        <v>4797</v>
      </c>
    </row>
    <row r="1240" ht="16.5" spans="1:4">
      <c r="A1240" s="173" t="s">
        <v>6301</v>
      </c>
      <c r="B1240" s="173" t="s">
        <v>4795</v>
      </c>
      <c r="C1240" s="173" t="s">
        <v>4796</v>
      </c>
      <c r="D1240" s="173" t="s">
        <v>4797</v>
      </c>
    </row>
    <row r="1241" ht="16.5" spans="1:4">
      <c r="A1241" s="173" t="s">
        <v>6302</v>
      </c>
      <c r="B1241" s="173" t="s">
        <v>4795</v>
      </c>
      <c r="C1241" s="173" t="s">
        <v>4796</v>
      </c>
      <c r="D1241" s="173" t="s">
        <v>4797</v>
      </c>
    </row>
    <row r="1242" ht="16.5" spans="1:4">
      <c r="A1242" s="173" t="s">
        <v>6303</v>
      </c>
      <c r="B1242" s="173" t="s">
        <v>4795</v>
      </c>
      <c r="C1242" s="173" t="s">
        <v>4796</v>
      </c>
      <c r="D1242" s="173" t="s">
        <v>4797</v>
      </c>
    </row>
    <row r="1243" ht="16.5" spans="1:4">
      <c r="A1243" s="173" t="s">
        <v>6304</v>
      </c>
      <c r="B1243" s="173" t="s">
        <v>4795</v>
      </c>
      <c r="C1243" s="173" t="s">
        <v>4796</v>
      </c>
      <c r="D1243" s="173" t="s">
        <v>4797</v>
      </c>
    </row>
    <row r="1244" ht="16.5" spans="1:4">
      <c r="A1244" s="173" t="s">
        <v>6305</v>
      </c>
      <c r="B1244" s="173" t="s">
        <v>4795</v>
      </c>
      <c r="C1244" s="173" t="s">
        <v>4796</v>
      </c>
      <c r="D1244" s="173" t="s">
        <v>4797</v>
      </c>
    </row>
    <row r="1245" ht="16.5" spans="1:4">
      <c r="A1245" s="173" t="s">
        <v>6306</v>
      </c>
      <c r="B1245" s="173" t="s">
        <v>4795</v>
      </c>
      <c r="C1245" s="173" t="s">
        <v>4796</v>
      </c>
      <c r="D1245" s="173" t="s">
        <v>4797</v>
      </c>
    </row>
    <row r="1246" ht="16.5" spans="1:4">
      <c r="A1246" s="173" t="s">
        <v>6307</v>
      </c>
      <c r="B1246" s="173" t="s">
        <v>4795</v>
      </c>
      <c r="C1246" s="173" t="s">
        <v>4796</v>
      </c>
      <c r="D1246" s="173" t="s">
        <v>4797</v>
      </c>
    </row>
    <row r="1247" ht="16.5" spans="1:4">
      <c r="A1247" s="173" t="s">
        <v>6308</v>
      </c>
      <c r="B1247" s="173" t="s">
        <v>4795</v>
      </c>
      <c r="C1247" s="173" t="s">
        <v>4796</v>
      </c>
      <c r="D1247" s="173" t="s">
        <v>4797</v>
      </c>
    </row>
    <row r="1248" ht="16.5" spans="1:4">
      <c r="A1248" s="173" t="s">
        <v>6309</v>
      </c>
      <c r="B1248" s="173" t="s">
        <v>4795</v>
      </c>
      <c r="C1248" s="173" t="s">
        <v>4796</v>
      </c>
      <c r="D1248" s="173" t="s">
        <v>4797</v>
      </c>
    </row>
    <row r="1249" ht="16.5" spans="1:4">
      <c r="A1249" s="173" t="s">
        <v>6310</v>
      </c>
      <c r="B1249" s="173" t="s">
        <v>4795</v>
      </c>
      <c r="C1249" s="173" t="s">
        <v>4796</v>
      </c>
      <c r="D1249" s="173" t="s">
        <v>4797</v>
      </c>
    </row>
    <row r="1250" ht="16.5" spans="1:4">
      <c r="A1250" s="173" t="s">
        <v>6311</v>
      </c>
      <c r="B1250" s="173" t="s">
        <v>4795</v>
      </c>
      <c r="C1250" s="173" t="s">
        <v>4796</v>
      </c>
      <c r="D1250" s="173" t="s">
        <v>4797</v>
      </c>
    </row>
    <row r="1251" ht="16.5" spans="1:4">
      <c r="A1251" s="173" t="s">
        <v>6312</v>
      </c>
      <c r="B1251" s="173" t="s">
        <v>4795</v>
      </c>
      <c r="C1251" s="173" t="s">
        <v>4796</v>
      </c>
      <c r="D1251" s="173" t="s">
        <v>4797</v>
      </c>
    </row>
    <row r="1252" ht="16.5" spans="1:4">
      <c r="A1252" s="173" t="s">
        <v>6313</v>
      </c>
      <c r="B1252" s="173" t="s">
        <v>4795</v>
      </c>
      <c r="C1252" s="173" t="s">
        <v>4796</v>
      </c>
      <c r="D1252" s="173" t="s">
        <v>4797</v>
      </c>
    </row>
    <row r="1253" ht="16.5" spans="1:4">
      <c r="A1253" s="173" t="s">
        <v>6314</v>
      </c>
      <c r="B1253" s="173" t="s">
        <v>4795</v>
      </c>
      <c r="C1253" s="173" t="s">
        <v>4796</v>
      </c>
      <c r="D1253" s="173" t="s">
        <v>4797</v>
      </c>
    </row>
    <row r="1254" ht="16.5" spans="1:4">
      <c r="A1254" s="173" t="s">
        <v>6315</v>
      </c>
      <c r="B1254" s="173" t="s">
        <v>4795</v>
      </c>
      <c r="C1254" s="173" t="s">
        <v>4796</v>
      </c>
      <c r="D1254" s="173" t="s">
        <v>4797</v>
      </c>
    </row>
    <row r="1255" ht="16.5" spans="1:4">
      <c r="A1255" s="173" t="s">
        <v>6316</v>
      </c>
      <c r="B1255" s="173" t="s">
        <v>4795</v>
      </c>
      <c r="C1255" s="173" t="s">
        <v>4796</v>
      </c>
      <c r="D1255" s="173" t="s">
        <v>4797</v>
      </c>
    </row>
    <row r="1256" ht="16.5" spans="1:4">
      <c r="A1256" s="173" t="s">
        <v>6317</v>
      </c>
      <c r="B1256" s="173" t="s">
        <v>4795</v>
      </c>
      <c r="C1256" s="173" t="s">
        <v>4796</v>
      </c>
      <c r="D1256" s="173" t="s">
        <v>4797</v>
      </c>
    </row>
    <row r="1257" ht="16.5" spans="1:4">
      <c r="A1257" s="173" t="s">
        <v>6318</v>
      </c>
      <c r="B1257" s="173" t="s">
        <v>4795</v>
      </c>
      <c r="C1257" s="173" t="s">
        <v>4796</v>
      </c>
      <c r="D1257" s="173" t="s">
        <v>4797</v>
      </c>
    </row>
    <row r="1258" ht="16.5" spans="1:4">
      <c r="A1258" s="173" t="s">
        <v>6319</v>
      </c>
      <c r="B1258" s="173" t="s">
        <v>4795</v>
      </c>
      <c r="C1258" s="173" t="s">
        <v>4796</v>
      </c>
      <c r="D1258" s="173" t="s">
        <v>4797</v>
      </c>
    </row>
    <row r="1259" ht="16.5" spans="1:4">
      <c r="A1259" s="173" t="s">
        <v>6320</v>
      </c>
      <c r="B1259" s="173" t="s">
        <v>4795</v>
      </c>
      <c r="C1259" s="173" t="s">
        <v>4796</v>
      </c>
      <c r="D1259" s="173" t="s">
        <v>4797</v>
      </c>
    </row>
    <row r="1260" ht="16.5" spans="1:4">
      <c r="A1260" s="173" t="s">
        <v>6321</v>
      </c>
      <c r="B1260" s="173" t="s">
        <v>4795</v>
      </c>
      <c r="C1260" s="173" t="s">
        <v>4796</v>
      </c>
      <c r="D1260" s="173" t="s">
        <v>4797</v>
      </c>
    </row>
    <row r="1261" ht="16.5" spans="1:4">
      <c r="A1261" s="173" t="s">
        <v>6322</v>
      </c>
      <c r="B1261" s="173" t="s">
        <v>4795</v>
      </c>
      <c r="C1261" s="173" t="s">
        <v>4796</v>
      </c>
      <c r="D1261" s="173" t="s">
        <v>4797</v>
      </c>
    </row>
    <row r="1262" ht="16.5" spans="1:4">
      <c r="A1262" s="173" t="s">
        <v>6323</v>
      </c>
      <c r="B1262" s="173" t="s">
        <v>4795</v>
      </c>
      <c r="C1262" s="173" t="s">
        <v>4796</v>
      </c>
      <c r="D1262" s="173" t="s">
        <v>4797</v>
      </c>
    </row>
    <row r="1263" ht="16.5" spans="1:4">
      <c r="A1263" s="173" t="s">
        <v>6324</v>
      </c>
      <c r="B1263" s="173" t="s">
        <v>4795</v>
      </c>
      <c r="C1263" s="173" t="s">
        <v>4796</v>
      </c>
      <c r="D1263" s="173" t="s">
        <v>4797</v>
      </c>
    </row>
    <row r="1264" ht="16.5" spans="1:4">
      <c r="A1264" s="173" t="s">
        <v>6325</v>
      </c>
      <c r="B1264" s="173" t="s">
        <v>6325</v>
      </c>
      <c r="C1264" s="173" t="s">
        <v>6326</v>
      </c>
      <c r="D1264" s="173" t="s">
        <v>6327</v>
      </c>
    </row>
    <row r="1265" ht="16.5" spans="1:4">
      <c r="A1265" s="173" t="s">
        <v>6328</v>
      </c>
      <c r="B1265" s="173" t="s">
        <v>6329</v>
      </c>
      <c r="C1265" s="173" t="s">
        <v>6330</v>
      </c>
      <c r="D1265" s="173" t="s">
        <v>6331</v>
      </c>
    </row>
    <row r="1266" ht="16.5" spans="1:4">
      <c r="A1266" s="173" t="s">
        <v>6332</v>
      </c>
      <c r="B1266" s="173" t="s">
        <v>6329</v>
      </c>
      <c r="C1266" s="173" t="s">
        <v>6330</v>
      </c>
      <c r="D1266" s="173" t="s">
        <v>6331</v>
      </c>
    </row>
    <row r="1267" ht="16.5" spans="1:4">
      <c r="A1267" s="173" t="s">
        <v>6333</v>
      </c>
      <c r="B1267" s="173" t="s">
        <v>6329</v>
      </c>
      <c r="C1267" s="173" t="s">
        <v>6330</v>
      </c>
      <c r="D1267" s="173" t="s">
        <v>6331</v>
      </c>
    </row>
    <row r="1268" ht="16.5" spans="1:4">
      <c r="A1268" s="173" t="s">
        <v>6334</v>
      </c>
      <c r="B1268" s="173" t="s">
        <v>6329</v>
      </c>
      <c r="C1268" s="173" t="s">
        <v>6330</v>
      </c>
      <c r="D1268" s="173" t="s">
        <v>6331</v>
      </c>
    </row>
    <row r="1269" ht="16.5" spans="1:4">
      <c r="A1269" s="173" t="s">
        <v>6335</v>
      </c>
      <c r="B1269" s="173" t="s">
        <v>6329</v>
      </c>
      <c r="C1269" s="173" t="s">
        <v>6330</v>
      </c>
      <c r="D1269" s="173" t="s">
        <v>6331</v>
      </c>
    </row>
    <row r="1270" ht="16.5" spans="1:4">
      <c r="A1270" s="173" t="s">
        <v>1887</v>
      </c>
      <c r="B1270" s="173" t="s">
        <v>6329</v>
      </c>
      <c r="C1270" s="173" t="s">
        <v>6330</v>
      </c>
      <c r="D1270" s="173" t="s">
        <v>6331</v>
      </c>
    </row>
    <row r="1271" ht="16.5" spans="1:4">
      <c r="A1271" s="173" t="s">
        <v>6329</v>
      </c>
      <c r="B1271" s="173" t="s">
        <v>6329</v>
      </c>
      <c r="C1271" s="173" t="s">
        <v>6330</v>
      </c>
      <c r="D1271" s="173" t="s">
        <v>6331</v>
      </c>
    </row>
    <row r="1272" ht="16.5" spans="1:4">
      <c r="A1272" s="173" t="s">
        <v>6336</v>
      </c>
      <c r="B1272" s="173" t="s">
        <v>6336</v>
      </c>
      <c r="C1272" s="173" t="s">
        <v>6337</v>
      </c>
      <c r="D1272" s="173" t="s">
        <v>6337</v>
      </c>
    </row>
    <row r="1273" ht="16.5" spans="1:4">
      <c r="A1273" s="173" t="s">
        <v>6338</v>
      </c>
      <c r="B1273" s="173" t="s">
        <v>1755</v>
      </c>
      <c r="C1273" s="173" t="s">
        <v>5958</v>
      </c>
      <c r="D1273" s="173" t="s">
        <v>5959</v>
      </c>
    </row>
    <row r="1274" ht="16.5" spans="1:4">
      <c r="A1274" s="173" t="s">
        <v>6339</v>
      </c>
      <c r="B1274" s="173" t="s">
        <v>6339</v>
      </c>
      <c r="C1274" s="173" t="s">
        <v>6337</v>
      </c>
      <c r="D1274" s="173" t="s">
        <v>6337</v>
      </c>
    </row>
    <row r="1275" ht="16.5" spans="1:4">
      <c r="A1275" s="173" t="s">
        <v>6340</v>
      </c>
      <c r="B1275" s="173" t="s">
        <v>6340</v>
      </c>
      <c r="C1275" s="173" t="s">
        <v>4864</v>
      </c>
      <c r="D1275" s="173" t="s">
        <v>4865</v>
      </c>
    </row>
    <row r="1276" ht="16.5" spans="1:4">
      <c r="A1276" s="173" t="s">
        <v>6341</v>
      </c>
      <c r="B1276" s="173" t="s">
        <v>6341</v>
      </c>
      <c r="C1276" s="173" t="s">
        <v>4864</v>
      </c>
      <c r="D1276" s="173" t="s">
        <v>4865</v>
      </c>
    </row>
    <row r="1277" ht="16.5" spans="1:4">
      <c r="A1277" s="173" t="s">
        <v>6342</v>
      </c>
      <c r="B1277" s="173" t="s">
        <v>6342</v>
      </c>
      <c r="C1277" s="173" t="s">
        <v>6337</v>
      </c>
      <c r="D1277" s="173" t="s">
        <v>6337</v>
      </c>
    </row>
    <row r="1278" ht="16.5" spans="1:4">
      <c r="A1278" s="173" t="s">
        <v>6343</v>
      </c>
      <c r="B1278" s="173" t="s">
        <v>6343</v>
      </c>
      <c r="C1278" s="173" t="s">
        <v>6337</v>
      </c>
      <c r="D1278" s="173" t="s">
        <v>6337</v>
      </c>
    </row>
    <row r="1279" ht="16.5" spans="1:4">
      <c r="A1279" s="173" t="s">
        <v>6344</v>
      </c>
      <c r="B1279" s="173" t="s">
        <v>6345</v>
      </c>
      <c r="C1279" s="173" t="s">
        <v>6346</v>
      </c>
      <c r="D1279" s="173" t="s">
        <v>6347</v>
      </c>
    </row>
    <row r="1280" ht="16.5" spans="1:4">
      <c r="A1280" s="173" t="s">
        <v>6348</v>
      </c>
      <c r="B1280" s="173" t="s">
        <v>6345</v>
      </c>
      <c r="C1280" s="173" t="s">
        <v>6346</v>
      </c>
      <c r="D1280" s="173" t="s">
        <v>6347</v>
      </c>
    </row>
    <row r="1281" ht="16.5" spans="1:4">
      <c r="A1281" s="173" t="s">
        <v>6349</v>
      </c>
      <c r="B1281" s="173" t="s">
        <v>6345</v>
      </c>
      <c r="C1281" s="173" t="s">
        <v>6346</v>
      </c>
      <c r="D1281" s="173" t="s">
        <v>6347</v>
      </c>
    </row>
    <row r="1282" ht="16.5" spans="1:4">
      <c r="A1282" s="173" t="s">
        <v>6350</v>
      </c>
      <c r="B1282" s="173" t="s">
        <v>6345</v>
      </c>
      <c r="C1282" s="173" t="s">
        <v>6346</v>
      </c>
      <c r="D1282" s="173" t="s">
        <v>6347</v>
      </c>
    </row>
    <row r="1283" ht="16.5" spans="1:4">
      <c r="A1283" s="173" t="s">
        <v>6345</v>
      </c>
      <c r="B1283" s="173" t="s">
        <v>6345</v>
      </c>
      <c r="C1283" s="173" t="s">
        <v>6346</v>
      </c>
      <c r="D1283" s="173" t="s">
        <v>6347</v>
      </c>
    </row>
    <row r="1284" ht="16.5" spans="1:4">
      <c r="A1284" s="173" t="s">
        <v>6351</v>
      </c>
      <c r="B1284" s="173" t="s">
        <v>6351</v>
      </c>
      <c r="C1284" s="173" t="s">
        <v>6337</v>
      </c>
      <c r="D1284" s="173" t="s">
        <v>6337</v>
      </c>
    </row>
    <row r="1285" ht="16.5" spans="1:4">
      <c r="A1285" s="173" t="s">
        <v>6352</v>
      </c>
      <c r="B1285" s="173" t="s">
        <v>6352</v>
      </c>
      <c r="C1285" s="173" t="s">
        <v>6337</v>
      </c>
      <c r="D1285" s="173" t="s">
        <v>6337</v>
      </c>
    </row>
    <row r="1286" ht="16.5" spans="1:4">
      <c r="A1286" s="173" t="s">
        <v>6353</v>
      </c>
      <c r="B1286" s="173" t="s">
        <v>6354</v>
      </c>
      <c r="C1286" s="173" t="s">
        <v>6355</v>
      </c>
      <c r="D1286" s="173" t="s">
        <v>6356</v>
      </c>
    </row>
    <row r="1287" ht="16.5" spans="1:4">
      <c r="A1287" s="173" t="s">
        <v>6357</v>
      </c>
      <c r="B1287" s="173" t="s">
        <v>6354</v>
      </c>
      <c r="C1287" s="173" t="s">
        <v>6355</v>
      </c>
      <c r="D1287" s="173" t="s">
        <v>6356</v>
      </c>
    </row>
    <row r="1288" ht="16.5" spans="1:4">
      <c r="A1288" s="173" t="s">
        <v>6358</v>
      </c>
      <c r="B1288" s="173" t="s">
        <v>6354</v>
      </c>
      <c r="C1288" s="173" t="s">
        <v>6355</v>
      </c>
      <c r="D1288" s="173" t="s">
        <v>6356</v>
      </c>
    </row>
    <row r="1289" ht="16.5" spans="1:4">
      <c r="A1289" s="173" t="s">
        <v>6359</v>
      </c>
      <c r="B1289" s="173" t="s">
        <v>6354</v>
      </c>
      <c r="C1289" s="173" t="s">
        <v>6355</v>
      </c>
      <c r="D1289" s="173" t="s">
        <v>6356</v>
      </c>
    </row>
    <row r="1290" ht="16.5" spans="1:4">
      <c r="A1290" s="173" t="s">
        <v>6360</v>
      </c>
      <c r="B1290" s="173" t="s">
        <v>6354</v>
      </c>
      <c r="C1290" s="173" t="s">
        <v>6355</v>
      </c>
      <c r="D1290" s="173" t="s">
        <v>6356</v>
      </c>
    </row>
    <row r="1291" ht="16.5" spans="1:4">
      <c r="A1291" s="173" t="s">
        <v>6361</v>
      </c>
      <c r="B1291" s="173" t="s">
        <v>6354</v>
      </c>
      <c r="C1291" s="173" t="s">
        <v>6355</v>
      </c>
      <c r="D1291" s="173" t="s">
        <v>6356</v>
      </c>
    </row>
    <row r="1292" ht="16.5" spans="1:4">
      <c r="A1292" s="173" t="s">
        <v>6362</v>
      </c>
      <c r="B1292" s="173" t="s">
        <v>6354</v>
      </c>
      <c r="C1292" s="173" t="s">
        <v>6355</v>
      </c>
      <c r="D1292" s="173" t="s">
        <v>6356</v>
      </c>
    </row>
    <row r="1293" ht="16.5" spans="1:4">
      <c r="A1293" s="173" t="s">
        <v>6363</v>
      </c>
      <c r="B1293" s="173" t="s">
        <v>6354</v>
      </c>
      <c r="C1293" s="173" t="s">
        <v>6355</v>
      </c>
      <c r="D1293" s="173" t="s">
        <v>6356</v>
      </c>
    </row>
    <row r="1294" ht="16.5" spans="1:4">
      <c r="A1294" s="173" t="s">
        <v>6364</v>
      </c>
      <c r="B1294" s="173" t="s">
        <v>6354</v>
      </c>
      <c r="C1294" s="173" t="s">
        <v>6355</v>
      </c>
      <c r="D1294" s="173" t="s">
        <v>6356</v>
      </c>
    </row>
    <row r="1295" ht="16.5" spans="1:4">
      <c r="A1295" s="173" t="s">
        <v>6365</v>
      </c>
      <c r="B1295" s="173" t="s">
        <v>6354</v>
      </c>
      <c r="C1295" s="173" t="s">
        <v>6355</v>
      </c>
      <c r="D1295" s="173" t="s">
        <v>6356</v>
      </c>
    </row>
    <row r="1296" ht="16.5" spans="1:4">
      <c r="A1296" s="173" t="s">
        <v>6366</v>
      </c>
      <c r="B1296" s="173" t="s">
        <v>6354</v>
      </c>
      <c r="C1296" s="173" t="s">
        <v>6355</v>
      </c>
      <c r="D1296" s="173" t="s">
        <v>6356</v>
      </c>
    </row>
    <row r="1297" ht="16.5" spans="1:4">
      <c r="A1297" s="173" t="s">
        <v>6367</v>
      </c>
      <c r="B1297" s="173" t="s">
        <v>6354</v>
      </c>
      <c r="C1297" s="173" t="s">
        <v>6355</v>
      </c>
      <c r="D1297" s="173" t="s">
        <v>6356</v>
      </c>
    </row>
    <row r="1298" ht="16.5" spans="1:4">
      <c r="A1298" s="173" t="s">
        <v>6368</v>
      </c>
      <c r="B1298" s="173" t="s">
        <v>6354</v>
      </c>
      <c r="C1298" s="173" t="s">
        <v>6355</v>
      </c>
      <c r="D1298" s="173" t="s">
        <v>6356</v>
      </c>
    </row>
    <row r="1299" ht="16.5" spans="1:4">
      <c r="A1299" s="173" t="s">
        <v>6369</v>
      </c>
      <c r="B1299" s="173" t="s">
        <v>6354</v>
      </c>
      <c r="C1299" s="173" t="s">
        <v>6355</v>
      </c>
      <c r="D1299" s="173" t="s">
        <v>6356</v>
      </c>
    </row>
    <row r="1300" ht="16.5" spans="1:4">
      <c r="A1300" s="173" t="s">
        <v>6370</v>
      </c>
      <c r="B1300" s="173" t="s">
        <v>6354</v>
      </c>
      <c r="C1300" s="173" t="s">
        <v>6355</v>
      </c>
      <c r="D1300" s="173" t="s">
        <v>6356</v>
      </c>
    </row>
    <row r="1301" ht="16.5" spans="1:4">
      <c r="A1301" s="173" t="s">
        <v>6354</v>
      </c>
      <c r="B1301" s="173" t="s">
        <v>6354</v>
      </c>
      <c r="C1301" s="173" t="s">
        <v>6355</v>
      </c>
      <c r="D1301" s="173" t="s">
        <v>6356</v>
      </c>
    </row>
    <row r="1302" ht="16.5" spans="1:4">
      <c r="A1302" s="173" t="s">
        <v>6371</v>
      </c>
      <c r="B1302" s="173" t="s">
        <v>6371</v>
      </c>
      <c r="C1302" s="173" t="s">
        <v>4841</v>
      </c>
      <c r="D1302" s="173" t="s">
        <v>6372</v>
      </c>
    </row>
    <row r="1303" ht="16.5" spans="1:4">
      <c r="A1303" s="173" t="s">
        <v>6373</v>
      </c>
      <c r="B1303" s="173" t="s">
        <v>6373</v>
      </c>
      <c r="C1303" s="173" t="s">
        <v>4841</v>
      </c>
      <c r="D1303" s="173" t="s">
        <v>6374</v>
      </c>
    </row>
    <row r="1304" ht="16.5" spans="1:4">
      <c r="A1304" s="173" t="s">
        <v>6375</v>
      </c>
      <c r="B1304" s="173" t="s">
        <v>6375</v>
      </c>
      <c r="C1304" s="173" t="s">
        <v>6376</v>
      </c>
      <c r="D1304" s="173" t="s">
        <v>6377</v>
      </c>
    </row>
    <row r="1305" ht="16.5" spans="1:4">
      <c r="A1305" s="173" t="s">
        <v>6378</v>
      </c>
      <c r="B1305" s="173" t="s">
        <v>6378</v>
      </c>
      <c r="C1305" s="173" t="s">
        <v>6379</v>
      </c>
      <c r="D1305" s="173" t="s">
        <v>6380</v>
      </c>
    </row>
    <row r="1306" ht="16.5" spans="1:4">
      <c r="A1306" s="173" t="s">
        <v>6381</v>
      </c>
      <c r="B1306" s="173" t="s">
        <v>6381</v>
      </c>
      <c r="C1306" s="173" t="s">
        <v>4841</v>
      </c>
      <c r="D1306" s="173" t="s">
        <v>6382</v>
      </c>
    </row>
    <row r="1307" ht="16.5" spans="1:4">
      <c r="A1307" s="173" t="s">
        <v>6383</v>
      </c>
      <c r="B1307" s="173" t="s">
        <v>6383</v>
      </c>
      <c r="C1307" s="173" t="s">
        <v>6384</v>
      </c>
      <c r="D1307" s="173" t="s">
        <v>6385</v>
      </c>
    </row>
    <row r="1308" ht="16.5" spans="1:4">
      <c r="A1308" s="173" t="s">
        <v>6386</v>
      </c>
      <c r="B1308" s="173" t="s">
        <v>6386</v>
      </c>
      <c r="C1308" s="173" t="s">
        <v>6387</v>
      </c>
      <c r="D1308" s="173" t="s">
        <v>6387</v>
      </c>
    </row>
    <row r="1309" ht="16.5" spans="1:4">
      <c r="A1309" s="173" t="s">
        <v>6388</v>
      </c>
      <c r="B1309" s="173" t="s">
        <v>6388</v>
      </c>
      <c r="C1309" s="173" t="s">
        <v>6389</v>
      </c>
      <c r="D1309" s="173" t="s">
        <v>6390</v>
      </c>
    </row>
    <row r="1310" ht="16.5" spans="1:4">
      <c r="A1310" s="173" t="s">
        <v>6391</v>
      </c>
      <c r="B1310" s="173" t="s">
        <v>6391</v>
      </c>
      <c r="C1310" s="173" t="s">
        <v>6392</v>
      </c>
      <c r="D1310" s="173" t="s">
        <v>6393</v>
      </c>
    </row>
    <row r="1311" ht="16.5" spans="1:4">
      <c r="A1311" s="173" t="s">
        <v>6394</v>
      </c>
      <c r="B1311" s="173" t="s">
        <v>6394</v>
      </c>
      <c r="C1311" s="173" t="s">
        <v>6389</v>
      </c>
      <c r="D1311" s="173" t="s">
        <v>6395</v>
      </c>
    </row>
    <row r="1312" ht="16.5" spans="1:4">
      <c r="A1312" s="173" t="s">
        <v>6396</v>
      </c>
      <c r="B1312" s="173" t="s">
        <v>6396</v>
      </c>
      <c r="C1312" s="173" t="s">
        <v>6397</v>
      </c>
      <c r="D1312" s="173" t="s">
        <v>6398</v>
      </c>
    </row>
    <row r="1313" ht="16.5" spans="1:4">
      <c r="A1313" s="173" t="s">
        <v>4795</v>
      </c>
      <c r="B1313" s="173" t="s">
        <v>4795</v>
      </c>
      <c r="C1313" s="173" t="s">
        <v>4796</v>
      </c>
      <c r="D1313" s="173" t="s">
        <v>4797</v>
      </c>
    </row>
    <row r="1314" ht="16.5" spans="1:4">
      <c r="A1314" s="173" t="s">
        <v>6399</v>
      </c>
      <c r="B1314" s="173" t="s">
        <v>6399</v>
      </c>
      <c r="C1314" s="173" t="s">
        <v>6355</v>
      </c>
      <c r="D1314" s="173" t="s">
        <v>6400</v>
      </c>
    </row>
    <row r="1315" ht="16.5" spans="1:4">
      <c r="A1315" s="173" t="s">
        <v>6401</v>
      </c>
      <c r="B1315" s="173" t="s">
        <v>6401</v>
      </c>
      <c r="C1315" s="173" t="s">
        <v>6389</v>
      </c>
      <c r="D1315" s="173" t="s">
        <v>6402</v>
      </c>
    </row>
    <row r="1316" ht="16.5" spans="1:4">
      <c r="A1316" s="173" t="s">
        <v>6403</v>
      </c>
      <c r="B1316" s="173" t="s">
        <v>6403</v>
      </c>
      <c r="C1316" s="173" t="s">
        <v>6389</v>
      </c>
      <c r="D1316" s="173" t="s">
        <v>6404</v>
      </c>
    </row>
    <row r="1317" ht="16.5" spans="1:4">
      <c r="A1317" s="173" t="s">
        <v>6405</v>
      </c>
      <c r="B1317" s="173" t="s">
        <v>6405</v>
      </c>
      <c r="C1317" s="173" t="s">
        <v>6397</v>
      </c>
      <c r="D1317" s="173" t="s">
        <v>6406</v>
      </c>
    </row>
    <row r="1318" ht="16.5" spans="1:4">
      <c r="A1318" s="173" t="s">
        <v>6407</v>
      </c>
      <c r="B1318" s="173" t="s">
        <v>6407</v>
      </c>
      <c r="C1318" s="173" t="s">
        <v>6389</v>
      </c>
      <c r="D1318" s="173" t="s">
        <v>6408</v>
      </c>
    </row>
    <row r="1319" ht="16.5" spans="1:4">
      <c r="A1319" s="173" t="s">
        <v>6409</v>
      </c>
      <c r="B1319" s="173" t="s">
        <v>6409</v>
      </c>
      <c r="C1319" s="173" t="s">
        <v>6389</v>
      </c>
      <c r="D1319" s="173" t="s">
        <v>6410</v>
      </c>
    </row>
    <row r="1320" ht="16.5" spans="1:4">
      <c r="A1320" s="173" t="s">
        <v>6411</v>
      </c>
      <c r="B1320" s="173" t="s">
        <v>6411</v>
      </c>
      <c r="C1320" s="173" t="s">
        <v>6389</v>
      </c>
      <c r="D1320" s="173" t="s">
        <v>6412</v>
      </c>
    </row>
    <row r="1321" ht="16.5" spans="1:4">
      <c r="A1321" s="173" t="s">
        <v>6413</v>
      </c>
      <c r="B1321" s="173" t="s">
        <v>6413</v>
      </c>
      <c r="C1321" s="173" t="s">
        <v>6389</v>
      </c>
      <c r="D1321" s="173" t="s">
        <v>6414</v>
      </c>
    </row>
    <row r="1322" ht="16.5" spans="1:4">
      <c r="A1322" s="173" t="s">
        <v>4671</v>
      </c>
      <c r="B1322" s="173" t="s">
        <v>4671</v>
      </c>
      <c r="C1322" s="173" t="s">
        <v>6389</v>
      </c>
      <c r="D1322" s="173" t="s">
        <v>6415</v>
      </c>
    </row>
    <row r="1323" ht="16.5" spans="1:4">
      <c r="A1323" s="173" t="s">
        <v>6416</v>
      </c>
      <c r="B1323" s="173" t="s">
        <v>6416</v>
      </c>
      <c r="C1323" s="173" t="s">
        <v>6389</v>
      </c>
      <c r="D1323" s="173" t="s">
        <v>6417</v>
      </c>
    </row>
    <row r="1324" ht="16.5" spans="1:4">
      <c r="A1324" s="173" t="s">
        <v>6418</v>
      </c>
      <c r="B1324" s="173" t="s">
        <v>3232</v>
      </c>
      <c r="C1324" s="173" t="s">
        <v>6389</v>
      </c>
      <c r="D1324" s="173" t="s">
        <v>6419</v>
      </c>
    </row>
    <row r="1325" ht="16.5" spans="1:4">
      <c r="A1325" s="173" t="s">
        <v>6420</v>
      </c>
      <c r="B1325" s="173" t="s">
        <v>3232</v>
      </c>
      <c r="C1325" s="173" t="s">
        <v>6389</v>
      </c>
      <c r="D1325" s="173" t="s">
        <v>6419</v>
      </c>
    </row>
    <row r="1326" ht="16.5" spans="1:4">
      <c r="A1326" s="173" t="s">
        <v>6421</v>
      </c>
      <c r="B1326" s="173" t="s">
        <v>3232</v>
      </c>
      <c r="C1326" s="173" t="s">
        <v>6389</v>
      </c>
      <c r="D1326" s="173" t="s">
        <v>6419</v>
      </c>
    </row>
    <row r="1327" ht="16.5" spans="1:4">
      <c r="A1327" s="173" t="s">
        <v>6422</v>
      </c>
      <c r="B1327" s="173" t="s">
        <v>3232</v>
      </c>
      <c r="C1327" s="173" t="s">
        <v>6389</v>
      </c>
      <c r="D1327" s="173" t="s">
        <v>6419</v>
      </c>
    </row>
    <row r="1328" ht="16.5" spans="1:4">
      <c r="A1328" s="173" t="s">
        <v>6423</v>
      </c>
      <c r="B1328" s="173" t="s">
        <v>3232</v>
      </c>
      <c r="C1328" s="173" t="s">
        <v>6389</v>
      </c>
      <c r="D1328" s="173" t="s">
        <v>6419</v>
      </c>
    </row>
    <row r="1329" ht="16.5" spans="1:4">
      <c r="A1329" s="173" t="s">
        <v>6424</v>
      </c>
      <c r="B1329" s="173" t="s">
        <v>3232</v>
      </c>
      <c r="C1329" s="173" t="s">
        <v>6389</v>
      </c>
      <c r="D1329" s="173" t="s">
        <v>6419</v>
      </c>
    </row>
    <row r="1330" ht="16.5" spans="1:4">
      <c r="A1330" s="173" t="s">
        <v>6425</v>
      </c>
      <c r="B1330" s="173" t="s">
        <v>3232</v>
      </c>
      <c r="C1330" s="173" t="s">
        <v>6389</v>
      </c>
      <c r="D1330" s="173" t="s">
        <v>6419</v>
      </c>
    </row>
    <row r="1331" ht="16.5" spans="1:4">
      <c r="A1331" s="173" t="s">
        <v>6426</v>
      </c>
      <c r="B1331" s="173" t="s">
        <v>3232</v>
      </c>
      <c r="C1331" s="173" t="s">
        <v>6389</v>
      </c>
      <c r="D1331" s="173" t="s">
        <v>6419</v>
      </c>
    </row>
    <row r="1332" ht="16.5" spans="1:4">
      <c r="A1332" s="173" t="s">
        <v>6427</v>
      </c>
      <c r="B1332" s="173" t="s">
        <v>3232</v>
      </c>
      <c r="C1332" s="173" t="s">
        <v>6389</v>
      </c>
      <c r="D1332" s="173" t="s">
        <v>6419</v>
      </c>
    </row>
    <row r="1333" ht="16.5" spans="1:4">
      <c r="A1333" s="173" t="s">
        <v>3232</v>
      </c>
      <c r="B1333" s="173" t="s">
        <v>3232</v>
      </c>
      <c r="C1333" s="173" t="s">
        <v>6389</v>
      </c>
      <c r="D1333" s="173" t="s">
        <v>6419</v>
      </c>
    </row>
    <row r="1334" ht="16.5" spans="1:4">
      <c r="A1334" s="173" t="s">
        <v>6428</v>
      </c>
      <c r="B1334" s="173" t="s">
        <v>6329</v>
      </c>
      <c r="C1334" s="173" t="s">
        <v>6330</v>
      </c>
      <c r="D1334" s="173" t="s">
        <v>6331</v>
      </c>
    </row>
    <row r="1335" ht="16.5" spans="1:4">
      <c r="A1335" s="173" t="s">
        <v>6429</v>
      </c>
      <c r="B1335" s="173" t="s">
        <v>6429</v>
      </c>
      <c r="C1335" s="173" t="s">
        <v>6330</v>
      </c>
      <c r="D1335" s="173" t="s">
        <v>6430</v>
      </c>
    </row>
    <row r="1336" ht="16.5" spans="1:4">
      <c r="A1336" s="173" t="s">
        <v>6431</v>
      </c>
      <c r="B1336" s="173" t="s">
        <v>6329</v>
      </c>
      <c r="C1336" s="173" t="s">
        <v>6330</v>
      </c>
      <c r="D1336" s="173" t="s">
        <v>6331</v>
      </c>
    </row>
    <row r="1337" ht="16.5" spans="1:4">
      <c r="A1337" s="173" t="s">
        <v>6432</v>
      </c>
      <c r="B1337" s="173" t="s">
        <v>6432</v>
      </c>
      <c r="C1337" s="173" t="s">
        <v>6330</v>
      </c>
      <c r="D1337" s="173" t="s">
        <v>6433</v>
      </c>
    </row>
    <row r="1338" ht="16.5" spans="1:4">
      <c r="A1338" s="173" t="s">
        <v>6434</v>
      </c>
      <c r="B1338" s="173" t="s">
        <v>6329</v>
      </c>
      <c r="C1338" s="173" t="s">
        <v>6330</v>
      </c>
      <c r="D1338" s="173" t="s">
        <v>6331</v>
      </c>
    </row>
    <row r="1339" ht="16.5" spans="1:4">
      <c r="A1339" s="173" t="s">
        <v>6435</v>
      </c>
      <c r="B1339" s="173" t="s">
        <v>6435</v>
      </c>
      <c r="C1339" s="173" t="s">
        <v>6330</v>
      </c>
      <c r="D1339" s="173" t="s">
        <v>6436</v>
      </c>
    </row>
    <row r="1340" ht="16.5" spans="1:4">
      <c r="A1340" s="173" t="s">
        <v>6437</v>
      </c>
      <c r="B1340" s="173" t="s">
        <v>6340</v>
      </c>
      <c r="C1340" s="173" t="s">
        <v>4864</v>
      </c>
      <c r="D1340" s="173" t="s">
        <v>4865</v>
      </c>
    </row>
    <row r="1341" ht="16.5" spans="1:4">
      <c r="A1341" s="173" t="s">
        <v>6438</v>
      </c>
      <c r="B1341" s="173" t="s">
        <v>6329</v>
      </c>
      <c r="C1341" s="173" t="s">
        <v>6330</v>
      </c>
      <c r="D1341" s="173" t="s">
        <v>6331</v>
      </c>
    </row>
    <row r="1342" ht="16.5" spans="1:4">
      <c r="A1342" s="173" t="s">
        <v>6439</v>
      </c>
      <c r="B1342" s="173" t="s">
        <v>6439</v>
      </c>
      <c r="C1342" s="173" t="s">
        <v>6330</v>
      </c>
      <c r="D1342" s="173" t="s">
        <v>6440</v>
      </c>
    </row>
    <row r="1343" ht="16.5" spans="1:4">
      <c r="A1343" s="173" t="s">
        <v>6441</v>
      </c>
      <c r="B1343" s="173" t="s">
        <v>6329</v>
      </c>
      <c r="C1343" s="173" t="s">
        <v>6330</v>
      </c>
      <c r="D1343" s="173" t="s">
        <v>6331</v>
      </c>
    </row>
    <row r="1344" ht="16.5" spans="1:4">
      <c r="A1344" s="173" t="s">
        <v>6442</v>
      </c>
      <c r="B1344" s="173" t="s">
        <v>6329</v>
      </c>
      <c r="C1344" s="173" t="s">
        <v>6330</v>
      </c>
      <c r="D1344" s="173" t="s">
        <v>6331</v>
      </c>
    </row>
    <row r="1345" ht="16.5" spans="1:4">
      <c r="A1345" s="173" t="s">
        <v>6443</v>
      </c>
      <c r="B1345" s="173" t="s">
        <v>6329</v>
      </c>
      <c r="C1345" s="173" t="s">
        <v>6330</v>
      </c>
      <c r="D1345" s="173" t="s">
        <v>6331</v>
      </c>
    </row>
    <row r="1346" ht="16.5" spans="1:4">
      <c r="A1346" s="173" t="s">
        <v>6444</v>
      </c>
      <c r="B1346" s="173" t="s">
        <v>6444</v>
      </c>
      <c r="C1346" s="173" t="s">
        <v>6330</v>
      </c>
      <c r="D1346" s="173" t="s">
        <v>6445</v>
      </c>
    </row>
    <row r="1347" ht="16.5" spans="1:4">
      <c r="A1347" s="173" t="s">
        <v>6446</v>
      </c>
      <c r="B1347" s="173" t="s">
        <v>6329</v>
      </c>
      <c r="C1347" s="173" t="s">
        <v>6330</v>
      </c>
      <c r="D1347" s="173" t="s">
        <v>6331</v>
      </c>
    </row>
    <row r="1348" ht="16.5" spans="1:4">
      <c r="A1348" s="173" t="s">
        <v>6447</v>
      </c>
      <c r="B1348" s="173" t="s">
        <v>1755</v>
      </c>
      <c r="C1348" s="173" t="s">
        <v>5958</v>
      </c>
      <c r="D1348" s="173" t="s">
        <v>5959</v>
      </c>
    </row>
    <row r="1349" ht="16.5" spans="1:4">
      <c r="A1349" s="173" t="s">
        <v>6448</v>
      </c>
      <c r="B1349" s="173" t="s">
        <v>6329</v>
      </c>
      <c r="C1349" s="173" t="s">
        <v>6330</v>
      </c>
      <c r="D1349" s="173" t="s">
        <v>6331</v>
      </c>
    </row>
    <row r="1350" ht="16.5" spans="1:4">
      <c r="A1350" s="173" t="s">
        <v>6449</v>
      </c>
      <c r="B1350" s="173" t="s">
        <v>1755</v>
      </c>
      <c r="C1350" s="173" t="s">
        <v>5958</v>
      </c>
      <c r="D1350" s="173" t="s">
        <v>5959</v>
      </c>
    </row>
    <row r="1351" ht="16.5" spans="1:4">
      <c r="A1351" s="173" t="s">
        <v>6450</v>
      </c>
      <c r="B1351" s="173" t="s">
        <v>1755</v>
      </c>
      <c r="C1351" s="173" t="s">
        <v>5958</v>
      </c>
      <c r="D1351" s="173" t="s">
        <v>5959</v>
      </c>
    </row>
    <row r="1352" ht="16.5" spans="1:4">
      <c r="A1352" s="173" t="s">
        <v>6451</v>
      </c>
      <c r="B1352" s="173" t="s">
        <v>1755</v>
      </c>
      <c r="C1352" s="173" t="s">
        <v>5958</v>
      </c>
      <c r="D1352" s="173" t="s">
        <v>5959</v>
      </c>
    </row>
    <row r="1353" ht="16.5" spans="1:4">
      <c r="A1353" s="173" t="s">
        <v>6452</v>
      </c>
      <c r="B1353" s="173" t="s">
        <v>1755</v>
      </c>
      <c r="C1353" s="173" t="s">
        <v>5958</v>
      </c>
      <c r="D1353" s="173" t="s">
        <v>5959</v>
      </c>
    </row>
    <row r="1354" ht="16.5" spans="1:4">
      <c r="A1354" s="173" t="s">
        <v>6453</v>
      </c>
      <c r="B1354" s="173" t="s">
        <v>1755</v>
      </c>
      <c r="C1354" s="173" t="s">
        <v>5958</v>
      </c>
      <c r="D1354" s="173" t="s">
        <v>5959</v>
      </c>
    </row>
    <row r="1355" ht="16.5" spans="1:4">
      <c r="A1355" s="173" t="s">
        <v>1755</v>
      </c>
      <c r="B1355" s="173" t="s">
        <v>1755</v>
      </c>
      <c r="C1355" s="173" t="s">
        <v>5958</v>
      </c>
      <c r="D1355" s="173" t="s">
        <v>5959</v>
      </c>
    </row>
    <row r="1356" ht="16.5" spans="1:4">
      <c r="A1356" s="173" t="s">
        <v>6454</v>
      </c>
      <c r="B1356" s="173" t="s">
        <v>4795</v>
      </c>
      <c r="C1356" s="173" t="s">
        <v>4796</v>
      </c>
      <c r="D1356" s="173" t="s">
        <v>4797</v>
      </c>
    </row>
    <row r="1357" ht="16.5" spans="1:4">
      <c r="A1357" s="173" t="s">
        <v>6455</v>
      </c>
      <c r="B1357" s="173" t="s">
        <v>4791</v>
      </c>
      <c r="C1357" s="173" t="s">
        <v>4792</v>
      </c>
      <c r="D1357" s="173" t="s">
        <v>4793</v>
      </c>
    </row>
    <row r="1358" ht="16.5" spans="1:4">
      <c r="A1358" s="173" t="s">
        <v>6456</v>
      </c>
      <c r="B1358" s="173" t="s">
        <v>4795</v>
      </c>
      <c r="C1358" s="173" t="s">
        <v>4796</v>
      </c>
      <c r="D1358" s="173" t="s">
        <v>4797</v>
      </c>
    </row>
    <row r="1359" ht="16.5" spans="1:4">
      <c r="A1359" s="173" t="s">
        <v>1021</v>
      </c>
      <c r="B1359" s="173" t="s">
        <v>4920</v>
      </c>
      <c r="C1359" s="173" t="s">
        <v>4921</v>
      </c>
      <c r="D1359" s="173" t="s">
        <v>4922</v>
      </c>
    </row>
    <row r="1360" ht="16.5" spans="1:4">
      <c r="A1360" s="173" t="s">
        <v>505</v>
      </c>
      <c r="B1360" s="173" t="s">
        <v>4920</v>
      </c>
      <c r="C1360" s="173" t="s">
        <v>4921</v>
      </c>
      <c r="D1360" s="173" t="s">
        <v>4922</v>
      </c>
    </row>
    <row r="1361" ht="16.5" spans="1:4">
      <c r="A1361" s="173" t="s">
        <v>550</v>
      </c>
      <c r="B1361" s="173" t="s">
        <v>4920</v>
      </c>
      <c r="C1361" s="173" t="s">
        <v>4921</v>
      </c>
      <c r="D1361" s="173" t="s">
        <v>4922</v>
      </c>
    </row>
    <row r="1362" ht="16.5" spans="1:4">
      <c r="A1362" s="173" t="s">
        <v>276</v>
      </c>
      <c r="B1362" s="173" t="s">
        <v>5961</v>
      </c>
      <c r="C1362" s="173" t="s">
        <v>5962</v>
      </c>
      <c r="D1362" s="173" t="s">
        <v>5963</v>
      </c>
    </row>
    <row r="1363" ht="16.5" spans="1:4">
      <c r="A1363" s="173" t="s">
        <v>1109</v>
      </c>
      <c r="B1363" s="173" t="s">
        <v>5961</v>
      </c>
      <c r="C1363" s="173" t="s">
        <v>5962</v>
      </c>
      <c r="D1363" s="173" t="s">
        <v>5963</v>
      </c>
    </row>
    <row r="1364" ht="16.5" spans="1:4">
      <c r="A1364" s="173" t="s">
        <v>1741</v>
      </c>
      <c r="B1364" s="173" t="s">
        <v>5961</v>
      </c>
      <c r="C1364" s="173" t="s">
        <v>5962</v>
      </c>
      <c r="D1364" s="173" t="s">
        <v>5963</v>
      </c>
    </row>
    <row r="1365" ht="16.5" spans="1:4">
      <c r="A1365" s="173" t="s">
        <v>1336</v>
      </c>
      <c r="B1365" s="173" t="s">
        <v>5961</v>
      </c>
      <c r="C1365" s="173" t="s">
        <v>5962</v>
      </c>
      <c r="D1365" s="173" t="s">
        <v>5963</v>
      </c>
    </row>
    <row r="1366" ht="16.5" spans="1:4">
      <c r="A1366" s="173" t="s">
        <v>2208</v>
      </c>
      <c r="B1366" s="173" t="s">
        <v>5961</v>
      </c>
      <c r="C1366" s="173" t="s">
        <v>5962</v>
      </c>
      <c r="D1366" s="173" t="s">
        <v>5963</v>
      </c>
    </row>
    <row r="1367" ht="16.5" spans="1:4">
      <c r="A1367" s="173" t="s">
        <v>805</v>
      </c>
      <c r="B1367" s="173" t="s">
        <v>5961</v>
      </c>
      <c r="C1367" s="173" t="s">
        <v>5962</v>
      </c>
      <c r="D1367" s="173" t="s">
        <v>5963</v>
      </c>
    </row>
    <row r="1368" ht="16.5" spans="1:4">
      <c r="A1368" s="173" t="s">
        <v>587</v>
      </c>
      <c r="B1368" s="173" t="s">
        <v>5961</v>
      </c>
      <c r="C1368" s="173" t="s">
        <v>5962</v>
      </c>
      <c r="D1368" s="173" t="s">
        <v>5963</v>
      </c>
    </row>
    <row r="1369" ht="16.5" spans="1:4">
      <c r="A1369" s="173" t="s">
        <v>2121</v>
      </c>
      <c r="B1369" s="173" t="s">
        <v>5961</v>
      </c>
      <c r="C1369" s="173" t="s">
        <v>5962</v>
      </c>
      <c r="D1369" s="173" t="s">
        <v>5963</v>
      </c>
    </row>
    <row r="1370" ht="16.5" spans="1:4">
      <c r="A1370" s="173" t="s">
        <v>249</v>
      </c>
      <c r="B1370" s="173" t="s">
        <v>5961</v>
      </c>
      <c r="C1370" s="173" t="s">
        <v>5962</v>
      </c>
      <c r="D1370" s="173" t="s">
        <v>5963</v>
      </c>
    </row>
    <row r="1371" ht="16.5" spans="1:4">
      <c r="A1371" s="173" t="s">
        <v>6457</v>
      </c>
      <c r="B1371" s="173" t="s">
        <v>4812</v>
      </c>
      <c r="C1371" s="173" t="s">
        <v>4813</v>
      </c>
      <c r="D1371" s="173" t="s">
        <v>4814</v>
      </c>
    </row>
    <row r="1372" ht="16.5" spans="1:4">
      <c r="A1372" s="173" t="s">
        <v>6458</v>
      </c>
      <c r="B1372" s="173" t="s">
        <v>4799</v>
      </c>
      <c r="C1372" s="173" t="s">
        <v>4800</v>
      </c>
      <c r="D1372" s="173" t="s">
        <v>4801</v>
      </c>
    </row>
    <row r="1373" ht="16.5" spans="1:4">
      <c r="A1373" s="173" t="s">
        <v>6459</v>
      </c>
      <c r="B1373" s="173" t="s">
        <v>6254</v>
      </c>
      <c r="C1373" s="173" t="s">
        <v>4841</v>
      </c>
      <c r="D1373" s="173" t="s">
        <v>6255</v>
      </c>
    </row>
    <row r="1374" ht="16.5" spans="1:4">
      <c r="A1374" s="173" t="s">
        <v>6460</v>
      </c>
      <c r="B1374" s="173" t="s">
        <v>4812</v>
      </c>
      <c r="C1374" s="173" t="s">
        <v>4813</v>
      </c>
      <c r="D1374" s="173" t="s">
        <v>4814</v>
      </c>
    </row>
    <row r="1375" ht="16.5" spans="1:4">
      <c r="A1375" s="173" t="s">
        <v>4729</v>
      </c>
      <c r="B1375" s="173" t="s">
        <v>4729</v>
      </c>
      <c r="C1375" s="173" t="s">
        <v>6461</v>
      </c>
      <c r="D1375" s="173" t="s">
        <v>6462</v>
      </c>
    </row>
    <row r="1376" ht="16.5" spans="1:4">
      <c r="A1376" s="173" t="s">
        <v>6463</v>
      </c>
      <c r="B1376" s="173" t="s">
        <v>4791</v>
      </c>
      <c r="C1376" s="173" t="s">
        <v>4792</v>
      </c>
      <c r="D1376" s="173" t="s">
        <v>4793</v>
      </c>
    </row>
    <row r="1377" ht="16.5" spans="1:4">
      <c r="A1377" s="173" t="s">
        <v>6464</v>
      </c>
      <c r="B1377" s="173" t="s">
        <v>6341</v>
      </c>
      <c r="C1377" s="173" t="s">
        <v>4864</v>
      </c>
      <c r="D1377" s="173" t="s">
        <v>4865</v>
      </c>
    </row>
    <row r="1378" ht="16.5" spans="1:4">
      <c r="A1378" s="173" t="s">
        <v>6465</v>
      </c>
      <c r="B1378" s="173" t="s">
        <v>6341</v>
      </c>
      <c r="C1378" s="173" t="s">
        <v>4864</v>
      </c>
      <c r="D1378" s="173" t="s">
        <v>4865</v>
      </c>
    </row>
    <row r="1379" ht="16.5" spans="1:4">
      <c r="A1379" s="173" t="s">
        <v>6466</v>
      </c>
      <c r="B1379" s="173" t="s">
        <v>6341</v>
      </c>
      <c r="C1379" s="173" t="s">
        <v>4864</v>
      </c>
      <c r="D1379" s="173" t="s">
        <v>4865</v>
      </c>
    </row>
    <row r="1380" ht="16.5" spans="1:4">
      <c r="A1380" s="173" t="s">
        <v>6467</v>
      </c>
      <c r="B1380" s="173" t="s">
        <v>6340</v>
      </c>
      <c r="C1380" s="173" t="s">
        <v>4864</v>
      </c>
      <c r="D1380" s="173" t="s">
        <v>4865</v>
      </c>
    </row>
    <row r="1381" ht="16.5" spans="1:4">
      <c r="A1381" s="173" t="s">
        <v>6468</v>
      </c>
      <c r="B1381" s="173" t="s">
        <v>6340</v>
      </c>
      <c r="C1381" s="173" t="s">
        <v>4864</v>
      </c>
      <c r="D1381" s="173" t="s">
        <v>4865</v>
      </c>
    </row>
    <row r="1382" ht="16.5" spans="1:4">
      <c r="A1382" s="173" t="s">
        <v>6469</v>
      </c>
      <c r="B1382" s="173" t="s">
        <v>6340</v>
      </c>
      <c r="C1382" s="173" t="s">
        <v>4864</v>
      </c>
      <c r="D1382" s="173" t="s">
        <v>4865</v>
      </c>
    </row>
    <row r="1383" ht="16.5" spans="1:4">
      <c r="A1383" s="173" t="s">
        <v>6470</v>
      </c>
      <c r="B1383" s="173" t="s">
        <v>4791</v>
      </c>
      <c r="C1383" s="173" t="s">
        <v>4792</v>
      </c>
      <c r="D1383" s="173" t="s">
        <v>4793</v>
      </c>
    </row>
    <row r="1384" ht="16.5" spans="1:4">
      <c r="A1384" s="173" t="s">
        <v>6471</v>
      </c>
      <c r="B1384" s="173" t="s">
        <v>4817</v>
      </c>
      <c r="C1384" s="173" t="s">
        <v>4818</v>
      </c>
      <c r="D1384" s="173" t="s">
        <v>4819</v>
      </c>
    </row>
    <row r="1385" ht="16.5" spans="1:4">
      <c r="A1385" s="173" t="s">
        <v>6472</v>
      </c>
      <c r="B1385" s="173" t="s">
        <v>4830</v>
      </c>
      <c r="C1385" s="173" t="s">
        <v>4831</v>
      </c>
      <c r="D1385" s="173" t="s">
        <v>4832</v>
      </c>
    </row>
    <row r="1386" ht="16.5" spans="1:4">
      <c r="A1386" s="173" t="s">
        <v>6473</v>
      </c>
      <c r="B1386" s="173" t="s">
        <v>4812</v>
      </c>
      <c r="C1386" s="173" t="s">
        <v>4813</v>
      </c>
      <c r="D1386" s="173" t="s">
        <v>4814</v>
      </c>
    </row>
    <row r="1387" ht="16.5" spans="1:4">
      <c r="A1387" s="173" t="s">
        <v>6474</v>
      </c>
      <c r="B1387" s="173" t="s">
        <v>6474</v>
      </c>
      <c r="C1387" s="173" t="s">
        <v>4841</v>
      </c>
      <c r="D1387" s="173" t="s">
        <v>6475</v>
      </c>
    </row>
    <row r="1388" ht="16.5" spans="1:4">
      <c r="A1388" s="173" t="s">
        <v>6476</v>
      </c>
      <c r="B1388" s="173" t="s">
        <v>6156</v>
      </c>
      <c r="C1388" s="173" t="s">
        <v>6157</v>
      </c>
      <c r="D1388" s="173" t="s">
        <v>6158</v>
      </c>
    </row>
    <row r="1389" ht="16.5" spans="1:4">
      <c r="A1389" s="173" t="s">
        <v>6477</v>
      </c>
      <c r="B1389" s="173" t="s">
        <v>6156</v>
      </c>
      <c r="C1389" s="173" t="s">
        <v>6157</v>
      </c>
      <c r="D1389" s="173" t="s">
        <v>6158</v>
      </c>
    </row>
    <row r="1390" ht="16.5" spans="1:4">
      <c r="A1390" s="173" t="s">
        <v>6478</v>
      </c>
      <c r="B1390" s="173" t="s">
        <v>6156</v>
      </c>
      <c r="C1390" s="173" t="s">
        <v>6157</v>
      </c>
      <c r="D1390" s="173" t="s">
        <v>6158</v>
      </c>
    </row>
    <row r="1391" ht="16.5" spans="1:4">
      <c r="A1391" s="173" t="s">
        <v>6479</v>
      </c>
      <c r="B1391" s="173" t="s">
        <v>6156</v>
      </c>
      <c r="C1391" s="173" t="s">
        <v>6157</v>
      </c>
      <c r="D1391" s="173" t="s">
        <v>6158</v>
      </c>
    </row>
    <row r="1392" ht="16.5" spans="1:4">
      <c r="A1392" s="173" t="s">
        <v>6480</v>
      </c>
      <c r="B1392" s="173" t="s">
        <v>6156</v>
      </c>
      <c r="C1392" s="173" t="s">
        <v>6157</v>
      </c>
      <c r="D1392" s="173" t="s">
        <v>6158</v>
      </c>
    </row>
    <row r="1393" ht="16.5" spans="1:4">
      <c r="A1393" s="173" t="s">
        <v>6481</v>
      </c>
      <c r="B1393" s="173" t="s">
        <v>6156</v>
      </c>
      <c r="C1393" s="173" t="s">
        <v>6157</v>
      </c>
      <c r="D1393" s="173" t="s">
        <v>6158</v>
      </c>
    </row>
    <row r="1394" ht="16.5" spans="1:4">
      <c r="A1394" s="173" t="s">
        <v>6482</v>
      </c>
      <c r="B1394" s="173" t="s">
        <v>6156</v>
      </c>
      <c r="C1394" s="173" t="s">
        <v>6157</v>
      </c>
      <c r="D1394" s="173" t="s">
        <v>6158</v>
      </c>
    </row>
    <row r="1395" ht="16.5" spans="1:4">
      <c r="A1395" s="173" t="s">
        <v>6483</v>
      </c>
      <c r="B1395" s="173" t="s">
        <v>6156</v>
      </c>
      <c r="C1395" s="173" t="s">
        <v>6157</v>
      </c>
      <c r="D1395" s="173" t="s">
        <v>6158</v>
      </c>
    </row>
    <row r="1396" ht="16.5" spans="1:4">
      <c r="A1396" s="173" t="s">
        <v>6484</v>
      </c>
      <c r="B1396" s="173" t="s">
        <v>6156</v>
      </c>
      <c r="C1396" s="173" t="s">
        <v>6157</v>
      </c>
      <c r="D1396" s="173" t="s">
        <v>6158</v>
      </c>
    </row>
    <row r="1397" ht="16.5" spans="1:4">
      <c r="A1397" s="173" t="s">
        <v>6485</v>
      </c>
      <c r="B1397" s="173" t="s">
        <v>6156</v>
      </c>
      <c r="C1397" s="173" t="s">
        <v>6157</v>
      </c>
      <c r="D1397" s="173" t="s">
        <v>6158</v>
      </c>
    </row>
    <row r="1398" ht="16.5" spans="1:4">
      <c r="A1398" s="173" t="s">
        <v>6486</v>
      </c>
      <c r="B1398" s="173" t="s">
        <v>6156</v>
      </c>
      <c r="C1398" s="173" t="s">
        <v>6157</v>
      </c>
      <c r="D1398" s="173" t="s">
        <v>6158</v>
      </c>
    </row>
    <row r="1399" ht="16.5" spans="1:4">
      <c r="A1399" s="173" t="s">
        <v>6487</v>
      </c>
      <c r="B1399" s="173" t="s">
        <v>6156</v>
      </c>
      <c r="C1399" s="173" t="s">
        <v>6157</v>
      </c>
      <c r="D1399" s="173" t="s">
        <v>6158</v>
      </c>
    </row>
    <row r="1400" ht="16.5" spans="1:4">
      <c r="A1400" s="173" t="s">
        <v>6488</v>
      </c>
      <c r="B1400" s="173" t="s">
        <v>6156</v>
      </c>
      <c r="C1400" s="173" t="s">
        <v>6157</v>
      </c>
      <c r="D1400" s="173" t="s">
        <v>6158</v>
      </c>
    </row>
    <row r="1401" ht="16.5" spans="1:4">
      <c r="A1401" s="173" t="s">
        <v>6489</v>
      </c>
      <c r="B1401" s="173" t="s">
        <v>6156</v>
      </c>
      <c r="C1401" s="173" t="s">
        <v>6157</v>
      </c>
      <c r="D1401" s="173" t="s">
        <v>6158</v>
      </c>
    </row>
    <row r="1402" ht="16.5" spans="1:4">
      <c r="A1402" s="173" t="s">
        <v>6490</v>
      </c>
      <c r="B1402" s="173" t="s">
        <v>6156</v>
      </c>
      <c r="C1402" s="173" t="s">
        <v>6157</v>
      </c>
      <c r="D1402" s="173" t="s">
        <v>6158</v>
      </c>
    </row>
    <row r="1403" ht="16.5" spans="1:4">
      <c r="A1403" s="173" t="s">
        <v>6491</v>
      </c>
      <c r="B1403" s="173" t="s">
        <v>4791</v>
      </c>
      <c r="C1403" s="173" t="s">
        <v>4792</v>
      </c>
      <c r="D1403" s="173" t="s">
        <v>4793</v>
      </c>
    </row>
    <row r="1404" ht="16.5" spans="1:4">
      <c r="A1404" s="173" t="s">
        <v>6492</v>
      </c>
      <c r="B1404" s="173" t="s">
        <v>4812</v>
      </c>
      <c r="C1404" s="173" t="s">
        <v>4813</v>
      </c>
      <c r="D1404" s="173" t="s">
        <v>4814</v>
      </c>
    </row>
    <row r="1405" ht="16.5" spans="1:4">
      <c r="A1405" s="173" t="s">
        <v>6493</v>
      </c>
      <c r="B1405" s="173" t="s">
        <v>4795</v>
      </c>
      <c r="C1405" s="173" t="s">
        <v>4796</v>
      </c>
      <c r="D1405" s="173" t="s">
        <v>4797</v>
      </c>
    </row>
    <row r="1406" ht="16.5" spans="1:4">
      <c r="A1406" s="173" t="s">
        <v>6494</v>
      </c>
      <c r="B1406" s="173" t="s">
        <v>4812</v>
      </c>
      <c r="C1406" s="173" t="s">
        <v>4813</v>
      </c>
      <c r="D1406" s="173" t="s">
        <v>4814</v>
      </c>
    </row>
    <row r="1407" ht="16.5" spans="1:4">
      <c r="A1407" s="173" t="s">
        <v>6495</v>
      </c>
      <c r="B1407" s="173" t="s">
        <v>4812</v>
      </c>
      <c r="C1407" s="173" t="s">
        <v>4813</v>
      </c>
      <c r="D1407" s="173" t="s">
        <v>4814</v>
      </c>
    </row>
    <row r="1408" ht="16.5" spans="1:4">
      <c r="A1408" s="173" t="s">
        <v>6496</v>
      </c>
      <c r="B1408" s="173" t="s">
        <v>4812</v>
      </c>
      <c r="C1408" s="173" t="s">
        <v>4813</v>
      </c>
      <c r="D1408" s="173" t="s">
        <v>4814</v>
      </c>
    </row>
    <row r="1409" ht="16.5" spans="1:4">
      <c r="A1409" s="173" t="s">
        <v>6497</v>
      </c>
      <c r="B1409" s="173" t="s">
        <v>4791</v>
      </c>
      <c r="C1409" s="173" t="s">
        <v>4792</v>
      </c>
      <c r="D1409" s="173" t="s">
        <v>4793</v>
      </c>
    </row>
    <row r="1410" ht="16.5" spans="1:4">
      <c r="A1410" s="173" t="s">
        <v>6498</v>
      </c>
      <c r="B1410" s="173" t="s">
        <v>4795</v>
      </c>
      <c r="C1410" s="173" t="s">
        <v>4796</v>
      </c>
      <c r="D1410" s="173" t="s">
        <v>4797</v>
      </c>
    </row>
    <row r="1411" ht="16.5" spans="1:4">
      <c r="A1411" s="173" t="s">
        <v>6499</v>
      </c>
      <c r="B1411" s="173" t="s">
        <v>4812</v>
      </c>
      <c r="C1411" s="173" t="s">
        <v>4813</v>
      </c>
      <c r="D1411" s="173" t="s">
        <v>4814</v>
      </c>
    </row>
    <row r="1412" ht="16.5" spans="1:4">
      <c r="A1412" s="173" t="s">
        <v>103</v>
      </c>
      <c r="B1412" s="173" t="s">
        <v>103</v>
      </c>
      <c r="C1412" s="173" t="s">
        <v>4903</v>
      </c>
      <c r="D1412" s="173" t="s">
        <v>4903</v>
      </c>
    </row>
    <row r="1413" ht="16.5" spans="1:4">
      <c r="A1413" s="173" t="s">
        <v>6500</v>
      </c>
      <c r="B1413" s="173" t="s">
        <v>4812</v>
      </c>
      <c r="C1413" s="173" t="s">
        <v>4813</v>
      </c>
      <c r="D1413" s="173" t="s">
        <v>4814</v>
      </c>
    </row>
    <row r="1414" ht="16.5" spans="1:4">
      <c r="A1414" s="173" t="s">
        <v>6501</v>
      </c>
      <c r="B1414" s="173" t="s">
        <v>4795</v>
      </c>
      <c r="C1414" s="173" t="s">
        <v>4796</v>
      </c>
      <c r="D1414" s="173" t="s">
        <v>4797</v>
      </c>
    </row>
    <row r="1415" ht="16.5" spans="1:4">
      <c r="A1415" s="173" t="s">
        <v>6029</v>
      </c>
      <c r="B1415" s="173" t="s">
        <v>6029</v>
      </c>
      <c r="C1415" s="173" t="s">
        <v>4841</v>
      </c>
      <c r="D1415" s="173" t="s">
        <v>6030</v>
      </c>
    </row>
    <row r="1416" ht="16.5" spans="1:4">
      <c r="A1416" s="173" t="s">
        <v>6502</v>
      </c>
      <c r="B1416" s="173" t="s">
        <v>6029</v>
      </c>
      <c r="C1416" s="173" t="s">
        <v>4841</v>
      </c>
      <c r="D1416" s="173" t="s">
        <v>6030</v>
      </c>
    </row>
    <row r="1417" ht="16.5" spans="1:4">
      <c r="A1417" s="178" t="s">
        <v>6503</v>
      </c>
      <c r="B1417" s="178" t="s">
        <v>4840</v>
      </c>
      <c r="C1417" s="173" t="s">
        <v>4841</v>
      </c>
      <c r="D1417" s="173" t="s">
        <v>4842</v>
      </c>
    </row>
    <row r="1418" ht="16.5" spans="1:4">
      <c r="A1418" s="178" t="s">
        <v>6504</v>
      </c>
      <c r="B1418" s="178" t="s">
        <v>4840</v>
      </c>
      <c r="C1418" s="173" t="s">
        <v>4841</v>
      </c>
      <c r="D1418" s="173" t="s">
        <v>4842</v>
      </c>
    </row>
    <row r="1419" ht="16.5" spans="1:4">
      <c r="A1419" s="178" t="s">
        <v>6505</v>
      </c>
      <c r="B1419" s="178" t="s">
        <v>4840</v>
      </c>
      <c r="C1419" s="173" t="s">
        <v>4841</v>
      </c>
      <c r="D1419" s="173" t="s">
        <v>4842</v>
      </c>
    </row>
    <row r="1420" ht="16.5" spans="1:4">
      <c r="A1420" s="178" t="s">
        <v>6506</v>
      </c>
      <c r="B1420" s="178" t="s">
        <v>4840</v>
      </c>
      <c r="C1420" s="173" t="s">
        <v>4841</v>
      </c>
      <c r="D1420" s="173" t="s">
        <v>4842</v>
      </c>
    </row>
    <row r="1421" ht="16.5" spans="1:4">
      <c r="A1421" s="178" t="s">
        <v>6507</v>
      </c>
      <c r="B1421" s="178" t="s">
        <v>4840</v>
      </c>
      <c r="C1421" s="173" t="s">
        <v>4841</v>
      </c>
      <c r="D1421" s="173" t="s">
        <v>4842</v>
      </c>
    </row>
    <row r="1422" ht="16.5" spans="1:4">
      <c r="A1422" s="178" t="s">
        <v>6508</v>
      </c>
      <c r="B1422" s="178" t="s">
        <v>4840</v>
      </c>
      <c r="C1422" s="173" t="s">
        <v>4841</v>
      </c>
      <c r="D1422" s="173" t="s">
        <v>4842</v>
      </c>
    </row>
    <row r="1423" ht="16.5" spans="1:4">
      <c r="A1423" s="178" t="s">
        <v>6509</v>
      </c>
      <c r="B1423" s="178" t="s">
        <v>4840</v>
      </c>
      <c r="C1423" s="173" t="s">
        <v>4841</v>
      </c>
      <c r="D1423" s="173" t="s">
        <v>4842</v>
      </c>
    </row>
    <row r="1424" ht="16.5" spans="1:4">
      <c r="A1424" s="178" t="s">
        <v>6510</v>
      </c>
      <c r="B1424" s="178" t="s">
        <v>4840</v>
      </c>
      <c r="C1424" s="173" t="s">
        <v>4841</v>
      </c>
      <c r="D1424" s="173" t="s">
        <v>4842</v>
      </c>
    </row>
    <row r="1425" ht="16.5" spans="1:4">
      <c r="A1425" s="178" t="s">
        <v>6511</v>
      </c>
      <c r="B1425" s="178" t="s">
        <v>4840</v>
      </c>
      <c r="C1425" s="173" t="s">
        <v>4841</v>
      </c>
      <c r="D1425" s="173" t="s">
        <v>4842</v>
      </c>
    </row>
    <row r="1426" ht="16.5" spans="1:4">
      <c r="A1426" s="178" t="s">
        <v>6512</v>
      </c>
      <c r="B1426" s="178" t="s">
        <v>4840</v>
      </c>
      <c r="C1426" s="173" t="s">
        <v>4841</v>
      </c>
      <c r="D1426" s="173" t="s">
        <v>4842</v>
      </c>
    </row>
    <row r="1427" ht="16.5" spans="1:4">
      <c r="A1427" s="178" t="s">
        <v>6513</v>
      </c>
      <c r="B1427" s="178" t="s">
        <v>4840</v>
      </c>
      <c r="C1427" s="173" t="s">
        <v>4841</v>
      </c>
      <c r="D1427" s="173" t="s">
        <v>4842</v>
      </c>
    </row>
    <row r="1428" ht="16.5" spans="1:4">
      <c r="A1428" s="178" t="s">
        <v>6514</v>
      </c>
      <c r="B1428" s="178" t="s">
        <v>4840</v>
      </c>
      <c r="C1428" s="173" t="s">
        <v>4841</v>
      </c>
      <c r="D1428" s="173" t="s">
        <v>4842</v>
      </c>
    </row>
    <row r="1429" ht="16.5" spans="1:4">
      <c r="A1429" s="178" t="s">
        <v>6515</v>
      </c>
      <c r="B1429" s="178" t="s">
        <v>4840</v>
      </c>
      <c r="C1429" s="173" t="s">
        <v>4841</v>
      </c>
      <c r="D1429" s="173" t="s">
        <v>4842</v>
      </c>
    </row>
    <row r="1430" ht="16.5" spans="1:4">
      <c r="A1430" s="178" t="s">
        <v>6516</v>
      </c>
      <c r="B1430" s="178" t="s">
        <v>4840</v>
      </c>
      <c r="C1430" s="173" t="s">
        <v>4841</v>
      </c>
      <c r="D1430" s="173" t="s">
        <v>4842</v>
      </c>
    </row>
    <row r="1431" ht="16.5" spans="1:4">
      <c r="A1431" s="178" t="s">
        <v>6517</v>
      </c>
      <c r="B1431" s="178" t="s">
        <v>4840</v>
      </c>
      <c r="C1431" s="173" t="s">
        <v>4841</v>
      </c>
      <c r="D1431" s="173" t="s">
        <v>4842</v>
      </c>
    </row>
    <row r="1432" ht="16.5" spans="1:4">
      <c r="A1432" s="178" t="s">
        <v>6518</v>
      </c>
      <c r="B1432" s="178" t="s">
        <v>4840</v>
      </c>
      <c r="C1432" s="173" t="s">
        <v>4841</v>
      </c>
      <c r="D1432" s="173" t="s">
        <v>4842</v>
      </c>
    </row>
    <row r="1433" ht="16.5" spans="1:4">
      <c r="A1433" s="178" t="s">
        <v>6519</v>
      </c>
      <c r="B1433" s="178" t="s">
        <v>4840</v>
      </c>
      <c r="C1433" s="173" t="s">
        <v>4841</v>
      </c>
      <c r="D1433" s="173" t="s">
        <v>4842</v>
      </c>
    </row>
    <row r="1434" ht="16.5" spans="1:4">
      <c r="A1434" s="178" t="s">
        <v>6520</v>
      </c>
      <c r="B1434" s="178" t="s">
        <v>4840</v>
      </c>
      <c r="C1434" s="173" t="s">
        <v>4841</v>
      </c>
      <c r="D1434" s="173" t="s">
        <v>4842</v>
      </c>
    </row>
    <row r="1435" ht="16.5" spans="1:4">
      <c r="A1435" s="178" t="s">
        <v>6521</v>
      </c>
      <c r="B1435" s="173" t="s">
        <v>6156</v>
      </c>
      <c r="C1435" s="173" t="s">
        <v>6157</v>
      </c>
      <c r="D1435" s="173" t="s">
        <v>6158</v>
      </c>
    </row>
    <row r="1436" ht="16.5" spans="1:4">
      <c r="A1436" s="178" t="s">
        <v>6522</v>
      </c>
      <c r="B1436" s="178" t="s">
        <v>4840</v>
      </c>
      <c r="C1436" s="173" t="s">
        <v>4841</v>
      </c>
      <c r="D1436" s="173" t="s">
        <v>4842</v>
      </c>
    </row>
    <row r="1437" ht="16.5" spans="1:4">
      <c r="A1437" s="178" t="s">
        <v>6523</v>
      </c>
      <c r="B1437" s="178" t="s">
        <v>4840</v>
      </c>
      <c r="C1437" s="173" t="s">
        <v>4841</v>
      </c>
      <c r="D1437" s="173" t="s">
        <v>4842</v>
      </c>
    </row>
    <row r="1438" ht="16.5" spans="1:4">
      <c r="A1438" s="178" t="s">
        <v>6524</v>
      </c>
      <c r="B1438" s="178" t="s">
        <v>4840</v>
      </c>
      <c r="C1438" s="173" t="s">
        <v>4841</v>
      </c>
      <c r="D1438" s="173" t="s">
        <v>4842</v>
      </c>
    </row>
    <row r="1439" ht="16.5" spans="1:4">
      <c r="A1439" s="178" t="s">
        <v>6525</v>
      </c>
      <c r="B1439" s="178" t="s">
        <v>4840</v>
      </c>
      <c r="C1439" s="173" t="s">
        <v>4841</v>
      </c>
      <c r="D1439" s="173" t="s">
        <v>4842</v>
      </c>
    </row>
    <row r="1440" ht="16.5" spans="1:4">
      <c r="A1440" s="178" t="s">
        <v>6526</v>
      </c>
      <c r="B1440" s="178" t="s">
        <v>4840</v>
      </c>
      <c r="C1440" s="173" t="s">
        <v>4841</v>
      </c>
      <c r="D1440" s="173" t="s">
        <v>4842</v>
      </c>
    </row>
    <row r="1441" ht="16.5" spans="1:4">
      <c r="A1441" s="178" t="s">
        <v>6527</v>
      </c>
      <c r="B1441" s="178" t="s">
        <v>4840</v>
      </c>
      <c r="C1441" s="173" t="s">
        <v>4841</v>
      </c>
      <c r="D1441" s="173" t="s">
        <v>4842</v>
      </c>
    </row>
    <row r="1442" ht="16.5" spans="1:4">
      <c r="A1442" s="178" t="s">
        <v>6528</v>
      </c>
      <c r="B1442" s="178" t="s">
        <v>4840</v>
      </c>
      <c r="C1442" s="173" t="s">
        <v>4841</v>
      </c>
      <c r="D1442" s="173" t="s">
        <v>4842</v>
      </c>
    </row>
    <row r="1443" ht="16.5" spans="1:4">
      <c r="A1443" s="178" t="s">
        <v>6529</v>
      </c>
      <c r="B1443" s="178" t="s">
        <v>4840</v>
      </c>
      <c r="C1443" s="173" t="s">
        <v>4841</v>
      </c>
      <c r="D1443" s="173" t="s">
        <v>4842</v>
      </c>
    </row>
    <row r="1444" ht="16.5" spans="1:4">
      <c r="A1444" s="178" t="s">
        <v>6530</v>
      </c>
      <c r="B1444" s="178" t="s">
        <v>4840</v>
      </c>
      <c r="C1444" s="173" t="s">
        <v>4841</v>
      </c>
      <c r="D1444" s="173" t="s">
        <v>4842</v>
      </c>
    </row>
    <row r="1445" ht="16.5" spans="1:4">
      <c r="A1445" s="178" t="s">
        <v>6531</v>
      </c>
      <c r="B1445" s="178" t="s">
        <v>4840</v>
      </c>
      <c r="C1445" s="173" t="s">
        <v>4841</v>
      </c>
      <c r="D1445" s="173" t="s">
        <v>4842</v>
      </c>
    </row>
    <row r="1446" ht="16.5" spans="1:4">
      <c r="A1446" s="178" t="s">
        <v>6532</v>
      </c>
      <c r="B1446" s="178" t="s">
        <v>4840</v>
      </c>
      <c r="C1446" s="173" t="s">
        <v>4841</v>
      </c>
      <c r="D1446" s="173" t="s">
        <v>4842</v>
      </c>
    </row>
    <row r="1447" ht="16.5" spans="1:4">
      <c r="A1447" s="178" t="s">
        <v>6533</v>
      </c>
      <c r="B1447" s="178" t="s">
        <v>4840</v>
      </c>
      <c r="C1447" s="173" t="s">
        <v>4841</v>
      </c>
      <c r="D1447" s="173" t="s">
        <v>4842</v>
      </c>
    </row>
    <row r="1448" ht="16.5" spans="1:4">
      <c r="A1448" s="178" t="s">
        <v>6534</v>
      </c>
      <c r="B1448" s="178" t="s">
        <v>4840</v>
      </c>
      <c r="C1448" s="173" t="s">
        <v>4841</v>
      </c>
      <c r="D1448" s="173" t="s">
        <v>4842</v>
      </c>
    </row>
    <row r="1449" ht="16.5" spans="1:4">
      <c r="A1449" s="178" t="s">
        <v>6535</v>
      </c>
      <c r="B1449" s="173" t="s">
        <v>6156</v>
      </c>
      <c r="C1449" s="173" t="s">
        <v>6157</v>
      </c>
      <c r="D1449" s="173" t="s">
        <v>6158</v>
      </c>
    </row>
    <row r="1450" ht="16.5" spans="1:4">
      <c r="A1450" s="173" t="s">
        <v>6536</v>
      </c>
      <c r="B1450" s="173" t="s">
        <v>6156</v>
      </c>
      <c r="C1450" s="173" t="s">
        <v>6157</v>
      </c>
      <c r="D1450" s="173" t="s">
        <v>6158</v>
      </c>
    </row>
    <row r="1451" ht="16.5" spans="1:4">
      <c r="A1451" s="173" t="s">
        <v>6537</v>
      </c>
      <c r="B1451" s="173" t="s">
        <v>4791</v>
      </c>
      <c r="C1451" s="173" t="s">
        <v>4792</v>
      </c>
      <c r="D1451" s="173" t="s">
        <v>4793</v>
      </c>
    </row>
    <row r="1452" ht="16.5" spans="1:4">
      <c r="A1452" s="173" t="s">
        <v>6538</v>
      </c>
      <c r="B1452" s="173" t="s">
        <v>4795</v>
      </c>
      <c r="C1452" s="173" t="s">
        <v>4796</v>
      </c>
      <c r="D1452" s="173" t="s">
        <v>4797</v>
      </c>
    </row>
    <row r="1453" ht="16.5" spans="1:4">
      <c r="A1453" s="173" t="s">
        <v>6539</v>
      </c>
      <c r="B1453" s="173" t="s">
        <v>4812</v>
      </c>
      <c r="C1453" s="173" t="s">
        <v>4813</v>
      </c>
      <c r="D1453" s="173" t="s">
        <v>4814</v>
      </c>
    </row>
    <row r="1454" ht="16.5" spans="1:4">
      <c r="A1454" s="176" t="s">
        <v>6540</v>
      </c>
      <c r="B1454" s="176" t="s">
        <v>6241</v>
      </c>
      <c r="C1454" s="176" t="s">
        <v>6242</v>
      </c>
      <c r="D1454" s="176" t="s">
        <v>6242</v>
      </c>
    </row>
    <row r="1455" ht="16.5" spans="1:4">
      <c r="A1455" s="173" t="s">
        <v>6541</v>
      </c>
      <c r="B1455" s="173" t="s">
        <v>4840</v>
      </c>
      <c r="C1455" s="173" t="s">
        <v>4841</v>
      </c>
      <c r="D1455" s="173" t="s">
        <v>4842</v>
      </c>
    </row>
    <row r="1456" ht="16.5" spans="1:4">
      <c r="A1456" s="173" t="s">
        <v>6542</v>
      </c>
      <c r="B1456" s="173" t="s">
        <v>4840</v>
      </c>
      <c r="C1456" s="173" t="s">
        <v>4841</v>
      </c>
      <c r="D1456" s="173" t="s">
        <v>4842</v>
      </c>
    </row>
    <row r="1457" ht="16.5" spans="1:4">
      <c r="A1457" s="173" t="s">
        <v>6543</v>
      </c>
      <c r="B1457" s="173" t="s">
        <v>4840</v>
      </c>
      <c r="C1457" s="173" t="s">
        <v>4841</v>
      </c>
      <c r="D1457" s="173" t="s">
        <v>4842</v>
      </c>
    </row>
    <row r="1458" ht="16.5" spans="1:4">
      <c r="A1458" s="173" t="s">
        <v>6544</v>
      </c>
      <c r="B1458" s="173" t="s">
        <v>4840</v>
      </c>
      <c r="C1458" s="173" t="s">
        <v>4841</v>
      </c>
      <c r="D1458" s="173" t="s">
        <v>4842</v>
      </c>
    </row>
    <row r="1459" ht="16.5" spans="1:4">
      <c r="A1459" s="173" t="s">
        <v>6545</v>
      </c>
      <c r="B1459" s="173" t="s">
        <v>4840</v>
      </c>
      <c r="C1459" s="173" t="s">
        <v>4841</v>
      </c>
      <c r="D1459" s="173" t="s">
        <v>4842</v>
      </c>
    </row>
    <row r="1460" ht="16.5" spans="1:4">
      <c r="A1460" s="173" t="s">
        <v>6546</v>
      </c>
      <c r="B1460" s="173" t="s">
        <v>4840</v>
      </c>
      <c r="C1460" s="173" t="s">
        <v>4841</v>
      </c>
      <c r="D1460" s="173" t="s">
        <v>4842</v>
      </c>
    </row>
    <row r="1461" ht="16.5" spans="1:4">
      <c r="A1461" s="173" t="s">
        <v>6547</v>
      </c>
      <c r="B1461" s="173" t="s">
        <v>4840</v>
      </c>
      <c r="C1461" s="173" t="s">
        <v>4841</v>
      </c>
      <c r="D1461" s="173" t="s">
        <v>4842</v>
      </c>
    </row>
    <row r="1462" ht="16.5" spans="1:4">
      <c r="A1462" s="173" t="s">
        <v>6548</v>
      </c>
      <c r="B1462" s="173" t="s">
        <v>4840</v>
      </c>
      <c r="C1462" s="173" t="s">
        <v>4841</v>
      </c>
      <c r="D1462" s="173" t="s">
        <v>4842</v>
      </c>
    </row>
    <row r="1463" ht="16.5" spans="1:4">
      <c r="A1463" s="173" t="s">
        <v>6549</v>
      </c>
      <c r="B1463" s="173" t="s">
        <v>4840</v>
      </c>
      <c r="C1463" s="173" t="s">
        <v>4841</v>
      </c>
      <c r="D1463" s="173" t="s">
        <v>4842</v>
      </c>
    </row>
    <row r="1464" ht="16.5" spans="1:4">
      <c r="A1464" s="173" t="s">
        <v>6550</v>
      </c>
      <c r="B1464" s="173" t="s">
        <v>4840</v>
      </c>
      <c r="C1464" s="173" t="s">
        <v>4841</v>
      </c>
      <c r="D1464" s="173" t="s">
        <v>4842</v>
      </c>
    </row>
    <row r="1465" ht="16.5" spans="1:4">
      <c r="A1465" s="173" t="s">
        <v>6551</v>
      </c>
      <c r="B1465" s="173" t="s">
        <v>4840</v>
      </c>
      <c r="C1465" s="173" t="s">
        <v>4841</v>
      </c>
      <c r="D1465" s="173" t="s">
        <v>4842</v>
      </c>
    </row>
    <row r="1466" ht="16.5" spans="1:4">
      <c r="A1466" s="173" t="s">
        <v>6552</v>
      </c>
      <c r="B1466" s="173" t="s">
        <v>4840</v>
      </c>
      <c r="C1466" s="173" t="s">
        <v>4841</v>
      </c>
      <c r="D1466" s="173" t="s">
        <v>4842</v>
      </c>
    </row>
    <row r="1467" ht="16.5" spans="1:4">
      <c r="A1467" s="173" t="s">
        <v>6553</v>
      </c>
      <c r="B1467" s="173" t="s">
        <v>4840</v>
      </c>
      <c r="C1467" s="173" t="s">
        <v>4841</v>
      </c>
      <c r="D1467" s="173" t="s">
        <v>4842</v>
      </c>
    </row>
    <row r="1468" ht="16.5" spans="1:4">
      <c r="A1468" s="173" t="s">
        <v>6554</v>
      </c>
      <c r="B1468" s="173" t="s">
        <v>4840</v>
      </c>
      <c r="C1468" s="173" t="s">
        <v>4841</v>
      </c>
      <c r="D1468" s="173" t="s">
        <v>4842</v>
      </c>
    </row>
    <row r="1469" ht="16.5" spans="1:4">
      <c r="A1469" s="173" t="s">
        <v>6555</v>
      </c>
      <c r="B1469" s="173" t="s">
        <v>4840</v>
      </c>
      <c r="C1469" s="173" t="s">
        <v>4841</v>
      </c>
      <c r="D1469" s="173" t="s">
        <v>4842</v>
      </c>
    </row>
    <row r="1470" ht="16.5" spans="1:4">
      <c r="A1470" s="173" t="s">
        <v>6556</v>
      </c>
      <c r="B1470" s="173" t="s">
        <v>4840</v>
      </c>
      <c r="C1470" s="173" t="s">
        <v>4841</v>
      </c>
      <c r="D1470" s="173" t="s">
        <v>4842</v>
      </c>
    </row>
    <row r="1471" ht="16.5" spans="1:4">
      <c r="A1471" s="173" t="s">
        <v>6557</v>
      </c>
      <c r="B1471" s="173" t="s">
        <v>4840</v>
      </c>
      <c r="C1471" s="173" t="s">
        <v>4841</v>
      </c>
      <c r="D1471" s="173" t="s">
        <v>4842</v>
      </c>
    </row>
    <row r="1472" ht="16.5" spans="1:4">
      <c r="A1472" s="173" t="s">
        <v>6558</v>
      </c>
      <c r="B1472" s="173" t="s">
        <v>5625</v>
      </c>
      <c r="C1472" s="173" t="s">
        <v>4841</v>
      </c>
      <c r="D1472" s="173" t="s">
        <v>5626</v>
      </c>
    </row>
    <row r="1473" ht="16.5" spans="1:4">
      <c r="A1473" s="173" t="s">
        <v>6559</v>
      </c>
      <c r="B1473" s="173" t="s">
        <v>4840</v>
      </c>
      <c r="C1473" s="173" t="s">
        <v>4841</v>
      </c>
      <c r="D1473" s="173" t="s">
        <v>4842</v>
      </c>
    </row>
    <row r="1474" ht="16.5" spans="1:4">
      <c r="A1474" s="173" t="s">
        <v>6560</v>
      </c>
      <c r="B1474" s="173" t="s">
        <v>4840</v>
      </c>
      <c r="C1474" s="173" t="s">
        <v>4841</v>
      </c>
      <c r="D1474" s="173" t="s">
        <v>4842</v>
      </c>
    </row>
    <row r="1475" ht="16.5" spans="1:4">
      <c r="A1475" s="173" t="s">
        <v>6561</v>
      </c>
      <c r="B1475" s="173" t="s">
        <v>4840</v>
      </c>
      <c r="C1475" s="173" t="s">
        <v>4841</v>
      </c>
      <c r="D1475" s="173" t="s">
        <v>4842</v>
      </c>
    </row>
    <row r="1476" ht="16.5" spans="1:4">
      <c r="A1476" s="173" t="s">
        <v>6562</v>
      </c>
      <c r="B1476" s="173" t="s">
        <v>4840</v>
      </c>
      <c r="C1476" s="173" t="s">
        <v>4841</v>
      </c>
      <c r="D1476" s="173" t="s">
        <v>4842</v>
      </c>
    </row>
    <row r="1477" ht="16.5" spans="1:4">
      <c r="A1477" s="173" t="s">
        <v>6563</v>
      </c>
      <c r="B1477" s="173" t="s">
        <v>4840</v>
      </c>
      <c r="C1477" s="173" t="s">
        <v>4841</v>
      </c>
      <c r="D1477" s="173" t="s">
        <v>4842</v>
      </c>
    </row>
    <row r="1478" ht="16.5" spans="1:4">
      <c r="A1478" s="173" t="s">
        <v>6564</v>
      </c>
      <c r="B1478" s="173" t="s">
        <v>4840</v>
      </c>
      <c r="C1478" s="173" t="s">
        <v>4841</v>
      </c>
      <c r="D1478" s="173" t="s">
        <v>4842</v>
      </c>
    </row>
    <row r="1479" ht="16.5" spans="1:4">
      <c r="A1479" s="173" t="s">
        <v>6565</v>
      </c>
      <c r="B1479" s="173" t="s">
        <v>4840</v>
      </c>
      <c r="C1479" s="173" t="s">
        <v>4841</v>
      </c>
      <c r="D1479" s="173" t="s">
        <v>4842</v>
      </c>
    </row>
    <row r="1480" ht="16.5" spans="1:4">
      <c r="A1480" s="173" t="s">
        <v>6566</v>
      </c>
      <c r="B1480" s="173" t="s">
        <v>4840</v>
      </c>
      <c r="C1480" s="173" t="s">
        <v>4841</v>
      </c>
      <c r="D1480" s="173" t="s">
        <v>4842</v>
      </c>
    </row>
    <row r="1481" ht="16.5" spans="1:4">
      <c r="A1481" s="173" t="s">
        <v>6567</v>
      </c>
      <c r="B1481" s="173" t="s">
        <v>4840</v>
      </c>
      <c r="C1481" s="173" t="s">
        <v>4841</v>
      </c>
      <c r="D1481" s="173" t="s">
        <v>4842</v>
      </c>
    </row>
    <row r="1482" ht="16.5" spans="1:4">
      <c r="A1482" s="173" t="s">
        <v>6568</v>
      </c>
      <c r="B1482" s="173" t="s">
        <v>4840</v>
      </c>
      <c r="C1482" s="173" t="s">
        <v>4841</v>
      </c>
      <c r="D1482" s="173" t="s">
        <v>4842</v>
      </c>
    </row>
    <row r="1483" ht="16.5" spans="1:4">
      <c r="A1483" s="173" t="s">
        <v>6569</v>
      </c>
      <c r="B1483" s="173" t="s">
        <v>4840</v>
      </c>
      <c r="C1483" s="173" t="s">
        <v>4841</v>
      </c>
      <c r="D1483" s="173" t="s">
        <v>4842</v>
      </c>
    </row>
    <row r="1484" ht="16.5" spans="1:4">
      <c r="A1484" s="173" t="s">
        <v>6570</v>
      </c>
      <c r="B1484" s="173" t="s">
        <v>4840</v>
      </c>
      <c r="C1484" s="173" t="s">
        <v>4841</v>
      </c>
      <c r="D1484" s="173" t="s">
        <v>4842</v>
      </c>
    </row>
    <row r="1485" ht="16.5" spans="1:4">
      <c r="A1485" s="173" t="s">
        <v>6571</v>
      </c>
      <c r="B1485" s="173" t="s">
        <v>4840</v>
      </c>
      <c r="C1485" s="173" t="s">
        <v>4841</v>
      </c>
      <c r="D1485" s="173" t="s">
        <v>4842</v>
      </c>
    </row>
    <row r="1486" ht="16.5" spans="1:4">
      <c r="A1486" s="173" t="s">
        <v>6572</v>
      </c>
      <c r="B1486" s="173" t="s">
        <v>4840</v>
      </c>
      <c r="C1486" s="173" t="s">
        <v>4841</v>
      </c>
      <c r="D1486" s="173" t="s">
        <v>4842</v>
      </c>
    </row>
    <row r="1487" ht="16.5" spans="1:4">
      <c r="A1487" s="173" t="s">
        <v>6573</v>
      </c>
      <c r="B1487" s="173" t="s">
        <v>4840</v>
      </c>
      <c r="C1487" s="173" t="s">
        <v>4841</v>
      </c>
      <c r="D1487" s="173" t="s">
        <v>4842</v>
      </c>
    </row>
    <row r="1488" ht="16.5" spans="1:4">
      <c r="A1488" s="173" t="s">
        <v>6574</v>
      </c>
      <c r="B1488" s="173" t="s">
        <v>4840</v>
      </c>
      <c r="C1488" s="173" t="s">
        <v>4841</v>
      </c>
      <c r="D1488" s="173" t="s">
        <v>4842</v>
      </c>
    </row>
    <row r="1489" ht="16.5" spans="1:4">
      <c r="A1489" s="173" t="s">
        <v>6575</v>
      </c>
      <c r="B1489" s="173" t="s">
        <v>4840</v>
      </c>
      <c r="C1489" s="173" t="s">
        <v>4841</v>
      </c>
      <c r="D1489" s="173" t="s">
        <v>4842</v>
      </c>
    </row>
    <row r="1490" ht="16.5" spans="1:4">
      <c r="A1490" s="173" t="s">
        <v>6576</v>
      </c>
      <c r="B1490" s="173" t="s">
        <v>4840</v>
      </c>
      <c r="C1490" s="173" t="s">
        <v>4841</v>
      </c>
      <c r="D1490" s="173" t="s">
        <v>4842</v>
      </c>
    </row>
    <row r="1491" ht="16.5" spans="1:4">
      <c r="A1491" s="173" t="s">
        <v>6577</v>
      </c>
      <c r="B1491" s="173" t="s">
        <v>4840</v>
      </c>
      <c r="C1491" s="173" t="s">
        <v>4841</v>
      </c>
      <c r="D1491" s="173" t="s">
        <v>4842</v>
      </c>
    </row>
    <row r="1492" ht="16.5" spans="1:4">
      <c r="A1492" s="173" t="s">
        <v>6578</v>
      </c>
      <c r="B1492" s="173" t="s">
        <v>4840</v>
      </c>
      <c r="C1492" s="173" t="s">
        <v>4841</v>
      </c>
      <c r="D1492" s="173" t="s">
        <v>4842</v>
      </c>
    </row>
    <row r="1493" ht="16.5" spans="1:4">
      <c r="A1493" s="173" t="s">
        <v>6579</v>
      </c>
      <c r="B1493" s="173" t="s">
        <v>4840</v>
      </c>
      <c r="C1493" s="173" t="s">
        <v>4841</v>
      </c>
      <c r="D1493" s="173" t="s">
        <v>4842</v>
      </c>
    </row>
    <row r="1494" ht="16.5" spans="1:4">
      <c r="A1494" s="173" t="s">
        <v>6580</v>
      </c>
      <c r="B1494" s="173" t="s">
        <v>4840</v>
      </c>
      <c r="C1494" s="173" t="s">
        <v>4841</v>
      </c>
      <c r="D1494" s="173" t="s">
        <v>4842</v>
      </c>
    </row>
    <row r="1495" ht="16.5" spans="1:4">
      <c r="A1495" s="179" t="s">
        <v>6581</v>
      </c>
      <c r="B1495" s="173" t="s">
        <v>4840</v>
      </c>
      <c r="C1495" s="173" t="s">
        <v>4841</v>
      </c>
      <c r="D1495" s="173" t="s">
        <v>4842</v>
      </c>
    </row>
    <row r="1496" ht="16.5" spans="1:4">
      <c r="A1496" s="179" t="s">
        <v>6582</v>
      </c>
      <c r="B1496" s="173" t="s">
        <v>4840</v>
      </c>
      <c r="C1496" s="173" t="s">
        <v>4841</v>
      </c>
      <c r="D1496" s="173" t="s">
        <v>4842</v>
      </c>
    </row>
    <row r="1497" ht="16.5" spans="1:4">
      <c r="A1497" s="179" t="s">
        <v>6583</v>
      </c>
      <c r="B1497" s="173" t="s">
        <v>4840</v>
      </c>
      <c r="C1497" s="173" t="s">
        <v>4841</v>
      </c>
      <c r="D1497" s="173" t="s">
        <v>4842</v>
      </c>
    </row>
    <row r="1498" ht="16.5" spans="1:4">
      <c r="A1498" s="179" t="s">
        <v>6584</v>
      </c>
      <c r="B1498" s="179" t="s">
        <v>6584</v>
      </c>
      <c r="C1498" s="173" t="s">
        <v>6585</v>
      </c>
      <c r="D1498" s="173" t="s">
        <v>4838</v>
      </c>
    </row>
    <row r="1499" ht="16.5" spans="1:4">
      <c r="A1499" s="173" t="s">
        <v>6586</v>
      </c>
      <c r="B1499" s="173" t="s">
        <v>4840</v>
      </c>
      <c r="C1499" s="173" t="s">
        <v>4841</v>
      </c>
      <c r="D1499" s="173" t="s">
        <v>4842</v>
      </c>
    </row>
    <row r="1500" ht="16.5" spans="1:4">
      <c r="A1500" s="173" t="s">
        <v>6587</v>
      </c>
      <c r="B1500" s="173" t="s">
        <v>4840</v>
      </c>
      <c r="C1500" s="173" t="s">
        <v>4841</v>
      </c>
      <c r="D1500" s="173" t="s">
        <v>4842</v>
      </c>
    </row>
    <row r="1501" ht="16.5" spans="1:4">
      <c r="A1501" s="173" t="s">
        <v>6588</v>
      </c>
      <c r="B1501" s="173" t="s">
        <v>4840</v>
      </c>
      <c r="C1501" s="173" t="s">
        <v>4841</v>
      </c>
      <c r="D1501" s="173" t="s">
        <v>4842</v>
      </c>
    </row>
    <row r="1502" ht="16.5" spans="1:4">
      <c r="A1502" s="173" t="s">
        <v>6589</v>
      </c>
      <c r="B1502" s="173" t="s">
        <v>4840</v>
      </c>
      <c r="C1502" s="173" t="s">
        <v>4841</v>
      </c>
      <c r="D1502" s="173" t="s">
        <v>4842</v>
      </c>
    </row>
    <row r="1503" ht="16.5" spans="1:4">
      <c r="A1503" s="173" t="s">
        <v>6590</v>
      </c>
      <c r="B1503" s="173" t="s">
        <v>4840</v>
      </c>
      <c r="C1503" s="173" t="s">
        <v>4841</v>
      </c>
      <c r="D1503" s="173" t="s">
        <v>4842</v>
      </c>
    </row>
    <row r="1504" ht="16.5" spans="1:4">
      <c r="A1504" s="173" t="s">
        <v>6591</v>
      </c>
      <c r="B1504" s="173" t="s">
        <v>4840</v>
      </c>
      <c r="C1504" s="173" t="s">
        <v>4841</v>
      </c>
      <c r="D1504" s="173" t="s">
        <v>4842</v>
      </c>
    </row>
    <row r="1505" ht="16.5" spans="1:4">
      <c r="A1505" s="173" t="s">
        <v>6592</v>
      </c>
      <c r="B1505" s="173" t="s">
        <v>4840</v>
      </c>
      <c r="C1505" s="173" t="s">
        <v>4841</v>
      </c>
      <c r="D1505" s="173" t="s">
        <v>4842</v>
      </c>
    </row>
    <row r="1506" ht="16.5" spans="1:4">
      <c r="A1506" s="173" t="s">
        <v>6593</v>
      </c>
      <c r="B1506" s="173" t="s">
        <v>4840</v>
      </c>
      <c r="C1506" s="173" t="s">
        <v>4841</v>
      </c>
      <c r="D1506" s="173" t="s">
        <v>4842</v>
      </c>
    </row>
    <row r="1507" ht="16.5" spans="1:4">
      <c r="A1507" s="173" t="s">
        <v>6594</v>
      </c>
      <c r="B1507" s="173" t="s">
        <v>4840</v>
      </c>
      <c r="C1507" s="173" t="s">
        <v>4841</v>
      </c>
      <c r="D1507" s="173" t="s">
        <v>4842</v>
      </c>
    </row>
    <row r="1508" ht="16.5" spans="1:4">
      <c r="A1508" s="173" t="s">
        <v>6595</v>
      </c>
      <c r="B1508" s="173" t="s">
        <v>4840</v>
      </c>
      <c r="C1508" s="173" t="s">
        <v>4841</v>
      </c>
      <c r="D1508" s="173" t="s">
        <v>4842</v>
      </c>
    </row>
    <row r="1509" ht="16.5" spans="1:4">
      <c r="A1509" s="173" t="s">
        <v>6596</v>
      </c>
      <c r="B1509" s="173" t="s">
        <v>4840</v>
      </c>
      <c r="C1509" s="173" t="s">
        <v>4841</v>
      </c>
      <c r="D1509" s="173" t="s">
        <v>4842</v>
      </c>
    </row>
    <row r="1510" ht="16.5" spans="1:4">
      <c r="A1510" s="173" t="s">
        <v>6597</v>
      </c>
      <c r="B1510" s="173" t="s">
        <v>4840</v>
      </c>
      <c r="C1510" s="173" t="s">
        <v>4841</v>
      </c>
      <c r="D1510" s="173" t="s">
        <v>4842</v>
      </c>
    </row>
    <row r="1511" ht="16.5" spans="1:4">
      <c r="A1511" s="173" t="s">
        <v>6598</v>
      </c>
      <c r="B1511" s="173" t="s">
        <v>4840</v>
      </c>
      <c r="C1511" s="173" t="s">
        <v>4841</v>
      </c>
      <c r="D1511" s="173" t="s">
        <v>4842</v>
      </c>
    </row>
    <row r="1512" ht="16.5" spans="1:4">
      <c r="A1512" s="173" t="s">
        <v>6599</v>
      </c>
      <c r="B1512" s="173" t="s">
        <v>4791</v>
      </c>
      <c r="C1512" s="173" t="s">
        <v>4792</v>
      </c>
      <c r="D1512" s="173" t="s">
        <v>4793</v>
      </c>
    </row>
    <row r="1513" ht="16.5" spans="1:4">
      <c r="A1513" s="173" t="s">
        <v>6600</v>
      </c>
      <c r="B1513" s="173" t="s">
        <v>6600</v>
      </c>
      <c r="C1513" s="173" t="s">
        <v>4865</v>
      </c>
      <c r="D1513" s="173" t="s">
        <v>4865</v>
      </c>
    </row>
    <row r="1514" ht="16.5" spans="1:4">
      <c r="A1514" s="173" t="s">
        <v>6601</v>
      </c>
      <c r="B1514" s="173" t="s">
        <v>4840</v>
      </c>
      <c r="C1514" s="173" t="s">
        <v>4841</v>
      </c>
      <c r="D1514" s="173" t="s">
        <v>4842</v>
      </c>
    </row>
    <row r="1515" ht="16.5" spans="1:4">
      <c r="A1515" s="173" t="s">
        <v>6602</v>
      </c>
      <c r="B1515" s="173" t="s">
        <v>4840</v>
      </c>
      <c r="C1515" s="173" t="s">
        <v>4841</v>
      </c>
      <c r="D1515" s="173" t="s">
        <v>4842</v>
      </c>
    </row>
    <row r="1516" ht="16.5" spans="1:4">
      <c r="A1516" s="173" t="s">
        <v>6603</v>
      </c>
      <c r="B1516" s="173" t="s">
        <v>4840</v>
      </c>
      <c r="C1516" s="173" t="s">
        <v>4841</v>
      </c>
      <c r="D1516" s="173" t="s">
        <v>4842</v>
      </c>
    </row>
    <row r="1517" ht="16.5" spans="1:4">
      <c r="A1517" s="173" t="s">
        <v>6604</v>
      </c>
      <c r="B1517" s="173" t="s">
        <v>4840</v>
      </c>
      <c r="C1517" s="173" t="s">
        <v>4841</v>
      </c>
      <c r="D1517" s="173" t="s">
        <v>4842</v>
      </c>
    </row>
    <row r="1518" ht="16.5" spans="1:4">
      <c r="A1518" s="173" t="s">
        <v>6605</v>
      </c>
      <c r="B1518" s="173" t="s">
        <v>4840</v>
      </c>
      <c r="C1518" s="173" t="s">
        <v>4841</v>
      </c>
      <c r="D1518" s="173" t="s">
        <v>4842</v>
      </c>
    </row>
    <row r="1519" ht="16.5" spans="1:4">
      <c r="A1519" s="173" t="s">
        <v>6606</v>
      </c>
      <c r="B1519" s="173" t="s">
        <v>4840</v>
      </c>
      <c r="C1519" s="173" t="s">
        <v>4841</v>
      </c>
      <c r="D1519" s="173" t="s">
        <v>4842</v>
      </c>
    </row>
    <row r="1520" ht="16.5" spans="1:4">
      <c r="A1520" s="173" t="s">
        <v>6607</v>
      </c>
      <c r="B1520" s="173" t="s">
        <v>4840</v>
      </c>
      <c r="C1520" s="173" t="s">
        <v>4841</v>
      </c>
      <c r="D1520" s="173" t="s">
        <v>4842</v>
      </c>
    </row>
    <row r="1521" ht="16.5" spans="1:4">
      <c r="A1521" s="173" t="s">
        <v>6608</v>
      </c>
      <c r="B1521" s="173" t="s">
        <v>4840</v>
      </c>
      <c r="C1521" s="173" t="s">
        <v>4841</v>
      </c>
      <c r="D1521" s="173" t="s">
        <v>4842</v>
      </c>
    </row>
    <row r="1522" ht="16.5" spans="1:4">
      <c r="A1522" s="173" t="s">
        <v>6609</v>
      </c>
      <c r="B1522" s="173" t="s">
        <v>4840</v>
      </c>
      <c r="C1522" s="173" t="s">
        <v>4841</v>
      </c>
      <c r="D1522" s="173" t="s">
        <v>4842</v>
      </c>
    </row>
    <row r="1523" ht="16.5" spans="1:4">
      <c r="A1523" s="173" t="s">
        <v>6610</v>
      </c>
      <c r="B1523" s="173" t="s">
        <v>4840</v>
      </c>
      <c r="C1523" s="173" t="s">
        <v>4841</v>
      </c>
      <c r="D1523" s="173" t="s">
        <v>4842</v>
      </c>
    </row>
    <row r="1524" ht="16.5" spans="1:4">
      <c r="A1524" s="173" t="s">
        <v>6611</v>
      </c>
      <c r="B1524" s="173" t="s">
        <v>6156</v>
      </c>
      <c r="C1524" s="173" t="s">
        <v>6157</v>
      </c>
      <c r="D1524" s="173" t="s">
        <v>6158</v>
      </c>
    </row>
    <row r="1525" ht="16.5" spans="1:4">
      <c r="A1525" s="173" t="s">
        <v>6612</v>
      </c>
      <c r="B1525" s="173" t="s">
        <v>4840</v>
      </c>
      <c r="C1525" s="173" t="s">
        <v>4841</v>
      </c>
      <c r="D1525" s="173" t="s">
        <v>4842</v>
      </c>
    </row>
    <row r="1526" ht="16.5" spans="1:4">
      <c r="A1526" s="173" t="s">
        <v>6613</v>
      </c>
      <c r="B1526" s="173" t="s">
        <v>4840</v>
      </c>
      <c r="C1526" s="173" t="s">
        <v>4841</v>
      </c>
      <c r="D1526" s="173" t="s">
        <v>4842</v>
      </c>
    </row>
    <row r="1527" ht="16.5" spans="1:4">
      <c r="A1527" s="173" t="s">
        <v>6614</v>
      </c>
      <c r="B1527" s="173" t="s">
        <v>4840</v>
      </c>
      <c r="C1527" s="173" t="s">
        <v>4841</v>
      </c>
      <c r="D1527" s="173" t="s">
        <v>4842</v>
      </c>
    </row>
    <row r="1528" ht="16.5" spans="1:4">
      <c r="A1528" s="173" t="s">
        <v>6615</v>
      </c>
      <c r="B1528" s="173" t="s">
        <v>4840</v>
      </c>
      <c r="C1528" s="173" t="s">
        <v>4841</v>
      </c>
      <c r="D1528" s="173" t="s">
        <v>4842</v>
      </c>
    </row>
    <row r="1529" ht="16.5" spans="1:4">
      <c r="A1529" s="173" t="s">
        <v>6616</v>
      </c>
      <c r="B1529" s="173" t="s">
        <v>4840</v>
      </c>
      <c r="C1529" s="173" t="s">
        <v>4841</v>
      </c>
      <c r="D1529" s="173" t="s">
        <v>4842</v>
      </c>
    </row>
    <row r="1530" ht="16.5" spans="1:4">
      <c r="A1530" s="173" t="s">
        <v>6617</v>
      </c>
      <c r="B1530" s="173" t="s">
        <v>4840</v>
      </c>
      <c r="C1530" s="173" t="s">
        <v>4841</v>
      </c>
      <c r="D1530" s="173" t="s">
        <v>4842</v>
      </c>
    </row>
    <row r="1531" ht="16.5" spans="1:4">
      <c r="A1531" s="173" t="s">
        <v>6618</v>
      </c>
      <c r="B1531" s="173" t="s">
        <v>4840</v>
      </c>
      <c r="C1531" s="173" t="s">
        <v>4841</v>
      </c>
      <c r="D1531" s="173" t="s">
        <v>4842</v>
      </c>
    </row>
    <row r="1532" ht="16.5" spans="1:4">
      <c r="A1532" s="173" t="s">
        <v>6619</v>
      </c>
      <c r="B1532" s="173" t="s">
        <v>4840</v>
      </c>
      <c r="C1532" s="173" t="s">
        <v>4841</v>
      </c>
      <c r="D1532" s="173" t="s">
        <v>4842</v>
      </c>
    </row>
    <row r="1533" ht="16.5" spans="1:4">
      <c r="A1533" s="173" t="s">
        <v>6620</v>
      </c>
      <c r="B1533" s="173" t="s">
        <v>4840</v>
      </c>
      <c r="C1533" s="173" t="s">
        <v>4841</v>
      </c>
      <c r="D1533" s="173" t="s">
        <v>4842</v>
      </c>
    </row>
    <row r="1534" ht="16.5" spans="1:4">
      <c r="A1534" s="173" t="s">
        <v>6621</v>
      </c>
      <c r="B1534" s="173" t="s">
        <v>5915</v>
      </c>
      <c r="C1534" s="173" t="s">
        <v>5916</v>
      </c>
      <c r="D1534" s="173" t="s">
        <v>5917</v>
      </c>
    </row>
    <row r="1535" ht="16.5" spans="1:4">
      <c r="A1535" s="173" t="s">
        <v>6622</v>
      </c>
      <c r="B1535" s="173" t="s">
        <v>4791</v>
      </c>
      <c r="C1535" s="173" t="s">
        <v>4792</v>
      </c>
      <c r="D1535" s="173" t="s">
        <v>4793</v>
      </c>
    </row>
    <row r="1536" ht="16.5" spans="1:4">
      <c r="A1536" s="173" t="s">
        <v>6623</v>
      </c>
      <c r="B1536" s="173" t="s">
        <v>4840</v>
      </c>
      <c r="C1536" s="173" t="s">
        <v>4841</v>
      </c>
      <c r="D1536" s="173" t="s">
        <v>4842</v>
      </c>
    </row>
    <row r="1537" ht="16.5" spans="1:4">
      <c r="A1537" s="173" t="s">
        <v>6624</v>
      </c>
      <c r="B1537" s="173" t="s">
        <v>4840</v>
      </c>
      <c r="C1537" s="173" t="s">
        <v>4841</v>
      </c>
      <c r="D1537" s="173" t="s">
        <v>4842</v>
      </c>
    </row>
    <row r="1538" ht="16.5" spans="1:4">
      <c r="A1538" s="173" t="s">
        <v>6625</v>
      </c>
      <c r="B1538" s="173" t="s">
        <v>4840</v>
      </c>
      <c r="C1538" s="173" t="s">
        <v>4841</v>
      </c>
      <c r="D1538" s="173" t="s">
        <v>4842</v>
      </c>
    </row>
    <row r="1539" ht="16.5" spans="1:4">
      <c r="A1539" s="173" t="s">
        <v>6626</v>
      </c>
      <c r="B1539" s="173" t="s">
        <v>4840</v>
      </c>
      <c r="C1539" s="173" t="s">
        <v>4841</v>
      </c>
      <c r="D1539" s="173" t="s">
        <v>4842</v>
      </c>
    </row>
    <row r="1540" ht="16.5" spans="1:4">
      <c r="A1540" s="173" t="s">
        <v>6627</v>
      </c>
      <c r="B1540" s="173" t="s">
        <v>4840</v>
      </c>
      <c r="C1540" s="173" t="s">
        <v>4841</v>
      </c>
      <c r="D1540" s="173" t="s">
        <v>4842</v>
      </c>
    </row>
    <row r="1541" ht="16.5" spans="1:4">
      <c r="A1541" s="173" t="s">
        <v>6628</v>
      </c>
      <c r="B1541" s="173" t="s">
        <v>4840</v>
      </c>
      <c r="C1541" s="173" t="s">
        <v>4841</v>
      </c>
      <c r="D1541" s="173" t="s">
        <v>4842</v>
      </c>
    </row>
    <row r="1542" ht="16.5" spans="1:4">
      <c r="A1542" s="173" t="s">
        <v>6629</v>
      </c>
      <c r="B1542" s="173" t="s">
        <v>4840</v>
      </c>
      <c r="C1542" s="173" t="s">
        <v>4841</v>
      </c>
      <c r="D1542" s="173" t="s">
        <v>4842</v>
      </c>
    </row>
    <row r="1543" ht="16.5" spans="1:4">
      <c r="A1543" s="173" t="s">
        <v>6630</v>
      </c>
      <c r="B1543" s="173" t="s">
        <v>4840</v>
      </c>
      <c r="C1543" s="173" t="s">
        <v>4841</v>
      </c>
      <c r="D1543" s="173" t="s">
        <v>4842</v>
      </c>
    </row>
    <row r="1544" ht="16.5" spans="1:4">
      <c r="A1544" s="173" t="s">
        <v>6631</v>
      </c>
      <c r="B1544" s="173" t="s">
        <v>4840</v>
      </c>
      <c r="C1544" s="173" t="s">
        <v>4841</v>
      </c>
      <c r="D1544" s="173" t="s">
        <v>4842</v>
      </c>
    </row>
    <row r="1545" ht="16.5" spans="1:4">
      <c r="A1545" s="173" t="s">
        <v>6632</v>
      </c>
      <c r="B1545" s="173" t="s">
        <v>4840</v>
      </c>
      <c r="C1545" s="173" t="s">
        <v>4841</v>
      </c>
      <c r="D1545" s="173" t="s">
        <v>4842</v>
      </c>
    </row>
    <row r="1546" ht="16.5" spans="1:4">
      <c r="A1546" s="173" t="s">
        <v>6633</v>
      </c>
      <c r="B1546" s="173" t="s">
        <v>4840</v>
      </c>
      <c r="C1546" s="173" t="s">
        <v>4841</v>
      </c>
      <c r="D1546" s="173" t="s">
        <v>4842</v>
      </c>
    </row>
    <row r="1547" ht="16.5" spans="1:4">
      <c r="A1547" s="173" t="s">
        <v>6634</v>
      </c>
      <c r="B1547" s="173" t="s">
        <v>4840</v>
      </c>
      <c r="C1547" s="173" t="s">
        <v>4841</v>
      </c>
      <c r="D1547" s="173" t="s">
        <v>4842</v>
      </c>
    </row>
    <row r="1548" ht="16.5" spans="1:4">
      <c r="A1548" s="173" t="s">
        <v>6635</v>
      </c>
      <c r="B1548" s="173" t="s">
        <v>4840</v>
      </c>
      <c r="C1548" s="173" t="s">
        <v>4841</v>
      </c>
      <c r="D1548" s="173" t="s">
        <v>4842</v>
      </c>
    </row>
    <row r="1549" ht="16.5" spans="1:4">
      <c r="A1549" s="173" t="s">
        <v>6636</v>
      </c>
      <c r="B1549" s="173" t="s">
        <v>4840</v>
      </c>
      <c r="C1549" s="173" t="s">
        <v>4841</v>
      </c>
      <c r="D1549" s="173" t="s">
        <v>4842</v>
      </c>
    </row>
    <row r="1550" ht="16.5" spans="1:4">
      <c r="A1550" s="173" t="s">
        <v>6637</v>
      </c>
      <c r="B1550" s="173" t="s">
        <v>4840</v>
      </c>
      <c r="C1550" s="173" t="s">
        <v>4841</v>
      </c>
      <c r="D1550" s="173" t="s">
        <v>4842</v>
      </c>
    </row>
    <row r="1551" ht="16.5" spans="1:4">
      <c r="A1551" s="173" t="s">
        <v>6638</v>
      </c>
      <c r="B1551" s="173" t="s">
        <v>4840</v>
      </c>
      <c r="C1551" s="173" t="s">
        <v>4841</v>
      </c>
      <c r="D1551" s="173" t="s">
        <v>4842</v>
      </c>
    </row>
    <row r="1552" ht="16.5" spans="1:4">
      <c r="A1552" s="173" t="s">
        <v>6639</v>
      </c>
      <c r="B1552" s="173" t="s">
        <v>4840</v>
      </c>
      <c r="C1552" s="173" t="s">
        <v>4841</v>
      </c>
      <c r="D1552" s="173" t="s">
        <v>4842</v>
      </c>
    </row>
    <row r="1553" ht="16.5" spans="1:4">
      <c r="A1553" s="173" t="s">
        <v>6640</v>
      </c>
      <c r="B1553" s="173" t="s">
        <v>4840</v>
      </c>
      <c r="C1553" s="173" t="s">
        <v>4841</v>
      </c>
      <c r="D1553" s="173" t="s">
        <v>4842</v>
      </c>
    </row>
    <row r="1554" ht="16.5" spans="1:4">
      <c r="A1554" s="173" t="s">
        <v>6641</v>
      </c>
      <c r="B1554" s="173" t="s">
        <v>4840</v>
      </c>
      <c r="C1554" s="173" t="s">
        <v>4841</v>
      </c>
      <c r="D1554" s="173" t="s">
        <v>4842</v>
      </c>
    </row>
    <row r="1555" ht="16.5" spans="1:4">
      <c r="A1555" s="173" t="s">
        <v>6642</v>
      </c>
      <c r="B1555" s="173" t="s">
        <v>4840</v>
      </c>
      <c r="C1555" s="173" t="s">
        <v>4841</v>
      </c>
      <c r="D1555" s="173" t="s">
        <v>4842</v>
      </c>
    </row>
    <row r="1556" ht="17.25" spans="1:4">
      <c r="A1556" s="173" t="s">
        <v>6643</v>
      </c>
      <c r="B1556" s="173" t="s">
        <v>4795</v>
      </c>
      <c r="C1556" s="173" t="s">
        <v>4796</v>
      </c>
      <c r="D1556" s="173" t="s">
        <v>4797</v>
      </c>
    </row>
    <row r="1557" ht="17.25" spans="1:4">
      <c r="A1557" s="180" t="s">
        <v>6644</v>
      </c>
      <c r="B1557" s="173" t="s">
        <v>4840</v>
      </c>
      <c r="C1557" s="173" t="s">
        <v>4841</v>
      </c>
      <c r="D1557" s="173" t="s">
        <v>4842</v>
      </c>
    </row>
    <row r="1558" ht="17.25" spans="1:4">
      <c r="A1558" s="180" t="s">
        <v>6645</v>
      </c>
      <c r="B1558" s="173" t="s">
        <v>4840</v>
      </c>
      <c r="C1558" s="173" t="s">
        <v>4841</v>
      </c>
      <c r="D1558" s="173" t="s">
        <v>4842</v>
      </c>
    </row>
    <row r="1559" ht="17.25" spans="1:4">
      <c r="A1559" s="173" t="s">
        <v>6646</v>
      </c>
      <c r="B1559" s="173" t="s">
        <v>4840</v>
      </c>
      <c r="C1559" s="173" t="s">
        <v>4841</v>
      </c>
      <c r="D1559" s="173" t="s">
        <v>4842</v>
      </c>
    </row>
    <row r="1560" ht="17.25" spans="1:4">
      <c r="A1560" s="180" t="s">
        <v>6647</v>
      </c>
      <c r="B1560" s="173" t="s">
        <v>4840</v>
      </c>
      <c r="C1560" s="173" t="s">
        <v>4841</v>
      </c>
      <c r="D1560" s="173" t="s">
        <v>4842</v>
      </c>
    </row>
    <row r="1561" ht="17.25" spans="1:4">
      <c r="A1561" s="180" t="s">
        <v>6648</v>
      </c>
      <c r="B1561" s="173" t="s">
        <v>4840</v>
      </c>
      <c r="C1561" s="173" t="s">
        <v>4841</v>
      </c>
      <c r="D1561" s="173" t="s">
        <v>4842</v>
      </c>
    </row>
    <row r="1562" ht="17.25" spans="1:4">
      <c r="A1562" s="180" t="s">
        <v>6649</v>
      </c>
      <c r="B1562" s="173" t="s">
        <v>4840</v>
      </c>
      <c r="C1562" s="173" t="s">
        <v>4841</v>
      </c>
      <c r="D1562" s="173" t="s">
        <v>4842</v>
      </c>
    </row>
    <row r="1563" ht="17.25" spans="1:4">
      <c r="A1563" s="180" t="s">
        <v>6650</v>
      </c>
      <c r="B1563" s="173" t="s">
        <v>4840</v>
      </c>
      <c r="C1563" s="173" t="s">
        <v>4841</v>
      </c>
      <c r="D1563" s="173" t="s">
        <v>4842</v>
      </c>
    </row>
    <row r="1564" ht="17.25" spans="1:4">
      <c r="A1564" s="180" t="s">
        <v>6651</v>
      </c>
      <c r="B1564" s="173" t="s">
        <v>4840</v>
      </c>
      <c r="C1564" s="173" t="s">
        <v>4841</v>
      </c>
      <c r="D1564" s="173" t="s">
        <v>4842</v>
      </c>
    </row>
    <row r="1565" ht="17.25" spans="1:4">
      <c r="A1565" s="180" t="s">
        <v>6652</v>
      </c>
      <c r="B1565" s="173" t="s">
        <v>4840</v>
      </c>
      <c r="C1565" s="173" t="s">
        <v>4841</v>
      </c>
      <c r="D1565" s="173" t="s">
        <v>4842</v>
      </c>
    </row>
    <row r="1566" ht="17.25" spans="1:4">
      <c r="A1566" s="180" t="s">
        <v>6653</v>
      </c>
      <c r="B1566" s="173" t="s">
        <v>4840</v>
      </c>
      <c r="C1566" s="173" t="s">
        <v>4841</v>
      </c>
      <c r="D1566" s="173" t="s">
        <v>4842</v>
      </c>
    </row>
    <row r="1567" ht="17.25" spans="1:4">
      <c r="A1567" s="180" t="s">
        <v>6654</v>
      </c>
      <c r="B1567" s="173" t="s">
        <v>4840</v>
      </c>
      <c r="C1567" s="173" t="s">
        <v>4841</v>
      </c>
      <c r="D1567" s="173" t="s">
        <v>4842</v>
      </c>
    </row>
    <row r="1568" ht="17.25" spans="1:4">
      <c r="A1568" s="180" t="s">
        <v>6655</v>
      </c>
      <c r="B1568" s="173" t="s">
        <v>4840</v>
      </c>
      <c r="C1568" s="173" t="s">
        <v>4841</v>
      </c>
      <c r="D1568" s="173" t="s">
        <v>4842</v>
      </c>
    </row>
    <row r="1569" ht="17.25" spans="1:4">
      <c r="A1569" s="180" t="s">
        <v>6656</v>
      </c>
      <c r="B1569" s="173" t="s">
        <v>4840</v>
      </c>
      <c r="C1569" s="173" t="s">
        <v>4841</v>
      </c>
      <c r="D1569" s="173" t="s">
        <v>4842</v>
      </c>
    </row>
    <row r="1570" ht="17.25" spans="1:4">
      <c r="A1570" s="180" t="s">
        <v>6657</v>
      </c>
      <c r="B1570" s="173" t="s">
        <v>4840</v>
      </c>
      <c r="C1570" s="173" t="s">
        <v>4841</v>
      </c>
      <c r="D1570" s="173" t="s">
        <v>4842</v>
      </c>
    </row>
    <row r="1571" ht="17.25" spans="1:4">
      <c r="A1571" s="180" t="s">
        <v>6658</v>
      </c>
      <c r="B1571" s="173" t="s">
        <v>4840</v>
      </c>
      <c r="C1571" s="173" t="s">
        <v>4841</v>
      </c>
      <c r="D1571" s="173" t="s">
        <v>4842</v>
      </c>
    </row>
    <row r="1572" ht="17.25" spans="1:4">
      <c r="A1572" s="180" t="s">
        <v>6659</v>
      </c>
      <c r="B1572" s="173" t="s">
        <v>4840</v>
      </c>
      <c r="C1572" s="173" t="s">
        <v>4841</v>
      </c>
      <c r="D1572" s="173" t="s">
        <v>4842</v>
      </c>
    </row>
    <row r="1573" ht="17.25" spans="1:4">
      <c r="A1573" s="180" t="s">
        <v>6660</v>
      </c>
      <c r="B1573" s="173" t="s">
        <v>4840</v>
      </c>
      <c r="C1573" s="173" t="s">
        <v>4841</v>
      </c>
      <c r="D1573" s="173" t="s">
        <v>4842</v>
      </c>
    </row>
    <row r="1574" ht="17.25" spans="1:4">
      <c r="A1574" s="180" t="s">
        <v>6661</v>
      </c>
      <c r="B1574" s="173" t="s">
        <v>4840</v>
      </c>
      <c r="C1574" s="173" t="s">
        <v>4841</v>
      </c>
      <c r="D1574" s="173" t="s">
        <v>4842</v>
      </c>
    </row>
    <row r="1575" ht="17.25" spans="1:4">
      <c r="A1575" s="180" t="s">
        <v>6662</v>
      </c>
      <c r="B1575" s="173" t="s">
        <v>4840</v>
      </c>
      <c r="C1575" s="173" t="s">
        <v>4841</v>
      </c>
      <c r="D1575" s="173" t="s">
        <v>4842</v>
      </c>
    </row>
    <row r="1576" ht="17.25" spans="1:4">
      <c r="A1576" s="180" t="s">
        <v>6663</v>
      </c>
      <c r="B1576" s="173" t="s">
        <v>4840</v>
      </c>
      <c r="C1576" s="173" t="s">
        <v>4841</v>
      </c>
      <c r="D1576" s="173" t="s">
        <v>4842</v>
      </c>
    </row>
    <row r="1577" ht="17.25" spans="1:4">
      <c r="A1577" s="180" t="s">
        <v>6664</v>
      </c>
      <c r="B1577" s="173" t="s">
        <v>4840</v>
      </c>
      <c r="C1577" s="173" t="s">
        <v>4841</v>
      </c>
      <c r="D1577" s="173" t="s">
        <v>4842</v>
      </c>
    </row>
    <row r="1578" ht="17.25" spans="1:4">
      <c r="A1578" s="180" t="s">
        <v>6665</v>
      </c>
      <c r="B1578" s="173" t="s">
        <v>4840</v>
      </c>
      <c r="C1578" s="173" t="s">
        <v>4841</v>
      </c>
      <c r="D1578" s="173" t="s">
        <v>4842</v>
      </c>
    </row>
    <row r="1579" ht="17.25" spans="1:4">
      <c r="A1579" s="180" t="s">
        <v>6666</v>
      </c>
      <c r="B1579" s="173" t="s">
        <v>4840</v>
      </c>
      <c r="C1579" s="173" t="s">
        <v>4841</v>
      </c>
      <c r="D1579" s="173" t="s">
        <v>4842</v>
      </c>
    </row>
    <row r="1580" ht="17.25" spans="1:4">
      <c r="A1580" s="180" t="s">
        <v>6667</v>
      </c>
      <c r="B1580" s="173" t="s">
        <v>4840</v>
      </c>
      <c r="C1580" s="173" t="s">
        <v>4841</v>
      </c>
      <c r="D1580" s="173" t="s">
        <v>4842</v>
      </c>
    </row>
    <row r="1581" ht="17.25" spans="1:4">
      <c r="A1581" s="180" t="s">
        <v>6668</v>
      </c>
      <c r="B1581" s="173" t="s">
        <v>4840</v>
      </c>
      <c r="C1581" s="173" t="s">
        <v>4841</v>
      </c>
      <c r="D1581" s="173" t="s">
        <v>4842</v>
      </c>
    </row>
    <row r="1582" ht="17.25" spans="1:4">
      <c r="A1582" s="180" t="s">
        <v>6669</v>
      </c>
      <c r="B1582" s="173" t="s">
        <v>4840</v>
      </c>
      <c r="C1582" s="173" t="s">
        <v>4841</v>
      </c>
      <c r="D1582" s="173" t="s">
        <v>4842</v>
      </c>
    </row>
    <row r="1583" ht="17.25" spans="1:4">
      <c r="A1583" s="180" t="s">
        <v>6670</v>
      </c>
      <c r="B1583" s="173" t="s">
        <v>4840</v>
      </c>
      <c r="C1583" s="173" t="s">
        <v>4841</v>
      </c>
      <c r="D1583" s="173" t="s">
        <v>4842</v>
      </c>
    </row>
    <row r="1584" ht="17.25" spans="1:4">
      <c r="A1584" s="180" t="s">
        <v>6671</v>
      </c>
      <c r="B1584" s="173" t="s">
        <v>4840</v>
      </c>
      <c r="C1584" s="173" t="s">
        <v>4841</v>
      </c>
      <c r="D1584" s="173" t="s">
        <v>4842</v>
      </c>
    </row>
    <row r="1585" ht="17.25" spans="1:4">
      <c r="A1585" s="180" t="s">
        <v>6672</v>
      </c>
      <c r="B1585" s="173" t="s">
        <v>4840</v>
      </c>
      <c r="C1585" s="173" t="s">
        <v>4841</v>
      </c>
      <c r="D1585" s="173" t="s">
        <v>4842</v>
      </c>
    </row>
    <row r="1586" ht="17.25" spans="1:4">
      <c r="A1586" s="180" t="s">
        <v>6673</v>
      </c>
      <c r="B1586" s="173" t="s">
        <v>4840</v>
      </c>
      <c r="C1586" s="173" t="s">
        <v>4841</v>
      </c>
      <c r="D1586" s="173" t="s">
        <v>4842</v>
      </c>
    </row>
    <row r="1587" ht="17.25" spans="1:4">
      <c r="A1587" s="180" t="s">
        <v>6674</v>
      </c>
      <c r="B1587" s="173" t="s">
        <v>4840</v>
      </c>
      <c r="C1587" s="173" t="s">
        <v>4841</v>
      </c>
      <c r="D1587" s="173" t="s">
        <v>4842</v>
      </c>
    </row>
    <row r="1588" ht="17.25" spans="1:4">
      <c r="A1588" s="180" t="s">
        <v>6675</v>
      </c>
      <c r="B1588" s="173" t="s">
        <v>4840</v>
      </c>
      <c r="C1588" s="173" t="s">
        <v>4841</v>
      </c>
      <c r="D1588" s="173" t="s">
        <v>4842</v>
      </c>
    </row>
    <row r="1589" ht="17.25" spans="1:4">
      <c r="A1589" s="180" t="s">
        <v>6676</v>
      </c>
      <c r="B1589" s="173" t="s">
        <v>4840</v>
      </c>
      <c r="C1589" s="173" t="s">
        <v>4841</v>
      </c>
      <c r="D1589" s="173" t="s">
        <v>4842</v>
      </c>
    </row>
    <row r="1590" ht="17.25" spans="1:4">
      <c r="A1590" s="180" t="s">
        <v>6677</v>
      </c>
      <c r="B1590" s="173" t="s">
        <v>4840</v>
      </c>
      <c r="C1590" s="173" t="s">
        <v>4841</v>
      </c>
      <c r="D1590" s="173" t="s">
        <v>4842</v>
      </c>
    </row>
    <row r="1591" ht="17.25" spans="1:4">
      <c r="A1591" s="180" t="s">
        <v>6678</v>
      </c>
      <c r="B1591" s="173" t="s">
        <v>4840</v>
      </c>
      <c r="C1591" s="173" t="s">
        <v>4841</v>
      </c>
      <c r="D1591" s="173" t="s">
        <v>4842</v>
      </c>
    </row>
    <row r="1592" ht="17.25" spans="1:4">
      <c r="A1592" s="180" t="s">
        <v>6679</v>
      </c>
      <c r="B1592" s="173" t="s">
        <v>4840</v>
      </c>
      <c r="C1592" s="173" t="s">
        <v>4841</v>
      </c>
      <c r="D1592" s="173" t="s">
        <v>4842</v>
      </c>
    </row>
    <row r="1593" ht="17.25" spans="1:4">
      <c r="A1593" s="180" t="s">
        <v>6680</v>
      </c>
      <c r="B1593" s="173" t="s">
        <v>4840</v>
      </c>
      <c r="C1593" s="173" t="s">
        <v>4841</v>
      </c>
      <c r="D1593" s="173" t="s">
        <v>4842</v>
      </c>
    </row>
    <row r="1594" ht="17.25" spans="1:4">
      <c r="A1594" s="180" t="s">
        <v>6681</v>
      </c>
      <c r="B1594" s="173" t="s">
        <v>4840</v>
      </c>
      <c r="C1594" s="173" t="s">
        <v>4841</v>
      </c>
      <c r="D1594" s="173" t="s">
        <v>4842</v>
      </c>
    </row>
    <row r="1595" ht="17.25" spans="1:4">
      <c r="A1595" s="180" t="s">
        <v>6682</v>
      </c>
      <c r="B1595" s="173" t="s">
        <v>4840</v>
      </c>
      <c r="C1595" s="173" t="s">
        <v>4841</v>
      </c>
      <c r="D1595" s="173" t="s">
        <v>4842</v>
      </c>
    </row>
    <row r="1596" ht="17.25" spans="1:4">
      <c r="A1596" s="180" t="s">
        <v>6683</v>
      </c>
      <c r="B1596" s="173" t="s">
        <v>4840</v>
      </c>
      <c r="C1596" s="173" t="s">
        <v>4841</v>
      </c>
      <c r="D1596" s="173" t="s">
        <v>4842</v>
      </c>
    </row>
    <row r="1597" ht="17.25" spans="1:4">
      <c r="A1597" s="180" t="s">
        <v>6684</v>
      </c>
      <c r="B1597" s="173" t="s">
        <v>4840</v>
      </c>
      <c r="C1597" s="173" t="s">
        <v>4841</v>
      </c>
      <c r="D1597" s="173" t="s">
        <v>4842</v>
      </c>
    </row>
    <row r="1598" ht="17.25" spans="1:4">
      <c r="A1598" s="180" t="s">
        <v>6685</v>
      </c>
      <c r="B1598" s="173" t="s">
        <v>4840</v>
      </c>
      <c r="C1598" s="173" t="s">
        <v>4841</v>
      </c>
      <c r="D1598" s="173" t="s">
        <v>4842</v>
      </c>
    </row>
    <row r="1599" ht="17.25" spans="1:4">
      <c r="A1599" s="180" t="s">
        <v>6686</v>
      </c>
      <c r="B1599" s="173" t="s">
        <v>4840</v>
      </c>
      <c r="C1599" s="173" t="s">
        <v>4841</v>
      </c>
      <c r="D1599" s="173" t="s">
        <v>4842</v>
      </c>
    </row>
    <row r="1600" ht="17.25" spans="1:4">
      <c r="A1600" s="180" t="s">
        <v>6687</v>
      </c>
      <c r="B1600" s="173" t="s">
        <v>4840</v>
      </c>
      <c r="C1600" s="173" t="s">
        <v>4841</v>
      </c>
      <c r="D1600" s="173" t="s">
        <v>4842</v>
      </c>
    </row>
    <row r="1601" ht="17.25" spans="1:4">
      <c r="A1601" s="180" t="s">
        <v>6688</v>
      </c>
      <c r="B1601" s="173" t="s">
        <v>4840</v>
      </c>
      <c r="C1601" s="173" t="s">
        <v>4841</v>
      </c>
      <c r="D1601" s="173" t="s">
        <v>4842</v>
      </c>
    </row>
    <row r="1602" ht="17.25" spans="1:4">
      <c r="A1602" s="180" t="s">
        <v>6689</v>
      </c>
      <c r="B1602" s="173" t="s">
        <v>4840</v>
      </c>
      <c r="C1602" s="173" t="s">
        <v>4841</v>
      </c>
      <c r="D1602" s="173" t="s">
        <v>4842</v>
      </c>
    </row>
    <row r="1603" ht="17.25" spans="1:4">
      <c r="A1603" s="180" t="s">
        <v>6690</v>
      </c>
      <c r="B1603" s="173" t="s">
        <v>4840</v>
      </c>
      <c r="C1603" s="173" t="s">
        <v>4841</v>
      </c>
      <c r="D1603" s="173" t="s">
        <v>4842</v>
      </c>
    </row>
    <row r="1604" ht="17.25" spans="1:4">
      <c r="A1604" s="180" t="s">
        <v>6691</v>
      </c>
      <c r="B1604" s="173" t="s">
        <v>4840</v>
      </c>
      <c r="C1604" s="173" t="s">
        <v>4841</v>
      </c>
      <c r="D1604" s="173" t="s">
        <v>4842</v>
      </c>
    </row>
    <row r="1605" ht="17.25" spans="1:4">
      <c r="A1605" s="180" t="s">
        <v>6692</v>
      </c>
      <c r="B1605" s="173" t="s">
        <v>4840</v>
      </c>
      <c r="C1605" s="173" t="s">
        <v>4841</v>
      </c>
      <c r="D1605" s="173" t="s">
        <v>4842</v>
      </c>
    </row>
    <row r="1606" ht="17.25" spans="1:4">
      <c r="A1606" s="180" t="s">
        <v>6693</v>
      </c>
      <c r="B1606" s="173" t="s">
        <v>4840</v>
      </c>
      <c r="C1606" s="173" t="s">
        <v>4841</v>
      </c>
      <c r="D1606" s="173" t="s">
        <v>4842</v>
      </c>
    </row>
    <row r="1607" ht="17.25" spans="1:4">
      <c r="A1607" s="180" t="s">
        <v>6694</v>
      </c>
      <c r="B1607" s="173" t="s">
        <v>4840</v>
      </c>
      <c r="C1607" s="173" t="s">
        <v>4841</v>
      </c>
      <c r="D1607" s="173" t="s">
        <v>4842</v>
      </c>
    </row>
    <row r="1608" ht="17.25" spans="1:4">
      <c r="A1608" s="180" t="s">
        <v>6695</v>
      </c>
      <c r="B1608" s="173" t="s">
        <v>4840</v>
      </c>
      <c r="C1608" s="173" t="s">
        <v>4841</v>
      </c>
      <c r="D1608" s="173" t="s">
        <v>4842</v>
      </c>
    </row>
    <row r="1609" ht="17.25" spans="1:4">
      <c r="A1609" s="180" t="s">
        <v>6696</v>
      </c>
      <c r="B1609" s="173" t="s">
        <v>4840</v>
      </c>
      <c r="C1609" s="173" t="s">
        <v>4841</v>
      </c>
      <c r="D1609" s="173" t="s">
        <v>4842</v>
      </c>
    </row>
    <row r="1610" ht="17.25" spans="1:4">
      <c r="A1610" s="180" t="s">
        <v>6697</v>
      </c>
      <c r="B1610" s="173" t="s">
        <v>4840</v>
      </c>
      <c r="C1610" s="173" t="s">
        <v>4841</v>
      </c>
      <c r="D1610" s="173" t="s">
        <v>4842</v>
      </c>
    </row>
    <row r="1611" ht="17.25" spans="1:4">
      <c r="A1611" s="180" t="s">
        <v>6698</v>
      </c>
      <c r="B1611" s="173" t="s">
        <v>4840</v>
      </c>
      <c r="C1611" s="173" t="s">
        <v>4841</v>
      </c>
      <c r="D1611" s="173" t="s">
        <v>4842</v>
      </c>
    </row>
    <row r="1612" ht="17.25" spans="1:4">
      <c r="A1612" s="180" t="s">
        <v>6699</v>
      </c>
      <c r="B1612" s="173" t="s">
        <v>4840</v>
      </c>
      <c r="C1612" s="173" t="s">
        <v>4841</v>
      </c>
      <c r="D1612" s="173" t="s">
        <v>4842</v>
      </c>
    </row>
    <row r="1613" ht="17.25" spans="1:4">
      <c r="A1613" s="180" t="s">
        <v>6700</v>
      </c>
      <c r="B1613" s="173" t="s">
        <v>4840</v>
      </c>
      <c r="C1613" s="173" t="s">
        <v>4841</v>
      </c>
      <c r="D1613" s="173" t="s">
        <v>4842</v>
      </c>
    </row>
    <row r="1614" ht="17.25" spans="1:4">
      <c r="A1614" s="180" t="s">
        <v>6701</v>
      </c>
      <c r="B1614" s="173" t="s">
        <v>4840</v>
      </c>
      <c r="C1614" s="173" t="s">
        <v>4841</v>
      </c>
      <c r="D1614" s="173" t="s">
        <v>4842</v>
      </c>
    </row>
    <row r="1615" ht="17.25" spans="1:4">
      <c r="A1615" s="180" t="s">
        <v>6702</v>
      </c>
      <c r="B1615" s="173" t="s">
        <v>4840</v>
      </c>
      <c r="C1615" s="173" t="s">
        <v>4841</v>
      </c>
      <c r="D1615" s="173" t="s">
        <v>4842</v>
      </c>
    </row>
    <row r="1616" ht="17.25" spans="1:4">
      <c r="A1616" s="180" t="s">
        <v>6703</v>
      </c>
      <c r="B1616" s="173" t="s">
        <v>4840</v>
      </c>
      <c r="C1616" s="173" t="s">
        <v>4841</v>
      </c>
      <c r="D1616" s="173" t="s">
        <v>4842</v>
      </c>
    </row>
    <row r="1617" ht="17.25" spans="1:4">
      <c r="A1617" s="180" t="s">
        <v>6704</v>
      </c>
      <c r="B1617" s="173" t="s">
        <v>4840</v>
      </c>
      <c r="C1617" s="173" t="s">
        <v>4841</v>
      </c>
      <c r="D1617" s="173" t="s">
        <v>4842</v>
      </c>
    </row>
    <row r="1618" ht="17.25" spans="1:4">
      <c r="A1618" s="180" t="s">
        <v>6705</v>
      </c>
      <c r="B1618" s="173" t="s">
        <v>4840</v>
      </c>
      <c r="C1618" s="173" t="s">
        <v>4841</v>
      </c>
      <c r="D1618" s="173" t="s">
        <v>4842</v>
      </c>
    </row>
    <row r="1619" ht="17.25" spans="1:4">
      <c r="A1619" s="180" t="s">
        <v>6706</v>
      </c>
      <c r="B1619" s="173" t="s">
        <v>4840</v>
      </c>
      <c r="C1619" s="173" t="s">
        <v>4841</v>
      </c>
      <c r="D1619" s="173" t="s">
        <v>4842</v>
      </c>
    </row>
    <row r="1620" ht="17.25" spans="1:4">
      <c r="A1620" s="180" t="s">
        <v>6707</v>
      </c>
      <c r="B1620" s="173" t="s">
        <v>4840</v>
      </c>
      <c r="C1620" s="173" t="s">
        <v>4841</v>
      </c>
      <c r="D1620" s="173" t="s">
        <v>4842</v>
      </c>
    </row>
    <row r="1621" ht="17.25" spans="1:4">
      <c r="A1621" s="180" t="s">
        <v>6708</v>
      </c>
      <c r="B1621" s="173" t="s">
        <v>4840</v>
      </c>
      <c r="C1621" s="173" t="s">
        <v>4841</v>
      </c>
      <c r="D1621" s="173" t="s">
        <v>4842</v>
      </c>
    </row>
    <row r="1622" ht="17.25" spans="1:4">
      <c r="A1622" s="180" t="s">
        <v>6709</v>
      </c>
      <c r="B1622" s="173" t="s">
        <v>4840</v>
      </c>
      <c r="C1622" s="173" t="s">
        <v>4841</v>
      </c>
      <c r="D1622" s="173" t="s">
        <v>4842</v>
      </c>
    </row>
    <row r="1623" ht="17.25" spans="1:4">
      <c r="A1623" s="180" t="s">
        <v>6710</v>
      </c>
      <c r="B1623" s="173" t="s">
        <v>4840</v>
      </c>
      <c r="C1623" s="173" t="s">
        <v>4841</v>
      </c>
      <c r="D1623" s="173" t="s">
        <v>4842</v>
      </c>
    </row>
    <row r="1624" ht="17.25" spans="1:4">
      <c r="A1624" s="180" t="s">
        <v>6711</v>
      </c>
      <c r="B1624" s="173" t="s">
        <v>4840</v>
      </c>
      <c r="C1624" s="173" t="s">
        <v>4841</v>
      </c>
      <c r="D1624" s="173" t="s">
        <v>4842</v>
      </c>
    </row>
    <row r="1625" ht="17.25" spans="1:4">
      <c r="A1625" s="180" t="s">
        <v>6712</v>
      </c>
      <c r="B1625" s="173" t="s">
        <v>4840</v>
      </c>
      <c r="C1625" s="173" t="s">
        <v>4841</v>
      </c>
      <c r="D1625" s="173" t="s">
        <v>4842</v>
      </c>
    </row>
    <row r="1626" ht="17.25" spans="1:4">
      <c r="A1626" s="180" t="s">
        <v>6713</v>
      </c>
      <c r="B1626" s="173" t="s">
        <v>4840</v>
      </c>
      <c r="C1626" s="173" t="s">
        <v>4841</v>
      </c>
      <c r="D1626" s="173" t="s">
        <v>4842</v>
      </c>
    </row>
    <row r="1627" ht="17.25" spans="1:4">
      <c r="A1627" s="180" t="s">
        <v>6714</v>
      </c>
      <c r="B1627" s="173" t="s">
        <v>4840</v>
      </c>
      <c r="C1627" s="173" t="s">
        <v>4841</v>
      </c>
      <c r="D1627" s="173" t="s">
        <v>4842</v>
      </c>
    </row>
    <row r="1628" ht="17.25" spans="1:4">
      <c r="A1628" s="180" t="s">
        <v>6715</v>
      </c>
      <c r="B1628" s="180" t="s">
        <v>4840</v>
      </c>
      <c r="C1628" s="173" t="s">
        <v>4841</v>
      </c>
      <c r="D1628" s="173" t="s">
        <v>4842</v>
      </c>
    </row>
    <row r="1629" ht="17.25" spans="1:4">
      <c r="A1629" s="180" t="s">
        <v>6716</v>
      </c>
      <c r="B1629" s="180" t="s">
        <v>5819</v>
      </c>
      <c r="C1629" s="173" t="s">
        <v>4841</v>
      </c>
      <c r="D1629" s="173" t="s">
        <v>5820</v>
      </c>
    </row>
    <row r="1630" ht="17.25" spans="1:4">
      <c r="A1630" s="180" t="s">
        <v>6717</v>
      </c>
      <c r="B1630" s="180" t="s">
        <v>4840</v>
      </c>
      <c r="C1630" s="173" t="s">
        <v>4841</v>
      </c>
      <c r="D1630" s="173" t="s">
        <v>4842</v>
      </c>
    </row>
    <row r="1631" ht="17.25" spans="1:4">
      <c r="A1631" s="180" t="s">
        <v>6718</v>
      </c>
      <c r="B1631" s="180" t="s">
        <v>4840</v>
      </c>
      <c r="C1631" s="173" t="s">
        <v>4841</v>
      </c>
      <c r="D1631" s="173" t="s">
        <v>4842</v>
      </c>
    </row>
    <row r="1632" ht="17.25" spans="1:4">
      <c r="A1632" s="180" t="s">
        <v>6719</v>
      </c>
      <c r="B1632" s="180" t="s">
        <v>4840</v>
      </c>
      <c r="C1632" s="173" t="s">
        <v>4841</v>
      </c>
      <c r="D1632" s="173" t="s">
        <v>4842</v>
      </c>
    </row>
    <row r="1633" ht="17.25" spans="1:4">
      <c r="A1633" s="180" t="s">
        <v>6720</v>
      </c>
      <c r="B1633" s="180" t="s">
        <v>6721</v>
      </c>
      <c r="C1633" s="173" t="s">
        <v>4841</v>
      </c>
      <c r="D1633" s="173" t="s">
        <v>6722</v>
      </c>
    </row>
    <row r="1634" ht="17.25" spans="1:4">
      <c r="A1634" s="180" t="s">
        <v>6723</v>
      </c>
      <c r="B1634" s="180" t="s">
        <v>6721</v>
      </c>
      <c r="C1634" s="173" t="s">
        <v>4841</v>
      </c>
      <c r="D1634" s="173" t="s">
        <v>6722</v>
      </c>
    </row>
    <row r="1635" ht="17.25" spans="1:4">
      <c r="A1635" s="180" t="s">
        <v>6724</v>
      </c>
      <c r="B1635" s="180" t="s">
        <v>6721</v>
      </c>
      <c r="C1635" s="173" t="s">
        <v>4841</v>
      </c>
      <c r="D1635" s="173" t="s">
        <v>6722</v>
      </c>
    </row>
    <row r="1636" ht="17.25" spans="1:4">
      <c r="A1636" s="180" t="s">
        <v>6721</v>
      </c>
      <c r="B1636" s="180" t="s">
        <v>6721</v>
      </c>
      <c r="C1636" s="173" t="s">
        <v>4841</v>
      </c>
      <c r="D1636" s="173" t="s">
        <v>6722</v>
      </c>
    </row>
    <row r="1637" ht="17.25" spans="1:4">
      <c r="A1637" s="180" t="s">
        <v>6725</v>
      </c>
      <c r="B1637" s="180" t="s">
        <v>6721</v>
      </c>
      <c r="C1637" s="173" t="s">
        <v>4841</v>
      </c>
      <c r="D1637" s="173" t="s">
        <v>6722</v>
      </c>
    </row>
    <row r="1638" ht="17.25" spans="1:4">
      <c r="A1638" s="180" t="s">
        <v>6726</v>
      </c>
      <c r="B1638" s="180" t="s">
        <v>6721</v>
      </c>
      <c r="C1638" s="173" t="s">
        <v>4841</v>
      </c>
      <c r="D1638" s="173" t="s">
        <v>6722</v>
      </c>
    </row>
    <row r="1639" ht="17.25" spans="1:4">
      <c r="A1639" s="180" t="s">
        <v>6727</v>
      </c>
      <c r="B1639" s="180" t="s">
        <v>6721</v>
      </c>
      <c r="C1639" s="173" t="s">
        <v>4841</v>
      </c>
      <c r="D1639" s="173" t="s">
        <v>6722</v>
      </c>
    </row>
    <row r="1640" ht="17.25" spans="1:4">
      <c r="A1640" s="180" t="s">
        <v>6728</v>
      </c>
      <c r="B1640" s="180" t="s">
        <v>6721</v>
      </c>
      <c r="C1640" s="173" t="s">
        <v>4841</v>
      </c>
      <c r="D1640" s="173" t="s">
        <v>6722</v>
      </c>
    </row>
    <row r="1641" ht="17.25" spans="1:4">
      <c r="A1641" s="180" t="s">
        <v>6729</v>
      </c>
      <c r="B1641" s="180" t="s">
        <v>6721</v>
      </c>
      <c r="C1641" s="173" t="s">
        <v>4841</v>
      </c>
      <c r="D1641" s="173" t="s">
        <v>6722</v>
      </c>
    </row>
    <row r="1642" ht="17.25" spans="1:4">
      <c r="A1642" s="180" t="s">
        <v>6730</v>
      </c>
      <c r="B1642" s="180" t="s">
        <v>5928</v>
      </c>
      <c r="C1642" s="173" t="s">
        <v>4841</v>
      </c>
      <c r="D1642" s="173" t="s">
        <v>5929</v>
      </c>
    </row>
    <row r="1643" ht="17.25" spans="1:4">
      <c r="A1643" s="180" t="s">
        <v>6731</v>
      </c>
      <c r="B1643" s="180" t="s">
        <v>5638</v>
      </c>
      <c r="C1643" s="173" t="s">
        <v>4841</v>
      </c>
      <c r="D1643" s="173" t="s">
        <v>5639</v>
      </c>
    </row>
    <row r="1644" ht="17.25" spans="1:4">
      <c r="A1644" s="180" t="s">
        <v>6732</v>
      </c>
      <c r="B1644" s="180" t="s">
        <v>4840</v>
      </c>
      <c r="C1644" s="173" t="s">
        <v>4841</v>
      </c>
      <c r="D1644" s="173" t="s">
        <v>4842</v>
      </c>
    </row>
    <row r="1645" ht="17.25" spans="1:4">
      <c r="A1645" s="180" t="s">
        <v>6733</v>
      </c>
      <c r="B1645" s="180" t="s">
        <v>4840</v>
      </c>
      <c r="C1645" s="173" t="s">
        <v>4841</v>
      </c>
      <c r="D1645" s="173" t="s">
        <v>4842</v>
      </c>
    </row>
    <row r="1646" ht="17.25" spans="1:4">
      <c r="A1646" s="180" t="s">
        <v>6734</v>
      </c>
      <c r="B1646" s="180" t="s">
        <v>4840</v>
      </c>
      <c r="C1646" s="173" t="s">
        <v>4841</v>
      </c>
      <c r="D1646" s="173" t="s">
        <v>4842</v>
      </c>
    </row>
    <row r="1647" ht="17.25" spans="1:4">
      <c r="A1647" s="180" t="s">
        <v>6735</v>
      </c>
      <c r="B1647" s="180" t="s">
        <v>4840</v>
      </c>
      <c r="C1647" s="173" t="s">
        <v>4841</v>
      </c>
      <c r="D1647" s="173" t="s">
        <v>4842</v>
      </c>
    </row>
    <row r="1648" ht="17.25" spans="1:4">
      <c r="A1648" s="180" t="s">
        <v>6736</v>
      </c>
      <c r="B1648" s="180" t="s">
        <v>4840</v>
      </c>
      <c r="C1648" s="173" t="s">
        <v>4841</v>
      </c>
      <c r="D1648" s="173" t="s">
        <v>4842</v>
      </c>
    </row>
    <row r="1649" ht="17.25" spans="1:4">
      <c r="A1649" s="180" t="s">
        <v>6737</v>
      </c>
      <c r="B1649" s="180" t="s">
        <v>4840</v>
      </c>
      <c r="C1649" s="173" t="s">
        <v>4841</v>
      </c>
      <c r="D1649" s="173" t="s">
        <v>4842</v>
      </c>
    </row>
    <row r="1650" ht="17.25" spans="1:4">
      <c r="A1650" s="180" t="s">
        <v>6738</v>
      </c>
      <c r="B1650" s="180" t="s">
        <v>4840</v>
      </c>
      <c r="C1650" s="173" t="s">
        <v>4841</v>
      </c>
      <c r="D1650" s="173" t="s">
        <v>4842</v>
      </c>
    </row>
    <row r="1651" ht="17.25" spans="1:4">
      <c r="A1651" s="180" t="s">
        <v>6739</v>
      </c>
      <c r="B1651" s="180" t="s">
        <v>4840</v>
      </c>
      <c r="C1651" s="173" t="s">
        <v>4841</v>
      </c>
      <c r="D1651" s="173" t="s">
        <v>4842</v>
      </c>
    </row>
    <row r="1652" ht="17.25" spans="1:4">
      <c r="A1652" s="180" t="s">
        <v>6740</v>
      </c>
      <c r="B1652" s="180" t="s">
        <v>4840</v>
      </c>
      <c r="C1652" s="173" t="s">
        <v>4841</v>
      </c>
      <c r="D1652" s="173" t="s">
        <v>4842</v>
      </c>
    </row>
    <row r="1653" ht="16.5" spans="1:4">
      <c r="A1653" s="173" t="s">
        <v>6741</v>
      </c>
      <c r="B1653" s="173" t="s">
        <v>6741</v>
      </c>
      <c r="C1653" s="173" t="s">
        <v>6742</v>
      </c>
      <c r="D1653" s="173" t="s">
        <v>4838</v>
      </c>
    </row>
    <row r="1654" ht="16.5" spans="1:4">
      <c r="A1654" s="173" t="s">
        <v>6743</v>
      </c>
      <c r="B1654" s="173" t="s">
        <v>4840</v>
      </c>
      <c r="C1654" s="173" t="s">
        <v>4841</v>
      </c>
      <c r="D1654" s="173" t="s">
        <v>4842</v>
      </c>
    </row>
    <row r="1655" ht="16.5" spans="1:4">
      <c r="A1655" s="173" t="s">
        <v>6744</v>
      </c>
      <c r="B1655" s="173" t="s">
        <v>4840</v>
      </c>
      <c r="C1655" s="173" t="s">
        <v>4841</v>
      </c>
      <c r="D1655" s="173" t="s">
        <v>4842</v>
      </c>
    </row>
    <row r="1656" ht="16.5" spans="1:4">
      <c r="A1656" s="173" t="s">
        <v>6745</v>
      </c>
      <c r="B1656" s="173" t="s">
        <v>4840</v>
      </c>
      <c r="C1656" s="173" t="s">
        <v>4841</v>
      </c>
      <c r="D1656" s="173" t="s">
        <v>4842</v>
      </c>
    </row>
    <row r="1657" ht="16.5" spans="1:4">
      <c r="A1657" s="173" t="s">
        <v>6746</v>
      </c>
      <c r="B1657" s="173" t="s">
        <v>6156</v>
      </c>
      <c r="C1657" s="173" t="s">
        <v>6157</v>
      </c>
      <c r="D1657" s="173" t="s">
        <v>6158</v>
      </c>
    </row>
    <row r="1658" ht="16.5" spans="1:4">
      <c r="A1658" s="173" t="s">
        <v>6747</v>
      </c>
      <c r="B1658" s="173" t="s">
        <v>4840</v>
      </c>
      <c r="C1658" s="173" t="s">
        <v>4841</v>
      </c>
      <c r="D1658" s="173" t="s">
        <v>4842</v>
      </c>
    </row>
    <row r="1659" ht="16.5" spans="1:4">
      <c r="A1659" s="173" t="s">
        <v>6748</v>
      </c>
      <c r="B1659" s="173" t="s">
        <v>4840</v>
      </c>
      <c r="C1659" s="173" t="s">
        <v>4841</v>
      </c>
      <c r="D1659" s="173" t="s">
        <v>4842</v>
      </c>
    </row>
    <row r="1660" ht="16.5" spans="1:4">
      <c r="A1660" s="173" t="s">
        <v>6749</v>
      </c>
      <c r="B1660" s="173" t="s">
        <v>4840</v>
      </c>
      <c r="C1660" s="173" t="s">
        <v>4841</v>
      </c>
      <c r="D1660" s="173" t="s">
        <v>4842</v>
      </c>
    </row>
    <row r="1661" ht="16.5" spans="1:4">
      <c r="A1661" s="173" t="s">
        <v>6750</v>
      </c>
      <c r="B1661" s="173" t="s">
        <v>4840</v>
      </c>
      <c r="C1661" s="173" t="s">
        <v>4841</v>
      </c>
      <c r="D1661" s="173" t="s">
        <v>4842</v>
      </c>
    </row>
    <row r="1662" ht="16.5" spans="1:4">
      <c r="A1662" s="173" t="s">
        <v>6751</v>
      </c>
      <c r="B1662" s="173" t="s">
        <v>4840</v>
      </c>
      <c r="C1662" s="173" t="s">
        <v>4841</v>
      </c>
      <c r="D1662" s="173" t="s">
        <v>4842</v>
      </c>
    </row>
    <row r="1663" ht="16.5" spans="1:4">
      <c r="A1663" s="173" t="s">
        <v>6752</v>
      </c>
      <c r="B1663" s="173" t="s">
        <v>4840</v>
      </c>
      <c r="C1663" s="173" t="s">
        <v>4841</v>
      </c>
      <c r="D1663" s="173" t="s">
        <v>4842</v>
      </c>
    </row>
    <row r="1664" ht="16.5" spans="1:4">
      <c r="A1664" s="173" t="s">
        <v>6753</v>
      </c>
      <c r="B1664" s="173" t="s">
        <v>4840</v>
      </c>
      <c r="C1664" s="173" t="s">
        <v>4841</v>
      </c>
      <c r="D1664" s="173" t="s">
        <v>4842</v>
      </c>
    </row>
    <row r="1665" ht="16.5" spans="1:4">
      <c r="A1665" s="173" t="s">
        <v>6754</v>
      </c>
      <c r="B1665" s="173" t="s">
        <v>4840</v>
      </c>
      <c r="C1665" s="173" t="s">
        <v>4841</v>
      </c>
      <c r="D1665" s="173" t="s">
        <v>4842</v>
      </c>
    </row>
    <row r="1666" ht="16.5" spans="1:4">
      <c r="A1666" s="173" t="s">
        <v>6755</v>
      </c>
      <c r="B1666" s="173" t="s">
        <v>4840</v>
      </c>
      <c r="C1666" s="173" t="s">
        <v>4841</v>
      </c>
      <c r="D1666" s="173" t="s">
        <v>4842</v>
      </c>
    </row>
    <row r="1667" ht="16.5" spans="1:4">
      <c r="A1667" s="173" t="s">
        <v>6756</v>
      </c>
      <c r="B1667" s="173" t="s">
        <v>4840</v>
      </c>
      <c r="C1667" s="173" t="s">
        <v>4841</v>
      </c>
      <c r="D1667" s="173" t="s">
        <v>4842</v>
      </c>
    </row>
    <row r="1668" ht="16.5" spans="1:4">
      <c r="A1668" s="173" t="s">
        <v>6757</v>
      </c>
      <c r="B1668" s="173" t="s">
        <v>4840</v>
      </c>
      <c r="C1668" s="173" t="s">
        <v>4841</v>
      </c>
      <c r="D1668" s="173" t="s">
        <v>4842</v>
      </c>
    </row>
    <row r="1669" ht="16.5" spans="1:4">
      <c r="A1669" s="173" t="s">
        <v>6758</v>
      </c>
      <c r="B1669" s="173" t="s">
        <v>4840</v>
      </c>
      <c r="C1669" s="173" t="s">
        <v>4841</v>
      </c>
      <c r="D1669" s="173" t="s">
        <v>4842</v>
      </c>
    </row>
    <row r="1670" ht="16.5" spans="1:4">
      <c r="A1670" s="173" t="s">
        <v>6759</v>
      </c>
      <c r="B1670" s="173" t="s">
        <v>4840</v>
      </c>
      <c r="C1670" s="173" t="s">
        <v>4841</v>
      </c>
      <c r="D1670" s="173" t="s">
        <v>4842</v>
      </c>
    </row>
    <row r="1671" ht="16.5" spans="1:4">
      <c r="A1671" s="173" t="s">
        <v>6760</v>
      </c>
      <c r="B1671" s="173" t="s">
        <v>4840</v>
      </c>
      <c r="C1671" s="173" t="s">
        <v>4841</v>
      </c>
      <c r="D1671" s="173" t="s">
        <v>4842</v>
      </c>
    </row>
    <row r="1672" ht="16.5" spans="1:4">
      <c r="A1672" s="173" t="s">
        <v>6761</v>
      </c>
      <c r="B1672" s="173" t="s">
        <v>4840</v>
      </c>
      <c r="C1672" s="173" t="s">
        <v>4841</v>
      </c>
      <c r="D1672" s="173" t="s">
        <v>4842</v>
      </c>
    </row>
    <row r="1673" ht="16.5" spans="1:4">
      <c r="A1673" s="173" t="s">
        <v>6762</v>
      </c>
      <c r="B1673" s="173" t="s">
        <v>4840</v>
      </c>
      <c r="C1673" s="173" t="s">
        <v>4841</v>
      </c>
      <c r="D1673" s="173" t="s">
        <v>4842</v>
      </c>
    </row>
    <row r="1674" ht="16.5" spans="1:4">
      <c r="A1674" s="173" t="s">
        <v>6763</v>
      </c>
      <c r="B1674" s="173" t="s">
        <v>4840</v>
      </c>
      <c r="C1674" s="173" t="s">
        <v>4841</v>
      </c>
      <c r="D1674" s="173" t="s">
        <v>4842</v>
      </c>
    </row>
    <row r="1675" ht="16.5" spans="1:4">
      <c r="A1675" s="173" t="s">
        <v>6764</v>
      </c>
      <c r="B1675" s="173" t="s">
        <v>4840</v>
      </c>
      <c r="C1675" s="173" t="s">
        <v>4841</v>
      </c>
      <c r="D1675" s="173" t="s">
        <v>4842</v>
      </c>
    </row>
    <row r="1676" ht="16.5" spans="1:4">
      <c r="A1676" s="173" t="s">
        <v>6765</v>
      </c>
      <c r="B1676" s="173" t="s">
        <v>4840</v>
      </c>
      <c r="C1676" s="173" t="s">
        <v>4841</v>
      </c>
      <c r="D1676" s="173" t="s">
        <v>4842</v>
      </c>
    </row>
    <row r="1677" ht="16.5" spans="1:4">
      <c r="A1677" s="173" t="s">
        <v>6766</v>
      </c>
      <c r="B1677" s="173" t="s">
        <v>4840</v>
      </c>
      <c r="C1677" s="173" t="s">
        <v>4841</v>
      </c>
      <c r="D1677" s="173" t="s">
        <v>4842</v>
      </c>
    </row>
    <row r="1678" ht="16.5" spans="1:4">
      <c r="A1678" s="173" t="s">
        <v>6767</v>
      </c>
      <c r="B1678" s="173" t="s">
        <v>4840</v>
      </c>
      <c r="C1678" s="173" t="s">
        <v>4841</v>
      </c>
      <c r="D1678" s="173" t="s">
        <v>4842</v>
      </c>
    </row>
    <row r="1679" ht="16.5" spans="1:4">
      <c r="A1679" s="173" t="s">
        <v>6768</v>
      </c>
      <c r="B1679" s="173" t="s">
        <v>4840</v>
      </c>
      <c r="C1679" s="173" t="s">
        <v>4841</v>
      </c>
      <c r="D1679" s="173" t="s">
        <v>4842</v>
      </c>
    </row>
    <row r="1680" ht="16.5" spans="1:4">
      <c r="A1680" s="173" t="s">
        <v>6769</v>
      </c>
      <c r="B1680" s="173" t="s">
        <v>4840</v>
      </c>
      <c r="C1680" s="173" t="s">
        <v>4841</v>
      </c>
      <c r="D1680" s="173" t="s">
        <v>4842</v>
      </c>
    </row>
    <row r="1681" ht="16.5" spans="1:4">
      <c r="A1681" s="173" t="s">
        <v>6770</v>
      </c>
      <c r="B1681" s="173" t="s">
        <v>4840</v>
      </c>
      <c r="C1681" s="173" t="s">
        <v>4841</v>
      </c>
      <c r="D1681" s="173" t="s">
        <v>4842</v>
      </c>
    </row>
    <row r="1682" ht="16.5" spans="1:4">
      <c r="A1682" s="173" t="s">
        <v>6771</v>
      </c>
      <c r="B1682" s="173" t="s">
        <v>4840</v>
      </c>
      <c r="C1682" s="173" t="s">
        <v>4841</v>
      </c>
      <c r="D1682" s="173" t="s">
        <v>4842</v>
      </c>
    </row>
    <row r="1683" ht="16.5" spans="1:4">
      <c r="A1683" s="173" t="s">
        <v>6772</v>
      </c>
      <c r="B1683" s="173" t="s">
        <v>4840</v>
      </c>
      <c r="C1683" s="173" t="s">
        <v>4841</v>
      </c>
      <c r="D1683" s="173" t="s">
        <v>4842</v>
      </c>
    </row>
    <row r="1684" ht="16.5" spans="1:4">
      <c r="A1684" s="173" t="s">
        <v>6773</v>
      </c>
      <c r="B1684" s="173" t="s">
        <v>4840</v>
      </c>
      <c r="C1684" s="173" t="s">
        <v>4841</v>
      </c>
      <c r="D1684" s="173" t="s">
        <v>4842</v>
      </c>
    </row>
    <row r="1685" ht="16.5" spans="1:4">
      <c r="A1685" s="173" t="s">
        <v>6774</v>
      </c>
      <c r="B1685" s="173" t="s">
        <v>4840</v>
      </c>
      <c r="C1685" s="173" t="s">
        <v>4841</v>
      </c>
      <c r="D1685" s="173" t="s">
        <v>4842</v>
      </c>
    </row>
    <row r="1686" ht="16.5" spans="1:4">
      <c r="A1686" s="173" t="s">
        <v>6775</v>
      </c>
      <c r="B1686" s="173" t="s">
        <v>4840</v>
      </c>
      <c r="C1686" s="173" t="s">
        <v>4841</v>
      </c>
      <c r="D1686" s="173" t="s">
        <v>4842</v>
      </c>
    </row>
    <row r="1687" ht="16.5" spans="1:4">
      <c r="A1687" s="173" t="s">
        <v>6776</v>
      </c>
      <c r="B1687" s="173" t="s">
        <v>4840</v>
      </c>
      <c r="C1687" s="173" t="s">
        <v>4841</v>
      </c>
      <c r="D1687" s="173" t="s">
        <v>4842</v>
      </c>
    </row>
    <row r="1688" ht="16.5" spans="1:4">
      <c r="A1688" s="173" t="s">
        <v>6777</v>
      </c>
      <c r="B1688" s="173" t="s">
        <v>4840</v>
      </c>
      <c r="C1688" s="173" t="s">
        <v>4841</v>
      </c>
      <c r="D1688" s="173" t="s">
        <v>4842</v>
      </c>
    </row>
    <row r="1689" ht="16.5" spans="1:4">
      <c r="A1689" s="173" t="s">
        <v>6778</v>
      </c>
      <c r="B1689" s="173" t="s">
        <v>4840</v>
      </c>
      <c r="C1689" s="173" t="s">
        <v>4841</v>
      </c>
      <c r="D1689" s="173" t="s">
        <v>4842</v>
      </c>
    </row>
    <row r="1690" ht="16.5" spans="1:4">
      <c r="A1690" s="173" t="s">
        <v>6779</v>
      </c>
      <c r="B1690" s="173" t="s">
        <v>4840</v>
      </c>
      <c r="C1690" s="173" t="s">
        <v>4841</v>
      </c>
      <c r="D1690" s="173" t="s">
        <v>4842</v>
      </c>
    </row>
    <row r="1691" ht="16.5" spans="1:4">
      <c r="A1691" s="173" t="s">
        <v>6780</v>
      </c>
      <c r="B1691" s="173" t="s">
        <v>4840</v>
      </c>
      <c r="C1691" s="173" t="s">
        <v>4841</v>
      </c>
      <c r="D1691" s="173" t="s">
        <v>4842</v>
      </c>
    </row>
    <row r="1692" ht="16.5" spans="1:4">
      <c r="A1692" s="173" t="s">
        <v>6781</v>
      </c>
      <c r="B1692" s="173" t="s">
        <v>4840</v>
      </c>
      <c r="C1692" s="173" t="s">
        <v>4841</v>
      </c>
      <c r="D1692" s="173" t="s">
        <v>4842</v>
      </c>
    </row>
    <row r="1693" ht="16.5" spans="1:4">
      <c r="A1693" s="173" t="s">
        <v>6782</v>
      </c>
      <c r="B1693" s="173" t="s">
        <v>4840</v>
      </c>
      <c r="C1693" s="173" t="s">
        <v>4841</v>
      </c>
      <c r="D1693" s="173" t="s">
        <v>4842</v>
      </c>
    </row>
    <row r="1694" ht="16.5" spans="1:4">
      <c r="A1694" s="173" t="s">
        <v>6783</v>
      </c>
      <c r="B1694" s="173" t="s">
        <v>4840</v>
      </c>
      <c r="C1694" s="173" t="s">
        <v>4841</v>
      </c>
      <c r="D1694" s="173" t="s">
        <v>4842</v>
      </c>
    </row>
    <row r="1695" ht="16.5" spans="1:4">
      <c r="A1695" s="173" t="s">
        <v>6784</v>
      </c>
      <c r="B1695" s="173" t="s">
        <v>4840</v>
      </c>
      <c r="C1695" s="173" t="s">
        <v>4841</v>
      </c>
      <c r="D1695" s="173" t="s">
        <v>4842</v>
      </c>
    </row>
    <row r="1696" ht="16.5" spans="1:4">
      <c r="A1696" s="173" t="s">
        <v>6785</v>
      </c>
      <c r="B1696" s="173" t="s">
        <v>4840</v>
      </c>
      <c r="C1696" s="173" t="s">
        <v>4841</v>
      </c>
      <c r="D1696" s="173" t="s">
        <v>4842</v>
      </c>
    </row>
    <row r="1697" ht="16.5" spans="1:4">
      <c r="A1697" s="173" t="s">
        <v>6786</v>
      </c>
      <c r="B1697" s="173" t="s">
        <v>4840</v>
      </c>
      <c r="C1697" s="173" t="s">
        <v>4841</v>
      </c>
      <c r="D1697" s="173" t="s">
        <v>4842</v>
      </c>
    </row>
    <row r="1698" ht="16.5" spans="1:4">
      <c r="A1698" s="173" t="s">
        <v>6787</v>
      </c>
      <c r="B1698" s="173" t="s">
        <v>4840</v>
      </c>
      <c r="C1698" s="173" t="s">
        <v>4841</v>
      </c>
      <c r="D1698" s="173" t="s">
        <v>4842</v>
      </c>
    </row>
    <row r="1699" ht="16.5" spans="1:4">
      <c r="A1699" s="173" t="s">
        <v>6788</v>
      </c>
      <c r="B1699" s="173" t="s">
        <v>4840</v>
      </c>
      <c r="C1699" s="173" t="s">
        <v>4841</v>
      </c>
      <c r="D1699" s="173" t="s">
        <v>4842</v>
      </c>
    </row>
    <row r="1700" ht="16.5" spans="1:4">
      <c r="A1700" s="173" t="s">
        <v>6789</v>
      </c>
      <c r="B1700" s="173" t="s">
        <v>4840</v>
      </c>
      <c r="C1700" s="173" t="s">
        <v>4841</v>
      </c>
      <c r="D1700" s="173" t="s">
        <v>4842</v>
      </c>
    </row>
    <row r="1701" ht="16.5" spans="1:4">
      <c r="A1701" s="173" t="s">
        <v>6790</v>
      </c>
      <c r="B1701" s="173" t="s">
        <v>4840</v>
      </c>
      <c r="C1701" s="173" t="s">
        <v>4841</v>
      </c>
      <c r="D1701" s="173" t="s">
        <v>4842</v>
      </c>
    </row>
    <row r="1702" ht="16.5" spans="1:4">
      <c r="A1702" s="173" t="s">
        <v>6791</v>
      </c>
      <c r="B1702" s="173" t="s">
        <v>4840</v>
      </c>
      <c r="C1702" s="173" t="s">
        <v>4841</v>
      </c>
      <c r="D1702" s="173" t="s">
        <v>4842</v>
      </c>
    </row>
    <row r="1703" ht="16.5" spans="1:4">
      <c r="A1703" s="173" t="s">
        <v>6792</v>
      </c>
      <c r="B1703" s="173" t="s">
        <v>4840</v>
      </c>
      <c r="C1703" s="173" t="s">
        <v>4841</v>
      </c>
      <c r="D1703" s="173" t="s">
        <v>4842</v>
      </c>
    </row>
    <row r="1704" ht="16.5" spans="1:4">
      <c r="A1704" s="173" t="s">
        <v>6793</v>
      </c>
      <c r="B1704" s="173" t="s">
        <v>4840</v>
      </c>
      <c r="C1704" s="173" t="s">
        <v>4841</v>
      </c>
      <c r="D1704" s="173" t="s">
        <v>4842</v>
      </c>
    </row>
    <row r="1705" ht="16.5" spans="1:4">
      <c r="A1705" s="173" t="s">
        <v>6794</v>
      </c>
      <c r="B1705" s="173" t="s">
        <v>4840</v>
      </c>
      <c r="C1705" s="173" t="s">
        <v>4841</v>
      </c>
      <c r="D1705" s="173" t="s">
        <v>4842</v>
      </c>
    </row>
    <row r="1706" ht="16.5" spans="1:4">
      <c r="A1706" s="173" t="s">
        <v>6795</v>
      </c>
      <c r="B1706" s="173" t="s">
        <v>4840</v>
      </c>
      <c r="C1706" s="173" t="s">
        <v>4841</v>
      </c>
      <c r="D1706" s="173" t="s">
        <v>4842</v>
      </c>
    </row>
    <row r="1707" ht="17.25" spans="1:4">
      <c r="A1707" s="173" t="s">
        <v>6796</v>
      </c>
      <c r="B1707" s="173" t="s">
        <v>4840</v>
      </c>
      <c r="C1707" s="173" t="s">
        <v>4841</v>
      </c>
      <c r="D1707" s="173" t="s">
        <v>4842</v>
      </c>
    </row>
    <row r="1708" ht="17.25" spans="1:4">
      <c r="A1708" s="180" t="s">
        <v>6797</v>
      </c>
      <c r="B1708" s="181" t="s">
        <v>4840</v>
      </c>
      <c r="C1708" s="173" t="s">
        <v>4841</v>
      </c>
      <c r="D1708" s="173" t="s">
        <v>4842</v>
      </c>
    </row>
    <row r="1709" ht="17.25" spans="1:4">
      <c r="A1709" s="180" t="s">
        <v>6798</v>
      </c>
      <c r="B1709" s="173" t="s">
        <v>4920</v>
      </c>
      <c r="C1709" s="173" t="s">
        <v>4921</v>
      </c>
      <c r="D1709" s="173" t="s">
        <v>4922</v>
      </c>
    </row>
    <row r="1710" ht="17.25" spans="1:4">
      <c r="A1710" s="180" t="s">
        <v>3151</v>
      </c>
      <c r="B1710" s="173" t="s">
        <v>4920</v>
      </c>
      <c r="C1710" s="173" t="s">
        <v>4921</v>
      </c>
      <c r="D1710" s="173" t="s">
        <v>4922</v>
      </c>
    </row>
    <row r="1711" ht="17.25" spans="1:4">
      <c r="A1711" s="180" t="s">
        <v>2000</v>
      </c>
      <c r="B1711" s="173" t="s">
        <v>4920</v>
      </c>
      <c r="C1711" s="173" t="s">
        <v>4921</v>
      </c>
      <c r="D1711" s="173" t="s">
        <v>4922</v>
      </c>
    </row>
    <row r="1712" ht="17.25" spans="1:4">
      <c r="A1712" s="180" t="s">
        <v>6799</v>
      </c>
      <c r="B1712" s="173" t="s">
        <v>4920</v>
      </c>
      <c r="C1712" s="173" t="s">
        <v>4921</v>
      </c>
      <c r="D1712" s="173" t="s">
        <v>4922</v>
      </c>
    </row>
    <row r="1713" ht="17.25" spans="1:4">
      <c r="A1713" s="180" t="s">
        <v>526</v>
      </c>
      <c r="B1713" s="173" t="s">
        <v>4920</v>
      </c>
      <c r="C1713" s="173" t="s">
        <v>4921</v>
      </c>
      <c r="D1713" s="173" t="s">
        <v>4922</v>
      </c>
    </row>
    <row r="1714" ht="17.25" spans="1:4">
      <c r="A1714" s="180" t="s">
        <v>6800</v>
      </c>
      <c r="B1714" s="173" t="s">
        <v>4920</v>
      </c>
      <c r="C1714" s="173" t="s">
        <v>4921</v>
      </c>
      <c r="D1714" s="173" t="s">
        <v>4922</v>
      </c>
    </row>
    <row r="1715" ht="17.25" spans="1:4">
      <c r="A1715" s="180" t="s">
        <v>522</v>
      </c>
      <c r="B1715" s="173" t="s">
        <v>4920</v>
      </c>
      <c r="C1715" s="173" t="s">
        <v>4921</v>
      </c>
      <c r="D1715" s="173" t="s">
        <v>4922</v>
      </c>
    </row>
    <row r="1716" ht="17.25" spans="1:4">
      <c r="A1716" s="180" t="s">
        <v>6801</v>
      </c>
      <c r="B1716" s="173" t="s">
        <v>4920</v>
      </c>
      <c r="C1716" s="173" t="s">
        <v>4921</v>
      </c>
      <c r="D1716" s="173" t="s">
        <v>4922</v>
      </c>
    </row>
    <row r="1717" ht="17.25" spans="1:4">
      <c r="A1717" s="180" t="s">
        <v>445</v>
      </c>
      <c r="B1717" s="173" t="s">
        <v>4920</v>
      </c>
      <c r="C1717" s="173" t="s">
        <v>4921</v>
      </c>
      <c r="D1717" s="173" t="s">
        <v>4922</v>
      </c>
    </row>
    <row r="1718" ht="17.25" spans="1:4">
      <c r="A1718" s="180" t="s">
        <v>2024</v>
      </c>
      <c r="B1718" s="173" t="s">
        <v>4920</v>
      </c>
      <c r="C1718" s="173" t="s">
        <v>4921</v>
      </c>
      <c r="D1718" s="173" t="s">
        <v>4922</v>
      </c>
    </row>
    <row r="1719" ht="17.25" spans="1:4">
      <c r="A1719" s="180" t="s">
        <v>6802</v>
      </c>
      <c r="B1719" s="173" t="s">
        <v>4920</v>
      </c>
      <c r="C1719" s="173" t="s">
        <v>4921</v>
      </c>
      <c r="D1719" s="173" t="s">
        <v>4922</v>
      </c>
    </row>
    <row r="1720" ht="17.25" spans="1:4">
      <c r="A1720" s="180" t="s">
        <v>6803</v>
      </c>
      <c r="B1720" s="173" t="s">
        <v>4854</v>
      </c>
      <c r="C1720" s="174" t="s">
        <v>4855</v>
      </c>
      <c r="D1720" s="173" t="s">
        <v>4856</v>
      </c>
    </row>
    <row r="1721" ht="17.25" spans="1:4">
      <c r="A1721" s="180" t="s">
        <v>6804</v>
      </c>
      <c r="B1721" s="181" t="s">
        <v>4840</v>
      </c>
      <c r="C1721" s="173" t="s">
        <v>4841</v>
      </c>
      <c r="D1721" s="173" t="s">
        <v>4842</v>
      </c>
    </row>
    <row r="1722" ht="17.25" spans="1:4">
      <c r="A1722" s="180" t="s">
        <v>6805</v>
      </c>
      <c r="B1722" s="181" t="s">
        <v>4840</v>
      </c>
      <c r="C1722" s="173" t="s">
        <v>4841</v>
      </c>
      <c r="D1722" s="173" t="s">
        <v>4842</v>
      </c>
    </row>
    <row r="1723" ht="17.25" spans="1:4">
      <c r="A1723" s="180" t="s">
        <v>6806</v>
      </c>
      <c r="B1723" s="181" t="s">
        <v>4840</v>
      </c>
      <c r="C1723" s="173" t="s">
        <v>4841</v>
      </c>
      <c r="D1723" s="173" t="s">
        <v>4842</v>
      </c>
    </row>
    <row r="1724" ht="17.25" spans="1:4">
      <c r="A1724" s="180" t="s">
        <v>6807</v>
      </c>
      <c r="B1724" s="181" t="s">
        <v>4840</v>
      </c>
      <c r="C1724" s="173" t="s">
        <v>4841</v>
      </c>
      <c r="D1724" s="173" t="s">
        <v>4842</v>
      </c>
    </row>
    <row r="1725" ht="17.25" spans="1:4">
      <c r="A1725" s="180" t="s">
        <v>6808</v>
      </c>
      <c r="B1725" s="180" t="s">
        <v>6808</v>
      </c>
      <c r="C1725" s="180" t="s">
        <v>6808</v>
      </c>
      <c r="D1725" s="173" t="s">
        <v>6809</v>
      </c>
    </row>
    <row r="1726" ht="17.25" spans="1:4">
      <c r="A1726" s="180" t="s">
        <v>6810</v>
      </c>
      <c r="B1726" s="180" t="s">
        <v>6808</v>
      </c>
      <c r="C1726" s="180" t="s">
        <v>6808</v>
      </c>
      <c r="D1726" s="173" t="s">
        <v>6809</v>
      </c>
    </row>
    <row r="1727" ht="17.25" spans="1:4">
      <c r="A1727" s="180" t="s">
        <v>6811</v>
      </c>
      <c r="B1727" s="180" t="s">
        <v>6808</v>
      </c>
      <c r="C1727" s="180" t="s">
        <v>6808</v>
      </c>
      <c r="D1727" s="173" t="s">
        <v>6809</v>
      </c>
    </row>
    <row r="1728" ht="17.25" spans="1:4">
      <c r="A1728" s="180" t="s">
        <v>6812</v>
      </c>
      <c r="B1728" s="180" t="s">
        <v>6808</v>
      </c>
      <c r="C1728" s="180" t="s">
        <v>6808</v>
      </c>
      <c r="D1728" s="173" t="s">
        <v>6809</v>
      </c>
    </row>
    <row r="1729" ht="17.25" spans="1:4">
      <c r="A1729" s="180" t="s">
        <v>6813</v>
      </c>
      <c r="B1729" s="180" t="s">
        <v>6808</v>
      </c>
      <c r="C1729" s="180" t="s">
        <v>6808</v>
      </c>
      <c r="D1729" s="173" t="s">
        <v>6809</v>
      </c>
    </row>
    <row r="1730" ht="17.25" spans="1:4">
      <c r="A1730" s="180" t="s">
        <v>2192</v>
      </c>
      <c r="B1730" s="180" t="s">
        <v>6808</v>
      </c>
      <c r="C1730" s="180" t="s">
        <v>6808</v>
      </c>
      <c r="D1730" s="173" t="s">
        <v>6809</v>
      </c>
    </row>
    <row r="1731" ht="17.25" spans="1:4">
      <c r="A1731" s="180" t="s">
        <v>6814</v>
      </c>
      <c r="B1731" s="180" t="s">
        <v>6808</v>
      </c>
      <c r="C1731" s="180" t="s">
        <v>6808</v>
      </c>
      <c r="D1731" s="173" t="s">
        <v>6809</v>
      </c>
    </row>
    <row r="1732" ht="17.25" spans="1:4">
      <c r="A1732" s="180" t="s">
        <v>6815</v>
      </c>
      <c r="B1732" s="180" t="s">
        <v>6808</v>
      </c>
      <c r="C1732" s="180" t="s">
        <v>6808</v>
      </c>
      <c r="D1732" s="173" t="s">
        <v>6809</v>
      </c>
    </row>
    <row r="1733" ht="17.25" spans="1:4">
      <c r="A1733" s="180" t="s">
        <v>6816</v>
      </c>
      <c r="B1733" s="180" t="s">
        <v>6808</v>
      </c>
      <c r="C1733" s="180" t="s">
        <v>6808</v>
      </c>
      <c r="D1733" s="173" t="s">
        <v>6809</v>
      </c>
    </row>
    <row r="1734" ht="17.25" spans="1:4">
      <c r="A1734" s="180" t="s">
        <v>6817</v>
      </c>
      <c r="B1734" s="180" t="s">
        <v>6808</v>
      </c>
      <c r="C1734" s="180" t="s">
        <v>6808</v>
      </c>
      <c r="D1734" s="173" t="s">
        <v>6809</v>
      </c>
    </row>
    <row r="1735" ht="17.25" spans="1:4">
      <c r="A1735" s="180" t="s">
        <v>6818</v>
      </c>
      <c r="B1735" s="180" t="s">
        <v>6808</v>
      </c>
      <c r="C1735" s="180" t="s">
        <v>6808</v>
      </c>
      <c r="D1735" s="173" t="s">
        <v>6809</v>
      </c>
    </row>
    <row r="1736" ht="17.25" spans="1:4">
      <c r="A1736" s="180" t="s">
        <v>6819</v>
      </c>
      <c r="B1736" s="180" t="s">
        <v>6808</v>
      </c>
      <c r="C1736" s="180" t="s">
        <v>6808</v>
      </c>
      <c r="D1736" s="173" t="s">
        <v>6809</v>
      </c>
    </row>
    <row r="1737" ht="17.25" spans="1:4">
      <c r="A1737" s="180" t="s">
        <v>6820</v>
      </c>
      <c r="B1737" s="180" t="s">
        <v>6808</v>
      </c>
      <c r="C1737" s="180" t="s">
        <v>6808</v>
      </c>
      <c r="D1737" s="173" t="s">
        <v>6809</v>
      </c>
    </row>
    <row r="1738" ht="17.25" spans="1:4">
      <c r="A1738" s="180" t="s">
        <v>6821</v>
      </c>
      <c r="B1738" s="180" t="s">
        <v>6808</v>
      </c>
      <c r="C1738" s="180" t="s">
        <v>6808</v>
      </c>
      <c r="D1738" s="173" t="s">
        <v>6809</v>
      </c>
    </row>
    <row r="1739" ht="17.25" spans="1:4">
      <c r="A1739" s="180" t="s">
        <v>6822</v>
      </c>
      <c r="B1739" s="180" t="s">
        <v>6808</v>
      </c>
      <c r="C1739" s="180" t="s">
        <v>6808</v>
      </c>
      <c r="D1739" s="173" t="s">
        <v>6809</v>
      </c>
    </row>
    <row r="1740" ht="17.25" spans="1:4">
      <c r="A1740" s="180" t="s">
        <v>6823</v>
      </c>
      <c r="B1740" s="180" t="s">
        <v>6808</v>
      </c>
      <c r="C1740" s="180" t="s">
        <v>6808</v>
      </c>
      <c r="D1740" s="173" t="s">
        <v>6809</v>
      </c>
    </row>
    <row r="1741" ht="29.25" spans="1:4">
      <c r="A1741" s="180" t="s">
        <v>6824</v>
      </c>
      <c r="B1741" s="180" t="s">
        <v>6808</v>
      </c>
      <c r="C1741" s="180" t="s">
        <v>6823</v>
      </c>
      <c r="D1741" s="173" t="s">
        <v>6825</v>
      </c>
    </row>
    <row r="1742" ht="29.25" spans="1:4">
      <c r="A1742" s="180" t="s">
        <v>6826</v>
      </c>
      <c r="B1742" s="180" t="s">
        <v>6808</v>
      </c>
      <c r="C1742" s="180" t="s">
        <v>6823</v>
      </c>
      <c r="D1742" s="173" t="s">
        <v>6825</v>
      </c>
    </row>
    <row r="1743" ht="29.25" spans="1:4">
      <c r="A1743" s="180" t="s">
        <v>6827</v>
      </c>
      <c r="B1743" s="180" t="s">
        <v>6808</v>
      </c>
      <c r="C1743" s="180" t="s">
        <v>6823</v>
      </c>
      <c r="D1743" s="173" t="s">
        <v>6825</v>
      </c>
    </row>
    <row r="1744" ht="29.25" spans="1:4">
      <c r="A1744" s="180" t="s">
        <v>6828</v>
      </c>
      <c r="B1744" s="180" t="s">
        <v>6808</v>
      </c>
      <c r="C1744" s="180" t="s">
        <v>6823</v>
      </c>
      <c r="D1744" s="173" t="s">
        <v>6825</v>
      </c>
    </row>
    <row r="1745" ht="29.25" spans="1:4">
      <c r="A1745" s="180" t="s">
        <v>6829</v>
      </c>
      <c r="B1745" s="180" t="s">
        <v>6808</v>
      </c>
      <c r="C1745" s="180" t="s">
        <v>6823</v>
      </c>
      <c r="D1745" s="173" t="s">
        <v>6825</v>
      </c>
    </row>
    <row r="1746" ht="29.25" spans="1:4">
      <c r="A1746" s="180" t="s">
        <v>6830</v>
      </c>
      <c r="B1746" s="180" t="s">
        <v>6808</v>
      </c>
      <c r="C1746" s="180" t="s">
        <v>6823</v>
      </c>
      <c r="D1746" s="173" t="s">
        <v>6825</v>
      </c>
    </row>
    <row r="1747" ht="29.25" spans="1:4">
      <c r="A1747" s="180" t="s">
        <v>6831</v>
      </c>
      <c r="B1747" s="180" t="s">
        <v>6808</v>
      </c>
      <c r="C1747" s="180" t="s">
        <v>6823</v>
      </c>
      <c r="D1747" s="173" t="s">
        <v>6825</v>
      </c>
    </row>
    <row r="1748" ht="29.25" spans="1:4">
      <c r="A1748" s="180" t="s">
        <v>6832</v>
      </c>
      <c r="B1748" s="180" t="s">
        <v>6808</v>
      </c>
      <c r="C1748" s="180" t="s">
        <v>6823</v>
      </c>
      <c r="D1748" s="173" t="s">
        <v>6825</v>
      </c>
    </row>
    <row r="1749" ht="29.25" spans="1:4">
      <c r="A1749" s="180" t="s">
        <v>6833</v>
      </c>
      <c r="B1749" s="180" t="s">
        <v>6808</v>
      </c>
      <c r="C1749" s="180" t="s">
        <v>6823</v>
      </c>
      <c r="D1749" s="173" t="s">
        <v>6825</v>
      </c>
    </row>
    <row r="1750" ht="29.25" spans="1:4">
      <c r="A1750" s="180" t="s">
        <v>6834</v>
      </c>
      <c r="B1750" s="180" t="s">
        <v>6808</v>
      </c>
      <c r="C1750" s="180" t="s">
        <v>6823</v>
      </c>
      <c r="D1750" s="173" t="s">
        <v>6825</v>
      </c>
    </row>
    <row r="1751" ht="29.25" spans="1:4">
      <c r="A1751" s="180" t="s">
        <v>6835</v>
      </c>
      <c r="B1751" s="180" t="s">
        <v>6808</v>
      </c>
      <c r="C1751" s="180" t="s">
        <v>6823</v>
      </c>
      <c r="D1751" s="173" t="s">
        <v>6825</v>
      </c>
    </row>
    <row r="1752" ht="29.25" spans="1:4">
      <c r="A1752" s="180" t="s">
        <v>6836</v>
      </c>
      <c r="B1752" s="180" t="s">
        <v>6808</v>
      </c>
      <c r="C1752" s="180" t="s">
        <v>6823</v>
      </c>
      <c r="D1752" s="173" t="s">
        <v>6825</v>
      </c>
    </row>
    <row r="1753" ht="29.25" spans="1:4">
      <c r="A1753" s="180" t="s">
        <v>6837</v>
      </c>
      <c r="B1753" s="180" t="s">
        <v>6808</v>
      </c>
      <c r="C1753" s="180" t="s">
        <v>6823</v>
      </c>
      <c r="D1753" s="173" t="s">
        <v>6825</v>
      </c>
    </row>
    <row r="1754" ht="29.25" spans="1:4">
      <c r="A1754" s="180" t="s">
        <v>6838</v>
      </c>
      <c r="B1754" s="180" t="s">
        <v>6808</v>
      </c>
      <c r="C1754" s="180" t="s">
        <v>6823</v>
      </c>
      <c r="D1754" s="173" t="s">
        <v>6825</v>
      </c>
    </row>
    <row r="1755" ht="29.25" spans="1:4">
      <c r="A1755" s="180" t="s">
        <v>6839</v>
      </c>
      <c r="B1755" s="180" t="s">
        <v>6808</v>
      </c>
      <c r="C1755" s="180" t="s">
        <v>6823</v>
      </c>
      <c r="D1755" s="173" t="s">
        <v>6825</v>
      </c>
    </row>
    <row r="1756" ht="29.25" spans="1:4">
      <c r="A1756" s="180" t="s">
        <v>6840</v>
      </c>
      <c r="B1756" s="180" t="s">
        <v>6808</v>
      </c>
      <c r="C1756" s="180" t="s">
        <v>6823</v>
      </c>
      <c r="D1756" s="173" t="s">
        <v>6825</v>
      </c>
    </row>
    <row r="1757" ht="29.25" spans="1:4">
      <c r="A1757" s="180" t="s">
        <v>6841</v>
      </c>
      <c r="B1757" s="180" t="s">
        <v>6808</v>
      </c>
      <c r="C1757" s="180" t="s">
        <v>6823</v>
      </c>
      <c r="D1757" s="173" t="s">
        <v>6825</v>
      </c>
    </row>
    <row r="1758" ht="29.25" spans="1:4">
      <c r="A1758" s="180" t="s">
        <v>6842</v>
      </c>
      <c r="B1758" s="180" t="s">
        <v>6808</v>
      </c>
      <c r="C1758" s="180" t="s">
        <v>6823</v>
      </c>
      <c r="D1758" s="173" t="s">
        <v>6825</v>
      </c>
    </row>
    <row r="1759" ht="29.25" spans="1:4">
      <c r="A1759" s="180" t="s">
        <v>6843</v>
      </c>
      <c r="B1759" s="180" t="s">
        <v>6808</v>
      </c>
      <c r="C1759" s="180" t="s">
        <v>6823</v>
      </c>
      <c r="D1759" s="173" t="s">
        <v>6825</v>
      </c>
    </row>
    <row r="1760" ht="29.25" spans="1:4">
      <c r="A1760" s="180" t="s">
        <v>6844</v>
      </c>
      <c r="B1760" s="180" t="s">
        <v>6808</v>
      </c>
      <c r="C1760" s="180" t="s">
        <v>6823</v>
      </c>
      <c r="D1760" s="173" t="s">
        <v>6825</v>
      </c>
    </row>
    <row r="1761" ht="29.25" spans="1:4">
      <c r="A1761" s="180" t="s">
        <v>6845</v>
      </c>
      <c r="B1761" s="180" t="s">
        <v>6808</v>
      </c>
      <c r="C1761" s="180" t="s">
        <v>6823</v>
      </c>
      <c r="D1761" s="173" t="s">
        <v>6825</v>
      </c>
    </row>
    <row r="1762" ht="29.25" spans="1:4">
      <c r="A1762" s="180" t="s">
        <v>6846</v>
      </c>
      <c r="B1762" s="180" t="s">
        <v>6808</v>
      </c>
      <c r="C1762" s="180" t="s">
        <v>6823</v>
      </c>
      <c r="D1762" s="173" t="s">
        <v>6825</v>
      </c>
    </row>
    <row r="1763" ht="17.25" spans="1:4">
      <c r="A1763" s="180" t="s">
        <v>6847</v>
      </c>
      <c r="B1763" s="180" t="s">
        <v>6808</v>
      </c>
      <c r="C1763" s="180" t="s">
        <v>6808</v>
      </c>
      <c r="D1763" s="173" t="s">
        <v>6809</v>
      </c>
    </row>
    <row r="1764" ht="29.25" spans="1:4">
      <c r="A1764" s="180" t="s">
        <v>6848</v>
      </c>
      <c r="B1764" s="180" t="s">
        <v>6808</v>
      </c>
      <c r="C1764" s="180" t="s">
        <v>6847</v>
      </c>
      <c r="D1764" s="173" t="s">
        <v>6849</v>
      </c>
    </row>
    <row r="1765" ht="17.25" spans="1:4">
      <c r="A1765" s="180" t="s">
        <v>6850</v>
      </c>
      <c r="B1765" s="180" t="s">
        <v>6808</v>
      </c>
      <c r="C1765" s="180" t="s">
        <v>6808</v>
      </c>
      <c r="D1765" s="173" t="s">
        <v>6809</v>
      </c>
    </row>
    <row r="1766" ht="17.25" spans="1:4">
      <c r="A1766" s="180" t="s">
        <v>6851</v>
      </c>
      <c r="B1766" s="180" t="s">
        <v>6808</v>
      </c>
      <c r="C1766" s="180" t="s">
        <v>6808</v>
      </c>
      <c r="D1766" s="173" t="s">
        <v>6809</v>
      </c>
    </row>
    <row r="1767" ht="17.25" spans="1:4">
      <c r="A1767" s="180" t="s">
        <v>6852</v>
      </c>
      <c r="B1767" s="180" t="s">
        <v>6808</v>
      </c>
      <c r="C1767" s="180" t="s">
        <v>6808</v>
      </c>
      <c r="D1767" s="173" t="s">
        <v>6809</v>
      </c>
    </row>
    <row r="1768" ht="17.25" spans="1:4">
      <c r="A1768" s="180" t="s">
        <v>6853</v>
      </c>
      <c r="B1768" s="180" t="s">
        <v>6808</v>
      </c>
      <c r="C1768" s="180" t="s">
        <v>6808</v>
      </c>
      <c r="D1768" s="173" t="s">
        <v>6809</v>
      </c>
    </row>
    <row r="1769" ht="17.25" spans="1:4">
      <c r="A1769" s="180" t="s">
        <v>6854</v>
      </c>
      <c r="B1769" s="180" t="s">
        <v>6808</v>
      </c>
      <c r="C1769" s="180" t="s">
        <v>6853</v>
      </c>
      <c r="D1769" s="173" t="s">
        <v>6855</v>
      </c>
    </row>
    <row r="1770" ht="17.25" spans="1:4">
      <c r="A1770" s="180" t="s">
        <v>6856</v>
      </c>
      <c r="B1770" s="180" t="s">
        <v>6808</v>
      </c>
      <c r="C1770" s="180" t="s">
        <v>6853</v>
      </c>
      <c r="D1770" s="173" t="s">
        <v>6855</v>
      </c>
    </row>
    <row r="1771" ht="17.25" spans="1:4">
      <c r="A1771" s="180" t="s">
        <v>6857</v>
      </c>
      <c r="B1771" s="180" t="s">
        <v>6808</v>
      </c>
      <c r="C1771" s="180" t="s">
        <v>6853</v>
      </c>
      <c r="D1771" s="173" t="s">
        <v>6855</v>
      </c>
    </row>
    <row r="1772" ht="17.25" spans="1:4">
      <c r="A1772" s="180" t="s">
        <v>6858</v>
      </c>
      <c r="B1772" s="180" t="s">
        <v>6808</v>
      </c>
      <c r="C1772" s="180" t="s">
        <v>6853</v>
      </c>
      <c r="D1772" s="173" t="s">
        <v>6855</v>
      </c>
    </row>
    <row r="1773" ht="17.25" spans="1:4">
      <c r="A1773" s="180" t="s">
        <v>6859</v>
      </c>
      <c r="B1773" s="180" t="s">
        <v>6808</v>
      </c>
      <c r="C1773" s="180" t="s">
        <v>6853</v>
      </c>
      <c r="D1773" s="173" t="s">
        <v>6855</v>
      </c>
    </row>
    <row r="1774" ht="17.25" spans="1:4">
      <c r="A1774" s="180" t="s">
        <v>6860</v>
      </c>
      <c r="B1774" s="180" t="s">
        <v>6808</v>
      </c>
      <c r="C1774" s="180" t="s">
        <v>6853</v>
      </c>
      <c r="D1774" s="173" t="s">
        <v>6855</v>
      </c>
    </row>
    <row r="1775" ht="17.25" spans="1:4">
      <c r="A1775" s="180" t="s">
        <v>6861</v>
      </c>
      <c r="B1775" s="180" t="s">
        <v>6808</v>
      </c>
      <c r="C1775" s="180" t="s">
        <v>6853</v>
      </c>
      <c r="D1775" s="173" t="s">
        <v>6855</v>
      </c>
    </row>
    <row r="1776" ht="17.25" spans="1:4">
      <c r="A1776" s="180" t="s">
        <v>6862</v>
      </c>
      <c r="B1776" s="180" t="s">
        <v>6808</v>
      </c>
      <c r="C1776" s="180" t="s">
        <v>6853</v>
      </c>
      <c r="D1776" s="173" t="s">
        <v>6855</v>
      </c>
    </row>
    <row r="1777" ht="17.25" spans="1:4">
      <c r="A1777" s="182" t="s">
        <v>6863</v>
      </c>
      <c r="B1777" s="180" t="s">
        <v>6808</v>
      </c>
      <c r="C1777" s="182" t="s">
        <v>6853</v>
      </c>
      <c r="D1777" s="173" t="s">
        <v>6855</v>
      </c>
    </row>
    <row r="1778" ht="17.25" spans="1:4">
      <c r="A1778" s="180" t="s">
        <v>6864</v>
      </c>
      <c r="B1778" s="180" t="s">
        <v>6808</v>
      </c>
      <c r="C1778" s="180" t="s">
        <v>6853</v>
      </c>
      <c r="D1778" s="173" t="s">
        <v>6855</v>
      </c>
    </row>
    <row r="1779" ht="17.25" spans="1:4">
      <c r="A1779" s="180" t="s">
        <v>6865</v>
      </c>
      <c r="B1779" s="180" t="s">
        <v>6808</v>
      </c>
      <c r="C1779" s="180" t="s">
        <v>6853</v>
      </c>
      <c r="D1779" s="173" t="s">
        <v>6855</v>
      </c>
    </row>
    <row r="1780" ht="17.25" spans="1:4">
      <c r="A1780" s="180" t="s">
        <v>6866</v>
      </c>
      <c r="B1780" s="180" t="s">
        <v>6808</v>
      </c>
      <c r="C1780" s="180" t="s">
        <v>6853</v>
      </c>
      <c r="D1780" s="173" t="s">
        <v>6855</v>
      </c>
    </row>
    <row r="1781" ht="17.25" spans="1:4">
      <c r="A1781" s="180" t="s">
        <v>6867</v>
      </c>
      <c r="B1781" s="180" t="s">
        <v>6808</v>
      </c>
      <c r="C1781" s="180" t="s">
        <v>6853</v>
      </c>
      <c r="D1781" s="173" t="s">
        <v>6855</v>
      </c>
    </row>
    <row r="1782" ht="17.25" spans="1:4">
      <c r="A1782" s="180" t="s">
        <v>6868</v>
      </c>
      <c r="B1782" s="180" t="s">
        <v>6808</v>
      </c>
      <c r="C1782" s="180" t="s">
        <v>6853</v>
      </c>
      <c r="D1782" s="173" t="s">
        <v>6855</v>
      </c>
    </row>
    <row r="1783" ht="17.25" spans="1:4">
      <c r="A1783" s="180" t="s">
        <v>6869</v>
      </c>
      <c r="B1783" s="180" t="s">
        <v>6808</v>
      </c>
      <c r="C1783" s="180" t="s">
        <v>6853</v>
      </c>
      <c r="D1783" s="173" t="s">
        <v>6855</v>
      </c>
    </row>
    <row r="1784" ht="17.25" spans="1:4">
      <c r="A1784" s="180" t="s">
        <v>6870</v>
      </c>
      <c r="B1784" s="180" t="s">
        <v>6808</v>
      </c>
      <c r="C1784" s="180" t="s">
        <v>6808</v>
      </c>
      <c r="D1784" s="173" t="s">
        <v>6809</v>
      </c>
    </row>
    <row r="1785" ht="17.25" spans="1:4">
      <c r="A1785" s="180" t="s">
        <v>6871</v>
      </c>
      <c r="B1785" s="180" t="s">
        <v>6808</v>
      </c>
      <c r="C1785" s="180" t="s">
        <v>6870</v>
      </c>
      <c r="D1785" s="173" t="s">
        <v>6872</v>
      </c>
    </row>
    <row r="1786" ht="17.25" spans="1:4">
      <c r="A1786" s="180" t="s">
        <v>6873</v>
      </c>
      <c r="B1786" s="180" t="s">
        <v>6808</v>
      </c>
      <c r="C1786" s="180" t="s">
        <v>6808</v>
      </c>
      <c r="D1786" s="173" t="s">
        <v>6809</v>
      </c>
    </row>
    <row r="1787" ht="17.25" spans="1:4">
      <c r="A1787" s="180" t="s">
        <v>6874</v>
      </c>
      <c r="B1787" s="180" t="s">
        <v>6808</v>
      </c>
      <c r="C1787" s="180" t="s">
        <v>6808</v>
      </c>
      <c r="D1787" s="173" t="s">
        <v>6809</v>
      </c>
    </row>
    <row r="1788" ht="17.25" spans="1:4">
      <c r="A1788" s="180" t="s">
        <v>6875</v>
      </c>
      <c r="B1788" s="180" t="s">
        <v>6808</v>
      </c>
      <c r="C1788" s="180" t="s">
        <v>6808</v>
      </c>
      <c r="D1788" s="173" t="s">
        <v>6809</v>
      </c>
    </row>
    <row r="1789" ht="29.25" spans="1:4">
      <c r="A1789" s="180" t="s">
        <v>6876</v>
      </c>
      <c r="B1789" s="180" t="s">
        <v>6808</v>
      </c>
      <c r="C1789" s="180" t="s">
        <v>6875</v>
      </c>
      <c r="D1789" s="173" t="s">
        <v>6877</v>
      </c>
    </row>
    <row r="1790" ht="29.25" spans="1:4">
      <c r="A1790" s="180" t="s">
        <v>6878</v>
      </c>
      <c r="B1790" s="180" t="s">
        <v>6808</v>
      </c>
      <c r="C1790" s="180" t="s">
        <v>6875</v>
      </c>
      <c r="D1790" s="173" t="s">
        <v>6877</v>
      </c>
    </row>
    <row r="1791" ht="29.25" spans="1:4">
      <c r="A1791" s="180" t="s">
        <v>6879</v>
      </c>
      <c r="B1791" s="180" t="s">
        <v>6808</v>
      </c>
      <c r="C1791" s="180" t="s">
        <v>6875</v>
      </c>
      <c r="D1791" s="173" t="s">
        <v>6877</v>
      </c>
    </row>
    <row r="1792" ht="29.25" spans="1:4">
      <c r="A1792" s="180" t="s">
        <v>6880</v>
      </c>
      <c r="B1792" s="180" t="s">
        <v>6808</v>
      </c>
      <c r="C1792" s="180" t="s">
        <v>6875</v>
      </c>
      <c r="D1792" s="173" t="s">
        <v>6877</v>
      </c>
    </row>
    <row r="1793" ht="29.25" spans="1:4">
      <c r="A1793" s="180" t="s">
        <v>6881</v>
      </c>
      <c r="B1793" s="180" t="s">
        <v>6808</v>
      </c>
      <c r="C1793" s="180" t="s">
        <v>6875</v>
      </c>
      <c r="D1793" s="173" t="s">
        <v>6877</v>
      </c>
    </row>
    <row r="1794" ht="29.25" spans="1:4">
      <c r="A1794" s="180" t="s">
        <v>6882</v>
      </c>
      <c r="B1794" s="180" t="s">
        <v>6808</v>
      </c>
      <c r="C1794" s="180" t="s">
        <v>6875</v>
      </c>
      <c r="D1794" s="173" t="s">
        <v>6877</v>
      </c>
    </row>
    <row r="1795" ht="29.25" spans="1:4">
      <c r="A1795" s="180" t="s">
        <v>6883</v>
      </c>
      <c r="B1795" s="180" t="s">
        <v>6808</v>
      </c>
      <c r="C1795" s="180" t="s">
        <v>6875</v>
      </c>
      <c r="D1795" s="173" t="s">
        <v>6877</v>
      </c>
    </row>
    <row r="1796" ht="29.25" spans="1:4">
      <c r="A1796" s="180" t="s">
        <v>6884</v>
      </c>
      <c r="B1796" s="180" t="s">
        <v>6808</v>
      </c>
      <c r="C1796" s="180" t="s">
        <v>6875</v>
      </c>
      <c r="D1796" s="173" t="s">
        <v>6877</v>
      </c>
    </row>
    <row r="1797" ht="29.25" spans="1:4">
      <c r="A1797" s="180" t="s">
        <v>6885</v>
      </c>
      <c r="B1797" s="180" t="s">
        <v>6808</v>
      </c>
      <c r="C1797" s="180" t="s">
        <v>6875</v>
      </c>
      <c r="D1797" s="173" t="s">
        <v>6877</v>
      </c>
    </row>
    <row r="1798" ht="29.25" spans="1:4">
      <c r="A1798" s="180" t="s">
        <v>6886</v>
      </c>
      <c r="B1798" s="180" t="s">
        <v>6808</v>
      </c>
      <c r="C1798" s="180" t="s">
        <v>6875</v>
      </c>
      <c r="D1798" s="173" t="s">
        <v>6877</v>
      </c>
    </row>
    <row r="1799" ht="17.25" spans="1:4">
      <c r="A1799" s="180" t="s">
        <v>6887</v>
      </c>
      <c r="B1799" s="180" t="s">
        <v>6808</v>
      </c>
      <c r="C1799" s="180" t="s">
        <v>6808</v>
      </c>
      <c r="D1799" s="173" t="s">
        <v>6809</v>
      </c>
    </row>
    <row r="1800" ht="17.25" spans="1:4">
      <c r="A1800" s="180" t="s">
        <v>6888</v>
      </c>
      <c r="B1800" s="180" t="s">
        <v>6808</v>
      </c>
      <c r="C1800" s="180" t="s">
        <v>6808</v>
      </c>
      <c r="D1800" s="173" t="s">
        <v>6809</v>
      </c>
    </row>
    <row r="1801" ht="17.25" spans="1:4">
      <c r="A1801" s="180" t="s">
        <v>6889</v>
      </c>
      <c r="B1801" s="180" t="s">
        <v>6808</v>
      </c>
      <c r="C1801" s="180" t="s">
        <v>6808</v>
      </c>
      <c r="D1801" s="173" t="s">
        <v>6809</v>
      </c>
    </row>
    <row r="1802" ht="17.25" spans="1:4">
      <c r="A1802" s="180" t="s">
        <v>6890</v>
      </c>
      <c r="B1802" s="180" t="s">
        <v>6808</v>
      </c>
      <c r="C1802" s="180" t="s">
        <v>6808</v>
      </c>
      <c r="D1802" s="173" t="s">
        <v>6809</v>
      </c>
    </row>
    <row r="1803" ht="17.25" spans="1:4">
      <c r="A1803" s="180" t="s">
        <v>6891</v>
      </c>
      <c r="B1803" s="180" t="s">
        <v>6808</v>
      </c>
      <c r="C1803" s="180" t="s">
        <v>6808</v>
      </c>
      <c r="D1803" s="173" t="s">
        <v>6809</v>
      </c>
    </row>
    <row r="1804" ht="17.25" spans="1:4">
      <c r="A1804" s="180" t="s">
        <v>6892</v>
      </c>
      <c r="B1804" s="180" t="s">
        <v>6808</v>
      </c>
      <c r="C1804" s="180" t="s">
        <v>6808</v>
      </c>
      <c r="D1804" s="173" t="s">
        <v>6809</v>
      </c>
    </row>
    <row r="1805" ht="17.25" spans="1:4">
      <c r="A1805" s="180" t="s">
        <v>6893</v>
      </c>
      <c r="B1805" s="180" t="s">
        <v>6808</v>
      </c>
      <c r="C1805" s="180" t="s">
        <v>6808</v>
      </c>
      <c r="D1805" s="173" t="s">
        <v>6809</v>
      </c>
    </row>
    <row r="1806" ht="17.25" spans="1:4">
      <c r="A1806" s="180" t="s">
        <v>6894</v>
      </c>
      <c r="B1806" s="180" t="s">
        <v>6808</v>
      </c>
      <c r="C1806" s="180" t="s">
        <v>6808</v>
      </c>
      <c r="D1806" s="173" t="s">
        <v>6809</v>
      </c>
    </row>
    <row r="1807" ht="29.25" spans="1:4">
      <c r="A1807" s="180" t="s">
        <v>6895</v>
      </c>
      <c r="B1807" s="180" t="s">
        <v>6808</v>
      </c>
      <c r="C1807" s="180" t="s">
        <v>6894</v>
      </c>
      <c r="D1807" s="173" t="s">
        <v>6896</v>
      </c>
    </row>
    <row r="1808" ht="29.25" spans="1:4">
      <c r="A1808" s="180" t="s">
        <v>6897</v>
      </c>
      <c r="B1808" s="180" t="s">
        <v>6808</v>
      </c>
      <c r="C1808" s="180" t="s">
        <v>6894</v>
      </c>
      <c r="D1808" s="173" t="s">
        <v>6896</v>
      </c>
    </row>
    <row r="1809" ht="29.25" spans="1:4">
      <c r="A1809" s="180" t="s">
        <v>6898</v>
      </c>
      <c r="B1809" s="180" t="s">
        <v>6808</v>
      </c>
      <c r="C1809" s="180" t="s">
        <v>6894</v>
      </c>
      <c r="D1809" s="173" t="s">
        <v>6896</v>
      </c>
    </row>
    <row r="1810" ht="29.25" spans="1:4">
      <c r="A1810" s="180" t="s">
        <v>6899</v>
      </c>
      <c r="B1810" s="180" t="s">
        <v>6808</v>
      </c>
      <c r="C1810" s="180" t="s">
        <v>6894</v>
      </c>
      <c r="D1810" s="173" t="s">
        <v>6896</v>
      </c>
    </row>
    <row r="1811" ht="29.25" spans="1:4">
      <c r="A1811" s="180" t="s">
        <v>6900</v>
      </c>
      <c r="B1811" s="180" t="s">
        <v>6808</v>
      </c>
      <c r="C1811" s="180" t="s">
        <v>6894</v>
      </c>
      <c r="D1811" s="173" t="s">
        <v>6896</v>
      </c>
    </row>
    <row r="1812" ht="29.25" spans="1:4">
      <c r="A1812" s="180" t="s">
        <v>6901</v>
      </c>
      <c r="B1812" s="180" t="s">
        <v>6808</v>
      </c>
      <c r="C1812" s="180" t="s">
        <v>6894</v>
      </c>
      <c r="D1812" s="173" t="s">
        <v>6896</v>
      </c>
    </row>
    <row r="1813" ht="17.25" spans="1:4">
      <c r="A1813" s="180" t="s">
        <v>6902</v>
      </c>
      <c r="B1813" s="180" t="s">
        <v>6808</v>
      </c>
      <c r="C1813" s="180" t="s">
        <v>6808</v>
      </c>
      <c r="D1813" s="173" t="s">
        <v>6809</v>
      </c>
    </row>
    <row r="1814" ht="17.25" spans="1:4">
      <c r="A1814" s="180" t="s">
        <v>6903</v>
      </c>
      <c r="B1814" s="180" t="s">
        <v>6808</v>
      </c>
      <c r="C1814" s="180" t="s">
        <v>6808</v>
      </c>
      <c r="D1814" s="173" t="s">
        <v>6809</v>
      </c>
    </row>
    <row r="1815" ht="29.25" spans="1:4">
      <c r="A1815" s="180" t="s">
        <v>6904</v>
      </c>
      <c r="B1815" s="180" t="s">
        <v>6808</v>
      </c>
      <c r="C1815" s="180" t="s">
        <v>6903</v>
      </c>
      <c r="D1815" s="173" t="s">
        <v>6905</v>
      </c>
    </row>
    <row r="1816" ht="29.25" spans="1:4">
      <c r="A1816" s="180" t="s">
        <v>6906</v>
      </c>
      <c r="B1816" s="180" t="s">
        <v>6808</v>
      </c>
      <c r="C1816" s="180" t="s">
        <v>6903</v>
      </c>
      <c r="D1816" s="173" t="s">
        <v>6905</v>
      </c>
    </row>
    <row r="1817" ht="29.25" spans="1:4">
      <c r="A1817" s="180" t="s">
        <v>6907</v>
      </c>
      <c r="B1817" s="180" t="s">
        <v>6808</v>
      </c>
      <c r="C1817" s="180" t="s">
        <v>6903</v>
      </c>
      <c r="D1817" s="173" t="s">
        <v>6905</v>
      </c>
    </row>
    <row r="1818" ht="29.25" spans="1:4">
      <c r="A1818" s="180" t="s">
        <v>6908</v>
      </c>
      <c r="B1818" s="180" t="s">
        <v>6808</v>
      </c>
      <c r="C1818" s="180" t="s">
        <v>6903</v>
      </c>
      <c r="D1818" s="173" t="s">
        <v>6905</v>
      </c>
    </row>
    <row r="1819" ht="29.25" spans="1:4">
      <c r="A1819" s="180" t="s">
        <v>6909</v>
      </c>
      <c r="B1819" s="180" t="s">
        <v>6808</v>
      </c>
      <c r="C1819" s="180" t="s">
        <v>6903</v>
      </c>
      <c r="D1819" s="173" t="s">
        <v>6905</v>
      </c>
    </row>
    <row r="1820" ht="29.25" spans="1:4">
      <c r="A1820" s="180" t="s">
        <v>6910</v>
      </c>
      <c r="B1820" s="180" t="s">
        <v>6808</v>
      </c>
      <c r="C1820" s="180" t="s">
        <v>6903</v>
      </c>
      <c r="D1820" s="173" t="s">
        <v>6905</v>
      </c>
    </row>
    <row r="1821" ht="29.25" spans="1:4">
      <c r="A1821" s="180" t="s">
        <v>6911</v>
      </c>
      <c r="B1821" s="180" t="s">
        <v>6808</v>
      </c>
      <c r="C1821" s="180" t="s">
        <v>6903</v>
      </c>
      <c r="D1821" s="173" t="s">
        <v>6905</v>
      </c>
    </row>
    <row r="1822" ht="29.25" spans="1:4">
      <c r="A1822" s="180" t="s">
        <v>6912</v>
      </c>
      <c r="B1822" s="180" t="s">
        <v>6808</v>
      </c>
      <c r="C1822" s="180" t="s">
        <v>6903</v>
      </c>
      <c r="D1822" s="173" t="s">
        <v>6905</v>
      </c>
    </row>
    <row r="1823" ht="29.25" spans="1:4">
      <c r="A1823" s="180" t="s">
        <v>6913</v>
      </c>
      <c r="B1823" s="180" t="s">
        <v>6808</v>
      </c>
      <c r="C1823" s="180" t="s">
        <v>6903</v>
      </c>
      <c r="D1823" s="173" t="s">
        <v>6905</v>
      </c>
    </row>
    <row r="1824" ht="29.25" spans="1:4">
      <c r="A1824" s="180" t="s">
        <v>6914</v>
      </c>
      <c r="B1824" s="180" t="s">
        <v>6808</v>
      </c>
      <c r="C1824" s="180" t="s">
        <v>6903</v>
      </c>
      <c r="D1824" s="173" t="s">
        <v>6905</v>
      </c>
    </row>
    <row r="1825" ht="17.25" spans="1:4">
      <c r="A1825" s="180" t="s">
        <v>6915</v>
      </c>
      <c r="B1825" s="180" t="s">
        <v>6808</v>
      </c>
      <c r="C1825" s="180" t="s">
        <v>6808</v>
      </c>
      <c r="D1825" s="173" t="s">
        <v>6809</v>
      </c>
    </row>
    <row r="1826" ht="17.25" spans="1:4">
      <c r="A1826" s="173" t="s">
        <v>6916</v>
      </c>
      <c r="B1826" s="180" t="s">
        <v>6808</v>
      </c>
      <c r="C1826" s="181" t="s">
        <v>6808</v>
      </c>
      <c r="D1826" s="173" t="s">
        <v>6809</v>
      </c>
    </row>
    <row r="1827" ht="17.25" spans="1:4">
      <c r="A1827" s="180" t="s">
        <v>6917</v>
      </c>
      <c r="B1827" s="173" t="s">
        <v>4840</v>
      </c>
      <c r="C1827" s="181" t="s">
        <v>4841</v>
      </c>
      <c r="D1827" s="173" t="s">
        <v>4842</v>
      </c>
    </row>
    <row r="1828" ht="17.25" spans="1:4">
      <c r="A1828" s="180" t="s">
        <v>6918</v>
      </c>
      <c r="B1828" s="173" t="s">
        <v>4840</v>
      </c>
      <c r="C1828" s="181" t="s">
        <v>4841</v>
      </c>
      <c r="D1828" s="173" t="s">
        <v>4842</v>
      </c>
    </row>
    <row r="1829" ht="17.25" spans="1:4">
      <c r="A1829" s="180" t="s">
        <v>6919</v>
      </c>
      <c r="B1829" s="173" t="s">
        <v>4840</v>
      </c>
      <c r="C1829" s="181" t="s">
        <v>4841</v>
      </c>
      <c r="D1829" s="173" t="s">
        <v>4842</v>
      </c>
    </row>
    <row r="1830" ht="17.25" spans="1:4">
      <c r="A1830" s="180" t="s">
        <v>6920</v>
      </c>
      <c r="B1830" s="173" t="s">
        <v>4840</v>
      </c>
      <c r="C1830" s="181" t="s">
        <v>4841</v>
      </c>
      <c r="D1830" s="173" t="s">
        <v>4842</v>
      </c>
    </row>
    <row r="1831" ht="17.25" spans="1:4">
      <c r="A1831" s="180" t="s">
        <v>6921</v>
      </c>
      <c r="B1831" s="173" t="s">
        <v>4840</v>
      </c>
      <c r="C1831" s="181" t="s">
        <v>4841</v>
      </c>
      <c r="D1831" s="173" t="s">
        <v>4842</v>
      </c>
    </row>
    <row r="1832" ht="17.25" spans="1:4">
      <c r="A1832" s="180" t="s">
        <v>6922</v>
      </c>
      <c r="B1832" s="173" t="s">
        <v>4840</v>
      </c>
      <c r="C1832" s="181" t="s">
        <v>4841</v>
      </c>
      <c r="D1832" s="173" t="s">
        <v>4842</v>
      </c>
    </row>
    <row r="1833" ht="17.25" spans="1:4">
      <c r="A1833" s="180" t="s">
        <v>6923</v>
      </c>
      <c r="B1833" s="173" t="s">
        <v>4840</v>
      </c>
      <c r="C1833" s="181" t="s">
        <v>4841</v>
      </c>
      <c r="D1833" s="173" t="s">
        <v>4842</v>
      </c>
    </row>
    <row r="1834" ht="17.25" spans="1:4">
      <c r="A1834" s="180" t="s">
        <v>6924</v>
      </c>
      <c r="B1834" s="173" t="s">
        <v>4840</v>
      </c>
      <c r="C1834" s="181" t="s">
        <v>4841</v>
      </c>
      <c r="D1834" s="173" t="s">
        <v>4842</v>
      </c>
    </row>
    <row r="1835" ht="17.25" spans="1:4">
      <c r="A1835" s="180" t="s">
        <v>6925</v>
      </c>
      <c r="B1835" s="173" t="s">
        <v>4840</v>
      </c>
      <c r="C1835" s="181" t="s">
        <v>4841</v>
      </c>
      <c r="D1835" s="173" t="s">
        <v>4842</v>
      </c>
    </row>
    <row r="1836" ht="17.25" spans="1:4">
      <c r="A1836" s="180" t="s">
        <v>6926</v>
      </c>
      <c r="B1836" s="173" t="s">
        <v>6926</v>
      </c>
      <c r="C1836" s="181" t="s">
        <v>4841</v>
      </c>
      <c r="D1836" s="173" t="s">
        <v>6927</v>
      </c>
    </row>
    <row r="1837" ht="17.25" spans="1:4">
      <c r="A1837" s="180" t="s">
        <v>6928</v>
      </c>
      <c r="B1837" s="180" t="s">
        <v>6928</v>
      </c>
      <c r="C1837" s="181" t="s">
        <v>6234</v>
      </c>
      <c r="D1837" s="173" t="s">
        <v>6929</v>
      </c>
    </row>
    <row r="1838" ht="17.25" spans="1:4">
      <c r="A1838" s="180" t="s">
        <v>6930</v>
      </c>
      <c r="B1838" s="180" t="s">
        <v>6928</v>
      </c>
      <c r="C1838" s="181" t="s">
        <v>6234</v>
      </c>
      <c r="D1838" s="173" t="s">
        <v>6929</v>
      </c>
    </row>
    <row r="1839" ht="17.25" spans="1:4">
      <c r="A1839" s="180" t="s">
        <v>6931</v>
      </c>
      <c r="B1839" s="180" t="s">
        <v>6928</v>
      </c>
      <c r="C1839" s="173" t="s">
        <v>6234</v>
      </c>
      <c r="D1839" s="173" t="s">
        <v>6929</v>
      </c>
    </row>
    <row r="1840" ht="17.25" spans="1:4">
      <c r="A1840" s="180" t="s">
        <v>6932</v>
      </c>
      <c r="B1840" s="180" t="s">
        <v>6928</v>
      </c>
      <c r="C1840" s="173" t="s">
        <v>6234</v>
      </c>
      <c r="D1840" s="173" t="s">
        <v>6929</v>
      </c>
    </row>
    <row r="1841" ht="17.25" spans="1:4">
      <c r="A1841" s="180" t="s">
        <v>6933</v>
      </c>
      <c r="B1841" s="180" t="s">
        <v>6928</v>
      </c>
      <c r="C1841" s="173" t="s">
        <v>6234</v>
      </c>
      <c r="D1841" s="173" t="s">
        <v>6929</v>
      </c>
    </row>
    <row r="1842" ht="17.25" spans="1:4">
      <c r="A1842" s="180" t="s">
        <v>6934</v>
      </c>
      <c r="B1842" s="180" t="s">
        <v>6928</v>
      </c>
      <c r="C1842" s="173" t="s">
        <v>6234</v>
      </c>
      <c r="D1842" s="173" t="s">
        <v>6929</v>
      </c>
    </row>
    <row r="1843" ht="17.25" spans="1:4">
      <c r="A1843" s="180" t="s">
        <v>6935</v>
      </c>
      <c r="B1843" s="180" t="s">
        <v>6928</v>
      </c>
      <c r="C1843" s="173" t="s">
        <v>6234</v>
      </c>
      <c r="D1843" s="173" t="s">
        <v>6929</v>
      </c>
    </row>
    <row r="1844" ht="17.25" spans="1:4">
      <c r="A1844" s="180" t="s">
        <v>6936</v>
      </c>
      <c r="B1844" s="180" t="s">
        <v>6936</v>
      </c>
      <c r="C1844" s="173" t="s">
        <v>4838</v>
      </c>
      <c r="D1844" s="173" t="s">
        <v>4838</v>
      </c>
    </row>
    <row r="1845" ht="17.25" spans="1:4">
      <c r="A1845" s="180" t="s">
        <v>6937</v>
      </c>
      <c r="B1845" s="180" t="s">
        <v>4840</v>
      </c>
      <c r="C1845" s="173" t="s">
        <v>4841</v>
      </c>
      <c r="D1845" s="173" t="s">
        <v>4842</v>
      </c>
    </row>
    <row r="1846" ht="17.25" spans="1:4">
      <c r="A1846" s="173" t="s">
        <v>6938</v>
      </c>
      <c r="B1846" s="173" t="s">
        <v>4840</v>
      </c>
      <c r="C1846" s="173" t="s">
        <v>4841</v>
      </c>
      <c r="D1846" s="173" t="s">
        <v>4842</v>
      </c>
    </row>
    <row r="1847" ht="17.25" spans="1:4">
      <c r="A1847" s="180" t="s">
        <v>6939</v>
      </c>
      <c r="B1847" s="173" t="s">
        <v>4840</v>
      </c>
      <c r="C1847" s="173" t="s">
        <v>4841</v>
      </c>
      <c r="D1847" s="173" t="s">
        <v>4842</v>
      </c>
    </row>
    <row r="1848" ht="16.5" spans="1:4">
      <c r="A1848" s="173" t="s">
        <v>6940</v>
      </c>
      <c r="B1848" s="173" t="s">
        <v>4840</v>
      </c>
      <c r="C1848" s="173" t="s">
        <v>4841</v>
      </c>
      <c r="D1848" s="173" t="s">
        <v>4842</v>
      </c>
    </row>
    <row r="1849" ht="17.25" spans="1:4">
      <c r="A1849" s="173" t="s">
        <v>116</v>
      </c>
      <c r="B1849" s="173" t="s">
        <v>4840</v>
      </c>
      <c r="C1849" s="173" t="s">
        <v>4841</v>
      </c>
      <c r="D1849" s="173" t="s">
        <v>4842</v>
      </c>
    </row>
    <row r="1850" ht="17.25" spans="1:4">
      <c r="A1850" s="180" t="s">
        <v>6941</v>
      </c>
      <c r="B1850" s="173" t="s">
        <v>4840</v>
      </c>
      <c r="C1850" s="173" t="s">
        <v>4841</v>
      </c>
      <c r="D1850" s="173" t="s">
        <v>4842</v>
      </c>
    </row>
    <row r="1851" ht="17.25" spans="1:4">
      <c r="A1851" s="180" t="s">
        <v>6942</v>
      </c>
      <c r="B1851" s="173" t="s">
        <v>4840</v>
      </c>
      <c r="C1851" s="173" t="s">
        <v>4841</v>
      </c>
      <c r="D1851" s="173" t="s">
        <v>4842</v>
      </c>
    </row>
    <row r="1852" ht="17.25" spans="1:4">
      <c r="A1852" s="180" t="s">
        <v>6943</v>
      </c>
      <c r="B1852" s="173" t="s">
        <v>4840</v>
      </c>
      <c r="C1852" s="173" t="s">
        <v>4841</v>
      </c>
      <c r="D1852" s="173" t="s">
        <v>4842</v>
      </c>
    </row>
    <row r="1853" ht="16.5" spans="1:4">
      <c r="A1853" s="173" t="s">
        <v>6944</v>
      </c>
      <c r="B1853" s="173" t="s">
        <v>4840</v>
      </c>
      <c r="C1853" s="173" t="s">
        <v>4841</v>
      </c>
      <c r="D1853" s="173" t="s">
        <v>4842</v>
      </c>
    </row>
    <row r="1854" ht="16.5" spans="1:4">
      <c r="A1854" s="173" t="s">
        <v>6945</v>
      </c>
      <c r="B1854" s="173" t="s">
        <v>4840</v>
      </c>
      <c r="C1854" s="173" t="s">
        <v>4841</v>
      </c>
      <c r="D1854" s="173" t="s">
        <v>4842</v>
      </c>
    </row>
    <row r="1855" ht="17.25" spans="1:4">
      <c r="A1855" s="173" t="s">
        <v>6946</v>
      </c>
      <c r="B1855" s="173" t="s">
        <v>4840</v>
      </c>
      <c r="C1855" s="173" t="s">
        <v>4841</v>
      </c>
      <c r="D1855" s="173" t="s">
        <v>4842</v>
      </c>
    </row>
    <row r="1856" ht="17.25" spans="1:4">
      <c r="A1856" s="180" t="s">
        <v>6947</v>
      </c>
      <c r="B1856" s="173" t="s">
        <v>4795</v>
      </c>
      <c r="C1856" s="173" t="s">
        <v>4796</v>
      </c>
      <c r="D1856" s="173" t="s">
        <v>4797</v>
      </c>
    </row>
    <row r="1857" ht="17.25" spans="1:4">
      <c r="A1857" s="180" t="s">
        <v>6948</v>
      </c>
      <c r="B1857" s="173" t="s">
        <v>4840</v>
      </c>
      <c r="C1857" s="173" t="s">
        <v>4841</v>
      </c>
      <c r="D1857" s="173" t="s">
        <v>4842</v>
      </c>
    </row>
    <row r="1858" ht="17.25" spans="1:4">
      <c r="A1858" s="180" t="s">
        <v>6949</v>
      </c>
      <c r="B1858" s="180" t="s">
        <v>4840</v>
      </c>
      <c r="C1858" s="173" t="s">
        <v>4841</v>
      </c>
      <c r="D1858" s="173" t="s">
        <v>4842</v>
      </c>
    </row>
    <row r="1859" ht="17.25" spans="1:4">
      <c r="A1859" s="180" t="s">
        <v>6950</v>
      </c>
      <c r="B1859" s="180" t="s">
        <v>4840</v>
      </c>
      <c r="C1859" s="173" t="s">
        <v>4841</v>
      </c>
      <c r="D1859" s="173" t="s">
        <v>4842</v>
      </c>
    </row>
    <row r="1860" ht="17.25" spans="1:4">
      <c r="A1860" s="180" t="s">
        <v>6951</v>
      </c>
      <c r="B1860" s="180" t="s">
        <v>4840</v>
      </c>
      <c r="C1860" s="173" t="s">
        <v>4841</v>
      </c>
      <c r="D1860" s="173" t="s">
        <v>4842</v>
      </c>
    </row>
    <row r="1861" ht="17.25" spans="1:4">
      <c r="A1861" s="180" t="s">
        <v>6952</v>
      </c>
      <c r="B1861" s="180" t="s">
        <v>4840</v>
      </c>
      <c r="C1861" s="173" t="s">
        <v>4841</v>
      </c>
      <c r="D1861" s="173" t="s">
        <v>4842</v>
      </c>
    </row>
    <row r="1862" ht="17.25" spans="1:4">
      <c r="A1862" s="180" t="s">
        <v>4717</v>
      </c>
      <c r="B1862" s="180" t="s">
        <v>4840</v>
      </c>
      <c r="C1862" s="173" t="s">
        <v>4841</v>
      </c>
      <c r="D1862" s="173" t="s">
        <v>4842</v>
      </c>
    </row>
    <row r="1863" ht="17.25" spans="1:4">
      <c r="A1863" s="180" t="s">
        <v>6953</v>
      </c>
      <c r="B1863" s="180" t="s">
        <v>4840</v>
      </c>
      <c r="C1863" s="173" t="s">
        <v>4841</v>
      </c>
      <c r="D1863" s="173" t="s">
        <v>4842</v>
      </c>
    </row>
    <row r="1864" ht="17.25" spans="1:4">
      <c r="A1864" s="180" t="s">
        <v>6954</v>
      </c>
      <c r="B1864" s="180" t="s">
        <v>4840</v>
      </c>
      <c r="C1864" s="173" t="s">
        <v>4841</v>
      </c>
      <c r="D1864" s="173" t="s">
        <v>4842</v>
      </c>
    </row>
    <row r="1865" ht="17.25" spans="1:4">
      <c r="A1865" s="180" t="s">
        <v>6955</v>
      </c>
      <c r="B1865" s="180" t="s">
        <v>4840</v>
      </c>
      <c r="C1865" s="173" t="s">
        <v>4841</v>
      </c>
      <c r="D1865" s="173" t="s">
        <v>4842</v>
      </c>
    </row>
    <row r="1866" ht="17.25" spans="1:4">
      <c r="A1866" s="180" t="s">
        <v>6956</v>
      </c>
      <c r="B1866" s="180" t="s">
        <v>4840</v>
      </c>
      <c r="C1866" s="173" t="s">
        <v>4841</v>
      </c>
      <c r="D1866" s="173" t="s">
        <v>4842</v>
      </c>
    </row>
    <row r="1867" ht="17.25" spans="1:4">
      <c r="A1867" s="180" t="s">
        <v>6957</v>
      </c>
      <c r="B1867" s="180" t="s">
        <v>4840</v>
      </c>
      <c r="C1867" s="173" t="s">
        <v>4841</v>
      </c>
      <c r="D1867" s="173" t="s">
        <v>4842</v>
      </c>
    </row>
    <row r="1868" ht="17.25" spans="1:4">
      <c r="A1868" s="180" t="s">
        <v>6958</v>
      </c>
      <c r="B1868" s="180" t="s">
        <v>4840</v>
      </c>
      <c r="C1868" s="173" t="s">
        <v>4841</v>
      </c>
      <c r="D1868" s="173" t="s">
        <v>4842</v>
      </c>
    </row>
    <row r="1869" ht="17.25" spans="1:4">
      <c r="A1869" s="180" t="s">
        <v>6959</v>
      </c>
      <c r="B1869" s="180" t="s">
        <v>4840</v>
      </c>
      <c r="C1869" s="173" t="s">
        <v>4841</v>
      </c>
      <c r="D1869" s="173" t="s">
        <v>4842</v>
      </c>
    </row>
    <row r="1870" ht="17.25" spans="1:4">
      <c r="A1870" s="180" t="s">
        <v>6960</v>
      </c>
      <c r="B1870" s="180" t="s">
        <v>4840</v>
      </c>
      <c r="C1870" s="173" t="s">
        <v>4841</v>
      </c>
      <c r="D1870" s="173" t="s">
        <v>4842</v>
      </c>
    </row>
    <row r="1871" ht="17.25" spans="1:4">
      <c r="A1871" s="180" t="s">
        <v>6961</v>
      </c>
      <c r="B1871" s="180" t="s">
        <v>4840</v>
      </c>
      <c r="C1871" s="173" t="s">
        <v>4841</v>
      </c>
      <c r="D1871" s="173" t="s">
        <v>4842</v>
      </c>
    </row>
    <row r="1872" ht="17.25" spans="1:4">
      <c r="A1872" s="180" t="s">
        <v>6962</v>
      </c>
      <c r="B1872" s="180" t="s">
        <v>4840</v>
      </c>
      <c r="C1872" s="173" t="s">
        <v>4841</v>
      </c>
      <c r="D1872" s="173" t="s">
        <v>4842</v>
      </c>
    </row>
    <row r="1873" ht="17.25" spans="1:4">
      <c r="A1873" s="180" t="s">
        <v>6963</v>
      </c>
      <c r="B1873" s="180" t="s">
        <v>4840</v>
      </c>
      <c r="C1873" s="173" t="s">
        <v>4841</v>
      </c>
      <c r="D1873" s="173" t="s">
        <v>4842</v>
      </c>
    </row>
    <row r="1874" ht="17.25" spans="1:4">
      <c r="A1874" s="180" t="s">
        <v>6964</v>
      </c>
      <c r="B1874" s="180" t="s">
        <v>4840</v>
      </c>
      <c r="C1874" s="173" t="s">
        <v>4841</v>
      </c>
      <c r="D1874" s="173" t="s">
        <v>4842</v>
      </c>
    </row>
    <row r="1875" ht="17.25" spans="1:4">
      <c r="A1875" s="180" t="s">
        <v>6965</v>
      </c>
      <c r="B1875" s="180" t="s">
        <v>4840</v>
      </c>
      <c r="C1875" s="173" t="s">
        <v>4841</v>
      </c>
      <c r="D1875" s="173" t="s">
        <v>4842</v>
      </c>
    </row>
    <row r="1876" ht="17.25" spans="1:4">
      <c r="A1876" s="180" t="s">
        <v>1637</v>
      </c>
      <c r="B1876" s="180" t="s">
        <v>4840</v>
      </c>
      <c r="C1876" s="173" t="s">
        <v>4841</v>
      </c>
      <c r="D1876" s="173" t="s">
        <v>4842</v>
      </c>
    </row>
    <row r="1877" ht="17.25" spans="1:4">
      <c r="A1877" s="180" t="s">
        <v>6966</v>
      </c>
      <c r="B1877" s="180" t="s">
        <v>4840</v>
      </c>
      <c r="C1877" s="173" t="s">
        <v>4841</v>
      </c>
      <c r="D1877" s="173" t="s">
        <v>4842</v>
      </c>
    </row>
    <row r="1878" ht="17.25" spans="1:4">
      <c r="A1878" s="180" t="s">
        <v>2065</v>
      </c>
      <c r="B1878" s="180" t="s">
        <v>4840</v>
      </c>
      <c r="C1878" s="173" t="s">
        <v>4841</v>
      </c>
      <c r="D1878" s="173" t="s">
        <v>4842</v>
      </c>
    </row>
    <row r="1879" ht="17.25" spans="1:4">
      <c r="A1879" s="180" t="s">
        <v>1317</v>
      </c>
      <c r="B1879" s="180" t="s">
        <v>4840</v>
      </c>
      <c r="C1879" s="173" t="s">
        <v>4841</v>
      </c>
      <c r="D1879" s="173" t="s">
        <v>4842</v>
      </c>
    </row>
    <row r="1880" ht="17.25" spans="1:4">
      <c r="A1880" s="180" t="s">
        <v>6967</v>
      </c>
      <c r="B1880" s="180" t="s">
        <v>4840</v>
      </c>
      <c r="C1880" s="173" t="s">
        <v>4841</v>
      </c>
      <c r="D1880" s="173" t="s">
        <v>4842</v>
      </c>
    </row>
    <row r="1881" ht="17.25" spans="1:4">
      <c r="A1881" s="180" t="s">
        <v>6968</v>
      </c>
      <c r="B1881" s="180" t="s">
        <v>4840</v>
      </c>
      <c r="C1881" s="173" t="s">
        <v>4841</v>
      </c>
      <c r="D1881" s="173" t="s">
        <v>4842</v>
      </c>
    </row>
    <row r="1882" ht="17.25" spans="1:4">
      <c r="A1882" s="180" t="s">
        <v>635</v>
      </c>
      <c r="B1882" s="180" t="s">
        <v>4840</v>
      </c>
      <c r="C1882" s="173" t="s">
        <v>4841</v>
      </c>
      <c r="D1882" s="173" t="s">
        <v>4842</v>
      </c>
    </row>
    <row r="1883" ht="17.25" spans="1:4">
      <c r="A1883" s="180" t="s">
        <v>6969</v>
      </c>
      <c r="B1883" s="180" t="s">
        <v>4840</v>
      </c>
      <c r="C1883" s="173" t="s">
        <v>4841</v>
      </c>
      <c r="D1883" s="173" t="s">
        <v>4842</v>
      </c>
    </row>
    <row r="1884" ht="17.25" spans="1:4">
      <c r="A1884" s="180" t="s">
        <v>6970</v>
      </c>
      <c r="B1884" s="180" t="s">
        <v>4840</v>
      </c>
      <c r="C1884" s="173" t="s">
        <v>4841</v>
      </c>
      <c r="D1884" s="173" t="s">
        <v>4842</v>
      </c>
    </row>
    <row r="1885" ht="17.25" spans="1:4">
      <c r="A1885" s="180" t="s">
        <v>6971</v>
      </c>
      <c r="B1885" s="180" t="s">
        <v>4840</v>
      </c>
      <c r="C1885" s="173" t="s">
        <v>4841</v>
      </c>
      <c r="D1885" s="173" t="s">
        <v>4842</v>
      </c>
    </row>
    <row r="1886" ht="17.25" spans="1:4">
      <c r="A1886" s="180" t="s">
        <v>4225</v>
      </c>
      <c r="B1886" s="173" t="s">
        <v>5013</v>
      </c>
      <c r="C1886" s="173" t="s">
        <v>4841</v>
      </c>
      <c r="D1886" s="173" t="s">
        <v>5014</v>
      </c>
    </row>
    <row r="1887" ht="17.25" spans="1:4">
      <c r="A1887" s="180" t="s">
        <v>6972</v>
      </c>
      <c r="B1887" s="173" t="s">
        <v>5013</v>
      </c>
      <c r="C1887" s="173" t="s">
        <v>4841</v>
      </c>
      <c r="D1887" s="173" t="s">
        <v>5014</v>
      </c>
    </row>
    <row r="1888" ht="17.25" spans="1:4">
      <c r="A1888" s="180" t="s">
        <v>6973</v>
      </c>
      <c r="B1888" s="180" t="s">
        <v>4840</v>
      </c>
      <c r="C1888" s="173" t="s">
        <v>4841</v>
      </c>
      <c r="D1888" s="173" t="s">
        <v>4842</v>
      </c>
    </row>
    <row r="1889" ht="17.25" spans="1:4">
      <c r="A1889" s="180" t="s">
        <v>6974</v>
      </c>
      <c r="B1889" s="180" t="s">
        <v>4840</v>
      </c>
      <c r="C1889" s="173" t="s">
        <v>4841</v>
      </c>
      <c r="D1889" s="173" t="s">
        <v>4842</v>
      </c>
    </row>
    <row r="1890" ht="17.25" spans="1:4">
      <c r="A1890" s="180" t="s">
        <v>6975</v>
      </c>
      <c r="B1890" s="180" t="s">
        <v>4840</v>
      </c>
      <c r="C1890" s="173" t="s">
        <v>4841</v>
      </c>
      <c r="D1890" s="173" t="s">
        <v>4842</v>
      </c>
    </row>
    <row r="1891" ht="17.25" spans="1:4">
      <c r="A1891" s="180" t="s">
        <v>6976</v>
      </c>
      <c r="B1891" s="180" t="s">
        <v>4840</v>
      </c>
      <c r="C1891" s="173" t="s">
        <v>4841</v>
      </c>
      <c r="D1891" s="173" t="s">
        <v>4842</v>
      </c>
    </row>
    <row r="1892" ht="17.25" spans="1:4">
      <c r="A1892" s="180" t="s">
        <v>6977</v>
      </c>
      <c r="B1892" s="180" t="s">
        <v>4840</v>
      </c>
      <c r="C1892" s="173" t="s">
        <v>4841</v>
      </c>
      <c r="D1892" s="173" t="s">
        <v>4842</v>
      </c>
    </row>
    <row r="1893" ht="17.25" spans="1:4">
      <c r="A1893" s="180" t="s">
        <v>6978</v>
      </c>
      <c r="B1893" s="180" t="s">
        <v>4840</v>
      </c>
      <c r="C1893" s="173" t="s">
        <v>4841</v>
      </c>
      <c r="D1893" s="173" t="s">
        <v>4842</v>
      </c>
    </row>
    <row r="1894" ht="17.25" spans="1:4">
      <c r="A1894" s="180" t="s">
        <v>6979</v>
      </c>
      <c r="B1894" s="173" t="s">
        <v>6926</v>
      </c>
      <c r="C1894" s="173" t="s">
        <v>4841</v>
      </c>
      <c r="D1894" s="173" t="s">
        <v>6927</v>
      </c>
    </row>
    <row r="1895" ht="29.25" spans="1:4">
      <c r="A1895" s="180" t="s">
        <v>6980</v>
      </c>
      <c r="B1895" s="180" t="s">
        <v>6808</v>
      </c>
      <c r="C1895" s="181" t="s">
        <v>6808</v>
      </c>
      <c r="D1895" s="173" t="s">
        <v>6809</v>
      </c>
    </row>
    <row r="1896" ht="17.25" spans="1:4">
      <c r="A1896" s="180" t="s">
        <v>6981</v>
      </c>
      <c r="B1896" s="173" t="s">
        <v>4952</v>
      </c>
      <c r="C1896" s="181" t="s">
        <v>4841</v>
      </c>
      <c r="D1896" s="173" t="s">
        <v>4953</v>
      </c>
    </row>
    <row r="1897" ht="17.25" spans="1:4">
      <c r="A1897" s="180" t="s">
        <v>6982</v>
      </c>
      <c r="B1897" s="173" t="s">
        <v>6926</v>
      </c>
      <c r="C1897" s="181" t="s">
        <v>4841</v>
      </c>
      <c r="D1897" s="173" t="s">
        <v>6927</v>
      </c>
    </row>
    <row r="1898" ht="17.25" spans="1:4">
      <c r="A1898" s="180" t="s">
        <v>6983</v>
      </c>
      <c r="B1898" s="173" t="s">
        <v>6926</v>
      </c>
      <c r="C1898" s="181" t="s">
        <v>4841</v>
      </c>
      <c r="D1898" s="173" t="s">
        <v>6927</v>
      </c>
    </row>
    <row r="1899" ht="17.25" spans="1:4">
      <c r="A1899" s="180" t="s">
        <v>6984</v>
      </c>
      <c r="B1899" s="173" t="s">
        <v>6926</v>
      </c>
      <c r="C1899" s="181" t="s">
        <v>4841</v>
      </c>
      <c r="D1899" s="173" t="s">
        <v>6927</v>
      </c>
    </row>
    <row r="1900" ht="17.25" spans="1:4">
      <c r="A1900" s="180" t="s">
        <v>6985</v>
      </c>
      <c r="B1900" s="180" t="s">
        <v>4840</v>
      </c>
      <c r="C1900" s="181" t="s">
        <v>4841</v>
      </c>
      <c r="D1900" s="173" t="s">
        <v>4842</v>
      </c>
    </row>
    <row r="1901" ht="17.25" spans="1:4">
      <c r="A1901" s="180" t="s">
        <v>6986</v>
      </c>
      <c r="B1901" s="180" t="s">
        <v>4840</v>
      </c>
      <c r="C1901" s="181" t="s">
        <v>4841</v>
      </c>
      <c r="D1901" s="173" t="s">
        <v>4842</v>
      </c>
    </row>
    <row r="1902" ht="17.25" spans="1:4">
      <c r="A1902" s="180" t="s">
        <v>6987</v>
      </c>
      <c r="B1902" s="180" t="s">
        <v>4840</v>
      </c>
      <c r="C1902" s="181" t="s">
        <v>4841</v>
      </c>
      <c r="D1902" s="173" t="s">
        <v>4842</v>
      </c>
    </row>
    <row r="1903" ht="17.25" spans="1:4">
      <c r="A1903" s="180" t="s">
        <v>6988</v>
      </c>
      <c r="B1903" s="180" t="s">
        <v>4840</v>
      </c>
      <c r="C1903" s="181" t="s">
        <v>4841</v>
      </c>
      <c r="D1903" s="173" t="s">
        <v>4842</v>
      </c>
    </row>
    <row r="1904" ht="17.25" spans="1:4">
      <c r="A1904" s="180" t="s">
        <v>6989</v>
      </c>
      <c r="B1904" s="180" t="s">
        <v>4840</v>
      </c>
      <c r="C1904" s="181" t="s">
        <v>4841</v>
      </c>
      <c r="D1904" s="173" t="s">
        <v>4842</v>
      </c>
    </row>
    <row r="1905" ht="17.25" spans="1:4">
      <c r="A1905" s="180" t="s">
        <v>6990</v>
      </c>
      <c r="B1905" s="180" t="s">
        <v>4840</v>
      </c>
      <c r="C1905" s="181" t="s">
        <v>4841</v>
      </c>
      <c r="D1905" s="173" t="s">
        <v>4842</v>
      </c>
    </row>
    <row r="1906" ht="17.25" spans="1:4">
      <c r="A1906" s="180" t="s">
        <v>6991</v>
      </c>
      <c r="B1906" s="180" t="s">
        <v>4840</v>
      </c>
      <c r="C1906" s="181" t="s">
        <v>4841</v>
      </c>
      <c r="D1906" s="173" t="s">
        <v>4842</v>
      </c>
    </row>
    <row r="1907" ht="17.25" spans="1:4">
      <c r="A1907" s="180" t="s">
        <v>6992</v>
      </c>
      <c r="B1907" s="180" t="s">
        <v>4840</v>
      </c>
      <c r="C1907" s="173" t="s">
        <v>4841</v>
      </c>
      <c r="D1907" s="173" t="s">
        <v>4842</v>
      </c>
    </row>
    <row r="1908" ht="17.25" spans="1:4">
      <c r="A1908" s="180" t="s">
        <v>6993</v>
      </c>
      <c r="B1908" s="180" t="s">
        <v>4840</v>
      </c>
      <c r="C1908" s="173" t="s">
        <v>4841</v>
      </c>
      <c r="D1908" s="173" t="s">
        <v>4842</v>
      </c>
    </row>
    <row r="1909" ht="17.25" spans="1:4">
      <c r="A1909" s="180" t="s">
        <v>6994</v>
      </c>
      <c r="B1909" s="180" t="s">
        <v>4840</v>
      </c>
      <c r="C1909" s="173" t="s">
        <v>4841</v>
      </c>
      <c r="D1909" s="173" t="s">
        <v>4842</v>
      </c>
    </row>
    <row r="1910" ht="17.25" spans="1:4">
      <c r="A1910" s="180" t="s">
        <v>6995</v>
      </c>
      <c r="B1910" s="173" t="s">
        <v>6926</v>
      </c>
      <c r="C1910" s="173" t="s">
        <v>4841</v>
      </c>
      <c r="D1910" s="173" t="s">
        <v>6927</v>
      </c>
    </row>
    <row r="1911" ht="17.25" spans="1:4">
      <c r="A1911" s="180" t="s">
        <v>6996</v>
      </c>
      <c r="B1911" s="173" t="s">
        <v>6926</v>
      </c>
      <c r="C1911" s="173" t="s">
        <v>4841</v>
      </c>
      <c r="D1911" s="173" t="s">
        <v>6927</v>
      </c>
    </row>
    <row r="1912" ht="17.25" spans="1:4">
      <c r="A1912" s="180" t="s">
        <v>640</v>
      </c>
      <c r="B1912" s="173" t="s">
        <v>6926</v>
      </c>
      <c r="C1912" s="173" t="s">
        <v>4841</v>
      </c>
      <c r="D1912" s="173" t="s">
        <v>6927</v>
      </c>
    </row>
    <row r="1913" ht="17.25" spans="1:4">
      <c r="A1913" s="180" t="s">
        <v>6997</v>
      </c>
      <c r="B1913" s="173" t="s">
        <v>6926</v>
      </c>
      <c r="C1913" s="173" t="s">
        <v>4841</v>
      </c>
      <c r="D1913" s="173" t="s">
        <v>6927</v>
      </c>
    </row>
    <row r="1914" ht="17.25" spans="1:4">
      <c r="A1914" s="180" t="s">
        <v>6998</v>
      </c>
      <c r="B1914" s="180" t="s">
        <v>6998</v>
      </c>
      <c r="C1914" s="173" t="s">
        <v>4865</v>
      </c>
      <c r="D1914" s="173" t="s">
        <v>4865</v>
      </c>
    </row>
    <row r="1915" ht="17.25" spans="1:4">
      <c r="A1915" s="180" t="s">
        <v>6999</v>
      </c>
      <c r="B1915" s="173" t="s">
        <v>4952</v>
      </c>
      <c r="C1915" s="173" t="s">
        <v>4841</v>
      </c>
      <c r="D1915" s="173" t="s">
        <v>4953</v>
      </c>
    </row>
    <row r="1916" ht="17.25" spans="1:4">
      <c r="A1916" s="180" t="s">
        <v>7000</v>
      </c>
      <c r="B1916" s="173" t="s">
        <v>6926</v>
      </c>
      <c r="C1916" s="173" t="s">
        <v>4841</v>
      </c>
      <c r="D1916" s="173" t="s">
        <v>6927</v>
      </c>
    </row>
    <row r="1917" ht="17.25" spans="1:4">
      <c r="A1917" s="180" t="s">
        <v>7001</v>
      </c>
      <c r="B1917" s="173" t="s">
        <v>6926</v>
      </c>
      <c r="C1917" s="173" t="s">
        <v>4841</v>
      </c>
      <c r="D1917" s="173" t="s">
        <v>6927</v>
      </c>
    </row>
    <row r="1918" ht="17.25" spans="1:4">
      <c r="A1918" s="180" t="s">
        <v>7002</v>
      </c>
      <c r="B1918" s="180" t="s">
        <v>4840</v>
      </c>
      <c r="C1918" s="173" t="s">
        <v>4841</v>
      </c>
      <c r="D1918" s="173" t="s">
        <v>4842</v>
      </c>
    </row>
    <row r="1919" ht="17.25" spans="1:4">
      <c r="A1919" s="173" t="s">
        <v>7003</v>
      </c>
      <c r="B1919" s="173" t="s">
        <v>4822</v>
      </c>
      <c r="C1919" s="173" t="s">
        <v>4823</v>
      </c>
      <c r="D1919" s="173" t="s">
        <v>4823</v>
      </c>
    </row>
    <row r="1920" ht="17.25" spans="1:4">
      <c r="A1920" s="180" t="s">
        <v>7004</v>
      </c>
      <c r="B1920" s="173" t="s">
        <v>4840</v>
      </c>
      <c r="C1920" s="173" t="s">
        <v>4841</v>
      </c>
      <c r="D1920" s="173" t="s">
        <v>4842</v>
      </c>
    </row>
    <row r="1921" ht="17.25" spans="1:4">
      <c r="A1921" s="180" t="s">
        <v>7005</v>
      </c>
      <c r="B1921" s="173" t="s">
        <v>4840</v>
      </c>
      <c r="C1921" s="173" t="s">
        <v>4841</v>
      </c>
      <c r="D1921" s="173" t="s">
        <v>4842</v>
      </c>
    </row>
    <row r="1922" ht="17.25" spans="1:4">
      <c r="A1922" s="180" t="s">
        <v>4737</v>
      </c>
      <c r="B1922" s="173" t="s">
        <v>6926</v>
      </c>
      <c r="C1922" s="173" t="s">
        <v>4841</v>
      </c>
      <c r="D1922" s="173" t="s">
        <v>6927</v>
      </c>
    </row>
    <row r="1923" ht="17.25" spans="1:4">
      <c r="A1923" s="180" t="s">
        <v>7006</v>
      </c>
      <c r="B1923" s="180" t="s">
        <v>6808</v>
      </c>
      <c r="C1923" s="181" t="s">
        <v>6808</v>
      </c>
      <c r="D1923" s="173" t="s">
        <v>6809</v>
      </c>
    </row>
    <row r="1924" ht="17.25" spans="1:4">
      <c r="A1924" s="180" t="s">
        <v>7007</v>
      </c>
      <c r="B1924" s="180" t="s">
        <v>6808</v>
      </c>
      <c r="C1924" s="180" t="s">
        <v>7006</v>
      </c>
      <c r="D1924" s="173" t="s">
        <v>6809</v>
      </c>
    </row>
    <row r="1925" ht="17.25" spans="1:4">
      <c r="A1925" s="180" t="s">
        <v>7008</v>
      </c>
      <c r="B1925" s="180" t="s">
        <v>6808</v>
      </c>
      <c r="C1925" s="180" t="s">
        <v>7006</v>
      </c>
      <c r="D1925" s="173" t="s">
        <v>6809</v>
      </c>
    </row>
    <row r="1926" ht="17.25" spans="1:4">
      <c r="A1926" s="180" t="s">
        <v>7009</v>
      </c>
      <c r="B1926" s="180" t="s">
        <v>6808</v>
      </c>
      <c r="C1926" s="180" t="s">
        <v>7006</v>
      </c>
      <c r="D1926" s="173" t="s">
        <v>6809</v>
      </c>
    </row>
    <row r="1927" ht="17.25" spans="1:4">
      <c r="A1927" s="180" t="s">
        <v>7010</v>
      </c>
      <c r="B1927" s="180" t="s">
        <v>6808</v>
      </c>
      <c r="C1927" s="180" t="s">
        <v>7006</v>
      </c>
      <c r="D1927" s="173" t="s">
        <v>6809</v>
      </c>
    </row>
    <row r="1928" ht="17.25" spans="1:4">
      <c r="A1928" s="180" t="s">
        <v>7011</v>
      </c>
      <c r="B1928" s="180" t="s">
        <v>6808</v>
      </c>
      <c r="C1928" s="180" t="s">
        <v>7006</v>
      </c>
      <c r="D1928" s="173" t="s">
        <v>6809</v>
      </c>
    </row>
    <row r="1929" ht="17.25" spans="1:4">
      <c r="A1929" s="180" t="s">
        <v>7012</v>
      </c>
      <c r="B1929" s="180" t="s">
        <v>6808</v>
      </c>
      <c r="C1929" s="180" t="s">
        <v>7006</v>
      </c>
      <c r="D1929" s="173" t="s">
        <v>6809</v>
      </c>
    </row>
    <row r="1930" ht="17.25" spans="1:4">
      <c r="A1930" s="180" t="s">
        <v>7013</v>
      </c>
      <c r="B1930" s="180" t="s">
        <v>6808</v>
      </c>
      <c r="C1930" s="180" t="s">
        <v>7006</v>
      </c>
      <c r="D1930" s="173" t="s">
        <v>6809</v>
      </c>
    </row>
    <row r="1931" ht="17.25" spans="1:4">
      <c r="A1931" s="180" t="s">
        <v>7014</v>
      </c>
      <c r="B1931" s="180" t="s">
        <v>6808</v>
      </c>
      <c r="C1931" s="180" t="s">
        <v>7006</v>
      </c>
      <c r="D1931" s="173" t="s">
        <v>6809</v>
      </c>
    </row>
    <row r="1932" ht="17.25" spans="1:4">
      <c r="A1932" s="180" t="s">
        <v>7015</v>
      </c>
      <c r="B1932" s="180" t="s">
        <v>6808</v>
      </c>
      <c r="C1932" s="180" t="s">
        <v>7006</v>
      </c>
      <c r="D1932" s="173" t="s">
        <v>6809</v>
      </c>
    </row>
    <row r="1933" ht="17.25" spans="1:4">
      <c r="A1933" s="180" t="s">
        <v>7016</v>
      </c>
      <c r="B1933" s="180" t="s">
        <v>6808</v>
      </c>
      <c r="C1933" s="180" t="s">
        <v>7006</v>
      </c>
      <c r="D1933" s="173" t="s">
        <v>6809</v>
      </c>
    </row>
    <row r="1934" ht="17.25" spans="1:4">
      <c r="A1934" s="180" t="s">
        <v>7017</v>
      </c>
      <c r="B1934" s="173" t="s">
        <v>4840</v>
      </c>
      <c r="C1934" s="173" t="s">
        <v>4841</v>
      </c>
      <c r="D1934" s="173" t="s">
        <v>4842</v>
      </c>
    </row>
    <row r="1935" ht="17.25" spans="1:4">
      <c r="A1935" s="180" t="s">
        <v>7018</v>
      </c>
      <c r="B1935" s="173" t="s">
        <v>6926</v>
      </c>
      <c r="C1935" s="173" t="s">
        <v>4841</v>
      </c>
      <c r="D1935" s="173" t="s">
        <v>6927</v>
      </c>
    </row>
    <row r="1936" ht="17.25" spans="1:4">
      <c r="A1936" s="180" t="s">
        <v>7019</v>
      </c>
      <c r="B1936" s="173" t="s">
        <v>6926</v>
      </c>
      <c r="C1936" s="173" t="s">
        <v>4841</v>
      </c>
      <c r="D1936" s="173" t="s">
        <v>6927</v>
      </c>
    </row>
    <row r="1937" ht="17.25" spans="1:4">
      <c r="A1937" s="180" t="s">
        <v>7020</v>
      </c>
      <c r="B1937" s="173" t="s">
        <v>6926</v>
      </c>
      <c r="C1937" s="173" t="s">
        <v>4841</v>
      </c>
      <c r="D1937" s="173" t="s">
        <v>6927</v>
      </c>
    </row>
    <row r="1938" ht="17.25" spans="1:4">
      <c r="A1938" s="180" t="s">
        <v>7021</v>
      </c>
      <c r="B1938" s="173" t="s">
        <v>6926</v>
      </c>
      <c r="C1938" s="173" t="s">
        <v>4841</v>
      </c>
      <c r="D1938" s="173" t="s">
        <v>6927</v>
      </c>
    </row>
    <row r="1939" ht="17.25" spans="1:4">
      <c r="A1939" s="180" t="s">
        <v>7022</v>
      </c>
      <c r="B1939" s="173" t="s">
        <v>6926</v>
      </c>
      <c r="C1939" s="173" t="s">
        <v>4841</v>
      </c>
      <c r="D1939" s="173" t="s">
        <v>6927</v>
      </c>
    </row>
    <row r="1940" ht="17.25" spans="1:4">
      <c r="A1940" s="180" t="s">
        <v>7023</v>
      </c>
      <c r="B1940" s="173" t="s">
        <v>6926</v>
      </c>
      <c r="C1940" s="173" t="s">
        <v>4841</v>
      </c>
      <c r="D1940" s="173" t="s">
        <v>6927</v>
      </c>
    </row>
    <row r="1941" ht="17.25" spans="1:4">
      <c r="A1941" s="180" t="s">
        <v>7024</v>
      </c>
      <c r="B1941" s="173" t="s">
        <v>6926</v>
      </c>
      <c r="C1941" s="173" t="s">
        <v>4841</v>
      </c>
      <c r="D1941" s="173" t="s">
        <v>6927</v>
      </c>
    </row>
    <row r="1942" ht="17.25" spans="1:4">
      <c r="A1942" s="180" t="s">
        <v>7025</v>
      </c>
      <c r="B1942" s="173" t="s">
        <v>6926</v>
      </c>
      <c r="C1942" s="173" t="s">
        <v>4841</v>
      </c>
      <c r="D1942" s="173" t="s">
        <v>6927</v>
      </c>
    </row>
    <row r="1943" ht="17.25" spans="1:4">
      <c r="A1943" s="180" t="s">
        <v>7026</v>
      </c>
      <c r="B1943" s="173" t="s">
        <v>6926</v>
      </c>
      <c r="C1943" s="173" t="s">
        <v>4841</v>
      </c>
      <c r="D1943" s="173" t="s">
        <v>6927</v>
      </c>
    </row>
    <row r="1944" ht="17.25" spans="1:4">
      <c r="A1944" s="180" t="s">
        <v>7027</v>
      </c>
      <c r="B1944" s="173" t="s">
        <v>6926</v>
      </c>
      <c r="C1944" s="173" t="s">
        <v>4841</v>
      </c>
      <c r="D1944" s="173" t="s">
        <v>6927</v>
      </c>
    </row>
    <row r="1945" ht="17.25" spans="1:4">
      <c r="A1945" s="180" t="s">
        <v>394</v>
      </c>
      <c r="B1945" s="173" t="s">
        <v>4840</v>
      </c>
      <c r="C1945" s="173" t="s">
        <v>4841</v>
      </c>
      <c r="D1945" s="173" t="s">
        <v>4842</v>
      </c>
    </row>
    <row r="1946" ht="17.25" spans="1:4">
      <c r="A1946" s="180" t="s">
        <v>7028</v>
      </c>
      <c r="B1946" s="173" t="s">
        <v>4840</v>
      </c>
      <c r="C1946" s="173" t="s">
        <v>4841</v>
      </c>
      <c r="D1946" s="173" t="s">
        <v>4842</v>
      </c>
    </row>
    <row r="1947" ht="17.25" spans="1:4">
      <c r="A1947" s="180" t="s">
        <v>7029</v>
      </c>
      <c r="B1947" s="173" t="s">
        <v>6926</v>
      </c>
      <c r="C1947" s="173" t="s">
        <v>4841</v>
      </c>
      <c r="D1947" s="173" t="s">
        <v>6927</v>
      </c>
    </row>
    <row r="1948" ht="17.25" spans="1:4">
      <c r="A1948" s="180" t="s">
        <v>7030</v>
      </c>
      <c r="B1948" s="173" t="s">
        <v>4840</v>
      </c>
      <c r="C1948" s="173" t="s">
        <v>4841</v>
      </c>
      <c r="D1948" s="173" t="s">
        <v>4842</v>
      </c>
    </row>
    <row r="1949" ht="17.25" spans="1:4">
      <c r="A1949" s="180" t="s">
        <v>7031</v>
      </c>
      <c r="B1949" s="173" t="s">
        <v>4840</v>
      </c>
      <c r="C1949" s="173" t="s">
        <v>4841</v>
      </c>
      <c r="D1949" s="173" t="s">
        <v>4842</v>
      </c>
    </row>
    <row r="1950" ht="17.25" spans="1:4">
      <c r="A1950" s="180" t="s">
        <v>7032</v>
      </c>
      <c r="B1950" s="173" t="s">
        <v>4840</v>
      </c>
      <c r="C1950" s="173" t="s">
        <v>4841</v>
      </c>
      <c r="D1950" s="173" t="s">
        <v>4842</v>
      </c>
    </row>
    <row r="1951" ht="17.25" spans="1:4">
      <c r="A1951" s="180" t="s">
        <v>7033</v>
      </c>
      <c r="B1951" s="173" t="s">
        <v>6926</v>
      </c>
      <c r="C1951" s="173" t="s">
        <v>4841</v>
      </c>
      <c r="D1951" s="173" t="s">
        <v>6927</v>
      </c>
    </row>
    <row r="1952" ht="17.25" spans="1:4">
      <c r="A1952" s="180" t="s">
        <v>7034</v>
      </c>
      <c r="B1952" s="173" t="s">
        <v>4840</v>
      </c>
      <c r="C1952" s="173" t="s">
        <v>4841</v>
      </c>
      <c r="D1952" s="173" t="s">
        <v>4842</v>
      </c>
    </row>
    <row r="1953" ht="17.25" spans="1:4">
      <c r="A1953" s="180" t="s">
        <v>7035</v>
      </c>
      <c r="B1953" s="173" t="s">
        <v>4840</v>
      </c>
      <c r="C1953" s="173" t="s">
        <v>4841</v>
      </c>
      <c r="D1953" s="173" t="s">
        <v>4842</v>
      </c>
    </row>
    <row r="1954" ht="17.25" spans="1:4">
      <c r="A1954" s="180" t="s">
        <v>7036</v>
      </c>
      <c r="B1954" s="173" t="s">
        <v>4840</v>
      </c>
      <c r="C1954" s="173" t="s">
        <v>4841</v>
      </c>
      <c r="D1954" s="173" t="s">
        <v>4842</v>
      </c>
    </row>
    <row r="1955" ht="17.25" spans="1:4">
      <c r="A1955" s="180" t="s">
        <v>7037</v>
      </c>
      <c r="B1955" s="173" t="s">
        <v>4840</v>
      </c>
      <c r="C1955" s="173" t="s">
        <v>4841</v>
      </c>
      <c r="D1955" s="173" t="s">
        <v>4842</v>
      </c>
    </row>
    <row r="1956" ht="17.25" spans="1:4">
      <c r="A1956" s="180" t="s">
        <v>7038</v>
      </c>
      <c r="B1956" s="173" t="s">
        <v>4840</v>
      </c>
      <c r="C1956" s="173" t="s">
        <v>4841</v>
      </c>
      <c r="D1956" s="173" t="s">
        <v>4842</v>
      </c>
    </row>
    <row r="1957" ht="17.25" spans="1:4">
      <c r="A1957" s="180" t="s">
        <v>7039</v>
      </c>
      <c r="B1957" s="173" t="s">
        <v>4840</v>
      </c>
      <c r="C1957" s="173" t="s">
        <v>4841</v>
      </c>
      <c r="D1957" s="173" t="s">
        <v>4842</v>
      </c>
    </row>
    <row r="1958" ht="17.25" spans="1:4">
      <c r="A1958" s="180" t="s">
        <v>7040</v>
      </c>
      <c r="B1958" s="173" t="s">
        <v>4840</v>
      </c>
      <c r="C1958" s="173" t="s">
        <v>4841</v>
      </c>
      <c r="D1958" s="173" t="s">
        <v>4842</v>
      </c>
    </row>
    <row r="1959" ht="17.25" spans="1:4">
      <c r="A1959" s="180" t="s">
        <v>7041</v>
      </c>
      <c r="B1959" s="173" t="s">
        <v>4840</v>
      </c>
      <c r="C1959" s="173" t="s">
        <v>4841</v>
      </c>
      <c r="D1959" s="173" t="s">
        <v>4842</v>
      </c>
    </row>
    <row r="1960" ht="17.25" spans="1:4">
      <c r="A1960" s="180" t="s">
        <v>7042</v>
      </c>
      <c r="B1960" s="173" t="s">
        <v>4840</v>
      </c>
      <c r="C1960" s="173" t="s">
        <v>4841</v>
      </c>
      <c r="D1960" s="173" t="s">
        <v>4842</v>
      </c>
    </row>
    <row r="1961" ht="17.25" spans="1:4">
      <c r="A1961" s="180" t="s">
        <v>7043</v>
      </c>
      <c r="B1961" s="173" t="s">
        <v>4840</v>
      </c>
      <c r="C1961" s="173" t="s">
        <v>4841</v>
      </c>
      <c r="D1961" s="173" t="s">
        <v>4842</v>
      </c>
    </row>
    <row r="1962" ht="17.25" spans="1:4">
      <c r="A1962" s="180" t="s">
        <v>7044</v>
      </c>
      <c r="B1962" s="173" t="s">
        <v>6926</v>
      </c>
      <c r="C1962" s="173" t="s">
        <v>4841</v>
      </c>
      <c r="D1962" s="173" t="s">
        <v>6927</v>
      </c>
    </row>
    <row r="1963" ht="17.25" spans="1:4">
      <c r="A1963" s="180" t="s">
        <v>7045</v>
      </c>
      <c r="B1963" s="173" t="s">
        <v>4840</v>
      </c>
      <c r="C1963" s="173" t="s">
        <v>4841</v>
      </c>
      <c r="D1963" s="173" t="s">
        <v>4842</v>
      </c>
    </row>
    <row r="1964" ht="17.25" spans="1:4">
      <c r="A1964" s="180" t="s">
        <v>7046</v>
      </c>
      <c r="B1964" s="173" t="s">
        <v>4840</v>
      </c>
      <c r="C1964" s="173" t="s">
        <v>4841</v>
      </c>
      <c r="D1964" s="173" t="s">
        <v>4842</v>
      </c>
    </row>
    <row r="1965" ht="17.25" spans="1:4">
      <c r="A1965" s="183" t="s">
        <v>7047</v>
      </c>
      <c r="B1965" s="173" t="s">
        <v>6926</v>
      </c>
      <c r="C1965" s="173" t="s">
        <v>4841</v>
      </c>
      <c r="D1965" s="173" t="s">
        <v>6927</v>
      </c>
    </row>
    <row r="1966" ht="17.25" spans="1:4">
      <c r="A1966" s="180" t="s">
        <v>7048</v>
      </c>
      <c r="B1966" s="173" t="s">
        <v>4840</v>
      </c>
      <c r="C1966" s="173" t="s">
        <v>4841</v>
      </c>
      <c r="D1966" s="173" t="s">
        <v>4842</v>
      </c>
    </row>
    <row r="1967" ht="17.25" spans="1:4">
      <c r="A1967" s="180" t="s">
        <v>7049</v>
      </c>
      <c r="B1967" s="173" t="s">
        <v>4840</v>
      </c>
      <c r="C1967" s="173" t="s">
        <v>4841</v>
      </c>
      <c r="D1967" s="173" t="s">
        <v>4842</v>
      </c>
    </row>
    <row r="1968" ht="17.25" spans="1:4">
      <c r="A1968" s="180" t="s">
        <v>7050</v>
      </c>
      <c r="B1968" s="173" t="s">
        <v>4840</v>
      </c>
      <c r="C1968" s="173" t="s">
        <v>4841</v>
      </c>
      <c r="D1968" s="173" t="s">
        <v>4842</v>
      </c>
    </row>
    <row r="1969" ht="17.25" spans="1:4">
      <c r="A1969" s="180" t="s">
        <v>7051</v>
      </c>
      <c r="B1969" s="173" t="s">
        <v>6926</v>
      </c>
      <c r="C1969" s="173" t="s">
        <v>4841</v>
      </c>
      <c r="D1969" s="173" t="s">
        <v>6927</v>
      </c>
    </row>
    <row r="1970" ht="17.25" spans="1:4">
      <c r="A1970" s="180" t="s">
        <v>7052</v>
      </c>
      <c r="B1970" s="173" t="s">
        <v>6926</v>
      </c>
      <c r="C1970" s="173" t="s">
        <v>4841</v>
      </c>
      <c r="D1970" s="173" t="s">
        <v>6927</v>
      </c>
    </row>
    <row r="1971" ht="17.25" spans="1:4">
      <c r="A1971" s="180" t="s">
        <v>7053</v>
      </c>
      <c r="B1971" s="173" t="s">
        <v>6926</v>
      </c>
      <c r="C1971" s="173" t="s">
        <v>4841</v>
      </c>
      <c r="D1971" s="173" t="s">
        <v>6927</v>
      </c>
    </row>
    <row r="1972" ht="17.25" spans="1:4">
      <c r="A1972" s="180" t="s">
        <v>7054</v>
      </c>
      <c r="B1972" s="173" t="s">
        <v>6926</v>
      </c>
      <c r="C1972" s="173" t="s">
        <v>4841</v>
      </c>
      <c r="D1972" s="173" t="s">
        <v>6927</v>
      </c>
    </row>
    <row r="1973" ht="17.25" spans="1:4">
      <c r="A1973" s="180" t="s">
        <v>7055</v>
      </c>
      <c r="B1973" s="173" t="s">
        <v>4840</v>
      </c>
      <c r="C1973" s="173" t="s">
        <v>4841</v>
      </c>
      <c r="D1973" s="173" t="s">
        <v>4842</v>
      </c>
    </row>
    <row r="1974" ht="17.25" spans="1:4">
      <c r="A1974" s="180" t="s">
        <v>7056</v>
      </c>
      <c r="B1974" s="173" t="s">
        <v>4840</v>
      </c>
      <c r="C1974" s="173" t="s">
        <v>4841</v>
      </c>
      <c r="D1974" s="173" t="s">
        <v>4842</v>
      </c>
    </row>
    <row r="1975" ht="17.25" spans="1:4">
      <c r="A1975" s="180" t="s">
        <v>7057</v>
      </c>
      <c r="B1975" s="173" t="s">
        <v>4840</v>
      </c>
      <c r="C1975" s="173" t="s">
        <v>4841</v>
      </c>
      <c r="D1975" s="173" t="s">
        <v>4842</v>
      </c>
    </row>
    <row r="1976" ht="17.25" spans="1:4">
      <c r="A1976" s="180" t="s">
        <v>7058</v>
      </c>
      <c r="B1976" s="173" t="s">
        <v>4840</v>
      </c>
      <c r="C1976" s="173" t="s">
        <v>4841</v>
      </c>
      <c r="D1976" s="173" t="s">
        <v>4842</v>
      </c>
    </row>
    <row r="1977" ht="17.25" spans="1:4">
      <c r="A1977" s="180" t="s">
        <v>7059</v>
      </c>
      <c r="B1977" s="173" t="s">
        <v>4840</v>
      </c>
      <c r="C1977" s="173" t="s">
        <v>4841</v>
      </c>
      <c r="D1977" s="173" t="s">
        <v>4842</v>
      </c>
    </row>
    <row r="1978" ht="17.25" spans="1:4">
      <c r="A1978" s="180" t="s">
        <v>7060</v>
      </c>
      <c r="B1978" s="173" t="s">
        <v>4840</v>
      </c>
      <c r="C1978" s="173" t="s">
        <v>4841</v>
      </c>
      <c r="D1978" s="173" t="s">
        <v>4842</v>
      </c>
    </row>
    <row r="1979" ht="17.25" spans="1:4">
      <c r="A1979" s="180" t="s">
        <v>7061</v>
      </c>
      <c r="B1979" s="173" t="s">
        <v>4840</v>
      </c>
      <c r="C1979" s="173" t="s">
        <v>4841</v>
      </c>
      <c r="D1979" s="173" t="s">
        <v>4842</v>
      </c>
    </row>
    <row r="1980" ht="17.25" spans="1:4">
      <c r="A1980" s="180" t="s">
        <v>7062</v>
      </c>
      <c r="B1980" s="173" t="s">
        <v>4854</v>
      </c>
      <c r="C1980" s="174" t="s">
        <v>4855</v>
      </c>
      <c r="D1980" s="173" t="s">
        <v>4856</v>
      </c>
    </row>
    <row r="1981" ht="17.25" spans="1:4">
      <c r="A1981" s="180" t="s">
        <v>7063</v>
      </c>
      <c r="B1981" s="173" t="s">
        <v>4791</v>
      </c>
      <c r="C1981" s="173" t="s">
        <v>4792</v>
      </c>
      <c r="D1981" s="173" t="s">
        <v>4793</v>
      </c>
    </row>
    <row r="1982" ht="17.25" spans="1:4">
      <c r="A1982" s="180" t="s">
        <v>7064</v>
      </c>
      <c r="B1982" s="173" t="s">
        <v>4840</v>
      </c>
      <c r="C1982" s="173" t="s">
        <v>4841</v>
      </c>
      <c r="D1982" s="173" t="s">
        <v>4842</v>
      </c>
    </row>
    <row r="1983" ht="17.25" spans="1:4">
      <c r="A1983" s="180" t="s">
        <v>7065</v>
      </c>
      <c r="B1983" s="173" t="s">
        <v>4840</v>
      </c>
      <c r="C1983" s="173" t="s">
        <v>4841</v>
      </c>
      <c r="D1983" s="173" t="s">
        <v>4842</v>
      </c>
    </row>
    <row r="1984" ht="17.25" spans="1:4">
      <c r="A1984" s="180" t="s">
        <v>7066</v>
      </c>
      <c r="B1984" s="173" t="s">
        <v>4840</v>
      </c>
      <c r="C1984" s="173" t="s">
        <v>4841</v>
      </c>
      <c r="D1984" s="173" t="s">
        <v>4842</v>
      </c>
    </row>
    <row r="1985" ht="17.25" spans="1:4">
      <c r="A1985" s="180" t="s">
        <v>531</v>
      </c>
      <c r="B1985" s="173" t="s">
        <v>6926</v>
      </c>
      <c r="C1985" s="173" t="s">
        <v>4841</v>
      </c>
      <c r="D1985" s="173" t="s">
        <v>6927</v>
      </c>
    </row>
    <row r="1986" ht="17.25" spans="1:4">
      <c r="A1986" s="180" t="s">
        <v>7067</v>
      </c>
      <c r="B1986" s="173" t="s">
        <v>4840</v>
      </c>
      <c r="C1986" s="173" t="s">
        <v>4841</v>
      </c>
      <c r="D1986" s="173" t="s">
        <v>4842</v>
      </c>
    </row>
    <row r="1987" ht="17.25" spans="1:4">
      <c r="A1987" s="180" t="s">
        <v>7068</v>
      </c>
      <c r="B1987" s="173" t="s">
        <v>4840</v>
      </c>
      <c r="C1987" s="173" t="s">
        <v>4841</v>
      </c>
      <c r="D1987" s="173" t="s">
        <v>4842</v>
      </c>
    </row>
    <row r="1988" ht="17.25" spans="1:4">
      <c r="A1988" s="180" t="s">
        <v>7069</v>
      </c>
      <c r="B1988" s="173" t="s">
        <v>4840</v>
      </c>
      <c r="C1988" s="173" t="s">
        <v>4841</v>
      </c>
      <c r="D1988" s="173" t="s">
        <v>4842</v>
      </c>
    </row>
    <row r="1989" ht="17.25" spans="1:4">
      <c r="A1989" s="180" t="s">
        <v>7070</v>
      </c>
      <c r="B1989" s="173" t="s">
        <v>4840</v>
      </c>
      <c r="C1989" s="173" t="s">
        <v>4841</v>
      </c>
      <c r="D1989" s="173" t="s">
        <v>4842</v>
      </c>
    </row>
    <row r="1990" ht="17.25" spans="1:4">
      <c r="A1990" s="180" t="s">
        <v>7071</v>
      </c>
      <c r="B1990" s="173" t="s">
        <v>4840</v>
      </c>
      <c r="C1990" s="173" t="s">
        <v>4841</v>
      </c>
      <c r="D1990" s="173" t="s">
        <v>4842</v>
      </c>
    </row>
    <row r="1991" ht="17.25" spans="1:4">
      <c r="A1991" s="180" t="s">
        <v>7072</v>
      </c>
      <c r="B1991" s="173" t="s">
        <v>4840</v>
      </c>
      <c r="C1991" s="173" t="s">
        <v>4841</v>
      </c>
      <c r="D1991" s="173" t="s">
        <v>4842</v>
      </c>
    </row>
    <row r="1992" ht="17.25" spans="1:4">
      <c r="A1992" s="180" t="s">
        <v>7073</v>
      </c>
      <c r="B1992" s="173" t="s">
        <v>4840</v>
      </c>
      <c r="C1992" s="173" t="s">
        <v>4841</v>
      </c>
      <c r="D1992" s="173" t="s">
        <v>4842</v>
      </c>
    </row>
    <row r="1993" ht="17.25" spans="1:4">
      <c r="A1993" s="180" t="s">
        <v>7074</v>
      </c>
      <c r="B1993" s="173" t="s">
        <v>6926</v>
      </c>
      <c r="C1993" s="173" t="s">
        <v>4841</v>
      </c>
      <c r="D1993" s="173" t="s">
        <v>6927</v>
      </c>
    </row>
    <row r="1994" ht="17.25" spans="1:4">
      <c r="A1994" s="180" t="s">
        <v>7075</v>
      </c>
      <c r="B1994" s="173" t="s">
        <v>6156</v>
      </c>
      <c r="C1994" s="173" t="s">
        <v>6157</v>
      </c>
      <c r="D1994" s="173" t="s">
        <v>6158</v>
      </c>
    </row>
    <row r="1995" ht="17.25" spans="1:4">
      <c r="A1995" s="180" t="s">
        <v>7076</v>
      </c>
      <c r="B1995" s="173" t="s">
        <v>4840</v>
      </c>
      <c r="C1995" s="173" t="s">
        <v>4841</v>
      </c>
      <c r="D1995" s="173" t="s">
        <v>4842</v>
      </c>
    </row>
    <row r="1996" ht="17.25" spans="1:4">
      <c r="A1996" s="180" t="s">
        <v>7077</v>
      </c>
      <c r="B1996" s="173" t="s">
        <v>4840</v>
      </c>
      <c r="C1996" s="173" t="s">
        <v>4841</v>
      </c>
      <c r="D1996" s="173" t="s">
        <v>4842</v>
      </c>
    </row>
    <row r="1997" ht="17.25" spans="1:4">
      <c r="A1997" s="180" t="s">
        <v>7078</v>
      </c>
      <c r="B1997" s="173" t="s">
        <v>4840</v>
      </c>
      <c r="C1997" s="173" t="s">
        <v>4841</v>
      </c>
      <c r="D1997" s="173" t="s">
        <v>4842</v>
      </c>
    </row>
    <row r="1998" ht="16.5" spans="1:4">
      <c r="A1998" s="173" t="s">
        <v>7079</v>
      </c>
      <c r="B1998" s="173" t="s">
        <v>4840</v>
      </c>
      <c r="C1998" s="173" t="s">
        <v>4841</v>
      </c>
      <c r="D1998" s="173" t="s">
        <v>4842</v>
      </c>
    </row>
    <row r="1999" ht="16.5" spans="1:4">
      <c r="A1999" s="173" t="s">
        <v>7080</v>
      </c>
      <c r="B1999" s="173" t="s">
        <v>4840</v>
      </c>
      <c r="C1999" s="173" t="s">
        <v>4841</v>
      </c>
      <c r="D1999" s="173" t="s">
        <v>4842</v>
      </c>
    </row>
    <row r="2000" ht="16.5" spans="1:4">
      <c r="A2000" s="173" t="s">
        <v>7081</v>
      </c>
      <c r="B2000" s="173" t="s">
        <v>6926</v>
      </c>
      <c r="C2000" s="173" t="s">
        <v>4841</v>
      </c>
      <c r="D2000" s="173" t="s">
        <v>6927</v>
      </c>
    </row>
    <row r="2001" ht="16.5" spans="1:4">
      <c r="A2001" s="173" t="s">
        <v>7082</v>
      </c>
      <c r="B2001" s="173" t="s">
        <v>4854</v>
      </c>
      <c r="C2001" s="174" t="s">
        <v>4855</v>
      </c>
      <c r="D2001" s="173" t="s">
        <v>4856</v>
      </c>
    </row>
    <row r="2002" ht="16.5" spans="1:4">
      <c r="A2002" s="173" t="s">
        <v>7083</v>
      </c>
      <c r="B2002" s="173" t="s">
        <v>4840</v>
      </c>
      <c r="C2002" s="173" t="s">
        <v>4841</v>
      </c>
      <c r="D2002" s="173" t="s">
        <v>4842</v>
      </c>
    </row>
    <row r="2003" ht="16.5" spans="1:4">
      <c r="A2003" s="173" t="s">
        <v>7084</v>
      </c>
      <c r="B2003" s="173" t="s">
        <v>6926</v>
      </c>
      <c r="C2003" s="173" t="s">
        <v>4841</v>
      </c>
      <c r="D2003" s="173" t="s">
        <v>6927</v>
      </c>
    </row>
    <row r="2004" ht="17.25" spans="1:4">
      <c r="A2004" s="173" t="s">
        <v>7085</v>
      </c>
      <c r="B2004" s="173" t="s">
        <v>6926</v>
      </c>
      <c r="C2004" s="173" t="s">
        <v>4841</v>
      </c>
      <c r="D2004" s="173" t="s">
        <v>6927</v>
      </c>
    </row>
    <row r="2005" ht="17.25" spans="1:4">
      <c r="A2005" s="180" t="s">
        <v>7086</v>
      </c>
      <c r="B2005" s="173" t="s">
        <v>4840</v>
      </c>
      <c r="C2005" s="173" t="s">
        <v>4841</v>
      </c>
      <c r="D2005" s="173" t="s">
        <v>4842</v>
      </c>
    </row>
    <row r="2006" ht="17.25" spans="1:4">
      <c r="A2006" s="180" t="s">
        <v>7087</v>
      </c>
      <c r="B2006" s="173" t="s">
        <v>4840</v>
      </c>
      <c r="C2006" s="173" t="s">
        <v>4841</v>
      </c>
      <c r="D2006" s="173" t="s">
        <v>4842</v>
      </c>
    </row>
    <row r="2007" ht="17.25" spans="1:4">
      <c r="A2007" s="180" t="s">
        <v>7088</v>
      </c>
      <c r="B2007" s="173" t="s">
        <v>4840</v>
      </c>
      <c r="C2007" s="173" t="s">
        <v>4841</v>
      </c>
      <c r="D2007" s="173" t="s">
        <v>4842</v>
      </c>
    </row>
    <row r="2008" ht="17.25" spans="1:4">
      <c r="A2008" s="180" t="s">
        <v>7089</v>
      </c>
      <c r="B2008" s="173" t="s">
        <v>4840</v>
      </c>
      <c r="C2008" s="173" t="s">
        <v>4841</v>
      </c>
      <c r="D2008" s="173" t="s">
        <v>4842</v>
      </c>
    </row>
    <row r="2009" ht="17.25" spans="1:4">
      <c r="A2009" s="180" t="s">
        <v>7090</v>
      </c>
      <c r="B2009" s="173" t="s">
        <v>4840</v>
      </c>
      <c r="C2009" s="173" t="s">
        <v>4841</v>
      </c>
      <c r="D2009" s="173" t="s">
        <v>4842</v>
      </c>
    </row>
    <row r="2010" ht="17.25" spans="1:4">
      <c r="A2010" s="180" t="s">
        <v>7091</v>
      </c>
      <c r="B2010" s="173" t="s">
        <v>6926</v>
      </c>
      <c r="C2010" s="173" t="s">
        <v>4841</v>
      </c>
      <c r="D2010" s="173" t="s">
        <v>6927</v>
      </c>
    </row>
    <row r="2011" ht="17.25" spans="1:4">
      <c r="A2011" s="180" t="s">
        <v>7092</v>
      </c>
      <c r="B2011" s="173" t="s">
        <v>6926</v>
      </c>
      <c r="C2011" s="173" t="s">
        <v>4841</v>
      </c>
      <c r="D2011" s="173" t="s">
        <v>6927</v>
      </c>
    </row>
    <row r="2012" ht="17.25" spans="1:4">
      <c r="A2012" s="180" t="s">
        <v>7093</v>
      </c>
      <c r="B2012" s="173" t="s">
        <v>4840</v>
      </c>
      <c r="C2012" s="173" t="s">
        <v>4841</v>
      </c>
      <c r="D2012" s="173" t="s">
        <v>4842</v>
      </c>
    </row>
    <row r="2013" ht="17.25" spans="1:4">
      <c r="A2013" s="180" t="s">
        <v>7094</v>
      </c>
      <c r="B2013" s="173" t="s">
        <v>4840</v>
      </c>
      <c r="C2013" s="173" t="s">
        <v>4841</v>
      </c>
      <c r="D2013" s="173" t="s">
        <v>4842</v>
      </c>
    </row>
    <row r="2014" ht="17.25" spans="1:4">
      <c r="A2014" s="180" t="s">
        <v>7095</v>
      </c>
      <c r="B2014" s="173" t="s">
        <v>6926</v>
      </c>
      <c r="C2014" s="173" t="s">
        <v>4841</v>
      </c>
      <c r="D2014" s="173" t="s">
        <v>6927</v>
      </c>
    </row>
    <row r="2015" ht="17.25" spans="1:4">
      <c r="A2015" s="180" t="s">
        <v>7096</v>
      </c>
      <c r="B2015" s="173" t="s">
        <v>6926</v>
      </c>
      <c r="C2015" s="173" t="s">
        <v>4841</v>
      </c>
      <c r="D2015" s="173" t="s">
        <v>6927</v>
      </c>
    </row>
    <row r="2016" ht="17.25" spans="1:4">
      <c r="A2016" s="180" t="s">
        <v>7097</v>
      </c>
      <c r="B2016" s="173" t="s">
        <v>4840</v>
      </c>
      <c r="C2016" s="173" t="s">
        <v>4841</v>
      </c>
      <c r="D2016" s="173" t="s">
        <v>4842</v>
      </c>
    </row>
    <row r="2017" ht="17.25" spans="1:4">
      <c r="A2017" s="180" t="s">
        <v>7098</v>
      </c>
      <c r="B2017" s="173" t="s">
        <v>6926</v>
      </c>
      <c r="C2017" s="173" t="s">
        <v>4841</v>
      </c>
      <c r="D2017" s="173" t="s">
        <v>6927</v>
      </c>
    </row>
    <row r="2018" ht="17.25" spans="1:4">
      <c r="A2018" s="180" t="s">
        <v>7099</v>
      </c>
      <c r="B2018" s="173" t="s">
        <v>6926</v>
      </c>
      <c r="C2018" s="173" t="s">
        <v>4841</v>
      </c>
      <c r="D2018" s="173" t="s">
        <v>6927</v>
      </c>
    </row>
    <row r="2019" ht="17.25" spans="1:4">
      <c r="A2019" s="180" t="s">
        <v>7100</v>
      </c>
      <c r="B2019" s="173" t="s">
        <v>6926</v>
      </c>
      <c r="C2019" s="173" t="s">
        <v>4841</v>
      </c>
      <c r="D2019" s="173" t="s">
        <v>6927</v>
      </c>
    </row>
    <row r="2020" ht="17.25" spans="1:4">
      <c r="A2020" s="180" t="s">
        <v>7101</v>
      </c>
      <c r="B2020" s="173" t="s">
        <v>4840</v>
      </c>
      <c r="C2020" s="173" t="s">
        <v>4841</v>
      </c>
      <c r="D2020" s="173" t="s">
        <v>4842</v>
      </c>
    </row>
    <row r="2021" ht="17.25" spans="1:4">
      <c r="A2021" s="180" t="s">
        <v>7102</v>
      </c>
      <c r="B2021" s="173" t="s">
        <v>6926</v>
      </c>
      <c r="C2021" s="173" t="s">
        <v>4841</v>
      </c>
      <c r="D2021" s="173" t="s">
        <v>6927</v>
      </c>
    </row>
    <row r="2022" ht="17.25" spans="1:4">
      <c r="A2022" s="180" t="s">
        <v>7103</v>
      </c>
      <c r="B2022" s="173" t="s">
        <v>4830</v>
      </c>
      <c r="C2022" s="173" t="s">
        <v>4831</v>
      </c>
      <c r="D2022" s="173" t="s">
        <v>4832</v>
      </c>
    </row>
    <row r="2023" ht="17.25" spans="1:4">
      <c r="A2023" s="180" t="s">
        <v>7104</v>
      </c>
      <c r="B2023" s="173" t="s">
        <v>4840</v>
      </c>
      <c r="C2023" s="173" t="s">
        <v>4841</v>
      </c>
      <c r="D2023" s="173" t="s">
        <v>4842</v>
      </c>
    </row>
    <row r="2024" ht="17.25" spans="1:4">
      <c r="A2024" s="180" t="s">
        <v>7105</v>
      </c>
      <c r="B2024" s="173" t="s">
        <v>4840</v>
      </c>
      <c r="C2024" s="173" t="s">
        <v>4841</v>
      </c>
      <c r="D2024" s="173" t="s">
        <v>4842</v>
      </c>
    </row>
    <row r="2025" ht="17.25" spans="1:4">
      <c r="A2025" s="180" t="s">
        <v>7106</v>
      </c>
      <c r="B2025" s="173" t="s">
        <v>4840</v>
      </c>
      <c r="C2025" s="173" t="s">
        <v>4841</v>
      </c>
      <c r="D2025" s="173" t="s">
        <v>4842</v>
      </c>
    </row>
    <row r="2026" ht="17.25" spans="1:4">
      <c r="A2026" s="180" t="s">
        <v>7107</v>
      </c>
      <c r="B2026" s="173" t="s">
        <v>4840</v>
      </c>
      <c r="C2026" s="173" t="s">
        <v>4841</v>
      </c>
      <c r="D2026" s="173" t="s">
        <v>4842</v>
      </c>
    </row>
    <row r="2027" ht="17.25" spans="1:4">
      <c r="A2027" s="180" t="s">
        <v>7108</v>
      </c>
      <c r="B2027" s="173" t="s">
        <v>6926</v>
      </c>
      <c r="C2027" s="173" t="s">
        <v>4841</v>
      </c>
      <c r="D2027" s="173" t="s">
        <v>6927</v>
      </c>
    </row>
    <row r="2028" ht="17.25" spans="1:4">
      <c r="A2028" s="180" t="s">
        <v>7109</v>
      </c>
      <c r="B2028" s="173" t="s">
        <v>6926</v>
      </c>
      <c r="C2028" s="173" t="s">
        <v>4841</v>
      </c>
      <c r="D2028" s="173" t="s">
        <v>6927</v>
      </c>
    </row>
    <row r="2029" ht="17.25" spans="1:4">
      <c r="A2029" s="180" t="s">
        <v>7110</v>
      </c>
      <c r="B2029" s="180" t="s">
        <v>7110</v>
      </c>
      <c r="C2029" s="173" t="s">
        <v>4841</v>
      </c>
      <c r="D2029" s="173" t="s">
        <v>7111</v>
      </c>
    </row>
    <row r="2030" ht="17.25" spans="1:4">
      <c r="A2030" s="180" t="s">
        <v>7112</v>
      </c>
      <c r="B2030" s="180" t="s">
        <v>7110</v>
      </c>
      <c r="C2030" s="173" t="s">
        <v>4841</v>
      </c>
      <c r="D2030" s="173" t="s">
        <v>7111</v>
      </c>
    </row>
    <row r="2031" ht="17.25" spans="1:4">
      <c r="A2031" s="180" t="s">
        <v>7113</v>
      </c>
      <c r="B2031" s="180" t="s">
        <v>7110</v>
      </c>
      <c r="C2031" s="173" t="s">
        <v>4841</v>
      </c>
      <c r="D2031" s="173" t="s">
        <v>7111</v>
      </c>
    </row>
    <row r="2032" ht="17.25" spans="1:4">
      <c r="A2032" s="180" t="s">
        <v>7114</v>
      </c>
      <c r="B2032" s="180" t="s">
        <v>7110</v>
      </c>
      <c r="C2032" s="173" t="s">
        <v>4841</v>
      </c>
      <c r="D2032" s="173" t="s">
        <v>7111</v>
      </c>
    </row>
    <row r="2033" ht="17.25" spans="1:4">
      <c r="A2033" s="180" t="s">
        <v>7115</v>
      </c>
      <c r="B2033" s="180" t="s">
        <v>7110</v>
      </c>
      <c r="C2033" s="173" t="s">
        <v>4841</v>
      </c>
      <c r="D2033" s="173" t="s">
        <v>7111</v>
      </c>
    </row>
    <row r="2034" ht="17.25" spans="1:4">
      <c r="A2034" s="180" t="s">
        <v>7116</v>
      </c>
      <c r="B2034" s="180" t="s">
        <v>7110</v>
      </c>
      <c r="C2034" s="173" t="s">
        <v>4841</v>
      </c>
      <c r="D2034" s="173" t="s">
        <v>7111</v>
      </c>
    </row>
    <row r="2035" ht="17.25" spans="1:4">
      <c r="A2035" s="180" t="s">
        <v>7117</v>
      </c>
      <c r="B2035" s="180" t="s">
        <v>7110</v>
      </c>
      <c r="C2035" s="173" t="s">
        <v>4841</v>
      </c>
      <c r="D2035" s="173" t="s">
        <v>7111</v>
      </c>
    </row>
    <row r="2036" ht="17.25" spans="1:4">
      <c r="A2036" s="180" t="s">
        <v>7118</v>
      </c>
      <c r="B2036" s="180" t="s">
        <v>7110</v>
      </c>
      <c r="C2036" s="173" t="s">
        <v>4841</v>
      </c>
      <c r="D2036" s="173" t="s">
        <v>7111</v>
      </c>
    </row>
    <row r="2037" ht="17.25" spans="1:4">
      <c r="A2037" s="180" t="s">
        <v>7119</v>
      </c>
      <c r="B2037" s="180" t="s">
        <v>7110</v>
      </c>
      <c r="C2037" s="173" t="s">
        <v>4841</v>
      </c>
      <c r="D2037" s="173" t="s">
        <v>7111</v>
      </c>
    </row>
    <row r="2038" ht="17.25" spans="1:4">
      <c r="A2038" s="180" t="s">
        <v>7120</v>
      </c>
      <c r="B2038" s="180" t="s">
        <v>6340</v>
      </c>
      <c r="C2038" s="173" t="s">
        <v>4864</v>
      </c>
      <c r="D2038" s="173" t="s">
        <v>4865</v>
      </c>
    </row>
    <row r="2039" ht="17.25" spans="1:4">
      <c r="A2039" s="180" t="s">
        <v>7121</v>
      </c>
      <c r="B2039" s="180" t="s">
        <v>6808</v>
      </c>
      <c r="C2039" s="180" t="s">
        <v>6853</v>
      </c>
      <c r="D2039" s="173" t="s">
        <v>6809</v>
      </c>
    </row>
    <row r="2040" ht="17.25" spans="1:4">
      <c r="A2040" s="180" t="s">
        <v>7122</v>
      </c>
      <c r="B2040" s="180" t="s">
        <v>6808</v>
      </c>
      <c r="C2040" s="180" t="s">
        <v>6853</v>
      </c>
      <c r="D2040" s="173" t="s">
        <v>6809</v>
      </c>
    </row>
    <row r="2041" ht="17.25" spans="1:4">
      <c r="A2041" s="180" t="s">
        <v>7123</v>
      </c>
      <c r="B2041" s="180" t="s">
        <v>4840</v>
      </c>
      <c r="C2041" s="173" t="s">
        <v>4841</v>
      </c>
      <c r="D2041" s="173" t="s">
        <v>4842</v>
      </c>
    </row>
    <row r="2042" ht="17.25" spans="1:4">
      <c r="A2042" s="180" t="s">
        <v>7124</v>
      </c>
      <c r="B2042" s="180" t="s">
        <v>4840</v>
      </c>
      <c r="C2042" s="173" t="s">
        <v>4841</v>
      </c>
      <c r="D2042" s="173" t="s">
        <v>4842</v>
      </c>
    </row>
    <row r="2043" ht="17.25" spans="1:4">
      <c r="A2043" s="180" t="s">
        <v>7125</v>
      </c>
      <c r="B2043" s="180" t="s">
        <v>6926</v>
      </c>
      <c r="C2043" s="173" t="s">
        <v>4841</v>
      </c>
      <c r="D2043" s="173" t="s">
        <v>6927</v>
      </c>
    </row>
    <row r="2044" ht="17.25" spans="1:4">
      <c r="A2044" s="180" t="s">
        <v>7126</v>
      </c>
      <c r="B2044" s="180" t="s">
        <v>6926</v>
      </c>
      <c r="C2044" s="173" t="s">
        <v>4841</v>
      </c>
      <c r="D2044" s="173" t="s">
        <v>6927</v>
      </c>
    </row>
    <row r="2045" ht="17.25" spans="1:4">
      <c r="A2045" s="180" t="s">
        <v>7127</v>
      </c>
      <c r="B2045" s="180" t="s">
        <v>6926</v>
      </c>
      <c r="C2045" s="173" t="s">
        <v>4841</v>
      </c>
      <c r="D2045" s="173" t="s">
        <v>6927</v>
      </c>
    </row>
    <row r="2046" ht="17.25" spans="1:4">
      <c r="A2046" s="180" t="s">
        <v>7128</v>
      </c>
      <c r="B2046" s="180" t="s">
        <v>6926</v>
      </c>
      <c r="C2046" s="173" t="s">
        <v>4841</v>
      </c>
      <c r="D2046" s="173" t="s">
        <v>6927</v>
      </c>
    </row>
    <row r="2047" ht="17.25" spans="1:4">
      <c r="A2047" s="180" t="s">
        <v>7129</v>
      </c>
      <c r="B2047" s="180" t="s">
        <v>7110</v>
      </c>
      <c r="C2047" s="173" t="s">
        <v>4841</v>
      </c>
      <c r="D2047" s="173" t="s">
        <v>7111</v>
      </c>
    </row>
    <row r="2048" ht="17.25" spans="1:4">
      <c r="A2048" s="180" t="s">
        <v>7130</v>
      </c>
      <c r="B2048" s="180" t="s">
        <v>7110</v>
      </c>
      <c r="C2048" s="173" t="s">
        <v>4841</v>
      </c>
      <c r="D2048" s="173" t="s">
        <v>7111</v>
      </c>
    </row>
    <row r="2049" ht="17.25" spans="1:4">
      <c r="A2049" s="180" t="s">
        <v>7131</v>
      </c>
      <c r="B2049" s="180" t="s">
        <v>7110</v>
      </c>
      <c r="C2049" s="173" t="s">
        <v>4841</v>
      </c>
      <c r="D2049" s="173" t="s">
        <v>7111</v>
      </c>
    </row>
    <row r="2050" ht="17.25" spans="1:4">
      <c r="A2050" s="180" t="s">
        <v>7132</v>
      </c>
      <c r="B2050" s="180" t="s">
        <v>7110</v>
      </c>
      <c r="C2050" s="173" t="s">
        <v>4841</v>
      </c>
      <c r="D2050" s="173" t="s">
        <v>7111</v>
      </c>
    </row>
    <row r="2051" ht="17.25" spans="1:4">
      <c r="A2051" s="180" t="s">
        <v>7133</v>
      </c>
      <c r="B2051" s="180" t="s">
        <v>7110</v>
      </c>
      <c r="C2051" s="173" t="s">
        <v>4841</v>
      </c>
      <c r="D2051" s="173" t="s">
        <v>7111</v>
      </c>
    </row>
    <row r="2052" ht="17.25" spans="1:4">
      <c r="A2052" s="180" t="s">
        <v>7134</v>
      </c>
      <c r="B2052" s="180" t="s">
        <v>7110</v>
      </c>
      <c r="C2052" s="173" t="s">
        <v>4841</v>
      </c>
      <c r="D2052" s="173" t="s">
        <v>7111</v>
      </c>
    </row>
    <row r="2053" ht="17.25" spans="1:4">
      <c r="A2053" s="180" t="s">
        <v>7135</v>
      </c>
      <c r="B2053" s="180" t="s">
        <v>7110</v>
      </c>
      <c r="C2053" s="173" t="s">
        <v>4841</v>
      </c>
      <c r="D2053" s="173" t="s">
        <v>7111</v>
      </c>
    </row>
    <row r="2054" ht="17.25" spans="1:4">
      <c r="A2054" s="184" t="s">
        <v>7136</v>
      </c>
      <c r="B2054" s="176" t="s">
        <v>6241</v>
      </c>
      <c r="C2054" s="176" t="s">
        <v>6242</v>
      </c>
      <c r="D2054" s="176" t="s">
        <v>6242</v>
      </c>
    </row>
    <row r="2055" ht="17.25" spans="1:4">
      <c r="A2055" s="180" t="s">
        <v>7137</v>
      </c>
      <c r="B2055" s="180" t="s">
        <v>6926</v>
      </c>
      <c r="C2055" s="173" t="s">
        <v>4841</v>
      </c>
      <c r="D2055" s="173" t="s">
        <v>6927</v>
      </c>
    </row>
    <row r="2056" ht="17.25" spans="1:4">
      <c r="A2056" s="180" t="s">
        <v>7138</v>
      </c>
      <c r="B2056" s="180" t="s">
        <v>6926</v>
      </c>
      <c r="C2056" s="173" t="s">
        <v>4841</v>
      </c>
      <c r="D2056" s="173" t="s">
        <v>6927</v>
      </c>
    </row>
    <row r="2057" ht="17.25" spans="1:4">
      <c r="A2057" s="180" t="s">
        <v>7139</v>
      </c>
      <c r="B2057" s="180" t="s">
        <v>4840</v>
      </c>
      <c r="C2057" s="173" t="s">
        <v>4841</v>
      </c>
      <c r="D2057" s="173" t="s">
        <v>4842</v>
      </c>
    </row>
    <row r="2058" ht="17.25" spans="1:4">
      <c r="A2058" s="180" t="s">
        <v>7140</v>
      </c>
      <c r="B2058" s="180" t="s">
        <v>6926</v>
      </c>
      <c r="C2058" s="173" t="s">
        <v>4841</v>
      </c>
      <c r="D2058" s="173" t="s">
        <v>6927</v>
      </c>
    </row>
    <row r="2059" ht="17.25" spans="1:4">
      <c r="A2059" s="180" t="s">
        <v>7141</v>
      </c>
      <c r="B2059" s="180" t="s">
        <v>6926</v>
      </c>
      <c r="C2059" s="173" t="s">
        <v>4841</v>
      </c>
      <c r="D2059" s="173" t="s">
        <v>6927</v>
      </c>
    </row>
    <row r="2060" ht="17.25" spans="1:4">
      <c r="A2060" s="180" t="s">
        <v>7142</v>
      </c>
      <c r="B2060" s="180" t="s">
        <v>7110</v>
      </c>
      <c r="C2060" s="173" t="s">
        <v>4841</v>
      </c>
      <c r="D2060" s="173" t="s">
        <v>7111</v>
      </c>
    </row>
    <row r="2061" ht="17.25" spans="1:4">
      <c r="A2061" s="180" t="s">
        <v>7143</v>
      </c>
      <c r="B2061" s="180" t="s">
        <v>7110</v>
      </c>
      <c r="C2061" s="173" t="s">
        <v>4841</v>
      </c>
      <c r="D2061" s="173" t="s">
        <v>7111</v>
      </c>
    </row>
    <row r="2062" ht="17.25" spans="1:4">
      <c r="A2062" s="180" t="s">
        <v>7144</v>
      </c>
      <c r="B2062" s="180" t="s">
        <v>7110</v>
      </c>
      <c r="C2062" s="173" t="s">
        <v>4841</v>
      </c>
      <c r="D2062" s="173" t="s">
        <v>7111</v>
      </c>
    </row>
    <row r="2063" ht="17.25" spans="1:4">
      <c r="A2063" s="180" t="s">
        <v>7145</v>
      </c>
      <c r="B2063" s="180" t="s">
        <v>4840</v>
      </c>
      <c r="C2063" s="173" t="s">
        <v>4841</v>
      </c>
      <c r="D2063" s="173" t="s">
        <v>4842</v>
      </c>
    </row>
    <row r="2064" ht="17.25" spans="1:4">
      <c r="A2064" s="180" t="s">
        <v>7146</v>
      </c>
      <c r="B2064" s="180" t="s">
        <v>4840</v>
      </c>
      <c r="C2064" s="173" t="s">
        <v>4841</v>
      </c>
      <c r="D2064" s="173" t="s">
        <v>4842</v>
      </c>
    </row>
    <row r="2065" ht="17.25" spans="1:4">
      <c r="A2065" s="180" t="s">
        <v>7147</v>
      </c>
      <c r="B2065" s="180" t="s">
        <v>4840</v>
      </c>
      <c r="C2065" s="173" t="s">
        <v>4841</v>
      </c>
      <c r="D2065" s="173" t="s">
        <v>4842</v>
      </c>
    </row>
    <row r="2066" ht="17.25" spans="1:4">
      <c r="A2066" s="180" t="s">
        <v>7148</v>
      </c>
      <c r="B2066" s="180" t="s">
        <v>4840</v>
      </c>
      <c r="C2066" s="173" t="s">
        <v>4841</v>
      </c>
      <c r="D2066" s="173" t="s">
        <v>4842</v>
      </c>
    </row>
    <row r="2067" ht="17.25" spans="1:4">
      <c r="A2067" s="180" t="s">
        <v>7141</v>
      </c>
      <c r="B2067" s="180" t="s">
        <v>6926</v>
      </c>
      <c r="C2067" s="173" t="s">
        <v>4841</v>
      </c>
      <c r="D2067" s="173" t="s">
        <v>6927</v>
      </c>
    </row>
    <row r="2068" ht="17.25" spans="1:4">
      <c r="A2068" s="180" t="s">
        <v>7149</v>
      </c>
      <c r="B2068" s="180" t="s">
        <v>6926</v>
      </c>
      <c r="C2068" s="173" t="s">
        <v>4841</v>
      </c>
      <c r="D2068" s="173" t="s">
        <v>6927</v>
      </c>
    </row>
    <row r="2069" ht="17.25" spans="1:4">
      <c r="A2069" s="180" t="s">
        <v>7150</v>
      </c>
      <c r="B2069" s="180" t="s">
        <v>6926</v>
      </c>
      <c r="C2069" s="173" t="s">
        <v>4841</v>
      </c>
      <c r="D2069" s="173" t="s">
        <v>6927</v>
      </c>
    </row>
    <row r="2070" ht="17.25" spans="1:4">
      <c r="A2070" s="180" t="s">
        <v>7151</v>
      </c>
      <c r="B2070" s="180" t="s">
        <v>6926</v>
      </c>
      <c r="C2070" s="173" t="s">
        <v>4841</v>
      </c>
      <c r="D2070" s="173" t="s">
        <v>6927</v>
      </c>
    </row>
    <row r="2071" ht="17.25" spans="1:4">
      <c r="A2071" s="180" t="s">
        <v>7152</v>
      </c>
      <c r="B2071" s="180" t="s">
        <v>6926</v>
      </c>
      <c r="C2071" s="173" t="s">
        <v>4841</v>
      </c>
      <c r="D2071" s="173" t="s">
        <v>6927</v>
      </c>
    </row>
    <row r="2072" ht="17.25" spans="1:4">
      <c r="A2072" s="180" t="s">
        <v>7153</v>
      </c>
      <c r="B2072" s="180" t="s">
        <v>7110</v>
      </c>
      <c r="C2072" s="173" t="s">
        <v>4841</v>
      </c>
      <c r="D2072" s="173" t="s">
        <v>7111</v>
      </c>
    </row>
    <row r="2073" ht="17.25" spans="1:4">
      <c r="A2073" s="180" t="s">
        <v>7154</v>
      </c>
      <c r="B2073" s="180" t="s">
        <v>4840</v>
      </c>
      <c r="C2073" s="173" t="s">
        <v>4841</v>
      </c>
      <c r="D2073" s="173" t="s">
        <v>4842</v>
      </c>
    </row>
    <row r="2074" ht="17.25" spans="1:4">
      <c r="A2074" s="180" t="s">
        <v>7155</v>
      </c>
      <c r="B2074" s="180" t="s">
        <v>4840</v>
      </c>
      <c r="C2074" s="173" t="s">
        <v>4841</v>
      </c>
      <c r="D2074" s="173" t="s">
        <v>4842</v>
      </c>
    </row>
    <row r="2075" ht="17.25" spans="1:4">
      <c r="A2075" s="180" t="s">
        <v>7156</v>
      </c>
      <c r="B2075" s="180" t="s">
        <v>4840</v>
      </c>
      <c r="C2075" s="173" t="s">
        <v>4841</v>
      </c>
      <c r="D2075" s="173" t="s">
        <v>4842</v>
      </c>
    </row>
    <row r="2076" ht="17.25" spans="1:4">
      <c r="A2076" s="180" t="s">
        <v>7157</v>
      </c>
      <c r="B2076" s="180" t="s">
        <v>4840</v>
      </c>
      <c r="C2076" s="173" t="s">
        <v>4841</v>
      </c>
      <c r="D2076" s="173" t="s">
        <v>4842</v>
      </c>
    </row>
    <row r="2077" ht="17.25" spans="1:4">
      <c r="A2077" s="180" t="s">
        <v>7158</v>
      </c>
      <c r="B2077" s="180" t="s">
        <v>4840</v>
      </c>
      <c r="C2077" s="173" t="s">
        <v>4841</v>
      </c>
      <c r="D2077" s="173" t="s">
        <v>4842</v>
      </c>
    </row>
    <row r="2078" ht="17.25" spans="1:4">
      <c r="A2078" s="180" t="s">
        <v>1487</v>
      </c>
      <c r="B2078" s="180" t="s">
        <v>4840</v>
      </c>
      <c r="C2078" s="173" t="s">
        <v>4841</v>
      </c>
      <c r="D2078" s="173" t="s">
        <v>4842</v>
      </c>
    </row>
    <row r="2079" ht="17.25" spans="1:4">
      <c r="A2079" s="180" t="s">
        <v>7159</v>
      </c>
      <c r="B2079" s="180" t="s">
        <v>6926</v>
      </c>
      <c r="C2079" s="173" t="s">
        <v>4841</v>
      </c>
      <c r="D2079" s="173" t="s">
        <v>6927</v>
      </c>
    </row>
    <row r="2080" ht="17.25" spans="1:4">
      <c r="A2080" s="180" t="s">
        <v>7160</v>
      </c>
      <c r="B2080" s="180" t="s">
        <v>6926</v>
      </c>
      <c r="C2080" s="173" t="s">
        <v>4841</v>
      </c>
      <c r="D2080" s="173" t="s">
        <v>6927</v>
      </c>
    </row>
    <row r="2081" ht="17.25" spans="1:4">
      <c r="A2081" s="180" t="s">
        <v>7161</v>
      </c>
      <c r="B2081" s="180" t="s">
        <v>4840</v>
      </c>
      <c r="C2081" s="173" t="s">
        <v>4841</v>
      </c>
      <c r="D2081" s="173" t="s">
        <v>4842</v>
      </c>
    </row>
    <row r="2082" ht="17.25" spans="1:4">
      <c r="A2082" s="180" t="s">
        <v>7162</v>
      </c>
      <c r="B2082" s="180" t="s">
        <v>4840</v>
      </c>
      <c r="C2082" s="173" t="s">
        <v>4841</v>
      </c>
      <c r="D2082" s="173" t="s">
        <v>4842</v>
      </c>
    </row>
    <row r="2083" ht="17.25" spans="1:4">
      <c r="A2083" s="180" t="s">
        <v>7163</v>
      </c>
      <c r="B2083" s="180" t="s">
        <v>6926</v>
      </c>
      <c r="C2083" s="173" t="s">
        <v>4841</v>
      </c>
      <c r="D2083" s="173" t="s">
        <v>6927</v>
      </c>
    </row>
    <row r="2084" ht="17.25" spans="1:4">
      <c r="A2084" s="180" t="s">
        <v>7164</v>
      </c>
      <c r="B2084" s="180" t="s">
        <v>7110</v>
      </c>
      <c r="C2084" s="173" t="s">
        <v>4841</v>
      </c>
      <c r="D2084" s="173" t="s">
        <v>7111</v>
      </c>
    </row>
    <row r="2085" ht="17.25" spans="1:4">
      <c r="A2085" s="180" t="s">
        <v>7165</v>
      </c>
      <c r="B2085" s="180" t="s">
        <v>7110</v>
      </c>
      <c r="C2085" s="173" t="s">
        <v>4841</v>
      </c>
      <c r="D2085" s="173" t="s">
        <v>7111</v>
      </c>
    </row>
    <row r="2086" ht="17.25" spans="1:4">
      <c r="A2086" s="180" t="s">
        <v>7166</v>
      </c>
      <c r="B2086" s="180" t="s">
        <v>7110</v>
      </c>
      <c r="C2086" s="173" t="s">
        <v>4841</v>
      </c>
      <c r="D2086" s="173" t="s">
        <v>7111</v>
      </c>
    </row>
    <row r="2087" ht="17.25" spans="1:4">
      <c r="A2087" s="180" t="s">
        <v>7167</v>
      </c>
      <c r="B2087" s="180" t="s">
        <v>7110</v>
      </c>
      <c r="C2087" s="173" t="s">
        <v>4841</v>
      </c>
      <c r="D2087" s="173" t="s">
        <v>7111</v>
      </c>
    </row>
    <row r="2088" ht="17.25" spans="1:4">
      <c r="A2088" s="180" t="s">
        <v>7168</v>
      </c>
      <c r="B2088" s="180" t="s">
        <v>7110</v>
      </c>
      <c r="C2088" s="173" t="s">
        <v>4841</v>
      </c>
      <c r="D2088" s="173" t="s">
        <v>7111</v>
      </c>
    </row>
    <row r="2089" ht="17.25" spans="1:4">
      <c r="A2089" s="180" t="s">
        <v>7169</v>
      </c>
      <c r="B2089" s="180" t="s">
        <v>7110</v>
      </c>
      <c r="C2089" s="173" t="s">
        <v>4841</v>
      </c>
      <c r="D2089" s="173" t="s">
        <v>7111</v>
      </c>
    </row>
    <row r="2090" ht="17.25" spans="1:4">
      <c r="A2090" s="185" t="s">
        <v>7170</v>
      </c>
      <c r="B2090" s="185" t="s">
        <v>4840</v>
      </c>
      <c r="C2090" s="173" t="s">
        <v>4841</v>
      </c>
      <c r="D2090" s="173" t="s">
        <v>4842</v>
      </c>
    </row>
    <row r="2091" ht="17.25" spans="1:4">
      <c r="A2091" s="185" t="s">
        <v>7171</v>
      </c>
      <c r="B2091" s="185" t="s">
        <v>6926</v>
      </c>
      <c r="C2091" s="173" t="s">
        <v>4841</v>
      </c>
      <c r="D2091" s="173" t="s">
        <v>6927</v>
      </c>
    </row>
    <row r="2092" ht="17.25" spans="1:4">
      <c r="A2092" s="185" t="s">
        <v>7172</v>
      </c>
      <c r="B2092" s="185" t="s">
        <v>7110</v>
      </c>
      <c r="C2092" s="173" t="s">
        <v>4841</v>
      </c>
      <c r="D2092" s="173" t="s">
        <v>7111</v>
      </c>
    </row>
    <row r="2093" ht="17.25" spans="1:4">
      <c r="A2093" s="185" t="s">
        <v>7173</v>
      </c>
      <c r="B2093" s="185" t="s">
        <v>7110</v>
      </c>
      <c r="C2093" s="173" t="s">
        <v>4841</v>
      </c>
      <c r="D2093" s="173" t="s">
        <v>7111</v>
      </c>
    </row>
    <row r="2094" ht="17.25" spans="1:4">
      <c r="A2094" s="185" t="s">
        <v>7174</v>
      </c>
      <c r="B2094" s="185" t="s">
        <v>7110</v>
      </c>
      <c r="C2094" s="173" t="s">
        <v>4841</v>
      </c>
      <c r="D2094" s="173" t="s">
        <v>7111</v>
      </c>
    </row>
    <row r="2095" ht="17.25" spans="1:4">
      <c r="A2095" s="180" t="s">
        <v>7175</v>
      </c>
      <c r="B2095" s="173" t="s">
        <v>5013</v>
      </c>
      <c r="C2095" s="173" t="s">
        <v>4841</v>
      </c>
      <c r="D2095" s="173" t="s">
        <v>5014</v>
      </c>
    </row>
    <row r="2096" ht="17.25" spans="1:4">
      <c r="A2096" s="180" t="s">
        <v>7176</v>
      </c>
      <c r="B2096" s="185" t="s">
        <v>7110</v>
      </c>
      <c r="C2096" s="173" t="s">
        <v>4841</v>
      </c>
      <c r="D2096" s="173" t="s">
        <v>7111</v>
      </c>
    </row>
    <row r="2097" ht="17.25" spans="1:4">
      <c r="A2097" s="180" t="s">
        <v>7177</v>
      </c>
      <c r="B2097" s="185" t="s">
        <v>7110</v>
      </c>
      <c r="C2097" s="173" t="s">
        <v>4841</v>
      </c>
      <c r="D2097" s="173" t="s">
        <v>7111</v>
      </c>
    </row>
    <row r="2098" ht="17.25" spans="1:4">
      <c r="A2098" s="180" t="s">
        <v>7178</v>
      </c>
      <c r="B2098" s="185" t="s">
        <v>7110</v>
      </c>
      <c r="C2098" s="173" t="s">
        <v>4841</v>
      </c>
      <c r="D2098" s="173" t="s">
        <v>7111</v>
      </c>
    </row>
    <row r="2099" ht="17.25" spans="1:4">
      <c r="A2099" s="180" t="s">
        <v>7179</v>
      </c>
      <c r="B2099" s="185" t="s">
        <v>7110</v>
      </c>
      <c r="C2099" s="173" t="s">
        <v>4841</v>
      </c>
      <c r="D2099" s="173" t="s">
        <v>7111</v>
      </c>
    </row>
    <row r="2100" ht="17.25" spans="1:4">
      <c r="A2100" s="180" t="s">
        <v>7180</v>
      </c>
      <c r="B2100" s="185" t="s">
        <v>7180</v>
      </c>
      <c r="C2100" s="173" t="s">
        <v>7181</v>
      </c>
      <c r="D2100" s="173" t="s">
        <v>4838</v>
      </c>
    </row>
    <row r="2101" ht="17.25" spans="1:4">
      <c r="A2101" s="185" t="s">
        <v>3786</v>
      </c>
      <c r="B2101" s="185" t="s">
        <v>6926</v>
      </c>
      <c r="C2101" s="173" t="s">
        <v>4841</v>
      </c>
      <c r="D2101" s="173" t="s">
        <v>6927</v>
      </c>
    </row>
    <row r="2102" ht="17.25" spans="1:4">
      <c r="A2102" s="185" t="s">
        <v>7182</v>
      </c>
      <c r="B2102" s="185" t="s">
        <v>6926</v>
      </c>
      <c r="C2102" s="173" t="s">
        <v>4841</v>
      </c>
      <c r="D2102" s="173" t="s">
        <v>6927</v>
      </c>
    </row>
    <row r="2103" ht="17.25" spans="1:4">
      <c r="A2103" s="185" t="s">
        <v>7183</v>
      </c>
      <c r="B2103" s="185" t="s">
        <v>6926</v>
      </c>
      <c r="C2103" s="173" t="s">
        <v>4841</v>
      </c>
      <c r="D2103" s="173" t="s">
        <v>6927</v>
      </c>
    </row>
    <row r="2104" ht="17.25" spans="1:4">
      <c r="A2104" s="185" t="s">
        <v>7184</v>
      </c>
      <c r="B2104" s="185" t="s">
        <v>7110</v>
      </c>
      <c r="C2104" s="173" t="s">
        <v>4841</v>
      </c>
      <c r="D2104" s="173" t="s">
        <v>7111</v>
      </c>
    </row>
    <row r="2105" ht="17.25" spans="1:4">
      <c r="A2105" s="185" t="s">
        <v>7185</v>
      </c>
      <c r="B2105" s="185" t="s">
        <v>7110</v>
      </c>
      <c r="C2105" s="173" t="s">
        <v>4841</v>
      </c>
      <c r="D2105" s="173" t="s">
        <v>7111</v>
      </c>
    </row>
    <row r="2106" ht="17.25" spans="1:4">
      <c r="A2106" s="185" t="s">
        <v>7186</v>
      </c>
      <c r="B2106" s="185" t="s">
        <v>7110</v>
      </c>
      <c r="C2106" s="173" t="s">
        <v>4841</v>
      </c>
      <c r="D2106" s="173" t="s">
        <v>7111</v>
      </c>
    </row>
    <row r="2107" ht="17.25" spans="1:4">
      <c r="A2107" s="185" t="s">
        <v>7187</v>
      </c>
      <c r="B2107" s="185" t="s">
        <v>7110</v>
      </c>
      <c r="C2107" s="173" t="s">
        <v>4841</v>
      </c>
      <c r="D2107" s="173" t="s">
        <v>7111</v>
      </c>
    </row>
    <row r="2108" ht="17.25" spans="1:4">
      <c r="A2108" s="180" t="s">
        <v>7188</v>
      </c>
      <c r="B2108" s="185" t="s">
        <v>4840</v>
      </c>
      <c r="C2108" s="173" t="s">
        <v>4841</v>
      </c>
      <c r="D2108" s="173" t="s">
        <v>4842</v>
      </c>
    </row>
    <row r="2109" ht="17.25" spans="1:4">
      <c r="A2109" s="180" t="s">
        <v>7189</v>
      </c>
      <c r="B2109" s="185" t="s">
        <v>4840</v>
      </c>
      <c r="C2109" s="173" t="s">
        <v>4841</v>
      </c>
      <c r="D2109" s="173" t="s">
        <v>4842</v>
      </c>
    </row>
    <row r="2110" ht="17.25" spans="1:4">
      <c r="A2110" s="180" t="s">
        <v>7190</v>
      </c>
      <c r="B2110" s="185" t="s">
        <v>6926</v>
      </c>
      <c r="C2110" s="173" t="s">
        <v>4841</v>
      </c>
      <c r="D2110" s="173" t="s">
        <v>6927</v>
      </c>
    </row>
    <row r="2111" ht="17.25" spans="1:4">
      <c r="A2111" s="180" t="s">
        <v>7191</v>
      </c>
      <c r="B2111" s="185" t="s">
        <v>6926</v>
      </c>
      <c r="C2111" s="173" t="s">
        <v>4841</v>
      </c>
      <c r="D2111" s="173" t="s">
        <v>6927</v>
      </c>
    </row>
    <row r="2112" ht="17.25" spans="1:4">
      <c r="A2112" s="180" t="s">
        <v>7192</v>
      </c>
      <c r="B2112" s="185" t="s">
        <v>7110</v>
      </c>
      <c r="C2112" s="173" t="s">
        <v>4841</v>
      </c>
      <c r="D2112" s="173" t="s">
        <v>7111</v>
      </c>
    </row>
    <row r="2113" ht="17.25" spans="1:4">
      <c r="A2113" s="180" t="s">
        <v>7193</v>
      </c>
      <c r="B2113" s="185" t="s">
        <v>7110</v>
      </c>
      <c r="C2113" s="173" t="s">
        <v>4841</v>
      </c>
      <c r="D2113" s="173" t="s">
        <v>7111</v>
      </c>
    </row>
    <row r="2114" ht="17.25" spans="1:4">
      <c r="A2114" s="180" t="s">
        <v>7194</v>
      </c>
      <c r="B2114" s="185" t="s">
        <v>7110</v>
      </c>
      <c r="C2114" s="173" t="s">
        <v>4841</v>
      </c>
      <c r="D2114" s="173" t="s">
        <v>7111</v>
      </c>
    </row>
    <row r="2115" ht="17.25" spans="1:4">
      <c r="A2115" s="180" t="s">
        <v>7195</v>
      </c>
      <c r="B2115" s="185" t="s">
        <v>7110</v>
      </c>
      <c r="C2115" s="173" t="s">
        <v>4841</v>
      </c>
      <c r="D2115" s="173" t="s">
        <v>7111</v>
      </c>
    </row>
    <row r="2116" ht="17.25" spans="1:4">
      <c r="A2116" s="180" t="s">
        <v>7196</v>
      </c>
      <c r="B2116" s="185" t="s">
        <v>7110</v>
      </c>
      <c r="C2116" s="173" t="s">
        <v>4841</v>
      </c>
      <c r="D2116" s="173" t="s">
        <v>7111</v>
      </c>
    </row>
    <row r="2117" ht="17.25" spans="1:4">
      <c r="A2117" s="180" t="s">
        <v>7197</v>
      </c>
      <c r="B2117" s="185" t="s">
        <v>7110</v>
      </c>
      <c r="C2117" s="173" t="s">
        <v>4841</v>
      </c>
      <c r="D2117" s="173" t="s">
        <v>7111</v>
      </c>
    </row>
    <row r="2118" ht="17.25" spans="1:4">
      <c r="A2118" s="180" t="s">
        <v>7198</v>
      </c>
      <c r="B2118" s="185" t="s">
        <v>7110</v>
      </c>
      <c r="C2118" s="173" t="s">
        <v>4841</v>
      </c>
      <c r="D2118" s="173" t="s">
        <v>7111</v>
      </c>
    </row>
    <row r="2119" ht="17.25" spans="1:4">
      <c r="A2119" s="180" t="s">
        <v>7199</v>
      </c>
      <c r="B2119" s="185" t="s">
        <v>7110</v>
      </c>
      <c r="C2119" s="173" t="s">
        <v>4841</v>
      </c>
      <c r="D2119" s="173" t="s">
        <v>7111</v>
      </c>
    </row>
    <row r="2120" ht="17.25" spans="1:4">
      <c r="A2120" s="180" t="s">
        <v>7200</v>
      </c>
      <c r="B2120" s="185" t="s">
        <v>7110</v>
      </c>
      <c r="C2120" s="173" t="s">
        <v>4841</v>
      </c>
      <c r="D2120" s="173" t="s">
        <v>7111</v>
      </c>
    </row>
    <row r="2121" ht="17.25" spans="1:4">
      <c r="A2121" s="180" t="s">
        <v>7201</v>
      </c>
      <c r="B2121" s="185" t="s">
        <v>7110</v>
      </c>
      <c r="C2121" s="173" t="s">
        <v>4841</v>
      </c>
      <c r="D2121" s="173" t="s">
        <v>7111</v>
      </c>
    </row>
    <row r="2122" ht="17.25" spans="1:4">
      <c r="A2122" s="180" t="s">
        <v>7202</v>
      </c>
      <c r="B2122" s="185" t="s">
        <v>7110</v>
      </c>
      <c r="C2122" s="173" t="s">
        <v>4841</v>
      </c>
      <c r="D2122" s="173" t="s">
        <v>7111</v>
      </c>
    </row>
    <row r="2123" ht="17.25" spans="1:4">
      <c r="A2123" s="180" t="s">
        <v>7203</v>
      </c>
      <c r="B2123" s="185" t="s">
        <v>7110</v>
      </c>
      <c r="C2123" s="173" t="s">
        <v>4841</v>
      </c>
      <c r="D2123" s="173" t="s">
        <v>7111</v>
      </c>
    </row>
    <row r="2124" ht="17.25" spans="1:4">
      <c r="A2124" s="180" t="s">
        <v>7204</v>
      </c>
      <c r="B2124" s="185" t="s">
        <v>7110</v>
      </c>
      <c r="C2124" s="173" t="s">
        <v>4841</v>
      </c>
      <c r="D2124" s="173" t="s">
        <v>7111</v>
      </c>
    </row>
    <row r="2125" ht="17.25" spans="1:4">
      <c r="A2125" s="180" t="s">
        <v>7205</v>
      </c>
      <c r="B2125" s="185" t="s">
        <v>7110</v>
      </c>
      <c r="C2125" s="173" t="s">
        <v>4841</v>
      </c>
      <c r="D2125" s="173" t="s">
        <v>7111</v>
      </c>
    </row>
    <row r="2126" ht="17.25" spans="1:4">
      <c r="A2126" s="180" t="s">
        <v>7206</v>
      </c>
      <c r="B2126" s="185" t="s">
        <v>7110</v>
      </c>
      <c r="C2126" s="173" t="s">
        <v>4841</v>
      </c>
      <c r="D2126" s="173" t="s">
        <v>7111</v>
      </c>
    </row>
    <row r="2127" ht="17.25" spans="1:4">
      <c r="A2127" s="180" t="s">
        <v>7207</v>
      </c>
      <c r="B2127" s="185" t="s">
        <v>4840</v>
      </c>
      <c r="C2127" s="173" t="s">
        <v>4841</v>
      </c>
      <c r="D2127" s="173" t="s">
        <v>4842</v>
      </c>
    </row>
    <row r="2128" ht="17.25" spans="1:4">
      <c r="A2128" s="180" t="s">
        <v>7208</v>
      </c>
      <c r="B2128" s="185" t="s">
        <v>4840</v>
      </c>
      <c r="C2128" s="173" t="s">
        <v>4841</v>
      </c>
      <c r="D2128" s="173" t="s">
        <v>4842</v>
      </c>
    </row>
    <row r="2129" ht="17.25" spans="1:4">
      <c r="A2129" s="180" t="s">
        <v>7209</v>
      </c>
      <c r="B2129" s="185" t="s">
        <v>7110</v>
      </c>
      <c r="C2129" s="173" t="s">
        <v>4841</v>
      </c>
      <c r="D2129" s="173" t="s">
        <v>7111</v>
      </c>
    </row>
    <row r="2130" ht="17.25" spans="1:4">
      <c r="A2130" s="180" t="s">
        <v>7210</v>
      </c>
      <c r="B2130" s="185" t="s">
        <v>4840</v>
      </c>
      <c r="C2130" s="173" t="s">
        <v>4841</v>
      </c>
      <c r="D2130" s="173" t="s">
        <v>4842</v>
      </c>
    </row>
    <row r="2131" ht="17.25" spans="1:4">
      <c r="A2131" s="180" t="s">
        <v>7211</v>
      </c>
      <c r="B2131" s="185" t="s">
        <v>4840</v>
      </c>
      <c r="C2131" s="173" t="s">
        <v>4841</v>
      </c>
      <c r="D2131" s="173" t="s">
        <v>4842</v>
      </c>
    </row>
    <row r="2132" ht="17.25" spans="1:4">
      <c r="A2132" s="180" t="s">
        <v>7212</v>
      </c>
      <c r="B2132" s="185" t="s">
        <v>6926</v>
      </c>
      <c r="C2132" s="173" t="s">
        <v>4841</v>
      </c>
      <c r="D2132" s="173" t="s">
        <v>6927</v>
      </c>
    </row>
    <row r="2133" ht="17.25" spans="1:4">
      <c r="A2133" s="180" t="s">
        <v>7213</v>
      </c>
      <c r="B2133" s="185" t="s">
        <v>7110</v>
      </c>
      <c r="C2133" s="173" t="s">
        <v>4841</v>
      </c>
      <c r="D2133" s="173" t="s">
        <v>7111</v>
      </c>
    </row>
    <row r="2134" ht="17.25" spans="1:4">
      <c r="A2134" s="180" t="s">
        <v>7214</v>
      </c>
      <c r="B2134" s="173" t="s">
        <v>4795</v>
      </c>
      <c r="C2134" s="173" t="s">
        <v>4796</v>
      </c>
      <c r="D2134" s="173" t="s">
        <v>4797</v>
      </c>
    </row>
    <row r="2135" ht="17.25" spans="1:4">
      <c r="A2135" s="180" t="s">
        <v>7215</v>
      </c>
      <c r="B2135" s="173" t="s">
        <v>4795</v>
      </c>
      <c r="C2135" s="173" t="s">
        <v>4796</v>
      </c>
      <c r="D2135" s="173" t="s">
        <v>4797</v>
      </c>
    </row>
    <row r="2136" ht="17.25" spans="1:4">
      <c r="A2136" s="180" t="s">
        <v>7216</v>
      </c>
      <c r="B2136" s="185" t="s">
        <v>4840</v>
      </c>
      <c r="C2136" s="173" t="s">
        <v>4841</v>
      </c>
      <c r="D2136" s="173" t="s">
        <v>4842</v>
      </c>
    </row>
    <row r="2137" ht="17.25" spans="1:4">
      <c r="A2137" s="180" t="s">
        <v>7217</v>
      </c>
      <c r="B2137" s="185" t="s">
        <v>4840</v>
      </c>
      <c r="C2137" s="173" t="s">
        <v>4841</v>
      </c>
      <c r="D2137" s="173" t="s">
        <v>4842</v>
      </c>
    </row>
    <row r="2138" ht="17.25" spans="1:4">
      <c r="A2138" s="180" t="s">
        <v>7218</v>
      </c>
      <c r="B2138" s="185" t="s">
        <v>4840</v>
      </c>
      <c r="C2138" s="173" t="s">
        <v>4841</v>
      </c>
      <c r="D2138" s="173" t="s">
        <v>4842</v>
      </c>
    </row>
    <row r="2139" ht="17.25" spans="1:4">
      <c r="A2139" s="180" t="s">
        <v>7219</v>
      </c>
      <c r="B2139" s="185" t="s">
        <v>4840</v>
      </c>
      <c r="C2139" s="173" t="s">
        <v>4841</v>
      </c>
      <c r="D2139" s="173" t="s">
        <v>4842</v>
      </c>
    </row>
    <row r="2140" ht="17.25" spans="1:4">
      <c r="A2140" s="180" t="s">
        <v>7220</v>
      </c>
      <c r="B2140" s="185" t="s">
        <v>4840</v>
      </c>
      <c r="C2140" s="173" t="s">
        <v>4841</v>
      </c>
      <c r="D2140" s="173" t="s">
        <v>4842</v>
      </c>
    </row>
    <row r="2141" ht="17.25" spans="1:4">
      <c r="A2141" s="180" t="s">
        <v>7221</v>
      </c>
      <c r="B2141" s="185" t="s">
        <v>6926</v>
      </c>
      <c r="C2141" s="173" t="s">
        <v>4841</v>
      </c>
      <c r="D2141" s="173" t="s">
        <v>6927</v>
      </c>
    </row>
    <row r="2142" ht="17.25" spans="1:4">
      <c r="A2142" s="180" t="s">
        <v>7222</v>
      </c>
      <c r="B2142" s="185" t="s">
        <v>7110</v>
      </c>
      <c r="C2142" s="173" t="s">
        <v>4841</v>
      </c>
      <c r="D2142" s="173" t="s">
        <v>7111</v>
      </c>
    </row>
    <row r="2143" ht="17.25" spans="1:4">
      <c r="A2143" s="186" t="s">
        <v>7170</v>
      </c>
      <c r="B2143" s="186" t="s">
        <v>4840</v>
      </c>
      <c r="C2143" s="186" t="s">
        <v>4841</v>
      </c>
      <c r="D2143" s="173" t="s">
        <v>4842</v>
      </c>
    </row>
    <row r="2144" ht="17.25" spans="1:4">
      <c r="A2144" s="180" t="s">
        <v>7223</v>
      </c>
      <c r="B2144" s="186" t="s">
        <v>4840</v>
      </c>
      <c r="C2144" s="186" t="s">
        <v>4841</v>
      </c>
      <c r="D2144" s="173" t="s">
        <v>4842</v>
      </c>
    </row>
    <row r="2145" ht="17.25" spans="1:4">
      <c r="A2145" s="180" t="s">
        <v>7224</v>
      </c>
      <c r="B2145" s="185" t="s">
        <v>6926</v>
      </c>
      <c r="C2145" s="173" t="s">
        <v>4841</v>
      </c>
      <c r="D2145" s="173" t="s">
        <v>6927</v>
      </c>
    </row>
    <row r="2146" ht="17.25" spans="1:4">
      <c r="A2146" s="180" t="s">
        <v>7225</v>
      </c>
      <c r="B2146" s="185" t="s">
        <v>7110</v>
      </c>
      <c r="C2146" s="173" t="s">
        <v>4841</v>
      </c>
      <c r="D2146" s="173" t="s">
        <v>7111</v>
      </c>
    </row>
    <row r="2147" ht="17.25" spans="1:4">
      <c r="A2147" s="180" t="s">
        <v>7226</v>
      </c>
      <c r="B2147" s="185" t="s">
        <v>7110</v>
      </c>
      <c r="C2147" s="173" t="s">
        <v>4841</v>
      </c>
      <c r="D2147" s="173" t="s">
        <v>7111</v>
      </c>
    </row>
    <row r="2148" ht="17.25" spans="1:4">
      <c r="A2148" s="180" t="s">
        <v>7227</v>
      </c>
      <c r="B2148" s="185" t="s">
        <v>7110</v>
      </c>
      <c r="C2148" s="173" t="s">
        <v>4841</v>
      </c>
      <c r="D2148" s="173" t="s">
        <v>7111</v>
      </c>
    </row>
    <row r="2149" ht="17.25" spans="1:4">
      <c r="A2149" s="180" t="s">
        <v>7228</v>
      </c>
      <c r="B2149" s="185" t="s">
        <v>7110</v>
      </c>
      <c r="C2149" s="173" t="s">
        <v>4841</v>
      </c>
      <c r="D2149" s="173" t="s">
        <v>7111</v>
      </c>
    </row>
    <row r="2150" ht="17.25" spans="1:4">
      <c r="A2150" s="180" t="s">
        <v>7229</v>
      </c>
      <c r="B2150" s="185" t="s">
        <v>7110</v>
      </c>
      <c r="C2150" s="173" t="s">
        <v>4841</v>
      </c>
      <c r="D2150" s="173" t="s">
        <v>7111</v>
      </c>
    </row>
    <row r="2151" ht="17.25" spans="1:4">
      <c r="A2151" s="180" t="s">
        <v>7230</v>
      </c>
      <c r="B2151" s="185" t="s">
        <v>7110</v>
      </c>
      <c r="C2151" s="173" t="s">
        <v>4841</v>
      </c>
      <c r="D2151" s="173" t="s">
        <v>7111</v>
      </c>
    </row>
    <row r="2152" ht="17.25" spans="1:4">
      <c r="A2152" s="180" t="s">
        <v>7231</v>
      </c>
      <c r="B2152" s="185" t="s">
        <v>7110</v>
      </c>
      <c r="C2152" s="173" t="s">
        <v>4841</v>
      </c>
      <c r="D2152" s="173" t="s">
        <v>7111</v>
      </c>
    </row>
    <row r="2153" ht="17.25" spans="1:4">
      <c r="A2153" s="180" t="s">
        <v>7232</v>
      </c>
      <c r="B2153" s="185" t="s">
        <v>7110</v>
      </c>
      <c r="C2153" s="173" t="s">
        <v>4841</v>
      </c>
      <c r="D2153" s="173" t="s">
        <v>7111</v>
      </c>
    </row>
    <row r="2154" ht="17.25" spans="1:4">
      <c r="A2154" s="180" t="s">
        <v>7233</v>
      </c>
      <c r="B2154" s="185" t="s">
        <v>7110</v>
      </c>
      <c r="C2154" s="173" t="s">
        <v>4841</v>
      </c>
      <c r="D2154" s="173" t="s">
        <v>7111</v>
      </c>
    </row>
    <row r="2155" ht="17.25" spans="1:4">
      <c r="A2155" s="180" t="s">
        <v>7234</v>
      </c>
      <c r="B2155" s="185" t="s">
        <v>7110</v>
      </c>
      <c r="C2155" s="173" t="s">
        <v>4841</v>
      </c>
      <c r="D2155" s="173" t="s">
        <v>7111</v>
      </c>
    </row>
    <row r="2156" ht="17.25" spans="1:4">
      <c r="A2156" s="180" t="s">
        <v>7235</v>
      </c>
      <c r="B2156" s="185" t="s">
        <v>7110</v>
      </c>
      <c r="C2156" s="173" t="s">
        <v>4841</v>
      </c>
      <c r="D2156" s="173" t="s">
        <v>7111</v>
      </c>
    </row>
    <row r="2157" ht="17.25" spans="1:4">
      <c r="A2157" s="180" t="s">
        <v>7236</v>
      </c>
      <c r="B2157" s="185" t="s">
        <v>7110</v>
      </c>
      <c r="C2157" s="173" t="s">
        <v>4841</v>
      </c>
      <c r="D2157" s="173" t="s">
        <v>7111</v>
      </c>
    </row>
    <row r="2158" ht="17.25" spans="1:4">
      <c r="A2158" s="180" t="s">
        <v>7237</v>
      </c>
      <c r="B2158" s="185" t="s">
        <v>7110</v>
      </c>
      <c r="C2158" s="173" t="s">
        <v>4841</v>
      </c>
      <c r="D2158" s="173" t="s">
        <v>7111</v>
      </c>
    </row>
    <row r="2159" ht="17.25" spans="1:4">
      <c r="A2159" s="180" t="s">
        <v>7238</v>
      </c>
      <c r="B2159" s="185" t="s">
        <v>7110</v>
      </c>
      <c r="C2159" s="173" t="s">
        <v>4841</v>
      </c>
      <c r="D2159" s="173" t="s">
        <v>7111</v>
      </c>
    </row>
    <row r="2160" ht="17.25" spans="1:4">
      <c r="A2160" s="180" t="s">
        <v>7239</v>
      </c>
      <c r="B2160" s="185" t="s">
        <v>7110</v>
      </c>
      <c r="C2160" s="173" t="s">
        <v>4841</v>
      </c>
      <c r="D2160" s="173" t="s">
        <v>7111</v>
      </c>
    </row>
    <row r="2161" ht="17.25" spans="1:4">
      <c r="A2161" s="180" t="s">
        <v>7240</v>
      </c>
      <c r="B2161" s="185" t="s">
        <v>7110</v>
      </c>
      <c r="C2161" s="173" t="s">
        <v>4841</v>
      </c>
      <c r="D2161" s="173" t="s">
        <v>7111</v>
      </c>
    </row>
    <row r="2162" ht="17.25" spans="1:4">
      <c r="A2162" s="180" t="s">
        <v>7241</v>
      </c>
      <c r="B2162" s="185" t="s">
        <v>6926</v>
      </c>
      <c r="C2162" s="173" t="s">
        <v>4841</v>
      </c>
      <c r="D2162" s="173" t="s">
        <v>6927</v>
      </c>
    </row>
    <row r="2163" ht="17.25" spans="1:4">
      <c r="A2163" s="180" t="s">
        <v>7242</v>
      </c>
      <c r="B2163" s="185" t="s">
        <v>6926</v>
      </c>
      <c r="C2163" s="173" t="s">
        <v>4841</v>
      </c>
      <c r="D2163" s="173" t="s">
        <v>6927</v>
      </c>
    </row>
    <row r="2164" ht="17.25" spans="1:4">
      <c r="A2164" s="180" t="s">
        <v>7243</v>
      </c>
      <c r="B2164" s="185" t="s">
        <v>6926</v>
      </c>
      <c r="C2164" s="173" t="s">
        <v>4841</v>
      </c>
      <c r="D2164" s="173" t="s">
        <v>6927</v>
      </c>
    </row>
    <row r="2165" ht="17.25" spans="1:4">
      <c r="A2165" s="180" t="s">
        <v>7244</v>
      </c>
      <c r="B2165" s="185" t="s">
        <v>6926</v>
      </c>
      <c r="C2165" s="173" t="s">
        <v>4841</v>
      </c>
      <c r="D2165" s="173" t="s">
        <v>6927</v>
      </c>
    </row>
    <row r="2166" ht="17.25" spans="1:4">
      <c r="A2166" s="180" t="s">
        <v>1083</v>
      </c>
      <c r="B2166" s="185" t="s">
        <v>6926</v>
      </c>
      <c r="C2166" s="173" t="s">
        <v>4841</v>
      </c>
      <c r="D2166" s="173" t="s">
        <v>6927</v>
      </c>
    </row>
    <row r="2167" ht="17.25" spans="1:4">
      <c r="A2167" s="180" t="s">
        <v>7245</v>
      </c>
      <c r="B2167" s="185" t="s">
        <v>7110</v>
      </c>
      <c r="C2167" s="173" t="s">
        <v>4841</v>
      </c>
      <c r="D2167" s="173" t="s">
        <v>7111</v>
      </c>
    </row>
    <row r="2168" ht="17.25" spans="1:4">
      <c r="A2168" s="180" t="s">
        <v>7246</v>
      </c>
      <c r="B2168" s="185" t="s">
        <v>7110</v>
      </c>
      <c r="C2168" s="173" t="s">
        <v>4841</v>
      </c>
      <c r="D2168" s="173" t="s">
        <v>7111</v>
      </c>
    </row>
    <row r="2169" ht="17.25" spans="1:4">
      <c r="A2169" s="180" t="s">
        <v>7247</v>
      </c>
      <c r="B2169" s="185" t="s">
        <v>7110</v>
      </c>
      <c r="C2169" s="173" t="s">
        <v>4841</v>
      </c>
      <c r="D2169" s="173" t="s">
        <v>7111</v>
      </c>
    </row>
    <row r="2170" ht="17.25" spans="1:4">
      <c r="A2170" s="180" t="s">
        <v>7248</v>
      </c>
      <c r="B2170" s="185" t="s">
        <v>7110</v>
      </c>
      <c r="C2170" s="173" t="s">
        <v>4841</v>
      </c>
      <c r="D2170" s="173" t="s">
        <v>7111</v>
      </c>
    </row>
    <row r="2171" ht="17.25" spans="1:4">
      <c r="A2171" s="180" t="s">
        <v>7249</v>
      </c>
      <c r="B2171" s="185" t="s">
        <v>7110</v>
      </c>
      <c r="C2171" s="173" t="s">
        <v>4841</v>
      </c>
      <c r="D2171" s="173" t="s">
        <v>7111</v>
      </c>
    </row>
    <row r="2172" ht="17.25" spans="1:4">
      <c r="A2172" s="180" t="s">
        <v>7250</v>
      </c>
      <c r="B2172" s="185" t="s">
        <v>7110</v>
      </c>
      <c r="C2172" s="173" t="s">
        <v>4841</v>
      </c>
      <c r="D2172" s="173" t="s">
        <v>7111</v>
      </c>
    </row>
    <row r="2173" ht="17.25" spans="1:4">
      <c r="A2173" s="180" t="s">
        <v>7251</v>
      </c>
      <c r="B2173" s="173" t="s">
        <v>4795</v>
      </c>
      <c r="C2173" s="173" t="s">
        <v>4796</v>
      </c>
      <c r="D2173" s="173" t="s">
        <v>4797</v>
      </c>
    </row>
    <row r="2174" ht="17.25" spans="1:4">
      <c r="A2174" s="180" t="s">
        <v>7252</v>
      </c>
      <c r="B2174" s="173" t="s">
        <v>4795</v>
      </c>
      <c r="C2174" s="173" t="s">
        <v>4796</v>
      </c>
      <c r="D2174" s="173" t="s">
        <v>4797</v>
      </c>
    </row>
    <row r="2175" ht="17.25" spans="1:4">
      <c r="A2175" s="180" t="s">
        <v>7253</v>
      </c>
      <c r="B2175" s="186" t="s">
        <v>4840</v>
      </c>
      <c r="C2175" s="186" t="s">
        <v>4841</v>
      </c>
      <c r="D2175" s="173" t="s">
        <v>4842</v>
      </c>
    </row>
    <row r="2176" ht="17.25" spans="1:4">
      <c r="A2176" s="180" t="s">
        <v>7254</v>
      </c>
      <c r="B2176" s="186" t="s">
        <v>4840</v>
      </c>
      <c r="C2176" s="186" t="s">
        <v>4841</v>
      </c>
      <c r="D2176" s="173" t="s">
        <v>4842</v>
      </c>
    </row>
    <row r="2177" ht="17.25" spans="1:4">
      <c r="A2177" s="180" t="s">
        <v>7255</v>
      </c>
      <c r="B2177" s="186" t="s">
        <v>4840</v>
      </c>
      <c r="C2177" s="186" t="s">
        <v>4841</v>
      </c>
      <c r="D2177" s="173" t="s">
        <v>4842</v>
      </c>
    </row>
    <row r="2178" ht="17.25" spans="1:4">
      <c r="A2178" s="180" t="s">
        <v>7256</v>
      </c>
      <c r="B2178" s="186" t="s">
        <v>4840</v>
      </c>
      <c r="C2178" s="186" t="s">
        <v>4841</v>
      </c>
      <c r="D2178" s="173" t="s">
        <v>4842</v>
      </c>
    </row>
    <row r="2179" ht="17.25" spans="1:4">
      <c r="A2179" s="180" t="s">
        <v>7257</v>
      </c>
      <c r="B2179" s="185" t="s">
        <v>7110</v>
      </c>
      <c r="C2179" s="173" t="s">
        <v>4841</v>
      </c>
      <c r="D2179" s="173" t="s">
        <v>7111</v>
      </c>
    </row>
    <row r="2180" ht="17.25" spans="1:4">
      <c r="A2180" s="180" t="s">
        <v>7258</v>
      </c>
      <c r="B2180" s="185" t="s">
        <v>7110</v>
      </c>
      <c r="C2180" s="173" t="s">
        <v>4841</v>
      </c>
      <c r="D2180" s="173" t="s">
        <v>7111</v>
      </c>
    </row>
    <row r="2181" ht="17.25" spans="1:4">
      <c r="A2181" s="180" t="s">
        <v>7259</v>
      </c>
      <c r="B2181" s="185" t="s">
        <v>7110</v>
      </c>
      <c r="C2181" s="173" t="s">
        <v>4841</v>
      </c>
      <c r="D2181" s="173" t="s">
        <v>7111</v>
      </c>
    </row>
    <row r="2182" ht="17.25" spans="1:4">
      <c r="A2182" s="180" t="s">
        <v>7260</v>
      </c>
      <c r="B2182" s="185" t="s">
        <v>7110</v>
      </c>
      <c r="C2182" s="173" t="s">
        <v>4841</v>
      </c>
      <c r="D2182" s="173" t="s">
        <v>7111</v>
      </c>
    </row>
    <row r="2183" ht="17.25" spans="1:4">
      <c r="A2183" s="180" t="s">
        <v>7261</v>
      </c>
      <c r="B2183" s="185" t="s">
        <v>7110</v>
      </c>
      <c r="C2183" s="173" t="s">
        <v>4841</v>
      </c>
      <c r="D2183" s="173" t="s">
        <v>7111</v>
      </c>
    </row>
    <row r="2184" ht="17.25" spans="1:4">
      <c r="A2184" s="180" t="s">
        <v>7262</v>
      </c>
      <c r="B2184" s="185" t="s">
        <v>7110</v>
      </c>
      <c r="C2184" s="173" t="s">
        <v>4841</v>
      </c>
      <c r="D2184" s="173" t="s">
        <v>7111</v>
      </c>
    </row>
    <row r="2185" ht="17.25" spans="1:4">
      <c r="A2185" s="180" t="s">
        <v>7263</v>
      </c>
      <c r="B2185" s="185" t="s">
        <v>7110</v>
      </c>
      <c r="C2185" s="173" t="s">
        <v>4841</v>
      </c>
      <c r="D2185" s="173" t="s">
        <v>7111</v>
      </c>
    </row>
    <row r="2186" ht="17.25" spans="1:4">
      <c r="A2186" s="180" t="s">
        <v>7264</v>
      </c>
      <c r="B2186" s="185" t="s">
        <v>7110</v>
      </c>
      <c r="C2186" s="173" t="s">
        <v>4841</v>
      </c>
      <c r="D2186" s="173" t="s">
        <v>7111</v>
      </c>
    </row>
    <row r="2187" ht="17.25" spans="1:4">
      <c r="A2187" s="180" t="s">
        <v>7265</v>
      </c>
      <c r="B2187" s="180" t="s">
        <v>7265</v>
      </c>
      <c r="C2187" s="173" t="s">
        <v>4864</v>
      </c>
      <c r="D2187" s="173" t="s">
        <v>4865</v>
      </c>
    </row>
    <row r="2188" ht="17.25" spans="1:4">
      <c r="A2188" s="180" t="s">
        <v>3206</v>
      </c>
      <c r="B2188" s="186" t="s">
        <v>4840</v>
      </c>
      <c r="C2188" s="186" t="s">
        <v>4841</v>
      </c>
      <c r="D2188" s="173" t="s">
        <v>4842</v>
      </c>
    </row>
    <row r="2189" ht="17.25" spans="1:4">
      <c r="A2189" s="180" t="s">
        <v>7266</v>
      </c>
      <c r="B2189" s="186" t="s">
        <v>4840</v>
      </c>
      <c r="C2189" s="186" t="s">
        <v>4841</v>
      </c>
      <c r="D2189" s="173" t="s">
        <v>4842</v>
      </c>
    </row>
    <row r="2190" ht="17.25" spans="1:4">
      <c r="A2190" s="180" t="s">
        <v>7267</v>
      </c>
      <c r="B2190" s="186" t="s">
        <v>4840</v>
      </c>
      <c r="C2190" s="186" t="s">
        <v>4841</v>
      </c>
      <c r="D2190" s="173" t="s">
        <v>4842</v>
      </c>
    </row>
    <row r="2191" ht="17.25" spans="1:4">
      <c r="A2191" s="180" t="s">
        <v>7268</v>
      </c>
      <c r="B2191" s="185" t="s">
        <v>6926</v>
      </c>
      <c r="C2191" s="173" t="s">
        <v>4841</v>
      </c>
      <c r="D2191" s="173" t="s">
        <v>6927</v>
      </c>
    </row>
    <row r="2192" ht="17.25" spans="1:4">
      <c r="A2192" s="180" t="s">
        <v>7269</v>
      </c>
      <c r="B2192" s="185" t="s">
        <v>6926</v>
      </c>
      <c r="C2192" s="173" t="s">
        <v>4841</v>
      </c>
      <c r="D2192" s="173" t="s">
        <v>6927</v>
      </c>
    </row>
    <row r="2193" ht="17.25" spans="1:4">
      <c r="A2193" s="180" t="s">
        <v>7270</v>
      </c>
      <c r="B2193" s="185" t="s">
        <v>6926</v>
      </c>
      <c r="C2193" s="173" t="s">
        <v>4841</v>
      </c>
      <c r="D2193" s="173" t="s">
        <v>6927</v>
      </c>
    </row>
    <row r="2194" ht="17.25" spans="1:4">
      <c r="A2194" s="180" t="s">
        <v>7271</v>
      </c>
      <c r="B2194" s="185" t="s">
        <v>6926</v>
      </c>
      <c r="C2194" s="173" t="s">
        <v>4841</v>
      </c>
      <c r="D2194" s="173" t="s">
        <v>6927</v>
      </c>
    </row>
    <row r="2195" ht="17.25" spans="1:4">
      <c r="A2195" s="180" t="s">
        <v>7272</v>
      </c>
      <c r="B2195" s="185" t="s">
        <v>7110</v>
      </c>
      <c r="C2195" s="173" t="s">
        <v>4841</v>
      </c>
      <c r="D2195" s="173" t="s">
        <v>7111</v>
      </c>
    </row>
    <row r="2196" ht="17.25" spans="1:4">
      <c r="A2196" s="180" t="s">
        <v>7273</v>
      </c>
      <c r="B2196" s="185" t="s">
        <v>7110</v>
      </c>
      <c r="C2196" s="173" t="s">
        <v>4841</v>
      </c>
      <c r="D2196" s="173" t="s">
        <v>7111</v>
      </c>
    </row>
    <row r="2197" ht="17.25" spans="1:4">
      <c r="A2197" s="180" t="s">
        <v>7274</v>
      </c>
      <c r="B2197" s="185" t="s">
        <v>7110</v>
      </c>
      <c r="C2197" s="173" t="s">
        <v>4841</v>
      </c>
      <c r="D2197" s="173" t="s">
        <v>7111</v>
      </c>
    </row>
    <row r="2198" ht="17.25" spans="1:4">
      <c r="A2198" s="180" t="s">
        <v>7275</v>
      </c>
      <c r="B2198" s="185" t="s">
        <v>7110</v>
      </c>
      <c r="C2198" s="173" t="s">
        <v>4841</v>
      </c>
      <c r="D2198" s="173" t="s">
        <v>7111</v>
      </c>
    </row>
    <row r="2199" ht="17.25" spans="1:4">
      <c r="A2199" s="180" t="s">
        <v>7276</v>
      </c>
      <c r="B2199" s="185" t="s">
        <v>7110</v>
      </c>
      <c r="C2199" s="173" t="s">
        <v>4841</v>
      </c>
      <c r="D2199" s="173" t="s">
        <v>7111</v>
      </c>
    </row>
    <row r="2200" ht="17.25" spans="1:4">
      <c r="A2200" s="180" t="s">
        <v>7277</v>
      </c>
      <c r="B2200" s="185" t="s">
        <v>7110</v>
      </c>
      <c r="C2200" s="173" t="s">
        <v>4841</v>
      </c>
      <c r="D2200" s="173" t="s">
        <v>7111</v>
      </c>
    </row>
    <row r="2201" ht="17.25" spans="1:4">
      <c r="A2201" s="180" t="s">
        <v>7278</v>
      </c>
      <c r="B2201" s="185" t="s">
        <v>7110</v>
      </c>
      <c r="C2201" s="173" t="s">
        <v>4841</v>
      </c>
      <c r="D2201" s="173" t="s">
        <v>7111</v>
      </c>
    </row>
    <row r="2202" ht="17.25" spans="1:4">
      <c r="A2202" s="180" t="s">
        <v>7279</v>
      </c>
      <c r="B2202" s="185" t="s">
        <v>7110</v>
      </c>
      <c r="C2202" s="173" t="s">
        <v>4841</v>
      </c>
      <c r="D2202" s="173" t="s">
        <v>7111</v>
      </c>
    </row>
    <row r="2203" ht="16.5" spans="1:4">
      <c r="A2203" s="173" t="s">
        <v>7280</v>
      </c>
      <c r="B2203" s="173" t="s">
        <v>4840</v>
      </c>
      <c r="C2203" s="173" t="s">
        <v>4841</v>
      </c>
      <c r="D2203" s="173" t="s">
        <v>4842</v>
      </c>
    </row>
    <row r="2204" ht="16.5" spans="1:4">
      <c r="A2204" s="173" t="s">
        <v>7281</v>
      </c>
      <c r="B2204" s="173" t="s">
        <v>4840</v>
      </c>
      <c r="C2204" s="173" t="s">
        <v>4841</v>
      </c>
      <c r="D2204" s="173" t="s">
        <v>4842</v>
      </c>
    </row>
    <row r="2205" ht="17.25" spans="1:4">
      <c r="A2205" s="173" t="s">
        <v>7282</v>
      </c>
      <c r="B2205" s="173" t="s">
        <v>7110</v>
      </c>
      <c r="C2205" s="173" t="s">
        <v>4841</v>
      </c>
      <c r="D2205" s="173" t="s">
        <v>7111</v>
      </c>
    </row>
    <row r="2206" ht="17.25" spans="1:4">
      <c r="A2206" s="180" t="s">
        <v>7283</v>
      </c>
      <c r="B2206" s="173" t="s">
        <v>4840</v>
      </c>
      <c r="C2206" s="173" t="s">
        <v>4841</v>
      </c>
      <c r="D2206" s="173" t="s">
        <v>4842</v>
      </c>
    </row>
    <row r="2207" ht="17.25" spans="1:4">
      <c r="A2207" s="180" t="s">
        <v>7284</v>
      </c>
      <c r="B2207" s="173" t="s">
        <v>4840</v>
      </c>
      <c r="C2207" s="173" t="s">
        <v>4841</v>
      </c>
      <c r="D2207" s="173" t="s">
        <v>4842</v>
      </c>
    </row>
    <row r="2208" ht="17.25" spans="1:4">
      <c r="A2208" s="180" t="s">
        <v>7285</v>
      </c>
      <c r="B2208" s="173" t="s">
        <v>4840</v>
      </c>
      <c r="C2208" s="173" t="s">
        <v>4841</v>
      </c>
      <c r="D2208" s="173" t="s">
        <v>4842</v>
      </c>
    </row>
    <row r="2209" ht="17.25" spans="1:4">
      <c r="A2209" s="180" t="s">
        <v>7286</v>
      </c>
      <c r="B2209" s="173" t="s">
        <v>7110</v>
      </c>
      <c r="C2209" s="173" t="s">
        <v>4841</v>
      </c>
      <c r="D2209" s="173" t="s">
        <v>7111</v>
      </c>
    </row>
    <row r="2210" ht="17.25" spans="1:4">
      <c r="A2210" s="180" t="s">
        <v>7287</v>
      </c>
      <c r="B2210" s="173" t="s">
        <v>7110</v>
      </c>
      <c r="C2210" s="173" t="s">
        <v>4841</v>
      </c>
      <c r="D2210" s="173" t="s">
        <v>7111</v>
      </c>
    </row>
    <row r="2211" ht="17.25" spans="1:4">
      <c r="A2211" s="180" t="s">
        <v>7288</v>
      </c>
      <c r="B2211" s="173" t="s">
        <v>7110</v>
      </c>
      <c r="C2211" s="173" t="s">
        <v>4841</v>
      </c>
      <c r="D2211" s="173" t="s">
        <v>7111</v>
      </c>
    </row>
    <row r="2212" ht="17.25" spans="1:4">
      <c r="A2212" s="180" t="s">
        <v>7289</v>
      </c>
      <c r="B2212" s="173" t="s">
        <v>7110</v>
      </c>
      <c r="C2212" s="173" t="s">
        <v>4841</v>
      </c>
      <c r="D2212" s="173" t="s">
        <v>7111</v>
      </c>
    </row>
    <row r="2213" ht="17.25" spans="1:4">
      <c r="A2213" s="180" t="s">
        <v>7290</v>
      </c>
      <c r="B2213" s="173" t="s">
        <v>7110</v>
      </c>
      <c r="C2213" s="173" t="s">
        <v>4841</v>
      </c>
      <c r="D2213" s="173" t="s">
        <v>7111</v>
      </c>
    </row>
    <row r="2214" ht="17.25" spans="1:4">
      <c r="A2214" s="180" t="s">
        <v>7291</v>
      </c>
      <c r="B2214" s="173" t="s">
        <v>7110</v>
      </c>
      <c r="C2214" s="173" t="s">
        <v>4841</v>
      </c>
      <c r="D2214" s="173" t="s">
        <v>7111</v>
      </c>
    </row>
    <row r="2215" ht="17.25" spans="1:4">
      <c r="A2215" s="180" t="s">
        <v>7292</v>
      </c>
      <c r="B2215" s="173" t="s">
        <v>7110</v>
      </c>
      <c r="C2215" s="173" t="s">
        <v>4841</v>
      </c>
      <c r="D2215" s="173" t="s">
        <v>7111</v>
      </c>
    </row>
    <row r="2216" ht="17.25" spans="1:4">
      <c r="A2216" s="180" t="s">
        <v>7293</v>
      </c>
      <c r="B2216" s="173" t="s">
        <v>7110</v>
      </c>
      <c r="C2216" s="173" t="s">
        <v>4841</v>
      </c>
      <c r="D2216" s="173" t="s">
        <v>7111</v>
      </c>
    </row>
    <row r="2217" ht="17.25" spans="1:4">
      <c r="A2217" s="180" t="s">
        <v>7294</v>
      </c>
      <c r="B2217" s="173" t="s">
        <v>7110</v>
      </c>
      <c r="C2217" s="173" t="s">
        <v>4841</v>
      </c>
      <c r="D2217" s="173" t="s">
        <v>7111</v>
      </c>
    </row>
    <row r="2218" ht="17.25" spans="1:4">
      <c r="A2218" s="180" t="s">
        <v>7295</v>
      </c>
      <c r="B2218" s="173" t="s">
        <v>7110</v>
      </c>
      <c r="C2218" s="173" t="s">
        <v>4841</v>
      </c>
      <c r="D2218" s="173" t="s">
        <v>7111</v>
      </c>
    </row>
    <row r="2219" ht="17.25" spans="1:4">
      <c r="A2219" s="180" t="s">
        <v>7296</v>
      </c>
      <c r="B2219" s="173" t="s">
        <v>7110</v>
      </c>
      <c r="C2219" s="173" t="s">
        <v>4841</v>
      </c>
      <c r="D2219" s="173" t="s">
        <v>7111</v>
      </c>
    </row>
    <row r="2220" ht="17.25" spans="1:4">
      <c r="A2220" s="180" t="s">
        <v>7297</v>
      </c>
      <c r="B2220" s="173" t="s">
        <v>7110</v>
      </c>
      <c r="C2220" s="173" t="s">
        <v>4841</v>
      </c>
      <c r="D2220" s="173" t="s">
        <v>7111</v>
      </c>
    </row>
    <row r="2221" ht="17.25" spans="1:4">
      <c r="A2221" s="180" t="s">
        <v>7298</v>
      </c>
      <c r="B2221" s="173" t="s">
        <v>7110</v>
      </c>
      <c r="C2221" s="173" t="s">
        <v>4841</v>
      </c>
      <c r="D2221" s="173" t="s">
        <v>7111</v>
      </c>
    </row>
    <row r="2222" ht="29.25" spans="1:4">
      <c r="A2222" s="180" t="s">
        <v>7299</v>
      </c>
      <c r="B2222" s="173" t="s">
        <v>7110</v>
      </c>
      <c r="C2222" s="173" t="s">
        <v>4841</v>
      </c>
      <c r="D2222" s="173" t="s">
        <v>7111</v>
      </c>
    </row>
    <row r="2223" ht="17.25" spans="1:4">
      <c r="A2223" s="180" t="s">
        <v>7300</v>
      </c>
      <c r="B2223" s="173" t="s">
        <v>4920</v>
      </c>
      <c r="C2223" s="173" t="s">
        <v>4921</v>
      </c>
      <c r="D2223" s="173" t="s">
        <v>4922</v>
      </c>
    </row>
    <row r="2224" ht="17.25" spans="1:4">
      <c r="A2224" s="180" t="s">
        <v>7301</v>
      </c>
      <c r="B2224" s="173" t="s">
        <v>4920</v>
      </c>
      <c r="C2224" s="173" t="s">
        <v>4921</v>
      </c>
      <c r="D2224" s="173" t="s">
        <v>4922</v>
      </c>
    </row>
    <row r="2225" ht="17.25" spans="1:4">
      <c r="A2225" s="180" t="s">
        <v>7302</v>
      </c>
      <c r="B2225" s="173" t="s">
        <v>4920</v>
      </c>
      <c r="C2225" s="173" t="s">
        <v>4921</v>
      </c>
      <c r="D2225" s="173" t="s">
        <v>4922</v>
      </c>
    </row>
    <row r="2226" ht="17.25" spans="1:4">
      <c r="A2226" s="180" t="s">
        <v>7303</v>
      </c>
      <c r="B2226" s="173" t="s">
        <v>4920</v>
      </c>
      <c r="C2226" s="173" t="s">
        <v>4921</v>
      </c>
      <c r="D2226" s="173" t="s">
        <v>4922</v>
      </c>
    </row>
    <row r="2227" ht="17.25" spans="1:4">
      <c r="A2227" s="180" t="s">
        <v>7304</v>
      </c>
      <c r="B2227" s="173" t="s">
        <v>4920</v>
      </c>
      <c r="C2227" s="173" t="s">
        <v>4921</v>
      </c>
      <c r="D2227" s="173" t="s">
        <v>4922</v>
      </c>
    </row>
    <row r="2228" ht="17.25" spans="1:4">
      <c r="A2228" s="180" t="s">
        <v>7305</v>
      </c>
      <c r="B2228" s="173" t="s">
        <v>4920</v>
      </c>
      <c r="C2228" s="173" t="s">
        <v>4921</v>
      </c>
      <c r="D2228" s="173" t="s">
        <v>4922</v>
      </c>
    </row>
    <row r="2229" ht="17.25" spans="1:4">
      <c r="A2229" s="180" t="s">
        <v>7306</v>
      </c>
      <c r="B2229" s="173" t="s">
        <v>4920</v>
      </c>
      <c r="C2229" s="173" t="s">
        <v>4921</v>
      </c>
      <c r="D2229" s="173" t="s">
        <v>4922</v>
      </c>
    </row>
    <row r="2230" ht="17.25" spans="1:4">
      <c r="A2230" s="180" t="s">
        <v>7307</v>
      </c>
      <c r="B2230" s="173" t="s">
        <v>4920</v>
      </c>
      <c r="C2230" s="173" t="s">
        <v>4921</v>
      </c>
      <c r="D2230" s="173" t="s">
        <v>4922</v>
      </c>
    </row>
    <row r="2231" ht="17.25" spans="1:4">
      <c r="A2231" s="180" t="s">
        <v>7308</v>
      </c>
      <c r="B2231" s="173" t="s">
        <v>4920</v>
      </c>
      <c r="C2231" s="173" t="s">
        <v>4921</v>
      </c>
      <c r="D2231" s="173" t="s">
        <v>4922</v>
      </c>
    </row>
    <row r="2232" ht="17.25" spans="1:4">
      <c r="A2232" s="180" t="s">
        <v>7309</v>
      </c>
      <c r="B2232" s="173" t="s">
        <v>4920</v>
      </c>
      <c r="C2232" s="173" t="s">
        <v>4921</v>
      </c>
      <c r="D2232" s="173" t="s">
        <v>4922</v>
      </c>
    </row>
    <row r="2233" ht="17.25" spans="1:4">
      <c r="A2233" s="180" t="s">
        <v>2442</v>
      </c>
      <c r="B2233" s="173" t="s">
        <v>4920</v>
      </c>
      <c r="C2233" s="173" t="s">
        <v>4921</v>
      </c>
      <c r="D2233" s="173" t="s">
        <v>4922</v>
      </c>
    </row>
    <row r="2234" ht="17.25" spans="1:4">
      <c r="A2234" s="180" t="s">
        <v>7310</v>
      </c>
      <c r="B2234" s="173" t="s">
        <v>4920</v>
      </c>
      <c r="C2234" s="173" t="s">
        <v>4921</v>
      </c>
      <c r="D2234" s="173" t="s">
        <v>4922</v>
      </c>
    </row>
    <row r="2235" ht="17.25" spans="1:4">
      <c r="A2235" s="180" t="s">
        <v>2610</v>
      </c>
      <c r="B2235" s="173" t="s">
        <v>4920</v>
      </c>
      <c r="C2235" s="173" t="s">
        <v>4921</v>
      </c>
      <c r="D2235" s="173" t="s">
        <v>4922</v>
      </c>
    </row>
    <row r="2236" ht="17.25" spans="1:4">
      <c r="A2236" s="180" t="s">
        <v>7311</v>
      </c>
      <c r="B2236" s="173" t="s">
        <v>4920</v>
      </c>
      <c r="C2236" s="173" t="s">
        <v>4921</v>
      </c>
      <c r="D2236" s="173" t="s">
        <v>4922</v>
      </c>
    </row>
    <row r="2237" ht="17.25" spans="1:4">
      <c r="A2237" s="180" t="s">
        <v>2626</v>
      </c>
      <c r="B2237" s="173" t="s">
        <v>4920</v>
      </c>
      <c r="C2237" s="173" t="s">
        <v>4921</v>
      </c>
      <c r="D2237" s="173" t="s">
        <v>4922</v>
      </c>
    </row>
    <row r="2238" ht="17.25" spans="1:4">
      <c r="A2238" s="180" t="s">
        <v>7312</v>
      </c>
      <c r="B2238" s="173" t="s">
        <v>4920</v>
      </c>
      <c r="C2238" s="173" t="s">
        <v>4921</v>
      </c>
      <c r="D2238" s="173" t="s">
        <v>4922</v>
      </c>
    </row>
    <row r="2239" ht="17.25" spans="1:4">
      <c r="A2239" s="180" t="s">
        <v>7313</v>
      </c>
      <c r="B2239" s="173" t="s">
        <v>4920</v>
      </c>
      <c r="C2239" s="173" t="s">
        <v>4921</v>
      </c>
      <c r="D2239" s="173" t="s">
        <v>4922</v>
      </c>
    </row>
    <row r="2240" ht="17.25" spans="1:4">
      <c r="A2240" s="180" t="s">
        <v>7314</v>
      </c>
      <c r="B2240" s="173" t="s">
        <v>4920</v>
      </c>
      <c r="C2240" s="173" t="s">
        <v>4921</v>
      </c>
      <c r="D2240" s="173" t="s">
        <v>4922</v>
      </c>
    </row>
    <row r="2241" ht="17.25" spans="1:4">
      <c r="A2241" s="180" t="s">
        <v>7315</v>
      </c>
      <c r="B2241" s="173" t="s">
        <v>4920</v>
      </c>
      <c r="C2241" s="173" t="s">
        <v>4921</v>
      </c>
      <c r="D2241" s="173" t="s">
        <v>4922</v>
      </c>
    </row>
    <row r="2242" ht="17.25" spans="1:4">
      <c r="A2242" s="180" t="s">
        <v>7316</v>
      </c>
      <c r="B2242" s="173" t="s">
        <v>4920</v>
      </c>
      <c r="C2242" s="173" t="s">
        <v>4921</v>
      </c>
      <c r="D2242" s="173" t="s">
        <v>4922</v>
      </c>
    </row>
    <row r="2243" ht="17.25" spans="1:4">
      <c r="A2243" s="180" t="s">
        <v>7317</v>
      </c>
      <c r="B2243" s="173" t="s">
        <v>4920</v>
      </c>
      <c r="C2243" s="173" t="s">
        <v>4921</v>
      </c>
      <c r="D2243" s="173" t="s">
        <v>4922</v>
      </c>
    </row>
    <row r="2244" ht="17.25" spans="1:4">
      <c r="A2244" s="180" t="s">
        <v>7318</v>
      </c>
      <c r="B2244" s="173" t="s">
        <v>4920</v>
      </c>
      <c r="C2244" s="173" t="s">
        <v>4921</v>
      </c>
      <c r="D2244" s="173" t="s">
        <v>4922</v>
      </c>
    </row>
    <row r="2245" ht="17.25" spans="1:4">
      <c r="A2245" s="180" t="s">
        <v>7319</v>
      </c>
      <c r="B2245" s="173" t="s">
        <v>4920</v>
      </c>
      <c r="C2245" s="173" t="s">
        <v>4921</v>
      </c>
      <c r="D2245" s="173" t="s">
        <v>4922</v>
      </c>
    </row>
    <row r="2246" ht="17.25" spans="1:4">
      <c r="A2246" s="180" t="s">
        <v>7320</v>
      </c>
      <c r="B2246" s="173" t="s">
        <v>4920</v>
      </c>
      <c r="C2246" s="173" t="s">
        <v>4921</v>
      </c>
      <c r="D2246" s="173" t="s">
        <v>4922</v>
      </c>
    </row>
    <row r="2247" ht="17.25" spans="1:4">
      <c r="A2247" s="180" t="s">
        <v>7321</v>
      </c>
      <c r="B2247" s="173" t="s">
        <v>4920</v>
      </c>
      <c r="C2247" s="173" t="s">
        <v>4921</v>
      </c>
      <c r="D2247" s="173" t="s">
        <v>4922</v>
      </c>
    </row>
    <row r="2248" ht="17.25" spans="1:4">
      <c r="A2248" s="180" t="s">
        <v>7322</v>
      </c>
      <c r="B2248" s="173" t="s">
        <v>4920</v>
      </c>
      <c r="C2248" s="173" t="s">
        <v>4921</v>
      </c>
      <c r="D2248" s="173" t="s">
        <v>4922</v>
      </c>
    </row>
    <row r="2249" ht="17.25" spans="1:4">
      <c r="A2249" s="180" t="s">
        <v>7323</v>
      </c>
      <c r="B2249" s="173" t="s">
        <v>4920</v>
      </c>
      <c r="C2249" s="173" t="s">
        <v>4921</v>
      </c>
      <c r="D2249" s="173" t="s">
        <v>4922</v>
      </c>
    </row>
    <row r="2250" ht="17.25" spans="1:4">
      <c r="A2250" s="180" t="s">
        <v>7324</v>
      </c>
      <c r="B2250" s="173" t="s">
        <v>4920</v>
      </c>
      <c r="C2250" s="173" t="s">
        <v>4921</v>
      </c>
      <c r="D2250" s="173" t="s">
        <v>4922</v>
      </c>
    </row>
    <row r="2251" ht="17.25" spans="1:4">
      <c r="A2251" s="180" t="s">
        <v>7325</v>
      </c>
      <c r="B2251" s="173" t="s">
        <v>4920</v>
      </c>
      <c r="C2251" s="173" t="s">
        <v>4921</v>
      </c>
      <c r="D2251" s="173" t="s">
        <v>4922</v>
      </c>
    </row>
    <row r="2252" ht="17.25" spans="1:4">
      <c r="A2252" s="180" t="s">
        <v>7326</v>
      </c>
      <c r="B2252" s="173" t="s">
        <v>4920</v>
      </c>
      <c r="C2252" s="173" t="s">
        <v>4921</v>
      </c>
      <c r="D2252" s="173" t="s">
        <v>4922</v>
      </c>
    </row>
    <row r="2253" ht="17.25" spans="1:4">
      <c r="A2253" s="180" t="s">
        <v>7327</v>
      </c>
      <c r="B2253" s="173" t="s">
        <v>4920</v>
      </c>
      <c r="C2253" s="173" t="s">
        <v>4921</v>
      </c>
      <c r="D2253" s="173" t="s">
        <v>4922</v>
      </c>
    </row>
    <row r="2254" ht="17.25" spans="1:4">
      <c r="A2254" s="180" t="s">
        <v>4640</v>
      </c>
      <c r="B2254" s="173" t="s">
        <v>4920</v>
      </c>
      <c r="C2254" s="173" t="s">
        <v>4921</v>
      </c>
      <c r="D2254" s="173" t="s">
        <v>4922</v>
      </c>
    </row>
    <row r="2255" ht="17.25" spans="1:4">
      <c r="A2255" s="180" t="s">
        <v>2935</v>
      </c>
      <c r="B2255" s="173" t="s">
        <v>4920</v>
      </c>
      <c r="C2255" s="173" t="s">
        <v>4921</v>
      </c>
      <c r="D2255" s="173" t="s">
        <v>4922</v>
      </c>
    </row>
    <row r="2256" ht="17.25" spans="1:4">
      <c r="A2256" s="180" t="s">
        <v>724</v>
      </c>
      <c r="B2256" s="173" t="s">
        <v>4920</v>
      </c>
      <c r="C2256" s="173" t="s">
        <v>4921</v>
      </c>
      <c r="D2256" s="173" t="s">
        <v>4922</v>
      </c>
    </row>
    <row r="2257" ht="17.25" spans="1:4">
      <c r="A2257" s="180" t="s">
        <v>7328</v>
      </c>
      <c r="B2257" s="173" t="s">
        <v>4920</v>
      </c>
      <c r="C2257" s="173" t="s">
        <v>4921</v>
      </c>
      <c r="D2257" s="173" t="s">
        <v>4922</v>
      </c>
    </row>
    <row r="2258" ht="17.25" spans="1:4">
      <c r="A2258" s="180" t="s">
        <v>2657</v>
      </c>
      <c r="B2258" s="173" t="s">
        <v>4920</v>
      </c>
      <c r="C2258" s="173" t="s">
        <v>4921</v>
      </c>
      <c r="D2258" s="173" t="s">
        <v>4922</v>
      </c>
    </row>
    <row r="2259" ht="17.25" spans="1:4">
      <c r="A2259" s="180" t="s">
        <v>7329</v>
      </c>
      <c r="B2259" s="173" t="s">
        <v>4920</v>
      </c>
      <c r="C2259" s="173" t="s">
        <v>4921</v>
      </c>
      <c r="D2259" s="173" t="s">
        <v>4922</v>
      </c>
    </row>
    <row r="2260" ht="17.25" spans="1:4">
      <c r="A2260" s="180" t="s">
        <v>7330</v>
      </c>
      <c r="B2260" s="173" t="s">
        <v>4920</v>
      </c>
      <c r="C2260" s="173" t="s">
        <v>4921</v>
      </c>
      <c r="D2260" s="173" t="s">
        <v>4922</v>
      </c>
    </row>
    <row r="2261" ht="17.25" spans="1:4">
      <c r="A2261" s="180" t="s">
        <v>7331</v>
      </c>
      <c r="B2261" s="173" t="s">
        <v>4920</v>
      </c>
      <c r="C2261" s="173" t="s">
        <v>4921</v>
      </c>
      <c r="D2261" s="173" t="s">
        <v>4922</v>
      </c>
    </row>
    <row r="2262" ht="17.25" spans="1:4">
      <c r="A2262" s="180" t="s">
        <v>7332</v>
      </c>
      <c r="B2262" s="173" t="s">
        <v>4920</v>
      </c>
      <c r="C2262" s="173" t="s">
        <v>4921</v>
      </c>
      <c r="D2262" s="173" t="s">
        <v>4922</v>
      </c>
    </row>
    <row r="2263" ht="17.25" spans="1:4">
      <c r="A2263" s="180" t="s">
        <v>7333</v>
      </c>
      <c r="B2263" s="173" t="s">
        <v>4920</v>
      </c>
      <c r="C2263" s="173" t="s">
        <v>4921</v>
      </c>
      <c r="D2263" s="173" t="s">
        <v>4922</v>
      </c>
    </row>
    <row r="2264" ht="17.25" spans="1:4">
      <c r="A2264" s="180" t="s">
        <v>7334</v>
      </c>
      <c r="B2264" s="173" t="s">
        <v>4920</v>
      </c>
      <c r="C2264" s="173" t="s">
        <v>4921</v>
      </c>
      <c r="D2264" s="173" t="s">
        <v>4922</v>
      </c>
    </row>
    <row r="2265" ht="17.25" spans="1:4">
      <c r="A2265" s="180" t="s">
        <v>7335</v>
      </c>
      <c r="B2265" s="173" t="s">
        <v>4920</v>
      </c>
      <c r="C2265" s="173" t="s">
        <v>4921</v>
      </c>
      <c r="D2265" s="173" t="s">
        <v>4922</v>
      </c>
    </row>
    <row r="2266" ht="17.25" spans="1:4">
      <c r="A2266" s="180" t="s">
        <v>7336</v>
      </c>
      <c r="B2266" s="173" t="s">
        <v>4920</v>
      </c>
      <c r="C2266" s="173" t="s">
        <v>4921</v>
      </c>
      <c r="D2266" s="173" t="s">
        <v>4922</v>
      </c>
    </row>
    <row r="2267" ht="17.25" spans="1:4">
      <c r="A2267" s="180" t="s">
        <v>7337</v>
      </c>
      <c r="B2267" s="173" t="s">
        <v>4920</v>
      </c>
      <c r="C2267" s="173" t="s">
        <v>4921</v>
      </c>
      <c r="D2267" s="173" t="s">
        <v>4922</v>
      </c>
    </row>
    <row r="2268" ht="17.25" spans="1:4">
      <c r="A2268" s="180" t="s">
        <v>7338</v>
      </c>
      <c r="B2268" s="173" t="s">
        <v>4920</v>
      </c>
      <c r="C2268" s="173" t="s">
        <v>4921</v>
      </c>
      <c r="D2268" s="173" t="s">
        <v>4922</v>
      </c>
    </row>
    <row r="2269" ht="17.25" spans="1:4">
      <c r="A2269" s="180" t="s">
        <v>7339</v>
      </c>
      <c r="B2269" s="173" t="s">
        <v>4920</v>
      </c>
      <c r="C2269" s="173" t="s">
        <v>4921</v>
      </c>
      <c r="D2269" s="173" t="s">
        <v>4922</v>
      </c>
    </row>
    <row r="2270" ht="17.25" spans="1:4">
      <c r="A2270" s="180" t="s">
        <v>7340</v>
      </c>
      <c r="B2270" s="173" t="s">
        <v>4920</v>
      </c>
      <c r="C2270" s="173" t="s">
        <v>4921</v>
      </c>
      <c r="D2270" s="173" t="s">
        <v>4922</v>
      </c>
    </row>
    <row r="2271" ht="17.25" spans="1:4">
      <c r="A2271" s="180" t="s">
        <v>7341</v>
      </c>
      <c r="B2271" s="173" t="s">
        <v>4920</v>
      </c>
      <c r="C2271" s="173" t="s">
        <v>4921</v>
      </c>
      <c r="D2271" s="173" t="s">
        <v>4922</v>
      </c>
    </row>
    <row r="2272" ht="17.25" spans="1:4">
      <c r="A2272" s="180" t="s">
        <v>7342</v>
      </c>
      <c r="B2272" s="173" t="s">
        <v>4920</v>
      </c>
      <c r="C2272" s="173" t="s">
        <v>4921</v>
      </c>
      <c r="D2272" s="173" t="s">
        <v>4922</v>
      </c>
    </row>
    <row r="2273" ht="17.25" spans="1:4">
      <c r="A2273" s="180" t="s">
        <v>7343</v>
      </c>
      <c r="B2273" s="185" t="s">
        <v>6926</v>
      </c>
      <c r="C2273" s="173" t="s">
        <v>4841</v>
      </c>
      <c r="D2273" s="173" t="s">
        <v>6927</v>
      </c>
    </row>
    <row r="2274" ht="17.25" spans="1:4">
      <c r="A2274" s="187" t="s">
        <v>7344</v>
      </c>
      <c r="B2274" s="173" t="s">
        <v>7110</v>
      </c>
      <c r="C2274" s="173" t="s">
        <v>4841</v>
      </c>
      <c r="D2274" s="173" t="s">
        <v>7111</v>
      </c>
    </row>
    <row r="2275" ht="17.25" spans="1:4">
      <c r="A2275" s="180" t="s">
        <v>7345</v>
      </c>
      <c r="B2275" s="173" t="s">
        <v>7110</v>
      </c>
      <c r="C2275" s="173" t="s">
        <v>4841</v>
      </c>
      <c r="D2275" s="173" t="s">
        <v>7111</v>
      </c>
    </row>
    <row r="2276" ht="17.25" spans="1:4">
      <c r="A2276" s="180" t="s">
        <v>7346</v>
      </c>
      <c r="B2276" s="173" t="s">
        <v>7110</v>
      </c>
      <c r="C2276" s="173" t="s">
        <v>4841</v>
      </c>
      <c r="D2276" s="173" t="s">
        <v>7111</v>
      </c>
    </row>
    <row r="2277" ht="17.25" spans="1:4">
      <c r="A2277" s="180" t="s">
        <v>7347</v>
      </c>
      <c r="B2277" s="173" t="s">
        <v>7110</v>
      </c>
      <c r="C2277" s="173" t="s">
        <v>4841</v>
      </c>
      <c r="D2277" s="173" t="s">
        <v>7111</v>
      </c>
    </row>
    <row r="2278" ht="17.25" spans="1:4">
      <c r="A2278" s="180" t="s">
        <v>7348</v>
      </c>
      <c r="B2278" s="185" t="s">
        <v>6926</v>
      </c>
      <c r="C2278" s="173" t="s">
        <v>4841</v>
      </c>
      <c r="D2278" s="173" t="s">
        <v>6927</v>
      </c>
    </row>
    <row r="2279" ht="17.25" spans="1:4">
      <c r="A2279" s="188" t="s">
        <v>7349</v>
      </c>
      <c r="B2279" s="180" t="s">
        <v>6808</v>
      </c>
      <c r="C2279" s="180" t="s">
        <v>7006</v>
      </c>
      <c r="D2279" s="173" t="s">
        <v>7350</v>
      </c>
    </row>
    <row r="2280" ht="17.25" spans="1:4">
      <c r="A2280" s="188" t="s">
        <v>7351</v>
      </c>
      <c r="B2280" s="180" t="s">
        <v>6808</v>
      </c>
      <c r="C2280" s="180" t="s">
        <v>7006</v>
      </c>
      <c r="D2280" s="173" t="s">
        <v>7350</v>
      </c>
    </row>
    <row r="2281" ht="17.25" spans="1:4">
      <c r="A2281" s="188" t="s">
        <v>7352</v>
      </c>
      <c r="B2281" s="180" t="s">
        <v>6808</v>
      </c>
      <c r="C2281" s="180" t="s">
        <v>7006</v>
      </c>
      <c r="D2281" s="173" t="s">
        <v>7350</v>
      </c>
    </row>
    <row r="2282" ht="17.25" spans="1:4">
      <c r="A2282" s="188" t="s">
        <v>7353</v>
      </c>
      <c r="B2282" s="180" t="s">
        <v>6808</v>
      </c>
      <c r="C2282" s="180" t="s">
        <v>7006</v>
      </c>
      <c r="D2282" s="173" t="s">
        <v>7350</v>
      </c>
    </row>
    <row r="2283" ht="17.25" spans="1:4">
      <c r="A2283" s="188" t="s">
        <v>7354</v>
      </c>
      <c r="B2283" s="180" t="s">
        <v>6808</v>
      </c>
      <c r="C2283" s="180" t="s">
        <v>7006</v>
      </c>
      <c r="D2283" s="173" t="s">
        <v>7350</v>
      </c>
    </row>
    <row r="2284" ht="16.5" spans="1:4">
      <c r="A2284" s="188" t="s">
        <v>7355</v>
      </c>
      <c r="B2284" s="173" t="s">
        <v>4854</v>
      </c>
      <c r="C2284" s="173" t="s">
        <v>4874</v>
      </c>
      <c r="D2284" s="173" t="s">
        <v>4875</v>
      </c>
    </row>
    <row r="2285" ht="16.5" spans="1:4">
      <c r="A2285" s="188" t="s">
        <v>7356</v>
      </c>
      <c r="B2285" s="173" t="s">
        <v>4854</v>
      </c>
      <c r="C2285" s="173" t="s">
        <v>4874</v>
      </c>
      <c r="D2285" s="173" t="s">
        <v>4875</v>
      </c>
    </row>
    <row r="2286" ht="16.5" spans="1:4">
      <c r="A2286" s="188" t="s">
        <v>7357</v>
      </c>
      <c r="B2286" s="188" t="s">
        <v>4840</v>
      </c>
      <c r="C2286" s="173" t="s">
        <v>4841</v>
      </c>
      <c r="D2286" s="173" t="s">
        <v>4842</v>
      </c>
    </row>
    <row r="2287" ht="16.5" spans="1:4">
      <c r="A2287" s="188" t="s">
        <v>7358</v>
      </c>
      <c r="B2287" s="188" t="s">
        <v>4840</v>
      </c>
      <c r="C2287" s="173" t="s">
        <v>4841</v>
      </c>
      <c r="D2287" s="173" t="s">
        <v>4842</v>
      </c>
    </row>
    <row r="2288" ht="16.5" spans="1:4">
      <c r="A2288" s="188" t="s">
        <v>7359</v>
      </c>
      <c r="B2288" s="188" t="s">
        <v>4840</v>
      </c>
      <c r="C2288" s="173" t="s">
        <v>4841</v>
      </c>
      <c r="D2288" s="173" t="s">
        <v>4842</v>
      </c>
    </row>
    <row r="2289" ht="16.5" spans="1:4">
      <c r="A2289" s="188" t="s">
        <v>7360</v>
      </c>
      <c r="B2289" s="188" t="s">
        <v>4840</v>
      </c>
      <c r="C2289" s="173" t="s">
        <v>4841</v>
      </c>
      <c r="D2289" s="173" t="s">
        <v>4842</v>
      </c>
    </row>
    <row r="2290" ht="16.5" spans="1:4">
      <c r="A2290" s="188" t="s">
        <v>7361</v>
      </c>
      <c r="B2290" s="188" t="s">
        <v>4840</v>
      </c>
      <c r="C2290" s="173" t="s">
        <v>4841</v>
      </c>
      <c r="D2290" s="173" t="s">
        <v>4842</v>
      </c>
    </row>
    <row r="2291" ht="17.25" spans="1:4">
      <c r="A2291" s="188" t="s">
        <v>7362</v>
      </c>
      <c r="B2291" s="188" t="s">
        <v>4840</v>
      </c>
      <c r="C2291" s="173" t="s">
        <v>4841</v>
      </c>
      <c r="D2291" s="173" t="s">
        <v>4842</v>
      </c>
    </row>
    <row r="2292" ht="17.25" spans="1:4">
      <c r="A2292" s="180" t="s">
        <v>7363</v>
      </c>
      <c r="B2292" s="173" t="s">
        <v>4795</v>
      </c>
      <c r="C2292" s="173" t="s">
        <v>4796</v>
      </c>
      <c r="D2292" s="173" t="s">
        <v>4797</v>
      </c>
    </row>
    <row r="2293" ht="17.25" spans="1:4">
      <c r="A2293" s="180" t="s">
        <v>7364</v>
      </c>
      <c r="B2293" s="188" t="s">
        <v>4840</v>
      </c>
      <c r="C2293" s="173" t="s">
        <v>4841</v>
      </c>
      <c r="D2293" s="173" t="s">
        <v>4842</v>
      </c>
    </row>
    <row r="2294" ht="17.25" spans="1:4">
      <c r="A2294" s="180" t="s">
        <v>7365</v>
      </c>
      <c r="B2294" s="188" t="s">
        <v>4840</v>
      </c>
      <c r="C2294" s="173" t="s">
        <v>4841</v>
      </c>
      <c r="D2294" s="173" t="s">
        <v>4842</v>
      </c>
    </row>
    <row r="2295" ht="17.25" spans="1:4">
      <c r="A2295" s="180" t="s">
        <v>7366</v>
      </c>
      <c r="B2295" s="188" t="s">
        <v>4840</v>
      </c>
      <c r="C2295" s="173" t="s">
        <v>4841</v>
      </c>
      <c r="D2295" s="173" t="s">
        <v>4842</v>
      </c>
    </row>
    <row r="2296" ht="17.25" spans="1:4">
      <c r="A2296" s="180" t="s">
        <v>7367</v>
      </c>
      <c r="B2296" s="188" t="s">
        <v>4840</v>
      </c>
      <c r="C2296" s="173" t="s">
        <v>4841</v>
      </c>
      <c r="D2296" s="173" t="s">
        <v>4842</v>
      </c>
    </row>
    <row r="2297" ht="17.25" spans="1:4">
      <c r="A2297" s="180" t="s">
        <v>7368</v>
      </c>
      <c r="B2297" s="185" t="s">
        <v>6926</v>
      </c>
      <c r="C2297" s="173" t="s">
        <v>4841</v>
      </c>
      <c r="D2297" s="173" t="s">
        <v>6927</v>
      </c>
    </row>
    <row r="2298" ht="17.25" spans="1:4">
      <c r="A2298" s="180" t="s">
        <v>7369</v>
      </c>
      <c r="B2298" s="180" t="s">
        <v>5859</v>
      </c>
      <c r="C2298" s="173" t="s">
        <v>4841</v>
      </c>
      <c r="D2298" s="173" t="s">
        <v>5860</v>
      </c>
    </row>
    <row r="2299" ht="17.25" spans="1:4">
      <c r="A2299" s="180" t="s">
        <v>7370</v>
      </c>
      <c r="B2299" s="188" t="s">
        <v>4840</v>
      </c>
      <c r="C2299" s="173" t="s">
        <v>4841</v>
      </c>
      <c r="D2299" s="173" t="s">
        <v>4842</v>
      </c>
    </row>
    <row r="2300" ht="17.25" spans="1:4">
      <c r="A2300" s="180" t="s">
        <v>7371</v>
      </c>
      <c r="B2300" s="188" t="s">
        <v>4840</v>
      </c>
      <c r="C2300" s="173" t="s">
        <v>4841</v>
      </c>
      <c r="D2300" s="173" t="s">
        <v>4842</v>
      </c>
    </row>
    <row r="2301" ht="17.25" spans="1:4">
      <c r="A2301" s="180" t="s">
        <v>7372</v>
      </c>
      <c r="B2301" s="188" t="s">
        <v>4840</v>
      </c>
      <c r="C2301" s="173" t="s">
        <v>4841</v>
      </c>
      <c r="D2301" s="173" t="s">
        <v>4842</v>
      </c>
    </row>
    <row r="2302" ht="17.25" spans="1:4">
      <c r="A2302" s="180" t="s">
        <v>7373</v>
      </c>
      <c r="B2302" s="188" t="s">
        <v>4840</v>
      </c>
      <c r="C2302" s="173" t="s">
        <v>4841</v>
      </c>
      <c r="D2302" s="173" t="s">
        <v>4842</v>
      </c>
    </row>
    <row r="2303" ht="17.25" spans="1:4">
      <c r="A2303" s="180" t="s">
        <v>7374</v>
      </c>
      <c r="B2303" s="185" t="s">
        <v>6926</v>
      </c>
      <c r="C2303" s="173" t="s">
        <v>4841</v>
      </c>
      <c r="D2303" s="173" t="s">
        <v>6927</v>
      </c>
    </row>
    <row r="2304" ht="17.25" spans="1:4">
      <c r="A2304" s="180" t="s">
        <v>7375</v>
      </c>
      <c r="B2304" s="185" t="s">
        <v>6926</v>
      </c>
      <c r="C2304" s="173" t="s">
        <v>4841</v>
      </c>
      <c r="D2304" s="173" t="s">
        <v>6927</v>
      </c>
    </row>
    <row r="2305" ht="17.25" spans="1:4">
      <c r="A2305" s="180" t="s">
        <v>7376</v>
      </c>
      <c r="B2305" s="173" t="s">
        <v>7110</v>
      </c>
      <c r="C2305" s="173" t="s">
        <v>4841</v>
      </c>
      <c r="D2305" s="173" t="s">
        <v>7111</v>
      </c>
    </row>
    <row r="2306" ht="17.25" spans="1:4">
      <c r="A2306" s="180" t="s">
        <v>7377</v>
      </c>
      <c r="B2306" s="173" t="s">
        <v>7110</v>
      </c>
      <c r="C2306" s="173" t="s">
        <v>4841</v>
      </c>
      <c r="D2306" s="173" t="s">
        <v>7111</v>
      </c>
    </row>
    <row r="2307" ht="17.25" spans="1:4">
      <c r="A2307" s="180" t="s">
        <v>7378</v>
      </c>
      <c r="B2307" s="173" t="s">
        <v>7110</v>
      </c>
      <c r="C2307" s="173" t="s">
        <v>4841</v>
      </c>
      <c r="D2307" s="173" t="s">
        <v>7111</v>
      </c>
    </row>
    <row r="2308" ht="17.25" spans="1:4">
      <c r="A2308" s="180" t="s">
        <v>7379</v>
      </c>
      <c r="B2308" s="173" t="s">
        <v>7110</v>
      </c>
      <c r="C2308" s="173" t="s">
        <v>4841</v>
      </c>
      <c r="D2308" s="173" t="s">
        <v>7111</v>
      </c>
    </row>
    <row r="2309" ht="17.25" spans="1:4">
      <c r="A2309" s="180" t="s">
        <v>7380</v>
      </c>
      <c r="B2309" s="173" t="s">
        <v>7110</v>
      </c>
      <c r="C2309" s="173" t="s">
        <v>4841</v>
      </c>
      <c r="D2309" s="173" t="s">
        <v>7111</v>
      </c>
    </row>
    <row r="2310" ht="17.25" spans="1:4">
      <c r="A2310" s="180" t="s">
        <v>7381</v>
      </c>
      <c r="B2310" s="173" t="s">
        <v>7110</v>
      </c>
      <c r="C2310" s="173" t="s">
        <v>4841</v>
      </c>
      <c r="D2310" s="173" t="s">
        <v>7111</v>
      </c>
    </row>
    <row r="2311" ht="17.25" spans="1:4">
      <c r="A2311" s="180" t="s">
        <v>7382</v>
      </c>
      <c r="B2311" s="173" t="s">
        <v>4822</v>
      </c>
      <c r="C2311" s="173" t="s">
        <v>4823</v>
      </c>
      <c r="D2311" s="173" t="s">
        <v>4823</v>
      </c>
    </row>
    <row r="2312" ht="17.25" spans="1:4">
      <c r="A2312" s="180" t="s">
        <v>7383</v>
      </c>
      <c r="B2312" s="188" t="s">
        <v>4840</v>
      </c>
      <c r="C2312" s="173" t="s">
        <v>4841</v>
      </c>
      <c r="D2312" s="173" t="s">
        <v>4842</v>
      </c>
    </row>
    <row r="2313" ht="17.25" spans="1:4">
      <c r="A2313" s="180" t="s">
        <v>7384</v>
      </c>
      <c r="B2313" s="188" t="s">
        <v>4840</v>
      </c>
      <c r="C2313" s="173" t="s">
        <v>4841</v>
      </c>
      <c r="D2313" s="173" t="s">
        <v>4842</v>
      </c>
    </row>
    <row r="2314" ht="17.25" spans="1:4">
      <c r="A2314" s="180" t="s">
        <v>7385</v>
      </c>
      <c r="B2314" s="188" t="s">
        <v>4840</v>
      </c>
      <c r="C2314" s="173" t="s">
        <v>4841</v>
      </c>
      <c r="D2314" s="173" t="s">
        <v>4842</v>
      </c>
    </row>
    <row r="2315" ht="17.25" spans="1:4">
      <c r="A2315" s="180" t="s">
        <v>7386</v>
      </c>
      <c r="B2315" s="188" t="s">
        <v>4840</v>
      </c>
      <c r="C2315" s="173" t="s">
        <v>4841</v>
      </c>
      <c r="D2315" s="173" t="s">
        <v>4842</v>
      </c>
    </row>
    <row r="2316" ht="17.25" spans="1:4">
      <c r="A2316" s="180" t="s">
        <v>7387</v>
      </c>
      <c r="B2316" s="188" t="s">
        <v>4840</v>
      </c>
      <c r="C2316" s="173" t="s">
        <v>4841</v>
      </c>
      <c r="D2316" s="173" t="s">
        <v>4842</v>
      </c>
    </row>
    <row r="2317" ht="17.25" spans="1:4">
      <c r="A2317" s="180" t="s">
        <v>7388</v>
      </c>
      <c r="B2317" s="188" t="s">
        <v>4840</v>
      </c>
      <c r="C2317" s="173" t="s">
        <v>4841</v>
      </c>
      <c r="D2317" s="173" t="s">
        <v>4842</v>
      </c>
    </row>
    <row r="2318" ht="17.25" spans="1:4">
      <c r="A2318" s="180" t="s">
        <v>7389</v>
      </c>
      <c r="B2318" s="188" t="s">
        <v>4840</v>
      </c>
      <c r="C2318" s="173" t="s">
        <v>4841</v>
      </c>
      <c r="D2318" s="173" t="s">
        <v>4842</v>
      </c>
    </row>
    <row r="2319" ht="17.25" spans="1:4">
      <c r="A2319" s="180" t="s">
        <v>7390</v>
      </c>
      <c r="B2319" s="188" t="s">
        <v>4840</v>
      </c>
      <c r="C2319" s="173" t="s">
        <v>4841</v>
      </c>
      <c r="D2319" s="173" t="s">
        <v>4842</v>
      </c>
    </row>
    <row r="2320" ht="17.25" spans="1:4">
      <c r="A2320" s="180" t="s">
        <v>7391</v>
      </c>
      <c r="B2320" s="185" t="s">
        <v>6926</v>
      </c>
      <c r="C2320" s="173" t="s">
        <v>4841</v>
      </c>
      <c r="D2320" s="173" t="s">
        <v>6927</v>
      </c>
    </row>
    <row r="2321" ht="17.25" spans="1:4">
      <c r="A2321" s="180" t="s">
        <v>7392</v>
      </c>
      <c r="B2321" s="188" t="s">
        <v>4840</v>
      </c>
      <c r="C2321" s="173" t="s">
        <v>4841</v>
      </c>
      <c r="D2321" s="173" t="s">
        <v>4842</v>
      </c>
    </row>
    <row r="2322" ht="17.25" spans="1:4">
      <c r="A2322" s="180" t="s">
        <v>7393</v>
      </c>
      <c r="B2322" s="188" t="s">
        <v>4840</v>
      </c>
      <c r="C2322" s="173" t="s">
        <v>4841</v>
      </c>
      <c r="D2322" s="173" t="s">
        <v>4842</v>
      </c>
    </row>
    <row r="2323" ht="17.25" spans="1:4">
      <c r="A2323" s="180" t="s">
        <v>7394</v>
      </c>
      <c r="B2323" s="185" t="s">
        <v>6926</v>
      </c>
      <c r="C2323" s="173" t="s">
        <v>4841</v>
      </c>
      <c r="D2323" s="173" t="s">
        <v>6927</v>
      </c>
    </row>
    <row r="2324" ht="17.25" spans="1:4">
      <c r="A2324" s="180" t="s">
        <v>7395</v>
      </c>
      <c r="B2324" s="185" t="s">
        <v>6926</v>
      </c>
      <c r="C2324" s="173" t="s">
        <v>4841</v>
      </c>
      <c r="D2324" s="173" t="s">
        <v>6927</v>
      </c>
    </row>
    <row r="2325" ht="17.25" spans="1:4">
      <c r="A2325" s="180" t="s">
        <v>7396</v>
      </c>
      <c r="B2325" s="185" t="s">
        <v>6926</v>
      </c>
      <c r="C2325" s="173" t="s">
        <v>4841</v>
      </c>
      <c r="D2325" s="173" t="s">
        <v>6927</v>
      </c>
    </row>
    <row r="2326" ht="17.25" spans="1:4">
      <c r="A2326" s="180" t="s">
        <v>7397</v>
      </c>
      <c r="B2326" s="185" t="s">
        <v>6926</v>
      </c>
      <c r="C2326" s="173" t="s">
        <v>4841</v>
      </c>
      <c r="D2326" s="173" t="s">
        <v>6927</v>
      </c>
    </row>
    <row r="2327" ht="17.25" spans="1:4">
      <c r="A2327" s="180" t="s">
        <v>7398</v>
      </c>
      <c r="B2327" s="185" t="s">
        <v>6926</v>
      </c>
      <c r="C2327" s="173" t="s">
        <v>4841</v>
      </c>
      <c r="D2327" s="173" t="s">
        <v>6927</v>
      </c>
    </row>
    <row r="2328" ht="17.25" spans="1:4">
      <c r="A2328" s="180" t="s">
        <v>7399</v>
      </c>
      <c r="B2328" s="185" t="s">
        <v>6926</v>
      </c>
      <c r="C2328" s="173" t="s">
        <v>4841</v>
      </c>
      <c r="D2328" s="173" t="s">
        <v>6927</v>
      </c>
    </row>
    <row r="2329" ht="17.25" spans="1:4">
      <c r="A2329" s="180" t="s">
        <v>7400</v>
      </c>
      <c r="B2329" s="185" t="s">
        <v>6926</v>
      </c>
      <c r="C2329" s="173" t="s">
        <v>4841</v>
      </c>
      <c r="D2329" s="173" t="s">
        <v>6927</v>
      </c>
    </row>
    <row r="2330" ht="17.25" spans="1:4">
      <c r="A2330" s="180" t="s">
        <v>7401</v>
      </c>
      <c r="B2330" s="185" t="s">
        <v>6926</v>
      </c>
      <c r="C2330" s="173" t="s">
        <v>4841</v>
      </c>
      <c r="D2330" s="173" t="s">
        <v>6927</v>
      </c>
    </row>
    <row r="2331" ht="17.25" spans="1:4">
      <c r="A2331" s="180" t="s">
        <v>7402</v>
      </c>
      <c r="B2331" s="185" t="s">
        <v>6926</v>
      </c>
      <c r="C2331" s="173" t="s">
        <v>4841</v>
      </c>
      <c r="D2331" s="173" t="s">
        <v>6927</v>
      </c>
    </row>
    <row r="2332" ht="17.25" spans="1:4">
      <c r="A2332" s="180" t="s">
        <v>7403</v>
      </c>
      <c r="B2332" s="185" t="s">
        <v>6926</v>
      </c>
      <c r="C2332" s="173" t="s">
        <v>4841</v>
      </c>
      <c r="D2332" s="173" t="s">
        <v>6927</v>
      </c>
    </row>
    <row r="2333" ht="16.5" spans="1:4">
      <c r="A2333" s="173" t="s">
        <v>7404</v>
      </c>
      <c r="B2333" s="173" t="s">
        <v>4840</v>
      </c>
      <c r="C2333" s="173" t="s">
        <v>4841</v>
      </c>
      <c r="D2333" s="173" t="s">
        <v>4842</v>
      </c>
    </row>
    <row r="2334" ht="17.25" spans="1:4">
      <c r="A2334" s="173" t="s">
        <v>7405</v>
      </c>
      <c r="B2334" s="173" t="s">
        <v>4840</v>
      </c>
      <c r="C2334" s="173" t="s">
        <v>4841</v>
      </c>
      <c r="D2334" s="173" t="s">
        <v>4842</v>
      </c>
    </row>
    <row r="2335" ht="17.25" spans="1:4">
      <c r="A2335" s="180" t="s">
        <v>7406</v>
      </c>
      <c r="B2335" s="188" t="s">
        <v>4840</v>
      </c>
      <c r="C2335" s="173" t="s">
        <v>4841</v>
      </c>
      <c r="D2335" s="173" t="s">
        <v>4842</v>
      </c>
    </row>
    <row r="2336" ht="17.25" spans="1:4">
      <c r="A2336" s="180" t="s">
        <v>7407</v>
      </c>
      <c r="B2336" s="188" t="s">
        <v>4840</v>
      </c>
      <c r="C2336" s="173" t="s">
        <v>4841</v>
      </c>
      <c r="D2336" s="173" t="s">
        <v>4842</v>
      </c>
    </row>
    <row r="2337" ht="17.25" spans="1:4">
      <c r="A2337" s="180" t="s">
        <v>7408</v>
      </c>
      <c r="B2337" s="188" t="s">
        <v>4840</v>
      </c>
      <c r="C2337" s="173" t="s">
        <v>4841</v>
      </c>
      <c r="D2337" s="173" t="s">
        <v>4842</v>
      </c>
    </row>
    <row r="2338" ht="17.25" spans="1:4">
      <c r="A2338" s="180" t="s">
        <v>7409</v>
      </c>
      <c r="B2338" s="185" t="s">
        <v>6926</v>
      </c>
      <c r="C2338" s="173" t="s">
        <v>4841</v>
      </c>
      <c r="D2338" s="173" t="s">
        <v>6927</v>
      </c>
    </row>
    <row r="2339" ht="17.25" spans="1:4">
      <c r="A2339" s="180" t="s">
        <v>7410</v>
      </c>
      <c r="B2339" s="185" t="s">
        <v>6926</v>
      </c>
      <c r="C2339" s="173" t="s">
        <v>4841</v>
      </c>
      <c r="D2339" s="173" t="s">
        <v>6927</v>
      </c>
    </row>
    <row r="2340" ht="16.5" spans="1:4">
      <c r="A2340" s="173" t="s">
        <v>7411</v>
      </c>
      <c r="B2340" s="173" t="s">
        <v>4840</v>
      </c>
      <c r="C2340" s="173" t="s">
        <v>4841</v>
      </c>
      <c r="D2340" s="173" t="s">
        <v>4842</v>
      </c>
    </row>
    <row r="2341" ht="17.25" spans="1:4">
      <c r="A2341" s="173" t="s">
        <v>7412</v>
      </c>
      <c r="B2341" s="173" t="s">
        <v>4840</v>
      </c>
      <c r="C2341" s="173" t="s">
        <v>4841</v>
      </c>
      <c r="D2341" s="173" t="s">
        <v>4842</v>
      </c>
    </row>
    <row r="2342" ht="17.25" spans="1:4">
      <c r="A2342" s="180" t="s">
        <v>7413</v>
      </c>
      <c r="B2342" s="173" t="s">
        <v>4840</v>
      </c>
      <c r="C2342" s="173" t="s">
        <v>4841</v>
      </c>
      <c r="D2342" s="173" t="s">
        <v>4842</v>
      </c>
    </row>
    <row r="2343" ht="17.25" spans="1:4">
      <c r="A2343" s="180" t="s">
        <v>7414</v>
      </c>
      <c r="B2343" s="185" t="s">
        <v>6926</v>
      </c>
      <c r="C2343" s="173" t="s">
        <v>4841</v>
      </c>
      <c r="D2343" s="173" t="s">
        <v>6927</v>
      </c>
    </row>
    <row r="2344" ht="17.25" spans="1:4">
      <c r="A2344" s="180" t="s">
        <v>7415</v>
      </c>
      <c r="B2344" s="180" t="s">
        <v>6808</v>
      </c>
      <c r="C2344" s="180" t="s">
        <v>6853</v>
      </c>
      <c r="D2344" s="173" t="s">
        <v>6809</v>
      </c>
    </row>
    <row r="2345" ht="17.25" spans="1:4">
      <c r="A2345" s="180" t="s">
        <v>7416</v>
      </c>
      <c r="B2345" s="188" t="s">
        <v>4840</v>
      </c>
      <c r="C2345" s="173" t="s">
        <v>4841</v>
      </c>
      <c r="D2345" s="173" t="s">
        <v>4842</v>
      </c>
    </row>
    <row r="2346" ht="17.25" spans="1:4">
      <c r="A2346" s="180" t="s">
        <v>7417</v>
      </c>
      <c r="B2346" s="180" t="s">
        <v>6926</v>
      </c>
      <c r="C2346" s="173" t="s">
        <v>4841</v>
      </c>
      <c r="D2346" s="173" t="s">
        <v>6927</v>
      </c>
    </row>
    <row r="2347" ht="17.25" spans="1:4">
      <c r="A2347" s="180" t="s">
        <v>1259</v>
      </c>
      <c r="B2347" s="180" t="s">
        <v>1259</v>
      </c>
      <c r="C2347" s="173" t="s">
        <v>7418</v>
      </c>
      <c r="D2347" s="173" t="s">
        <v>7418</v>
      </c>
    </row>
    <row r="2348" ht="16.5" spans="1:4">
      <c r="A2348" s="173" t="s">
        <v>7419</v>
      </c>
      <c r="B2348" s="173" t="s">
        <v>4840</v>
      </c>
      <c r="C2348" s="173" t="s">
        <v>4841</v>
      </c>
      <c r="D2348" s="173" t="s">
        <v>4842</v>
      </c>
    </row>
    <row r="2349" ht="16.5" spans="1:4">
      <c r="A2349" s="173" t="s">
        <v>7420</v>
      </c>
      <c r="B2349" s="173" t="s">
        <v>4840</v>
      </c>
      <c r="C2349" s="173" t="s">
        <v>4841</v>
      </c>
      <c r="D2349" s="173" t="s">
        <v>4842</v>
      </c>
    </row>
    <row r="2350" ht="16.5" spans="1:4">
      <c r="A2350" s="173" t="s">
        <v>7421</v>
      </c>
      <c r="B2350" s="173" t="s">
        <v>6926</v>
      </c>
      <c r="C2350" s="173" t="s">
        <v>4841</v>
      </c>
      <c r="D2350" s="173" t="s">
        <v>6927</v>
      </c>
    </row>
    <row r="2351" ht="17.25" spans="1:4">
      <c r="A2351" s="173" t="s">
        <v>2826</v>
      </c>
      <c r="B2351" s="173" t="s">
        <v>6926</v>
      </c>
      <c r="C2351" s="173" t="s">
        <v>4841</v>
      </c>
      <c r="D2351" s="173" t="s">
        <v>6927</v>
      </c>
    </row>
    <row r="2352" ht="17.25" spans="1:4">
      <c r="A2352" s="180" t="s">
        <v>7422</v>
      </c>
      <c r="B2352" s="173" t="s">
        <v>4840</v>
      </c>
      <c r="C2352" s="173" t="s">
        <v>4841</v>
      </c>
      <c r="D2352" s="173" t="s">
        <v>4842</v>
      </c>
    </row>
    <row r="2353" ht="16.5" spans="1:4">
      <c r="A2353" s="173" t="s">
        <v>7423</v>
      </c>
      <c r="B2353" s="173" t="s">
        <v>4840</v>
      </c>
      <c r="C2353" s="173" t="s">
        <v>4841</v>
      </c>
      <c r="D2353" s="173" t="str">
        <f t="shared" ref="D2353:D2364" si="0">C2353&amp;B2353</f>
        <v>外部代理总线zh0808</v>
      </c>
    </row>
    <row r="2354" ht="16.5" spans="1:4">
      <c r="A2354" s="173" t="s">
        <v>7424</v>
      </c>
      <c r="B2354" s="173" t="s">
        <v>4840</v>
      </c>
      <c r="C2354" s="173" t="s">
        <v>4841</v>
      </c>
      <c r="D2354" s="173" t="str">
        <f t="shared" si="0"/>
        <v>外部代理总线zh0808</v>
      </c>
    </row>
    <row r="2355" ht="16.5" spans="1:4">
      <c r="A2355" s="173" t="s">
        <v>7425</v>
      </c>
      <c r="B2355" s="173" t="s">
        <v>4840</v>
      </c>
      <c r="C2355" s="173" t="s">
        <v>4841</v>
      </c>
      <c r="D2355" s="173" t="str">
        <f t="shared" si="0"/>
        <v>外部代理总线zh0808</v>
      </c>
    </row>
    <row r="2356" ht="16.5" spans="1:4">
      <c r="A2356" s="173" t="s">
        <v>7426</v>
      </c>
      <c r="B2356" s="173" t="s">
        <v>4840</v>
      </c>
      <c r="C2356" s="173" t="s">
        <v>4841</v>
      </c>
      <c r="D2356" s="173" t="str">
        <f t="shared" si="0"/>
        <v>外部代理总线zh0808</v>
      </c>
    </row>
    <row r="2357" ht="16.5" spans="1:4">
      <c r="A2357" s="173" t="s">
        <v>7427</v>
      </c>
      <c r="B2357" s="173" t="s">
        <v>4840</v>
      </c>
      <c r="C2357" s="173" t="s">
        <v>4841</v>
      </c>
      <c r="D2357" s="173" t="str">
        <f t="shared" si="0"/>
        <v>外部代理总线zh0808</v>
      </c>
    </row>
    <row r="2358" ht="16.5" spans="1:4">
      <c r="A2358" s="173" t="s">
        <v>7428</v>
      </c>
      <c r="B2358" s="173" t="s">
        <v>4840</v>
      </c>
      <c r="C2358" s="173" t="s">
        <v>4841</v>
      </c>
      <c r="D2358" s="173" t="str">
        <f t="shared" si="0"/>
        <v>外部代理总线zh0808</v>
      </c>
    </row>
    <row r="2359" ht="16.5" spans="1:4">
      <c r="A2359" s="173" t="s">
        <v>7429</v>
      </c>
      <c r="B2359" s="173" t="s">
        <v>4840</v>
      </c>
      <c r="C2359" s="173" t="s">
        <v>4841</v>
      </c>
      <c r="D2359" s="173" t="str">
        <f t="shared" si="0"/>
        <v>外部代理总线zh0808</v>
      </c>
    </row>
    <row r="2360" ht="16.5" spans="1:4">
      <c r="A2360" s="173" t="s">
        <v>7430</v>
      </c>
      <c r="B2360" s="173" t="s">
        <v>4840</v>
      </c>
      <c r="C2360" s="173" t="s">
        <v>4841</v>
      </c>
      <c r="D2360" s="173" t="str">
        <f t="shared" si="0"/>
        <v>外部代理总线zh0808</v>
      </c>
    </row>
    <row r="2361" ht="16.5" spans="1:4">
      <c r="A2361" s="173" t="s">
        <v>7431</v>
      </c>
      <c r="B2361" s="173" t="s">
        <v>4840</v>
      </c>
      <c r="C2361" s="173" t="s">
        <v>4841</v>
      </c>
      <c r="D2361" s="173" t="str">
        <f t="shared" si="0"/>
        <v>外部代理总线zh0808</v>
      </c>
    </row>
    <row r="2362" ht="16.5" spans="1:4">
      <c r="A2362" s="173" t="s">
        <v>7432</v>
      </c>
      <c r="B2362" s="173" t="s">
        <v>4840</v>
      </c>
      <c r="C2362" s="173" t="s">
        <v>4841</v>
      </c>
      <c r="D2362" s="173" t="str">
        <f t="shared" si="0"/>
        <v>外部代理总线zh0808</v>
      </c>
    </row>
    <row r="2363" ht="16.5" spans="1:4">
      <c r="A2363" s="173" t="s">
        <v>7433</v>
      </c>
      <c r="B2363" s="173" t="s">
        <v>4840</v>
      </c>
      <c r="C2363" s="173" t="s">
        <v>4841</v>
      </c>
      <c r="D2363" s="173" t="str">
        <f t="shared" si="0"/>
        <v>外部代理总线zh0808</v>
      </c>
    </row>
    <row r="2364" ht="17.25" spans="1:4">
      <c r="A2364" s="173" t="s">
        <v>7434</v>
      </c>
      <c r="B2364" s="173" t="s">
        <v>4840</v>
      </c>
      <c r="C2364" s="173" t="s">
        <v>4841</v>
      </c>
      <c r="D2364" s="173" t="str">
        <f t="shared" si="0"/>
        <v>外部代理总线zh0808</v>
      </c>
    </row>
    <row r="2365" ht="17.25" spans="1:4">
      <c r="A2365" s="180" t="s">
        <v>7435</v>
      </c>
      <c r="B2365" s="173" t="s">
        <v>4920</v>
      </c>
      <c r="C2365" s="173" t="s">
        <v>4921</v>
      </c>
      <c r="D2365" s="173" t="s">
        <v>4922</v>
      </c>
    </row>
    <row r="2366" ht="17.25" spans="1:4">
      <c r="A2366" s="180" t="s">
        <v>7436</v>
      </c>
      <c r="B2366" s="173" t="s">
        <v>4920</v>
      </c>
      <c r="C2366" s="173" t="s">
        <v>4921</v>
      </c>
      <c r="D2366" s="173" t="s">
        <v>4922</v>
      </c>
    </row>
    <row r="2367" ht="17.25" spans="1:4">
      <c r="A2367" s="180" t="s">
        <v>7437</v>
      </c>
      <c r="B2367" s="180" t="s">
        <v>7437</v>
      </c>
      <c r="C2367" s="173" t="s">
        <v>6215</v>
      </c>
      <c r="D2367" s="173" t="s">
        <v>4838</v>
      </c>
    </row>
    <row r="2368" ht="17.25" spans="1:4">
      <c r="A2368" s="180" t="s">
        <v>7438</v>
      </c>
      <c r="B2368" s="173" t="s">
        <v>4840</v>
      </c>
      <c r="C2368" s="173" t="s">
        <v>4841</v>
      </c>
      <c r="D2368" s="173" t="str">
        <f t="shared" ref="D2368:D2373" si="1">C2368&amp;B2368</f>
        <v>外部代理总线zh0808</v>
      </c>
    </row>
    <row r="2369" ht="17.25" spans="1:4">
      <c r="A2369" s="180" t="s">
        <v>7439</v>
      </c>
      <c r="B2369" s="173" t="s">
        <v>4840</v>
      </c>
      <c r="C2369" s="173" t="s">
        <v>4841</v>
      </c>
      <c r="D2369" s="173" t="str">
        <f t="shared" si="1"/>
        <v>外部代理总线zh0808</v>
      </c>
    </row>
    <row r="2370" ht="17.25" spans="1:4">
      <c r="A2370" s="180" t="s">
        <v>7440</v>
      </c>
      <c r="B2370" s="173" t="s">
        <v>4840</v>
      </c>
      <c r="C2370" s="173" t="s">
        <v>4841</v>
      </c>
      <c r="D2370" s="173" t="str">
        <f t="shared" si="1"/>
        <v>外部代理总线zh0808</v>
      </c>
    </row>
    <row r="2371" ht="17.25" spans="1:4">
      <c r="A2371" s="180" t="s">
        <v>7441</v>
      </c>
      <c r="B2371" s="173" t="s">
        <v>4840</v>
      </c>
      <c r="C2371" s="173" t="s">
        <v>4841</v>
      </c>
      <c r="D2371" s="173" t="str">
        <f t="shared" si="1"/>
        <v>外部代理总线zh0808</v>
      </c>
    </row>
    <row r="2372" ht="17.25" spans="1:4">
      <c r="A2372" s="180" t="s">
        <v>7442</v>
      </c>
      <c r="B2372" s="173" t="s">
        <v>4840</v>
      </c>
      <c r="C2372" s="173" t="s">
        <v>4841</v>
      </c>
      <c r="D2372" s="173" t="str">
        <f t="shared" si="1"/>
        <v>外部代理总线zh0808</v>
      </c>
    </row>
    <row r="2373" ht="17.25" spans="1:4">
      <c r="A2373" s="180" t="s">
        <v>7443</v>
      </c>
      <c r="B2373" s="173" t="s">
        <v>6926</v>
      </c>
      <c r="C2373" s="173" t="s">
        <v>4841</v>
      </c>
      <c r="D2373" s="173" t="str">
        <f t="shared" si="1"/>
        <v>外部代理总线zhaoshang</v>
      </c>
    </row>
    <row r="2374" ht="29.25" spans="1:4">
      <c r="A2374" s="180" t="s">
        <v>7444</v>
      </c>
      <c r="B2374" s="173" t="s">
        <v>4822</v>
      </c>
      <c r="C2374" s="173" t="s">
        <v>4823</v>
      </c>
      <c r="D2374" s="173" t="s">
        <v>4823</v>
      </c>
    </row>
    <row r="2375" ht="29.25" spans="1:4">
      <c r="A2375" s="180" t="s">
        <v>7445</v>
      </c>
      <c r="B2375" s="173" t="s">
        <v>4822</v>
      </c>
      <c r="C2375" s="173" t="s">
        <v>4823</v>
      </c>
      <c r="D2375" s="173" t="s">
        <v>4823</v>
      </c>
    </row>
    <row r="2376" ht="16.5" spans="1:4">
      <c r="A2376" s="173" t="s">
        <v>7446</v>
      </c>
      <c r="B2376" s="173" t="s">
        <v>4840</v>
      </c>
      <c r="C2376" s="173" t="s">
        <v>4841</v>
      </c>
      <c r="D2376" s="173" t="str">
        <f t="shared" ref="D2376:D2427" si="2">C2376&amp;B2376</f>
        <v>外部代理总线zh0808</v>
      </c>
    </row>
    <row r="2377" ht="16.5" spans="1:4">
      <c r="A2377" s="173" t="s">
        <v>7447</v>
      </c>
      <c r="B2377" s="173" t="s">
        <v>4840</v>
      </c>
      <c r="C2377" s="173" t="s">
        <v>4841</v>
      </c>
      <c r="D2377" s="173" t="str">
        <f t="shared" si="2"/>
        <v>外部代理总线zh0808</v>
      </c>
    </row>
    <row r="2378" ht="16.5" spans="1:4">
      <c r="A2378" s="173" t="s">
        <v>7448</v>
      </c>
      <c r="B2378" s="173" t="s">
        <v>4840</v>
      </c>
      <c r="C2378" s="173" t="s">
        <v>4841</v>
      </c>
      <c r="D2378" s="173" t="str">
        <f t="shared" si="2"/>
        <v>外部代理总线zh0808</v>
      </c>
    </row>
    <row r="2379" ht="16.5" spans="1:4">
      <c r="A2379" s="173" t="s">
        <v>7449</v>
      </c>
      <c r="B2379" s="173" t="s">
        <v>4840</v>
      </c>
      <c r="C2379" s="173" t="s">
        <v>4841</v>
      </c>
      <c r="D2379" s="173" t="str">
        <f t="shared" si="2"/>
        <v>外部代理总线zh0808</v>
      </c>
    </row>
    <row r="2380" ht="16.5" spans="1:4">
      <c r="A2380" s="173" t="s">
        <v>7450</v>
      </c>
      <c r="B2380" s="173" t="s">
        <v>4840</v>
      </c>
      <c r="C2380" s="173" t="s">
        <v>4841</v>
      </c>
      <c r="D2380" s="173" t="str">
        <f t="shared" si="2"/>
        <v>外部代理总线zh0808</v>
      </c>
    </row>
    <row r="2381" ht="16.5" spans="1:4">
      <c r="A2381" s="173" t="s">
        <v>7451</v>
      </c>
      <c r="B2381" s="173" t="s">
        <v>4840</v>
      </c>
      <c r="C2381" s="173" t="s">
        <v>4841</v>
      </c>
      <c r="D2381" s="173" t="str">
        <f t="shared" si="2"/>
        <v>外部代理总线zh0808</v>
      </c>
    </row>
    <row r="2382" ht="16.5" spans="1:4">
      <c r="A2382" s="173" t="s">
        <v>7452</v>
      </c>
      <c r="B2382" s="173" t="s">
        <v>4840</v>
      </c>
      <c r="C2382" s="173" t="s">
        <v>4841</v>
      </c>
      <c r="D2382" s="173" t="str">
        <f t="shared" si="2"/>
        <v>外部代理总线zh0808</v>
      </c>
    </row>
    <row r="2383" ht="16.5" spans="1:4">
      <c r="A2383" s="173" t="s">
        <v>7453</v>
      </c>
      <c r="B2383" s="173" t="s">
        <v>4840</v>
      </c>
      <c r="C2383" s="173" t="s">
        <v>4841</v>
      </c>
      <c r="D2383" s="173" t="str">
        <f t="shared" si="2"/>
        <v>外部代理总线zh0808</v>
      </c>
    </row>
    <row r="2384" ht="16.5" spans="1:4">
      <c r="A2384" s="173" t="s">
        <v>7454</v>
      </c>
      <c r="B2384" s="173" t="s">
        <v>4840</v>
      </c>
      <c r="C2384" s="173" t="s">
        <v>4841</v>
      </c>
      <c r="D2384" s="173" t="str">
        <f t="shared" si="2"/>
        <v>外部代理总线zh0808</v>
      </c>
    </row>
    <row r="2385" ht="16.5" spans="1:4">
      <c r="A2385" s="173" t="s">
        <v>7455</v>
      </c>
      <c r="B2385" s="173" t="s">
        <v>4840</v>
      </c>
      <c r="C2385" s="173" t="s">
        <v>4841</v>
      </c>
      <c r="D2385" s="173" t="str">
        <f t="shared" si="2"/>
        <v>外部代理总线zh0808</v>
      </c>
    </row>
    <row r="2386" ht="16.5" spans="1:4">
      <c r="A2386" s="173" t="s">
        <v>7456</v>
      </c>
      <c r="B2386" s="173" t="s">
        <v>6926</v>
      </c>
      <c r="C2386" s="173" t="s">
        <v>4841</v>
      </c>
      <c r="D2386" s="173" t="str">
        <f t="shared" si="2"/>
        <v>外部代理总线zhaoshang</v>
      </c>
    </row>
    <row r="2387" ht="16.5" spans="1:4">
      <c r="A2387" s="173" t="s">
        <v>7457</v>
      </c>
      <c r="B2387" s="173" t="s">
        <v>6926</v>
      </c>
      <c r="C2387" s="173" t="s">
        <v>4841</v>
      </c>
      <c r="D2387" s="173" t="str">
        <f t="shared" si="2"/>
        <v>外部代理总线zhaoshang</v>
      </c>
    </row>
    <row r="2388" ht="16.5" spans="1:4">
      <c r="A2388" s="173" t="s">
        <v>7458</v>
      </c>
      <c r="B2388" s="173" t="s">
        <v>6926</v>
      </c>
      <c r="C2388" s="173" t="s">
        <v>4841</v>
      </c>
      <c r="D2388" s="173" t="str">
        <f t="shared" si="2"/>
        <v>外部代理总线zhaoshang</v>
      </c>
    </row>
    <row r="2389" ht="16.5" spans="1:4">
      <c r="A2389" s="173" t="s">
        <v>7459</v>
      </c>
      <c r="B2389" s="173" t="s">
        <v>6926</v>
      </c>
      <c r="C2389" s="173" t="s">
        <v>4841</v>
      </c>
      <c r="D2389" s="173" t="str">
        <f t="shared" si="2"/>
        <v>外部代理总线zhaoshang</v>
      </c>
    </row>
    <row r="2390" ht="16.5" spans="1:4">
      <c r="A2390" s="173" t="s">
        <v>7460</v>
      </c>
      <c r="B2390" s="173" t="s">
        <v>6926</v>
      </c>
      <c r="C2390" s="173" t="s">
        <v>4841</v>
      </c>
      <c r="D2390" s="173" t="str">
        <f t="shared" si="2"/>
        <v>外部代理总线zhaoshang</v>
      </c>
    </row>
    <row r="2391" ht="16.5" spans="1:4">
      <c r="A2391" s="173" t="s">
        <v>7461</v>
      </c>
      <c r="B2391" s="173" t="s">
        <v>6926</v>
      </c>
      <c r="C2391" s="173" t="s">
        <v>4841</v>
      </c>
      <c r="D2391" s="173" t="str">
        <f t="shared" si="2"/>
        <v>外部代理总线zhaoshang</v>
      </c>
    </row>
    <row r="2392" ht="17.25" spans="1:4">
      <c r="A2392" s="173" t="s">
        <v>7462</v>
      </c>
      <c r="B2392" s="173" t="s">
        <v>103</v>
      </c>
      <c r="C2392" s="173" t="s">
        <v>7463</v>
      </c>
      <c r="D2392" s="173" t="str">
        <f t="shared" si="2"/>
        <v>招商泰国市场线admin</v>
      </c>
    </row>
    <row r="2393" ht="17.25" spans="1:4">
      <c r="A2393" s="180" t="s">
        <v>7464</v>
      </c>
      <c r="B2393" s="173" t="s">
        <v>4840</v>
      </c>
      <c r="C2393" s="173" t="s">
        <v>4841</v>
      </c>
      <c r="D2393" s="173" t="str">
        <f t="shared" si="2"/>
        <v>外部代理总线zh0808</v>
      </c>
    </row>
    <row r="2394" ht="17.25" spans="1:4">
      <c r="A2394" s="180" t="s">
        <v>7465</v>
      </c>
      <c r="B2394" s="173" t="s">
        <v>6926</v>
      </c>
      <c r="C2394" s="173" t="s">
        <v>4841</v>
      </c>
      <c r="D2394" s="173" t="str">
        <f t="shared" si="2"/>
        <v>外部代理总线zhaoshang</v>
      </c>
    </row>
    <row r="2395" ht="17.25" spans="1:4">
      <c r="A2395" s="180" t="s">
        <v>7466</v>
      </c>
      <c r="B2395" s="173" t="s">
        <v>6926</v>
      </c>
      <c r="C2395" s="173" t="s">
        <v>4841</v>
      </c>
      <c r="D2395" s="173" t="str">
        <f t="shared" si="2"/>
        <v>外部代理总线zhaoshang</v>
      </c>
    </row>
    <row r="2396" ht="17.25" spans="1:4">
      <c r="A2396" s="180" t="s">
        <v>7467</v>
      </c>
      <c r="B2396" s="173" t="s">
        <v>6926</v>
      </c>
      <c r="C2396" s="173" t="s">
        <v>4841</v>
      </c>
      <c r="D2396" s="173" t="str">
        <f t="shared" si="2"/>
        <v>外部代理总线zhaoshang</v>
      </c>
    </row>
    <row r="2397" ht="17.25" spans="1:4">
      <c r="A2397" s="180" t="s">
        <v>7468</v>
      </c>
      <c r="B2397" s="173" t="s">
        <v>6926</v>
      </c>
      <c r="C2397" s="173" t="s">
        <v>4841</v>
      </c>
      <c r="D2397" s="173" t="str">
        <f t="shared" si="2"/>
        <v>外部代理总线zhaoshang</v>
      </c>
    </row>
    <row r="2398" ht="17.25" spans="1:4">
      <c r="A2398" s="180" t="s">
        <v>7469</v>
      </c>
      <c r="B2398" s="173" t="s">
        <v>6926</v>
      </c>
      <c r="C2398" s="173" t="s">
        <v>4841</v>
      </c>
      <c r="D2398" s="173" t="str">
        <f t="shared" si="2"/>
        <v>外部代理总线zhaoshang</v>
      </c>
    </row>
    <row r="2399" ht="17.25" spans="1:4">
      <c r="A2399" s="180" t="s">
        <v>7470</v>
      </c>
      <c r="B2399" s="173" t="s">
        <v>6926</v>
      </c>
      <c r="C2399" s="173" t="s">
        <v>4841</v>
      </c>
      <c r="D2399" s="173" t="str">
        <f t="shared" si="2"/>
        <v>外部代理总线zhaoshang</v>
      </c>
    </row>
    <row r="2400" ht="17.25" spans="1:4">
      <c r="A2400" s="180" t="s">
        <v>7471</v>
      </c>
      <c r="B2400" s="173" t="s">
        <v>6926</v>
      </c>
      <c r="C2400" s="173" t="s">
        <v>4841</v>
      </c>
      <c r="D2400" s="173" t="str">
        <f t="shared" si="2"/>
        <v>外部代理总线zhaoshang</v>
      </c>
    </row>
    <row r="2401" ht="17.25" spans="1:4">
      <c r="A2401" s="180" t="s">
        <v>7472</v>
      </c>
      <c r="B2401" s="173" t="s">
        <v>6926</v>
      </c>
      <c r="C2401" s="173" t="s">
        <v>4841</v>
      </c>
      <c r="D2401" s="173" t="str">
        <f t="shared" si="2"/>
        <v>外部代理总线zhaoshang</v>
      </c>
    </row>
    <row r="2402" ht="17.25" spans="1:4">
      <c r="A2402" s="180" t="s">
        <v>7473</v>
      </c>
      <c r="B2402" s="173" t="s">
        <v>6926</v>
      </c>
      <c r="C2402" s="173" t="s">
        <v>4841</v>
      </c>
      <c r="D2402" s="173" t="str">
        <f t="shared" si="2"/>
        <v>外部代理总线zhaoshang</v>
      </c>
    </row>
    <row r="2403" ht="17.25" spans="1:4">
      <c r="A2403" s="180" t="s">
        <v>7474</v>
      </c>
      <c r="B2403" s="173" t="s">
        <v>6926</v>
      </c>
      <c r="C2403" s="173" t="s">
        <v>4841</v>
      </c>
      <c r="D2403" s="173" t="str">
        <f t="shared" si="2"/>
        <v>外部代理总线zhaoshang</v>
      </c>
    </row>
    <row r="2404" ht="17.25" spans="1:4">
      <c r="A2404" s="180" t="s">
        <v>7475</v>
      </c>
      <c r="B2404" s="173" t="s">
        <v>6926</v>
      </c>
      <c r="C2404" s="173" t="s">
        <v>4841</v>
      </c>
      <c r="D2404" s="173" t="str">
        <f t="shared" si="2"/>
        <v>外部代理总线zhaoshang</v>
      </c>
    </row>
    <row r="2405" ht="17.25" spans="1:4">
      <c r="A2405" s="180" t="s">
        <v>7476</v>
      </c>
      <c r="B2405" s="173" t="s">
        <v>6926</v>
      </c>
      <c r="C2405" s="173" t="s">
        <v>4841</v>
      </c>
      <c r="D2405" s="173" t="str">
        <f t="shared" si="2"/>
        <v>外部代理总线zhaoshang</v>
      </c>
    </row>
    <row r="2406" ht="17.25" spans="1:4">
      <c r="A2406" s="180" t="s">
        <v>7477</v>
      </c>
      <c r="B2406" s="173" t="s">
        <v>6926</v>
      </c>
      <c r="C2406" s="173" t="s">
        <v>4841</v>
      </c>
      <c r="D2406" s="173" t="str">
        <f t="shared" si="2"/>
        <v>外部代理总线zhaoshang</v>
      </c>
    </row>
    <row r="2407" ht="17.25" spans="1:4">
      <c r="A2407" s="180" t="s">
        <v>7478</v>
      </c>
      <c r="B2407" s="173" t="s">
        <v>6926</v>
      </c>
      <c r="C2407" s="173" t="s">
        <v>4841</v>
      </c>
      <c r="D2407" s="173" t="str">
        <f t="shared" si="2"/>
        <v>外部代理总线zhaoshang</v>
      </c>
    </row>
    <row r="2408" ht="17.25" spans="1:4">
      <c r="A2408" s="180" t="s">
        <v>7479</v>
      </c>
      <c r="B2408" s="173" t="s">
        <v>6926</v>
      </c>
      <c r="C2408" s="173" t="s">
        <v>4841</v>
      </c>
      <c r="D2408" s="173" t="str">
        <f t="shared" si="2"/>
        <v>外部代理总线zhaoshang</v>
      </c>
    </row>
    <row r="2409" ht="17.25" spans="1:4">
      <c r="A2409" s="180" t="s">
        <v>7480</v>
      </c>
      <c r="B2409" s="173" t="s">
        <v>6926</v>
      </c>
      <c r="C2409" s="173" t="s">
        <v>4841</v>
      </c>
      <c r="D2409" s="173" t="str">
        <f t="shared" si="2"/>
        <v>外部代理总线zhaoshang</v>
      </c>
    </row>
    <row r="2410" ht="17.25" spans="1:4">
      <c r="A2410" s="180" t="s">
        <v>7481</v>
      </c>
      <c r="B2410" s="173" t="s">
        <v>6926</v>
      </c>
      <c r="C2410" s="173" t="s">
        <v>4841</v>
      </c>
      <c r="D2410" s="173" t="str">
        <f t="shared" si="2"/>
        <v>外部代理总线zhaoshang</v>
      </c>
    </row>
    <row r="2411" ht="17.25" spans="1:4">
      <c r="A2411" s="180" t="s">
        <v>7482</v>
      </c>
      <c r="B2411" s="173" t="s">
        <v>6926</v>
      </c>
      <c r="C2411" s="173" t="s">
        <v>4841</v>
      </c>
      <c r="D2411" s="173" t="str">
        <f t="shared" si="2"/>
        <v>外部代理总线zhaoshang</v>
      </c>
    </row>
    <row r="2412" ht="17.25" spans="1:4">
      <c r="A2412" s="180" t="s">
        <v>7483</v>
      </c>
      <c r="B2412" s="173" t="s">
        <v>6926</v>
      </c>
      <c r="C2412" s="173" t="s">
        <v>4841</v>
      </c>
      <c r="D2412" s="173" t="str">
        <f t="shared" si="2"/>
        <v>外部代理总线zhaoshang</v>
      </c>
    </row>
    <row r="2413" ht="17.25" spans="1:4">
      <c r="A2413" s="180" t="s">
        <v>7484</v>
      </c>
      <c r="B2413" s="173" t="s">
        <v>6926</v>
      </c>
      <c r="C2413" s="173" t="s">
        <v>4841</v>
      </c>
      <c r="D2413" s="173" t="str">
        <f t="shared" si="2"/>
        <v>外部代理总线zhaoshang</v>
      </c>
    </row>
    <row r="2414" ht="17.25" spans="1:4">
      <c r="A2414" s="180" t="s">
        <v>7485</v>
      </c>
      <c r="B2414" s="173" t="s">
        <v>6926</v>
      </c>
      <c r="C2414" s="173" t="s">
        <v>4841</v>
      </c>
      <c r="D2414" s="173" t="str">
        <f t="shared" si="2"/>
        <v>外部代理总线zhaoshang</v>
      </c>
    </row>
    <row r="2415" ht="17.25" spans="1:4">
      <c r="A2415" s="180" t="s">
        <v>7486</v>
      </c>
      <c r="B2415" s="173" t="s">
        <v>6926</v>
      </c>
      <c r="C2415" s="173" t="s">
        <v>4841</v>
      </c>
      <c r="D2415" s="173" t="str">
        <f t="shared" si="2"/>
        <v>外部代理总线zhaoshang</v>
      </c>
    </row>
    <row r="2416" ht="17.25" spans="1:4">
      <c r="A2416" s="180" t="s">
        <v>7487</v>
      </c>
      <c r="B2416" s="173" t="s">
        <v>6926</v>
      </c>
      <c r="C2416" s="173" t="s">
        <v>4841</v>
      </c>
      <c r="D2416" s="173" t="str">
        <f t="shared" si="2"/>
        <v>外部代理总线zhaoshang</v>
      </c>
    </row>
    <row r="2417" ht="17.25" spans="1:4">
      <c r="A2417" s="180" t="s">
        <v>7488</v>
      </c>
      <c r="B2417" s="173" t="s">
        <v>6926</v>
      </c>
      <c r="C2417" s="173" t="s">
        <v>4841</v>
      </c>
      <c r="D2417" s="173" t="str">
        <f t="shared" si="2"/>
        <v>外部代理总线zhaoshang</v>
      </c>
    </row>
    <row r="2418" ht="17.25" spans="1:4">
      <c r="A2418" s="180" t="s">
        <v>7489</v>
      </c>
      <c r="B2418" s="173" t="s">
        <v>4840</v>
      </c>
      <c r="C2418" s="173" t="s">
        <v>4841</v>
      </c>
      <c r="D2418" s="173" t="str">
        <f t="shared" si="2"/>
        <v>外部代理总线zh0808</v>
      </c>
    </row>
    <row r="2419" ht="17.25" spans="1:4">
      <c r="A2419" s="180" t="s">
        <v>7490</v>
      </c>
      <c r="B2419" s="173" t="s">
        <v>4840</v>
      </c>
      <c r="C2419" s="173" t="s">
        <v>4841</v>
      </c>
      <c r="D2419" s="173" t="str">
        <f t="shared" si="2"/>
        <v>外部代理总线zh0808</v>
      </c>
    </row>
    <row r="2420" ht="17.25" spans="1:4">
      <c r="A2420" s="180" t="s">
        <v>7491</v>
      </c>
      <c r="B2420" s="173" t="s">
        <v>4840</v>
      </c>
      <c r="C2420" s="173" t="s">
        <v>4841</v>
      </c>
      <c r="D2420" s="173" t="str">
        <f t="shared" si="2"/>
        <v>外部代理总线zh0808</v>
      </c>
    </row>
    <row r="2421" ht="17.25" spans="1:4">
      <c r="A2421" s="180" t="s">
        <v>7492</v>
      </c>
      <c r="B2421" s="173" t="s">
        <v>6926</v>
      </c>
      <c r="C2421" s="173" t="s">
        <v>4841</v>
      </c>
      <c r="D2421" s="173" t="str">
        <f t="shared" si="2"/>
        <v>外部代理总线zhaoshang</v>
      </c>
    </row>
    <row r="2422" ht="17.25" spans="1:4">
      <c r="A2422" s="180" t="s">
        <v>7493</v>
      </c>
      <c r="B2422" s="173" t="s">
        <v>7110</v>
      </c>
      <c r="C2422" s="173" t="s">
        <v>4841</v>
      </c>
      <c r="D2422" s="173" t="str">
        <f t="shared" si="2"/>
        <v>外部代理总线zhaoshang1</v>
      </c>
    </row>
    <row r="2423" ht="17.25" spans="1:4">
      <c r="A2423" s="180" t="s">
        <v>7494</v>
      </c>
      <c r="B2423" s="173" t="s">
        <v>7110</v>
      </c>
      <c r="C2423" s="173" t="s">
        <v>4841</v>
      </c>
      <c r="D2423" s="173" t="str">
        <f t="shared" si="2"/>
        <v>外部代理总线zhaoshang1</v>
      </c>
    </row>
    <row r="2424" ht="17.25" spans="1:4">
      <c r="A2424" s="180" t="s">
        <v>7495</v>
      </c>
      <c r="B2424" s="173" t="s">
        <v>7110</v>
      </c>
      <c r="C2424" s="173" t="s">
        <v>4841</v>
      </c>
      <c r="D2424" s="173" t="str">
        <f t="shared" si="2"/>
        <v>外部代理总线zhaoshang1</v>
      </c>
    </row>
    <row r="2425" ht="17.25" spans="1:4">
      <c r="A2425" s="180" t="s">
        <v>7496</v>
      </c>
      <c r="B2425" s="173" t="s">
        <v>7110</v>
      </c>
      <c r="C2425" s="173" t="s">
        <v>4841</v>
      </c>
      <c r="D2425" s="173" t="str">
        <f t="shared" si="2"/>
        <v>外部代理总线zhaoshang1</v>
      </c>
    </row>
    <row r="2426" ht="17.25" spans="1:4">
      <c r="A2426" s="180" t="s">
        <v>7497</v>
      </c>
      <c r="B2426" s="173" t="s">
        <v>7110</v>
      </c>
      <c r="C2426" s="173" t="s">
        <v>4841</v>
      </c>
      <c r="D2426" s="173" t="str">
        <f t="shared" si="2"/>
        <v>外部代理总线zhaoshang1</v>
      </c>
    </row>
    <row r="2427" ht="17.25" spans="1:4">
      <c r="A2427" s="180" t="s">
        <v>7498</v>
      </c>
      <c r="B2427" s="173" t="s">
        <v>7110</v>
      </c>
      <c r="C2427" s="173" t="s">
        <v>4841</v>
      </c>
      <c r="D2427" s="173" t="str">
        <f t="shared" si="2"/>
        <v>外部代理总线zhaoshang1</v>
      </c>
    </row>
    <row r="2428" ht="17.25" spans="1:4">
      <c r="A2428" s="180" t="s">
        <v>7499</v>
      </c>
      <c r="B2428" s="180" t="s">
        <v>6808</v>
      </c>
      <c r="C2428" s="180" t="s">
        <v>6853</v>
      </c>
      <c r="D2428" s="173" t="s">
        <v>6809</v>
      </c>
    </row>
    <row r="2429" ht="17.25" spans="1:4">
      <c r="A2429" s="180" t="s">
        <v>7500</v>
      </c>
      <c r="B2429" s="173" t="s">
        <v>4840</v>
      </c>
      <c r="C2429" s="173" t="s">
        <v>4841</v>
      </c>
      <c r="D2429" s="173" t="str">
        <f t="shared" ref="D2429:D2433" si="3">C2429&amp;B2429</f>
        <v>外部代理总线zh0808</v>
      </c>
    </row>
    <row r="2430" ht="17.25" spans="1:4">
      <c r="A2430" s="189" t="s">
        <v>7501</v>
      </c>
      <c r="B2430" s="173" t="s">
        <v>4840</v>
      </c>
      <c r="C2430" s="173" t="s">
        <v>4841</v>
      </c>
      <c r="D2430" s="173" t="str">
        <f t="shared" si="3"/>
        <v>外部代理总线zh0808</v>
      </c>
    </row>
    <row r="2431" ht="17.25" spans="1:4">
      <c r="A2431" s="189" t="s">
        <v>7502</v>
      </c>
      <c r="B2431" s="173" t="s">
        <v>4840</v>
      </c>
      <c r="C2431" s="173" t="s">
        <v>4841</v>
      </c>
      <c r="D2431" s="173" t="str">
        <f t="shared" si="3"/>
        <v>外部代理总线zh0808</v>
      </c>
    </row>
    <row r="2432" ht="17.25" spans="1:4">
      <c r="A2432" s="189" t="s">
        <v>7503</v>
      </c>
      <c r="B2432" s="173" t="s">
        <v>4840</v>
      </c>
      <c r="C2432" s="173" t="s">
        <v>4841</v>
      </c>
      <c r="D2432" s="173" t="str">
        <f t="shared" si="3"/>
        <v>外部代理总线zh0808</v>
      </c>
    </row>
    <row r="2433" ht="17.25" spans="1:4">
      <c r="A2433" s="189" t="s">
        <v>7504</v>
      </c>
      <c r="B2433" s="173" t="s">
        <v>4840</v>
      </c>
      <c r="C2433" s="173" t="s">
        <v>4841</v>
      </c>
      <c r="D2433" s="173" t="str">
        <f t="shared" si="3"/>
        <v>外部代理总线zh0808</v>
      </c>
    </row>
    <row r="2434" ht="17.25" spans="1:4">
      <c r="A2434" s="180" t="s">
        <v>7505</v>
      </c>
      <c r="B2434" s="173" t="s">
        <v>6156</v>
      </c>
      <c r="C2434" s="173" t="s">
        <v>6157</v>
      </c>
      <c r="D2434" s="173" t="s">
        <v>6158</v>
      </c>
    </row>
    <row r="2435" ht="17.25" spans="1:4">
      <c r="A2435" s="180" t="s">
        <v>7506</v>
      </c>
      <c r="B2435" s="173" t="s">
        <v>4854</v>
      </c>
      <c r="C2435" s="173" t="s">
        <v>4874</v>
      </c>
      <c r="D2435" s="173" t="s">
        <v>4875</v>
      </c>
    </row>
    <row r="2436" ht="17.25" spans="1:4">
      <c r="A2436" s="180" t="s">
        <v>2944</v>
      </c>
      <c r="B2436" s="180" t="s">
        <v>2944</v>
      </c>
      <c r="C2436" s="173" t="s">
        <v>4841</v>
      </c>
      <c r="D2436" s="173" t="s">
        <v>7507</v>
      </c>
    </row>
    <row r="2437" ht="17.25" spans="1:4">
      <c r="A2437" s="180" t="s">
        <v>645</v>
      </c>
      <c r="B2437" s="173" t="s">
        <v>4840</v>
      </c>
      <c r="C2437" s="173" t="s">
        <v>4841</v>
      </c>
      <c r="D2437" s="173" t="str">
        <f t="shared" ref="D2437:D2441" si="4">C2437&amp;B2437</f>
        <v>外部代理总线zh0808</v>
      </c>
    </row>
    <row r="2438" ht="17.25" spans="1:4">
      <c r="A2438" s="180" t="s">
        <v>7508</v>
      </c>
      <c r="B2438" s="173" t="s">
        <v>4840</v>
      </c>
      <c r="C2438" s="173" t="s">
        <v>4841</v>
      </c>
      <c r="D2438" s="173" t="str">
        <f t="shared" si="4"/>
        <v>外部代理总线zh0808</v>
      </c>
    </row>
    <row r="2439" ht="17.25" spans="1:4">
      <c r="A2439" s="180" t="s">
        <v>7509</v>
      </c>
      <c r="B2439" s="173" t="s">
        <v>4840</v>
      </c>
      <c r="C2439" s="173" t="s">
        <v>4841</v>
      </c>
      <c r="D2439" s="173" t="str">
        <f t="shared" si="4"/>
        <v>外部代理总线zh0808</v>
      </c>
    </row>
    <row r="2440" ht="17.25" spans="1:4">
      <c r="A2440" s="180" t="s">
        <v>7510</v>
      </c>
      <c r="B2440" s="173" t="s">
        <v>4840</v>
      </c>
      <c r="C2440" s="173" t="s">
        <v>4841</v>
      </c>
      <c r="D2440" s="173" t="str">
        <f t="shared" si="4"/>
        <v>外部代理总线zh0808</v>
      </c>
    </row>
    <row r="2441" ht="17.25" spans="1:4">
      <c r="A2441" s="180" t="s">
        <v>7511</v>
      </c>
      <c r="B2441" s="173" t="s">
        <v>6926</v>
      </c>
      <c r="C2441" s="173" t="s">
        <v>4841</v>
      </c>
      <c r="D2441" s="173" t="str">
        <f t="shared" si="4"/>
        <v>外部代理总线zhaoshang</v>
      </c>
    </row>
    <row r="2442" ht="17.25" spans="1:4">
      <c r="A2442" s="180" t="s">
        <v>7512</v>
      </c>
      <c r="B2442" s="173" t="s">
        <v>4822</v>
      </c>
      <c r="C2442" s="173" t="s">
        <v>4823</v>
      </c>
      <c r="D2442" s="173" t="s">
        <v>4823</v>
      </c>
    </row>
    <row r="2443" ht="17.25" spans="1:4">
      <c r="A2443" s="180" t="s">
        <v>7513</v>
      </c>
      <c r="B2443" s="180" t="s">
        <v>6998</v>
      </c>
      <c r="C2443" s="173" t="s">
        <v>4865</v>
      </c>
      <c r="D2443" s="173" t="s">
        <v>4865</v>
      </c>
    </row>
    <row r="2444" ht="17.25" spans="1:4">
      <c r="A2444" s="180" t="s">
        <v>7514</v>
      </c>
      <c r="B2444" s="173" t="s">
        <v>4840</v>
      </c>
      <c r="C2444" s="173" t="s">
        <v>4841</v>
      </c>
      <c r="D2444" s="173" t="str">
        <f t="shared" ref="D2444:D2450" si="5">C2444&amp;B2444</f>
        <v>外部代理总线zh0808</v>
      </c>
    </row>
    <row r="2445" ht="17.25" spans="1:4">
      <c r="A2445" s="180" t="s">
        <v>7515</v>
      </c>
      <c r="B2445" s="173" t="s">
        <v>4840</v>
      </c>
      <c r="C2445" s="173" t="s">
        <v>4841</v>
      </c>
      <c r="D2445" s="173" t="str">
        <f t="shared" si="5"/>
        <v>外部代理总线zh0808</v>
      </c>
    </row>
    <row r="2446" ht="17.25" spans="1:4">
      <c r="A2446" s="180" t="s">
        <v>7516</v>
      </c>
      <c r="B2446" s="173" t="s">
        <v>4840</v>
      </c>
      <c r="C2446" s="173" t="s">
        <v>4841</v>
      </c>
      <c r="D2446" s="173" t="str">
        <f t="shared" si="5"/>
        <v>外部代理总线zh0808</v>
      </c>
    </row>
    <row r="2447" ht="17.25" spans="1:4">
      <c r="A2447" s="180" t="s">
        <v>7517</v>
      </c>
      <c r="B2447" s="173" t="s">
        <v>4840</v>
      </c>
      <c r="C2447" s="173" t="s">
        <v>4841</v>
      </c>
      <c r="D2447" s="173" t="str">
        <f t="shared" si="5"/>
        <v>外部代理总线zh0808</v>
      </c>
    </row>
    <row r="2448" ht="17.25" spans="1:4">
      <c r="A2448" s="180" t="s">
        <v>450</v>
      </c>
      <c r="B2448" s="173" t="s">
        <v>4840</v>
      </c>
      <c r="C2448" s="173" t="s">
        <v>4841</v>
      </c>
      <c r="D2448" s="173" t="str">
        <f t="shared" si="5"/>
        <v>外部代理总线zh0808</v>
      </c>
    </row>
    <row r="2449" ht="17.25" spans="1:4">
      <c r="A2449" s="180" t="s">
        <v>7518</v>
      </c>
      <c r="B2449" s="173" t="s">
        <v>6926</v>
      </c>
      <c r="C2449" s="173" t="s">
        <v>4841</v>
      </c>
      <c r="D2449" s="173" t="str">
        <f t="shared" si="5"/>
        <v>外部代理总线zhaoshang</v>
      </c>
    </row>
    <row r="2450" ht="17.25" spans="1:4">
      <c r="A2450" s="180" t="s">
        <v>7519</v>
      </c>
      <c r="B2450" s="173" t="s">
        <v>6926</v>
      </c>
      <c r="C2450" s="173" t="s">
        <v>4841</v>
      </c>
      <c r="D2450" s="173" t="str">
        <f t="shared" si="5"/>
        <v>外部代理总线zhaoshang</v>
      </c>
    </row>
    <row r="2451" ht="17.25" spans="1:4">
      <c r="A2451" s="180" t="s">
        <v>7520</v>
      </c>
      <c r="B2451" s="173" t="s">
        <v>4854</v>
      </c>
      <c r="C2451" s="173" t="s">
        <v>4874</v>
      </c>
      <c r="D2451" s="173" t="s">
        <v>4875</v>
      </c>
    </row>
    <row r="2452" ht="17.25" spans="1:4">
      <c r="A2452" s="180" t="s">
        <v>7521</v>
      </c>
      <c r="B2452" s="173" t="s">
        <v>4840</v>
      </c>
      <c r="C2452" s="173" t="s">
        <v>4841</v>
      </c>
      <c r="D2452" s="173" t="str">
        <f t="shared" ref="D2452:D2468" si="6">C2452&amp;B2452</f>
        <v>外部代理总线zh0808</v>
      </c>
    </row>
    <row r="2453" ht="17.25" spans="1:4">
      <c r="A2453" s="180" t="s">
        <v>7522</v>
      </c>
      <c r="B2453" s="173" t="s">
        <v>7110</v>
      </c>
      <c r="C2453" s="173" t="s">
        <v>4841</v>
      </c>
      <c r="D2453" s="173" t="str">
        <f t="shared" si="6"/>
        <v>外部代理总线zhaoshang1</v>
      </c>
    </row>
    <row r="2454" ht="17.25" spans="1:4">
      <c r="A2454" s="180" t="s">
        <v>7523</v>
      </c>
      <c r="B2454" s="173" t="s">
        <v>7110</v>
      </c>
      <c r="C2454" s="173" t="s">
        <v>4841</v>
      </c>
      <c r="D2454" s="173" t="str">
        <f t="shared" si="6"/>
        <v>外部代理总线zhaoshang1</v>
      </c>
    </row>
    <row r="2455" ht="17.25" spans="1:4">
      <c r="A2455" s="180" t="s">
        <v>7524</v>
      </c>
      <c r="B2455" s="173" t="s">
        <v>7110</v>
      </c>
      <c r="C2455" s="173" t="s">
        <v>4841</v>
      </c>
      <c r="D2455" s="173" t="str">
        <f t="shared" si="6"/>
        <v>外部代理总线zhaoshang1</v>
      </c>
    </row>
    <row r="2456" ht="17.25" spans="1:4">
      <c r="A2456" s="180" t="s">
        <v>7525</v>
      </c>
      <c r="B2456" s="173" t="s">
        <v>7110</v>
      </c>
      <c r="C2456" s="173" t="s">
        <v>4841</v>
      </c>
      <c r="D2456" s="173" t="str">
        <f t="shared" si="6"/>
        <v>外部代理总线zhaoshang1</v>
      </c>
    </row>
    <row r="2457" ht="17.25" spans="1:4">
      <c r="A2457" s="180" t="s">
        <v>7526</v>
      </c>
      <c r="B2457" s="173" t="s">
        <v>7110</v>
      </c>
      <c r="C2457" s="173" t="s">
        <v>4841</v>
      </c>
      <c r="D2457" s="173" t="str">
        <f t="shared" si="6"/>
        <v>外部代理总线zhaoshang1</v>
      </c>
    </row>
    <row r="2458" ht="17.25" spans="1:4">
      <c r="A2458" s="180" t="s">
        <v>7527</v>
      </c>
      <c r="B2458" s="173" t="s">
        <v>7110</v>
      </c>
      <c r="C2458" s="173" t="s">
        <v>4841</v>
      </c>
      <c r="D2458" s="173" t="str">
        <f t="shared" si="6"/>
        <v>外部代理总线zhaoshang1</v>
      </c>
    </row>
    <row r="2459" ht="17.25" spans="1:4">
      <c r="A2459" s="180" t="s">
        <v>7528</v>
      </c>
      <c r="B2459" s="173" t="s">
        <v>7110</v>
      </c>
      <c r="C2459" s="173" t="s">
        <v>4841</v>
      </c>
      <c r="D2459" s="173" t="str">
        <f t="shared" si="6"/>
        <v>外部代理总线zhaoshang1</v>
      </c>
    </row>
    <row r="2460" ht="17.25" spans="1:4">
      <c r="A2460" s="180" t="s">
        <v>7529</v>
      </c>
      <c r="B2460" s="173" t="s">
        <v>7110</v>
      </c>
      <c r="C2460" s="173" t="s">
        <v>4841</v>
      </c>
      <c r="D2460" s="173" t="str">
        <f t="shared" si="6"/>
        <v>外部代理总线zhaoshang1</v>
      </c>
    </row>
    <row r="2461" ht="17.25" spans="1:4">
      <c r="A2461" s="180" t="s">
        <v>7530</v>
      </c>
      <c r="B2461" s="173" t="s">
        <v>7110</v>
      </c>
      <c r="C2461" s="173" t="s">
        <v>4841</v>
      </c>
      <c r="D2461" s="173" t="str">
        <f t="shared" si="6"/>
        <v>外部代理总线zhaoshang1</v>
      </c>
    </row>
    <row r="2462" ht="17.25" spans="1:4">
      <c r="A2462" s="180" t="s">
        <v>7531</v>
      </c>
      <c r="B2462" s="173" t="s">
        <v>7110</v>
      </c>
      <c r="C2462" s="173" t="s">
        <v>4841</v>
      </c>
      <c r="D2462" s="173" t="str">
        <f t="shared" si="6"/>
        <v>外部代理总线zhaoshang1</v>
      </c>
    </row>
    <row r="2463" ht="17.25" spans="1:4">
      <c r="A2463" s="180" t="s">
        <v>7532</v>
      </c>
      <c r="B2463" s="173" t="s">
        <v>7110</v>
      </c>
      <c r="C2463" s="173" t="s">
        <v>4841</v>
      </c>
      <c r="D2463" s="173" t="str">
        <f t="shared" si="6"/>
        <v>外部代理总线zhaoshang1</v>
      </c>
    </row>
    <row r="2464" ht="16.5" spans="1:4">
      <c r="A2464" t="s">
        <v>7533</v>
      </c>
      <c r="B2464" t="s">
        <v>6926</v>
      </c>
      <c r="C2464" s="173" t="s">
        <v>4841</v>
      </c>
      <c r="D2464" s="173" t="str">
        <f t="shared" si="6"/>
        <v>外部代理总线zhaoshang</v>
      </c>
    </row>
    <row r="2465" ht="16.5" spans="1:4">
      <c r="A2465" t="s">
        <v>7534</v>
      </c>
      <c r="B2465" t="s">
        <v>6926</v>
      </c>
      <c r="C2465" s="173" t="s">
        <v>4841</v>
      </c>
      <c r="D2465" s="173" t="str">
        <f t="shared" si="6"/>
        <v>外部代理总线zhaoshang</v>
      </c>
    </row>
    <row r="2466" ht="16.5" spans="1:4">
      <c r="A2466" t="s">
        <v>7535</v>
      </c>
      <c r="B2466" t="s">
        <v>7110</v>
      </c>
      <c r="C2466" s="173" t="s">
        <v>4841</v>
      </c>
      <c r="D2466" s="173" t="str">
        <f t="shared" si="6"/>
        <v>外部代理总线zhaoshang1</v>
      </c>
    </row>
    <row r="2467" ht="16.5" spans="1:4">
      <c r="A2467" t="s">
        <v>7536</v>
      </c>
      <c r="B2467" t="s">
        <v>7110</v>
      </c>
      <c r="C2467" s="173" t="s">
        <v>4841</v>
      </c>
      <c r="D2467" s="173" t="str">
        <f t="shared" si="6"/>
        <v>外部代理总线zhaoshang1</v>
      </c>
    </row>
    <row r="2468" ht="16.5" spans="1:4">
      <c r="A2468" t="s">
        <v>7537</v>
      </c>
      <c r="B2468" t="s">
        <v>4840</v>
      </c>
      <c r="C2468" s="173" t="s">
        <v>4841</v>
      </c>
      <c r="D2468" s="173" t="str">
        <f t="shared" si="6"/>
        <v>外部代理总线zh0808</v>
      </c>
    </row>
    <row r="2469" ht="16.5" spans="1:4">
      <c r="A2469" t="s">
        <v>7538</v>
      </c>
      <c r="B2469" t="s">
        <v>7110</v>
      </c>
      <c r="C2469" s="173" t="s">
        <v>4841</v>
      </c>
      <c r="D2469" s="173" t="str">
        <f t="shared" ref="D2469:D2478" si="7">C2469&amp;B2469</f>
        <v>外部代理总线zhaoshang1</v>
      </c>
    </row>
    <row r="2470" ht="16.5" spans="1:4">
      <c r="A2470" t="s">
        <v>7539</v>
      </c>
      <c r="B2470" t="s">
        <v>7110</v>
      </c>
      <c r="C2470" s="173" t="s">
        <v>4841</v>
      </c>
      <c r="D2470" s="173" t="str">
        <f t="shared" si="7"/>
        <v>外部代理总线zhaoshang1</v>
      </c>
    </row>
    <row r="2471" ht="16.5" spans="1:4">
      <c r="A2471" t="s">
        <v>7540</v>
      </c>
      <c r="B2471" t="s">
        <v>6926</v>
      </c>
      <c r="C2471" s="173" t="s">
        <v>4841</v>
      </c>
      <c r="D2471" s="173" t="str">
        <f t="shared" si="7"/>
        <v>外部代理总线zhaoshang</v>
      </c>
    </row>
    <row r="2472" ht="16.5" spans="1:4">
      <c r="A2472" t="s">
        <v>7541</v>
      </c>
      <c r="B2472" t="s">
        <v>4840</v>
      </c>
      <c r="C2472" s="173" t="s">
        <v>4841</v>
      </c>
      <c r="D2472" s="173" t="str">
        <f t="shared" si="7"/>
        <v>外部代理总线zh0808</v>
      </c>
    </row>
    <row r="2473" ht="16.5" spans="1:5">
      <c r="A2473" t="s">
        <v>7542</v>
      </c>
      <c r="B2473" t="s">
        <v>4840</v>
      </c>
      <c r="C2473" s="173" t="s">
        <v>4841</v>
      </c>
      <c r="D2473" s="173" t="str">
        <f t="shared" si="7"/>
        <v>外部代理总线zh0808</v>
      </c>
      <c r="E2473" s="173"/>
    </row>
    <row r="2474" ht="16.5" spans="1:4">
      <c r="A2474" t="s">
        <v>7543</v>
      </c>
      <c r="B2474" t="s">
        <v>7110</v>
      </c>
      <c r="C2474" s="173" t="s">
        <v>4841</v>
      </c>
      <c r="D2474" s="173" t="str">
        <f t="shared" si="7"/>
        <v>外部代理总线zhaoshang1</v>
      </c>
    </row>
    <row r="2475" ht="16.5" spans="1:4">
      <c r="A2475" t="s">
        <v>7544</v>
      </c>
      <c r="B2475" t="s">
        <v>6926</v>
      </c>
      <c r="C2475" s="173" t="s">
        <v>4841</v>
      </c>
      <c r="D2475" s="173" t="str">
        <f t="shared" si="7"/>
        <v>外部代理总线zhaoshang</v>
      </c>
    </row>
    <row r="2476" ht="16.5" spans="1:5">
      <c r="A2476" t="s">
        <v>7545</v>
      </c>
      <c r="B2476" t="s">
        <v>4840</v>
      </c>
      <c r="C2476" s="173" t="s">
        <v>4841</v>
      </c>
      <c r="D2476" s="173" t="str">
        <f t="shared" si="7"/>
        <v>外部代理总线zh0808</v>
      </c>
      <c r="E2476" s="173"/>
    </row>
    <row r="2477" ht="16.5" spans="1:5">
      <c r="A2477" t="s">
        <v>7546</v>
      </c>
      <c r="B2477" t="s">
        <v>4840</v>
      </c>
      <c r="C2477" s="173" t="s">
        <v>4841</v>
      </c>
      <c r="D2477" s="173" t="str">
        <f t="shared" si="7"/>
        <v>外部代理总线zh0808</v>
      </c>
      <c r="E2477" s="173"/>
    </row>
    <row r="2478" ht="16.5" spans="1:5">
      <c r="A2478" t="s">
        <v>7547</v>
      </c>
      <c r="B2478" t="s">
        <v>4840</v>
      </c>
      <c r="C2478" s="173" t="s">
        <v>4841</v>
      </c>
      <c r="D2478" s="173" t="str">
        <f t="shared" si="7"/>
        <v>外部代理总线zh0808</v>
      </c>
      <c r="E2478" s="173"/>
    </row>
    <row r="2479" ht="16.5" spans="1:4">
      <c r="A2479" t="s">
        <v>7548</v>
      </c>
      <c r="B2479" t="s">
        <v>4791</v>
      </c>
      <c r="C2479" s="173" t="s">
        <v>4792</v>
      </c>
      <c r="D2479" s="173" t="s">
        <v>4793</v>
      </c>
    </row>
    <row r="2480" ht="16.5" spans="1:4">
      <c r="A2480" t="s">
        <v>7549</v>
      </c>
      <c r="B2480" t="s">
        <v>7110</v>
      </c>
      <c r="C2480" s="173" t="s">
        <v>4841</v>
      </c>
      <c r="D2480" s="173" t="str">
        <f t="shared" ref="D2480:D2526" si="8">C2480&amp;B2480</f>
        <v>外部代理总线zhaoshang1</v>
      </c>
    </row>
    <row r="2481" ht="16.5" spans="1:4">
      <c r="A2481" t="s">
        <v>7550</v>
      </c>
      <c r="B2481" t="s">
        <v>4840</v>
      </c>
      <c r="C2481" s="173" t="s">
        <v>4841</v>
      </c>
      <c r="D2481" s="173" t="str">
        <f t="shared" si="8"/>
        <v>外部代理总线zh0808</v>
      </c>
    </row>
    <row r="2482" ht="16.5" spans="1:4">
      <c r="A2482" t="s">
        <v>7551</v>
      </c>
      <c r="B2482" t="s">
        <v>4840</v>
      </c>
      <c r="C2482" s="173" t="s">
        <v>4841</v>
      </c>
      <c r="D2482" s="173" t="str">
        <f t="shared" si="8"/>
        <v>外部代理总线zh0808</v>
      </c>
    </row>
    <row r="2483" ht="16.5" spans="1:4">
      <c r="A2483" t="s">
        <v>7552</v>
      </c>
      <c r="B2483" t="s">
        <v>4840</v>
      </c>
      <c r="C2483" s="173" t="s">
        <v>4841</v>
      </c>
      <c r="D2483" s="173" t="str">
        <f t="shared" si="8"/>
        <v>外部代理总线zh0808</v>
      </c>
    </row>
    <row r="2484" ht="16.5" spans="1:4">
      <c r="A2484" t="s">
        <v>7553</v>
      </c>
      <c r="B2484" t="s">
        <v>7110</v>
      </c>
      <c r="C2484" s="173" t="s">
        <v>4841</v>
      </c>
      <c r="D2484" s="173" t="str">
        <f t="shared" si="8"/>
        <v>外部代理总线zhaoshang1</v>
      </c>
    </row>
    <row r="2485" ht="16.5" spans="1:4">
      <c r="A2485" t="s">
        <v>7554</v>
      </c>
      <c r="B2485" t="s">
        <v>7110</v>
      </c>
      <c r="C2485" s="173" t="s">
        <v>4841</v>
      </c>
      <c r="D2485" s="173" t="str">
        <f t="shared" si="8"/>
        <v>外部代理总线zhaoshang1</v>
      </c>
    </row>
    <row r="2486" ht="16.5" spans="1:4">
      <c r="A2486" t="s">
        <v>7555</v>
      </c>
      <c r="B2486" t="s">
        <v>4840</v>
      </c>
      <c r="C2486" s="173" t="s">
        <v>4841</v>
      </c>
      <c r="D2486" s="173" t="str">
        <f t="shared" si="8"/>
        <v>外部代理总线zh0808</v>
      </c>
    </row>
    <row r="2487" ht="16.5" spans="1:4">
      <c r="A2487" t="s">
        <v>7556</v>
      </c>
      <c r="B2487" s="190" t="s">
        <v>4840</v>
      </c>
      <c r="C2487" s="173" t="s">
        <v>4841</v>
      </c>
      <c r="D2487" s="173" t="str">
        <f t="shared" si="8"/>
        <v>外部代理总线zh0808</v>
      </c>
    </row>
    <row r="2488" ht="16.5" spans="1:4">
      <c r="A2488" t="s">
        <v>7557</v>
      </c>
      <c r="B2488" s="190" t="s">
        <v>4840</v>
      </c>
      <c r="C2488" s="173" t="s">
        <v>4841</v>
      </c>
      <c r="D2488" s="173" t="str">
        <f t="shared" si="8"/>
        <v>外部代理总线zh0808</v>
      </c>
    </row>
    <row r="2489" ht="16.5" spans="1:4">
      <c r="A2489" t="s">
        <v>7558</v>
      </c>
      <c r="B2489" s="190" t="s">
        <v>6926</v>
      </c>
      <c r="C2489" s="173" t="s">
        <v>4841</v>
      </c>
      <c r="D2489" s="173" t="str">
        <f t="shared" si="8"/>
        <v>外部代理总线zhaoshang</v>
      </c>
    </row>
    <row r="2490" ht="16.5" spans="1:4">
      <c r="A2490" t="s">
        <v>7559</v>
      </c>
      <c r="B2490" s="190" t="s">
        <v>7110</v>
      </c>
      <c r="C2490" s="173" t="s">
        <v>4841</v>
      </c>
      <c r="D2490" s="173" t="str">
        <f t="shared" si="8"/>
        <v>外部代理总线zhaoshang1</v>
      </c>
    </row>
    <row r="2491" ht="16.5" spans="1:4">
      <c r="A2491" t="s">
        <v>7560</v>
      </c>
      <c r="B2491" t="s">
        <v>4840</v>
      </c>
      <c r="C2491" s="173" t="s">
        <v>4841</v>
      </c>
      <c r="D2491" s="173" t="str">
        <f t="shared" si="8"/>
        <v>外部代理总线zh0808</v>
      </c>
    </row>
    <row r="2492" ht="16.5" spans="1:4">
      <c r="A2492" t="s">
        <v>7561</v>
      </c>
      <c r="B2492" t="s">
        <v>6926</v>
      </c>
      <c r="C2492" s="173" t="s">
        <v>4841</v>
      </c>
      <c r="D2492" s="173" t="str">
        <f t="shared" si="8"/>
        <v>外部代理总线zhaoshang</v>
      </c>
    </row>
    <row r="2493" ht="16.5" spans="1:4">
      <c r="A2493" t="s">
        <v>7470</v>
      </c>
      <c r="B2493" t="s">
        <v>6926</v>
      </c>
      <c r="C2493" s="173" t="s">
        <v>4841</v>
      </c>
      <c r="D2493" s="173" t="str">
        <f t="shared" si="8"/>
        <v>外部代理总线zhaoshang</v>
      </c>
    </row>
    <row r="2494" ht="16.5" spans="1:4">
      <c r="A2494" t="s">
        <v>7556</v>
      </c>
      <c r="B2494" t="s">
        <v>4840</v>
      </c>
      <c r="C2494" s="173" t="s">
        <v>4841</v>
      </c>
      <c r="D2494" s="173" t="str">
        <f t="shared" si="8"/>
        <v>外部代理总线zh0808</v>
      </c>
    </row>
    <row r="2495" ht="16.5" spans="1:4">
      <c r="A2495" t="s">
        <v>7559</v>
      </c>
      <c r="B2495" t="s">
        <v>7110</v>
      </c>
      <c r="C2495" s="173" t="s">
        <v>4841</v>
      </c>
      <c r="D2495" s="173" t="str">
        <f t="shared" si="8"/>
        <v>外部代理总线zhaoshang1</v>
      </c>
    </row>
    <row r="2496" ht="16.5" spans="1:4">
      <c r="A2496" t="s">
        <v>7562</v>
      </c>
      <c r="B2496" t="s">
        <v>7110</v>
      </c>
      <c r="C2496" s="173" t="s">
        <v>4841</v>
      </c>
      <c r="D2496" s="173" t="str">
        <f t="shared" si="8"/>
        <v>外部代理总线zhaoshang1</v>
      </c>
    </row>
    <row r="2497" ht="16.5" spans="1:4">
      <c r="A2497" t="s">
        <v>7563</v>
      </c>
      <c r="B2497" t="s">
        <v>4840</v>
      </c>
      <c r="C2497" s="173" t="s">
        <v>4841</v>
      </c>
      <c r="D2497" s="173" t="str">
        <f t="shared" si="8"/>
        <v>外部代理总线zh0808</v>
      </c>
    </row>
    <row r="2498" ht="16.5" spans="1:4">
      <c r="A2498" t="s">
        <v>7564</v>
      </c>
      <c r="B2498" t="s">
        <v>4840</v>
      </c>
      <c r="C2498" s="173" t="s">
        <v>4841</v>
      </c>
      <c r="D2498" s="173" t="str">
        <f t="shared" si="8"/>
        <v>外部代理总线zh0808</v>
      </c>
    </row>
    <row r="2499" ht="16.5" spans="1:4">
      <c r="A2499" t="s">
        <v>7565</v>
      </c>
      <c r="B2499" t="s">
        <v>4840</v>
      </c>
      <c r="C2499" s="173" t="s">
        <v>4841</v>
      </c>
      <c r="D2499" s="173" t="str">
        <f t="shared" si="8"/>
        <v>外部代理总线zh0808</v>
      </c>
    </row>
    <row r="2500" ht="16.5" spans="1:4">
      <c r="A2500" t="s">
        <v>7566</v>
      </c>
      <c r="B2500" t="s">
        <v>4840</v>
      </c>
      <c r="C2500" s="173" t="s">
        <v>4841</v>
      </c>
      <c r="D2500" s="173" t="str">
        <f t="shared" si="8"/>
        <v>外部代理总线zh0808</v>
      </c>
    </row>
    <row r="2501" ht="16.5" spans="1:4">
      <c r="A2501" t="s">
        <v>7567</v>
      </c>
      <c r="B2501" t="s">
        <v>7110</v>
      </c>
      <c r="C2501" s="173" t="s">
        <v>4841</v>
      </c>
      <c r="D2501" s="173" t="str">
        <f t="shared" si="8"/>
        <v>外部代理总线zhaoshang1</v>
      </c>
    </row>
    <row r="2502" ht="16.5" spans="1:4">
      <c r="A2502" t="s">
        <v>7568</v>
      </c>
      <c r="B2502" t="s">
        <v>4840</v>
      </c>
      <c r="C2502" s="173" t="s">
        <v>4841</v>
      </c>
      <c r="D2502" s="173" t="str">
        <f t="shared" si="8"/>
        <v>外部代理总线zh0808</v>
      </c>
    </row>
    <row r="2503" ht="16.5" spans="1:4">
      <c r="A2503" t="s">
        <v>7569</v>
      </c>
      <c r="B2503" t="s">
        <v>4840</v>
      </c>
      <c r="C2503" s="173" t="s">
        <v>4841</v>
      </c>
      <c r="D2503" s="173" t="str">
        <f t="shared" si="8"/>
        <v>外部代理总线zh0808</v>
      </c>
    </row>
    <row r="2504" ht="16.5" spans="1:4">
      <c r="A2504" t="s">
        <v>7570</v>
      </c>
      <c r="B2504" t="s">
        <v>7110</v>
      </c>
      <c r="C2504" s="173" t="s">
        <v>4841</v>
      </c>
      <c r="D2504" s="173" t="str">
        <f t="shared" si="8"/>
        <v>外部代理总线zhaoshang1</v>
      </c>
    </row>
    <row r="2505" ht="16.5" spans="1:4">
      <c r="A2505" t="s">
        <v>7571</v>
      </c>
      <c r="B2505" t="s">
        <v>7110</v>
      </c>
      <c r="C2505" s="173" t="s">
        <v>4841</v>
      </c>
      <c r="D2505" s="173" t="str">
        <f t="shared" si="8"/>
        <v>外部代理总线zhaoshang1</v>
      </c>
    </row>
    <row r="2506" ht="16.5" spans="1:4">
      <c r="A2506" t="s">
        <v>7466</v>
      </c>
      <c r="B2506" t="s">
        <v>6926</v>
      </c>
      <c r="C2506" s="173" t="s">
        <v>4841</v>
      </c>
      <c r="D2506" s="173" t="str">
        <f t="shared" si="8"/>
        <v>外部代理总线zhaoshang</v>
      </c>
    </row>
    <row r="2507" ht="16.5" spans="1:4">
      <c r="A2507" t="s">
        <v>7572</v>
      </c>
      <c r="B2507" t="s">
        <v>4854</v>
      </c>
      <c r="C2507" s="173" t="s">
        <v>4841</v>
      </c>
      <c r="D2507" s="173" t="str">
        <f t="shared" si="8"/>
        <v>外部代理总线gt6677</v>
      </c>
    </row>
    <row r="2508" ht="16.5" spans="1:4">
      <c r="A2508" t="s">
        <v>7573</v>
      </c>
      <c r="B2508" t="s">
        <v>6940</v>
      </c>
      <c r="C2508" s="173" t="s">
        <v>4841</v>
      </c>
      <c r="D2508" s="173" t="str">
        <f t="shared" si="8"/>
        <v>外部代理总线btydl072</v>
      </c>
    </row>
    <row r="2509" ht="16.5" spans="1:4">
      <c r="A2509" t="s">
        <v>7502</v>
      </c>
      <c r="B2509" t="s">
        <v>4840</v>
      </c>
      <c r="C2509" s="173" t="s">
        <v>4841</v>
      </c>
      <c r="D2509" s="173" t="str">
        <f t="shared" si="8"/>
        <v>外部代理总线zh0808</v>
      </c>
    </row>
    <row r="2510" ht="16.5" spans="1:4">
      <c r="A2510" t="s">
        <v>7574</v>
      </c>
      <c r="B2510" t="s">
        <v>7110</v>
      </c>
      <c r="C2510" s="173" t="s">
        <v>4841</v>
      </c>
      <c r="D2510" s="173" t="str">
        <f t="shared" si="8"/>
        <v>外部代理总线zhaoshang1</v>
      </c>
    </row>
    <row r="2511" ht="16.5" spans="1:4">
      <c r="A2511" t="s">
        <v>7575</v>
      </c>
      <c r="B2511" t="s">
        <v>4840</v>
      </c>
      <c r="C2511" s="173" t="s">
        <v>4841</v>
      </c>
      <c r="D2511" s="173" t="str">
        <f t="shared" si="8"/>
        <v>外部代理总线zh0808</v>
      </c>
    </row>
    <row r="2512" ht="16.5" spans="1:4">
      <c r="A2512" t="s">
        <v>7574</v>
      </c>
      <c r="B2512" t="s">
        <v>7110</v>
      </c>
      <c r="C2512" s="173" t="s">
        <v>4841</v>
      </c>
      <c r="D2512" s="173" t="str">
        <f t="shared" si="8"/>
        <v>外部代理总线zhaoshang1</v>
      </c>
    </row>
    <row r="2513" ht="16.5" spans="1:4">
      <c r="A2513" t="s">
        <v>7576</v>
      </c>
      <c r="B2513" t="s">
        <v>7110</v>
      </c>
      <c r="C2513" s="173" t="s">
        <v>4841</v>
      </c>
      <c r="D2513" s="173" t="str">
        <f t="shared" si="8"/>
        <v>外部代理总线zhaoshang1</v>
      </c>
    </row>
    <row r="2514" ht="16.5" spans="1:4">
      <c r="A2514" t="s">
        <v>7372</v>
      </c>
      <c r="B2514" t="s">
        <v>4840</v>
      </c>
      <c r="C2514" s="173" t="s">
        <v>4841</v>
      </c>
      <c r="D2514" s="173" t="str">
        <f t="shared" si="8"/>
        <v>外部代理总线zh0808</v>
      </c>
    </row>
    <row r="2515" ht="16.5" spans="1:4">
      <c r="A2515" t="s">
        <v>7577</v>
      </c>
      <c r="B2515" t="s">
        <v>4840</v>
      </c>
      <c r="C2515" s="173" t="s">
        <v>4841</v>
      </c>
      <c r="D2515" s="173" t="str">
        <f t="shared" si="8"/>
        <v>外部代理总线zh0808</v>
      </c>
    </row>
    <row r="2516" ht="16.5" spans="1:4">
      <c r="A2516" t="s">
        <v>7498</v>
      </c>
      <c r="B2516" t="s">
        <v>7110</v>
      </c>
      <c r="C2516" s="173" t="s">
        <v>4841</v>
      </c>
      <c r="D2516" s="173" t="str">
        <f t="shared" si="8"/>
        <v>外部代理总线zhaoshang1</v>
      </c>
    </row>
    <row r="2517" ht="16.5" spans="1:4">
      <c r="A2517" t="s">
        <v>7578</v>
      </c>
      <c r="B2517" t="s">
        <v>4840</v>
      </c>
      <c r="C2517" s="173" t="s">
        <v>4841</v>
      </c>
      <c r="D2517" s="173" t="str">
        <f t="shared" si="8"/>
        <v>外部代理总线zh0808</v>
      </c>
    </row>
    <row r="2518" ht="16.5" spans="1:4">
      <c r="A2518" t="s">
        <v>7579</v>
      </c>
      <c r="B2518" t="s">
        <v>4840</v>
      </c>
      <c r="C2518" s="173" t="s">
        <v>4841</v>
      </c>
      <c r="D2518" s="173" t="str">
        <f t="shared" si="8"/>
        <v>外部代理总线zh0808</v>
      </c>
    </row>
    <row r="2519" ht="16.5" spans="1:4">
      <c r="A2519" t="s">
        <v>7562</v>
      </c>
      <c r="B2519" t="s">
        <v>7110</v>
      </c>
      <c r="C2519" s="173" t="s">
        <v>4841</v>
      </c>
      <c r="D2519" s="173" t="str">
        <f t="shared" si="8"/>
        <v>外部代理总线zhaoshang1</v>
      </c>
    </row>
    <row r="2520" ht="16.5" spans="1:4">
      <c r="A2520" t="s">
        <v>7563</v>
      </c>
      <c r="B2520" t="s">
        <v>4840</v>
      </c>
      <c r="C2520" s="173" t="s">
        <v>4841</v>
      </c>
      <c r="D2520" s="173" t="str">
        <f t="shared" si="8"/>
        <v>外部代理总线zh0808</v>
      </c>
    </row>
    <row r="2521" ht="16.5" spans="1:4">
      <c r="A2521" t="s">
        <v>7564</v>
      </c>
      <c r="B2521" t="s">
        <v>4840</v>
      </c>
      <c r="C2521" s="173" t="s">
        <v>4841</v>
      </c>
      <c r="D2521" s="173" t="str">
        <f t="shared" si="8"/>
        <v>外部代理总线zh0808</v>
      </c>
    </row>
    <row r="2522" ht="16.5" spans="1:4">
      <c r="A2522" t="s">
        <v>7565</v>
      </c>
      <c r="B2522" t="s">
        <v>4840</v>
      </c>
      <c r="C2522" s="173" t="s">
        <v>4841</v>
      </c>
      <c r="D2522" s="173" t="str">
        <f t="shared" si="8"/>
        <v>外部代理总线zh0808</v>
      </c>
    </row>
    <row r="2523" ht="16.5" spans="1:4">
      <c r="A2523" t="s">
        <v>7566</v>
      </c>
      <c r="B2523" t="s">
        <v>4840</v>
      </c>
      <c r="C2523" s="173" t="s">
        <v>4841</v>
      </c>
      <c r="D2523" s="173" t="str">
        <f t="shared" si="8"/>
        <v>外部代理总线zh0808</v>
      </c>
    </row>
    <row r="2524" ht="16.5" spans="1:4">
      <c r="A2524" t="s">
        <v>7567</v>
      </c>
      <c r="B2524" t="s">
        <v>7110</v>
      </c>
      <c r="C2524" s="173" t="s">
        <v>4841</v>
      </c>
      <c r="D2524" s="173" t="str">
        <f t="shared" si="8"/>
        <v>外部代理总线zhaoshang1</v>
      </c>
    </row>
    <row r="2525" ht="16.5" spans="1:4">
      <c r="A2525" t="s">
        <v>7568</v>
      </c>
      <c r="B2525" t="s">
        <v>4840</v>
      </c>
      <c r="C2525" s="173" t="s">
        <v>4841</v>
      </c>
      <c r="D2525" s="173" t="str">
        <f t="shared" si="8"/>
        <v>外部代理总线zh0808</v>
      </c>
    </row>
    <row r="2526" ht="16.5" spans="1:4">
      <c r="A2526" t="s">
        <v>7569</v>
      </c>
      <c r="B2526" t="s">
        <v>4840</v>
      </c>
      <c r="C2526" s="173" t="s">
        <v>4841</v>
      </c>
      <c r="D2526" s="173" t="str">
        <f t="shared" si="8"/>
        <v>外部代理总线zh0808</v>
      </c>
    </row>
    <row r="2527" ht="16.5" spans="1:4">
      <c r="A2527" t="s">
        <v>7570</v>
      </c>
      <c r="B2527" t="s">
        <v>7110</v>
      </c>
      <c r="C2527" s="173" t="s">
        <v>4841</v>
      </c>
      <c r="D2527" s="173" t="str">
        <f t="shared" ref="D2527:D2532" si="9">C2527&amp;B2527</f>
        <v>外部代理总线zhaoshang1</v>
      </c>
    </row>
    <row r="2528" ht="16.5" spans="1:4">
      <c r="A2528" t="s">
        <v>7571</v>
      </c>
      <c r="B2528" t="s">
        <v>7110</v>
      </c>
      <c r="C2528" s="173" t="s">
        <v>4841</v>
      </c>
      <c r="D2528" s="173" t="str">
        <f t="shared" si="9"/>
        <v>外部代理总线zhaoshang1</v>
      </c>
    </row>
    <row r="2529" ht="16.5" spans="1:4">
      <c r="A2529" t="s">
        <v>7466</v>
      </c>
      <c r="B2529" t="s">
        <v>6926</v>
      </c>
      <c r="C2529" s="173" t="s">
        <v>4841</v>
      </c>
      <c r="D2529" s="173" t="str">
        <f t="shared" si="9"/>
        <v>外部代理总线zhaoshang</v>
      </c>
    </row>
    <row r="2530" ht="16.5" spans="1:4">
      <c r="A2530" t="s">
        <v>7572</v>
      </c>
      <c r="B2530" t="s">
        <v>4854</v>
      </c>
      <c r="C2530" s="173" t="s">
        <v>4841</v>
      </c>
      <c r="D2530" s="173" t="str">
        <f t="shared" si="9"/>
        <v>外部代理总线gt6677</v>
      </c>
    </row>
    <row r="2531" ht="16.5" spans="1:4">
      <c r="A2531" t="s">
        <v>7573</v>
      </c>
      <c r="B2531" t="s">
        <v>6940</v>
      </c>
      <c r="C2531" s="173" t="s">
        <v>4841</v>
      </c>
      <c r="D2531" s="173" t="str">
        <f t="shared" si="9"/>
        <v>外部代理总线btydl072</v>
      </c>
    </row>
    <row r="2532" ht="16.5" spans="1:4">
      <c r="A2532" t="s">
        <v>7502</v>
      </c>
      <c r="B2532" t="s">
        <v>4840</v>
      </c>
      <c r="C2532" s="173" t="s">
        <v>4841</v>
      </c>
      <c r="D2532" s="173" t="str">
        <f t="shared" si="9"/>
        <v>外部代理总线zh0808</v>
      </c>
    </row>
    <row r="2533" ht="16.5" spans="1:4">
      <c r="A2533" t="s">
        <v>7580</v>
      </c>
      <c r="B2533" t="s">
        <v>4840</v>
      </c>
      <c r="C2533" s="173" t="s">
        <v>4841</v>
      </c>
      <c r="D2533" s="173" t="str">
        <f t="shared" ref="D2533:D2538" si="10">C2533&amp;B2533</f>
        <v>外部代理总线zh0808</v>
      </c>
    </row>
    <row r="2534" ht="16.5" spans="1:4">
      <c r="A2534" t="s">
        <v>7581</v>
      </c>
      <c r="B2534" t="s">
        <v>6926</v>
      </c>
      <c r="C2534" s="173" t="s">
        <v>4841</v>
      </c>
      <c r="D2534" s="173" t="str">
        <f t="shared" si="10"/>
        <v>外部代理总线zhaoshang</v>
      </c>
    </row>
    <row r="2535" ht="16.5" spans="1:4">
      <c r="A2535" t="s">
        <v>7582</v>
      </c>
      <c r="B2535" t="s">
        <v>6808</v>
      </c>
      <c r="C2535" t="s">
        <v>7583</v>
      </c>
      <c r="D2535" s="173" t="str">
        <f t="shared" si="10"/>
        <v>kk体育kk6699</v>
      </c>
    </row>
    <row r="2536" ht="16.5" spans="1:4">
      <c r="A2536" t="s">
        <v>7584</v>
      </c>
      <c r="B2536" t="s">
        <v>4840</v>
      </c>
      <c r="C2536" s="173" t="s">
        <v>4841</v>
      </c>
      <c r="D2536" s="173" t="str">
        <f t="shared" si="10"/>
        <v>外部代理总线zh0808</v>
      </c>
    </row>
    <row r="2537" ht="16.5" spans="1:4">
      <c r="A2537" t="s">
        <v>7585</v>
      </c>
      <c r="B2537" t="s">
        <v>6926</v>
      </c>
      <c r="C2537" s="173" t="s">
        <v>4841</v>
      </c>
      <c r="D2537" s="173" t="str">
        <f t="shared" si="10"/>
        <v>外部代理总线zhaoshang</v>
      </c>
    </row>
    <row r="2538" ht="16.5" spans="1:4">
      <c r="A2538" t="s">
        <v>7467</v>
      </c>
      <c r="B2538" t="s">
        <v>6926</v>
      </c>
      <c r="C2538" s="173" t="s">
        <v>4841</v>
      </c>
      <c r="D2538" s="173" t="str">
        <f t="shared" si="10"/>
        <v>外部代理总线zhaoshang</v>
      </c>
    </row>
    <row r="2539" ht="16.5" spans="1:4">
      <c r="A2539" t="s">
        <v>7586</v>
      </c>
      <c r="B2539" t="s">
        <v>7110</v>
      </c>
      <c r="C2539" s="173" t="s">
        <v>4841</v>
      </c>
      <c r="D2539" s="173" t="str">
        <f t="shared" ref="D2539:D2551" si="11">C2539&amp;B2539</f>
        <v>外部代理总线zhaoshang1</v>
      </c>
    </row>
    <row r="2540" ht="16.5" spans="1:4">
      <c r="A2540" t="s">
        <v>7587</v>
      </c>
      <c r="B2540" t="s">
        <v>7110</v>
      </c>
      <c r="C2540" s="173" t="s">
        <v>4841</v>
      </c>
      <c r="D2540" s="173" t="str">
        <f t="shared" si="11"/>
        <v>外部代理总线zhaoshang1</v>
      </c>
    </row>
    <row r="2541" ht="16.5" spans="1:4">
      <c r="A2541" t="s">
        <v>6687</v>
      </c>
      <c r="B2541" t="s">
        <v>4840</v>
      </c>
      <c r="C2541" s="173" t="s">
        <v>4841</v>
      </c>
      <c r="D2541" s="173" t="str">
        <f t="shared" si="11"/>
        <v>外部代理总线zh0808</v>
      </c>
    </row>
    <row r="2542" ht="16.5" spans="1:4">
      <c r="A2542" t="s">
        <v>1894</v>
      </c>
      <c r="B2542" t="s">
        <v>1894</v>
      </c>
      <c r="C2542" t="s">
        <v>7588</v>
      </c>
      <c r="D2542" s="173" t="str">
        <f t="shared" si="11"/>
        <v>鲲鹏adminbtydl0057</v>
      </c>
    </row>
    <row r="2543" ht="16.5" spans="1:4">
      <c r="A2543" t="s">
        <v>7589</v>
      </c>
      <c r="B2543" t="s">
        <v>4840</v>
      </c>
      <c r="C2543" s="173" t="s">
        <v>4841</v>
      </c>
      <c r="D2543" s="173" t="str">
        <f t="shared" si="11"/>
        <v>外部代理总线zh0808</v>
      </c>
    </row>
    <row r="2544" ht="16.5" spans="1:4">
      <c r="A2544" t="s">
        <v>7590</v>
      </c>
      <c r="B2544" t="s">
        <v>7110</v>
      </c>
      <c r="C2544" s="173" t="s">
        <v>4841</v>
      </c>
      <c r="D2544" s="173" t="str">
        <f t="shared" si="11"/>
        <v>外部代理总线zhaoshang1</v>
      </c>
    </row>
    <row r="2545" ht="16.5" spans="1:4">
      <c r="A2545" t="s">
        <v>7468</v>
      </c>
      <c r="B2545" t="s">
        <v>6926</v>
      </c>
      <c r="C2545" s="173" t="s">
        <v>4841</v>
      </c>
      <c r="D2545" s="173" t="str">
        <f t="shared" si="11"/>
        <v>外部代理总线zhaoshang</v>
      </c>
    </row>
    <row r="2546" ht="16.5" spans="1:4">
      <c r="A2546" t="s">
        <v>7591</v>
      </c>
      <c r="B2546" t="s">
        <v>7110</v>
      </c>
      <c r="C2546" s="173" t="s">
        <v>4841</v>
      </c>
      <c r="D2546" s="173" t="str">
        <f t="shared" si="11"/>
        <v>外部代理总线zhaoshang1</v>
      </c>
    </row>
    <row r="2547" ht="16.5" spans="1:4">
      <c r="A2547" t="s">
        <v>7592</v>
      </c>
      <c r="B2547" t="s">
        <v>4840</v>
      </c>
      <c r="C2547" s="173" t="s">
        <v>4841</v>
      </c>
      <c r="D2547" s="173" t="str">
        <f t="shared" si="11"/>
        <v>外部代理总线zh0808</v>
      </c>
    </row>
    <row r="2548" ht="16.5" spans="1:4">
      <c r="A2548" t="s">
        <v>7593</v>
      </c>
      <c r="B2548" t="s">
        <v>4840</v>
      </c>
      <c r="C2548" s="173" t="s">
        <v>4841</v>
      </c>
      <c r="D2548" s="173" t="str">
        <f t="shared" si="11"/>
        <v>外部代理总线zh0808</v>
      </c>
    </row>
    <row r="2549" ht="16.5" spans="1:4">
      <c r="A2549" t="s">
        <v>7594</v>
      </c>
      <c r="B2549" t="s">
        <v>7588</v>
      </c>
      <c r="C2549" t="s">
        <v>7588</v>
      </c>
      <c r="D2549" s="173" t="str">
        <f t="shared" si="11"/>
        <v>鲲鹏admin鲲鹏admin</v>
      </c>
    </row>
    <row r="2550" ht="16.5" spans="1:4">
      <c r="A2550" t="s">
        <v>794</v>
      </c>
      <c r="B2550" t="s">
        <v>4854</v>
      </c>
      <c r="C2550" t="s">
        <v>4855</v>
      </c>
      <c r="D2550" s="173" t="str">
        <f t="shared" si="11"/>
        <v>GT-骨头gt6677</v>
      </c>
    </row>
    <row r="2551" ht="16.5" spans="1:4">
      <c r="A2551" t="s">
        <v>7414</v>
      </c>
      <c r="B2551" t="s">
        <v>6926</v>
      </c>
      <c r="C2551" s="173" t="s">
        <v>4841</v>
      </c>
      <c r="D2551" s="173" t="str">
        <f t="shared" si="11"/>
        <v>外部代理总线zhaoshang</v>
      </c>
    </row>
    <row r="2552" ht="16.5" spans="1:4">
      <c r="A2552" t="s">
        <v>7473</v>
      </c>
      <c r="B2552" t="s">
        <v>6926</v>
      </c>
      <c r="C2552" s="173" t="s">
        <v>4841</v>
      </c>
      <c r="D2552" s="173" t="str">
        <f t="shared" ref="D2552:D2570" si="12">C2552&amp;B2552</f>
        <v>外部代理总线zhaoshang</v>
      </c>
    </row>
    <row r="2553" ht="16.5" spans="1:4">
      <c r="A2553" t="s">
        <v>7595</v>
      </c>
      <c r="B2553" t="s">
        <v>6926</v>
      </c>
      <c r="C2553" s="173" t="s">
        <v>4841</v>
      </c>
      <c r="D2553" s="173" t="str">
        <f t="shared" si="12"/>
        <v>外部代理总线zhaoshang</v>
      </c>
    </row>
    <row r="2554" ht="16.5" spans="1:4">
      <c r="A2554" t="s">
        <v>7596</v>
      </c>
      <c r="B2554" t="s">
        <v>4840</v>
      </c>
      <c r="C2554" s="173" t="s">
        <v>4841</v>
      </c>
      <c r="D2554" s="173" t="str">
        <f t="shared" si="12"/>
        <v>外部代理总线zh0808</v>
      </c>
    </row>
    <row r="2555" ht="16.5" spans="1:4">
      <c r="A2555" t="s">
        <v>7597</v>
      </c>
      <c r="B2555" t="s">
        <v>7110</v>
      </c>
      <c r="C2555" s="173" t="s">
        <v>4841</v>
      </c>
      <c r="D2555" s="173" t="str">
        <f t="shared" si="12"/>
        <v>外部代理总线zhaoshang1</v>
      </c>
    </row>
    <row r="2556" ht="16.5" spans="1:4">
      <c r="A2556" t="s">
        <v>1062</v>
      </c>
      <c r="B2556" t="s">
        <v>6940</v>
      </c>
      <c r="C2556" t="s">
        <v>7598</v>
      </c>
      <c r="D2556" s="173" t="str">
        <f t="shared" si="12"/>
        <v>外代-越btydl072</v>
      </c>
    </row>
    <row r="2557" ht="16.5" spans="1:4">
      <c r="A2557" t="s">
        <v>7599</v>
      </c>
      <c r="B2557" t="s">
        <v>4840</v>
      </c>
      <c r="C2557" s="173" t="s">
        <v>4841</v>
      </c>
      <c r="D2557" s="173" t="str">
        <f t="shared" si="12"/>
        <v>外部代理总线zh0808</v>
      </c>
    </row>
    <row r="2558" ht="16.5" spans="1:4">
      <c r="A2558" t="s">
        <v>7600</v>
      </c>
      <c r="B2558" t="s">
        <v>4840</v>
      </c>
      <c r="C2558" s="173" t="s">
        <v>4841</v>
      </c>
      <c r="D2558" s="173" t="str">
        <f t="shared" si="12"/>
        <v>外部代理总线zh0808</v>
      </c>
    </row>
    <row r="2559" ht="16.5" spans="1:4">
      <c r="A2559" t="s">
        <v>7601</v>
      </c>
      <c r="B2559" t="s">
        <v>4840</v>
      </c>
      <c r="C2559" s="173" t="s">
        <v>4841</v>
      </c>
      <c r="D2559" s="173" t="str">
        <f t="shared" si="12"/>
        <v>外部代理总线zh0808</v>
      </c>
    </row>
    <row r="2560" ht="16.5" spans="1:4">
      <c r="A2560" t="s">
        <v>7531</v>
      </c>
      <c r="B2560" t="s">
        <v>7110</v>
      </c>
      <c r="C2560" s="173" t="s">
        <v>4841</v>
      </c>
      <c r="D2560" s="173" t="str">
        <f t="shared" si="12"/>
        <v>外部代理总线zhaoshang1</v>
      </c>
    </row>
    <row r="2561" ht="16.5" spans="1:4">
      <c r="A2561" t="s">
        <v>7436</v>
      </c>
      <c r="B2561" t="s">
        <v>4920</v>
      </c>
      <c r="C2561" t="s">
        <v>7602</v>
      </c>
      <c r="D2561" s="173" t="str">
        <f t="shared" si="12"/>
        <v>雨燕直播-越ffvn66</v>
      </c>
    </row>
    <row r="2562" ht="16.5" spans="1:4">
      <c r="A2562" t="s">
        <v>7603</v>
      </c>
      <c r="B2562" t="s">
        <v>7110</v>
      </c>
      <c r="C2562" s="173" t="s">
        <v>4841</v>
      </c>
      <c r="D2562" s="173" t="str">
        <f t="shared" si="12"/>
        <v>外部代理总线zhaoshang1</v>
      </c>
    </row>
    <row r="2563" ht="16.5" spans="1:4">
      <c r="A2563" t="s">
        <v>7604</v>
      </c>
      <c r="B2563" t="s">
        <v>6926</v>
      </c>
      <c r="C2563" s="173" t="s">
        <v>4841</v>
      </c>
      <c r="D2563" s="173" t="str">
        <f t="shared" si="12"/>
        <v>外部代理总线zhaoshang</v>
      </c>
    </row>
    <row r="2564" ht="16.5" spans="1:4">
      <c r="A2564" t="s">
        <v>7605</v>
      </c>
      <c r="B2564" t="s">
        <v>7110</v>
      </c>
      <c r="C2564" s="173" t="s">
        <v>4841</v>
      </c>
      <c r="D2564" s="173" t="str">
        <f t="shared" si="12"/>
        <v>外部代理总线zhaoshang1</v>
      </c>
    </row>
    <row r="2565" ht="16.5" spans="1:4">
      <c r="A2565" t="s">
        <v>7606</v>
      </c>
      <c r="B2565" t="s">
        <v>4840</v>
      </c>
      <c r="C2565" s="173" t="s">
        <v>4841</v>
      </c>
      <c r="D2565" s="173" t="str">
        <f t="shared" si="12"/>
        <v>外部代理总线zh0808</v>
      </c>
    </row>
    <row r="2566" ht="16.5" spans="1:4">
      <c r="A2566" t="s">
        <v>7607</v>
      </c>
      <c r="B2566" s="191" t="s">
        <v>4840</v>
      </c>
      <c r="C2566" s="173" t="s">
        <v>4841</v>
      </c>
      <c r="D2566" s="173" t="str">
        <f t="shared" si="12"/>
        <v>外部代理总线zh0808</v>
      </c>
    </row>
    <row r="2567" ht="16.5" spans="1:4">
      <c r="A2567" t="s">
        <v>2015</v>
      </c>
      <c r="B2567" s="192" t="s">
        <v>7608</v>
      </c>
      <c r="C2567" s="192" t="s">
        <v>7608</v>
      </c>
      <c r="D2567" s="173" t="str">
        <f t="shared" si="12"/>
        <v>MMMM</v>
      </c>
    </row>
    <row r="2568" ht="16.5" spans="1:4">
      <c r="A2568" t="s">
        <v>7609</v>
      </c>
      <c r="B2568" s="191" t="s">
        <v>7110</v>
      </c>
      <c r="C2568" s="173" t="s">
        <v>4841</v>
      </c>
      <c r="D2568" s="173" t="str">
        <f t="shared" si="12"/>
        <v>外部代理总线zhaoshang1</v>
      </c>
    </row>
    <row r="2569" ht="16.5" spans="1:4">
      <c r="A2569" t="s">
        <v>7610</v>
      </c>
      <c r="B2569" s="191" t="s">
        <v>4854</v>
      </c>
      <c r="C2569" s="193" t="s">
        <v>4855</v>
      </c>
      <c r="D2569" s="173" t="str">
        <f t="shared" si="12"/>
        <v>GT-骨头gt6677</v>
      </c>
    </row>
    <row r="2570" ht="16.5" spans="1:4">
      <c r="A2570" t="s">
        <v>7611</v>
      </c>
      <c r="B2570" s="191" t="s">
        <v>6940</v>
      </c>
      <c r="C2570" t="s">
        <v>7598</v>
      </c>
      <c r="D2570" s="173" t="str">
        <f t="shared" si="12"/>
        <v>外代-越btydl072</v>
      </c>
    </row>
    <row r="2571" ht="16.5" spans="1:4">
      <c r="A2571" t="s">
        <v>7612</v>
      </c>
      <c r="B2571" s="191" t="s">
        <v>7110</v>
      </c>
      <c r="C2571" s="173" t="s">
        <v>4841</v>
      </c>
      <c r="D2571" s="173" t="str">
        <f t="shared" ref="D2571:D2602" si="13">C2571&amp;B2571</f>
        <v>外部代理总线zhaoshang1</v>
      </c>
    </row>
    <row r="2572" ht="16.5" spans="1:4">
      <c r="A2572" t="s">
        <v>7613</v>
      </c>
      <c r="B2572" s="191" t="s">
        <v>7110</v>
      </c>
      <c r="C2572" s="173" t="s">
        <v>4841</v>
      </c>
      <c r="D2572" s="173" t="str">
        <f t="shared" si="13"/>
        <v>外部代理总线zhaoshang1</v>
      </c>
    </row>
    <row r="2573" ht="16.5" spans="1:4">
      <c r="A2573" t="s">
        <v>7614</v>
      </c>
      <c r="B2573" s="191" t="s">
        <v>7110</v>
      </c>
      <c r="C2573" s="173" t="s">
        <v>4841</v>
      </c>
      <c r="D2573" s="173" t="str">
        <f t="shared" si="13"/>
        <v>外部代理总线zhaoshang1</v>
      </c>
    </row>
    <row r="2574" ht="16.5" spans="1:4">
      <c r="A2574" t="s">
        <v>7615</v>
      </c>
      <c r="B2574" s="191" t="s">
        <v>4854</v>
      </c>
      <c r="C2574" s="193" t="s">
        <v>4855</v>
      </c>
      <c r="D2574" s="173" t="str">
        <f t="shared" si="13"/>
        <v>GT-骨头gt6677</v>
      </c>
    </row>
    <row r="2575" ht="16.5" spans="1:4">
      <c r="A2575" t="s">
        <v>651</v>
      </c>
      <c r="B2575" t="s">
        <v>4920</v>
      </c>
      <c r="C2575" t="s">
        <v>7602</v>
      </c>
      <c r="D2575" s="173" t="str">
        <f t="shared" si="13"/>
        <v>雨燕直播-越ffvn66</v>
      </c>
    </row>
    <row r="2576" ht="16.5" spans="1:4">
      <c r="A2576" t="s">
        <v>137</v>
      </c>
      <c r="B2576" t="s">
        <v>4920</v>
      </c>
      <c r="C2576" t="s">
        <v>7602</v>
      </c>
      <c r="D2576" s="173" t="str">
        <f t="shared" si="13"/>
        <v>雨燕直播-越ffvn66</v>
      </c>
    </row>
    <row r="2577" ht="16.5" spans="1:4">
      <c r="A2577" t="s">
        <v>224</v>
      </c>
      <c r="B2577" t="s">
        <v>4920</v>
      </c>
      <c r="C2577" t="s">
        <v>7602</v>
      </c>
      <c r="D2577" s="173" t="str">
        <f t="shared" si="13"/>
        <v>雨燕直播-越ffvn66</v>
      </c>
    </row>
    <row r="2578" ht="16.5" spans="1:4">
      <c r="A2578" t="s">
        <v>197</v>
      </c>
      <c r="B2578" t="s">
        <v>4920</v>
      </c>
      <c r="C2578" t="s">
        <v>7602</v>
      </c>
      <c r="D2578" s="173" t="str">
        <f t="shared" si="13"/>
        <v>雨燕直播-越ffvn66</v>
      </c>
    </row>
    <row r="2579" ht="16.5" spans="1:4">
      <c r="A2579" t="s">
        <v>143</v>
      </c>
      <c r="B2579" t="s">
        <v>4920</v>
      </c>
      <c r="C2579" t="s">
        <v>7602</v>
      </c>
      <c r="D2579" s="173" t="str">
        <f t="shared" si="13"/>
        <v>雨燕直播-越ffvn66</v>
      </c>
    </row>
    <row r="2580" ht="16.5" spans="1:4">
      <c r="A2580" t="s">
        <v>172</v>
      </c>
      <c r="B2580" t="s">
        <v>4920</v>
      </c>
      <c r="C2580" t="s">
        <v>7602</v>
      </c>
      <c r="D2580" s="173" t="str">
        <f t="shared" si="13"/>
        <v>雨燕直播-越ffvn66</v>
      </c>
    </row>
    <row r="2581" ht="16.5" spans="1:4">
      <c r="A2581" t="s">
        <v>7616</v>
      </c>
      <c r="B2581" s="191" t="s">
        <v>7110</v>
      </c>
      <c r="C2581" s="173" t="s">
        <v>4841</v>
      </c>
      <c r="D2581" s="173" t="str">
        <f t="shared" si="13"/>
        <v>外部代理总线zhaoshang1</v>
      </c>
    </row>
    <row r="2582" ht="16.5" spans="1:4">
      <c r="A2582" t="s">
        <v>7617</v>
      </c>
      <c r="B2582" s="191" t="s">
        <v>6940</v>
      </c>
      <c r="C2582" t="s">
        <v>7598</v>
      </c>
      <c r="D2582" s="173" t="str">
        <f t="shared" si="13"/>
        <v>外代-越btydl072</v>
      </c>
    </row>
    <row r="2583" ht="16.5" spans="1:4">
      <c r="A2583" t="s">
        <v>7618</v>
      </c>
      <c r="B2583" t="s">
        <v>7619</v>
      </c>
      <c r="C2583" s="192" t="s">
        <v>7620</v>
      </c>
      <c r="D2583" s="173" t="str">
        <f t="shared" si="13"/>
        <v>雨燕直播-巴brmk88</v>
      </c>
    </row>
    <row r="2584" ht="16.5" spans="1:4">
      <c r="A2584" t="s">
        <v>7619</v>
      </c>
      <c r="B2584" t="s">
        <v>7619</v>
      </c>
      <c r="C2584" s="192" t="s">
        <v>7620</v>
      </c>
      <c r="D2584" s="173" t="str">
        <f t="shared" si="13"/>
        <v>雨燕直播-巴brmk88</v>
      </c>
    </row>
    <row r="2585" ht="16.5" spans="1:4">
      <c r="A2585" t="s">
        <v>7621</v>
      </c>
      <c r="B2585" t="s">
        <v>7619</v>
      </c>
      <c r="C2585" s="192" t="s">
        <v>7620</v>
      </c>
      <c r="D2585" s="173" t="str">
        <f t="shared" si="13"/>
        <v>雨燕直播-巴brmk88</v>
      </c>
    </row>
    <row r="2586" ht="16.5" spans="1:4">
      <c r="A2586" t="s">
        <v>7622</v>
      </c>
      <c r="B2586" t="s">
        <v>7619</v>
      </c>
      <c r="C2586" s="192" t="s">
        <v>7620</v>
      </c>
      <c r="D2586" s="173" t="str">
        <f t="shared" si="13"/>
        <v>雨燕直播-巴brmk88</v>
      </c>
    </row>
    <row r="2587" ht="16.5" spans="1:4">
      <c r="A2587" t="s">
        <v>7623</v>
      </c>
      <c r="B2587" t="s">
        <v>7619</v>
      </c>
      <c r="C2587" s="192" t="s">
        <v>7620</v>
      </c>
      <c r="D2587" s="173" t="str">
        <f t="shared" si="13"/>
        <v>雨燕直播-巴brmk88</v>
      </c>
    </row>
    <row r="2588" ht="16.5" spans="1:4">
      <c r="A2588" t="s">
        <v>7624</v>
      </c>
      <c r="B2588" s="191" t="s">
        <v>4840</v>
      </c>
      <c r="C2588" s="173" t="s">
        <v>4841</v>
      </c>
      <c r="D2588" s="173" t="str">
        <f t="shared" si="13"/>
        <v>外部代理总线zh0808</v>
      </c>
    </row>
    <row r="2589" ht="16.5" spans="1:4">
      <c r="A2589" t="s">
        <v>7625</v>
      </c>
      <c r="B2589" s="191" t="s">
        <v>6926</v>
      </c>
      <c r="C2589" s="173" t="s">
        <v>4841</v>
      </c>
      <c r="D2589" s="173" t="str">
        <f t="shared" si="13"/>
        <v>外部代理总线zhaoshang</v>
      </c>
    </row>
    <row r="2590" ht="16.5" spans="1:4">
      <c r="A2590" t="s">
        <v>7626</v>
      </c>
      <c r="B2590" s="191" t="s">
        <v>6926</v>
      </c>
      <c r="C2590" s="173" t="s">
        <v>4841</v>
      </c>
      <c r="D2590" s="173" t="str">
        <f t="shared" si="13"/>
        <v>外部代理总线zhaoshang</v>
      </c>
    </row>
    <row r="2591" ht="16.5" spans="1:4">
      <c r="A2591" t="s">
        <v>7627</v>
      </c>
      <c r="B2591" t="s">
        <v>4840</v>
      </c>
      <c r="C2591" s="173" t="s">
        <v>4841</v>
      </c>
      <c r="D2591" s="173" t="str">
        <f t="shared" si="13"/>
        <v>外部代理总线zh0808</v>
      </c>
    </row>
    <row r="2592" ht="16.5" spans="1:4">
      <c r="A2592" t="s">
        <v>7628</v>
      </c>
      <c r="B2592" s="194" t="s">
        <v>6808</v>
      </c>
      <c r="C2592" t="s">
        <v>7583</v>
      </c>
      <c r="D2592" s="173" t="str">
        <f t="shared" si="13"/>
        <v>kk体育kk6699</v>
      </c>
    </row>
    <row r="2593" ht="16.5" spans="1:4">
      <c r="A2593" t="s">
        <v>7629</v>
      </c>
      <c r="B2593" s="191" t="s">
        <v>6926</v>
      </c>
      <c r="C2593" s="173" t="s">
        <v>4841</v>
      </c>
      <c r="D2593" s="173" t="str">
        <f t="shared" si="13"/>
        <v>外部代理总线zhaoshang</v>
      </c>
    </row>
    <row r="2594" ht="16.5" spans="1:4">
      <c r="A2594" t="s">
        <v>7630</v>
      </c>
      <c r="B2594" s="191" t="s">
        <v>4840</v>
      </c>
      <c r="C2594" s="173" t="s">
        <v>4841</v>
      </c>
      <c r="D2594" s="173" t="str">
        <f t="shared" si="13"/>
        <v>外部代理总线zh0808</v>
      </c>
    </row>
    <row r="2595" ht="16.5" spans="1:4">
      <c r="A2595" t="s">
        <v>7631</v>
      </c>
      <c r="B2595" s="191" t="s">
        <v>6926</v>
      </c>
      <c r="C2595" s="173" t="s">
        <v>4841</v>
      </c>
      <c r="D2595" s="173" t="str">
        <f t="shared" si="13"/>
        <v>外部代理总线zhaoshang</v>
      </c>
    </row>
    <row r="2596" ht="16.5" spans="1:4">
      <c r="A2596" t="s">
        <v>7485</v>
      </c>
      <c r="B2596" t="s">
        <v>6926</v>
      </c>
      <c r="C2596" s="173" t="s">
        <v>4841</v>
      </c>
      <c r="D2596" s="173" t="str">
        <f t="shared" si="13"/>
        <v>外部代理总线zhaoshang</v>
      </c>
    </row>
    <row r="2597" ht="16.5" spans="1:4">
      <c r="A2597" t="s">
        <v>7632</v>
      </c>
      <c r="B2597" s="191" t="s">
        <v>6926</v>
      </c>
      <c r="C2597" s="173" t="s">
        <v>4841</v>
      </c>
      <c r="D2597" s="173" t="str">
        <f t="shared" si="13"/>
        <v>外部代理总线zhaoshang</v>
      </c>
    </row>
    <row r="2598" ht="16.5" spans="1:4">
      <c r="A2598" t="s">
        <v>2020</v>
      </c>
      <c r="B2598" t="s">
        <v>6926</v>
      </c>
      <c r="C2598" s="173" t="s">
        <v>4841</v>
      </c>
      <c r="D2598" s="173" t="str">
        <f t="shared" si="13"/>
        <v>外部代理总线zhaoshang</v>
      </c>
    </row>
    <row r="2599" ht="16.5" spans="1:4">
      <c r="A2599" t="s">
        <v>7633</v>
      </c>
      <c r="B2599" t="s">
        <v>6926</v>
      </c>
      <c r="C2599" s="173" t="s">
        <v>4841</v>
      </c>
      <c r="D2599" s="173" t="str">
        <f t="shared" si="13"/>
        <v>外部代理总线zhaoshang</v>
      </c>
    </row>
    <row r="2600" ht="16.5" spans="1:4">
      <c r="A2600" t="s">
        <v>2339</v>
      </c>
      <c r="B2600" t="s">
        <v>6926</v>
      </c>
      <c r="C2600" s="173" t="s">
        <v>4841</v>
      </c>
      <c r="D2600" s="173" t="str">
        <f t="shared" si="13"/>
        <v>外部代理总线zhaoshang</v>
      </c>
    </row>
    <row r="2601" ht="16.5" spans="1:4">
      <c r="A2601" t="s">
        <v>7634</v>
      </c>
      <c r="B2601" s="191" t="s">
        <v>6926</v>
      </c>
      <c r="C2601" s="173" t="s">
        <v>4841</v>
      </c>
      <c r="D2601" s="173" t="str">
        <f t="shared" si="13"/>
        <v>外部代理总线zhaoshang</v>
      </c>
    </row>
    <row r="2602" ht="16.5" spans="1:4">
      <c r="A2602" t="s">
        <v>7635</v>
      </c>
      <c r="B2602" s="191" t="s">
        <v>6926</v>
      </c>
      <c r="C2602" s="173" t="s">
        <v>4841</v>
      </c>
      <c r="D2602" s="173" t="str">
        <f t="shared" si="13"/>
        <v>外部代理总线zhaoshang</v>
      </c>
    </row>
    <row r="2603" ht="16.5" spans="1:4">
      <c r="A2603" t="s">
        <v>7636</v>
      </c>
      <c r="B2603" s="191" t="s">
        <v>4840</v>
      </c>
      <c r="C2603" s="173" t="s">
        <v>4841</v>
      </c>
      <c r="D2603" s="173" t="str">
        <f t="shared" ref="D2603:D2634" si="14">C2603&amp;B2603</f>
        <v>外部代理总线zh0808</v>
      </c>
    </row>
    <row r="2604" ht="16.5" spans="1:4">
      <c r="A2604" t="s">
        <v>7637</v>
      </c>
      <c r="B2604" t="s">
        <v>7638</v>
      </c>
      <c r="C2604" t="s">
        <v>7638</v>
      </c>
      <c r="D2604" s="173" t="str">
        <f t="shared" si="14"/>
        <v>FrankFrank</v>
      </c>
    </row>
    <row r="2605" ht="16.5" spans="1:4">
      <c r="A2605" t="s">
        <v>7639</v>
      </c>
      <c r="B2605" s="191" t="s">
        <v>6926</v>
      </c>
      <c r="C2605" s="173" t="s">
        <v>4841</v>
      </c>
      <c r="D2605" s="173" t="str">
        <f t="shared" si="14"/>
        <v>外部代理总线zhaoshang</v>
      </c>
    </row>
    <row r="2606" ht="16.5" spans="1:4">
      <c r="A2606" t="s">
        <v>7640</v>
      </c>
      <c r="B2606" s="195" t="s">
        <v>4840</v>
      </c>
      <c r="C2606" s="173" t="s">
        <v>4841</v>
      </c>
      <c r="D2606" s="173" t="str">
        <f t="shared" si="14"/>
        <v>外部代理总线zh0808</v>
      </c>
    </row>
    <row r="2607" ht="16.5" spans="1:4">
      <c r="A2607" t="s">
        <v>7641</v>
      </c>
      <c r="B2607" s="195" t="s">
        <v>6241</v>
      </c>
      <c r="C2607" s="196" t="s">
        <v>7642</v>
      </c>
      <c r="D2607" s="173" t="str">
        <f t="shared" si="14"/>
        <v>马来线2btydl069</v>
      </c>
    </row>
    <row r="2608" ht="16.5" spans="1:4">
      <c r="A2608" t="s">
        <v>7643</v>
      </c>
      <c r="B2608" s="195" t="s">
        <v>4840</v>
      </c>
      <c r="C2608" s="173" t="s">
        <v>4841</v>
      </c>
      <c r="D2608" s="173" t="str">
        <f t="shared" si="14"/>
        <v>外部代理总线zh0808</v>
      </c>
    </row>
    <row r="2609" ht="16.5" spans="1:4">
      <c r="A2609" t="s">
        <v>7644</v>
      </c>
      <c r="B2609" s="195" t="s">
        <v>6926</v>
      </c>
      <c r="C2609" s="173" t="s">
        <v>4841</v>
      </c>
      <c r="D2609" s="173" t="str">
        <f t="shared" si="14"/>
        <v>外部代理总线zhaoshang</v>
      </c>
    </row>
    <row r="2610" ht="16.5" spans="1:4">
      <c r="A2610" t="s">
        <v>6972</v>
      </c>
      <c r="B2610" t="s">
        <v>7645</v>
      </c>
      <c r="C2610" s="173" t="s">
        <v>4841</v>
      </c>
      <c r="D2610" s="173" t="str">
        <f t="shared" si="14"/>
        <v>外部代理总线wbdl</v>
      </c>
    </row>
    <row r="2611" ht="16.5" spans="1:4">
      <c r="A2611" t="s">
        <v>7646</v>
      </c>
      <c r="B2611" s="191" t="s">
        <v>4840</v>
      </c>
      <c r="C2611" s="173" t="s">
        <v>4841</v>
      </c>
      <c r="D2611" s="173" t="str">
        <f t="shared" si="14"/>
        <v>外部代理总线zh0808</v>
      </c>
    </row>
    <row r="2612" ht="16.5" spans="1:4">
      <c r="A2612" t="s">
        <v>7647</v>
      </c>
      <c r="B2612" s="191" t="s">
        <v>6926</v>
      </c>
      <c r="C2612" s="173" t="s">
        <v>4841</v>
      </c>
      <c r="D2612" s="173" t="str">
        <f t="shared" si="14"/>
        <v>外部代理总线zhaoshang</v>
      </c>
    </row>
    <row r="2613" ht="16.5" spans="1:4">
      <c r="A2613" t="s">
        <v>7648</v>
      </c>
      <c r="B2613" s="197" t="s">
        <v>6340</v>
      </c>
      <c r="C2613" t="s">
        <v>4865</v>
      </c>
      <c r="D2613" s="173" t="str">
        <f t="shared" si="14"/>
        <v>测试btydl0095</v>
      </c>
    </row>
    <row r="2614" ht="16.5" spans="1:4">
      <c r="A2614" t="s">
        <v>7649</v>
      </c>
      <c r="B2614" s="191" t="s">
        <v>4840</v>
      </c>
      <c r="C2614" s="173" t="s">
        <v>4841</v>
      </c>
      <c r="D2614" s="173" t="str">
        <f t="shared" si="14"/>
        <v>外部代理总线zh0808</v>
      </c>
    </row>
    <row r="2615" ht="16.5" spans="1:4">
      <c r="A2615" t="s">
        <v>7650</v>
      </c>
      <c r="B2615" s="191" t="s">
        <v>4840</v>
      </c>
      <c r="C2615" s="173" t="s">
        <v>4841</v>
      </c>
      <c r="D2615" s="173" t="str">
        <f t="shared" si="14"/>
        <v>外部代理总线zh0808</v>
      </c>
    </row>
    <row r="2616" ht="16.5" spans="1:4">
      <c r="A2616" t="s">
        <v>7651</v>
      </c>
      <c r="B2616" s="191" t="s">
        <v>4840</v>
      </c>
      <c r="C2616" s="173" t="s">
        <v>4841</v>
      </c>
      <c r="D2616" s="173" t="str">
        <f t="shared" si="14"/>
        <v>外部代理总线zh0808</v>
      </c>
    </row>
    <row r="2617" ht="16.5" spans="1:4">
      <c r="A2617" t="s">
        <v>2640</v>
      </c>
      <c r="B2617" s="191" t="s">
        <v>6926</v>
      </c>
      <c r="C2617" s="173" t="s">
        <v>4841</v>
      </c>
      <c r="D2617" s="173" t="str">
        <f t="shared" si="14"/>
        <v>外部代理总线zhaoshang</v>
      </c>
    </row>
    <row r="2618" ht="16.5" spans="1:4">
      <c r="A2618" t="s">
        <v>7652</v>
      </c>
      <c r="B2618" s="191" t="s">
        <v>6926</v>
      </c>
      <c r="C2618" s="173" t="s">
        <v>4841</v>
      </c>
      <c r="D2618" s="173" t="str">
        <f t="shared" si="14"/>
        <v>外部代理总线zhaoshang</v>
      </c>
    </row>
    <row r="2619" ht="16.5" spans="1:4">
      <c r="A2619" t="s">
        <v>7653</v>
      </c>
      <c r="B2619" t="s">
        <v>6926</v>
      </c>
      <c r="C2619" s="173" t="s">
        <v>4841</v>
      </c>
      <c r="D2619" s="173" t="str">
        <f t="shared" si="14"/>
        <v>外部代理总线zhaoshang</v>
      </c>
    </row>
    <row r="2620" ht="16.5" spans="1:4">
      <c r="A2620" t="s">
        <v>7654</v>
      </c>
      <c r="B2620" t="s">
        <v>4840</v>
      </c>
      <c r="C2620" s="173" t="s">
        <v>4841</v>
      </c>
      <c r="D2620" s="173" t="str">
        <f t="shared" si="14"/>
        <v>外部代理总线zh0808</v>
      </c>
    </row>
    <row r="2621" ht="16.5" spans="1:4">
      <c r="A2621" t="s">
        <v>7655</v>
      </c>
      <c r="B2621" t="s">
        <v>6926</v>
      </c>
      <c r="C2621" s="173" t="s">
        <v>4841</v>
      </c>
      <c r="D2621" s="173" t="str">
        <f t="shared" si="14"/>
        <v>外部代理总线zhaoshang</v>
      </c>
    </row>
    <row r="2622" ht="16.5" spans="1:4">
      <c r="A2622" t="s">
        <v>7656</v>
      </c>
      <c r="B2622" t="s">
        <v>6926</v>
      </c>
      <c r="C2622" s="173" t="s">
        <v>4841</v>
      </c>
      <c r="D2622" s="173" t="str">
        <f t="shared" si="14"/>
        <v>外部代理总线zhaoshang</v>
      </c>
    </row>
    <row r="2623" ht="16.5" spans="1:4">
      <c r="A2623" t="s">
        <v>7653</v>
      </c>
      <c r="B2623" t="s">
        <v>6926</v>
      </c>
      <c r="C2623" s="173" t="s">
        <v>4841</v>
      </c>
      <c r="D2623" s="173" t="str">
        <f t="shared" si="14"/>
        <v>外部代理总线zhaoshang</v>
      </c>
    </row>
    <row r="2624" ht="16.5" spans="1:4">
      <c r="A2624" t="s">
        <v>7654</v>
      </c>
      <c r="B2624" t="s">
        <v>4840</v>
      </c>
      <c r="C2624" s="173" t="s">
        <v>4841</v>
      </c>
      <c r="D2624" s="173" t="str">
        <f t="shared" si="14"/>
        <v>外部代理总线zh0808</v>
      </c>
    </row>
    <row r="2625" ht="16.5" spans="1:4">
      <c r="A2625" t="s">
        <v>7655</v>
      </c>
      <c r="B2625" t="s">
        <v>6926</v>
      </c>
      <c r="C2625" s="173" t="s">
        <v>4841</v>
      </c>
      <c r="D2625" s="173" t="str">
        <f t="shared" si="14"/>
        <v>外部代理总线zhaoshang</v>
      </c>
    </row>
    <row r="2626" ht="16.5" spans="1:4">
      <c r="A2626" t="s">
        <v>7656</v>
      </c>
      <c r="B2626" t="s">
        <v>6926</v>
      </c>
      <c r="C2626" s="173" t="s">
        <v>4841</v>
      </c>
      <c r="D2626" s="173" t="str">
        <f t="shared" si="14"/>
        <v>外部代理总线zhaoshang</v>
      </c>
    </row>
    <row r="2627" ht="16.5" spans="1:4">
      <c r="A2627" t="s">
        <v>7657</v>
      </c>
      <c r="B2627" t="s">
        <v>6926</v>
      </c>
      <c r="C2627" s="173" t="s">
        <v>4841</v>
      </c>
      <c r="D2627" s="173" t="str">
        <f t="shared" si="14"/>
        <v>外部代理总线zhaoshang</v>
      </c>
    </row>
    <row r="2628" ht="16.5" spans="1:4">
      <c r="A2628" t="s">
        <v>7658</v>
      </c>
      <c r="B2628" t="s">
        <v>6926</v>
      </c>
      <c r="C2628" s="173" t="s">
        <v>4841</v>
      </c>
      <c r="D2628" s="173" t="str">
        <f t="shared" si="14"/>
        <v>外部代理总线zhaoshang</v>
      </c>
    </row>
    <row r="2629" ht="16.5" spans="1:4">
      <c r="A2629" t="s">
        <v>7659</v>
      </c>
      <c r="B2629" t="s">
        <v>4840</v>
      </c>
      <c r="C2629" s="173" t="s">
        <v>4841</v>
      </c>
      <c r="D2629" s="173" t="str">
        <f t="shared" si="14"/>
        <v>外部代理总线zh0808</v>
      </c>
    </row>
    <row r="2630" ht="16.5" spans="1:4">
      <c r="A2630" t="s">
        <v>7660</v>
      </c>
      <c r="B2630" t="s">
        <v>4854</v>
      </c>
      <c r="C2630" t="s">
        <v>4855</v>
      </c>
      <c r="D2630" s="173" t="str">
        <f t="shared" si="14"/>
        <v>GT-骨头gt6677</v>
      </c>
    </row>
    <row r="2631" ht="16.5" spans="1:4">
      <c r="A2631" t="s">
        <v>7661</v>
      </c>
      <c r="B2631" t="s">
        <v>4840</v>
      </c>
      <c r="C2631" s="173" t="s">
        <v>4841</v>
      </c>
      <c r="D2631" s="173" t="str">
        <f t="shared" si="14"/>
        <v>外部代理总线zh0808</v>
      </c>
    </row>
    <row r="2632" ht="16.5" spans="1:4">
      <c r="A2632" t="s">
        <v>7662</v>
      </c>
      <c r="B2632" t="s">
        <v>4840</v>
      </c>
      <c r="C2632" s="173" t="s">
        <v>4841</v>
      </c>
      <c r="D2632" s="173" t="str">
        <f t="shared" si="14"/>
        <v>外部代理总线zh0808</v>
      </c>
    </row>
    <row r="2633" ht="16.5" spans="1:4">
      <c r="A2633" t="s">
        <v>7663</v>
      </c>
      <c r="B2633" t="s">
        <v>4854</v>
      </c>
      <c r="C2633" t="s">
        <v>4855</v>
      </c>
      <c r="D2633" s="173" t="str">
        <f t="shared" si="14"/>
        <v>GT-骨头gt6677</v>
      </c>
    </row>
    <row r="2634" ht="16.5" spans="1:4">
      <c r="A2634" t="s">
        <v>410</v>
      </c>
      <c r="B2634" t="s">
        <v>6940</v>
      </c>
      <c r="C2634" t="s">
        <v>7598</v>
      </c>
      <c r="D2634" s="173" t="str">
        <f t="shared" si="14"/>
        <v>外代-越btydl072</v>
      </c>
    </row>
    <row r="2635" ht="16.5" spans="1:4">
      <c r="A2635" t="s">
        <v>7664</v>
      </c>
      <c r="B2635" s="191" t="s">
        <v>7665</v>
      </c>
      <c r="C2635" t="s">
        <v>7666</v>
      </c>
      <c r="D2635" s="173" t="str">
        <f t="shared" ref="D2635:D2666" si="15">C2635&amp;B2635</f>
        <v>雨燕直播zzzb888</v>
      </c>
    </row>
    <row r="2636" ht="16.5" spans="1:4">
      <c r="A2636" t="s">
        <v>7665</v>
      </c>
      <c r="B2636" s="191" t="s">
        <v>7665</v>
      </c>
      <c r="C2636" t="s">
        <v>7666</v>
      </c>
      <c r="D2636" s="173" t="str">
        <f t="shared" si="15"/>
        <v>雨燕直播zzzb888</v>
      </c>
    </row>
    <row r="2637" ht="16.5" spans="1:4">
      <c r="A2637" t="s">
        <v>3988</v>
      </c>
      <c r="B2637" s="191" t="s">
        <v>7665</v>
      </c>
      <c r="C2637" t="s">
        <v>7666</v>
      </c>
      <c r="D2637" s="173" t="str">
        <f t="shared" si="15"/>
        <v>雨燕直播zzzb888</v>
      </c>
    </row>
    <row r="2638" ht="16.5" spans="1:4">
      <c r="A2638" t="s">
        <v>326</v>
      </c>
      <c r="B2638" s="191" t="s">
        <v>7665</v>
      </c>
      <c r="C2638" t="s">
        <v>7666</v>
      </c>
      <c r="D2638" s="173" t="str">
        <f t="shared" si="15"/>
        <v>雨燕直播zzzb888</v>
      </c>
    </row>
    <row r="2639" ht="16.5" spans="1:4">
      <c r="A2639" t="s">
        <v>558</v>
      </c>
      <c r="B2639" s="191" t="s">
        <v>7665</v>
      </c>
      <c r="C2639" t="s">
        <v>7666</v>
      </c>
      <c r="D2639" s="173" t="str">
        <f t="shared" si="15"/>
        <v>雨燕直播zzzb888</v>
      </c>
    </row>
    <row r="2640" ht="16.5" spans="1:4">
      <c r="A2640" t="s">
        <v>370</v>
      </c>
      <c r="B2640" s="191" t="s">
        <v>4854</v>
      </c>
      <c r="C2640" t="s">
        <v>4855</v>
      </c>
      <c r="D2640" s="173" t="str">
        <f t="shared" si="15"/>
        <v>GT-骨头gt6677</v>
      </c>
    </row>
    <row r="2641" ht="16.5" spans="1:4">
      <c r="A2641" t="s">
        <v>1513</v>
      </c>
      <c r="B2641" s="191" t="s">
        <v>4854</v>
      </c>
      <c r="C2641" t="s">
        <v>4855</v>
      </c>
      <c r="D2641" s="173" t="str">
        <f t="shared" si="15"/>
        <v>GT-骨头gt6677</v>
      </c>
    </row>
    <row r="2642" ht="16.5" spans="1:4">
      <c r="A2642" t="s">
        <v>2694</v>
      </c>
      <c r="B2642" s="191" t="s">
        <v>4854</v>
      </c>
      <c r="C2642" t="s">
        <v>4855</v>
      </c>
      <c r="D2642" s="173" t="str">
        <f t="shared" si="15"/>
        <v>GT-骨头gt6677</v>
      </c>
    </row>
    <row r="2643" ht="16.5" spans="1:4">
      <c r="A2643" t="s">
        <v>2108</v>
      </c>
      <c r="B2643" s="191" t="s">
        <v>7665</v>
      </c>
      <c r="C2643" t="s">
        <v>7666</v>
      </c>
      <c r="D2643" s="173" t="str">
        <f t="shared" si="15"/>
        <v>雨燕直播zzzb888</v>
      </c>
    </row>
    <row r="2644" ht="16.5" spans="1:4">
      <c r="A2644" t="s">
        <v>454</v>
      </c>
      <c r="B2644" s="191" t="s">
        <v>7665</v>
      </c>
      <c r="C2644" t="s">
        <v>7666</v>
      </c>
      <c r="D2644" s="173" t="str">
        <f t="shared" si="15"/>
        <v>雨燕直播zzzb888</v>
      </c>
    </row>
    <row r="2645" ht="16.5" spans="1:4">
      <c r="A2645" t="s">
        <v>7667</v>
      </c>
      <c r="B2645" s="191" t="s">
        <v>4840</v>
      </c>
      <c r="C2645" s="173" t="s">
        <v>4841</v>
      </c>
      <c r="D2645" s="173" t="str">
        <f t="shared" si="15"/>
        <v>外部代理总线zh0808</v>
      </c>
    </row>
    <row r="2646" ht="16.5" spans="1:4">
      <c r="A2646" t="s">
        <v>285</v>
      </c>
      <c r="B2646" s="191" t="s">
        <v>7665</v>
      </c>
      <c r="C2646" t="s">
        <v>7666</v>
      </c>
      <c r="D2646" s="173" t="str">
        <f t="shared" si="15"/>
        <v>雨燕直播zzzb888</v>
      </c>
    </row>
    <row r="2647" ht="16.5" spans="1:4">
      <c r="A2647" s="118" t="s">
        <v>410</v>
      </c>
      <c r="B2647" t="s">
        <v>6940</v>
      </c>
      <c r="C2647" t="s">
        <v>7598</v>
      </c>
      <c r="D2647" s="173" t="str">
        <f t="shared" si="15"/>
        <v>外代-越btydl072</v>
      </c>
    </row>
    <row r="2648" ht="16.5" spans="1:4">
      <c r="A2648" t="s">
        <v>7668</v>
      </c>
      <c r="B2648" t="s">
        <v>6926</v>
      </c>
      <c r="C2648" s="173" t="s">
        <v>4841</v>
      </c>
      <c r="D2648" s="173" t="str">
        <f t="shared" si="15"/>
        <v>外部代理总线zhaoshang</v>
      </c>
    </row>
    <row r="2649" ht="16.5" spans="1:4">
      <c r="A2649" t="s">
        <v>7669</v>
      </c>
      <c r="B2649" t="s">
        <v>6926</v>
      </c>
      <c r="C2649" s="173" t="s">
        <v>4841</v>
      </c>
      <c r="D2649" s="173" t="str">
        <f t="shared" si="15"/>
        <v>外部代理总线zhaoshang</v>
      </c>
    </row>
    <row r="2650" ht="16.5" spans="1:4">
      <c r="A2650" t="s">
        <v>7670</v>
      </c>
      <c r="B2650" t="s">
        <v>4840</v>
      </c>
      <c r="C2650" s="173" t="s">
        <v>4841</v>
      </c>
      <c r="D2650" s="173" t="str">
        <f t="shared" si="15"/>
        <v>外部代理总线zh0808</v>
      </c>
    </row>
    <row r="2651" ht="16.5" spans="1:4">
      <c r="A2651" t="s">
        <v>7671</v>
      </c>
      <c r="B2651" s="191" t="s">
        <v>4840</v>
      </c>
      <c r="C2651" s="173" t="s">
        <v>4841</v>
      </c>
      <c r="D2651" s="173" t="str">
        <f t="shared" si="15"/>
        <v>外部代理总线zh0808</v>
      </c>
    </row>
    <row r="2652" ht="16.5" spans="1:4">
      <c r="A2652" t="s">
        <v>7672</v>
      </c>
      <c r="B2652" s="191" t="s">
        <v>4854</v>
      </c>
      <c r="C2652" t="s">
        <v>4855</v>
      </c>
      <c r="D2652" s="173" t="str">
        <f t="shared" si="15"/>
        <v>GT-骨头gt6677</v>
      </c>
    </row>
    <row r="2653" ht="16.5" spans="1:4">
      <c r="A2653" t="s">
        <v>7673</v>
      </c>
      <c r="B2653" t="s">
        <v>6241</v>
      </c>
      <c r="C2653" t="s">
        <v>7642</v>
      </c>
      <c r="D2653" s="173" t="str">
        <f t="shared" si="15"/>
        <v>马来线2btydl069</v>
      </c>
    </row>
    <row r="2654" ht="16.5" spans="1:4">
      <c r="A2654" t="s">
        <v>7674</v>
      </c>
      <c r="B2654" t="s">
        <v>6325</v>
      </c>
      <c r="C2654" t="s">
        <v>6326</v>
      </c>
      <c r="D2654" s="173" t="str">
        <f t="shared" si="15"/>
        <v>OBbtydl01</v>
      </c>
    </row>
    <row r="2655" ht="16.5" spans="1:4">
      <c r="A2655" t="s">
        <v>7675</v>
      </c>
      <c r="B2655" s="191" t="s">
        <v>6926</v>
      </c>
      <c r="C2655" s="173" t="s">
        <v>4841</v>
      </c>
      <c r="D2655" s="173" t="str">
        <f t="shared" si="15"/>
        <v>外部代理总线zhaoshang</v>
      </c>
    </row>
    <row r="2656" ht="16.5" spans="1:4">
      <c r="A2656" t="s">
        <v>7676</v>
      </c>
      <c r="B2656" s="191" t="s">
        <v>4854</v>
      </c>
      <c r="C2656" t="s">
        <v>4855</v>
      </c>
      <c r="D2656" s="173" t="str">
        <f t="shared" si="15"/>
        <v>GT-骨头gt6677</v>
      </c>
    </row>
    <row r="2657" ht="16.5" spans="1:4">
      <c r="A2657" t="s">
        <v>7677</v>
      </c>
      <c r="B2657" s="191" t="s">
        <v>6926</v>
      </c>
      <c r="C2657" s="173" t="s">
        <v>4841</v>
      </c>
      <c r="D2657" s="173" t="str">
        <f t="shared" si="15"/>
        <v>外部代理总线zhaoshang</v>
      </c>
    </row>
    <row r="2658" ht="16.5" spans="1:4">
      <c r="A2658" t="s">
        <v>7678</v>
      </c>
      <c r="B2658" t="s">
        <v>6940</v>
      </c>
      <c r="C2658" t="s">
        <v>7598</v>
      </c>
      <c r="D2658" s="173" t="str">
        <f t="shared" si="15"/>
        <v>外代-越btydl072</v>
      </c>
    </row>
    <row r="2659" ht="16.5" spans="1:4">
      <c r="A2659" t="s">
        <v>7679</v>
      </c>
      <c r="B2659" s="191" t="s">
        <v>6926</v>
      </c>
      <c r="C2659" s="173" t="s">
        <v>4841</v>
      </c>
      <c r="D2659" s="173" t="str">
        <f t="shared" si="15"/>
        <v>外部代理总线zhaoshang</v>
      </c>
    </row>
    <row r="2660" ht="16.5" spans="1:4">
      <c r="A2660" t="s">
        <v>7680</v>
      </c>
      <c r="B2660" s="191" t="s">
        <v>6926</v>
      </c>
      <c r="C2660" s="173" t="s">
        <v>4841</v>
      </c>
      <c r="D2660" s="173" t="str">
        <f t="shared" si="15"/>
        <v>外部代理总线zhaoshang</v>
      </c>
    </row>
    <row r="2661" ht="16.5" spans="1:4">
      <c r="A2661" s="198" t="s">
        <v>7681</v>
      </c>
      <c r="B2661" t="s">
        <v>7682</v>
      </c>
      <c r="C2661" t="s">
        <v>7682</v>
      </c>
      <c r="D2661" s="173" t="str">
        <f t="shared" si="15"/>
        <v>鲲鹏其他鲲鹏其他</v>
      </c>
    </row>
    <row r="2662" ht="16.5" spans="1:4">
      <c r="A2662" s="198" t="s">
        <v>7683</v>
      </c>
      <c r="B2662" s="191" t="s">
        <v>6926</v>
      </c>
      <c r="C2662" s="173" t="s">
        <v>4841</v>
      </c>
      <c r="D2662" s="173" t="str">
        <f t="shared" si="15"/>
        <v>外部代理总线zhaoshang</v>
      </c>
    </row>
    <row r="2663" ht="16.5" spans="1:4">
      <c r="A2663" s="198" t="s">
        <v>7684</v>
      </c>
      <c r="B2663" t="s">
        <v>7682</v>
      </c>
      <c r="C2663" t="s">
        <v>7682</v>
      </c>
      <c r="D2663" s="173" t="str">
        <f t="shared" si="15"/>
        <v>鲲鹏其他鲲鹏其他</v>
      </c>
    </row>
    <row r="2664" ht="16.5" spans="1:4">
      <c r="A2664" s="198" t="s">
        <v>7685</v>
      </c>
      <c r="B2664" t="s">
        <v>7682</v>
      </c>
      <c r="C2664" t="s">
        <v>7682</v>
      </c>
      <c r="D2664" s="173" t="str">
        <f t="shared" si="15"/>
        <v>鲲鹏其他鲲鹏其他</v>
      </c>
    </row>
    <row r="2665" ht="16.5" spans="1:4">
      <c r="A2665" t="s">
        <v>7686</v>
      </c>
      <c r="B2665" s="191" t="s">
        <v>6926</v>
      </c>
      <c r="C2665" s="173" t="s">
        <v>4841</v>
      </c>
      <c r="D2665" s="173" t="str">
        <f t="shared" si="15"/>
        <v>外部代理总线zhaoshang</v>
      </c>
    </row>
    <row r="2666" ht="16.5" spans="1:4">
      <c r="A2666" t="s">
        <v>7687</v>
      </c>
      <c r="B2666" t="s">
        <v>7688</v>
      </c>
      <c r="C2666" t="s">
        <v>7688</v>
      </c>
      <c r="D2666" s="173" t="str">
        <f t="shared" si="15"/>
        <v>鲲鹏seo鲲鹏seo</v>
      </c>
    </row>
    <row r="2667" ht="16.5" spans="1:4">
      <c r="A2667" t="s">
        <v>7689</v>
      </c>
      <c r="B2667" t="s">
        <v>7682</v>
      </c>
      <c r="C2667" t="s">
        <v>7682</v>
      </c>
      <c r="D2667" s="173" t="str">
        <f t="shared" ref="D2667:D2698" si="16">C2667&amp;B2667</f>
        <v>鲲鹏其他鲲鹏其他</v>
      </c>
    </row>
    <row r="2668" ht="16.5" spans="1:4">
      <c r="A2668" t="s">
        <v>7690</v>
      </c>
      <c r="B2668" s="191" t="s">
        <v>6926</v>
      </c>
      <c r="C2668" s="173" t="s">
        <v>4841</v>
      </c>
      <c r="D2668" s="173" t="str">
        <f t="shared" si="16"/>
        <v>外部代理总线zhaoshang</v>
      </c>
    </row>
    <row r="2669" ht="16.5" spans="1:4">
      <c r="A2669" t="s">
        <v>7691</v>
      </c>
      <c r="B2669" t="s">
        <v>6926</v>
      </c>
      <c r="C2669" s="173" t="s">
        <v>4841</v>
      </c>
      <c r="D2669" s="173" t="str">
        <f t="shared" si="16"/>
        <v>外部代理总线zhaoshang</v>
      </c>
    </row>
    <row r="2670" ht="16.5" spans="1:4">
      <c r="A2670" t="s">
        <v>7692</v>
      </c>
      <c r="B2670" t="s">
        <v>4840</v>
      </c>
      <c r="C2670" s="173" t="s">
        <v>4841</v>
      </c>
      <c r="D2670" s="173" t="str">
        <f t="shared" si="16"/>
        <v>外部代理总线zh0808</v>
      </c>
    </row>
    <row r="2671" ht="16.5" spans="1:4">
      <c r="A2671" t="s">
        <v>7693</v>
      </c>
      <c r="B2671" t="s">
        <v>6940</v>
      </c>
      <c r="C2671" t="s">
        <v>7598</v>
      </c>
      <c r="D2671" s="173" t="str">
        <f t="shared" si="16"/>
        <v>外代-越btydl072</v>
      </c>
    </row>
    <row r="2672" ht="16.5" spans="1:4">
      <c r="A2672" t="s">
        <v>4071</v>
      </c>
      <c r="B2672" t="s">
        <v>4854</v>
      </c>
      <c r="C2672" t="s">
        <v>4855</v>
      </c>
      <c r="D2672" s="173" t="str">
        <f t="shared" si="16"/>
        <v>GT-骨头gt6677</v>
      </c>
    </row>
    <row r="2673" ht="16.5" spans="1:4">
      <c r="A2673" t="s">
        <v>7204</v>
      </c>
      <c r="B2673" t="s">
        <v>7110</v>
      </c>
      <c r="C2673" s="173" t="s">
        <v>4841</v>
      </c>
      <c r="D2673" s="173" t="str">
        <f t="shared" si="16"/>
        <v>外部代理总线zhaoshang1</v>
      </c>
    </row>
    <row r="2674" ht="16.5" spans="1:4">
      <c r="A2674" t="s">
        <v>7694</v>
      </c>
      <c r="B2674" t="s">
        <v>6926</v>
      </c>
      <c r="C2674" s="173" t="s">
        <v>4841</v>
      </c>
      <c r="D2674" s="173" t="str">
        <f t="shared" si="16"/>
        <v>外部代理总线zhaoshang</v>
      </c>
    </row>
    <row r="2675" ht="16.5" spans="1:4">
      <c r="A2675" t="s">
        <v>7695</v>
      </c>
      <c r="B2675" t="s">
        <v>4840</v>
      </c>
      <c r="C2675" s="173" t="s">
        <v>4841</v>
      </c>
      <c r="D2675" s="173" t="str">
        <f t="shared" si="16"/>
        <v>外部代理总线zh0808</v>
      </c>
    </row>
    <row r="2676" ht="16.5" spans="1:4">
      <c r="A2676" t="s">
        <v>7696</v>
      </c>
      <c r="B2676" s="191" t="s">
        <v>6926</v>
      </c>
      <c r="C2676" s="173" t="s">
        <v>4841</v>
      </c>
      <c r="D2676" s="173" t="str">
        <f t="shared" si="16"/>
        <v>外部代理总线zhaoshang</v>
      </c>
    </row>
    <row r="2677" ht="16.5" spans="1:4">
      <c r="A2677" t="s">
        <v>7697</v>
      </c>
      <c r="B2677" s="191" t="s">
        <v>6940</v>
      </c>
      <c r="C2677" t="s">
        <v>7598</v>
      </c>
      <c r="D2677" s="173" t="str">
        <f t="shared" si="16"/>
        <v>外代-越btydl072</v>
      </c>
    </row>
    <row r="2678" ht="16.5" spans="1:4">
      <c r="A2678" t="s">
        <v>7698</v>
      </c>
      <c r="B2678" s="191" t="s">
        <v>6926</v>
      </c>
      <c r="C2678" s="173" t="s">
        <v>4841</v>
      </c>
      <c r="D2678" s="173" t="str">
        <f t="shared" si="16"/>
        <v>外部代理总线zhaoshang</v>
      </c>
    </row>
    <row r="2679" ht="16.5" spans="1:4">
      <c r="A2679" t="s">
        <v>7699</v>
      </c>
      <c r="B2679" s="191" t="s">
        <v>6926</v>
      </c>
      <c r="C2679" s="173" t="s">
        <v>4841</v>
      </c>
      <c r="D2679" s="173" t="str">
        <f t="shared" si="16"/>
        <v>外部代理总线zhaoshang</v>
      </c>
    </row>
    <row r="2680" ht="16.5" spans="1:4">
      <c r="A2680" t="s">
        <v>7700</v>
      </c>
      <c r="B2680" s="191" t="s">
        <v>6926</v>
      </c>
      <c r="C2680" s="173" t="s">
        <v>4841</v>
      </c>
      <c r="D2680" s="173" t="str">
        <f t="shared" si="16"/>
        <v>外部代理总线zhaoshang</v>
      </c>
    </row>
    <row r="2681" ht="16.5" spans="1:4">
      <c r="A2681" t="s">
        <v>6978</v>
      </c>
      <c r="B2681" s="191" t="s">
        <v>4840</v>
      </c>
      <c r="C2681" s="173" t="s">
        <v>4841</v>
      </c>
      <c r="D2681" s="173" t="str">
        <f t="shared" si="16"/>
        <v>外部代理总线zh0808</v>
      </c>
    </row>
    <row r="2682" ht="16.5" spans="1:4">
      <c r="A2682" t="s">
        <v>7701</v>
      </c>
      <c r="B2682" s="191" t="s">
        <v>6926</v>
      </c>
      <c r="C2682" s="173" t="s">
        <v>4841</v>
      </c>
      <c r="D2682" s="173" t="str">
        <f t="shared" si="16"/>
        <v>外部代理总线zhaoshang</v>
      </c>
    </row>
    <row r="2683" ht="16.5" spans="1:4">
      <c r="A2683" t="s">
        <v>7702</v>
      </c>
      <c r="B2683" s="191" t="s">
        <v>6926</v>
      </c>
      <c r="C2683" s="173" t="s">
        <v>4841</v>
      </c>
      <c r="D2683" s="173" t="str">
        <f t="shared" si="16"/>
        <v>外部代理总线zhaoshang</v>
      </c>
    </row>
    <row r="2684" ht="16.5" spans="1:4">
      <c r="A2684" t="s">
        <v>7703</v>
      </c>
      <c r="B2684" s="191" t="s">
        <v>4840</v>
      </c>
      <c r="C2684" s="173" t="s">
        <v>4841</v>
      </c>
      <c r="D2684" s="173" t="str">
        <f t="shared" si="16"/>
        <v>外部代理总线zh0808</v>
      </c>
    </row>
    <row r="2685" ht="16.5" spans="1:4">
      <c r="A2685" t="s">
        <v>7704</v>
      </c>
      <c r="B2685" s="191" t="s">
        <v>6926</v>
      </c>
      <c r="C2685" s="173" t="s">
        <v>4841</v>
      </c>
      <c r="D2685" s="173" t="str">
        <f t="shared" si="16"/>
        <v>外部代理总线zhaoshang</v>
      </c>
    </row>
    <row r="2686" ht="16.5" spans="1:4">
      <c r="A2686" s="199" t="s">
        <v>7705</v>
      </c>
      <c r="B2686" s="191" t="s">
        <v>6926</v>
      </c>
      <c r="C2686" s="173" t="s">
        <v>4841</v>
      </c>
      <c r="D2686" s="173" t="str">
        <f t="shared" si="16"/>
        <v>外部代理总线zhaoshang</v>
      </c>
    </row>
    <row r="2687" ht="16.5" spans="1:4">
      <c r="A2687" s="199" t="s">
        <v>7706</v>
      </c>
      <c r="B2687" s="191" t="s">
        <v>4840</v>
      </c>
      <c r="C2687" s="173" t="s">
        <v>4841</v>
      </c>
      <c r="D2687" s="173" t="str">
        <f t="shared" si="16"/>
        <v>外部代理总线zh0808</v>
      </c>
    </row>
    <row r="2688" ht="16.5" spans="1:4">
      <c r="A2688" s="199" t="s">
        <v>7707</v>
      </c>
      <c r="B2688" s="191" t="s">
        <v>4840</v>
      </c>
      <c r="C2688" s="173" t="s">
        <v>4841</v>
      </c>
      <c r="D2688" s="173" t="str">
        <f t="shared" si="16"/>
        <v>外部代理总线zh0808</v>
      </c>
    </row>
    <row r="2689" ht="16.5" spans="1:4">
      <c r="A2689" s="199" t="s">
        <v>7708</v>
      </c>
      <c r="B2689" s="191" t="s">
        <v>4854</v>
      </c>
      <c r="C2689" t="s">
        <v>4855</v>
      </c>
      <c r="D2689" s="173" t="str">
        <f t="shared" si="16"/>
        <v>GT-骨头gt6677</v>
      </c>
    </row>
    <row r="2690" ht="16.5" spans="1:4">
      <c r="A2690" t="s">
        <v>7709</v>
      </c>
      <c r="B2690" s="191" t="s">
        <v>4840</v>
      </c>
      <c r="C2690" s="173" t="s">
        <v>4841</v>
      </c>
      <c r="D2690" s="173" t="str">
        <f t="shared" si="16"/>
        <v>外部代理总线zh0808</v>
      </c>
    </row>
    <row r="2691" ht="16.5" spans="1:4">
      <c r="A2691" t="s">
        <v>7710</v>
      </c>
      <c r="B2691" s="191" t="s">
        <v>6926</v>
      </c>
      <c r="C2691" s="173" t="s">
        <v>4841</v>
      </c>
      <c r="D2691" s="173" t="str">
        <f t="shared" si="16"/>
        <v>外部代理总线zhaoshang</v>
      </c>
    </row>
    <row r="2692" ht="16.5" spans="1:4">
      <c r="A2692" t="s">
        <v>7711</v>
      </c>
      <c r="B2692" s="191" t="s">
        <v>6926</v>
      </c>
      <c r="C2692" s="173" t="s">
        <v>4841</v>
      </c>
      <c r="D2692" s="173" t="str">
        <f t="shared" si="16"/>
        <v>外部代理总线zhaoshang</v>
      </c>
    </row>
    <row r="2693" ht="16.5" spans="1:4">
      <c r="A2693" t="s">
        <v>7712</v>
      </c>
      <c r="B2693" s="191" t="s">
        <v>4840</v>
      </c>
      <c r="C2693" s="173" t="s">
        <v>4841</v>
      </c>
      <c r="D2693" s="173" t="str">
        <f t="shared" si="16"/>
        <v>外部代理总线zh0808</v>
      </c>
    </row>
    <row r="2694" ht="16.5" spans="1:4">
      <c r="A2694" t="s">
        <v>7713</v>
      </c>
      <c r="B2694" s="191" t="s">
        <v>4840</v>
      </c>
      <c r="C2694" s="173" t="s">
        <v>4841</v>
      </c>
      <c r="D2694" s="173" t="str">
        <f t="shared" si="16"/>
        <v>外部代理总线zh0808</v>
      </c>
    </row>
    <row r="2695" ht="16.5" spans="1:4">
      <c r="A2695" t="s">
        <v>7714</v>
      </c>
      <c r="B2695" s="191" t="s">
        <v>6926</v>
      </c>
      <c r="C2695" s="173" t="s">
        <v>4841</v>
      </c>
      <c r="D2695" s="173" t="str">
        <f t="shared" si="16"/>
        <v>外部代理总线zhaoshang</v>
      </c>
    </row>
    <row r="2696" ht="16.5" spans="1:4">
      <c r="A2696" t="s">
        <v>6704</v>
      </c>
      <c r="B2696" s="191" t="s">
        <v>4840</v>
      </c>
      <c r="C2696" s="173" t="s">
        <v>4841</v>
      </c>
      <c r="D2696" s="173" t="str">
        <f t="shared" si="16"/>
        <v>外部代理总线zh0808</v>
      </c>
    </row>
    <row r="2697" ht="16.5" spans="1:4">
      <c r="A2697" t="s">
        <v>7715</v>
      </c>
      <c r="B2697" s="191" t="s">
        <v>4840</v>
      </c>
      <c r="C2697" s="173" t="s">
        <v>4841</v>
      </c>
      <c r="D2697" s="173" t="str">
        <f t="shared" si="16"/>
        <v>外部代理总线zh0808</v>
      </c>
    </row>
    <row r="2698" ht="16.5" spans="1:4">
      <c r="A2698" t="s">
        <v>1395</v>
      </c>
      <c r="B2698" s="191" t="s">
        <v>6940</v>
      </c>
      <c r="C2698" t="s">
        <v>7598</v>
      </c>
      <c r="D2698" s="173" t="str">
        <f t="shared" si="16"/>
        <v>外代-越btydl072</v>
      </c>
    </row>
    <row r="2699" ht="16.5" spans="1:4">
      <c r="A2699" t="s">
        <v>7716</v>
      </c>
      <c r="B2699" s="191" t="s">
        <v>4840</v>
      </c>
      <c r="C2699" s="173" t="s">
        <v>4841</v>
      </c>
      <c r="D2699" s="173" t="str">
        <f t="shared" ref="D2699:D2722" si="17">C2699&amp;B2699</f>
        <v>外部代理总线zh0808</v>
      </c>
    </row>
    <row r="2700" ht="16.5" spans="1:4">
      <c r="A2700" t="s">
        <v>7717</v>
      </c>
      <c r="B2700" t="s">
        <v>4840</v>
      </c>
      <c r="C2700" s="173" t="s">
        <v>4841</v>
      </c>
      <c r="D2700" s="173" t="str">
        <f t="shared" si="17"/>
        <v>外部代理总线zh0808</v>
      </c>
    </row>
    <row r="2701" ht="16.5" spans="1:4">
      <c r="A2701" t="s">
        <v>7718</v>
      </c>
      <c r="B2701" t="s">
        <v>6926</v>
      </c>
      <c r="C2701" s="173" t="s">
        <v>4841</v>
      </c>
      <c r="D2701" s="173" t="str">
        <f t="shared" si="17"/>
        <v>外部代理总线zhaoshang</v>
      </c>
    </row>
    <row r="2702" ht="16.5" spans="1:4">
      <c r="A2702" t="s">
        <v>7719</v>
      </c>
      <c r="B2702" t="s">
        <v>6926</v>
      </c>
      <c r="C2702" s="173" t="s">
        <v>4841</v>
      </c>
      <c r="D2702" s="173" t="str">
        <f t="shared" si="17"/>
        <v>外部代理总线zhaoshang</v>
      </c>
    </row>
    <row r="2703" ht="16.5" spans="1:4">
      <c r="A2703" t="s">
        <v>7720</v>
      </c>
      <c r="B2703" t="s">
        <v>7720</v>
      </c>
      <c r="C2703" t="s">
        <v>7721</v>
      </c>
      <c r="D2703" s="173" t="str">
        <f t="shared" si="17"/>
        <v>林总btydl8888</v>
      </c>
    </row>
    <row r="2704" ht="16.5" spans="1:4">
      <c r="A2704" t="s">
        <v>7722</v>
      </c>
      <c r="B2704" t="s">
        <v>6926</v>
      </c>
      <c r="C2704" s="173" t="s">
        <v>4841</v>
      </c>
      <c r="D2704" s="173" t="str">
        <f t="shared" si="17"/>
        <v>外部代理总线zhaoshang</v>
      </c>
    </row>
    <row r="2705" ht="16.5" spans="1:4">
      <c r="A2705" t="s">
        <v>932</v>
      </c>
      <c r="B2705" t="s">
        <v>6940</v>
      </c>
      <c r="C2705" t="s">
        <v>7598</v>
      </c>
      <c r="D2705" s="173" t="str">
        <f t="shared" si="17"/>
        <v>外代-越btydl072</v>
      </c>
    </row>
    <row r="2706" ht="16.5" spans="1:4">
      <c r="A2706" t="s">
        <v>1856</v>
      </c>
      <c r="B2706" t="s">
        <v>6926</v>
      </c>
      <c r="C2706" s="173" t="s">
        <v>4841</v>
      </c>
      <c r="D2706" s="173" t="str">
        <f t="shared" si="17"/>
        <v>外部代理总线zhaoshang</v>
      </c>
    </row>
    <row r="2707" ht="16.5" spans="1:4">
      <c r="A2707" t="s">
        <v>7723</v>
      </c>
      <c r="B2707" t="s">
        <v>6926</v>
      </c>
      <c r="C2707" s="173" t="s">
        <v>4841</v>
      </c>
      <c r="D2707" s="173" t="str">
        <f t="shared" si="17"/>
        <v>外部代理总线zhaoshang</v>
      </c>
    </row>
    <row r="2708" ht="16.5" spans="1:4">
      <c r="A2708" t="s">
        <v>7724</v>
      </c>
      <c r="B2708" t="s">
        <v>4840</v>
      </c>
      <c r="C2708" s="173" t="s">
        <v>4841</v>
      </c>
      <c r="D2708" s="173" t="str">
        <f t="shared" si="17"/>
        <v>外部代理总线zh0808</v>
      </c>
    </row>
    <row r="2709" ht="16.5" spans="1:4">
      <c r="A2709" t="s">
        <v>7725</v>
      </c>
      <c r="B2709" t="s">
        <v>6926</v>
      </c>
      <c r="C2709" s="173" t="s">
        <v>4841</v>
      </c>
      <c r="D2709" s="173" t="str">
        <f t="shared" si="17"/>
        <v>外部代理总线zhaoshang</v>
      </c>
    </row>
    <row r="2710" ht="16.5" spans="1:4">
      <c r="A2710" t="s">
        <v>7726</v>
      </c>
      <c r="B2710" t="s">
        <v>6926</v>
      </c>
      <c r="C2710" s="173" t="s">
        <v>4841</v>
      </c>
      <c r="D2710" s="173" t="str">
        <f t="shared" si="17"/>
        <v>外部代理总线zhaoshang</v>
      </c>
    </row>
    <row r="2711" ht="16.5" spans="1:4">
      <c r="A2711" t="s">
        <v>7727</v>
      </c>
      <c r="B2711" t="s">
        <v>4840</v>
      </c>
      <c r="C2711" s="173" t="s">
        <v>4841</v>
      </c>
      <c r="D2711" s="173" t="str">
        <f t="shared" si="17"/>
        <v>外部代理总线zh0808</v>
      </c>
    </row>
    <row r="2712" ht="16.5" spans="1:4">
      <c r="A2712" t="s">
        <v>7728</v>
      </c>
      <c r="B2712" t="s">
        <v>4840</v>
      </c>
      <c r="C2712" s="173" t="s">
        <v>4841</v>
      </c>
      <c r="D2712" s="173" t="str">
        <f t="shared" si="17"/>
        <v>外部代理总线zh0808</v>
      </c>
    </row>
    <row r="2713" ht="16.5" spans="1:4">
      <c r="A2713" t="s">
        <v>7729</v>
      </c>
      <c r="B2713" s="191" t="s">
        <v>6926</v>
      </c>
      <c r="C2713" s="173" t="s">
        <v>4841</v>
      </c>
      <c r="D2713" s="173" t="str">
        <f t="shared" si="17"/>
        <v>外部代理总线zhaoshang</v>
      </c>
    </row>
    <row r="2714" ht="16.5" spans="1:4">
      <c r="A2714" t="s">
        <v>7730</v>
      </c>
      <c r="B2714" s="191" t="s">
        <v>6926</v>
      </c>
      <c r="C2714" s="173" t="s">
        <v>4841</v>
      </c>
      <c r="D2714" s="173" t="str">
        <f t="shared" si="17"/>
        <v>外部代理总线zhaoshang</v>
      </c>
    </row>
    <row r="2715" ht="16.5" spans="1:4">
      <c r="A2715" t="s">
        <v>7731</v>
      </c>
      <c r="B2715" s="191" t="s">
        <v>6926</v>
      </c>
      <c r="C2715" s="173" t="s">
        <v>4841</v>
      </c>
      <c r="D2715" s="173" t="str">
        <f t="shared" si="17"/>
        <v>外部代理总线zhaoshang</v>
      </c>
    </row>
    <row r="2716" ht="16.5" spans="1:4">
      <c r="A2716" t="s">
        <v>7732</v>
      </c>
      <c r="B2716" s="191" t="s">
        <v>4840</v>
      </c>
      <c r="C2716" s="173" t="s">
        <v>4841</v>
      </c>
      <c r="D2716" s="173" t="str">
        <f t="shared" si="17"/>
        <v>外部代理总线zh0808</v>
      </c>
    </row>
    <row r="2717" ht="16.5" spans="1:4">
      <c r="A2717" t="s">
        <v>7733</v>
      </c>
      <c r="B2717" s="191" t="s">
        <v>4840</v>
      </c>
      <c r="C2717" s="173" t="s">
        <v>4841</v>
      </c>
      <c r="D2717" s="173" t="str">
        <f t="shared" si="17"/>
        <v>外部代理总线zh0808</v>
      </c>
    </row>
    <row r="2718" ht="16.5" spans="1:4">
      <c r="A2718" t="s">
        <v>7734</v>
      </c>
      <c r="B2718" s="191" t="s">
        <v>4840</v>
      </c>
      <c r="C2718" s="173" t="s">
        <v>4841</v>
      </c>
      <c r="D2718" s="173" t="str">
        <f t="shared" si="17"/>
        <v>外部代理总线zh0808</v>
      </c>
    </row>
    <row r="2719" ht="16.5" spans="1:4">
      <c r="A2719" t="s">
        <v>7735</v>
      </c>
      <c r="B2719" s="191" t="s">
        <v>4840</v>
      </c>
      <c r="C2719" s="173" t="s">
        <v>4841</v>
      </c>
      <c r="D2719" s="173" t="str">
        <f t="shared" si="17"/>
        <v>外部代理总线zh0808</v>
      </c>
    </row>
    <row r="2720" ht="16.5" spans="1:4">
      <c r="A2720" t="s">
        <v>7736</v>
      </c>
      <c r="B2720" t="s">
        <v>6926</v>
      </c>
      <c r="C2720" s="173" t="s">
        <v>4841</v>
      </c>
      <c r="D2720" s="173" t="str">
        <f t="shared" si="17"/>
        <v>外部代理总线zhaoshang</v>
      </c>
    </row>
    <row r="2721" ht="16.5" spans="1:4">
      <c r="A2721" t="s">
        <v>7737</v>
      </c>
      <c r="B2721" t="s">
        <v>6926</v>
      </c>
      <c r="C2721" s="173" t="s">
        <v>4841</v>
      </c>
      <c r="D2721" s="173" t="str">
        <f t="shared" si="17"/>
        <v>外部代理总线zhaoshang</v>
      </c>
    </row>
    <row r="2722" ht="16.5" spans="1:4">
      <c r="A2722" t="s">
        <v>7738</v>
      </c>
      <c r="B2722" t="s">
        <v>6926</v>
      </c>
      <c r="C2722" s="173" t="s">
        <v>4841</v>
      </c>
      <c r="D2722" s="173" t="str">
        <f t="shared" si="17"/>
        <v>外部代理总线zhaoshang</v>
      </c>
    </row>
  </sheetData>
  <autoFilter ref="A1:D2722">
    <extLst/>
  </autoFilter>
  <conditionalFormatting sqref="A1556">
    <cfRule type="duplicateValues" dxfId="1" priority="4"/>
  </conditionalFormatting>
  <conditionalFormatting sqref="A1559">
    <cfRule type="duplicateValues" dxfId="1" priority="8"/>
  </conditionalFormatting>
  <conditionalFormatting sqref="A1690">
    <cfRule type="duplicateValues" dxfId="1" priority="5"/>
  </conditionalFormatting>
  <conditionalFormatting sqref="A1919">
    <cfRule type="duplicateValues" dxfId="1" priority="3"/>
  </conditionalFormatting>
  <conditionalFormatting sqref="A1656:A1672">
    <cfRule type="duplicateValues" dxfId="1" priority="7"/>
  </conditionalFormatting>
  <conditionalFormatting sqref="A1673:A1680">
    <cfRule type="duplicateValues" dxfId="1" priority="6"/>
  </conditionalFormatting>
  <conditionalFormatting sqref="A2353:A2364">
    <cfRule type="duplicateValues" dxfId="1" priority="2"/>
  </conditionalFormatting>
  <conditionalFormatting sqref="A1:A1555 A1653:A1655 A1681:A1689 A1691:A1707 A1826 A1846 A1848:A1849 A1856:A1885 A1963:A1965 A1998:A2004 A2143 A2203:A2205 A2279:A2291 A2333:A2334 A2340:A2341 A2348:A2351">
    <cfRule type="duplicateValues" dxfId="1" priority="9"/>
  </conditionalFormatting>
  <conditionalFormatting sqref="A2376:A2392 A2430:A2433">
    <cfRule type="duplicateValues" dxfId="1" priority="1"/>
  </conditionalFormatting>
  <dataValidations count="1">
    <dataValidation type="custom" allowBlank="1" showErrorMessage="1" errorTitle="拒绝重复输入" error="当前输入的内容，与本区域的其他单元格内容重复。" sqref="A1:A41 A42:A1000 A1001:A1092" errorStyle="warning">
      <formula1>COUNTIF($A:$A,A1)&lt;2</formula1>
    </dataValidation>
  </dataValidations>
  <pageMargins left="0.75" right="0.75" top="1" bottom="1" header="0.5" footer="0.5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990"/>
  <sheetViews>
    <sheetView workbookViewId="0">
      <pane ySplit="1" topLeftCell="A894" activePane="bottomLeft" state="frozen"/>
      <selection/>
      <selection pane="bottomLeft" activeCell="H1004" sqref="H1004"/>
    </sheetView>
  </sheetViews>
  <sheetFormatPr defaultColWidth="9" defaultRowHeight="13.5"/>
  <cols>
    <col min="3" max="3" width="13.75"/>
    <col min="12" max="12" width="10.375"/>
    <col min="23" max="23" width="11.625" customWidth="1"/>
  </cols>
  <sheetData>
    <row r="1" s="118" customFormat="1" spans="1:23">
      <c r="A1" s="119" t="s">
        <v>0</v>
      </c>
      <c r="B1" s="119" t="s">
        <v>1</v>
      </c>
      <c r="C1" s="120" t="s">
        <v>4768</v>
      </c>
      <c r="D1" s="120" t="s">
        <v>4</v>
      </c>
      <c r="E1" s="121" t="s">
        <v>5</v>
      </c>
      <c r="F1" s="120" t="s">
        <v>6</v>
      </c>
      <c r="G1" s="121" t="s">
        <v>7</v>
      </c>
      <c r="H1" s="122" t="s">
        <v>4769</v>
      </c>
      <c r="I1" s="137" t="s">
        <v>4</v>
      </c>
      <c r="J1" s="137" t="s">
        <v>6</v>
      </c>
      <c r="K1" s="138" t="s">
        <v>7</v>
      </c>
      <c r="L1" s="97" t="s">
        <v>10</v>
      </c>
      <c r="M1" s="114"/>
      <c r="N1" s="114"/>
      <c r="O1" s="114"/>
      <c r="P1" s="97" t="s">
        <v>11</v>
      </c>
      <c r="Q1" s="114"/>
      <c r="R1" s="114"/>
      <c r="S1" s="114"/>
      <c r="T1" s="97" t="s">
        <v>12</v>
      </c>
      <c r="U1" s="114"/>
      <c r="V1" s="114"/>
      <c r="W1" s="114"/>
    </row>
    <row r="2" spans="1:11">
      <c r="A2" s="123">
        <v>45005</v>
      </c>
      <c r="B2" s="124" t="s">
        <v>17</v>
      </c>
      <c r="C2" s="125">
        <v>136</v>
      </c>
      <c r="D2" s="124">
        <v>30</v>
      </c>
      <c r="E2" s="126">
        <v>0.220588235294118</v>
      </c>
      <c r="F2" s="125">
        <v>3</v>
      </c>
      <c r="G2" s="126">
        <v>0.1</v>
      </c>
      <c r="H2" s="127" t="s">
        <v>4770</v>
      </c>
      <c r="I2" s="139">
        <v>29</v>
      </c>
      <c r="J2" s="139">
        <v>2</v>
      </c>
      <c r="K2" s="140">
        <v>0.0689655172413793</v>
      </c>
    </row>
    <row r="3" spans="1:11">
      <c r="A3" s="123">
        <v>45005</v>
      </c>
      <c r="B3" s="124" t="s">
        <v>19</v>
      </c>
      <c r="C3" s="125">
        <v>1906</v>
      </c>
      <c r="D3" s="124">
        <v>92</v>
      </c>
      <c r="E3" s="126">
        <v>0.0482686253934942</v>
      </c>
      <c r="F3" s="125">
        <v>35</v>
      </c>
      <c r="G3" s="126">
        <v>0.380434782608696</v>
      </c>
      <c r="H3" s="127" t="s">
        <v>4770</v>
      </c>
      <c r="I3" s="139">
        <v>92</v>
      </c>
      <c r="J3" s="139">
        <v>34</v>
      </c>
      <c r="K3" s="140">
        <v>0.369565217391304</v>
      </c>
    </row>
    <row r="4" spans="1:11">
      <c r="A4" s="123">
        <v>45005</v>
      </c>
      <c r="B4" s="124" t="s">
        <v>21</v>
      </c>
      <c r="C4" s="128">
        <v>469</v>
      </c>
      <c r="D4" s="124">
        <v>24</v>
      </c>
      <c r="E4" s="126">
        <v>0.0511727078891258</v>
      </c>
      <c r="F4" s="125">
        <v>12</v>
      </c>
      <c r="G4" s="126">
        <v>0.5</v>
      </c>
      <c r="H4" s="127" t="s">
        <v>4770</v>
      </c>
      <c r="I4" s="139">
        <v>24</v>
      </c>
      <c r="J4" s="139">
        <v>12</v>
      </c>
      <c r="K4" s="140">
        <v>0.5</v>
      </c>
    </row>
    <row r="5" spans="1:11">
      <c r="A5" s="123">
        <v>45005</v>
      </c>
      <c r="B5" s="124" t="s">
        <v>22</v>
      </c>
      <c r="C5" s="128">
        <v>5916</v>
      </c>
      <c r="D5" s="124">
        <v>160</v>
      </c>
      <c r="E5" s="126">
        <v>0.0270453008789723</v>
      </c>
      <c r="F5" s="125">
        <v>62</v>
      </c>
      <c r="G5" s="126">
        <v>0.3875</v>
      </c>
      <c r="H5" s="127" t="s">
        <v>4770</v>
      </c>
      <c r="I5" s="139">
        <v>156</v>
      </c>
      <c r="J5" s="139">
        <v>61</v>
      </c>
      <c r="K5" s="140">
        <v>0.391025641025641</v>
      </c>
    </row>
    <row r="6" spans="1:11">
      <c r="A6" s="123">
        <v>45005</v>
      </c>
      <c r="B6" s="124" t="s">
        <v>23</v>
      </c>
      <c r="C6" s="128">
        <v>4762</v>
      </c>
      <c r="D6" s="124">
        <v>81</v>
      </c>
      <c r="E6" s="126">
        <v>0.0170096598068039</v>
      </c>
      <c r="F6" s="125">
        <v>23</v>
      </c>
      <c r="G6" s="126">
        <v>0.283950617283951</v>
      </c>
      <c r="H6" s="127" t="s">
        <v>4770</v>
      </c>
      <c r="I6" s="139">
        <v>74</v>
      </c>
      <c r="J6" s="139">
        <v>22</v>
      </c>
      <c r="K6" s="140">
        <v>0.297297297297297</v>
      </c>
    </row>
    <row r="7" spans="1:11">
      <c r="A7" s="123">
        <v>45005</v>
      </c>
      <c r="B7" s="124" t="s">
        <v>24</v>
      </c>
      <c r="C7" s="128">
        <v>1707</v>
      </c>
      <c r="D7" s="124">
        <v>26</v>
      </c>
      <c r="E7" s="126">
        <v>0.0152314001171646</v>
      </c>
      <c r="F7" s="125">
        <v>8</v>
      </c>
      <c r="G7" s="126">
        <v>0.307692307692308</v>
      </c>
      <c r="H7" s="127" t="s">
        <v>4770</v>
      </c>
      <c r="I7" s="139">
        <v>26</v>
      </c>
      <c r="J7" s="139">
        <v>8</v>
      </c>
      <c r="K7" s="140">
        <v>0.307692307692308</v>
      </c>
    </row>
    <row r="8" spans="1:11">
      <c r="A8" s="123">
        <v>45005</v>
      </c>
      <c r="B8" s="124" t="s">
        <v>25</v>
      </c>
      <c r="C8" s="128">
        <v>5027</v>
      </c>
      <c r="D8" s="124">
        <v>47</v>
      </c>
      <c r="E8" s="126">
        <v>0.00934951263178834</v>
      </c>
      <c r="F8" s="125">
        <v>16</v>
      </c>
      <c r="G8" s="126">
        <v>0.340425531914894</v>
      </c>
      <c r="H8" s="127" t="s">
        <v>4770</v>
      </c>
      <c r="I8" s="139">
        <v>47</v>
      </c>
      <c r="J8" s="139">
        <v>16</v>
      </c>
      <c r="K8" s="140">
        <v>0.340425531914894</v>
      </c>
    </row>
    <row r="9" spans="1:11">
      <c r="A9" s="123">
        <v>45005</v>
      </c>
      <c r="B9" s="129" t="s">
        <v>4771</v>
      </c>
      <c r="C9" s="130">
        <v>0</v>
      </c>
      <c r="D9" s="131">
        <v>0</v>
      </c>
      <c r="E9" s="126">
        <v>0</v>
      </c>
      <c r="F9" s="132">
        <v>0</v>
      </c>
      <c r="G9" s="126">
        <v>0</v>
      </c>
      <c r="H9" s="127" t="s">
        <v>4770</v>
      </c>
      <c r="I9" s="139">
        <v>0</v>
      </c>
      <c r="J9" s="139">
        <v>0</v>
      </c>
      <c r="K9" s="140">
        <v>0</v>
      </c>
    </row>
    <row r="10" spans="1:11">
      <c r="A10" s="123">
        <v>45005</v>
      </c>
      <c r="B10" s="131" t="s">
        <v>26</v>
      </c>
      <c r="C10" s="130">
        <v>412</v>
      </c>
      <c r="D10" s="131">
        <v>42</v>
      </c>
      <c r="E10" s="126">
        <v>0.101941747572816</v>
      </c>
      <c r="F10" s="132">
        <v>17</v>
      </c>
      <c r="G10" s="126">
        <v>0.404761904761905</v>
      </c>
      <c r="H10" s="127" t="s">
        <v>4770</v>
      </c>
      <c r="I10" s="139">
        <v>42</v>
      </c>
      <c r="J10" s="139">
        <v>17</v>
      </c>
      <c r="K10" s="140">
        <v>0.404761904761905</v>
      </c>
    </row>
    <row r="11" spans="1:11">
      <c r="A11" s="123">
        <v>45005</v>
      </c>
      <c r="B11" s="131" t="s">
        <v>27</v>
      </c>
      <c r="C11" s="130">
        <v>20</v>
      </c>
      <c r="D11" s="131">
        <v>0</v>
      </c>
      <c r="E11" s="126">
        <v>0</v>
      </c>
      <c r="F11" s="132">
        <v>1</v>
      </c>
      <c r="G11" s="126">
        <v>1</v>
      </c>
      <c r="H11" s="127" t="s">
        <v>4770</v>
      </c>
      <c r="I11" s="139">
        <v>0</v>
      </c>
      <c r="J11" s="139">
        <v>1</v>
      </c>
      <c r="K11" s="140">
        <v>0</v>
      </c>
    </row>
    <row r="12" spans="1:11">
      <c r="A12" s="123">
        <v>45005</v>
      </c>
      <c r="B12" s="131" t="s">
        <v>28</v>
      </c>
      <c r="C12" s="130">
        <v>0</v>
      </c>
      <c r="D12" s="131">
        <v>0</v>
      </c>
      <c r="E12" s="126">
        <v>0</v>
      </c>
      <c r="F12" s="132">
        <v>0</v>
      </c>
      <c r="G12" s="126">
        <v>0</v>
      </c>
      <c r="H12" s="127" t="s">
        <v>4770</v>
      </c>
      <c r="I12" s="139">
        <v>0</v>
      </c>
      <c r="J12" s="139">
        <v>0</v>
      </c>
      <c r="K12" s="140">
        <v>0</v>
      </c>
    </row>
    <row r="13" spans="1:11">
      <c r="A13" s="123">
        <v>45005</v>
      </c>
      <c r="B13" s="131" t="s">
        <v>29</v>
      </c>
      <c r="C13" s="130">
        <v>1</v>
      </c>
      <c r="D13" s="131">
        <v>0</v>
      </c>
      <c r="E13" s="126">
        <v>0</v>
      </c>
      <c r="F13" s="132">
        <v>0</v>
      </c>
      <c r="G13" s="126">
        <v>0</v>
      </c>
      <c r="H13" s="127" t="s">
        <v>4770</v>
      </c>
      <c r="I13" s="139">
        <v>0</v>
      </c>
      <c r="J13" s="139">
        <v>0</v>
      </c>
      <c r="K13" s="140">
        <v>0</v>
      </c>
    </row>
    <row r="14" spans="1:11">
      <c r="A14" s="123">
        <v>45005</v>
      </c>
      <c r="B14" s="131" t="s">
        <v>30</v>
      </c>
      <c r="C14" s="130">
        <v>0</v>
      </c>
      <c r="D14" s="131">
        <v>0</v>
      </c>
      <c r="E14" s="126">
        <v>0</v>
      </c>
      <c r="F14" s="132">
        <v>0</v>
      </c>
      <c r="G14" s="126">
        <v>0</v>
      </c>
      <c r="H14" s="127" t="s">
        <v>4770</v>
      </c>
      <c r="I14" s="139">
        <v>0</v>
      </c>
      <c r="J14" s="139">
        <v>0</v>
      </c>
      <c r="K14" s="140">
        <v>0</v>
      </c>
    </row>
    <row r="15" spans="1:11">
      <c r="A15" s="123">
        <v>45005</v>
      </c>
      <c r="B15" s="131" t="s">
        <v>103</v>
      </c>
      <c r="C15" s="130" t="s">
        <v>4772</v>
      </c>
      <c r="D15" s="131">
        <v>0</v>
      </c>
      <c r="E15" s="126" t="s">
        <v>4772</v>
      </c>
      <c r="F15" s="132">
        <v>0</v>
      </c>
      <c r="G15" s="126">
        <v>0</v>
      </c>
      <c r="H15" s="127" t="s">
        <v>4770</v>
      </c>
      <c r="I15" s="139">
        <v>0</v>
      </c>
      <c r="J15" s="139">
        <v>0</v>
      </c>
      <c r="K15" s="140">
        <v>0</v>
      </c>
    </row>
    <row r="16" spans="1:11">
      <c r="A16" s="123">
        <v>45005</v>
      </c>
      <c r="B16" s="133" t="s">
        <v>39</v>
      </c>
      <c r="C16" s="134">
        <v>20356</v>
      </c>
      <c r="D16" s="134">
        <v>502</v>
      </c>
      <c r="E16" s="135">
        <v>0.0246610336018864</v>
      </c>
      <c r="F16" s="134">
        <v>177</v>
      </c>
      <c r="G16" s="135">
        <v>0.352589641434263</v>
      </c>
      <c r="H16" s="136" t="s">
        <v>4770</v>
      </c>
      <c r="I16" s="141">
        <v>490</v>
      </c>
      <c r="J16" s="141">
        <v>173</v>
      </c>
      <c r="K16" s="142">
        <v>0.353061224489796</v>
      </c>
    </row>
    <row r="17" spans="1:11">
      <c r="A17" s="123">
        <v>45006</v>
      </c>
      <c r="B17" s="124" t="s">
        <v>17</v>
      </c>
      <c r="C17" s="125">
        <v>151</v>
      </c>
      <c r="D17" s="124">
        <v>20</v>
      </c>
      <c r="E17" s="126">
        <v>0.132450331125828</v>
      </c>
      <c r="F17" s="125">
        <v>3</v>
      </c>
      <c r="G17" s="126">
        <v>0.15</v>
      </c>
      <c r="H17" s="127" t="s">
        <v>4770</v>
      </c>
      <c r="I17" s="139">
        <v>20</v>
      </c>
      <c r="J17" s="139">
        <v>2</v>
      </c>
      <c r="K17" s="140">
        <v>0.1</v>
      </c>
    </row>
    <row r="18" spans="1:11">
      <c r="A18" s="123">
        <v>45006</v>
      </c>
      <c r="B18" s="124" t="s">
        <v>19</v>
      </c>
      <c r="C18" s="125">
        <v>1851</v>
      </c>
      <c r="D18" s="124">
        <v>81</v>
      </c>
      <c r="E18" s="126">
        <v>0.0437601296596434</v>
      </c>
      <c r="F18" s="125">
        <v>27</v>
      </c>
      <c r="G18" s="126">
        <v>0.333333333333333</v>
      </c>
      <c r="H18" s="127" t="s">
        <v>4770</v>
      </c>
      <c r="I18" s="139">
        <v>81</v>
      </c>
      <c r="J18" s="139">
        <v>27</v>
      </c>
      <c r="K18" s="140">
        <v>0.333333333333333</v>
      </c>
    </row>
    <row r="19" spans="1:11">
      <c r="A19" s="123">
        <v>45006</v>
      </c>
      <c r="B19" s="124" t="s">
        <v>21</v>
      </c>
      <c r="C19" s="128">
        <v>472</v>
      </c>
      <c r="D19" s="124">
        <v>23</v>
      </c>
      <c r="E19" s="126">
        <v>0.048728813559322</v>
      </c>
      <c r="F19" s="125">
        <v>5</v>
      </c>
      <c r="G19" s="126">
        <v>0.217391304347826</v>
      </c>
      <c r="H19" s="127" t="s">
        <v>4770</v>
      </c>
      <c r="I19" s="139">
        <v>23</v>
      </c>
      <c r="J19" s="139">
        <v>5</v>
      </c>
      <c r="K19" s="140">
        <v>0.217391304347826</v>
      </c>
    </row>
    <row r="20" spans="1:11">
      <c r="A20" s="123">
        <v>45006</v>
      </c>
      <c r="B20" s="124" t="s">
        <v>22</v>
      </c>
      <c r="C20" s="128">
        <v>5496</v>
      </c>
      <c r="D20" s="124">
        <v>162</v>
      </c>
      <c r="E20" s="126">
        <v>0.0294759825327511</v>
      </c>
      <c r="F20" s="125">
        <v>53</v>
      </c>
      <c r="G20" s="126">
        <v>0.327160493827161</v>
      </c>
      <c r="H20" s="127" t="s">
        <v>4770</v>
      </c>
      <c r="I20" s="139">
        <v>158</v>
      </c>
      <c r="J20" s="139">
        <v>52</v>
      </c>
      <c r="K20" s="140">
        <v>0.329113924050633</v>
      </c>
    </row>
    <row r="21" spans="1:11">
      <c r="A21" s="123">
        <v>45006</v>
      </c>
      <c r="B21" s="124" t="s">
        <v>23</v>
      </c>
      <c r="C21" s="128">
        <v>4351</v>
      </c>
      <c r="D21" s="124">
        <v>71</v>
      </c>
      <c r="E21" s="126">
        <v>0.016318087795909</v>
      </c>
      <c r="F21" s="125">
        <v>23</v>
      </c>
      <c r="G21" s="126">
        <v>0.323943661971831</v>
      </c>
      <c r="H21" s="127" t="s">
        <v>4770</v>
      </c>
      <c r="I21" s="139">
        <v>64</v>
      </c>
      <c r="J21" s="139">
        <v>23</v>
      </c>
      <c r="K21" s="140">
        <v>0.359375</v>
      </c>
    </row>
    <row r="22" spans="1:11">
      <c r="A22" s="123">
        <v>45006</v>
      </c>
      <c r="B22" s="124" t="s">
        <v>24</v>
      </c>
      <c r="C22" s="128">
        <v>1627</v>
      </c>
      <c r="D22" s="124">
        <v>23</v>
      </c>
      <c r="E22" s="126">
        <v>0.0141364474492932</v>
      </c>
      <c r="F22" s="125">
        <v>4</v>
      </c>
      <c r="G22" s="126">
        <v>0.173913043478261</v>
      </c>
      <c r="H22" s="127" t="s">
        <v>4770</v>
      </c>
      <c r="I22" s="139">
        <v>23</v>
      </c>
      <c r="J22" s="139">
        <v>4</v>
      </c>
      <c r="K22" s="140">
        <v>0.173913043478261</v>
      </c>
    </row>
    <row r="23" spans="1:11">
      <c r="A23" s="123">
        <v>45006</v>
      </c>
      <c r="B23" s="124" t="s">
        <v>25</v>
      </c>
      <c r="C23" s="128">
        <v>4555</v>
      </c>
      <c r="D23" s="124">
        <v>50</v>
      </c>
      <c r="E23" s="126">
        <v>0.0109769484083425</v>
      </c>
      <c r="F23" s="125">
        <v>29</v>
      </c>
      <c r="G23" s="126">
        <v>0.58</v>
      </c>
      <c r="H23" s="127" t="s">
        <v>4770</v>
      </c>
      <c r="I23" s="139">
        <v>49</v>
      </c>
      <c r="J23" s="139">
        <v>29</v>
      </c>
      <c r="K23" s="140">
        <v>0.591836734693878</v>
      </c>
    </row>
    <row r="24" spans="1:11">
      <c r="A24" s="123">
        <v>45006</v>
      </c>
      <c r="B24" s="129" t="s">
        <v>4771</v>
      </c>
      <c r="C24" s="130">
        <v>0</v>
      </c>
      <c r="D24" s="131">
        <v>0</v>
      </c>
      <c r="E24" s="126">
        <v>0</v>
      </c>
      <c r="F24" s="132">
        <v>0</v>
      </c>
      <c r="G24" s="126">
        <v>0</v>
      </c>
      <c r="H24" s="127" t="s">
        <v>4770</v>
      </c>
      <c r="I24" s="139">
        <v>0</v>
      </c>
      <c r="J24" s="139">
        <v>0</v>
      </c>
      <c r="K24" s="140">
        <v>0</v>
      </c>
    </row>
    <row r="25" spans="1:11">
      <c r="A25" s="123">
        <v>45006</v>
      </c>
      <c r="B25" s="131" t="s">
        <v>26</v>
      </c>
      <c r="C25" s="130">
        <v>421</v>
      </c>
      <c r="D25" s="131">
        <v>37</v>
      </c>
      <c r="E25" s="126">
        <v>0.0878859857482185</v>
      </c>
      <c r="F25" s="132">
        <v>16</v>
      </c>
      <c r="G25" s="126">
        <v>0.432432432432432</v>
      </c>
      <c r="H25" s="127" t="s">
        <v>4770</v>
      </c>
      <c r="I25" s="139">
        <v>37</v>
      </c>
      <c r="J25" s="139">
        <v>16</v>
      </c>
      <c r="K25" s="140">
        <v>0.432432432432432</v>
      </c>
    </row>
    <row r="26" spans="1:11">
      <c r="A26" s="123">
        <v>45006</v>
      </c>
      <c r="B26" s="131" t="s">
        <v>27</v>
      </c>
      <c r="C26" s="130">
        <v>36</v>
      </c>
      <c r="D26" s="131">
        <v>1</v>
      </c>
      <c r="E26" s="126">
        <v>0.0277777777777778</v>
      </c>
      <c r="F26" s="132">
        <v>1</v>
      </c>
      <c r="G26" s="126">
        <v>1</v>
      </c>
      <c r="H26" s="127" t="s">
        <v>4770</v>
      </c>
      <c r="I26" s="139">
        <v>1</v>
      </c>
      <c r="J26" s="139">
        <v>1</v>
      </c>
      <c r="K26" s="140">
        <v>1</v>
      </c>
    </row>
    <row r="27" spans="1:11">
      <c r="A27" s="123">
        <v>45006</v>
      </c>
      <c r="B27" s="131" t="s">
        <v>28</v>
      </c>
      <c r="C27" s="130">
        <v>0</v>
      </c>
      <c r="D27" s="131">
        <v>0</v>
      </c>
      <c r="E27" s="126">
        <v>0</v>
      </c>
      <c r="F27" s="132">
        <v>0</v>
      </c>
      <c r="G27" s="126">
        <v>0</v>
      </c>
      <c r="H27" s="127" t="s">
        <v>4770</v>
      </c>
      <c r="I27" s="139">
        <v>0</v>
      </c>
      <c r="J27" s="139">
        <v>0</v>
      </c>
      <c r="K27" s="140">
        <v>0</v>
      </c>
    </row>
    <row r="28" spans="1:11">
      <c r="A28" s="123">
        <v>45006</v>
      </c>
      <c r="B28" s="131" t="s">
        <v>29</v>
      </c>
      <c r="C28" s="130">
        <v>1</v>
      </c>
      <c r="D28" s="131">
        <v>0</v>
      </c>
      <c r="E28" s="126">
        <v>0</v>
      </c>
      <c r="F28" s="132">
        <v>0</v>
      </c>
      <c r="G28" s="126">
        <v>0</v>
      </c>
      <c r="H28" s="127" t="s">
        <v>4770</v>
      </c>
      <c r="I28" s="139">
        <v>0</v>
      </c>
      <c r="J28" s="139">
        <v>0</v>
      </c>
      <c r="K28" s="140">
        <v>0</v>
      </c>
    </row>
    <row r="29" spans="1:11">
      <c r="A29" s="123">
        <v>45006</v>
      </c>
      <c r="B29" s="131" t="s">
        <v>30</v>
      </c>
      <c r="C29" s="130">
        <v>0</v>
      </c>
      <c r="D29" s="131">
        <v>0</v>
      </c>
      <c r="E29" s="126">
        <v>0</v>
      </c>
      <c r="F29" s="132">
        <v>0</v>
      </c>
      <c r="G29" s="126">
        <v>0</v>
      </c>
      <c r="H29" s="127" t="s">
        <v>4770</v>
      </c>
      <c r="I29" s="139">
        <v>0</v>
      </c>
      <c r="J29" s="139">
        <v>0</v>
      </c>
      <c r="K29" s="140">
        <v>0</v>
      </c>
    </row>
    <row r="30" spans="1:11">
      <c r="A30" s="123">
        <v>45006</v>
      </c>
      <c r="B30" s="131" t="s">
        <v>103</v>
      </c>
      <c r="C30" s="130" t="s">
        <v>4772</v>
      </c>
      <c r="D30" s="131">
        <v>0</v>
      </c>
      <c r="E30" s="126" t="s">
        <v>4772</v>
      </c>
      <c r="F30" s="132">
        <v>0</v>
      </c>
      <c r="G30" s="126">
        <v>0</v>
      </c>
      <c r="H30" s="127" t="s">
        <v>4770</v>
      </c>
      <c r="I30" s="139">
        <v>0</v>
      </c>
      <c r="J30" s="139">
        <v>0</v>
      </c>
      <c r="K30" s="140">
        <v>0</v>
      </c>
    </row>
    <row r="31" spans="1:11">
      <c r="A31" s="123">
        <v>45006</v>
      </c>
      <c r="B31" s="133" t="s">
        <v>39</v>
      </c>
      <c r="C31" s="134">
        <v>18961</v>
      </c>
      <c r="D31" s="134">
        <v>468</v>
      </c>
      <c r="E31" s="135">
        <v>0.0246822424977586</v>
      </c>
      <c r="F31" s="134">
        <v>161</v>
      </c>
      <c r="G31" s="135">
        <v>0.344017094017094</v>
      </c>
      <c r="H31" s="136" t="s">
        <v>4770</v>
      </c>
      <c r="I31" s="141">
        <v>456</v>
      </c>
      <c r="J31" s="141">
        <v>159</v>
      </c>
      <c r="K31" s="142">
        <v>0.348684210526316</v>
      </c>
    </row>
    <row r="32" spans="1:11">
      <c r="A32" s="123">
        <v>45007</v>
      </c>
      <c r="B32" s="124" t="s">
        <v>17</v>
      </c>
      <c r="C32" s="125">
        <v>128</v>
      </c>
      <c r="D32" s="124">
        <v>21</v>
      </c>
      <c r="E32" s="126">
        <v>0.1640625</v>
      </c>
      <c r="F32" s="125">
        <v>6</v>
      </c>
      <c r="G32" s="126">
        <v>0.285714285714286</v>
      </c>
      <c r="H32" s="127" t="s">
        <v>4770</v>
      </c>
      <c r="I32" s="139">
        <v>21</v>
      </c>
      <c r="J32" s="139">
        <v>5</v>
      </c>
      <c r="K32" s="140">
        <v>0.238095238095238</v>
      </c>
    </row>
    <row r="33" spans="1:11">
      <c r="A33" s="123">
        <v>45007</v>
      </c>
      <c r="B33" s="124" t="s">
        <v>19</v>
      </c>
      <c r="C33" s="125">
        <v>1586</v>
      </c>
      <c r="D33" s="124">
        <v>65</v>
      </c>
      <c r="E33" s="126">
        <v>0.040983606557377</v>
      </c>
      <c r="F33" s="125">
        <v>19</v>
      </c>
      <c r="G33" s="126">
        <v>0.292307692307692</v>
      </c>
      <c r="H33" s="127" t="s">
        <v>4770</v>
      </c>
      <c r="I33" s="139">
        <v>63</v>
      </c>
      <c r="J33" s="139">
        <v>19</v>
      </c>
      <c r="K33" s="140">
        <v>0.301587301587302</v>
      </c>
    </row>
    <row r="34" spans="1:11">
      <c r="A34" s="123">
        <v>45007</v>
      </c>
      <c r="B34" s="124" t="s">
        <v>21</v>
      </c>
      <c r="C34" s="128">
        <v>496</v>
      </c>
      <c r="D34" s="124">
        <v>31</v>
      </c>
      <c r="E34" s="126">
        <v>0.0625</v>
      </c>
      <c r="F34" s="125">
        <v>13</v>
      </c>
      <c r="G34" s="126">
        <v>0.419354838709677</v>
      </c>
      <c r="H34" s="127" t="s">
        <v>4770</v>
      </c>
      <c r="I34" s="139">
        <v>31</v>
      </c>
      <c r="J34" s="139">
        <v>13</v>
      </c>
      <c r="K34" s="140">
        <v>0.419354838709677</v>
      </c>
    </row>
    <row r="35" spans="1:11">
      <c r="A35" s="123">
        <v>45007</v>
      </c>
      <c r="B35" s="124" t="s">
        <v>22</v>
      </c>
      <c r="C35" s="128">
        <v>5345</v>
      </c>
      <c r="D35" s="124">
        <v>146</v>
      </c>
      <c r="E35" s="126">
        <v>0.0273152478952292</v>
      </c>
      <c r="F35" s="125">
        <v>47</v>
      </c>
      <c r="G35" s="126">
        <v>0.321917808219178</v>
      </c>
      <c r="H35" s="127" t="s">
        <v>4770</v>
      </c>
      <c r="I35" s="139">
        <v>146</v>
      </c>
      <c r="J35" s="139">
        <v>47</v>
      </c>
      <c r="K35" s="140">
        <v>0.321917808219178</v>
      </c>
    </row>
    <row r="36" spans="1:11">
      <c r="A36" s="123">
        <v>45007</v>
      </c>
      <c r="B36" s="124" t="s">
        <v>23</v>
      </c>
      <c r="C36" s="128">
        <v>4262</v>
      </c>
      <c r="D36" s="124">
        <v>59</v>
      </c>
      <c r="E36" s="126">
        <v>0.0138432660722665</v>
      </c>
      <c r="F36" s="125">
        <v>16</v>
      </c>
      <c r="G36" s="126">
        <v>0.271186440677966</v>
      </c>
      <c r="H36" s="127" t="s">
        <v>4770</v>
      </c>
      <c r="I36" s="139">
        <v>50</v>
      </c>
      <c r="J36" s="139">
        <v>16</v>
      </c>
      <c r="K36" s="140">
        <v>0.32</v>
      </c>
    </row>
    <row r="37" spans="1:11">
      <c r="A37" s="123">
        <v>45007</v>
      </c>
      <c r="B37" s="124" t="s">
        <v>24</v>
      </c>
      <c r="C37" s="128">
        <v>1186</v>
      </c>
      <c r="D37" s="124">
        <v>12</v>
      </c>
      <c r="E37" s="126">
        <v>0.0101180438448567</v>
      </c>
      <c r="F37" s="125">
        <v>6</v>
      </c>
      <c r="G37" s="126">
        <v>0.5</v>
      </c>
      <c r="H37" s="127" t="s">
        <v>4770</v>
      </c>
      <c r="I37" s="139">
        <v>11</v>
      </c>
      <c r="J37" s="139">
        <v>5</v>
      </c>
      <c r="K37" s="140">
        <v>0.454545454545455</v>
      </c>
    </row>
    <row r="38" spans="1:11">
      <c r="A38" s="123">
        <v>45007</v>
      </c>
      <c r="B38" s="124" t="s">
        <v>25</v>
      </c>
      <c r="C38" s="128">
        <v>5387</v>
      </c>
      <c r="D38" s="124">
        <v>40</v>
      </c>
      <c r="E38" s="126">
        <v>0.00742528308891777</v>
      </c>
      <c r="F38" s="125">
        <v>17</v>
      </c>
      <c r="G38" s="126">
        <v>0.425</v>
      </c>
      <c r="H38" s="127" t="s">
        <v>4770</v>
      </c>
      <c r="I38" s="139">
        <v>40</v>
      </c>
      <c r="J38" s="139">
        <v>17</v>
      </c>
      <c r="K38" s="140">
        <v>0.425</v>
      </c>
    </row>
    <row r="39" spans="1:11">
      <c r="A39" s="123">
        <v>45007</v>
      </c>
      <c r="B39" s="129" t="s">
        <v>4771</v>
      </c>
      <c r="C39" s="130">
        <v>0</v>
      </c>
      <c r="D39" s="131">
        <v>0</v>
      </c>
      <c r="E39" s="126">
        <v>0</v>
      </c>
      <c r="F39" s="132">
        <v>0</v>
      </c>
      <c r="G39" s="126">
        <v>0</v>
      </c>
      <c r="H39" s="127" t="s">
        <v>4770</v>
      </c>
      <c r="I39" s="139">
        <v>0</v>
      </c>
      <c r="J39" s="139">
        <v>0</v>
      </c>
      <c r="K39" s="140">
        <v>0</v>
      </c>
    </row>
    <row r="40" spans="1:11">
      <c r="A40" s="123">
        <v>45007</v>
      </c>
      <c r="B40" s="131" t="s">
        <v>26</v>
      </c>
      <c r="C40" s="130">
        <v>414</v>
      </c>
      <c r="D40" s="131">
        <v>50</v>
      </c>
      <c r="E40" s="126">
        <v>0.120772946859903</v>
      </c>
      <c r="F40" s="132">
        <v>19</v>
      </c>
      <c r="G40" s="126">
        <v>0.38</v>
      </c>
      <c r="H40" s="127" t="s">
        <v>4770</v>
      </c>
      <c r="I40" s="139">
        <v>50</v>
      </c>
      <c r="J40" s="139">
        <v>19</v>
      </c>
      <c r="K40" s="140">
        <v>0.38</v>
      </c>
    </row>
    <row r="41" spans="1:11">
      <c r="A41" s="123">
        <v>45007</v>
      </c>
      <c r="B41" s="131" t="s">
        <v>27</v>
      </c>
      <c r="C41" s="130">
        <v>25</v>
      </c>
      <c r="D41" s="131">
        <v>0</v>
      </c>
      <c r="E41" s="126">
        <v>0</v>
      </c>
      <c r="F41" s="132">
        <v>0</v>
      </c>
      <c r="G41" s="126">
        <v>0</v>
      </c>
      <c r="H41" s="127" t="s">
        <v>4770</v>
      </c>
      <c r="I41" s="139">
        <v>0</v>
      </c>
      <c r="J41" s="139">
        <v>0</v>
      </c>
      <c r="K41" s="140">
        <v>0</v>
      </c>
    </row>
    <row r="42" spans="1:11">
      <c r="A42" s="123">
        <v>45007</v>
      </c>
      <c r="B42" s="131" t="s">
        <v>28</v>
      </c>
      <c r="C42" s="130">
        <v>0</v>
      </c>
      <c r="D42" s="131">
        <v>0</v>
      </c>
      <c r="E42" s="126">
        <v>0</v>
      </c>
      <c r="F42" s="132">
        <v>0</v>
      </c>
      <c r="G42" s="126">
        <v>0</v>
      </c>
      <c r="H42" s="127" t="s">
        <v>4770</v>
      </c>
      <c r="I42" s="139">
        <v>0</v>
      </c>
      <c r="J42" s="139">
        <v>0</v>
      </c>
      <c r="K42" s="140">
        <v>0</v>
      </c>
    </row>
    <row r="43" spans="1:11">
      <c r="A43" s="123">
        <v>45007</v>
      </c>
      <c r="B43" s="131" t="s">
        <v>29</v>
      </c>
      <c r="C43" s="130">
        <v>1</v>
      </c>
      <c r="D43" s="131">
        <v>0</v>
      </c>
      <c r="E43" s="126">
        <v>0</v>
      </c>
      <c r="F43" s="132">
        <v>0</v>
      </c>
      <c r="G43" s="126">
        <v>0</v>
      </c>
      <c r="H43" s="127" t="s">
        <v>4770</v>
      </c>
      <c r="I43" s="139">
        <v>0</v>
      </c>
      <c r="J43" s="139">
        <v>0</v>
      </c>
      <c r="K43" s="140">
        <v>0</v>
      </c>
    </row>
    <row r="44" spans="1:11">
      <c r="A44" s="123">
        <v>45007</v>
      </c>
      <c r="B44" s="131" t="s">
        <v>30</v>
      </c>
      <c r="C44" s="130">
        <v>0</v>
      </c>
      <c r="D44" s="131">
        <v>0</v>
      </c>
      <c r="E44" s="126">
        <v>0</v>
      </c>
      <c r="F44" s="132">
        <v>0</v>
      </c>
      <c r="G44" s="126">
        <v>0</v>
      </c>
      <c r="H44" s="127" t="s">
        <v>4770</v>
      </c>
      <c r="I44" s="139">
        <v>0</v>
      </c>
      <c r="J44" s="139">
        <v>0</v>
      </c>
      <c r="K44" s="140">
        <v>0</v>
      </c>
    </row>
    <row r="45" spans="1:11">
      <c r="A45" s="123">
        <v>45007</v>
      </c>
      <c r="B45" s="131" t="s">
        <v>103</v>
      </c>
      <c r="C45" s="130" t="s">
        <v>4772</v>
      </c>
      <c r="D45" s="131">
        <v>0</v>
      </c>
      <c r="E45" s="126" t="s">
        <v>4772</v>
      </c>
      <c r="F45" s="132">
        <v>0</v>
      </c>
      <c r="G45" s="126">
        <v>0</v>
      </c>
      <c r="H45" s="127" t="s">
        <v>4770</v>
      </c>
      <c r="I45" s="139">
        <v>0</v>
      </c>
      <c r="J45" s="139">
        <v>0</v>
      </c>
      <c r="K45" s="140">
        <v>0</v>
      </c>
    </row>
    <row r="46" spans="1:11">
      <c r="A46" s="123">
        <v>45007</v>
      </c>
      <c r="B46" s="133" t="s">
        <v>39</v>
      </c>
      <c r="C46" s="134">
        <v>18830</v>
      </c>
      <c r="D46" s="134">
        <v>424</v>
      </c>
      <c r="E46" s="135">
        <v>0.0225172596919809</v>
      </c>
      <c r="F46" s="134">
        <v>143</v>
      </c>
      <c r="G46" s="135">
        <v>0.337264150943396</v>
      </c>
      <c r="H46" s="136" t="s">
        <v>4770</v>
      </c>
      <c r="I46" s="141">
        <v>412</v>
      </c>
      <c r="J46" s="141">
        <v>141</v>
      </c>
      <c r="K46" s="142">
        <v>0.342233009708738</v>
      </c>
    </row>
    <row r="47" spans="1:11">
      <c r="A47" s="123">
        <v>45008</v>
      </c>
      <c r="B47" s="124" t="s">
        <v>17</v>
      </c>
      <c r="C47" s="125">
        <v>163</v>
      </c>
      <c r="D47" s="124">
        <v>30</v>
      </c>
      <c r="E47" s="126">
        <v>0.184049079754601</v>
      </c>
      <c r="F47" s="125">
        <v>3</v>
      </c>
      <c r="G47" s="126">
        <v>0.1</v>
      </c>
      <c r="H47" s="127" t="s">
        <v>4770</v>
      </c>
      <c r="I47" s="139">
        <v>30</v>
      </c>
      <c r="J47" s="139">
        <v>3</v>
      </c>
      <c r="K47" s="140">
        <v>0.1</v>
      </c>
    </row>
    <row r="48" spans="1:11">
      <c r="A48" s="123">
        <v>45008</v>
      </c>
      <c r="B48" s="124" t="s">
        <v>19</v>
      </c>
      <c r="C48" s="125">
        <v>1245</v>
      </c>
      <c r="D48" s="124">
        <v>52</v>
      </c>
      <c r="E48" s="126">
        <v>0.0417670682730924</v>
      </c>
      <c r="F48" s="125">
        <v>24</v>
      </c>
      <c r="G48" s="126">
        <v>0.461538461538462</v>
      </c>
      <c r="H48" s="127" t="s">
        <v>4770</v>
      </c>
      <c r="I48" s="139">
        <v>51</v>
      </c>
      <c r="J48" s="139">
        <v>24</v>
      </c>
      <c r="K48" s="140">
        <v>0.470588235294118</v>
      </c>
    </row>
    <row r="49" spans="1:11">
      <c r="A49" s="123">
        <v>45008</v>
      </c>
      <c r="B49" s="124" t="s">
        <v>21</v>
      </c>
      <c r="C49" s="128">
        <v>505</v>
      </c>
      <c r="D49" s="124">
        <v>31</v>
      </c>
      <c r="E49" s="126">
        <v>0.0613861386138614</v>
      </c>
      <c r="F49" s="125">
        <v>17</v>
      </c>
      <c r="G49" s="126">
        <v>0.548387096774194</v>
      </c>
      <c r="H49" s="127" t="s">
        <v>4770</v>
      </c>
      <c r="I49" s="139">
        <v>31</v>
      </c>
      <c r="J49" s="139">
        <v>17</v>
      </c>
      <c r="K49" s="140">
        <v>0.548387096774194</v>
      </c>
    </row>
    <row r="50" spans="1:11">
      <c r="A50" s="123">
        <v>45008</v>
      </c>
      <c r="B50" s="124" t="s">
        <v>22</v>
      </c>
      <c r="C50" s="128">
        <v>5227</v>
      </c>
      <c r="D50" s="124">
        <v>170</v>
      </c>
      <c r="E50" s="126">
        <v>0.0325234360053568</v>
      </c>
      <c r="F50" s="125">
        <v>55</v>
      </c>
      <c r="G50" s="126">
        <v>0.323529411764706</v>
      </c>
      <c r="H50" s="127" t="s">
        <v>4770</v>
      </c>
      <c r="I50" s="139">
        <v>168</v>
      </c>
      <c r="J50" s="139">
        <v>55</v>
      </c>
      <c r="K50" s="140">
        <v>0.327380952380952</v>
      </c>
    </row>
    <row r="51" spans="1:11">
      <c r="A51" s="123">
        <v>45008</v>
      </c>
      <c r="B51" s="124" t="s">
        <v>23</v>
      </c>
      <c r="C51" s="128">
        <v>4046</v>
      </c>
      <c r="D51" s="124">
        <v>65</v>
      </c>
      <c r="E51" s="126">
        <v>0.0160652496292635</v>
      </c>
      <c r="F51" s="125">
        <v>22</v>
      </c>
      <c r="G51" s="126">
        <v>0.338461538461538</v>
      </c>
      <c r="H51" s="127" t="s">
        <v>4770</v>
      </c>
      <c r="I51" s="139">
        <v>57</v>
      </c>
      <c r="J51" s="139">
        <v>22</v>
      </c>
      <c r="K51" s="140">
        <v>0.385964912280702</v>
      </c>
    </row>
    <row r="52" spans="1:11">
      <c r="A52" s="123">
        <v>45008</v>
      </c>
      <c r="B52" s="124" t="s">
        <v>24</v>
      </c>
      <c r="C52" s="128">
        <v>1069</v>
      </c>
      <c r="D52" s="124">
        <v>18</v>
      </c>
      <c r="E52" s="126">
        <v>0.0168381665107577</v>
      </c>
      <c r="F52" s="125">
        <v>8</v>
      </c>
      <c r="G52" s="126">
        <v>0.444444444444444</v>
      </c>
      <c r="H52" s="127" t="s">
        <v>4770</v>
      </c>
      <c r="I52" s="139">
        <v>18</v>
      </c>
      <c r="J52" s="139">
        <v>8</v>
      </c>
      <c r="K52" s="140">
        <v>0.444444444444444</v>
      </c>
    </row>
    <row r="53" spans="1:11">
      <c r="A53" s="123">
        <v>45008</v>
      </c>
      <c r="B53" s="124" t="s">
        <v>25</v>
      </c>
      <c r="C53" s="128">
        <v>4744</v>
      </c>
      <c r="D53" s="124">
        <v>36</v>
      </c>
      <c r="E53" s="126">
        <v>0.0075885328836425</v>
      </c>
      <c r="F53" s="125">
        <v>17</v>
      </c>
      <c r="G53" s="126">
        <v>0.472222222222222</v>
      </c>
      <c r="H53" s="127" t="s">
        <v>4770</v>
      </c>
      <c r="I53" s="139">
        <v>36</v>
      </c>
      <c r="J53" s="139">
        <v>17</v>
      </c>
      <c r="K53" s="140">
        <v>0.472222222222222</v>
      </c>
    </row>
    <row r="54" spans="1:11">
      <c r="A54" s="123">
        <v>45008</v>
      </c>
      <c r="B54" s="129" t="s">
        <v>4771</v>
      </c>
      <c r="C54" s="130">
        <v>0</v>
      </c>
      <c r="D54" s="131">
        <v>0</v>
      </c>
      <c r="E54" s="126">
        <v>0</v>
      </c>
      <c r="F54" s="132">
        <v>0</v>
      </c>
      <c r="G54" s="126">
        <v>0</v>
      </c>
      <c r="H54" s="127" t="s">
        <v>4770</v>
      </c>
      <c r="I54" s="139">
        <v>0</v>
      </c>
      <c r="J54" s="139">
        <v>0</v>
      </c>
      <c r="K54" s="140">
        <v>0</v>
      </c>
    </row>
    <row r="55" spans="1:11">
      <c r="A55" s="123">
        <v>45008</v>
      </c>
      <c r="B55" s="131" t="s">
        <v>26</v>
      </c>
      <c r="C55" s="130">
        <v>403</v>
      </c>
      <c r="D55" s="131">
        <v>44</v>
      </c>
      <c r="E55" s="126">
        <v>0.109181141439206</v>
      </c>
      <c r="F55" s="132">
        <v>15</v>
      </c>
      <c r="G55" s="126">
        <v>0.340909090909091</v>
      </c>
      <c r="H55" s="127" t="s">
        <v>4770</v>
      </c>
      <c r="I55" s="139">
        <v>44</v>
      </c>
      <c r="J55" s="139">
        <v>15</v>
      </c>
      <c r="K55" s="140">
        <v>0.340909090909091</v>
      </c>
    </row>
    <row r="56" spans="1:11">
      <c r="A56" s="123">
        <v>45008</v>
      </c>
      <c r="B56" s="131" t="s">
        <v>27</v>
      </c>
      <c r="C56" s="130">
        <v>59</v>
      </c>
      <c r="D56" s="131">
        <v>1</v>
      </c>
      <c r="E56" s="126">
        <v>0.0169491525423729</v>
      </c>
      <c r="F56" s="132">
        <v>0</v>
      </c>
      <c r="G56" s="126">
        <v>0</v>
      </c>
      <c r="H56" s="127" t="s">
        <v>4770</v>
      </c>
      <c r="I56" s="139">
        <v>1</v>
      </c>
      <c r="J56" s="139">
        <v>0</v>
      </c>
      <c r="K56" s="140">
        <v>0</v>
      </c>
    </row>
    <row r="57" spans="1:11">
      <c r="A57" s="123">
        <v>45008</v>
      </c>
      <c r="B57" s="131" t="s">
        <v>28</v>
      </c>
      <c r="C57" s="130">
        <v>0</v>
      </c>
      <c r="D57" s="131">
        <v>0</v>
      </c>
      <c r="E57" s="126">
        <v>0</v>
      </c>
      <c r="F57" s="132">
        <v>0</v>
      </c>
      <c r="G57" s="126">
        <v>0</v>
      </c>
      <c r="H57" s="127" t="s">
        <v>4770</v>
      </c>
      <c r="I57" s="139">
        <v>0</v>
      </c>
      <c r="J57" s="139">
        <v>0</v>
      </c>
      <c r="K57" s="140">
        <v>0</v>
      </c>
    </row>
    <row r="58" spans="1:11">
      <c r="A58" s="123">
        <v>45008</v>
      </c>
      <c r="B58" s="131" t="s">
        <v>29</v>
      </c>
      <c r="C58" s="130">
        <v>0</v>
      </c>
      <c r="D58" s="131">
        <v>0</v>
      </c>
      <c r="E58" s="126">
        <v>0</v>
      </c>
      <c r="F58" s="132">
        <v>0</v>
      </c>
      <c r="G58" s="126">
        <v>0</v>
      </c>
      <c r="H58" s="127" t="s">
        <v>4770</v>
      </c>
      <c r="I58" s="139">
        <v>0</v>
      </c>
      <c r="J58" s="139">
        <v>0</v>
      </c>
      <c r="K58" s="140">
        <v>0</v>
      </c>
    </row>
    <row r="59" spans="1:11">
      <c r="A59" s="123">
        <v>45008</v>
      </c>
      <c r="B59" s="131" t="s">
        <v>30</v>
      </c>
      <c r="C59" s="130">
        <v>0</v>
      </c>
      <c r="D59" s="131">
        <v>0</v>
      </c>
      <c r="E59" s="126">
        <v>0</v>
      </c>
      <c r="F59" s="132">
        <v>0</v>
      </c>
      <c r="G59" s="126">
        <v>0</v>
      </c>
      <c r="H59" s="127" t="s">
        <v>4770</v>
      </c>
      <c r="I59" s="139">
        <v>0</v>
      </c>
      <c r="J59" s="139">
        <v>0</v>
      </c>
      <c r="K59" s="140">
        <v>0</v>
      </c>
    </row>
    <row r="60" spans="1:11">
      <c r="A60" s="123">
        <v>45008</v>
      </c>
      <c r="B60" s="131" t="s">
        <v>103</v>
      </c>
      <c r="C60" s="130" t="s">
        <v>4772</v>
      </c>
      <c r="D60" s="131">
        <v>0</v>
      </c>
      <c r="E60" s="126" t="s">
        <v>4772</v>
      </c>
      <c r="F60" s="132">
        <v>0</v>
      </c>
      <c r="G60" s="126">
        <v>0</v>
      </c>
      <c r="H60" s="127" t="s">
        <v>4770</v>
      </c>
      <c r="I60" s="139">
        <v>0</v>
      </c>
      <c r="J60" s="139">
        <v>0</v>
      </c>
      <c r="K60" s="140">
        <v>0</v>
      </c>
    </row>
    <row r="61" spans="1:11">
      <c r="A61" s="123">
        <v>45008</v>
      </c>
      <c r="B61" s="133" t="s">
        <v>39</v>
      </c>
      <c r="C61" s="134">
        <v>17461</v>
      </c>
      <c r="D61" s="134">
        <v>447</v>
      </c>
      <c r="E61" s="135">
        <v>0.0255999083672184</v>
      </c>
      <c r="F61" s="134">
        <v>161</v>
      </c>
      <c r="G61" s="135">
        <v>0.360178970917226</v>
      </c>
      <c r="H61" s="136" t="s">
        <v>4770</v>
      </c>
      <c r="I61" s="141">
        <v>436</v>
      </c>
      <c r="J61" s="141">
        <v>161</v>
      </c>
      <c r="K61" s="142">
        <v>0.369266055045872</v>
      </c>
    </row>
    <row r="62" spans="1:11">
      <c r="A62" s="123">
        <v>45009</v>
      </c>
      <c r="B62" s="124" t="s">
        <v>17</v>
      </c>
      <c r="C62" s="125">
        <v>183</v>
      </c>
      <c r="D62" s="124">
        <v>23</v>
      </c>
      <c r="E62" s="126">
        <v>0.12568306010929</v>
      </c>
      <c r="F62" s="125">
        <v>5</v>
      </c>
      <c r="G62" s="126">
        <v>0.217391304347826</v>
      </c>
      <c r="H62" s="127" t="s">
        <v>4770</v>
      </c>
      <c r="I62" s="139">
        <v>23</v>
      </c>
      <c r="J62" s="139">
        <v>5</v>
      </c>
      <c r="K62" s="140">
        <v>0.217391304347826</v>
      </c>
    </row>
    <row r="63" spans="1:11">
      <c r="A63" s="123">
        <v>45009</v>
      </c>
      <c r="B63" s="124" t="s">
        <v>19</v>
      </c>
      <c r="C63" s="125">
        <v>1491</v>
      </c>
      <c r="D63" s="124">
        <v>59</v>
      </c>
      <c r="E63" s="126">
        <v>0.039570757880617</v>
      </c>
      <c r="F63" s="125">
        <v>23</v>
      </c>
      <c r="G63" s="126">
        <v>0.389830508474576</v>
      </c>
      <c r="H63" s="127" t="s">
        <v>4770</v>
      </c>
      <c r="I63" s="139">
        <v>57</v>
      </c>
      <c r="J63" s="139">
        <v>23</v>
      </c>
      <c r="K63" s="140">
        <v>0.403508771929825</v>
      </c>
    </row>
    <row r="64" spans="1:11">
      <c r="A64" s="123">
        <v>45009</v>
      </c>
      <c r="B64" s="124" t="s">
        <v>21</v>
      </c>
      <c r="C64" s="128">
        <v>696</v>
      </c>
      <c r="D64" s="124">
        <v>41</v>
      </c>
      <c r="E64" s="126">
        <v>0.0589080459770115</v>
      </c>
      <c r="F64" s="125">
        <v>11</v>
      </c>
      <c r="G64" s="126">
        <v>0.268292682926829</v>
      </c>
      <c r="H64" s="127" t="s">
        <v>4770</v>
      </c>
      <c r="I64" s="139">
        <v>41</v>
      </c>
      <c r="J64" s="139">
        <v>11</v>
      </c>
      <c r="K64" s="140">
        <v>0.268292682926829</v>
      </c>
    </row>
    <row r="65" spans="1:11">
      <c r="A65" s="123">
        <v>45009</v>
      </c>
      <c r="B65" s="124" t="s">
        <v>22</v>
      </c>
      <c r="C65" s="128">
        <v>5218</v>
      </c>
      <c r="D65" s="124">
        <v>169</v>
      </c>
      <c r="E65" s="126">
        <v>0.032387888079724</v>
      </c>
      <c r="F65" s="125">
        <v>69</v>
      </c>
      <c r="G65" s="126">
        <v>0.408284023668639</v>
      </c>
      <c r="H65" s="127" t="s">
        <v>4770</v>
      </c>
      <c r="I65" s="139">
        <v>165</v>
      </c>
      <c r="J65" s="139">
        <v>67</v>
      </c>
      <c r="K65" s="140">
        <v>0.406060606060606</v>
      </c>
    </row>
    <row r="66" spans="1:11">
      <c r="A66" s="123">
        <v>45009</v>
      </c>
      <c r="B66" s="124" t="s">
        <v>23</v>
      </c>
      <c r="C66" s="128">
        <v>3739</v>
      </c>
      <c r="D66" s="124">
        <v>56</v>
      </c>
      <c r="E66" s="126">
        <v>0.0149772666488366</v>
      </c>
      <c r="F66" s="125">
        <v>19</v>
      </c>
      <c r="G66" s="126">
        <v>0.339285714285714</v>
      </c>
      <c r="H66" s="127" t="s">
        <v>4770</v>
      </c>
      <c r="I66" s="139">
        <v>50</v>
      </c>
      <c r="J66" s="139">
        <v>19</v>
      </c>
      <c r="K66" s="140">
        <v>0.38</v>
      </c>
    </row>
    <row r="67" spans="1:11">
      <c r="A67" s="123">
        <v>45009</v>
      </c>
      <c r="B67" s="124" t="s">
        <v>24</v>
      </c>
      <c r="C67" s="128">
        <v>937</v>
      </c>
      <c r="D67" s="124">
        <v>18</v>
      </c>
      <c r="E67" s="126">
        <v>0.0192102454642476</v>
      </c>
      <c r="F67" s="125">
        <v>6</v>
      </c>
      <c r="G67" s="126">
        <v>0.333333333333333</v>
      </c>
      <c r="H67" s="127" t="s">
        <v>4770</v>
      </c>
      <c r="I67" s="139">
        <v>18</v>
      </c>
      <c r="J67" s="139">
        <v>6</v>
      </c>
      <c r="K67" s="140">
        <v>0.333333333333333</v>
      </c>
    </row>
    <row r="68" spans="1:11">
      <c r="A68" s="123">
        <v>45009</v>
      </c>
      <c r="B68" s="124" t="s">
        <v>25</v>
      </c>
      <c r="C68" s="128">
        <v>4785</v>
      </c>
      <c r="D68" s="124">
        <v>37</v>
      </c>
      <c r="E68" s="126">
        <v>0.0077324973876698</v>
      </c>
      <c r="F68" s="125">
        <v>20</v>
      </c>
      <c r="G68" s="126">
        <v>0.540540540540541</v>
      </c>
      <c r="H68" s="127" t="s">
        <v>4770</v>
      </c>
      <c r="I68" s="139">
        <v>37</v>
      </c>
      <c r="J68" s="139">
        <v>20</v>
      </c>
      <c r="K68" s="140">
        <v>0.540540540540541</v>
      </c>
    </row>
    <row r="69" spans="1:11">
      <c r="A69" s="123">
        <v>45009</v>
      </c>
      <c r="B69" s="129" t="s">
        <v>4771</v>
      </c>
      <c r="C69" s="130">
        <v>0</v>
      </c>
      <c r="D69" s="131">
        <v>0</v>
      </c>
      <c r="E69" s="126">
        <v>0</v>
      </c>
      <c r="F69" s="132">
        <v>0</v>
      </c>
      <c r="G69" s="126">
        <v>0</v>
      </c>
      <c r="H69" s="127" t="s">
        <v>4770</v>
      </c>
      <c r="I69" s="139">
        <v>0</v>
      </c>
      <c r="J69" s="139">
        <v>0</v>
      </c>
      <c r="K69" s="140">
        <v>0</v>
      </c>
    </row>
    <row r="70" spans="1:11">
      <c r="A70" s="123">
        <v>45009</v>
      </c>
      <c r="B70" s="131" t="s">
        <v>26</v>
      </c>
      <c r="C70" s="130">
        <v>364</v>
      </c>
      <c r="D70" s="131">
        <v>47</v>
      </c>
      <c r="E70" s="126">
        <v>0.129120879120879</v>
      </c>
      <c r="F70" s="132">
        <v>13</v>
      </c>
      <c r="G70" s="126">
        <v>0.276595744680851</v>
      </c>
      <c r="H70" s="127" t="s">
        <v>4770</v>
      </c>
      <c r="I70" s="139">
        <v>47</v>
      </c>
      <c r="J70" s="139">
        <v>13</v>
      </c>
      <c r="K70" s="140">
        <v>0.276595744680851</v>
      </c>
    </row>
    <row r="71" spans="1:11">
      <c r="A71" s="123">
        <v>45009</v>
      </c>
      <c r="B71" s="131" t="s">
        <v>27</v>
      </c>
      <c r="C71" s="130">
        <v>22</v>
      </c>
      <c r="D71" s="131">
        <v>0</v>
      </c>
      <c r="E71" s="126">
        <v>0</v>
      </c>
      <c r="F71" s="132">
        <v>0</v>
      </c>
      <c r="G71" s="126">
        <v>0</v>
      </c>
      <c r="H71" s="127" t="s">
        <v>4770</v>
      </c>
      <c r="I71" s="139">
        <v>0</v>
      </c>
      <c r="J71" s="139">
        <v>0</v>
      </c>
      <c r="K71" s="140">
        <v>0</v>
      </c>
    </row>
    <row r="72" spans="1:11">
      <c r="A72" s="123">
        <v>45009</v>
      </c>
      <c r="B72" s="131" t="s">
        <v>28</v>
      </c>
      <c r="C72" s="130">
        <v>0</v>
      </c>
      <c r="D72" s="131">
        <v>0</v>
      </c>
      <c r="E72" s="126">
        <v>0</v>
      </c>
      <c r="F72" s="132">
        <v>0</v>
      </c>
      <c r="G72" s="126">
        <v>0</v>
      </c>
      <c r="H72" s="127" t="s">
        <v>4770</v>
      </c>
      <c r="I72" s="139">
        <v>0</v>
      </c>
      <c r="J72" s="139">
        <v>0</v>
      </c>
      <c r="K72" s="140">
        <v>0</v>
      </c>
    </row>
    <row r="73" spans="1:11">
      <c r="A73" s="123">
        <v>45009</v>
      </c>
      <c r="B73" s="131" t="s">
        <v>29</v>
      </c>
      <c r="C73" s="130">
        <v>1</v>
      </c>
      <c r="D73" s="131">
        <v>0</v>
      </c>
      <c r="E73" s="126">
        <v>0</v>
      </c>
      <c r="F73" s="132">
        <v>0</v>
      </c>
      <c r="G73" s="126">
        <v>0</v>
      </c>
      <c r="H73" s="127" t="s">
        <v>4770</v>
      </c>
      <c r="I73" s="139">
        <v>0</v>
      </c>
      <c r="J73" s="139">
        <v>0</v>
      </c>
      <c r="K73" s="140">
        <v>0</v>
      </c>
    </row>
    <row r="74" spans="1:11">
      <c r="A74" s="123">
        <v>45009</v>
      </c>
      <c r="B74" s="131" t="s">
        <v>30</v>
      </c>
      <c r="C74" s="130">
        <v>0</v>
      </c>
      <c r="D74" s="131">
        <v>0</v>
      </c>
      <c r="E74" s="126">
        <v>0</v>
      </c>
      <c r="F74" s="132">
        <v>0</v>
      </c>
      <c r="G74" s="126">
        <v>0</v>
      </c>
      <c r="H74" s="127" t="s">
        <v>4770</v>
      </c>
      <c r="I74" s="139">
        <v>0</v>
      </c>
      <c r="J74" s="139">
        <v>0</v>
      </c>
      <c r="K74" s="140">
        <v>0</v>
      </c>
    </row>
    <row r="75" spans="1:11">
      <c r="A75" s="123">
        <v>45009</v>
      </c>
      <c r="B75" s="131" t="s">
        <v>103</v>
      </c>
      <c r="C75" s="130" t="s">
        <v>4772</v>
      </c>
      <c r="D75" s="131">
        <v>0</v>
      </c>
      <c r="E75" s="126" t="s">
        <v>4772</v>
      </c>
      <c r="F75" s="132">
        <v>0</v>
      </c>
      <c r="G75" s="126">
        <v>0</v>
      </c>
      <c r="H75" s="127" t="s">
        <v>4770</v>
      </c>
      <c r="I75" s="139">
        <v>0</v>
      </c>
      <c r="J75" s="139">
        <v>0</v>
      </c>
      <c r="K75" s="140">
        <v>0</v>
      </c>
    </row>
    <row r="76" spans="1:11">
      <c r="A76" s="123">
        <v>45009</v>
      </c>
      <c r="B76" s="133" t="s">
        <v>39</v>
      </c>
      <c r="C76" s="134">
        <v>17436</v>
      </c>
      <c r="D76" s="134">
        <v>450</v>
      </c>
      <c r="E76" s="135">
        <v>0.0258086717136958</v>
      </c>
      <c r="F76" s="134">
        <v>166</v>
      </c>
      <c r="G76" s="135">
        <v>0.368888888888889</v>
      </c>
      <c r="H76" s="136" t="s">
        <v>4770</v>
      </c>
      <c r="I76" s="141">
        <v>438</v>
      </c>
      <c r="J76" s="141">
        <v>164</v>
      </c>
      <c r="K76" s="142">
        <v>0.374429223744292</v>
      </c>
    </row>
    <row r="77" spans="1:11">
      <c r="A77" s="123">
        <v>45010</v>
      </c>
      <c r="B77" s="124" t="s">
        <v>17</v>
      </c>
      <c r="C77" s="125">
        <v>153</v>
      </c>
      <c r="D77" s="124">
        <v>35</v>
      </c>
      <c r="E77" s="126">
        <v>0.228758169934641</v>
      </c>
      <c r="F77" s="125">
        <v>3</v>
      </c>
      <c r="G77" s="126">
        <v>0.0857142857142857</v>
      </c>
      <c r="H77" s="127" t="s">
        <v>4770</v>
      </c>
      <c r="I77" s="139">
        <v>34</v>
      </c>
      <c r="J77" s="139">
        <v>3</v>
      </c>
      <c r="K77" s="140">
        <v>0.0882352941176471</v>
      </c>
    </row>
    <row r="78" spans="1:11">
      <c r="A78" s="123">
        <v>45010</v>
      </c>
      <c r="B78" s="124" t="s">
        <v>19</v>
      </c>
      <c r="C78" s="125">
        <v>1644</v>
      </c>
      <c r="D78" s="124">
        <v>86</v>
      </c>
      <c r="E78" s="126">
        <v>0.0523114355231144</v>
      </c>
      <c r="F78" s="125">
        <v>31</v>
      </c>
      <c r="G78" s="126">
        <v>0.36046511627907</v>
      </c>
      <c r="H78" s="127" t="s">
        <v>4770</v>
      </c>
      <c r="I78" s="139">
        <v>86</v>
      </c>
      <c r="J78" s="139">
        <v>31</v>
      </c>
      <c r="K78" s="140">
        <v>0.36046511627907</v>
      </c>
    </row>
    <row r="79" spans="1:11">
      <c r="A79" s="123">
        <v>45010</v>
      </c>
      <c r="B79" s="124" t="s">
        <v>21</v>
      </c>
      <c r="C79" s="128">
        <v>1027</v>
      </c>
      <c r="D79" s="124">
        <v>44</v>
      </c>
      <c r="E79" s="126">
        <v>0.0428432327166504</v>
      </c>
      <c r="F79" s="125">
        <v>13</v>
      </c>
      <c r="G79" s="126">
        <v>0.295454545454545</v>
      </c>
      <c r="H79" s="127" t="s">
        <v>4770</v>
      </c>
      <c r="I79" s="139">
        <v>44</v>
      </c>
      <c r="J79" s="139">
        <v>13</v>
      </c>
      <c r="K79" s="140">
        <v>0.295454545454545</v>
      </c>
    </row>
    <row r="80" spans="1:11">
      <c r="A80" s="123">
        <v>45010</v>
      </c>
      <c r="B80" s="124" t="s">
        <v>22</v>
      </c>
      <c r="C80" s="128">
        <v>5104</v>
      </c>
      <c r="D80" s="124">
        <v>135</v>
      </c>
      <c r="E80" s="126">
        <v>0.0264498432601881</v>
      </c>
      <c r="F80" s="125">
        <v>53</v>
      </c>
      <c r="G80" s="126">
        <v>0.392592592592593</v>
      </c>
      <c r="H80" s="127" t="s">
        <v>4770</v>
      </c>
      <c r="I80" s="139">
        <v>135</v>
      </c>
      <c r="J80" s="139">
        <v>53</v>
      </c>
      <c r="K80" s="140">
        <v>0.392592592592593</v>
      </c>
    </row>
    <row r="81" spans="1:11">
      <c r="A81" s="123">
        <v>45010</v>
      </c>
      <c r="B81" s="124" t="s">
        <v>23</v>
      </c>
      <c r="C81" s="128">
        <v>3435</v>
      </c>
      <c r="D81" s="124">
        <v>48</v>
      </c>
      <c r="E81" s="126">
        <v>0.0139737991266376</v>
      </c>
      <c r="F81" s="125">
        <v>18</v>
      </c>
      <c r="G81" s="126">
        <v>0.375</v>
      </c>
      <c r="H81" s="127" t="s">
        <v>4770</v>
      </c>
      <c r="I81" s="139">
        <v>42</v>
      </c>
      <c r="J81" s="139">
        <v>18</v>
      </c>
      <c r="K81" s="140">
        <v>0.428571428571429</v>
      </c>
    </row>
    <row r="82" spans="1:11">
      <c r="A82" s="123">
        <v>45010</v>
      </c>
      <c r="B82" s="124" t="s">
        <v>24</v>
      </c>
      <c r="C82" s="128">
        <v>743</v>
      </c>
      <c r="D82" s="124">
        <v>22</v>
      </c>
      <c r="E82" s="126">
        <v>0.0296096904441454</v>
      </c>
      <c r="F82" s="125">
        <v>7</v>
      </c>
      <c r="G82" s="126">
        <v>0.318181818181818</v>
      </c>
      <c r="H82" s="127" t="s">
        <v>4770</v>
      </c>
      <c r="I82" s="139">
        <v>22</v>
      </c>
      <c r="J82" s="139">
        <v>7</v>
      </c>
      <c r="K82" s="140">
        <v>0.318181818181818</v>
      </c>
    </row>
    <row r="83" spans="1:11">
      <c r="A83" s="123">
        <v>45010</v>
      </c>
      <c r="B83" s="124" t="s">
        <v>25</v>
      </c>
      <c r="C83" s="128">
        <v>4097</v>
      </c>
      <c r="D83" s="124">
        <v>50</v>
      </c>
      <c r="E83" s="126">
        <v>0.0122040517451794</v>
      </c>
      <c r="F83" s="125">
        <v>19</v>
      </c>
      <c r="G83" s="126">
        <v>0.38</v>
      </c>
      <c r="H83" s="127" t="s">
        <v>4770</v>
      </c>
      <c r="I83" s="139">
        <v>50</v>
      </c>
      <c r="J83" s="139">
        <v>19</v>
      </c>
      <c r="K83" s="140">
        <v>0.38</v>
      </c>
    </row>
    <row r="84" spans="1:11">
      <c r="A84" s="123">
        <v>45010</v>
      </c>
      <c r="B84" s="129" t="s">
        <v>4771</v>
      </c>
      <c r="C84" s="130">
        <v>0</v>
      </c>
      <c r="D84" s="131">
        <v>0</v>
      </c>
      <c r="E84" s="126">
        <v>0</v>
      </c>
      <c r="F84" s="132">
        <v>0</v>
      </c>
      <c r="G84" s="126">
        <v>0</v>
      </c>
      <c r="H84" s="127" t="s">
        <v>4770</v>
      </c>
      <c r="I84" s="139">
        <v>0</v>
      </c>
      <c r="J84" s="139">
        <v>0</v>
      </c>
      <c r="K84" s="140">
        <v>0</v>
      </c>
    </row>
    <row r="85" spans="1:11">
      <c r="A85" s="123">
        <v>45010</v>
      </c>
      <c r="B85" s="131" t="s">
        <v>26</v>
      </c>
      <c r="C85" s="130">
        <v>374</v>
      </c>
      <c r="D85" s="131">
        <v>47</v>
      </c>
      <c r="E85" s="126">
        <v>0.125668449197861</v>
      </c>
      <c r="F85" s="132">
        <v>13</v>
      </c>
      <c r="G85" s="126">
        <v>0.276595744680851</v>
      </c>
      <c r="H85" s="127" t="s">
        <v>4770</v>
      </c>
      <c r="I85" s="139">
        <v>47</v>
      </c>
      <c r="J85" s="139">
        <v>13</v>
      </c>
      <c r="K85" s="140">
        <v>0.276595744680851</v>
      </c>
    </row>
    <row r="86" spans="1:11">
      <c r="A86" s="123">
        <v>45010</v>
      </c>
      <c r="B86" s="131" t="s">
        <v>27</v>
      </c>
      <c r="C86" s="130">
        <v>30</v>
      </c>
      <c r="D86" s="131">
        <v>0</v>
      </c>
      <c r="E86" s="126">
        <v>0</v>
      </c>
      <c r="F86" s="132">
        <v>0</v>
      </c>
      <c r="G86" s="126">
        <v>0</v>
      </c>
      <c r="H86" s="127" t="s">
        <v>4770</v>
      </c>
      <c r="I86" s="139">
        <v>0</v>
      </c>
      <c r="J86" s="139">
        <v>0</v>
      </c>
      <c r="K86" s="140">
        <v>0</v>
      </c>
    </row>
    <row r="87" spans="1:11">
      <c r="A87" s="123">
        <v>45010</v>
      </c>
      <c r="B87" s="131" t="s">
        <v>28</v>
      </c>
      <c r="C87" s="130">
        <v>0</v>
      </c>
      <c r="D87" s="131">
        <v>0</v>
      </c>
      <c r="E87" s="126">
        <v>0</v>
      </c>
      <c r="F87" s="132">
        <v>0</v>
      </c>
      <c r="G87" s="126">
        <v>0</v>
      </c>
      <c r="H87" s="127" t="s">
        <v>4770</v>
      </c>
      <c r="I87" s="139">
        <v>0</v>
      </c>
      <c r="J87" s="139">
        <v>0</v>
      </c>
      <c r="K87" s="140">
        <v>0</v>
      </c>
    </row>
    <row r="88" spans="1:11">
      <c r="A88" s="123">
        <v>45010</v>
      </c>
      <c r="B88" s="131" t="s">
        <v>29</v>
      </c>
      <c r="C88" s="130">
        <v>0</v>
      </c>
      <c r="D88" s="131">
        <v>1</v>
      </c>
      <c r="E88" s="126">
        <v>1</v>
      </c>
      <c r="F88" s="132">
        <v>0</v>
      </c>
      <c r="G88" s="126">
        <v>0</v>
      </c>
      <c r="H88" s="127" t="s">
        <v>4770</v>
      </c>
      <c r="I88" s="139">
        <v>1</v>
      </c>
      <c r="J88" s="139">
        <v>0</v>
      </c>
      <c r="K88" s="140">
        <v>0</v>
      </c>
    </row>
    <row r="89" spans="1:11">
      <c r="A89" s="123">
        <v>45010</v>
      </c>
      <c r="B89" s="131" t="s">
        <v>30</v>
      </c>
      <c r="C89" s="130">
        <v>0</v>
      </c>
      <c r="D89" s="131">
        <v>0</v>
      </c>
      <c r="E89" s="126">
        <v>0</v>
      </c>
      <c r="F89" s="132">
        <v>0</v>
      </c>
      <c r="G89" s="126">
        <v>0</v>
      </c>
      <c r="H89" s="127" t="s">
        <v>4770</v>
      </c>
      <c r="I89" s="139">
        <v>0</v>
      </c>
      <c r="J89" s="139">
        <v>0</v>
      </c>
      <c r="K89" s="140">
        <v>0</v>
      </c>
    </row>
    <row r="90" spans="1:11">
      <c r="A90" s="123">
        <v>45010</v>
      </c>
      <c r="B90" s="131" t="s">
        <v>103</v>
      </c>
      <c r="C90" s="130" t="s">
        <v>4772</v>
      </c>
      <c r="D90" s="131">
        <v>0</v>
      </c>
      <c r="E90" s="126" t="s">
        <v>4772</v>
      </c>
      <c r="F90" s="132">
        <v>0</v>
      </c>
      <c r="G90" s="126">
        <v>0</v>
      </c>
      <c r="H90" s="127" t="s">
        <v>4770</v>
      </c>
      <c r="I90" s="139">
        <v>0</v>
      </c>
      <c r="J90" s="139">
        <v>0</v>
      </c>
      <c r="K90" s="140">
        <v>0</v>
      </c>
    </row>
    <row r="91" spans="1:11">
      <c r="A91" s="123">
        <v>45010</v>
      </c>
      <c r="B91" s="133" t="s">
        <v>39</v>
      </c>
      <c r="C91" s="134">
        <v>16607</v>
      </c>
      <c r="D91" s="134">
        <v>467</v>
      </c>
      <c r="E91" s="135">
        <v>0.0281206720057807</v>
      </c>
      <c r="F91" s="134">
        <v>157</v>
      </c>
      <c r="G91" s="135">
        <v>0.336188436830835</v>
      </c>
      <c r="H91" s="136" t="s">
        <v>4770</v>
      </c>
      <c r="I91" s="141">
        <v>460</v>
      </c>
      <c r="J91" s="141">
        <v>157</v>
      </c>
      <c r="K91" s="142">
        <v>0.341304347826087</v>
      </c>
    </row>
    <row r="92" spans="1:11">
      <c r="A92" s="123">
        <v>45011</v>
      </c>
      <c r="B92" s="124" t="s">
        <v>17</v>
      </c>
      <c r="C92" s="125">
        <v>176</v>
      </c>
      <c r="D92" s="124">
        <v>27</v>
      </c>
      <c r="E92" s="126">
        <v>0.153409090909091</v>
      </c>
      <c r="F92" s="125">
        <v>4</v>
      </c>
      <c r="G92" s="126">
        <v>0.148148148148148</v>
      </c>
      <c r="H92" s="127" t="s">
        <v>4770</v>
      </c>
      <c r="I92" s="139">
        <v>27</v>
      </c>
      <c r="J92" s="139">
        <v>4</v>
      </c>
      <c r="K92" s="140">
        <v>0.148148148148148</v>
      </c>
    </row>
    <row r="93" spans="1:11">
      <c r="A93" s="123">
        <v>45011</v>
      </c>
      <c r="B93" s="124" t="s">
        <v>19</v>
      </c>
      <c r="C93" s="125">
        <v>1756</v>
      </c>
      <c r="D93" s="124">
        <v>83</v>
      </c>
      <c r="E93" s="126">
        <v>0.0472665148063781</v>
      </c>
      <c r="F93" s="125">
        <v>39</v>
      </c>
      <c r="G93" s="126">
        <v>0.469879518072289</v>
      </c>
      <c r="H93" s="127" t="s">
        <v>4770</v>
      </c>
      <c r="I93" s="139">
        <v>83</v>
      </c>
      <c r="J93" s="139">
        <v>39</v>
      </c>
      <c r="K93" s="140">
        <v>0.469879518072289</v>
      </c>
    </row>
    <row r="94" spans="1:11">
      <c r="A94" s="123">
        <v>45011</v>
      </c>
      <c r="B94" s="124" t="s">
        <v>21</v>
      </c>
      <c r="C94" s="128">
        <v>1092</v>
      </c>
      <c r="D94" s="124">
        <v>32</v>
      </c>
      <c r="E94" s="126">
        <v>0.0293040293040293</v>
      </c>
      <c r="F94" s="125">
        <v>13</v>
      </c>
      <c r="G94" s="126">
        <v>0.40625</v>
      </c>
      <c r="H94" s="127" t="s">
        <v>4770</v>
      </c>
      <c r="I94" s="139">
        <v>32</v>
      </c>
      <c r="J94" s="139">
        <v>13</v>
      </c>
      <c r="K94" s="140">
        <v>0.40625</v>
      </c>
    </row>
    <row r="95" spans="1:11">
      <c r="A95" s="123">
        <v>45011</v>
      </c>
      <c r="B95" s="124" t="s">
        <v>22</v>
      </c>
      <c r="C95" s="128">
        <v>4810</v>
      </c>
      <c r="D95" s="124">
        <v>124</v>
      </c>
      <c r="E95" s="126">
        <v>0.0257796257796258</v>
      </c>
      <c r="F95" s="125">
        <v>35</v>
      </c>
      <c r="G95" s="126">
        <v>0.282258064516129</v>
      </c>
      <c r="H95" s="127" t="s">
        <v>4770</v>
      </c>
      <c r="I95" s="139">
        <v>122</v>
      </c>
      <c r="J95" s="139">
        <v>35</v>
      </c>
      <c r="K95" s="140">
        <v>0.286885245901639</v>
      </c>
    </row>
    <row r="96" spans="1:11">
      <c r="A96" s="123">
        <v>45011</v>
      </c>
      <c r="B96" s="124" t="s">
        <v>23</v>
      </c>
      <c r="C96" s="128">
        <v>3163</v>
      </c>
      <c r="D96" s="124">
        <v>43</v>
      </c>
      <c r="E96" s="126">
        <v>0.0135946885867847</v>
      </c>
      <c r="F96" s="125">
        <v>15</v>
      </c>
      <c r="G96" s="126">
        <v>0.348837209302326</v>
      </c>
      <c r="H96" s="127" t="s">
        <v>4770</v>
      </c>
      <c r="I96" s="139">
        <v>35</v>
      </c>
      <c r="J96" s="139">
        <v>15</v>
      </c>
      <c r="K96" s="140">
        <v>0.428571428571429</v>
      </c>
    </row>
    <row r="97" spans="1:11">
      <c r="A97" s="123">
        <v>45011</v>
      </c>
      <c r="B97" s="124" t="s">
        <v>24</v>
      </c>
      <c r="C97" s="128">
        <v>676</v>
      </c>
      <c r="D97" s="124">
        <v>9</v>
      </c>
      <c r="E97" s="126">
        <v>0.0133136094674556</v>
      </c>
      <c r="F97" s="125">
        <v>3</v>
      </c>
      <c r="G97" s="126">
        <v>0.333333333333333</v>
      </c>
      <c r="H97" s="127" t="s">
        <v>4770</v>
      </c>
      <c r="I97" s="139">
        <v>9</v>
      </c>
      <c r="J97" s="139">
        <v>3</v>
      </c>
      <c r="K97" s="140">
        <v>0.333333333333333</v>
      </c>
    </row>
    <row r="98" spans="1:11">
      <c r="A98" s="123">
        <v>45011</v>
      </c>
      <c r="B98" s="124" t="s">
        <v>25</v>
      </c>
      <c r="C98" s="128">
        <v>5137</v>
      </c>
      <c r="D98" s="124">
        <v>38</v>
      </c>
      <c r="E98" s="126">
        <v>0.00739731360716371</v>
      </c>
      <c r="F98" s="125">
        <v>28</v>
      </c>
      <c r="G98" s="126">
        <v>0.736842105263158</v>
      </c>
      <c r="H98" s="127" t="s">
        <v>4770</v>
      </c>
      <c r="I98" s="139">
        <v>38</v>
      </c>
      <c r="J98" s="139">
        <v>28</v>
      </c>
      <c r="K98" s="140">
        <v>0.736842105263158</v>
      </c>
    </row>
    <row r="99" spans="1:11">
      <c r="A99" s="123">
        <v>45011</v>
      </c>
      <c r="B99" s="129" t="s">
        <v>4771</v>
      </c>
      <c r="C99" s="130">
        <v>0</v>
      </c>
      <c r="D99" s="131">
        <v>0</v>
      </c>
      <c r="E99" s="126">
        <v>0</v>
      </c>
      <c r="F99" s="132">
        <v>0</v>
      </c>
      <c r="G99" s="126">
        <v>0</v>
      </c>
      <c r="H99" s="127" t="s">
        <v>4770</v>
      </c>
      <c r="I99" s="139">
        <v>0</v>
      </c>
      <c r="J99" s="139">
        <v>0</v>
      </c>
      <c r="K99" s="140">
        <v>0</v>
      </c>
    </row>
    <row r="100" spans="1:11">
      <c r="A100" s="123">
        <v>45011</v>
      </c>
      <c r="B100" s="131" t="s">
        <v>26</v>
      </c>
      <c r="C100" s="130">
        <v>339</v>
      </c>
      <c r="D100" s="131">
        <v>51</v>
      </c>
      <c r="E100" s="126">
        <v>0.150442477876106</v>
      </c>
      <c r="F100" s="132">
        <v>16</v>
      </c>
      <c r="G100" s="126">
        <v>0.313725490196078</v>
      </c>
      <c r="H100" s="127" t="s">
        <v>4770</v>
      </c>
      <c r="I100" s="139">
        <v>51</v>
      </c>
      <c r="J100" s="139">
        <v>16</v>
      </c>
      <c r="K100" s="140">
        <v>0.313725490196078</v>
      </c>
    </row>
    <row r="101" spans="1:11">
      <c r="A101" s="123">
        <v>45011</v>
      </c>
      <c r="B101" s="131" t="s">
        <v>27</v>
      </c>
      <c r="C101" s="130">
        <v>29</v>
      </c>
      <c r="D101" s="131">
        <v>1</v>
      </c>
      <c r="E101" s="126">
        <v>0.0344827586206897</v>
      </c>
      <c r="F101" s="132">
        <v>0</v>
      </c>
      <c r="G101" s="126">
        <v>0</v>
      </c>
      <c r="H101" s="127" t="s">
        <v>4770</v>
      </c>
      <c r="I101" s="139">
        <v>1</v>
      </c>
      <c r="J101" s="139">
        <v>0</v>
      </c>
      <c r="K101" s="140">
        <v>0</v>
      </c>
    </row>
    <row r="102" spans="1:11">
      <c r="A102" s="123">
        <v>45011</v>
      </c>
      <c r="B102" s="131" t="s">
        <v>28</v>
      </c>
      <c r="C102" s="130">
        <v>0</v>
      </c>
      <c r="D102" s="131">
        <v>0</v>
      </c>
      <c r="E102" s="126">
        <v>0</v>
      </c>
      <c r="F102" s="132">
        <v>0</v>
      </c>
      <c r="G102" s="126">
        <v>0</v>
      </c>
      <c r="H102" s="127" t="s">
        <v>4770</v>
      </c>
      <c r="I102" s="139">
        <v>0</v>
      </c>
      <c r="J102" s="139">
        <v>0</v>
      </c>
      <c r="K102" s="140">
        <v>0</v>
      </c>
    </row>
    <row r="103" spans="1:11">
      <c r="A103" s="123">
        <v>45011</v>
      </c>
      <c r="B103" s="131" t="s">
        <v>29</v>
      </c>
      <c r="C103" s="130">
        <v>1</v>
      </c>
      <c r="D103" s="131">
        <v>0</v>
      </c>
      <c r="E103" s="126">
        <v>0</v>
      </c>
      <c r="F103" s="132">
        <v>0</v>
      </c>
      <c r="G103" s="126">
        <v>0</v>
      </c>
      <c r="H103" s="127" t="s">
        <v>4770</v>
      </c>
      <c r="I103" s="139">
        <v>0</v>
      </c>
      <c r="J103" s="139">
        <v>0</v>
      </c>
      <c r="K103" s="140">
        <v>0</v>
      </c>
    </row>
    <row r="104" spans="1:11">
      <c r="A104" s="123">
        <v>45011</v>
      </c>
      <c r="B104" s="131" t="s">
        <v>30</v>
      </c>
      <c r="C104" s="130">
        <v>0</v>
      </c>
      <c r="D104" s="131">
        <v>0</v>
      </c>
      <c r="E104" s="126">
        <v>0</v>
      </c>
      <c r="F104" s="132">
        <v>0</v>
      </c>
      <c r="G104" s="126">
        <v>0</v>
      </c>
      <c r="H104" s="127" t="s">
        <v>4770</v>
      </c>
      <c r="I104" s="139">
        <v>0</v>
      </c>
      <c r="J104" s="139">
        <v>0</v>
      </c>
      <c r="K104" s="140">
        <v>0</v>
      </c>
    </row>
    <row r="105" spans="1:11">
      <c r="A105" s="123">
        <v>45011</v>
      </c>
      <c r="B105" s="131" t="s">
        <v>103</v>
      </c>
      <c r="C105" s="130" t="s">
        <v>4772</v>
      </c>
      <c r="D105" s="131">
        <v>0</v>
      </c>
      <c r="E105" s="126" t="s">
        <v>4772</v>
      </c>
      <c r="F105" s="132">
        <v>0</v>
      </c>
      <c r="G105" s="126">
        <v>0</v>
      </c>
      <c r="H105" s="127" t="s">
        <v>4770</v>
      </c>
      <c r="I105" s="139">
        <v>0</v>
      </c>
      <c r="J105" s="139">
        <v>0</v>
      </c>
      <c r="K105" s="140">
        <v>0</v>
      </c>
    </row>
    <row r="106" spans="1:11">
      <c r="A106" s="123">
        <v>45011</v>
      </c>
      <c r="B106" s="133" t="s">
        <v>39</v>
      </c>
      <c r="C106" s="134">
        <v>17179</v>
      </c>
      <c r="D106" s="134">
        <v>408</v>
      </c>
      <c r="E106" s="135">
        <v>0.0237499272367425</v>
      </c>
      <c r="F106" s="134">
        <v>153</v>
      </c>
      <c r="G106" s="135">
        <v>0.375</v>
      </c>
      <c r="H106" s="136" t="s">
        <v>4770</v>
      </c>
      <c r="I106" s="141">
        <v>398</v>
      </c>
      <c r="J106" s="141">
        <v>153</v>
      </c>
      <c r="K106" s="142">
        <v>0.384422110552764</v>
      </c>
    </row>
    <row r="107" spans="1:11">
      <c r="A107" s="123">
        <v>45012</v>
      </c>
      <c r="B107" s="124" t="s">
        <v>17</v>
      </c>
      <c r="C107" s="125">
        <v>178</v>
      </c>
      <c r="D107" s="124">
        <v>25</v>
      </c>
      <c r="E107" s="126">
        <v>0.140449438202247</v>
      </c>
      <c r="F107" s="125">
        <v>4</v>
      </c>
      <c r="G107" s="126">
        <v>0.16</v>
      </c>
      <c r="H107" s="127" t="s">
        <v>4770</v>
      </c>
      <c r="I107" s="139">
        <v>25</v>
      </c>
      <c r="J107" s="139">
        <v>4</v>
      </c>
      <c r="K107" s="140">
        <v>0.16</v>
      </c>
    </row>
    <row r="108" spans="1:11">
      <c r="A108" s="123">
        <v>45012</v>
      </c>
      <c r="B108" s="124" t="s">
        <v>19</v>
      </c>
      <c r="C108" s="125">
        <v>1876</v>
      </c>
      <c r="D108" s="124">
        <v>102</v>
      </c>
      <c r="E108" s="126">
        <v>0.0543710021321962</v>
      </c>
      <c r="F108" s="125">
        <v>40</v>
      </c>
      <c r="G108" s="126">
        <v>0.392156862745098</v>
      </c>
      <c r="H108" s="127" t="s">
        <v>4770</v>
      </c>
      <c r="I108" s="139">
        <v>99</v>
      </c>
      <c r="J108" s="139">
        <v>38</v>
      </c>
      <c r="K108" s="140">
        <v>0.383838383838384</v>
      </c>
    </row>
    <row r="109" spans="1:11">
      <c r="A109" s="123">
        <v>45012</v>
      </c>
      <c r="B109" s="124" t="s">
        <v>21</v>
      </c>
      <c r="C109" s="128">
        <v>1046</v>
      </c>
      <c r="D109" s="124">
        <v>46</v>
      </c>
      <c r="E109" s="126">
        <v>0.0439770554493308</v>
      </c>
      <c r="F109" s="125">
        <v>16</v>
      </c>
      <c r="G109" s="126">
        <v>0.347826086956522</v>
      </c>
      <c r="H109" s="127" t="s">
        <v>4770</v>
      </c>
      <c r="I109" s="139">
        <v>46</v>
      </c>
      <c r="J109" s="139">
        <v>16</v>
      </c>
      <c r="K109" s="140">
        <v>0.347826086956522</v>
      </c>
    </row>
    <row r="110" spans="1:11">
      <c r="A110" s="123">
        <v>45012</v>
      </c>
      <c r="B110" s="124" t="s">
        <v>22</v>
      </c>
      <c r="C110" s="128">
        <v>4680</v>
      </c>
      <c r="D110" s="124">
        <v>112</v>
      </c>
      <c r="E110" s="126">
        <v>0.0239316239316239</v>
      </c>
      <c r="F110" s="125">
        <v>40</v>
      </c>
      <c r="G110" s="126">
        <v>0.357142857142857</v>
      </c>
      <c r="H110" s="127" t="s">
        <v>4770</v>
      </c>
      <c r="I110" s="139">
        <v>111</v>
      </c>
      <c r="J110" s="139">
        <v>40</v>
      </c>
      <c r="K110" s="140">
        <v>0.36036036036036</v>
      </c>
    </row>
    <row r="111" spans="1:11">
      <c r="A111" s="123">
        <v>45012</v>
      </c>
      <c r="B111" s="124" t="s">
        <v>23</v>
      </c>
      <c r="C111" s="128">
        <v>3068</v>
      </c>
      <c r="D111" s="124">
        <v>37</v>
      </c>
      <c r="E111" s="126">
        <v>0.0120599739243807</v>
      </c>
      <c r="F111" s="125">
        <v>9</v>
      </c>
      <c r="G111" s="126">
        <v>0.243243243243243</v>
      </c>
      <c r="H111" s="127" t="s">
        <v>4770</v>
      </c>
      <c r="I111" s="139">
        <v>31</v>
      </c>
      <c r="J111" s="139">
        <v>9</v>
      </c>
      <c r="K111" s="140">
        <v>0.290322580645161</v>
      </c>
    </row>
    <row r="112" spans="1:11">
      <c r="A112" s="123">
        <v>45012</v>
      </c>
      <c r="B112" s="124" t="s">
        <v>24</v>
      </c>
      <c r="C112" s="128">
        <v>597</v>
      </c>
      <c r="D112" s="124">
        <v>15</v>
      </c>
      <c r="E112" s="126">
        <v>0.0251256281407035</v>
      </c>
      <c r="F112" s="125">
        <v>5</v>
      </c>
      <c r="G112" s="126">
        <v>0.333333333333333</v>
      </c>
      <c r="H112" s="127" t="s">
        <v>4770</v>
      </c>
      <c r="I112" s="139">
        <v>15</v>
      </c>
      <c r="J112" s="139">
        <v>5</v>
      </c>
      <c r="K112" s="140">
        <v>0.333333333333333</v>
      </c>
    </row>
    <row r="113" spans="1:11">
      <c r="A113" s="123">
        <v>45012</v>
      </c>
      <c r="B113" s="124" t="s">
        <v>25</v>
      </c>
      <c r="C113" s="128">
        <v>5472</v>
      </c>
      <c r="D113" s="124">
        <v>50</v>
      </c>
      <c r="E113" s="126">
        <v>0.00913742690058479</v>
      </c>
      <c r="F113" s="125">
        <v>18</v>
      </c>
      <c r="G113" s="126">
        <v>0.36</v>
      </c>
      <c r="H113" s="127" t="s">
        <v>4770</v>
      </c>
      <c r="I113" s="139">
        <v>50</v>
      </c>
      <c r="J113" s="139">
        <v>18</v>
      </c>
      <c r="K113" s="140">
        <v>0.36</v>
      </c>
    </row>
    <row r="114" spans="1:11">
      <c r="A114" s="123">
        <v>45012</v>
      </c>
      <c r="B114" s="129" t="s">
        <v>4771</v>
      </c>
      <c r="C114" s="130">
        <v>0</v>
      </c>
      <c r="D114" s="131">
        <v>0</v>
      </c>
      <c r="E114" s="126">
        <v>0</v>
      </c>
      <c r="F114" s="132">
        <v>0</v>
      </c>
      <c r="G114" s="126">
        <v>0</v>
      </c>
      <c r="H114" s="127" t="s">
        <v>4770</v>
      </c>
      <c r="I114" s="139">
        <v>0</v>
      </c>
      <c r="J114" s="139">
        <v>0</v>
      </c>
      <c r="K114" s="140">
        <v>0</v>
      </c>
    </row>
    <row r="115" spans="1:11">
      <c r="A115" s="123">
        <v>45012</v>
      </c>
      <c r="B115" s="131" t="s">
        <v>26</v>
      </c>
      <c r="C115" s="130">
        <v>342</v>
      </c>
      <c r="D115" s="131">
        <v>53</v>
      </c>
      <c r="E115" s="126">
        <v>0.154970760233918</v>
      </c>
      <c r="F115" s="132">
        <v>15</v>
      </c>
      <c r="G115" s="126">
        <v>0.283018867924528</v>
      </c>
      <c r="H115" s="127" t="s">
        <v>4770</v>
      </c>
      <c r="I115" s="139">
        <v>53</v>
      </c>
      <c r="J115" s="139">
        <v>15</v>
      </c>
      <c r="K115" s="140">
        <v>0.283018867924528</v>
      </c>
    </row>
    <row r="116" spans="1:11">
      <c r="A116" s="123">
        <v>45012</v>
      </c>
      <c r="B116" s="131" t="s">
        <v>27</v>
      </c>
      <c r="C116" s="130">
        <v>28</v>
      </c>
      <c r="D116" s="131">
        <v>1</v>
      </c>
      <c r="E116" s="126">
        <v>0.0357142857142857</v>
      </c>
      <c r="F116" s="132">
        <v>0</v>
      </c>
      <c r="G116" s="126">
        <v>0</v>
      </c>
      <c r="H116" s="127" t="s">
        <v>4770</v>
      </c>
      <c r="I116" s="139">
        <v>1</v>
      </c>
      <c r="J116" s="139">
        <v>0</v>
      </c>
      <c r="K116" s="140">
        <v>0</v>
      </c>
    </row>
    <row r="117" spans="1:11">
      <c r="A117" s="123">
        <v>45012</v>
      </c>
      <c r="B117" s="131" t="s">
        <v>28</v>
      </c>
      <c r="C117" s="130">
        <v>0</v>
      </c>
      <c r="D117" s="131">
        <v>0</v>
      </c>
      <c r="E117" s="126">
        <v>0</v>
      </c>
      <c r="F117" s="132">
        <v>0</v>
      </c>
      <c r="G117" s="126">
        <v>0</v>
      </c>
      <c r="H117" s="127" t="s">
        <v>4770</v>
      </c>
      <c r="I117" s="139">
        <v>0</v>
      </c>
      <c r="J117" s="139">
        <v>0</v>
      </c>
      <c r="K117" s="140">
        <v>0</v>
      </c>
    </row>
    <row r="118" spans="1:11">
      <c r="A118" s="123">
        <v>45012</v>
      </c>
      <c r="B118" s="131" t="s">
        <v>29</v>
      </c>
      <c r="C118" s="130">
        <v>0</v>
      </c>
      <c r="D118" s="131">
        <v>0</v>
      </c>
      <c r="E118" s="126">
        <v>0</v>
      </c>
      <c r="F118" s="132">
        <v>0</v>
      </c>
      <c r="G118" s="126">
        <v>0</v>
      </c>
      <c r="H118" s="127" t="s">
        <v>4770</v>
      </c>
      <c r="I118" s="139">
        <v>0</v>
      </c>
      <c r="J118" s="139">
        <v>0</v>
      </c>
      <c r="K118" s="140">
        <v>0</v>
      </c>
    </row>
    <row r="119" spans="1:11">
      <c r="A119" s="123">
        <v>45012</v>
      </c>
      <c r="B119" s="131" t="s">
        <v>30</v>
      </c>
      <c r="C119" s="130">
        <v>0</v>
      </c>
      <c r="D119" s="131">
        <v>0</v>
      </c>
      <c r="E119" s="126">
        <v>0</v>
      </c>
      <c r="F119" s="132">
        <v>0</v>
      </c>
      <c r="G119" s="126">
        <v>0</v>
      </c>
      <c r="H119" s="127" t="s">
        <v>4770</v>
      </c>
      <c r="I119" s="139">
        <v>0</v>
      </c>
      <c r="J119" s="139">
        <v>0</v>
      </c>
      <c r="K119" s="140">
        <v>0</v>
      </c>
    </row>
    <row r="120" spans="1:11">
      <c r="A120" s="123">
        <v>45012</v>
      </c>
      <c r="B120" s="131" t="s">
        <v>103</v>
      </c>
      <c r="C120" s="130" t="s">
        <v>4772</v>
      </c>
      <c r="D120" s="131">
        <v>0</v>
      </c>
      <c r="E120" s="126" t="s">
        <v>4772</v>
      </c>
      <c r="F120" s="132">
        <v>0</v>
      </c>
      <c r="G120" s="126">
        <v>0</v>
      </c>
      <c r="H120" s="127" t="s">
        <v>4770</v>
      </c>
      <c r="I120" s="139">
        <v>0</v>
      </c>
      <c r="J120" s="139">
        <v>0</v>
      </c>
      <c r="K120" s="140">
        <v>0</v>
      </c>
    </row>
    <row r="121" spans="1:11">
      <c r="A121" s="123">
        <v>45012</v>
      </c>
      <c r="B121" s="133" t="s">
        <v>39</v>
      </c>
      <c r="C121" s="134">
        <v>17287</v>
      </c>
      <c r="D121" s="134">
        <v>441</v>
      </c>
      <c r="E121" s="135">
        <v>0.0255104992190664</v>
      </c>
      <c r="F121" s="134">
        <v>147</v>
      </c>
      <c r="G121" s="135">
        <v>0.333333333333333</v>
      </c>
      <c r="H121" s="136" t="s">
        <v>4770</v>
      </c>
      <c r="I121" s="141">
        <v>431</v>
      </c>
      <c r="J121" s="141">
        <v>145</v>
      </c>
      <c r="K121" s="142">
        <v>0.336426914153132</v>
      </c>
    </row>
    <row r="122" spans="1:11">
      <c r="A122" s="123">
        <v>45013</v>
      </c>
      <c r="B122" s="124" t="s">
        <v>17</v>
      </c>
      <c r="C122" s="125">
        <v>111</v>
      </c>
      <c r="D122" s="124">
        <v>30</v>
      </c>
      <c r="E122" s="126">
        <v>0.27027027027027</v>
      </c>
      <c r="F122" s="125">
        <v>4</v>
      </c>
      <c r="G122" s="126">
        <v>0.133333333333333</v>
      </c>
      <c r="H122" s="127" t="s">
        <v>4770</v>
      </c>
      <c r="I122" s="139">
        <v>30</v>
      </c>
      <c r="J122" s="139">
        <v>4</v>
      </c>
      <c r="K122" s="140">
        <v>0.133333333333333</v>
      </c>
    </row>
    <row r="123" spans="1:11">
      <c r="A123" s="123">
        <v>45013</v>
      </c>
      <c r="B123" s="124" t="s">
        <v>19</v>
      </c>
      <c r="C123" s="125">
        <v>1793</v>
      </c>
      <c r="D123" s="124">
        <v>99</v>
      </c>
      <c r="E123" s="126">
        <v>0.0552147239263804</v>
      </c>
      <c r="F123" s="125">
        <v>40</v>
      </c>
      <c r="G123" s="126">
        <v>0.404040404040404</v>
      </c>
      <c r="H123" s="127" t="s">
        <v>4770</v>
      </c>
      <c r="I123" s="139">
        <v>99</v>
      </c>
      <c r="J123" s="139">
        <v>38</v>
      </c>
      <c r="K123" s="140">
        <v>0.383838383838384</v>
      </c>
    </row>
    <row r="124" spans="1:11">
      <c r="A124" s="123">
        <v>45013</v>
      </c>
      <c r="B124" s="124" t="s">
        <v>21</v>
      </c>
      <c r="C124" s="128">
        <v>979</v>
      </c>
      <c r="D124" s="124">
        <v>36</v>
      </c>
      <c r="E124" s="126">
        <v>0.0367722165474974</v>
      </c>
      <c r="F124" s="125">
        <v>14</v>
      </c>
      <c r="G124" s="126">
        <v>0.388888888888889</v>
      </c>
      <c r="H124" s="127" t="s">
        <v>4770</v>
      </c>
      <c r="I124" s="139">
        <v>36</v>
      </c>
      <c r="J124" s="139">
        <v>14</v>
      </c>
      <c r="K124" s="140">
        <v>0.388888888888889</v>
      </c>
    </row>
    <row r="125" spans="1:11">
      <c r="A125" s="123">
        <v>45013</v>
      </c>
      <c r="B125" s="124" t="s">
        <v>22</v>
      </c>
      <c r="C125" s="128">
        <v>4232</v>
      </c>
      <c r="D125" s="124">
        <v>133</v>
      </c>
      <c r="E125" s="126">
        <v>0.0314272211720227</v>
      </c>
      <c r="F125" s="125">
        <v>49</v>
      </c>
      <c r="G125" s="126">
        <v>0.368421052631579</v>
      </c>
      <c r="H125" s="127" t="s">
        <v>4770</v>
      </c>
      <c r="I125" s="139">
        <v>132</v>
      </c>
      <c r="J125" s="139">
        <v>49</v>
      </c>
      <c r="K125" s="140">
        <v>0.371212121212121</v>
      </c>
    </row>
    <row r="126" spans="1:11">
      <c r="A126" s="123">
        <v>45013</v>
      </c>
      <c r="B126" s="124" t="s">
        <v>23</v>
      </c>
      <c r="C126" s="128">
        <v>2941</v>
      </c>
      <c r="D126" s="124">
        <v>49</v>
      </c>
      <c r="E126" s="126">
        <v>0.0166609996599796</v>
      </c>
      <c r="F126" s="125">
        <v>8</v>
      </c>
      <c r="G126" s="126">
        <v>0.163265306122449</v>
      </c>
      <c r="H126" s="127" t="s">
        <v>4770</v>
      </c>
      <c r="I126" s="139">
        <v>43</v>
      </c>
      <c r="J126" s="139">
        <v>8</v>
      </c>
      <c r="K126" s="140">
        <v>0.186046511627907</v>
      </c>
    </row>
    <row r="127" spans="1:11">
      <c r="A127" s="123">
        <v>45013</v>
      </c>
      <c r="B127" s="124" t="s">
        <v>24</v>
      </c>
      <c r="C127" s="128">
        <v>517</v>
      </c>
      <c r="D127" s="124">
        <v>10</v>
      </c>
      <c r="E127" s="126">
        <v>0.0193423597678917</v>
      </c>
      <c r="F127" s="125">
        <v>6</v>
      </c>
      <c r="G127" s="126">
        <v>0.6</v>
      </c>
      <c r="H127" s="127" t="s">
        <v>4770</v>
      </c>
      <c r="I127" s="139">
        <v>10</v>
      </c>
      <c r="J127" s="139">
        <v>6</v>
      </c>
      <c r="K127" s="140">
        <v>0.6</v>
      </c>
    </row>
    <row r="128" spans="1:11">
      <c r="A128" s="123">
        <v>45013</v>
      </c>
      <c r="B128" s="124" t="s">
        <v>25</v>
      </c>
      <c r="C128" s="128">
        <v>6559</v>
      </c>
      <c r="D128" s="124">
        <v>43</v>
      </c>
      <c r="E128" s="126">
        <v>0.00655587742033847</v>
      </c>
      <c r="F128" s="125">
        <v>30</v>
      </c>
      <c r="G128" s="126">
        <v>0.697674418604651</v>
      </c>
      <c r="H128" s="127" t="s">
        <v>4770</v>
      </c>
      <c r="I128" s="139">
        <v>43</v>
      </c>
      <c r="J128" s="139">
        <v>30</v>
      </c>
      <c r="K128" s="140">
        <v>0.697674418604651</v>
      </c>
    </row>
    <row r="129" spans="1:11">
      <c r="A129" s="123">
        <v>45013</v>
      </c>
      <c r="B129" s="129" t="s">
        <v>4771</v>
      </c>
      <c r="C129" s="130">
        <v>0</v>
      </c>
      <c r="D129" s="131">
        <v>0</v>
      </c>
      <c r="E129" s="126">
        <v>0</v>
      </c>
      <c r="F129" s="132">
        <v>0</v>
      </c>
      <c r="G129" s="126">
        <v>0</v>
      </c>
      <c r="H129" s="127" t="s">
        <v>4770</v>
      </c>
      <c r="I129" s="139">
        <v>0</v>
      </c>
      <c r="J129" s="139">
        <v>0</v>
      </c>
      <c r="K129" s="140">
        <v>0</v>
      </c>
    </row>
    <row r="130" spans="1:11">
      <c r="A130" s="123">
        <v>45013</v>
      </c>
      <c r="B130" s="131" t="s">
        <v>26</v>
      </c>
      <c r="C130" s="130">
        <v>399</v>
      </c>
      <c r="D130" s="131">
        <v>61</v>
      </c>
      <c r="E130" s="126">
        <v>0.152882205513784</v>
      </c>
      <c r="F130" s="132">
        <v>24</v>
      </c>
      <c r="G130" s="126">
        <v>0.39344262295082</v>
      </c>
      <c r="H130" s="127" t="s">
        <v>4770</v>
      </c>
      <c r="I130" s="139">
        <v>61</v>
      </c>
      <c r="J130" s="139">
        <v>24</v>
      </c>
      <c r="K130" s="140">
        <v>0.39344262295082</v>
      </c>
    </row>
    <row r="131" spans="1:11">
      <c r="A131" s="123">
        <v>45013</v>
      </c>
      <c r="B131" s="131" t="s">
        <v>27</v>
      </c>
      <c r="C131" s="130">
        <v>28</v>
      </c>
      <c r="D131" s="131">
        <v>0</v>
      </c>
      <c r="E131" s="126">
        <v>0</v>
      </c>
      <c r="F131" s="132">
        <v>0</v>
      </c>
      <c r="G131" s="126">
        <v>0</v>
      </c>
      <c r="H131" s="127" t="s">
        <v>4770</v>
      </c>
      <c r="I131" s="139">
        <v>0</v>
      </c>
      <c r="J131" s="139">
        <v>0</v>
      </c>
      <c r="K131" s="140">
        <v>0</v>
      </c>
    </row>
    <row r="132" spans="1:11">
      <c r="A132" s="123">
        <v>45013</v>
      </c>
      <c r="B132" s="131" t="s">
        <v>28</v>
      </c>
      <c r="C132" s="130">
        <v>0</v>
      </c>
      <c r="D132" s="131">
        <v>0</v>
      </c>
      <c r="E132" s="126">
        <v>0</v>
      </c>
      <c r="F132" s="132">
        <v>0</v>
      </c>
      <c r="G132" s="126">
        <v>0</v>
      </c>
      <c r="H132" s="127" t="s">
        <v>4770</v>
      </c>
      <c r="I132" s="139">
        <v>0</v>
      </c>
      <c r="J132" s="139">
        <v>0</v>
      </c>
      <c r="K132" s="140">
        <v>0</v>
      </c>
    </row>
    <row r="133" spans="1:11">
      <c r="A133" s="123">
        <v>45013</v>
      </c>
      <c r="B133" s="131" t="s">
        <v>29</v>
      </c>
      <c r="C133" s="130">
        <v>1</v>
      </c>
      <c r="D133" s="131">
        <v>0</v>
      </c>
      <c r="E133" s="126">
        <v>0</v>
      </c>
      <c r="F133" s="132">
        <v>0</v>
      </c>
      <c r="G133" s="126">
        <v>0</v>
      </c>
      <c r="H133" s="127" t="s">
        <v>4770</v>
      </c>
      <c r="I133" s="139">
        <v>0</v>
      </c>
      <c r="J133" s="139">
        <v>0</v>
      </c>
      <c r="K133" s="140">
        <v>0</v>
      </c>
    </row>
    <row r="134" spans="1:11">
      <c r="A134" s="123">
        <v>45013</v>
      </c>
      <c r="B134" s="131" t="s">
        <v>30</v>
      </c>
      <c r="C134" s="130">
        <v>0</v>
      </c>
      <c r="D134" s="131">
        <v>0</v>
      </c>
      <c r="E134" s="126">
        <v>0</v>
      </c>
      <c r="F134" s="132">
        <v>0</v>
      </c>
      <c r="G134" s="126">
        <v>0</v>
      </c>
      <c r="H134" s="127" t="s">
        <v>4770</v>
      </c>
      <c r="I134" s="139">
        <v>0</v>
      </c>
      <c r="J134" s="139">
        <v>0</v>
      </c>
      <c r="K134" s="140">
        <v>0</v>
      </c>
    </row>
    <row r="135" spans="1:11">
      <c r="A135" s="123">
        <v>45013</v>
      </c>
      <c r="B135" s="131" t="s">
        <v>103</v>
      </c>
      <c r="C135" s="130" t="s">
        <v>4772</v>
      </c>
      <c r="D135" s="131">
        <v>0</v>
      </c>
      <c r="E135" s="126" t="s">
        <v>4772</v>
      </c>
      <c r="F135" s="132">
        <v>0</v>
      </c>
      <c r="G135" s="126">
        <v>0</v>
      </c>
      <c r="H135" s="127" t="s">
        <v>4770</v>
      </c>
      <c r="I135" s="139">
        <v>0</v>
      </c>
      <c r="J135" s="139">
        <v>0</v>
      </c>
      <c r="K135" s="140">
        <v>0</v>
      </c>
    </row>
    <row r="136" spans="1:11">
      <c r="A136" s="123">
        <v>45013</v>
      </c>
      <c r="B136" s="133" t="s">
        <v>39</v>
      </c>
      <c r="C136" s="134">
        <v>17560</v>
      </c>
      <c r="D136" s="134">
        <v>461</v>
      </c>
      <c r="E136" s="135">
        <v>0.02625284738041</v>
      </c>
      <c r="F136" s="134">
        <v>175</v>
      </c>
      <c r="G136" s="135">
        <v>0.379609544468547</v>
      </c>
      <c r="H136" s="136" t="s">
        <v>4770</v>
      </c>
      <c r="I136" s="141">
        <v>454</v>
      </c>
      <c r="J136" s="141">
        <v>173</v>
      </c>
      <c r="K136" s="142">
        <v>0.381057268722467</v>
      </c>
    </row>
    <row r="137" spans="1:11">
      <c r="A137" s="123">
        <v>45014</v>
      </c>
      <c r="B137" s="124" t="s">
        <v>17</v>
      </c>
      <c r="C137" s="125">
        <v>49</v>
      </c>
      <c r="D137" s="124">
        <v>20</v>
      </c>
      <c r="E137" s="126">
        <v>0.408163265306122</v>
      </c>
      <c r="F137" s="125">
        <v>4</v>
      </c>
      <c r="G137" s="126">
        <v>0.2</v>
      </c>
      <c r="H137" s="127" t="s">
        <v>4770</v>
      </c>
      <c r="I137" s="139">
        <v>20</v>
      </c>
      <c r="J137" s="139">
        <v>3</v>
      </c>
      <c r="K137" s="140">
        <v>0.15</v>
      </c>
    </row>
    <row r="138" spans="1:11">
      <c r="A138" s="123">
        <v>45014</v>
      </c>
      <c r="B138" s="124" t="s">
        <v>19</v>
      </c>
      <c r="C138" s="125">
        <v>1690</v>
      </c>
      <c r="D138" s="124">
        <v>85</v>
      </c>
      <c r="E138" s="126">
        <v>0.0502958579881657</v>
      </c>
      <c r="F138" s="125">
        <v>40</v>
      </c>
      <c r="G138" s="126">
        <v>0.470588235294118</v>
      </c>
      <c r="H138" s="127" t="s">
        <v>4770</v>
      </c>
      <c r="I138" s="139">
        <v>85</v>
      </c>
      <c r="J138" s="139">
        <v>40</v>
      </c>
      <c r="K138" s="140">
        <v>0.470588235294118</v>
      </c>
    </row>
    <row r="139" spans="1:11">
      <c r="A139" s="123">
        <v>45014</v>
      </c>
      <c r="B139" s="124" t="s">
        <v>21</v>
      </c>
      <c r="C139" s="128">
        <v>1018</v>
      </c>
      <c r="D139" s="124">
        <v>27</v>
      </c>
      <c r="E139" s="126">
        <v>0.0265225933202358</v>
      </c>
      <c r="F139" s="125">
        <v>7</v>
      </c>
      <c r="G139" s="126">
        <v>0.259259259259259</v>
      </c>
      <c r="H139" s="127" t="s">
        <v>4770</v>
      </c>
      <c r="I139" s="139">
        <v>26</v>
      </c>
      <c r="J139" s="139">
        <v>7</v>
      </c>
      <c r="K139" s="140">
        <v>0.269230769230769</v>
      </c>
    </row>
    <row r="140" spans="1:11">
      <c r="A140" s="123">
        <v>45014</v>
      </c>
      <c r="B140" s="124" t="s">
        <v>22</v>
      </c>
      <c r="C140" s="128">
        <v>4418</v>
      </c>
      <c r="D140" s="124">
        <v>125</v>
      </c>
      <c r="E140" s="126">
        <v>0.0282933454051607</v>
      </c>
      <c r="F140" s="125">
        <v>38</v>
      </c>
      <c r="G140" s="126">
        <v>0.304</v>
      </c>
      <c r="H140" s="127" t="s">
        <v>4770</v>
      </c>
      <c r="I140" s="139">
        <v>123</v>
      </c>
      <c r="J140" s="139">
        <v>37</v>
      </c>
      <c r="K140" s="140">
        <v>0.300813008130081</v>
      </c>
    </row>
    <row r="141" spans="1:11">
      <c r="A141" s="123">
        <v>45014</v>
      </c>
      <c r="B141" s="124" t="s">
        <v>23</v>
      </c>
      <c r="C141" s="128">
        <v>2885</v>
      </c>
      <c r="D141" s="124">
        <v>40</v>
      </c>
      <c r="E141" s="126">
        <v>0.0138648180242634</v>
      </c>
      <c r="F141" s="125">
        <v>12</v>
      </c>
      <c r="G141" s="126">
        <v>0.3</v>
      </c>
      <c r="H141" s="127" t="s">
        <v>4770</v>
      </c>
      <c r="I141" s="139">
        <v>32</v>
      </c>
      <c r="J141" s="139">
        <v>12</v>
      </c>
      <c r="K141" s="140">
        <v>0.375</v>
      </c>
    </row>
    <row r="142" spans="1:11">
      <c r="A142" s="123">
        <v>45014</v>
      </c>
      <c r="B142" s="124" t="s">
        <v>24</v>
      </c>
      <c r="C142" s="128">
        <v>540</v>
      </c>
      <c r="D142" s="124">
        <v>8</v>
      </c>
      <c r="E142" s="126">
        <v>0.0148148148148148</v>
      </c>
      <c r="F142" s="125">
        <v>4</v>
      </c>
      <c r="G142" s="126">
        <v>0.5</v>
      </c>
      <c r="H142" s="127" t="s">
        <v>4770</v>
      </c>
      <c r="I142" s="139">
        <v>8</v>
      </c>
      <c r="J142" s="139">
        <v>4</v>
      </c>
      <c r="K142" s="140">
        <v>0.5</v>
      </c>
    </row>
    <row r="143" spans="1:11">
      <c r="A143" s="123">
        <v>45014</v>
      </c>
      <c r="B143" s="124" t="s">
        <v>25</v>
      </c>
      <c r="C143" s="128">
        <v>6089</v>
      </c>
      <c r="D143" s="124">
        <v>40</v>
      </c>
      <c r="E143" s="126">
        <v>0.00656922318935786</v>
      </c>
      <c r="F143" s="125">
        <v>27</v>
      </c>
      <c r="G143" s="126">
        <v>0.675</v>
      </c>
      <c r="H143" s="127" t="s">
        <v>4770</v>
      </c>
      <c r="I143" s="139">
        <v>40</v>
      </c>
      <c r="J143" s="139">
        <v>27</v>
      </c>
      <c r="K143" s="140">
        <v>0.675</v>
      </c>
    </row>
    <row r="144" spans="1:11">
      <c r="A144" s="123">
        <v>45014</v>
      </c>
      <c r="B144" s="129" t="s">
        <v>4771</v>
      </c>
      <c r="C144" s="130">
        <v>0</v>
      </c>
      <c r="D144" s="131">
        <v>0</v>
      </c>
      <c r="E144" s="126">
        <v>0</v>
      </c>
      <c r="F144" s="132">
        <v>0</v>
      </c>
      <c r="G144" s="126">
        <v>0</v>
      </c>
      <c r="H144" s="127" t="s">
        <v>4770</v>
      </c>
      <c r="I144" s="139">
        <v>0</v>
      </c>
      <c r="J144" s="139">
        <v>0</v>
      </c>
      <c r="K144" s="140">
        <v>0</v>
      </c>
    </row>
    <row r="145" spans="1:11">
      <c r="A145" s="123">
        <v>45014</v>
      </c>
      <c r="B145" s="131" t="s">
        <v>26</v>
      </c>
      <c r="C145" s="130">
        <v>461</v>
      </c>
      <c r="D145" s="131">
        <v>54</v>
      </c>
      <c r="E145" s="126">
        <v>0.117136659436009</v>
      </c>
      <c r="F145" s="132">
        <v>18</v>
      </c>
      <c r="G145" s="126">
        <v>0.333333333333333</v>
      </c>
      <c r="H145" s="127" t="s">
        <v>4770</v>
      </c>
      <c r="I145" s="139">
        <v>54</v>
      </c>
      <c r="J145" s="139">
        <v>18</v>
      </c>
      <c r="K145" s="140">
        <v>0.333333333333333</v>
      </c>
    </row>
    <row r="146" spans="1:11">
      <c r="A146" s="123">
        <v>45014</v>
      </c>
      <c r="B146" s="131" t="s">
        <v>27</v>
      </c>
      <c r="C146" s="130">
        <v>41</v>
      </c>
      <c r="D146" s="131">
        <v>0</v>
      </c>
      <c r="E146" s="126">
        <v>0</v>
      </c>
      <c r="F146" s="132">
        <v>0</v>
      </c>
      <c r="G146" s="126">
        <v>0</v>
      </c>
      <c r="H146" s="127" t="s">
        <v>4770</v>
      </c>
      <c r="I146" s="139">
        <v>0</v>
      </c>
      <c r="J146" s="139">
        <v>0</v>
      </c>
      <c r="K146" s="140">
        <v>0</v>
      </c>
    </row>
    <row r="147" spans="1:11">
      <c r="A147" s="123">
        <v>45014</v>
      </c>
      <c r="B147" s="131" t="s">
        <v>28</v>
      </c>
      <c r="C147" s="130">
        <v>0</v>
      </c>
      <c r="D147" s="131">
        <v>0</v>
      </c>
      <c r="E147" s="126">
        <v>0</v>
      </c>
      <c r="F147" s="132">
        <v>0</v>
      </c>
      <c r="G147" s="126">
        <v>0</v>
      </c>
      <c r="H147" s="127" t="s">
        <v>4770</v>
      </c>
      <c r="I147" s="139">
        <v>1</v>
      </c>
      <c r="J147" s="139">
        <v>0</v>
      </c>
      <c r="K147" s="140">
        <v>0</v>
      </c>
    </row>
    <row r="148" spans="1:11">
      <c r="A148" s="123">
        <v>45014</v>
      </c>
      <c r="B148" s="131" t="s">
        <v>29</v>
      </c>
      <c r="C148" s="130">
        <v>3</v>
      </c>
      <c r="D148" s="131">
        <v>0</v>
      </c>
      <c r="E148" s="126">
        <v>0</v>
      </c>
      <c r="F148" s="132">
        <v>0</v>
      </c>
      <c r="G148" s="126">
        <v>0</v>
      </c>
      <c r="H148" s="127" t="s">
        <v>4770</v>
      </c>
      <c r="I148" s="139">
        <v>0</v>
      </c>
      <c r="J148" s="139">
        <v>0</v>
      </c>
      <c r="K148" s="140">
        <v>0</v>
      </c>
    </row>
    <row r="149" spans="1:23">
      <c r="A149" s="123">
        <v>45014</v>
      </c>
      <c r="B149" s="131" t="s">
        <v>30</v>
      </c>
      <c r="C149" s="130">
        <v>0</v>
      </c>
      <c r="D149" s="131">
        <v>0</v>
      </c>
      <c r="E149" s="126">
        <v>0</v>
      </c>
      <c r="F149" s="132">
        <v>0</v>
      </c>
      <c r="G149" s="126">
        <v>0</v>
      </c>
      <c r="H149" s="127" t="s">
        <v>4770</v>
      </c>
      <c r="I149" s="139">
        <v>0</v>
      </c>
      <c r="J149" s="139">
        <v>0</v>
      </c>
      <c r="K149" s="140">
        <v>0</v>
      </c>
      <c r="L149" s="97" t="s">
        <v>4768</v>
      </c>
      <c r="M149" s="114"/>
      <c r="N149" s="114"/>
      <c r="O149" s="114"/>
      <c r="P149" s="97" t="s">
        <v>11</v>
      </c>
      <c r="Q149" s="114"/>
      <c r="R149" s="114"/>
      <c r="S149" s="114"/>
      <c r="T149" s="97" t="s">
        <v>12</v>
      </c>
      <c r="U149" s="114"/>
      <c r="V149" s="114"/>
      <c r="W149" s="114"/>
    </row>
    <row r="150" spans="1:23">
      <c r="A150" s="123">
        <v>45014</v>
      </c>
      <c r="B150" s="133" t="s">
        <v>39</v>
      </c>
      <c r="C150" s="134">
        <v>17194</v>
      </c>
      <c r="D150" s="134">
        <v>399</v>
      </c>
      <c r="E150" s="135">
        <v>0.0232057694544609</v>
      </c>
      <c r="F150" s="134">
        <v>150</v>
      </c>
      <c r="G150" s="135">
        <v>0.37593984962406</v>
      </c>
      <c r="H150" s="136" t="s">
        <v>4770</v>
      </c>
      <c r="I150" s="141">
        <v>388</v>
      </c>
      <c r="J150" s="141">
        <v>148</v>
      </c>
      <c r="K150" s="142">
        <v>0.381443298969072</v>
      </c>
      <c r="L150" s="108" t="s">
        <v>13</v>
      </c>
      <c r="M150" s="108" t="s">
        <v>4773</v>
      </c>
      <c r="N150" s="108" t="s">
        <v>4774</v>
      </c>
      <c r="O150" s="108" t="s">
        <v>4775</v>
      </c>
      <c r="P150" s="108" t="s">
        <v>13</v>
      </c>
      <c r="Q150" s="108" t="s">
        <v>4773</v>
      </c>
      <c r="R150" s="108" t="s">
        <v>4774</v>
      </c>
      <c r="S150" s="108" t="s">
        <v>4775</v>
      </c>
      <c r="T150" s="108" t="s">
        <v>13</v>
      </c>
      <c r="U150" s="108" t="s">
        <v>4773</v>
      </c>
      <c r="V150" s="108" t="s">
        <v>4774</v>
      </c>
      <c r="W150" s="108" t="s">
        <v>4775</v>
      </c>
    </row>
    <row r="151" spans="1:23">
      <c r="A151" s="143">
        <v>45015</v>
      </c>
      <c r="B151" s="104" t="s">
        <v>17</v>
      </c>
      <c r="C151" s="107">
        <v>60</v>
      </c>
      <c r="D151" s="104">
        <v>32</v>
      </c>
      <c r="E151" s="106">
        <v>0.533333333333333</v>
      </c>
      <c r="F151" s="107">
        <v>4</v>
      </c>
      <c r="G151" s="106">
        <v>0.125</v>
      </c>
      <c r="H151" s="144" t="s">
        <v>4770</v>
      </c>
      <c r="I151" s="151">
        <v>32</v>
      </c>
      <c r="J151" s="151">
        <v>4</v>
      </c>
      <c r="K151" s="152">
        <v>0.125</v>
      </c>
      <c r="L151" s="108">
        <v>11</v>
      </c>
      <c r="M151" s="108">
        <v>-52.6666666666667</v>
      </c>
      <c r="N151" s="108">
        <v>-73.4</v>
      </c>
      <c r="O151" s="108">
        <v>-84.7142857142857</v>
      </c>
      <c r="P151" s="108">
        <v>12</v>
      </c>
      <c r="Q151" s="108">
        <v>7</v>
      </c>
      <c r="R151" s="108">
        <v>4.6</v>
      </c>
      <c r="S151" s="108">
        <v>4.85714285714286</v>
      </c>
      <c r="T151" s="108">
        <v>0</v>
      </c>
      <c r="U151" s="108">
        <v>0</v>
      </c>
      <c r="V151" s="108">
        <v>0.2</v>
      </c>
      <c r="W151" s="115">
        <v>0.142857142857143</v>
      </c>
    </row>
    <row r="152" spans="1:23">
      <c r="A152" s="143">
        <v>45015</v>
      </c>
      <c r="B152" s="104" t="s">
        <v>19</v>
      </c>
      <c r="C152" s="107">
        <v>1748</v>
      </c>
      <c r="D152" s="104">
        <v>77</v>
      </c>
      <c r="E152" s="106">
        <v>0.0440503432494279</v>
      </c>
      <c r="F152" s="107">
        <v>31</v>
      </c>
      <c r="G152" s="106">
        <v>0.402597402597403</v>
      </c>
      <c r="H152" s="144" t="s">
        <v>4770</v>
      </c>
      <c r="I152" s="151">
        <v>77</v>
      </c>
      <c r="J152" s="151">
        <v>31</v>
      </c>
      <c r="K152" s="152">
        <v>0.402597402597403</v>
      </c>
      <c r="L152" s="108">
        <v>58</v>
      </c>
      <c r="M152" s="108">
        <v>-38.3333333333333</v>
      </c>
      <c r="N152" s="108">
        <v>-3.79999999999995</v>
      </c>
      <c r="O152" s="108">
        <v>105.857142857143</v>
      </c>
      <c r="P152" s="108">
        <v>-8</v>
      </c>
      <c r="Q152" s="108">
        <v>-18.3333333333333</v>
      </c>
      <c r="R152" s="108">
        <v>-14</v>
      </c>
      <c r="S152" s="108">
        <v>-3.85714285714286</v>
      </c>
      <c r="T152" s="108">
        <v>-9</v>
      </c>
      <c r="U152" s="108">
        <v>-9</v>
      </c>
      <c r="V152" s="108">
        <v>-7</v>
      </c>
      <c r="W152" s="108">
        <v>-2.85714285714285</v>
      </c>
    </row>
    <row r="153" spans="1:23">
      <c r="A153" s="143">
        <v>45015</v>
      </c>
      <c r="B153" s="104" t="s">
        <v>21</v>
      </c>
      <c r="C153" s="145">
        <v>1138</v>
      </c>
      <c r="D153" s="104">
        <v>22</v>
      </c>
      <c r="E153" s="106">
        <v>0.0193321616871705</v>
      </c>
      <c r="F153" s="107">
        <v>5</v>
      </c>
      <c r="G153" s="106">
        <v>0.227272727272727</v>
      </c>
      <c r="H153" s="144" t="s">
        <v>4770</v>
      </c>
      <c r="I153" s="151">
        <v>22</v>
      </c>
      <c r="J153" s="151">
        <v>5</v>
      </c>
      <c r="K153" s="152">
        <v>0.227272727272727</v>
      </c>
      <c r="L153" s="108">
        <v>120</v>
      </c>
      <c r="M153" s="108">
        <v>123.666666666667</v>
      </c>
      <c r="N153" s="108">
        <v>105.6</v>
      </c>
      <c r="O153" s="108">
        <v>229</v>
      </c>
      <c r="P153" s="108">
        <v>-5</v>
      </c>
      <c r="Q153" s="108">
        <v>-14.3333333333333</v>
      </c>
      <c r="R153" s="108">
        <v>-15</v>
      </c>
      <c r="S153" s="115">
        <v>-14.7142857142857</v>
      </c>
      <c r="T153" s="108">
        <v>-2</v>
      </c>
      <c r="U153" s="108">
        <v>-7.33333333333333</v>
      </c>
      <c r="V153" s="108">
        <v>-7.6</v>
      </c>
      <c r="W153" s="117">
        <v>-8</v>
      </c>
    </row>
    <row r="154" spans="1:23">
      <c r="A154" s="143">
        <v>45015</v>
      </c>
      <c r="B154" s="104" t="s">
        <v>22</v>
      </c>
      <c r="C154" s="145">
        <v>4316</v>
      </c>
      <c r="D154" s="104">
        <v>134</v>
      </c>
      <c r="E154" s="106">
        <v>0.031047265987025</v>
      </c>
      <c r="F154" s="107">
        <v>45</v>
      </c>
      <c r="G154" s="106">
        <v>0.335820895522388</v>
      </c>
      <c r="H154" s="144" t="s">
        <v>4770</v>
      </c>
      <c r="I154" s="151">
        <v>134</v>
      </c>
      <c r="J154" s="151">
        <v>45</v>
      </c>
      <c r="K154" s="152">
        <v>0.335820895522388</v>
      </c>
      <c r="L154" s="108">
        <v>-102</v>
      </c>
      <c r="M154" s="108">
        <v>-127.333333333333</v>
      </c>
      <c r="N154" s="108">
        <v>-332.8</v>
      </c>
      <c r="O154" s="108">
        <v>-496.714285714285</v>
      </c>
      <c r="P154" s="108">
        <v>9</v>
      </c>
      <c r="Q154" s="108">
        <v>10.6666666666667</v>
      </c>
      <c r="R154" s="108">
        <v>8.2</v>
      </c>
      <c r="S154" s="108">
        <v>-4.28571428571428</v>
      </c>
      <c r="T154" s="108">
        <v>7</v>
      </c>
      <c r="U154" s="116">
        <v>2.66666666666666</v>
      </c>
      <c r="V154" s="108">
        <v>2</v>
      </c>
      <c r="W154" s="108">
        <v>-3.42857142857143</v>
      </c>
    </row>
    <row r="155" spans="1:23">
      <c r="A155" s="143">
        <v>45015</v>
      </c>
      <c r="B155" s="104" t="s">
        <v>23</v>
      </c>
      <c r="C155" s="145">
        <v>2726</v>
      </c>
      <c r="D155" s="104">
        <v>23</v>
      </c>
      <c r="E155" s="106">
        <v>0.00843727072633896</v>
      </c>
      <c r="F155" s="107">
        <v>5</v>
      </c>
      <c r="G155" s="106">
        <v>0.217391304347826</v>
      </c>
      <c r="H155" s="144" t="s">
        <v>4770</v>
      </c>
      <c r="I155" s="151">
        <v>23</v>
      </c>
      <c r="J155" s="151">
        <v>5</v>
      </c>
      <c r="K155" s="152">
        <v>0.217391304347826</v>
      </c>
      <c r="L155" s="108">
        <v>-159</v>
      </c>
      <c r="M155" s="108">
        <v>-238.666666666667</v>
      </c>
      <c r="N155" s="117">
        <v>-372.4</v>
      </c>
      <c r="O155" s="108">
        <v>-599.285714285714</v>
      </c>
      <c r="P155" s="115">
        <v>-17</v>
      </c>
      <c r="Q155" s="115">
        <v>-19</v>
      </c>
      <c r="R155" s="117">
        <v>-20.4</v>
      </c>
      <c r="S155" s="117">
        <v>-25.2857142857143</v>
      </c>
      <c r="T155" s="115">
        <v>-7</v>
      </c>
      <c r="U155" s="115">
        <v>-4.66666666666667</v>
      </c>
      <c r="V155" s="115">
        <v>-7.4</v>
      </c>
      <c r="W155" s="115">
        <v>-9.71428571428571</v>
      </c>
    </row>
    <row r="156" spans="1:23">
      <c r="A156" s="143">
        <v>45015</v>
      </c>
      <c r="B156" s="104" t="s">
        <v>24</v>
      </c>
      <c r="C156" s="145">
        <v>568</v>
      </c>
      <c r="D156" s="104">
        <v>7</v>
      </c>
      <c r="E156" s="106">
        <v>0.0123239436619718</v>
      </c>
      <c r="F156" s="107">
        <v>2</v>
      </c>
      <c r="G156" s="106">
        <v>0.285714285714286</v>
      </c>
      <c r="H156" s="144" t="s">
        <v>4770</v>
      </c>
      <c r="I156" s="151">
        <v>7</v>
      </c>
      <c r="J156" s="151">
        <v>2</v>
      </c>
      <c r="K156" s="152">
        <v>0.285714285714286</v>
      </c>
      <c r="L156" s="108">
        <v>28</v>
      </c>
      <c r="M156" s="108">
        <v>16.6666666666666</v>
      </c>
      <c r="N156" s="108">
        <v>-46.6</v>
      </c>
      <c r="O156" s="108">
        <v>-157.571428571429</v>
      </c>
      <c r="P156" s="108">
        <v>-1</v>
      </c>
      <c r="Q156" s="115">
        <v>-4</v>
      </c>
      <c r="R156" s="115">
        <v>-5.8</v>
      </c>
      <c r="S156" s="115">
        <v>-7.28571428571429</v>
      </c>
      <c r="T156" s="108">
        <v>-2</v>
      </c>
      <c r="U156" s="108">
        <v>-3</v>
      </c>
      <c r="V156" s="108">
        <v>-3</v>
      </c>
      <c r="W156" s="108">
        <v>-3.57142857142857</v>
      </c>
    </row>
    <row r="157" spans="1:23">
      <c r="A157" s="143">
        <v>45015</v>
      </c>
      <c r="B157" s="104" t="s">
        <v>25</v>
      </c>
      <c r="C157" s="145">
        <v>6490</v>
      </c>
      <c r="D157" s="104">
        <v>40</v>
      </c>
      <c r="E157" s="106">
        <v>0.0061633281972265</v>
      </c>
      <c r="F157" s="107">
        <v>30</v>
      </c>
      <c r="G157" s="106">
        <v>0.75</v>
      </c>
      <c r="H157" s="144" t="s">
        <v>4770</v>
      </c>
      <c r="I157" s="151">
        <v>40</v>
      </c>
      <c r="J157" s="151">
        <v>30</v>
      </c>
      <c r="K157" s="152">
        <v>0.75</v>
      </c>
      <c r="L157" s="108">
        <v>401</v>
      </c>
      <c r="M157" s="108">
        <v>450</v>
      </c>
      <c r="N157" s="108">
        <v>1019.2</v>
      </c>
      <c r="O157" s="108">
        <v>1221</v>
      </c>
      <c r="P157" s="108">
        <v>0</v>
      </c>
      <c r="Q157" s="108">
        <v>-4.33333333333334</v>
      </c>
      <c r="R157" s="108">
        <v>-4.2</v>
      </c>
      <c r="S157" s="108">
        <v>-2</v>
      </c>
      <c r="T157" s="108">
        <v>3</v>
      </c>
      <c r="U157" s="108">
        <v>5</v>
      </c>
      <c r="V157" s="108">
        <v>5.6</v>
      </c>
      <c r="W157" s="108">
        <v>7.28571428571428</v>
      </c>
    </row>
    <row r="158" spans="1:23">
      <c r="A158" s="143">
        <v>45015</v>
      </c>
      <c r="B158" s="104" t="s">
        <v>26</v>
      </c>
      <c r="C158" s="145">
        <v>469</v>
      </c>
      <c r="D158" s="104">
        <v>85</v>
      </c>
      <c r="E158" s="106">
        <v>0.181236673773987</v>
      </c>
      <c r="F158" s="107">
        <v>19</v>
      </c>
      <c r="G158" s="106">
        <v>0.223529411764706</v>
      </c>
      <c r="H158" s="144" t="s">
        <v>4770</v>
      </c>
      <c r="I158" s="151">
        <v>85</v>
      </c>
      <c r="J158" s="151">
        <v>19</v>
      </c>
      <c r="K158" s="152">
        <v>0.223529411764706</v>
      </c>
      <c r="L158" s="108">
        <v>8</v>
      </c>
      <c r="M158" s="117">
        <v>68.3333333333333</v>
      </c>
      <c r="N158" s="117">
        <v>86</v>
      </c>
      <c r="O158" s="117">
        <v>85.8571428571428</v>
      </c>
      <c r="P158" s="108">
        <v>31</v>
      </c>
      <c r="Q158" s="108">
        <v>29</v>
      </c>
      <c r="R158" s="108">
        <v>31.8</v>
      </c>
      <c r="S158" s="108">
        <v>34</v>
      </c>
      <c r="T158" s="108">
        <v>1</v>
      </c>
      <c r="U158" s="108">
        <v>0</v>
      </c>
      <c r="V158" s="108">
        <v>1.8</v>
      </c>
      <c r="W158" s="108">
        <v>2.71428571428572</v>
      </c>
    </row>
    <row r="159" spans="1:23">
      <c r="A159" s="143">
        <v>45015</v>
      </c>
      <c r="B159" s="104" t="s">
        <v>27</v>
      </c>
      <c r="C159" s="145">
        <v>25</v>
      </c>
      <c r="D159" s="104">
        <v>0</v>
      </c>
      <c r="E159" s="106">
        <v>0</v>
      </c>
      <c r="F159" s="107">
        <v>0</v>
      </c>
      <c r="G159" s="106">
        <v>0</v>
      </c>
      <c r="H159" s="144" t="s">
        <v>4770</v>
      </c>
      <c r="I159" s="151">
        <v>0</v>
      </c>
      <c r="J159" s="151">
        <v>0</v>
      </c>
      <c r="K159" s="152">
        <v>0</v>
      </c>
      <c r="L159" s="108">
        <v>-16</v>
      </c>
      <c r="M159" s="108">
        <v>-7.33333333333334</v>
      </c>
      <c r="N159" s="108">
        <v>-6.2</v>
      </c>
      <c r="O159" s="108">
        <v>-8.85714285714285</v>
      </c>
      <c r="P159" s="108">
        <v>0</v>
      </c>
      <c r="Q159" s="108">
        <v>-0.333333333333333</v>
      </c>
      <c r="R159" s="108">
        <v>-0.4</v>
      </c>
      <c r="S159" s="108">
        <v>-0.428571428571429</v>
      </c>
      <c r="T159" s="108">
        <v>0</v>
      </c>
      <c r="U159" s="108">
        <v>0</v>
      </c>
      <c r="V159" s="108">
        <v>0</v>
      </c>
      <c r="W159" s="108">
        <v>0</v>
      </c>
    </row>
    <row r="160" spans="1:23">
      <c r="A160" s="143">
        <v>45015</v>
      </c>
      <c r="B160" s="104" t="s">
        <v>28</v>
      </c>
      <c r="C160" s="145">
        <v>0</v>
      </c>
      <c r="D160" s="104">
        <v>0</v>
      </c>
      <c r="E160" s="106">
        <v>0</v>
      </c>
      <c r="F160" s="107">
        <v>0</v>
      </c>
      <c r="G160" s="106">
        <v>0</v>
      </c>
      <c r="H160" s="144" t="s">
        <v>4770</v>
      </c>
      <c r="I160" s="151">
        <v>0</v>
      </c>
      <c r="J160" s="151">
        <v>0</v>
      </c>
      <c r="K160" s="152">
        <v>0</v>
      </c>
      <c r="L160" s="108">
        <v>0</v>
      </c>
      <c r="M160" s="108">
        <v>0</v>
      </c>
      <c r="N160" s="108">
        <v>0</v>
      </c>
      <c r="O160" s="108">
        <v>0</v>
      </c>
      <c r="P160" s="108">
        <v>0</v>
      </c>
      <c r="Q160" s="108">
        <v>0</v>
      </c>
      <c r="R160" s="108">
        <v>0</v>
      </c>
      <c r="S160" s="108">
        <v>0</v>
      </c>
      <c r="T160" s="108">
        <v>0</v>
      </c>
      <c r="U160" s="108">
        <v>0</v>
      </c>
      <c r="V160" s="108">
        <v>0</v>
      </c>
      <c r="W160" s="108">
        <v>0</v>
      </c>
    </row>
    <row r="161" spans="1:23">
      <c r="A161" s="143">
        <v>45015</v>
      </c>
      <c r="B161" s="104" t="s">
        <v>29</v>
      </c>
      <c r="C161" s="145">
        <v>2</v>
      </c>
      <c r="D161" s="104">
        <v>0</v>
      </c>
      <c r="E161" s="106">
        <v>0</v>
      </c>
      <c r="F161" s="107">
        <v>0</v>
      </c>
      <c r="G161" s="106">
        <v>0</v>
      </c>
      <c r="H161" s="144" t="s">
        <v>4770</v>
      </c>
      <c r="I161" s="151">
        <v>0</v>
      </c>
      <c r="J161" s="151">
        <v>0</v>
      </c>
      <c r="K161" s="152">
        <v>0</v>
      </c>
      <c r="L161" s="108">
        <v>-1</v>
      </c>
      <c r="M161" s="108">
        <v>0.666666666666667</v>
      </c>
      <c r="N161" s="108">
        <v>1</v>
      </c>
      <c r="O161" s="108">
        <v>1.14285714285714</v>
      </c>
      <c r="P161" s="108">
        <v>0</v>
      </c>
      <c r="Q161" s="108">
        <v>0</v>
      </c>
      <c r="R161" s="108">
        <v>-0.2</v>
      </c>
      <c r="S161" s="108">
        <v>-0.142857142857143</v>
      </c>
      <c r="T161" s="108">
        <v>0</v>
      </c>
      <c r="U161" s="108">
        <v>0</v>
      </c>
      <c r="V161" s="108">
        <v>0</v>
      </c>
      <c r="W161" s="108">
        <v>0</v>
      </c>
    </row>
    <row r="162" spans="1:23">
      <c r="A162" s="143">
        <v>45015</v>
      </c>
      <c r="B162" s="104" t="s">
        <v>30</v>
      </c>
      <c r="C162" s="145">
        <v>0</v>
      </c>
      <c r="D162" s="104">
        <v>0</v>
      </c>
      <c r="E162" s="106">
        <v>0</v>
      </c>
      <c r="F162" s="107">
        <v>0</v>
      </c>
      <c r="G162" s="106">
        <v>0</v>
      </c>
      <c r="H162" s="144" t="s">
        <v>4770</v>
      </c>
      <c r="I162" s="151">
        <v>0</v>
      </c>
      <c r="J162" s="151">
        <v>0</v>
      </c>
      <c r="K162" s="152">
        <v>0</v>
      </c>
      <c r="L162" s="108">
        <v>0</v>
      </c>
      <c r="M162" s="108">
        <v>0</v>
      </c>
      <c r="N162" s="108">
        <v>0</v>
      </c>
      <c r="O162" s="108">
        <v>0</v>
      </c>
      <c r="P162" s="108">
        <v>0</v>
      </c>
      <c r="Q162" s="108">
        <v>0</v>
      </c>
      <c r="R162" s="108">
        <v>0</v>
      </c>
      <c r="S162" s="108">
        <v>0</v>
      </c>
      <c r="T162" s="108">
        <v>0</v>
      </c>
      <c r="U162" s="108">
        <v>0</v>
      </c>
      <c r="V162" s="108">
        <v>0</v>
      </c>
      <c r="W162" s="108">
        <v>0</v>
      </c>
    </row>
    <row r="163" spans="1:11">
      <c r="A163" s="143">
        <v>45015</v>
      </c>
      <c r="B163" s="104" t="s">
        <v>31</v>
      </c>
      <c r="C163" s="145">
        <v>0</v>
      </c>
      <c r="D163" s="104">
        <v>1</v>
      </c>
      <c r="E163" s="106">
        <v>1</v>
      </c>
      <c r="F163" s="107">
        <v>0</v>
      </c>
      <c r="G163" s="106">
        <v>0</v>
      </c>
      <c r="H163" s="144" t="s">
        <v>4770</v>
      </c>
      <c r="I163" s="151">
        <v>1</v>
      </c>
      <c r="J163" s="151">
        <v>0</v>
      </c>
      <c r="K163" s="152">
        <v>0</v>
      </c>
    </row>
    <row r="164" spans="1:11">
      <c r="A164" s="143">
        <v>45015</v>
      </c>
      <c r="B164" s="104" t="s">
        <v>32</v>
      </c>
      <c r="C164" s="145">
        <v>0</v>
      </c>
      <c r="D164" s="104">
        <v>0</v>
      </c>
      <c r="E164" s="106">
        <v>0</v>
      </c>
      <c r="F164" s="107">
        <v>0</v>
      </c>
      <c r="G164" s="106">
        <v>0</v>
      </c>
      <c r="H164" s="144" t="s">
        <v>4770</v>
      </c>
      <c r="I164" s="151">
        <v>0</v>
      </c>
      <c r="J164" s="151">
        <v>0</v>
      </c>
      <c r="K164" s="152">
        <v>0</v>
      </c>
    </row>
    <row r="165" spans="1:11">
      <c r="A165" s="143">
        <v>45015</v>
      </c>
      <c r="B165" s="104" t="s">
        <v>33</v>
      </c>
      <c r="C165" s="145">
        <v>0</v>
      </c>
      <c r="D165" s="104">
        <v>0</v>
      </c>
      <c r="E165" s="106">
        <v>0</v>
      </c>
      <c r="F165" s="107">
        <v>0</v>
      </c>
      <c r="G165" s="106">
        <v>0</v>
      </c>
      <c r="H165" s="144" t="s">
        <v>4770</v>
      </c>
      <c r="I165" s="151">
        <v>0</v>
      </c>
      <c r="J165" s="151">
        <v>0</v>
      </c>
      <c r="K165" s="152">
        <v>0</v>
      </c>
    </row>
    <row r="166" spans="1:23">
      <c r="A166" s="143">
        <v>45015</v>
      </c>
      <c r="B166" s="104" t="s">
        <v>34</v>
      </c>
      <c r="C166" s="145">
        <v>0</v>
      </c>
      <c r="D166" s="104">
        <v>0</v>
      </c>
      <c r="E166" s="106">
        <v>0</v>
      </c>
      <c r="F166" s="107">
        <v>0</v>
      </c>
      <c r="G166" s="106">
        <v>0</v>
      </c>
      <c r="H166" s="144" t="s">
        <v>4770</v>
      </c>
      <c r="I166" s="151">
        <v>0</v>
      </c>
      <c r="J166" s="151">
        <v>0</v>
      </c>
      <c r="K166" s="152">
        <v>0</v>
      </c>
      <c r="L166" s="153" t="s">
        <v>4776</v>
      </c>
      <c r="M166" s="154"/>
      <c r="N166" s="154"/>
      <c r="O166" s="154"/>
      <c r="P166" s="154"/>
      <c r="Q166" s="154"/>
      <c r="R166" s="154"/>
      <c r="S166" s="154"/>
      <c r="T166" s="154"/>
      <c r="U166" s="154"/>
      <c r="V166" s="154"/>
      <c r="W166" s="164"/>
    </row>
    <row r="167" spans="1:23">
      <c r="A167" s="143">
        <v>45015</v>
      </c>
      <c r="B167" s="104" t="s">
        <v>35</v>
      </c>
      <c r="C167" s="145">
        <v>0</v>
      </c>
      <c r="D167" s="104">
        <v>0</v>
      </c>
      <c r="E167" s="106">
        <v>0</v>
      </c>
      <c r="F167" s="107">
        <v>0</v>
      </c>
      <c r="G167" s="106">
        <v>0</v>
      </c>
      <c r="H167" s="144" t="s">
        <v>4770</v>
      </c>
      <c r="I167" s="151">
        <v>0</v>
      </c>
      <c r="J167" s="151">
        <v>0</v>
      </c>
      <c r="K167" s="152">
        <v>0</v>
      </c>
      <c r="L167" s="154" t="s">
        <v>4777</v>
      </c>
      <c r="M167" s="154"/>
      <c r="N167" s="154"/>
      <c r="O167" s="154"/>
      <c r="P167" s="154"/>
      <c r="Q167" s="154"/>
      <c r="R167" s="154"/>
      <c r="S167" s="154"/>
      <c r="T167" s="154"/>
      <c r="U167" s="154"/>
      <c r="V167" s="154"/>
      <c r="W167" s="154"/>
    </row>
    <row r="168" spans="1:23">
      <c r="A168" s="143">
        <v>45015</v>
      </c>
      <c r="B168" s="104" t="s">
        <v>36</v>
      </c>
      <c r="C168" s="145">
        <v>0</v>
      </c>
      <c r="D168" s="104">
        <v>0</v>
      </c>
      <c r="E168" s="106">
        <v>0</v>
      </c>
      <c r="F168" s="107">
        <v>0</v>
      </c>
      <c r="G168" s="106">
        <v>0</v>
      </c>
      <c r="H168" s="144" t="s">
        <v>4770</v>
      </c>
      <c r="I168" s="151">
        <v>0</v>
      </c>
      <c r="J168" s="151">
        <v>0</v>
      </c>
      <c r="K168" s="152">
        <v>0</v>
      </c>
      <c r="L168" s="154" t="s">
        <v>4778</v>
      </c>
      <c r="M168" s="154"/>
      <c r="N168" s="154"/>
      <c r="O168" s="154"/>
      <c r="P168" s="154"/>
      <c r="Q168" s="154"/>
      <c r="R168" s="154"/>
      <c r="S168" s="154"/>
      <c r="T168" s="154"/>
      <c r="U168" s="154"/>
      <c r="V168" s="154"/>
      <c r="W168" s="164"/>
    </row>
    <row r="169" spans="1:23">
      <c r="A169" s="143">
        <v>45015</v>
      </c>
      <c r="B169" s="104" t="s">
        <v>37</v>
      </c>
      <c r="C169" s="145">
        <v>0</v>
      </c>
      <c r="D169" s="104">
        <v>0</v>
      </c>
      <c r="E169" s="106">
        <v>0</v>
      </c>
      <c r="F169" s="107">
        <v>0</v>
      </c>
      <c r="G169" s="106">
        <v>0</v>
      </c>
      <c r="H169" s="144" t="s">
        <v>4770</v>
      </c>
      <c r="I169" s="151">
        <v>0</v>
      </c>
      <c r="J169" s="151">
        <v>0</v>
      </c>
      <c r="K169" s="152">
        <v>0</v>
      </c>
      <c r="L169" s="154" t="s">
        <v>4779</v>
      </c>
      <c r="M169" s="154"/>
      <c r="N169" s="154"/>
      <c r="O169" s="154"/>
      <c r="P169" s="154"/>
      <c r="Q169" s="154"/>
      <c r="R169" s="154"/>
      <c r="S169" s="154"/>
      <c r="T169" s="154"/>
      <c r="U169" s="154"/>
      <c r="V169" s="154"/>
      <c r="W169" s="164"/>
    </row>
    <row r="170" spans="1:23">
      <c r="A170" s="143">
        <v>45015</v>
      </c>
      <c r="B170" s="104" t="s">
        <v>38</v>
      </c>
      <c r="C170" s="145">
        <v>0</v>
      </c>
      <c r="D170" s="104">
        <v>0</v>
      </c>
      <c r="E170" s="106">
        <v>0</v>
      </c>
      <c r="F170" s="107">
        <v>0</v>
      </c>
      <c r="G170" s="106">
        <v>0</v>
      </c>
      <c r="H170" s="144" t="s">
        <v>4770</v>
      </c>
      <c r="I170" s="151">
        <v>0</v>
      </c>
      <c r="J170" s="151">
        <v>0</v>
      </c>
      <c r="K170" s="152">
        <v>0</v>
      </c>
      <c r="L170" s="154" t="s">
        <v>4780</v>
      </c>
      <c r="M170" s="154"/>
      <c r="N170" s="154"/>
      <c r="O170" s="154"/>
      <c r="P170" s="154"/>
      <c r="Q170" s="154"/>
      <c r="R170" s="154"/>
      <c r="S170" s="154"/>
      <c r="T170" s="154"/>
      <c r="U170" s="154"/>
      <c r="V170" s="154"/>
      <c r="W170" s="164"/>
    </row>
    <row r="171" spans="1:23">
      <c r="A171" s="143">
        <v>45015</v>
      </c>
      <c r="B171" s="111" t="s">
        <v>39</v>
      </c>
      <c r="C171" s="112">
        <v>17542</v>
      </c>
      <c r="D171" s="112">
        <v>420</v>
      </c>
      <c r="E171" s="113">
        <v>0.0239425379090184</v>
      </c>
      <c r="F171" s="112">
        <v>141</v>
      </c>
      <c r="G171" s="113">
        <v>0.335714285714286</v>
      </c>
      <c r="H171" s="146" t="s">
        <v>4770</v>
      </c>
      <c r="I171" s="155">
        <v>420</v>
      </c>
      <c r="J171" s="155">
        <v>141</v>
      </c>
      <c r="K171" s="156">
        <v>0.335714285714286</v>
      </c>
      <c r="L171" s="154" t="s">
        <v>4781</v>
      </c>
      <c r="M171" s="154"/>
      <c r="N171" s="154"/>
      <c r="O171" s="154"/>
      <c r="P171" s="154"/>
      <c r="Q171" s="154"/>
      <c r="R171" s="154"/>
      <c r="S171" s="154"/>
      <c r="T171" s="154"/>
      <c r="U171" s="154"/>
      <c r="V171" s="154"/>
      <c r="W171" s="164"/>
    </row>
    <row r="172" spans="1:23">
      <c r="A172" s="147">
        <v>45016</v>
      </c>
      <c r="B172" s="104" t="s">
        <v>17</v>
      </c>
      <c r="C172" s="107">
        <v>40</v>
      </c>
      <c r="D172" s="104">
        <v>25</v>
      </c>
      <c r="E172" s="106">
        <v>0.625</v>
      </c>
      <c r="F172" s="107">
        <v>6</v>
      </c>
      <c r="G172" s="106">
        <v>0.24</v>
      </c>
      <c r="H172" s="148" t="s">
        <v>4770</v>
      </c>
      <c r="I172" s="157">
        <v>25</v>
      </c>
      <c r="J172" s="157">
        <v>6</v>
      </c>
      <c r="K172" s="158">
        <v>0.24</v>
      </c>
      <c r="L172" s="108">
        <v>-20</v>
      </c>
      <c r="M172" s="108">
        <v>-33.3333333333333</v>
      </c>
      <c r="N172" s="108">
        <v>-74.8</v>
      </c>
      <c r="O172" s="108">
        <v>-90</v>
      </c>
      <c r="P172" s="108">
        <v>-7</v>
      </c>
      <c r="Q172" s="108">
        <v>-2.33333333333333</v>
      </c>
      <c r="R172" s="108">
        <v>-1.8</v>
      </c>
      <c r="S172" s="108">
        <v>-2.42857142857143</v>
      </c>
      <c r="T172" s="108">
        <v>2</v>
      </c>
      <c r="U172" s="108">
        <v>2</v>
      </c>
      <c r="V172" s="108">
        <v>2</v>
      </c>
      <c r="W172" s="108">
        <v>2</v>
      </c>
    </row>
    <row r="173" spans="1:23">
      <c r="A173" s="147">
        <v>45016</v>
      </c>
      <c r="B173" s="104" t="s">
        <v>19</v>
      </c>
      <c r="C173" s="107">
        <v>1441</v>
      </c>
      <c r="D173" s="104">
        <v>58</v>
      </c>
      <c r="E173" s="106">
        <v>0.0402498265093685</v>
      </c>
      <c r="F173" s="107">
        <v>22</v>
      </c>
      <c r="G173" s="106">
        <v>0.379310344827586</v>
      </c>
      <c r="H173" s="149" t="s">
        <v>4770</v>
      </c>
      <c r="I173" s="159">
        <v>58</v>
      </c>
      <c r="J173" s="159">
        <v>22</v>
      </c>
      <c r="K173" s="160">
        <v>0.379310344827586</v>
      </c>
      <c r="L173" s="108">
        <v>-307</v>
      </c>
      <c r="M173" s="108">
        <v>-302.666666666667</v>
      </c>
      <c r="N173" s="108">
        <v>-331.6</v>
      </c>
      <c r="O173" s="108">
        <v>-273</v>
      </c>
      <c r="P173" s="108">
        <v>-19</v>
      </c>
      <c r="Q173" s="108">
        <v>-29</v>
      </c>
      <c r="R173" s="108">
        <v>-31.2</v>
      </c>
      <c r="S173" s="108">
        <v>-26.4285714285714</v>
      </c>
      <c r="T173" s="108">
        <v>-9</v>
      </c>
      <c r="U173" s="108">
        <v>-15</v>
      </c>
      <c r="V173" s="108">
        <v>-16</v>
      </c>
      <c r="W173" s="115">
        <v>-12.8571428571429</v>
      </c>
    </row>
    <row r="174" spans="1:23">
      <c r="A174" s="147">
        <v>45016</v>
      </c>
      <c r="B174" s="104" t="s">
        <v>21</v>
      </c>
      <c r="C174" s="145">
        <v>1087</v>
      </c>
      <c r="D174" s="104">
        <v>27</v>
      </c>
      <c r="E174" s="106">
        <v>0.0248390064397424</v>
      </c>
      <c r="F174" s="107">
        <v>11</v>
      </c>
      <c r="G174" s="106">
        <v>0.407407407407407</v>
      </c>
      <c r="H174" s="149" t="s">
        <v>4770</v>
      </c>
      <c r="I174" s="159">
        <v>27</v>
      </c>
      <c r="J174" s="159">
        <v>11</v>
      </c>
      <c r="K174" s="160">
        <v>0.407407407407407</v>
      </c>
      <c r="L174" s="108">
        <v>-51</v>
      </c>
      <c r="M174" s="108">
        <v>42</v>
      </c>
      <c r="N174" s="108">
        <v>32.4000000000001</v>
      </c>
      <c r="O174" s="108">
        <v>87.5714285714286</v>
      </c>
      <c r="P174" s="108">
        <v>5</v>
      </c>
      <c r="Q174" s="108">
        <v>-1.33333333333333</v>
      </c>
      <c r="R174" s="108">
        <v>-5.6</v>
      </c>
      <c r="S174" s="108">
        <v>-8.42857142857143</v>
      </c>
      <c r="T174" s="108">
        <v>6</v>
      </c>
      <c r="U174" s="108">
        <v>2.33333333333333</v>
      </c>
      <c r="V174" s="108">
        <v>0</v>
      </c>
      <c r="W174" s="108">
        <v>-0.285714285714286</v>
      </c>
    </row>
    <row r="175" spans="1:23">
      <c r="A175" s="147">
        <v>45016</v>
      </c>
      <c r="B175" s="104" t="s">
        <v>22</v>
      </c>
      <c r="C175" s="145">
        <v>4709</v>
      </c>
      <c r="D175" s="104">
        <v>105</v>
      </c>
      <c r="E175" s="106">
        <v>0.0222977277553621</v>
      </c>
      <c r="F175" s="107">
        <v>32</v>
      </c>
      <c r="G175" s="106">
        <v>0.304761904761905</v>
      </c>
      <c r="H175" s="149" t="s">
        <v>4770</v>
      </c>
      <c r="I175" s="159">
        <v>105</v>
      </c>
      <c r="J175" s="159">
        <v>32</v>
      </c>
      <c r="K175" s="160">
        <v>0.304761904761905</v>
      </c>
      <c r="L175" s="108">
        <v>393</v>
      </c>
      <c r="M175" s="108">
        <v>387</v>
      </c>
      <c r="N175" s="108">
        <v>217.8</v>
      </c>
      <c r="O175" s="108">
        <v>26.4285714285716</v>
      </c>
      <c r="P175" s="108">
        <v>-29</v>
      </c>
      <c r="Q175" s="108">
        <v>-25.6666666666667</v>
      </c>
      <c r="R175" s="108">
        <v>-20.6</v>
      </c>
      <c r="S175" s="115">
        <v>-28.1428571428571</v>
      </c>
      <c r="T175" s="108">
        <v>-13</v>
      </c>
      <c r="U175" s="108">
        <v>-12</v>
      </c>
      <c r="V175" s="108">
        <v>-9.4</v>
      </c>
      <c r="W175" s="117">
        <v>-15</v>
      </c>
    </row>
    <row r="176" spans="1:23">
      <c r="A176" s="147">
        <v>45016</v>
      </c>
      <c r="B176" s="104" t="s">
        <v>23</v>
      </c>
      <c r="C176" s="145">
        <v>3126</v>
      </c>
      <c r="D176" s="104">
        <v>32</v>
      </c>
      <c r="E176" s="106">
        <v>0.0102367242482406</v>
      </c>
      <c r="F176" s="107">
        <v>10</v>
      </c>
      <c r="G176" s="106">
        <v>0.3125</v>
      </c>
      <c r="H176" s="149" t="s">
        <v>4770</v>
      </c>
      <c r="I176" s="159">
        <v>32</v>
      </c>
      <c r="J176" s="159">
        <v>10</v>
      </c>
      <c r="K176" s="160">
        <v>0.3125</v>
      </c>
      <c r="L176" s="108">
        <v>400</v>
      </c>
      <c r="M176" s="108">
        <v>275.333333333333</v>
      </c>
      <c r="N176" s="108">
        <v>169.4</v>
      </c>
      <c r="O176" s="108">
        <v>-10.7142857142858</v>
      </c>
      <c r="P176" s="108">
        <v>9</v>
      </c>
      <c r="Q176" s="108">
        <v>-5.33333333333334</v>
      </c>
      <c r="R176" s="108">
        <v>-6.4</v>
      </c>
      <c r="S176" s="108">
        <v>-10.2857142857143</v>
      </c>
      <c r="T176" s="108">
        <v>5</v>
      </c>
      <c r="U176" s="116">
        <v>1.66666666666667</v>
      </c>
      <c r="V176" s="108">
        <v>0.199999999999999</v>
      </c>
      <c r="W176" s="108">
        <v>-2.28571428571429</v>
      </c>
    </row>
    <row r="177" spans="1:23">
      <c r="A177" s="147">
        <v>45016</v>
      </c>
      <c r="B177" s="104" t="s">
        <v>24</v>
      </c>
      <c r="C177" s="145">
        <v>479</v>
      </c>
      <c r="D177" s="104">
        <v>3</v>
      </c>
      <c r="E177" s="106">
        <v>0.00626304801670146</v>
      </c>
      <c r="F177" s="107">
        <v>1</v>
      </c>
      <c r="G177" s="106">
        <v>0.333333333333333</v>
      </c>
      <c r="H177" s="149" t="s">
        <v>4770</v>
      </c>
      <c r="I177" s="159">
        <v>3</v>
      </c>
      <c r="J177" s="159">
        <v>1</v>
      </c>
      <c r="K177" s="160">
        <v>0.333333333333333</v>
      </c>
      <c r="L177" s="108">
        <v>-89</v>
      </c>
      <c r="M177" s="108">
        <v>-62.6666666666666</v>
      </c>
      <c r="N177" s="117">
        <v>-100.6</v>
      </c>
      <c r="O177" s="108">
        <v>-175</v>
      </c>
      <c r="P177" s="115">
        <v>-4</v>
      </c>
      <c r="Q177" s="115">
        <v>-5.33333333333333</v>
      </c>
      <c r="R177" s="117">
        <v>-6.8</v>
      </c>
      <c r="S177" s="117">
        <v>-9.71428571428571</v>
      </c>
      <c r="T177" s="115">
        <v>-1</v>
      </c>
      <c r="U177" s="115">
        <v>-3</v>
      </c>
      <c r="V177" s="115">
        <v>-3</v>
      </c>
      <c r="W177" s="115">
        <v>-3.71428571428571</v>
      </c>
    </row>
    <row r="178" spans="1:23">
      <c r="A178" s="147">
        <v>45016</v>
      </c>
      <c r="B178" s="104" t="s">
        <v>25</v>
      </c>
      <c r="C178" s="145">
        <v>5452</v>
      </c>
      <c r="D178" s="104">
        <v>30</v>
      </c>
      <c r="E178" s="106">
        <v>0.00550256786500367</v>
      </c>
      <c r="F178" s="107">
        <v>13</v>
      </c>
      <c r="G178" s="106">
        <v>0.433333333333333</v>
      </c>
      <c r="H178" s="149" t="s">
        <v>4770</v>
      </c>
      <c r="I178" s="159">
        <v>30</v>
      </c>
      <c r="J178" s="159">
        <v>13</v>
      </c>
      <c r="K178" s="160">
        <v>0.433333333333333</v>
      </c>
      <c r="L178" s="108">
        <v>-1038</v>
      </c>
      <c r="M178" s="108">
        <v>-927.333333333333</v>
      </c>
      <c r="N178" s="108">
        <v>-497.4</v>
      </c>
      <c r="O178" s="108">
        <v>-66.4285714285716</v>
      </c>
      <c r="P178" s="116">
        <v>-10</v>
      </c>
      <c r="Q178" s="115">
        <v>-11</v>
      </c>
      <c r="R178" s="115">
        <v>-12.2</v>
      </c>
      <c r="S178" s="115">
        <v>-12.5714285714286</v>
      </c>
      <c r="T178" s="108">
        <v>-17</v>
      </c>
      <c r="U178" s="108">
        <v>-16</v>
      </c>
      <c r="V178" s="108">
        <v>-13.6</v>
      </c>
      <c r="W178" s="108">
        <v>-11.5714285714286</v>
      </c>
    </row>
    <row r="179" spans="1:23">
      <c r="A179" s="147">
        <v>45016</v>
      </c>
      <c r="B179" s="104" t="s">
        <v>26</v>
      </c>
      <c r="C179" s="145">
        <v>488</v>
      </c>
      <c r="D179" s="104">
        <v>58</v>
      </c>
      <c r="E179" s="106">
        <v>0.118852459016393</v>
      </c>
      <c r="F179" s="107">
        <v>15</v>
      </c>
      <c r="G179" s="106">
        <v>0.258620689655172</v>
      </c>
      <c r="H179" s="149" t="s">
        <v>4770</v>
      </c>
      <c r="I179" s="159">
        <v>58</v>
      </c>
      <c r="J179" s="159">
        <v>15</v>
      </c>
      <c r="K179" s="160">
        <v>0.258620689655172</v>
      </c>
      <c r="L179" s="108">
        <v>19</v>
      </c>
      <c r="M179" s="108">
        <v>45</v>
      </c>
      <c r="N179" s="108">
        <v>86</v>
      </c>
      <c r="O179" s="108">
        <v>95.4285714285714</v>
      </c>
      <c r="P179" s="108">
        <v>-27</v>
      </c>
      <c r="Q179" s="108">
        <v>-8.66666666666667</v>
      </c>
      <c r="R179" s="108">
        <v>-2.8</v>
      </c>
      <c r="S179" s="108">
        <v>1.14285714285715</v>
      </c>
      <c r="T179" s="108">
        <v>-4</v>
      </c>
      <c r="U179" s="108">
        <v>-5.33333333333333</v>
      </c>
      <c r="V179" s="108">
        <v>-3.4</v>
      </c>
      <c r="W179" s="108">
        <v>-1.85714285714286</v>
      </c>
    </row>
    <row r="180" spans="1:23">
      <c r="A180" s="147">
        <v>45016</v>
      </c>
      <c r="B180" s="104" t="s">
        <v>27</v>
      </c>
      <c r="C180" s="145">
        <v>24</v>
      </c>
      <c r="D180" s="104">
        <v>0</v>
      </c>
      <c r="E180" s="106">
        <v>0</v>
      </c>
      <c r="F180" s="107">
        <v>0</v>
      </c>
      <c r="G180" s="106">
        <v>0</v>
      </c>
      <c r="H180" s="149" t="s">
        <v>4770</v>
      </c>
      <c r="I180" s="159">
        <v>0</v>
      </c>
      <c r="J180" s="159">
        <v>0</v>
      </c>
      <c r="K180" s="160">
        <v>0</v>
      </c>
      <c r="L180" s="108">
        <v>-1</v>
      </c>
      <c r="M180" s="117">
        <v>-7.33333333333333</v>
      </c>
      <c r="N180" s="117">
        <v>-6.2</v>
      </c>
      <c r="O180" s="117">
        <v>-5</v>
      </c>
      <c r="P180" s="108">
        <v>0</v>
      </c>
      <c r="Q180" s="108">
        <v>0</v>
      </c>
      <c r="R180" s="108">
        <v>-0.4</v>
      </c>
      <c r="S180" s="108">
        <v>-0.285714285714286</v>
      </c>
      <c r="T180" s="108">
        <v>0</v>
      </c>
      <c r="U180" s="108">
        <v>0</v>
      </c>
      <c r="V180" s="108">
        <v>0</v>
      </c>
      <c r="W180" s="108">
        <v>0</v>
      </c>
    </row>
    <row r="181" spans="1:23">
      <c r="A181" s="147">
        <v>45016</v>
      </c>
      <c r="B181" s="104" t="s">
        <v>28</v>
      </c>
      <c r="C181" s="145">
        <v>0</v>
      </c>
      <c r="D181" s="104">
        <v>0</v>
      </c>
      <c r="E181" s="106">
        <v>0</v>
      </c>
      <c r="F181" s="107">
        <v>0</v>
      </c>
      <c r="G181" s="106">
        <v>0</v>
      </c>
      <c r="H181" s="149" t="s">
        <v>4770</v>
      </c>
      <c r="I181" s="159">
        <v>0</v>
      </c>
      <c r="J181" s="159">
        <v>0</v>
      </c>
      <c r="K181" s="160">
        <v>0</v>
      </c>
      <c r="L181" s="108">
        <v>0</v>
      </c>
      <c r="M181" s="108">
        <v>0</v>
      </c>
      <c r="N181" s="108">
        <v>0</v>
      </c>
      <c r="O181" s="108">
        <v>0</v>
      </c>
      <c r="P181" s="108">
        <v>0</v>
      </c>
      <c r="Q181" s="108">
        <v>0</v>
      </c>
      <c r="R181" s="108">
        <v>0</v>
      </c>
      <c r="S181" s="108">
        <v>0</v>
      </c>
      <c r="T181" s="108">
        <v>0</v>
      </c>
      <c r="U181" s="108">
        <v>0</v>
      </c>
      <c r="V181" s="108">
        <v>0</v>
      </c>
      <c r="W181" s="108">
        <v>0</v>
      </c>
    </row>
    <row r="182" spans="1:23">
      <c r="A182" s="147">
        <v>45016</v>
      </c>
      <c r="B182" s="104" t="s">
        <v>29</v>
      </c>
      <c r="C182" s="145">
        <v>7</v>
      </c>
      <c r="D182" s="104">
        <v>1</v>
      </c>
      <c r="E182" s="106">
        <v>0.142857142857143</v>
      </c>
      <c r="F182" s="107">
        <v>0</v>
      </c>
      <c r="G182" s="106">
        <v>0</v>
      </c>
      <c r="H182" s="149" t="s">
        <v>4770</v>
      </c>
      <c r="I182" s="159">
        <v>1</v>
      </c>
      <c r="J182" s="159">
        <v>0</v>
      </c>
      <c r="K182" s="160">
        <v>0</v>
      </c>
      <c r="L182" s="108">
        <v>5</v>
      </c>
      <c r="M182" s="108">
        <v>5</v>
      </c>
      <c r="N182" s="108">
        <v>5.6</v>
      </c>
      <c r="O182" s="108">
        <v>5.85714285714286</v>
      </c>
      <c r="P182" s="108">
        <v>1</v>
      </c>
      <c r="Q182" s="108">
        <v>1</v>
      </c>
      <c r="R182" s="108">
        <v>1</v>
      </c>
      <c r="S182" s="108">
        <v>0.857142857142857</v>
      </c>
      <c r="T182" s="108">
        <v>0</v>
      </c>
      <c r="U182" s="108">
        <v>0</v>
      </c>
      <c r="V182" s="108">
        <v>0</v>
      </c>
      <c r="W182" s="108">
        <v>0</v>
      </c>
    </row>
    <row r="183" spans="1:23">
      <c r="A183" s="147">
        <v>45016</v>
      </c>
      <c r="B183" s="104" t="s">
        <v>30</v>
      </c>
      <c r="C183" s="145">
        <v>0</v>
      </c>
      <c r="D183" s="104">
        <v>0</v>
      </c>
      <c r="E183" s="106">
        <v>0</v>
      </c>
      <c r="F183" s="107">
        <v>0</v>
      </c>
      <c r="G183" s="106">
        <v>0</v>
      </c>
      <c r="H183" s="149" t="s">
        <v>4770</v>
      </c>
      <c r="I183" s="159">
        <v>0</v>
      </c>
      <c r="J183" s="159">
        <v>0</v>
      </c>
      <c r="K183" s="160">
        <v>0</v>
      </c>
      <c r="L183" s="108">
        <v>0</v>
      </c>
      <c r="M183" s="108">
        <v>0</v>
      </c>
      <c r="N183" s="108">
        <v>0</v>
      </c>
      <c r="O183" s="108">
        <v>0</v>
      </c>
      <c r="P183" s="108">
        <v>0</v>
      </c>
      <c r="Q183" s="108">
        <v>0</v>
      </c>
      <c r="R183" s="108">
        <v>0</v>
      </c>
      <c r="S183" s="108">
        <v>0</v>
      </c>
      <c r="T183" s="108">
        <v>0</v>
      </c>
      <c r="U183" s="108">
        <v>0</v>
      </c>
      <c r="V183" s="108">
        <v>0</v>
      </c>
      <c r="W183" s="108">
        <v>0</v>
      </c>
    </row>
    <row r="184" spans="1:23">
      <c r="A184" s="147">
        <v>45016</v>
      </c>
      <c r="B184" s="104" t="s">
        <v>31</v>
      </c>
      <c r="C184" s="145">
        <v>0</v>
      </c>
      <c r="D184" s="104">
        <v>0</v>
      </c>
      <c r="E184" s="106">
        <v>0</v>
      </c>
      <c r="F184" s="107">
        <v>0</v>
      </c>
      <c r="G184" s="106">
        <v>0</v>
      </c>
      <c r="H184" s="149" t="s">
        <v>4770</v>
      </c>
      <c r="I184" s="159">
        <v>0</v>
      </c>
      <c r="J184" s="159">
        <v>0</v>
      </c>
      <c r="K184" s="160">
        <v>0</v>
      </c>
      <c r="L184" s="108">
        <v>0</v>
      </c>
      <c r="M184" s="108">
        <v>0</v>
      </c>
      <c r="N184" s="108">
        <v>0</v>
      </c>
      <c r="O184" s="108">
        <v>0</v>
      </c>
      <c r="P184" s="108">
        <v>-1</v>
      </c>
      <c r="Q184" s="108">
        <v>-0.333333333333333</v>
      </c>
      <c r="R184" s="108">
        <v>-0.2</v>
      </c>
      <c r="S184" s="108">
        <v>-0.142857142857143</v>
      </c>
      <c r="T184" s="108">
        <v>0</v>
      </c>
      <c r="U184" s="108">
        <v>0</v>
      </c>
      <c r="V184" s="108">
        <v>0</v>
      </c>
      <c r="W184" s="108">
        <v>0</v>
      </c>
    </row>
    <row r="185" spans="1:23">
      <c r="A185" s="147">
        <v>45016</v>
      </c>
      <c r="B185" s="104" t="s">
        <v>32</v>
      </c>
      <c r="C185" s="145">
        <v>0</v>
      </c>
      <c r="D185" s="104">
        <v>0</v>
      </c>
      <c r="E185" s="106">
        <v>0</v>
      </c>
      <c r="F185" s="107">
        <v>0</v>
      </c>
      <c r="G185" s="106">
        <v>0</v>
      </c>
      <c r="H185" s="149" t="s">
        <v>4770</v>
      </c>
      <c r="I185" s="159">
        <v>0</v>
      </c>
      <c r="J185" s="159">
        <v>0</v>
      </c>
      <c r="K185" s="160">
        <v>0</v>
      </c>
      <c r="L185" s="108">
        <v>0</v>
      </c>
      <c r="M185" s="108">
        <v>0</v>
      </c>
      <c r="N185" s="108">
        <v>0</v>
      </c>
      <c r="O185" s="108">
        <v>0</v>
      </c>
      <c r="P185" s="108">
        <v>0</v>
      </c>
      <c r="Q185" s="108">
        <v>0</v>
      </c>
      <c r="R185" s="108">
        <v>0</v>
      </c>
      <c r="S185" s="108">
        <v>0</v>
      </c>
      <c r="T185" s="108">
        <v>0</v>
      </c>
      <c r="U185" s="108">
        <v>0</v>
      </c>
      <c r="V185" s="108">
        <v>0</v>
      </c>
      <c r="W185" s="108">
        <v>0</v>
      </c>
    </row>
    <row r="186" spans="1:23">
      <c r="A186" s="147">
        <v>45016</v>
      </c>
      <c r="B186" s="104" t="s">
        <v>33</v>
      </c>
      <c r="C186" s="145">
        <v>0</v>
      </c>
      <c r="D186" s="104">
        <v>1</v>
      </c>
      <c r="E186" s="106">
        <v>1</v>
      </c>
      <c r="F186" s="107">
        <v>0</v>
      </c>
      <c r="G186" s="106">
        <v>0</v>
      </c>
      <c r="H186" s="149" t="s">
        <v>4770</v>
      </c>
      <c r="I186" s="159">
        <v>1</v>
      </c>
      <c r="J186" s="159">
        <v>0</v>
      </c>
      <c r="K186" s="160">
        <v>0</v>
      </c>
      <c r="L186" s="108">
        <v>0</v>
      </c>
      <c r="M186" s="108">
        <v>0</v>
      </c>
      <c r="N186" s="108">
        <v>0</v>
      </c>
      <c r="O186" s="108">
        <v>0</v>
      </c>
      <c r="P186" s="108">
        <v>1</v>
      </c>
      <c r="Q186" s="108">
        <v>1</v>
      </c>
      <c r="R186" s="108">
        <v>1</v>
      </c>
      <c r="S186" s="108">
        <v>1</v>
      </c>
      <c r="T186" s="108">
        <v>0</v>
      </c>
      <c r="U186" s="108">
        <v>0</v>
      </c>
      <c r="V186" s="108">
        <v>0</v>
      </c>
      <c r="W186" s="108">
        <v>0</v>
      </c>
    </row>
    <row r="187" spans="1:11">
      <c r="A187" s="147">
        <v>45016</v>
      </c>
      <c r="B187" s="104" t="s">
        <v>34</v>
      </c>
      <c r="C187" s="145">
        <v>0</v>
      </c>
      <c r="D187" s="104">
        <v>0</v>
      </c>
      <c r="E187" s="106">
        <v>0</v>
      </c>
      <c r="F187" s="107">
        <v>0</v>
      </c>
      <c r="G187" s="106">
        <v>0</v>
      </c>
      <c r="H187" s="149" t="s">
        <v>4770</v>
      </c>
      <c r="I187" s="159">
        <v>0</v>
      </c>
      <c r="J187" s="159">
        <v>0</v>
      </c>
      <c r="K187" s="160">
        <v>0</v>
      </c>
    </row>
    <row r="188" spans="1:23">
      <c r="A188" s="147">
        <v>45016</v>
      </c>
      <c r="B188" s="104" t="s">
        <v>35</v>
      </c>
      <c r="C188" s="145">
        <v>0</v>
      </c>
      <c r="D188" s="104">
        <v>0</v>
      </c>
      <c r="E188" s="106">
        <v>0</v>
      </c>
      <c r="F188" s="107">
        <v>0</v>
      </c>
      <c r="G188" s="106">
        <v>0</v>
      </c>
      <c r="H188" s="149" t="s">
        <v>4770</v>
      </c>
      <c r="I188" s="159">
        <v>0</v>
      </c>
      <c r="J188" s="159">
        <v>0</v>
      </c>
      <c r="K188" s="160">
        <v>0</v>
      </c>
      <c r="L188" s="161">
        <v>45016</v>
      </c>
      <c r="M188" s="161" t="s">
        <v>4782</v>
      </c>
      <c r="N188" s="161"/>
      <c r="O188" s="161"/>
      <c r="P188" s="161"/>
      <c r="Q188" s="161"/>
      <c r="R188" s="161"/>
      <c r="S188" s="161"/>
      <c r="T188" s="161"/>
      <c r="U188" s="161"/>
      <c r="V188" s="161"/>
      <c r="W188" s="165"/>
    </row>
    <row r="189" spans="1:23">
      <c r="A189" s="147">
        <v>45016</v>
      </c>
      <c r="B189" s="104" t="s">
        <v>36</v>
      </c>
      <c r="C189" s="145">
        <v>0</v>
      </c>
      <c r="D189" s="104">
        <v>0</v>
      </c>
      <c r="E189" s="106">
        <v>0</v>
      </c>
      <c r="F189" s="107">
        <v>0</v>
      </c>
      <c r="G189" s="106">
        <v>0</v>
      </c>
      <c r="H189" s="149" t="s">
        <v>4770</v>
      </c>
      <c r="I189" s="159">
        <v>0</v>
      </c>
      <c r="J189" s="159">
        <v>0</v>
      </c>
      <c r="K189" s="160">
        <v>0</v>
      </c>
      <c r="L189" s="154" t="s">
        <v>4783</v>
      </c>
      <c r="M189" s="154"/>
      <c r="N189" s="154"/>
      <c r="O189" s="154"/>
      <c r="P189" s="154"/>
      <c r="Q189" s="154"/>
      <c r="R189" s="154"/>
      <c r="S189" s="154"/>
      <c r="T189" s="154"/>
      <c r="U189" s="154"/>
      <c r="V189" s="154"/>
      <c r="W189" s="164"/>
    </row>
    <row r="190" spans="1:23">
      <c r="A190" s="147">
        <v>45016</v>
      </c>
      <c r="B190" s="104" t="s">
        <v>37</v>
      </c>
      <c r="C190" s="145">
        <v>0</v>
      </c>
      <c r="D190" s="104">
        <v>0</v>
      </c>
      <c r="E190" s="106">
        <v>0</v>
      </c>
      <c r="F190" s="107">
        <v>0</v>
      </c>
      <c r="G190" s="106">
        <v>0</v>
      </c>
      <c r="H190" s="149" t="s">
        <v>4770</v>
      </c>
      <c r="I190" s="159">
        <v>0</v>
      </c>
      <c r="J190" s="159">
        <v>0</v>
      </c>
      <c r="K190" s="160">
        <v>0</v>
      </c>
      <c r="L190" s="154" t="s">
        <v>4784</v>
      </c>
      <c r="M190" s="154"/>
      <c r="N190" s="154"/>
      <c r="O190" s="154"/>
      <c r="P190" s="154"/>
      <c r="Q190" s="154"/>
      <c r="R190" s="154"/>
      <c r="S190" s="154"/>
      <c r="T190" s="154"/>
      <c r="U190" s="154"/>
      <c r="V190" s="154"/>
      <c r="W190" s="164"/>
    </row>
    <row r="191" spans="1:23">
      <c r="A191" s="147">
        <v>45016</v>
      </c>
      <c r="B191" s="104" t="s">
        <v>38</v>
      </c>
      <c r="C191" s="145">
        <v>0</v>
      </c>
      <c r="D191" s="104">
        <v>0</v>
      </c>
      <c r="E191" s="106">
        <v>0</v>
      </c>
      <c r="F191" s="107">
        <v>0</v>
      </c>
      <c r="G191" s="106">
        <v>0</v>
      </c>
      <c r="H191" s="149" t="s">
        <v>4770</v>
      </c>
      <c r="I191" s="159">
        <v>0</v>
      </c>
      <c r="J191" s="159">
        <v>0</v>
      </c>
      <c r="K191" s="160">
        <v>0</v>
      </c>
      <c r="L191" s="154" t="s">
        <v>4785</v>
      </c>
      <c r="M191" s="154"/>
      <c r="N191" s="154"/>
      <c r="O191" s="154"/>
      <c r="P191" s="154"/>
      <c r="Q191" s="154"/>
      <c r="R191" s="154"/>
      <c r="S191" s="154"/>
      <c r="T191" s="154"/>
      <c r="U191" s="154"/>
      <c r="V191" s="154"/>
      <c r="W191" s="164"/>
    </row>
    <row r="192" spans="1:23">
      <c r="A192" s="147">
        <v>45016</v>
      </c>
      <c r="B192" s="111" t="s">
        <v>39</v>
      </c>
      <c r="C192" s="112">
        <v>16853</v>
      </c>
      <c r="D192" s="112">
        <v>339</v>
      </c>
      <c r="E192" s="113">
        <v>0.0201151130362547</v>
      </c>
      <c r="F192" s="112">
        <v>110</v>
      </c>
      <c r="G192" s="113">
        <v>0.324483775811209</v>
      </c>
      <c r="H192" s="150" t="s">
        <v>4770</v>
      </c>
      <c r="I192" s="162">
        <v>339</v>
      </c>
      <c r="J192" s="162">
        <v>110</v>
      </c>
      <c r="K192" s="163">
        <v>0.324483775811209</v>
      </c>
      <c r="L192" s="154" t="s">
        <v>4786</v>
      </c>
      <c r="M192" s="154"/>
      <c r="N192" s="154"/>
      <c r="O192" s="154"/>
      <c r="P192" s="154"/>
      <c r="Q192" s="154"/>
      <c r="R192" s="154"/>
      <c r="S192" s="154"/>
      <c r="T192" s="154"/>
      <c r="U192" s="154"/>
      <c r="V192" s="154"/>
      <c r="W192" s="164"/>
    </row>
    <row r="193" ht="14.45" customHeight="1" spans="1:23">
      <c r="A193" s="147">
        <v>45017</v>
      </c>
      <c r="B193" s="104" t="s">
        <v>17</v>
      </c>
      <c r="C193" s="107">
        <v>54</v>
      </c>
      <c r="D193" s="104">
        <v>40</v>
      </c>
      <c r="E193" s="106">
        <v>0.740740740740741</v>
      </c>
      <c r="F193" s="107">
        <v>6</v>
      </c>
      <c r="G193" s="106">
        <v>0.15</v>
      </c>
      <c r="H193" s="148" t="s">
        <v>4770</v>
      </c>
      <c r="I193" s="157">
        <v>40</v>
      </c>
      <c r="J193" s="157">
        <v>6</v>
      </c>
      <c r="K193" s="158">
        <v>0.15</v>
      </c>
      <c r="L193" s="108">
        <v>14</v>
      </c>
      <c r="M193" s="108">
        <v>4.33333333333334</v>
      </c>
      <c r="N193" s="108">
        <v>-33.6</v>
      </c>
      <c r="O193" s="108">
        <v>-55.5714285714286</v>
      </c>
      <c r="P193" s="108">
        <v>15</v>
      </c>
      <c r="Q193" s="108">
        <v>14.3333333333333</v>
      </c>
      <c r="R193" s="108">
        <v>13.6</v>
      </c>
      <c r="S193" s="108">
        <v>12.2857142857143</v>
      </c>
      <c r="T193" s="108">
        <v>0</v>
      </c>
      <c r="U193" s="108">
        <v>1.33333333333333</v>
      </c>
      <c r="V193" s="108">
        <v>1.6</v>
      </c>
      <c r="W193" s="108">
        <v>1.85714285714286</v>
      </c>
    </row>
    <row r="194" ht="14.45" customHeight="1" spans="1:26">
      <c r="A194" s="147">
        <v>45017</v>
      </c>
      <c r="B194" s="104" t="s">
        <v>19</v>
      </c>
      <c r="C194" s="107">
        <v>1108</v>
      </c>
      <c r="D194" s="104">
        <v>46</v>
      </c>
      <c r="E194" s="106">
        <v>0.0415162454873646</v>
      </c>
      <c r="F194" s="107">
        <v>13</v>
      </c>
      <c r="G194" s="106">
        <v>0.282608695652174</v>
      </c>
      <c r="H194" s="149" t="s">
        <v>4770</v>
      </c>
      <c r="I194" s="159">
        <v>46</v>
      </c>
      <c r="J194" s="159">
        <v>13</v>
      </c>
      <c r="K194" s="160">
        <v>0.282608695652174</v>
      </c>
      <c r="L194" s="108">
        <v>-333</v>
      </c>
      <c r="M194" s="108">
        <v>-518.333333333333</v>
      </c>
      <c r="N194" s="108">
        <v>-601.6</v>
      </c>
      <c r="O194" s="108">
        <v>-598.857142857143</v>
      </c>
      <c r="P194" s="108">
        <v>-12</v>
      </c>
      <c r="Q194" s="108">
        <v>-27.3333333333333</v>
      </c>
      <c r="R194" s="108">
        <v>-38.2</v>
      </c>
      <c r="S194" s="108">
        <v>-38.2857142857143</v>
      </c>
      <c r="T194" s="108">
        <v>-9</v>
      </c>
      <c r="U194" s="108">
        <v>-18</v>
      </c>
      <c r="V194" s="108">
        <v>-21.6</v>
      </c>
      <c r="W194" s="115">
        <v>-21.7142857142857</v>
      </c>
      <c r="X194" s="168"/>
      <c r="Y194" s="169"/>
      <c r="Z194" s="169"/>
    </row>
    <row r="195" ht="14.45" customHeight="1" spans="1:26">
      <c r="A195" s="147">
        <v>45017</v>
      </c>
      <c r="B195" s="104" t="s">
        <v>21</v>
      </c>
      <c r="C195" s="145">
        <v>1232</v>
      </c>
      <c r="D195" s="104">
        <v>31</v>
      </c>
      <c r="E195" s="106">
        <v>0.0251623376623377</v>
      </c>
      <c r="F195" s="107">
        <v>12</v>
      </c>
      <c r="G195" s="106">
        <v>0.387096774193548</v>
      </c>
      <c r="H195" s="149" t="s">
        <v>4770</v>
      </c>
      <c r="I195" s="159">
        <v>31</v>
      </c>
      <c r="J195" s="159">
        <v>12</v>
      </c>
      <c r="K195" s="160">
        <v>0.387096774193548</v>
      </c>
      <c r="L195" s="108">
        <v>145</v>
      </c>
      <c r="M195" s="108">
        <v>151</v>
      </c>
      <c r="N195" s="108">
        <v>178.4</v>
      </c>
      <c r="O195" s="108">
        <v>176.714285714286</v>
      </c>
      <c r="P195" s="108">
        <v>4</v>
      </c>
      <c r="Q195" s="108">
        <v>5.66666666666667</v>
      </c>
      <c r="R195" s="108">
        <v>-0.600000000000001</v>
      </c>
      <c r="S195" s="108">
        <v>-2.42857142857143</v>
      </c>
      <c r="T195" s="108">
        <v>1</v>
      </c>
      <c r="U195" s="108">
        <v>4.33333333333333</v>
      </c>
      <c r="V195" s="108">
        <v>1.4</v>
      </c>
      <c r="W195" s="108">
        <v>0.714285714285714</v>
      </c>
      <c r="X195" s="168"/>
      <c r="Y195" s="169"/>
      <c r="Z195" s="169"/>
    </row>
    <row r="196" ht="18.95" customHeight="1" spans="1:26">
      <c r="A196" s="147">
        <v>45017</v>
      </c>
      <c r="B196" s="104" t="s">
        <v>22</v>
      </c>
      <c r="C196" s="145">
        <v>5758</v>
      </c>
      <c r="D196" s="104">
        <v>163</v>
      </c>
      <c r="E196" s="106">
        <v>0.0283084404307051</v>
      </c>
      <c r="F196" s="107">
        <v>68</v>
      </c>
      <c r="G196" s="106">
        <v>0.417177914110429</v>
      </c>
      <c r="H196" s="149" t="s">
        <v>4770</v>
      </c>
      <c r="I196" s="159">
        <v>163</v>
      </c>
      <c r="J196" s="159">
        <v>68</v>
      </c>
      <c r="K196" s="160">
        <v>0.417177914110429</v>
      </c>
      <c r="L196" s="108">
        <v>1049</v>
      </c>
      <c r="M196" s="108">
        <v>1277</v>
      </c>
      <c r="N196" s="108">
        <v>1287</v>
      </c>
      <c r="O196" s="108">
        <v>1148.14285714286</v>
      </c>
      <c r="P196" s="108">
        <v>58</v>
      </c>
      <c r="Q196" s="108">
        <v>41.6666666666667</v>
      </c>
      <c r="R196" s="108">
        <v>41.2</v>
      </c>
      <c r="S196" s="115">
        <v>39</v>
      </c>
      <c r="T196" s="108">
        <v>36</v>
      </c>
      <c r="U196" s="108">
        <v>29.6666666666667</v>
      </c>
      <c r="V196" s="108">
        <v>27.2</v>
      </c>
      <c r="W196" s="117">
        <v>26.2857142857143</v>
      </c>
      <c r="X196" s="168"/>
      <c r="Y196" s="169"/>
      <c r="Z196" s="169"/>
    </row>
    <row r="197" ht="14.45" customHeight="1" spans="1:26">
      <c r="A197" s="147">
        <v>45017</v>
      </c>
      <c r="B197" s="104" t="s">
        <v>23</v>
      </c>
      <c r="C197" s="145">
        <v>3633</v>
      </c>
      <c r="D197" s="104">
        <v>50</v>
      </c>
      <c r="E197" s="106">
        <v>0.0137627305257363</v>
      </c>
      <c r="F197" s="107">
        <v>25</v>
      </c>
      <c r="G197" s="106">
        <v>0.5</v>
      </c>
      <c r="H197" s="149" t="s">
        <v>4770</v>
      </c>
      <c r="I197" s="159">
        <v>50</v>
      </c>
      <c r="J197" s="159">
        <v>25</v>
      </c>
      <c r="K197" s="160">
        <v>0.5</v>
      </c>
      <c r="L197" s="108">
        <v>507</v>
      </c>
      <c r="M197" s="108">
        <v>720.666666666667</v>
      </c>
      <c r="N197" s="108">
        <v>683.8</v>
      </c>
      <c r="O197" s="108">
        <v>583.857142857143</v>
      </c>
      <c r="P197" s="108">
        <v>18</v>
      </c>
      <c r="Q197" s="108">
        <v>18.3333333333333</v>
      </c>
      <c r="R197" s="108">
        <v>13.8</v>
      </c>
      <c r="S197" s="108">
        <v>11.1428571428571</v>
      </c>
      <c r="T197" s="108">
        <v>15</v>
      </c>
      <c r="U197" s="116">
        <v>16</v>
      </c>
      <c r="V197" s="108">
        <v>16.2</v>
      </c>
      <c r="W197" s="108">
        <v>14</v>
      </c>
      <c r="X197" s="168"/>
      <c r="Y197" s="168"/>
      <c r="Z197" s="168"/>
    </row>
    <row r="198" ht="14.45" customHeight="1" spans="1:26">
      <c r="A198" s="147">
        <v>45017</v>
      </c>
      <c r="B198" s="104" t="s">
        <v>24</v>
      </c>
      <c r="C198" s="145">
        <v>505</v>
      </c>
      <c r="D198" s="104">
        <v>2</v>
      </c>
      <c r="E198" s="106">
        <v>0.00396039603960396</v>
      </c>
      <c r="F198" s="107">
        <v>2</v>
      </c>
      <c r="G198" s="106">
        <v>1</v>
      </c>
      <c r="H198" s="149" t="s">
        <v>4770</v>
      </c>
      <c r="I198" s="159">
        <v>2</v>
      </c>
      <c r="J198" s="159">
        <v>2</v>
      </c>
      <c r="K198" s="160">
        <v>1</v>
      </c>
      <c r="L198" s="108">
        <v>26</v>
      </c>
      <c r="M198" s="108">
        <v>-24</v>
      </c>
      <c r="N198" s="117">
        <v>-35.2</v>
      </c>
      <c r="O198" s="108">
        <v>-83.5714285714286</v>
      </c>
      <c r="P198" s="115">
        <v>-1</v>
      </c>
      <c r="Q198" s="115">
        <v>-4</v>
      </c>
      <c r="R198" s="117">
        <v>-6.6</v>
      </c>
      <c r="S198" s="117">
        <v>-8.57142857142857</v>
      </c>
      <c r="T198" s="115">
        <v>1</v>
      </c>
      <c r="U198" s="115">
        <v>-0.333333333333333</v>
      </c>
      <c r="V198" s="115">
        <v>-1.6</v>
      </c>
      <c r="W198" s="115">
        <v>-2</v>
      </c>
      <c r="X198" s="168"/>
      <c r="Y198" s="169"/>
      <c r="Z198" s="169"/>
    </row>
    <row r="199" ht="14.45" customHeight="1" spans="1:26">
      <c r="A199" s="147">
        <v>45017</v>
      </c>
      <c r="B199" s="104" t="s">
        <v>25</v>
      </c>
      <c r="C199" s="145">
        <v>7261</v>
      </c>
      <c r="D199" s="104">
        <v>37</v>
      </c>
      <c r="E199" s="106">
        <v>0.00509571684341</v>
      </c>
      <c r="F199" s="107">
        <v>20</v>
      </c>
      <c r="G199" s="106">
        <v>0.540540540540541</v>
      </c>
      <c r="H199" s="149" t="s">
        <v>4770</v>
      </c>
      <c r="I199" s="159">
        <v>37</v>
      </c>
      <c r="J199" s="159">
        <v>20</v>
      </c>
      <c r="K199" s="160">
        <v>0.540540540540541</v>
      </c>
      <c r="L199" s="108">
        <v>1809</v>
      </c>
      <c r="M199" s="108">
        <v>1250.66666666667</v>
      </c>
      <c r="N199" s="108">
        <v>1248.6</v>
      </c>
      <c r="O199" s="108">
        <v>1647.28571428571</v>
      </c>
      <c r="P199" s="116">
        <v>7</v>
      </c>
      <c r="Q199" s="115">
        <v>0.333333333333336</v>
      </c>
      <c r="R199" s="115">
        <v>-3.6</v>
      </c>
      <c r="S199" s="115">
        <v>-4.57142857142857</v>
      </c>
      <c r="T199" s="108">
        <v>7</v>
      </c>
      <c r="U199" s="108">
        <v>-3.33333333333333</v>
      </c>
      <c r="V199" s="108">
        <v>-3.6</v>
      </c>
      <c r="W199" s="108">
        <v>-3.57142857142857</v>
      </c>
      <c r="X199" s="168"/>
      <c r="Y199" s="169"/>
      <c r="Z199" s="169"/>
    </row>
    <row r="200" ht="14.45" customHeight="1" spans="1:26">
      <c r="A200" s="147">
        <v>45017</v>
      </c>
      <c r="B200" s="104" t="s">
        <v>26</v>
      </c>
      <c r="C200" s="145">
        <v>537</v>
      </c>
      <c r="D200" s="104">
        <v>111</v>
      </c>
      <c r="E200" s="106">
        <v>0.206703910614525</v>
      </c>
      <c r="F200" s="107">
        <v>26</v>
      </c>
      <c r="G200" s="106">
        <v>0.234234234234234</v>
      </c>
      <c r="H200" s="149" t="s">
        <v>4770</v>
      </c>
      <c r="I200" s="159">
        <v>111</v>
      </c>
      <c r="J200" s="159">
        <v>26</v>
      </c>
      <c r="K200" s="166">
        <v>0.234234234234234</v>
      </c>
      <c r="L200" s="108">
        <v>49</v>
      </c>
      <c r="M200" s="108">
        <v>64.3333333333333</v>
      </c>
      <c r="N200" s="108">
        <v>105.2</v>
      </c>
      <c r="O200" s="108">
        <v>126.714285714286</v>
      </c>
      <c r="P200" s="108">
        <v>53</v>
      </c>
      <c r="Q200" s="108">
        <v>45.3333333333333</v>
      </c>
      <c r="R200" s="108">
        <v>48.8</v>
      </c>
      <c r="S200" s="108">
        <v>52.5714285714286</v>
      </c>
      <c r="T200" s="108">
        <v>11</v>
      </c>
      <c r="U200" s="108">
        <v>8.66666666666667</v>
      </c>
      <c r="V200" s="108">
        <v>7.8</v>
      </c>
      <c r="W200" s="108">
        <v>8.85714285714286</v>
      </c>
      <c r="X200" s="168"/>
      <c r="Y200" s="169"/>
      <c r="Z200" s="169"/>
    </row>
    <row r="201" ht="14.45" customHeight="1" spans="1:26">
      <c r="A201" s="147">
        <v>45017</v>
      </c>
      <c r="B201" s="104" t="s">
        <v>27</v>
      </c>
      <c r="C201" s="145">
        <v>32</v>
      </c>
      <c r="D201" s="104">
        <v>2</v>
      </c>
      <c r="E201" s="106">
        <v>0.0625</v>
      </c>
      <c r="F201" s="107">
        <v>1</v>
      </c>
      <c r="G201" s="106">
        <v>0.5</v>
      </c>
      <c r="H201" s="149" t="s">
        <v>4770</v>
      </c>
      <c r="I201" s="159">
        <v>2</v>
      </c>
      <c r="J201" s="159">
        <v>1</v>
      </c>
      <c r="K201" s="160">
        <v>0.5</v>
      </c>
      <c r="L201" s="108">
        <v>8</v>
      </c>
      <c r="M201" s="117">
        <v>2</v>
      </c>
      <c r="N201" s="117">
        <v>2.8</v>
      </c>
      <c r="O201" s="117">
        <v>2.71428571428572</v>
      </c>
      <c r="P201" s="108">
        <v>2</v>
      </c>
      <c r="Q201" s="108">
        <v>2</v>
      </c>
      <c r="R201" s="108">
        <v>1.8</v>
      </c>
      <c r="S201" s="108">
        <v>1.71428571428571</v>
      </c>
      <c r="T201" s="108">
        <v>1</v>
      </c>
      <c r="U201" s="108">
        <v>1</v>
      </c>
      <c r="V201" s="108">
        <v>1</v>
      </c>
      <c r="W201" s="108">
        <v>1</v>
      </c>
      <c r="X201" s="168"/>
      <c r="Y201" s="168"/>
      <c r="Z201" s="168"/>
    </row>
    <row r="202" ht="14.45" customHeight="1" spans="1:26">
      <c r="A202" s="147">
        <v>45017</v>
      </c>
      <c r="B202" s="104" t="s">
        <v>28</v>
      </c>
      <c r="C202" s="145">
        <v>0</v>
      </c>
      <c r="D202" s="104">
        <v>0</v>
      </c>
      <c r="E202" s="106">
        <v>0</v>
      </c>
      <c r="F202" s="107">
        <v>0</v>
      </c>
      <c r="G202" s="106">
        <v>0</v>
      </c>
      <c r="H202" s="149" t="s">
        <v>4770</v>
      </c>
      <c r="I202" s="159">
        <v>0</v>
      </c>
      <c r="J202" s="159">
        <v>0</v>
      </c>
      <c r="K202" s="160">
        <v>0</v>
      </c>
      <c r="L202" s="108">
        <v>0</v>
      </c>
      <c r="M202" s="108">
        <v>0</v>
      </c>
      <c r="N202" s="108">
        <v>0</v>
      </c>
      <c r="O202" s="108">
        <v>0</v>
      </c>
      <c r="P202" s="108">
        <v>0</v>
      </c>
      <c r="Q202" s="108">
        <v>0</v>
      </c>
      <c r="R202" s="108">
        <v>0</v>
      </c>
      <c r="S202" s="108">
        <v>0</v>
      </c>
      <c r="T202" s="108">
        <v>0</v>
      </c>
      <c r="U202" s="108">
        <v>0</v>
      </c>
      <c r="V202" s="108">
        <v>0</v>
      </c>
      <c r="W202" s="108">
        <v>0</v>
      </c>
      <c r="X202" s="168"/>
      <c r="Y202" s="168"/>
      <c r="Z202" s="168"/>
    </row>
    <row r="203" ht="14.45" customHeight="1" spans="1:26">
      <c r="A203" s="147">
        <v>45017</v>
      </c>
      <c r="B203" s="104" t="s">
        <v>29</v>
      </c>
      <c r="C203" s="145">
        <v>1</v>
      </c>
      <c r="D203" s="104">
        <v>0</v>
      </c>
      <c r="E203" s="106">
        <v>0</v>
      </c>
      <c r="F203" s="107">
        <v>0</v>
      </c>
      <c r="G203" s="106">
        <v>0</v>
      </c>
      <c r="H203" s="149" t="s">
        <v>4770</v>
      </c>
      <c r="I203" s="159">
        <v>0</v>
      </c>
      <c r="J203" s="159">
        <v>0</v>
      </c>
      <c r="K203" s="160">
        <v>0</v>
      </c>
      <c r="L203" s="108">
        <v>-6</v>
      </c>
      <c r="M203" s="108">
        <v>-3</v>
      </c>
      <c r="N203" s="108">
        <v>-1.6</v>
      </c>
      <c r="O203" s="108">
        <v>-1</v>
      </c>
      <c r="P203" s="108">
        <v>-1</v>
      </c>
      <c r="Q203" s="108">
        <v>-0.333333333333333</v>
      </c>
      <c r="R203" s="108">
        <v>-0.2</v>
      </c>
      <c r="S203" s="108">
        <v>-0.285714285714286</v>
      </c>
      <c r="T203" s="108">
        <v>0</v>
      </c>
      <c r="U203" s="108">
        <v>0</v>
      </c>
      <c r="V203" s="108">
        <v>0</v>
      </c>
      <c r="W203" s="108">
        <v>0</v>
      </c>
      <c r="X203" s="168"/>
      <c r="Y203" s="168"/>
      <c r="Z203" s="168"/>
    </row>
    <row r="204" ht="14.45" customHeight="1" spans="1:27">
      <c r="A204" s="147">
        <v>45017</v>
      </c>
      <c r="B204" s="104" t="s">
        <v>30</v>
      </c>
      <c r="C204" s="145">
        <v>0</v>
      </c>
      <c r="D204" s="104">
        <v>0</v>
      </c>
      <c r="E204" s="106">
        <v>0</v>
      </c>
      <c r="F204" s="107">
        <v>0</v>
      </c>
      <c r="G204" s="106">
        <v>0</v>
      </c>
      <c r="H204" s="149" t="s">
        <v>4770</v>
      </c>
      <c r="I204" s="159">
        <v>0</v>
      </c>
      <c r="J204" s="159">
        <v>0</v>
      </c>
      <c r="K204" s="160">
        <v>0</v>
      </c>
      <c r="L204" s="108">
        <v>0</v>
      </c>
      <c r="M204" s="108">
        <v>0</v>
      </c>
      <c r="N204" s="108">
        <v>0</v>
      </c>
      <c r="O204" s="108">
        <v>0</v>
      </c>
      <c r="P204" s="108">
        <v>0</v>
      </c>
      <c r="Q204" s="108">
        <v>0</v>
      </c>
      <c r="R204" s="108">
        <v>0</v>
      </c>
      <c r="S204" s="108">
        <v>0</v>
      </c>
      <c r="T204" s="108">
        <v>0</v>
      </c>
      <c r="U204" s="108">
        <v>0</v>
      </c>
      <c r="V204" s="108">
        <v>0</v>
      </c>
      <c r="W204" s="108">
        <v>0</v>
      </c>
      <c r="X204" s="168"/>
      <c r="Y204" s="168"/>
      <c r="Z204" s="169"/>
      <c r="AA204" s="169"/>
    </row>
    <row r="205" ht="14.45" customHeight="1" spans="1:27">
      <c r="A205" s="147">
        <v>45017</v>
      </c>
      <c r="B205" s="104" t="s">
        <v>31</v>
      </c>
      <c r="C205" s="145">
        <v>0</v>
      </c>
      <c r="D205" s="104">
        <v>0</v>
      </c>
      <c r="E205" s="106">
        <v>0</v>
      </c>
      <c r="F205" s="107">
        <v>0</v>
      </c>
      <c r="G205" s="106">
        <v>0</v>
      </c>
      <c r="H205" s="149" t="s">
        <v>4770</v>
      </c>
      <c r="I205" s="159">
        <v>0</v>
      </c>
      <c r="J205" s="159">
        <v>0</v>
      </c>
      <c r="K205" s="160">
        <v>0</v>
      </c>
      <c r="L205" s="108">
        <v>0</v>
      </c>
      <c r="M205" s="108">
        <v>0</v>
      </c>
      <c r="N205" s="108">
        <v>0</v>
      </c>
      <c r="O205" s="108">
        <v>0</v>
      </c>
      <c r="P205" s="108">
        <v>0</v>
      </c>
      <c r="Q205" s="108">
        <v>-0.333333333333333</v>
      </c>
      <c r="R205" s="108">
        <v>-0.2</v>
      </c>
      <c r="S205" s="108">
        <v>-0.142857142857143</v>
      </c>
      <c r="T205" s="108">
        <v>0</v>
      </c>
      <c r="U205" s="108">
        <v>0</v>
      </c>
      <c r="V205" s="108">
        <v>0</v>
      </c>
      <c r="W205" s="108">
        <v>0</v>
      </c>
      <c r="X205" s="168"/>
      <c r="Y205" s="168"/>
      <c r="Z205" s="169"/>
      <c r="AA205" s="169"/>
    </row>
    <row r="206" ht="14.45" customHeight="1" spans="1:27">
      <c r="A206" s="147">
        <v>45017</v>
      </c>
      <c r="B206" s="104" t="s">
        <v>32</v>
      </c>
      <c r="C206" s="145">
        <v>0</v>
      </c>
      <c r="D206" s="104">
        <v>0</v>
      </c>
      <c r="E206" s="106">
        <v>0</v>
      </c>
      <c r="F206" s="107">
        <v>0</v>
      </c>
      <c r="G206" s="106">
        <v>0</v>
      </c>
      <c r="H206" s="149" t="s">
        <v>4770</v>
      </c>
      <c r="I206" s="159">
        <v>0</v>
      </c>
      <c r="J206" s="159">
        <v>0</v>
      </c>
      <c r="K206" s="160">
        <v>0</v>
      </c>
      <c r="L206" s="108">
        <v>0</v>
      </c>
      <c r="M206" s="108">
        <v>0</v>
      </c>
      <c r="N206" s="108">
        <v>0</v>
      </c>
      <c r="O206" s="108">
        <v>0</v>
      </c>
      <c r="P206" s="108">
        <v>0</v>
      </c>
      <c r="Q206" s="108">
        <v>0</v>
      </c>
      <c r="R206" s="108">
        <v>0</v>
      </c>
      <c r="S206" s="108">
        <v>0</v>
      </c>
      <c r="T206" s="108">
        <v>0</v>
      </c>
      <c r="U206" s="108">
        <v>0</v>
      </c>
      <c r="V206" s="108">
        <v>0</v>
      </c>
      <c r="W206" s="108">
        <v>0</v>
      </c>
      <c r="X206" s="168"/>
      <c r="Y206" s="168"/>
      <c r="Z206" s="169"/>
      <c r="AA206" s="169"/>
    </row>
    <row r="207" spans="1:23">
      <c r="A207" s="147">
        <v>45017</v>
      </c>
      <c r="B207" s="104" t="s">
        <v>33</v>
      </c>
      <c r="C207" s="145">
        <v>0</v>
      </c>
      <c r="D207" s="104">
        <v>0</v>
      </c>
      <c r="E207" s="106">
        <v>0</v>
      </c>
      <c r="F207" s="107">
        <v>0</v>
      </c>
      <c r="G207" s="106">
        <v>0</v>
      </c>
      <c r="H207" s="149" t="s">
        <v>4770</v>
      </c>
      <c r="I207" s="159">
        <v>0</v>
      </c>
      <c r="J207" s="159">
        <v>0</v>
      </c>
      <c r="K207" s="160">
        <v>0</v>
      </c>
      <c r="L207" s="108">
        <v>0</v>
      </c>
      <c r="M207" s="108">
        <v>0</v>
      </c>
      <c r="N207" s="108">
        <v>0</v>
      </c>
      <c r="O207" s="108">
        <v>0</v>
      </c>
      <c r="P207" s="108">
        <v>-1</v>
      </c>
      <c r="Q207" s="108">
        <v>-0.333333333333333</v>
      </c>
      <c r="R207" s="108">
        <v>-0.2</v>
      </c>
      <c r="S207" s="108">
        <v>-0.142857142857143</v>
      </c>
      <c r="T207" s="108">
        <v>0</v>
      </c>
      <c r="U207" s="108">
        <v>0</v>
      </c>
      <c r="V207" s="108">
        <v>0</v>
      </c>
      <c r="W207" s="108">
        <v>0</v>
      </c>
    </row>
    <row r="208" hidden="1" spans="1:23">
      <c r="A208" s="147">
        <v>45017</v>
      </c>
      <c r="B208" s="104" t="s">
        <v>34</v>
      </c>
      <c r="C208" s="145">
        <v>0</v>
      </c>
      <c r="D208" s="104">
        <v>0</v>
      </c>
      <c r="E208" s="106">
        <v>0</v>
      </c>
      <c r="F208" s="107">
        <v>0</v>
      </c>
      <c r="G208" s="106">
        <v>0</v>
      </c>
      <c r="H208" s="149" t="s">
        <v>4770</v>
      </c>
      <c r="I208" s="159">
        <v>0</v>
      </c>
      <c r="J208" s="159">
        <v>0</v>
      </c>
      <c r="K208" s="166">
        <v>0</v>
      </c>
      <c r="L208" s="108">
        <v>0</v>
      </c>
      <c r="M208" s="108">
        <v>0</v>
      </c>
      <c r="N208" s="108">
        <v>0</v>
      </c>
      <c r="O208" s="108">
        <v>0</v>
      </c>
      <c r="P208" s="108">
        <v>0</v>
      </c>
      <c r="Q208" s="108">
        <v>0</v>
      </c>
      <c r="R208" s="108">
        <v>0</v>
      </c>
      <c r="S208" s="108">
        <v>0</v>
      </c>
      <c r="T208" s="108">
        <v>0</v>
      </c>
      <c r="U208" s="108">
        <v>0</v>
      </c>
      <c r="V208" s="108">
        <v>0</v>
      </c>
      <c r="W208" s="108">
        <v>0</v>
      </c>
    </row>
    <row r="209" hidden="1" spans="1:23">
      <c r="A209" s="147">
        <v>45017</v>
      </c>
      <c r="B209" s="104" t="s">
        <v>35</v>
      </c>
      <c r="C209" s="145">
        <v>0</v>
      </c>
      <c r="D209" s="104">
        <v>0</v>
      </c>
      <c r="E209" s="106">
        <v>0</v>
      </c>
      <c r="F209" s="107">
        <v>0</v>
      </c>
      <c r="G209" s="106">
        <v>0</v>
      </c>
      <c r="H209" s="149" t="s">
        <v>4770</v>
      </c>
      <c r="I209" s="159">
        <v>0</v>
      </c>
      <c r="J209" s="159">
        <v>0</v>
      </c>
      <c r="K209" s="166">
        <v>0</v>
      </c>
      <c r="L209" s="108">
        <v>0</v>
      </c>
      <c r="M209" s="108">
        <v>0</v>
      </c>
      <c r="N209" s="108">
        <v>0</v>
      </c>
      <c r="O209" s="108">
        <v>0</v>
      </c>
      <c r="P209" s="108">
        <v>0</v>
      </c>
      <c r="Q209" s="108">
        <v>0</v>
      </c>
      <c r="R209" s="108">
        <v>0</v>
      </c>
      <c r="S209" s="108">
        <v>0</v>
      </c>
      <c r="T209" s="108">
        <v>0</v>
      </c>
      <c r="U209" s="108">
        <v>0</v>
      </c>
      <c r="V209" s="108">
        <v>0</v>
      </c>
      <c r="W209" s="108">
        <v>0</v>
      </c>
    </row>
    <row r="210" hidden="1" spans="1:23">
      <c r="A210" s="147">
        <v>45017</v>
      </c>
      <c r="B210" s="104" t="s">
        <v>36</v>
      </c>
      <c r="C210" s="145">
        <v>0</v>
      </c>
      <c r="D210" s="104">
        <v>0</v>
      </c>
      <c r="E210" s="106">
        <v>0</v>
      </c>
      <c r="F210" s="107">
        <v>0</v>
      </c>
      <c r="G210" s="106">
        <v>0</v>
      </c>
      <c r="H210" s="149" t="s">
        <v>4770</v>
      </c>
      <c r="I210" s="159">
        <v>0</v>
      </c>
      <c r="J210" s="159">
        <v>0</v>
      </c>
      <c r="K210" s="166">
        <v>0</v>
      </c>
      <c r="L210" s="108">
        <v>0</v>
      </c>
      <c r="M210" s="108">
        <v>0</v>
      </c>
      <c r="N210" s="108">
        <v>0</v>
      </c>
      <c r="O210" s="108">
        <v>0</v>
      </c>
      <c r="P210" s="108">
        <v>0</v>
      </c>
      <c r="Q210" s="108">
        <v>0</v>
      </c>
      <c r="R210" s="108">
        <v>0</v>
      </c>
      <c r="S210" s="108">
        <v>0</v>
      </c>
      <c r="T210" s="108">
        <v>0</v>
      </c>
      <c r="U210" s="108">
        <v>0</v>
      </c>
      <c r="V210" s="108">
        <v>0</v>
      </c>
      <c r="W210" s="108">
        <v>0</v>
      </c>
    </row>
    <row r="211" hidden="1" spans="1:23">
      <c r="A211" s="147">
        <v>45017</v>
      </c>
      <c r="B211" s="104" t="s">
        <v>37</v>
      </c>
      <c r="C211" s="145">
        <v>0</v>
      </c>
      <c r="D211" s="104">
        <v>0</v>
      </c>
      <c r="E211" s="106">
        <v>0</v>
      </c>
      <c r="F211" s="107">
        <v>0</v>
      </c>
      <c r="G211" s="106">
        <v>0</v>
      </c>
      <c r="H211" s="149" t="s">
        <v>4770</v>
      </c>
      <c r="I211" s="159">
        <v>0</v>
      </c>
      <c r="J211" s="159">
        <v>0</v>
      </c>
      <c r="K211" s="166">
        <v>0</v>
      </c>
      <c r="L211" s="108">
        <v>0</v>
      </c>
      <c r="M211" s="108">
        <v>0</v>
      </c>
      <c r="N211" s="108">
        <v>0</v>
      </c>
      <c r="O211" s="108">
        <v>0</v>
      </c>
      <c r="P211" s="108">
        <v>0</v>
      </c>
      <c r="Q211" s="108">
        <v>0</v>
      </c>
      <c r="R211" s="108">
        <v>0</v>
      </c>
      <c r="S211" s="108">
        <v>0</v>
      </c>
      <c r="T211" s="108">
        <v>0</v>
      </c>
      <c r="U211" s="108">
        <v>0</v>
      </c>
      <c r="V211" s="108">
        <v>0</v>
      </c>
      <c r="W211" s="108">
        <v>0</v>
      </c>
    </row>
    <row r="212" hidden="1" spans="1:23">
      <c r="A212" s="147">
        <v>45017</v>
      </c>
      <c r="B212" s="104" t="s">
        <v>38</v>
      </c>
      <c r="C212" s="145">
        <v>0</v>
      </c>
      <c r="D212" s="104">
        <v>0</v>
      </c>
      <c r="E212" s="106">
        <v>0</v>
      </c>
      <c r="F212" s="107">
        <v>0</v>
      </c>
      <c r="G212" s="106">
        <v>0</v>
      </c>
      <c r="H212" s="149" t="s">
        <v>4770</v>
      </c>
      <c r="I212" s="159">
        <v>0</v>
      </c>
      <c r="J212" s="159">
        <v>0</v>
      </c>
      <c r="K212" s="166">
        <v>0</v>
      </c>
      <c r="L212" s="108">
        <v>0</v>
      </c>
      <c r="M212" s="108">
        <v>0</v>
      </c>
      <c r="N212" s="108">
        <v>0</v>
      </c>
      <c r="O212" s="108">
        <v>0</v>
      </c>
      <c r="P212" s="108">
        <v>0</v>
      </c>
      <c r="Q212" s="108">
        <v>0</v>
      </c>
      <c r="R212" s="108">
        <v>0</v>
      </c>
      <c r="S212" s="108">
        <v>0</v>
      </c>
      <c r="T212" s="108">
        <v>0</v>
      </c>
      <c r="U212" s="108">
        <v>0</v>
      </c>
      <c r="V212" s="108">
        <v>0</v>
      </c>
      <c r="W212" s="108">
        <v>0</v>
      </c>
    </row>
    <row r="213" spans="1:23">
      <c r="A213" s="147">
        <v>45017</v>
      </c>
      <c r="B213" s="111" t="s">
        <v>39</v>
      </c>
      <c r="C213" s="112">
        <v>20121</v>
      </c>
      <c r="D213" s="112">
        <v>482</v>
      </c>
      <c r="E213" s="113">
        <v>0.0239550718155161</v>
      </c>
      <c r="F213" s="112">
        <v>173</v>
      </c>
      <c r="G213" s="113">
        <v>0.358921161825726</v>
      </c>
      <c r="H213" s="150" t="s">
        <v>4770</v>
      </c>
      <c r="I213" s="162">
        <v>482</v>
      </c>
      <c r="J213" s="162">
        <v>173</v>
      </c>
      <c r="K213" s="167">
        <v>0.358921161825726</v>
      </c>
      <c r="L213" s="108"/>
      <c r="M213" s="108"/>
      <c r="N213" s="108"/>
      <c r="O213" s="108"/>
      <c r="P213" s="108"/>
      <c r="Q213" s="108"/>
      <c r="R213" s="108"/>
      <c r="S213" s="108"/>
      <c r="T213" s="108"/>
      <c r="U213" s="108"/>
      <c r="V213" s="108"/>
      <c r="W213" s="108"/>
    </row>
    <row r="214" spans="1:23">
      <c r="A214" s="147">
        <v>45018</v>
      </c>
      <c r="B214" s="104" t="s">
        <v>17</v>
      </c>
      <c r="C214" s="105">
        <v>32</v>
      </c>
      <c r="D214" s="104">
        <v>29</v>
      </c>
      <c r="E214" s="106">
        <v>0.90625</v>
      </c>
      <c r="F214" s="107">
        <v>6</v>
      </c>
      <c r="G214" s="106">
        <v>0.206896551724138</v>
      </c>
      <c r="H214" s="148" t="s">
        <v>4770</v>
      </c>
      <c r="I214" s="157">
        <v>29</v>
      </c>
      <c r="J214" s="157">
        <v>6</v>
      </c>
      <c r="K214" s="158">
        <v>0.206896551724138</v>
      </c>
      <c r="L214" s="108">
        <v>-22</v>
      </c>
      <c r="M214" s="108">
        <v>-19.3333333333333</v>
      </c>
      <c r="N214" s="108">
        <v>-30.8</v>
      </c>
      <c r="O214" s="108">
        <v>-63.4285714285714</v>
      </c>
      <c r="P214" s="108">
        <v>-11</v>
      </c>
      <c r="Q214" s="108">
        <v>-3.33333333333334</v>
      </c>
      <c r="R214" s="108">
        <v>-0.399999999999999</v>
      </c>
      <c r="S214" s="108">
        <v>0.571428571428573</v>
      </c>
      <c r="T214" s="108">
        <v>0</v>
      </c>
      <c r="U214" s="108">
        <v>0.666666666666667</v>
      </c>
      <c r="V214" s="108">
        <v>1.2</v>
      </c>
      <c r="W214" s="108">
        <v>1.42857142857143</v>
      </c>
    </row>
    <row r="215" spans="1:23">
      <c r="A215" s="147">
        <v>45018</v>
      </c>
      <c r="B215" s="104" t="s">
        <v>19</v>
      </c>
      <c r="C215" s="107">
        <v>747</v>
      </c>
      <c r="D215" s="104">
        <v>22</v>
      </c>
      <c r="E215" s="106">
        <v>0.0294511378848728</v>
      </c>
      <c r="F215" s="107">
        <v>16</v>
      </c>
      <c r="G215" s="106">
        <v>0.727272727272727</v>
      </c>
      <c r="H215" s="149" t="s">
        <v>4770</v>
      </c>
      <c r="I215" s="159">
        <v>22</v>
      </c>
      <c r="J215" s="159">
        <v>16</v>
      </c>
      <c r="K215" s="160">
        <v>0.727272727272727</v>
      </c>
      <c r="L215" s="108">
        <v>-361</v>
      </c>
      <c r="M215" s="108">
        <v>-685.333333333333</v>
      </c>
      <c r="N215" s="108">
        <v>-809</v>
      </c>
      <c r="O215" s="108">
        <v>-883.285714285714</v>
      </c>
      <c r="P215" s="108">
        <v>-24</v>
      </c>
      <c r="Q215" s="108">
        <v>-38.3333333333333</v>
      </c>
      <c r="R215" s="108">
        <v>-51</v>
      </c>
      <c r="S215" s="108">
        <v>-56.5714285714286</v>
      </c>
      <c r="T215" s="108">
        <v>3</v>
      </c>
      <c r="U215" s="108">
        <v>-6</v>
      </c>
      <c r="V215" s="108">
        <v>-13.2</v>
      </c>
      <c r="W215" s="115">
        <v>-16.1428571428571</v>
      </c>
    </row>
    <row r="216" spans="1:23">
      <c r="A216" s="147">
        <v>45018</v>
      </c>
      <c r="B216" s="104" t="s">
        <v>21</v>
      </c>
      <c r="C216" s="145">
        <v>1250</v>
      </c>
      <c r="D216" s="104">
        <v>23</v>
      </c>
      <c r="E216" s="106">
        <v>0.0184</v>
      </c>
      <c r="F216" s="107">
        <v>9</v>
      </c>
      <c r="G216" s="106">
        <v>0.391304347826087</v>
      </c>
      <c r="H216" s="149" t="s">
        <v>4770</v>
      </c>
      <c r="I216" s="159">
        <v>23</v>
      </c>
      <c r="J216" s="159">
        <v>9</v>
      </c>
      <c r="K216" s="160">
        <v>0.391304347826087</v>
      </c>
      <c r="L216" s="108">
        <v>18</v>
      </c>
      <c r="M216" s="108">
        <v>97.6666666666667</v>
      </c>
      <c r="N216" s="108">
        <v>159.2</v>
      </c>
      <c r="O216" s="108">
        <v>165.428571428571</v>
      </c>
      <c r="P216" s="108">
        <v>-8</v>
      </c>
      <c r="Q216" s="108">
        <v>-3.66666666666667</v>
      </c>
      <c r="R216" s="108">
        <v>-5.6</v>
      </c>
      <c r="S216" s="108">
        <v>-8.57142857142857</v>
      </c>
      <c r="T216" s="108">
        <v>-3</v>
      </c>
      <c r="U216" s="108">
        <v>-0.333333333333334</v>
      </c>
      <c r="V216" s="108">
        <v>-0.800000000000001</v>
      </c>
      <c r="W216" s="108">
        <v>-2.14285714285714</v>
      </c>
    </row>
    <row r="217" spans="1:23">
      <c r="A217" s="147">
        <v>45018</v>
      </c>
      <c r="B217" s="104" t="s">
        <v>22</v>
      </c>
      <c r="C217" s="145">
        <v>5679</v>
      </c>
      <c r="D217" s="104">
        <v>156</v>
      </c>
      <c r="E217" s="106">
        <v>0.0274696249339672</v>
      </c>
      <c r="F217" s="107">
        <v>54</v>
      </c>
      <c r="G217" s="106">
        <v>0.346153846153846</v>
      </c>
      <c r="H217" s="149" t="s">
        <v>4770</v>
      </c>
      <c r="I217" s="159">
        <v>156</v>
      </c>
      <c r="J217" s="159">
        <v>54</v>
      </c>
      <c r="K217" s="160">
        <v>0.346153846153846</v>
      </c>
      <c r="L217" s="108">
        <v>-79</v>
      </c>
      <c r="M217" s="108">
        <v>751.333333333333</v>
      </c>
      <c r="N217" s="108">
        <v>992.4</v>
      </c>
      <c r="O217" s="108">
        <v>975.714285714285</v>
      </c>
      <c r="P217" s="108">
        <v>-7</v>
      </c>
      <c r="Q217" s="108">
        <v>22</v>
      </c>
      <c r="R217" s="108">
        <v>24</v>
      </c>
      <c r="S217" s="115">
        <v>28</v>
      </c>
      <c r="T217" s="108">
        <v>-14</v>
      </c>
      <c r="U217" s="108">
        <v>5.66666666666666</v>
      </c>
      <c r="V217" s="108">
        <v>7.6</v>
      </c>
      <c r="W217" s="117">
        <v>10.1428571428571</v>
      </c>
    </row>
    <row r="218" spans="1:23">
      <c r="A218" s="147">
        <v>45018</v>
      </c>
      <c r="B218" s="104" t="s">
        <v>23</v>
      </c>
      <c r="C218" s="145">
        <v>3642</v>
      </c>
      <c r="D218" s="104">
        <v>45</v>
      </c>
      <c r="E218" s="106">
        <v>0.0123558484349259</v>
      </c>
      <c r="F218" s="107">
        <v>11</v>
      </c>
      <c r="G218" s="106">
        <v>0.244444444444444</v>
      </c>
      <c r="H218" s="149" t="s">
        <v>4770</v>
      </c>
      <c r="I218" s="159">
        <v>45</v>
      </c>
      <c r="J218" s="159">
        <v>11</v>
      </c>
      <c r="K218" s="160">
        <v>0.244444444444444</v>
      </c>
      <c r="L218" s="108">
        <v>9</v>
      </c>
      <c r="M218" s="108">
        <v>480.333333333333</v>
      </c>
      <c r="N218" s="108">
        <v>579.8</v>
      </c>
      <c r="O218" s="108">
        <v>564.571428571428</v>
      </c>
      <c r="P218" s="108">
        <v>-5</v>
      </c>
      <c r="Q218" s="108">
        <v>10</v>
      </c>
      <c r="R218" s="108">
        <v>6.2</v>
      </c>
      <c r="S218" s="108">
        <v>5.85714285714285</v>
      </c>
      <c r="T218" s="108">
        <v>-14</v>
      </c>
      <c r="U218" s="116">
        <v>-2.33333333333333</v>
      </c>
      <c r="V218" s="108">
        <v>-1</v>
      </c>
      <c r="W218" s="108">
        <v>-1</v>
      </c>
    </row>
    <row r="219" spans="1:23">
      <c r="A219" s="147">
        <v>45018</v>
      </c>
      <c r="B219" s="104" t="s">
        <v>24</v>
      </c>
      <c r="C219" s="145">
        <v>500</v>
      </c>
      <c r="D219" s="104">
        <v>7</v>
      </c>
      <c r="E219" s="106">
        <v>0.014</v>
      </c>
      <c r="F219" s="107">
        <v>3</v>
      </c>
      <c r="G219" s="106">
        <v>0.428571428571429</v>
      </c>
      <c r="H219" s="149" t="s">
        <v>4770</v>
      </c>
      <c r="I219" s="159">
        <v>7</v>
      </c>
      <c r="J219" s="159">
        <v>3</v>
      </c>
      <c r="K219" s="160">
        <v>0.428571428571429</v>
      </c>
      <c r="L219" s="108">
        <v>-5</v>
      </c>
      <c r="M219" s="108">
        <v>-17.3333333333334</v>
      </c>
      <c r="N219" s="108">
        <v>-21.8</v>
      </c>
      <c r="O219" s="108">
        <v>-54.5714285714286</v>
      </c>
      <c r="P219" s="115">
        <v>5</v>
      </c>
      <c r="Q219" s="115">
        <v>3</v>
      </c>
      <c r="R219" s="117">
        <v>1</v>
      </c>
      <c r="S219" s="117">
        <v>-0.714285714285714</v>
      </c>
      <c r="T219" s="115">
        <v>1</v>
      </c>
      <c r="U219" s="115">
        <v>1.33333333333333</v>
      </c>
      <c r="V219" s="115">
        <v>0</v>
      </c>
      <c r="W219" s="115">
        <v>-0.285714285714286</v>
      </c>
    </row>
    <row r="220" spans="1:23">
      <c r="A220" s="147">
        <v>45018</v>
      </c>
      <c r="B220" s="104" t="s">
        <v>25</v>
      </c>
      <c r="C220" s="145">
        <v>9358</v>
      </c>
      <c r="D220" s="104">
        <v>49</v>
      </c>
      <c r="E220" s="106">
        <v>0.00523616157298568</v>
      </c>
      <c r="F220" s="107">
        <v>21</v>
      </c>
      <c r="G220" s="106">
        <v>0.428571428571429</v>
      </c>
      <c r="H220" s="149" t="s">
        <v>4770</v>
      </c>
      <c r="I220" s="159">
        <v>49</v>
      </c>
      <c r="J220" s="159">
        <v>21</v>
      </c>
      <c r="K220" s="160">
        <v>0.428571428571429</v>
      </c>
      <c r="L220" s="108">
        <v>2097</v>
      </c>
      <c r="M220" s="108">
        <v>2957</v>
      </c>
      <c r="N220" s="108">
        <v>2987.8</v>
      </c>
      <c r="O220" s="108">
        <v>3292.28571428571</v>
      </c>
      <c r="P220" s="116">
        <v>12</v>
      </c>
      <c r="Q220" s="115">
        <v>13.3333333333333</v>
      </c>
      <c r="R220" s="115">
        <v>11</v>
      </c>
      <c r="S220" s="115">
        <v>9.28571428571428</v>
      </c>
      <c r="T220" s="108">
        <v>1</v>
      </c>
      <c r="U220" s="108">
        <v>0</v>
      </c>
      <c r="V220" s="108">
        <v>-3</v>
      </c>
      <c r="W220" s="108">
        <v>-2.71428571428572</v>
      </c>
    </row>
    <row r="221" spans="1:23">
      <c r="A221" s="147">
        <v>45018</v>
      </c>
      <c r="B221" s="104" t="s">
        <v>26</v>
      </c>
      <c r="C221" s="145">
        <v>528</v>
      </c>
      <c r="D221" s="104">
        <v>90</v>
      </c>
      <c r="E221" s="106">
        <v>0.170454545454545</v>
      </c>
      <c r="F221" s="107">
        <v>21</v>
      </c>
      <c r="G221" s="106">
        <v>0.233333333333333</v>
      </c>
      <c r="H221" s="149" t="s">
        <v>4770</v>
      </c>
      <c r="I221" s="159">
        <v>90</v>
      </c>
      <c r="J221" s="159">
        <v>21</v>
      </c>
      <c r="K221" s="166">
        <v>0.233333333333333</v>
      </c>
      <c r="L221" s="108">
        <v>-9</v>
      </c>
      <c r="M221" s="108">
        <v>30</v>
      </c>
      <c r="N221" s="108">
        <v>57.2</v>
      </c>
      <c r="O221" s="108">
        <v>94.4285714285714</v>
      </c>
      <c r="P221" s="108">
        <v>-21</v>
      </c>
      <c r="Q221" s="108">
        <v>5.33333333333333</v>
      </c>
      <c r="R221" s="108">
        <v>16.2</v>
      </c>
      <c r="S221" s="108">
        <v>22.4285714285714</v>
      </c>
      <c r="T221" s="108">
        <v>-5</v>
      </c>
      <c r="U221" s="108">
        <v>1</v>
      </c>
      <c r="V221" s="108">
        <v>0.600000000000001</v>
      </c>
      <c r="W221" s="108">
        <v>2</v>
      </c>
    </row>
    <row r="222" spans="1:23">
      <c r="A222" s="147">
        <v>45018</v>
      </c>
      <c r="B222" s="104" t="s">
        <v>27</v>
      </c>
      <c r="C222" s="145">
        <v>44</v>
      </c>
      <c r="D222" s="104">
        <v>0</v>
      </c>
      <c r="E222" s="106">
        <v>0</v>
      </c>
      <c r="F222" s="107">
        <v>0</v>
      </c>
      <c r="G222" s="106">
        <v>0</v>
      </c>
      <c r="H222" s="149" t="s">
        <v>4770</v>
      </c>
      <c r="I222" s="159">
        <v>0</v>
      </c>
      <c r="J222" s="159">
        <v>0</v>
      </c>
      <c r="K222" s="160">
        <v>0</v>
      </c>
      <c r="L222" s="108">
        <v>12</v>
      </c>
      <c r="M222" s="108">
        <v>17</v>
      </c>
      <c r="N222" s="108">
        <v>14</v>
      </c>
      <c r="O222" s="108">
        <v>14.4285714285714</v>
      </c>
      <c r="P222" s="108">
        <v>-2</v>
      </c>
      <c r="Q222" s="108">
        <v>-0.666666666666667</v>
      </c>
      <c r="R222" s="108">
        <v>-0.4</v>
      </c>
      <c r="S222" s="108">
        <v>-0.571428571428571</v>
      </c>
      <c r="T222" s="108">
        <v>-1</v>
      </c>
      <c r="U222" s="108">
        <v>-0.333333333333333</v>
      </c>
      <c r="V222" s="108">
        <v>-0.2</v>
      </c>
      <c r="W222" s="108">
        <v>-0.142857142857143</v>
      </c>
    </row>
    <row r="223" spans="1:23">
      <c r="A223" s="147">
        <v>45018</v>
      </c>
      <c r="B223" s="104" t="s">
        <v>28</v>
      </c>
      <c r="C223" s="145">
        <v>0</v>
      </c>
      <c r="D223" s="104">
        <v>0</v>
      </c>
      <c r="E223" s="106">
        <v>0</v>
      </c>
      <c r="F223" s="107">
        <v>0</v>
      </c>
      <c r="G223" s="106">
        <v>0</v>
      </c>
      <c r="H223" s="149" t="s">
        <v>4770</v>
      </c>
      <c r="I223" s="159">
        <v>0</v>
      </c>
      <c r="J223" s="159">
        <v>0</v>
      </c>
      <c r="K223" s="160">
        <v>0</v>
      </c>
      <c r="L223" s="108">
        <v>0</v>
      </c>
      <c r="M223" s="108">
        <v>0</v>
      </c>
      <c r="N223" s="108">
        <v>0</v>
      </c>
      <c r="O223" s="108">
        <v>0</v>
      </c>
      <c r="P223" s="108">
        <v>0</v>
      </c>
      <c r="Q223" s="108">
        <v>0</v>
      </c>
      <c r="R223" s="108">
        <v>0</v>
      </c>
      <c r="S223" s="108">
        <v>0</v>
      </c>
      <c r="T223" s="108">
        <v>0</v>
      </c>
      <c r="U223" s="108">
        <v>0</v>
      </c>
      <c r="V223" s="108">
        <v>0</v>
      </c>
      <c r="W223" s="108">
        <v>0</v>
      </c>
    </row>
    <row r="224" spans="1:23">
      <c r="A224" s="147">
        <v>45018</v>
      </c>
      <c r="B224" s="104" t="s">
        <v>29</v>
      </c>
      <c r="C224" s="145">
        <v>3</v>
      </c>
      <c r="D224" s="104">
        <v>0</v>
      </c>
      <c r="E224" s="106">
        <v>0</v>
      </c>
      <c r="F224" s="107">
        <v>0</v>
      </c>
      <c r="G224" s="106">
        <v>0</v>
      </c>
      <c r="H224" s="149" t="s">
        <v>4770</v>
      </c>
      <c r="I224" s="159">
        <v>0</v>
      </c>
      <c r="J224" s="159">
        <v>0</v>
      </c>
      <c r="K224" s="160">
        <v>0</v>
      </c>
      <c r="L224" s="108">
        <v>2</v>
      </c>
      <c r="M224" s="108">
        <v>-0.333333333333333</v>
      </c>
      <c r="N224" s="108">
        <v>0.2</v>
      </c>
      <c r="O224" s="108">
        <v>0.857142857142857</v>
      </c>
      <c r="P224" s="108">
        <v>0</v>
      </c>
      <c r="Q224" s="108">
        <v>-0.333333333333333</v>
      </c>
      <c r="R224" s="108">
        <v>-0.2</v>
      </c>
      <c r="S224" s="108">
        <v>-0.142857142857143</v>
      </c>
      <c r="T224" s="108">
        <v>0</v>
      </c>
      <c r="U224" s="108">
        <v>0</v>
      </c>
      <c r="V224" s="108">
        <v>0</v>
      </c>
      <c r="W224" s="108">
        <v>0</v>
      </c>
    </row>
    <row r="225" hidden="1" spans="1:23">
      <c r="A225" s="147">
        <v>45018</v>
      </c>
      <c r="B225" s="104" t="s">
        <v>30</v>
      </c>
      <c r="C225" s="145">
        <v>0</v>
      </c>
      <c r="D225" s="104">
        <v>0</v>
      </c>
      <c r="E225" s="106">
        <v>0</v>
      </c>
      <c r="F225" s="107">
        <v>0</v>
      </c>
      <c r="G225" s="106">
        <v>0</v>
      </c>
      <c r="H225" s="149" t="s">
        <v>4770</v>
      </c>
      <c r="I225" s="159">
        <v>0</v>
      </c>
      <c r="J225" s="159">
        <v>0</v>
      </c>
      <c r="K225" s="160">
        <v>0</v>
      </c>
      <c r="L225" s="108">
        <v>0</v>
      </c>
      <c r="M225" s="108">
        <v>0</v>
      </c>
      <c r="N225" s="108">
        <v>0</v>
      </c>
      <c r="O225" s="108">
        <v>0</v>
      </c>
      <c r="P225" s="108">
        <v>0</v>
      </c>
      <c r="Q225" s="108">
        <v>0</v>
      </c>
      <c r="R225" s="108">
        <v>0</v>
      </c>
      <c r="S225" s="108">
        <v>0</v>
      </c>
      <c r="T225" s="108">
        <v>0</v>
      </c>
      <c r="U225" s="108">
        <v>0</v>
      </c>
      <c r="V225" s="108">
        <v>0</v>
      </c>
      <c r="W225" s="108">
        <v>0</v>
      </c>
    </row>
    <row r="226" hidden="1" spans="1:23">
      <c r="A226" s="147">
        <v>45018</v>
      </c>
      <c r="B226" s="104" t="s">
        <v>31</v>
      </c>
      <c r="C226" s="145">
        <v>0</v>
      </c>
      <c r="D226" s="104">
        <v>0</v>
      </c>
      <c r="E226" s="106">
        <v>0</v>
      </c>
      <c r="F226" s="107">
        <v>0</v>
      </c>
      <c r="G226" s="106">
        <v>0</v>
      </c>
      <c r="H226" s="149" t="s">
        <v>4770</v>
      </c>
      <c r="I226" s="159">
        <v>0</v>
      </c>
      <c r="J226" s="159">
        <v>0</v>
      </c>
      <c r="K226" s="160">
        <v>0</v>
      </c>
      <c r="L226" s="108">
        <v>0</v>
      </c>
      <c r="M226" s="108">
        <v>0</v>
      </c>
      <c r="N226" s="108">
        <v>0</v>
      </c>
      <c r="O226" s="108">
        <v>0</v>
      </c>
      <c r="P226" s="108">
        <v>0</v>
      </c>
      <c r="Q226" s="108">
        <v>-0.333333333333333</v>
      </c>
      <c r="R226" s="108">
        <v>-0.2</v>
      </c>
      <c r="S226" s="108">
        <v>-0.142857142857143</v>
      </c>
      <c r="T226" s="108">
        <v>0</v>
      </c>
      <c r="U226" s="108">
        <v>0</v>
      </c>
      <c r="V226" s="108">
        <v>0</v>
      </c>
      <c r="W226" s="108">
        <v>0</v>
      </c>
    </row>
    <row r="227" hidden="1" spans="1:23">
      <c r="A227" s="147">
        <v>45018</v>
      </c>
      <c r="B227" s="104" t="s">
        <v>32</v>
      </c>
      <c r="C227" s="145">
        <v>0</v>
      </c>
      <c r="D227" s="104">
        <v>0</v>
      </c>
      <c r="E227" s="106">
        <v>0</v>
      </c>
      <c r="F227" s="107">
        <v>0</v>
      </c>
      <c r="G227" s="106">
        <v>0</v>
      </c>
      <c r="H227" s="149" t="s">
        <v>4770</v>
      </c>
      <c r="I227" s="159">
        <v>0</v>
      </c>
      <c r="J227" s="159">
        <v>0</v>
      </c>
      <c r="K227" s="160">
        <v>0</v>
      </c>
      <c r="L227" s="108">
        <v>0</v>
      </c>
      <c r="M227" s="108">
        <v>0</v>
      </c>
      <c r="N227" s="108">
        <v>0</v>
      </c>
      <c r="O227" s="108">
        <v>0</v>
      </c>
      <c r="P227" s="108">
        <v>0</v>
      </c>
      <c r="Q227" s="108">
        <v>0</v>
      </c>
      <c r="R227" s="108">
        <v>0</v>
      </c>
      <c r="S227" s="108">
        <v>0</v>
      </c>
      <c r="T227" s="108">
        <v>0</v>
      </c>
      <c r="U227" s="108">
        <v>0</v>
      </c>
      <c r="V227" s="108">
        <v>0</v>
      </c>
      <c r="W227" s="108">
        <v>0</v>
      </c>
    </row>
    <row r="228" hidden="1" spans="1:23">
      <c r="A228" s="147">
        <v>45018</v>
      </c>
      <c r="B228" s="104" t="s">
        <v>33</v>
      </c>
      <c r="C228" s="145">
        <v>0</v>
      </c>
      <c r="D228" s="104">
        <v>0</v>
      </c>
      <c r="E228" s="106">
        <v>0</v>
      </c>
      <c r="F228" s="107">
        <v>0</v>
      </c>
      <c r="G228" s="106">
        <v>0</v>
      </c>
      <c r="H228" s="149" t="s">
        <v>4770</v>
      </c>
      <c r="I228" s="159">
        <v>0</v>
      </c>
      <c r="J228" s="159">
        <v>0</v>
      </c>
      <c r="K228" s="160">
        <v>0</v>
      </c>
      <c r="L228" s="108">
        <v>0</v>
      </c>
      <c r="M228" s="108">
        <v>0</v>
      </c>
      <c r="N228" s="108">
        <v>0</v>
      </c>
      <c r="O228" s="108">
        <v>0</v>
      </c>
      <c r="P228" s="108">
        <v>0</v>
      </c>
      <c r="Q228" s="108">
        <v>-0.333333333333333</v>
      </c>
      <c r="R228" s="108">
        <v>-0.2</v>
      </c>
      <c r="S228" s="108">
        <v>-0.142857142857143</v>
      </c>
      <c r="T228" s="108">
        <v>0</v>
      </c>
      <c r="U228" s="108">
        <v>0</v>
      </c>
      <c r="V228" s="108">
        <v>0</v>
      </c>
      <c r="W228" s="108">
        <v>0</v>
      </c>
    </row>
    <row r="229" hidden="1" spans="1:23">
      <c r="A229" s="147">
        <v>45018</v>
      </c>
      <c r="B229" s="104" t="s">
        <v>34</v>
      </c>
      <c r="C229" s="145">
        <v>0</v>
      </c>
      <c r="D229" s="104">
        <v>0</v>
      </c>
      <c r="E229" s="106">
        <v>0</v>
      </c>
      <c r="F229" s="107">
        <v>0</v>
      </c>
      <c r="G229" s="106">
        <v>0</v>
      </c>
      <c r="H229" s="149" t="s">
        <v>4770</v>
      </c>
      <c r="I229" s="159">
        <v>0</v>
      </c>
      <c r="J229" s="159">
        <v>0</v>
      </c>
      <c r="K229" s="166">
        <v>0</v>
      </c>
      <c r="L229" s="108">
        <v>0</v>
      </c>
      <c r="M229" s="108">
        <v>0</v>
      </c>
      <c r="N229" s="108">
        <v>0</v>
      </c>
      <c r="O229" s="108">
        <v>0</v>
      </c>
      <c r="P229" s="108">
        <v>0</v>
      </c>
      <c r="Q229" s="108">
        <v>0</v>
      </c>
      <c r="R229" s="108">
        <v>0</v>
      </c>
      <c r="S229" s="108">
        <v>0</v>
      </c>
      <c r="T229" s="108">
        <v>0</v>
      </c>
      <c r="U229" s="108">
        <v>0</v>
      </c>
      <c r="V229" s="108">
        <v>0</v>
      </c>
      <c r="W229" s="108">
        <v>0</v>
      </c>
    </row>
    <row r="230" hidden="1" spans="1:23">
      <c r="A230" s="147">
        <v>45018</v>
      </c>
      <c r="B230" s="104" t="s">
        <v>35</v>
      </c>
      <c r="C230" s="145">
        <v>0</v>
      </c>
      <c r="D230" s="104">
        <v>0</v>
      </c>
      <c r="E230" s="106">
        <v>0</v>
      </c>
      <c r="F230" s="107">
        <v>0</v>
      </c>
      <c r="G230" s="106">
        <v>0</v>
      </c>
      <c r="H230" s="149" t="s">
        <v>4770</v>
      </c>
      <c r="I230" s="159">
        <v>0</v>
      </c>
      <c r="J230" s="159">
        <v>0</v>
      </c>
      <c r="K230" s="166">
        <v>0</v>
      </c>
      <c r="L230" s="108">
        <v>0</v>
      </c>
      <c r="M230" s="108">
        <v>0</v>
      </c>
      <c r="N230" s="108">
        <v>0</v>
      </c>
      <c r="O230" s="108">
        <v>0</v>
      </c>
      <c r="P230" s="108">
        <v>0</v>
      </c>
      <c r="Q230" s="108">
        <v>0</v>
      </c>
      <c r="R230" s="108">
        <v>0</v>
      </c>
      <c r="S230" s="108">
        <v>0</v>
      </c>
      <c r="T230" s="108">
        <v>0</v>
      </c>
      <c r="U230" s="108">
        <v>0</v>
      </c>
      <c r="V230" s="108">
        <v>0</v>
      </c>
      <c r="W230" s="108">
        <v>0</v>
      </c>
    </row>
    <row r="231" hidden="1" spans="1:23">
      <c r="A231" s="147">
        <v>45018</v>
      </c>
      <c r="B231" s="104" t="s">
        <v>36</v>
      </c>
      <c r="C231" s="145">
        <v>0</v>
      </c>
      <c r="D231" s="104">
        <v>0</v>
      </c>
      <c r="E231" s="106">
        <v>0</v>
      </c>
      <c r="F231" s="107">
        <v>0</v>
      </c>
      <c r="G231" s="106">
        <v>0</v>
      </c>
      <c r="H231" s="149" t="s">
        <v>4770</v>
      </c>
      <c r="I231" s="159">
        <v>0</v>
      </c>
      <c r="J231" s="159">
        <v>0</v>
      </c>
      <c r="K231" s="166">
        <v>0</v>
      </c>
      <c r="L231" s="108">
        <v>0</v>
      </c>
      <c r="M231" s="108">
        <v>0</v>
      </c>
      <c r="N231" s="108">
        <v>0</v>
      </c>
      <c r="O231" s="108">
        <v>0</v>
      </c>
      <c r="P231" s="108">
        <v>0</v>
      </c>
      <c r="Q231" s="108">
        <v>0</v>
      </c>
      <c r="R231" s="108">
        <v>0</v>
      </c>
      <c r="S231" s="108">
        <v>0</v>
      </c>
      <c r="T231" s="108">
        <v>0</v>
      </c>
      <c r="U231" s="108">
        <v>0</v>
      </c>
      <c r="V231" s="108">
        <v>0</v>
      </c>
      <c r="W231" s="108">
        <v>0</v>
      </c>
    </row>
    <row r="232" hidden="1" spans="1:23">
      <c r="A232" s="147">
        <v>45018</v>
      </c>
      <c r="B232" s="104" t="s">
        <v>37</v>
      </c>
      <c r="C232" s="145">
        <v>0</v>
      </c>
      <c r="D232" s="104">
        <v>0</v>
      </c>
      <c r="E232" s="106">
        <v>0</v>
      </c>
      <c r="F232" s="107">
        <v>0</v>
      </c>
      <c r="G232" s="106">
        <v>0</v>
      </c>
      <c r="H232" s="149" t="s">
        <v>4770</v>
      </c>
      <c r="I232" s="159">
        <v>0</v>
      </c>
      <c r="J232" s="159">
        <v>0</v>
      </c>
      <c r="K232" s="166">
        <v>0</v>
      </c>
      <c r="L232" s="108">
        <v>0</v>
      </c>
      <c r="M232" s="108">
        <v>0</v>
      </c>
      <c r="N232" s="108">
        <v>0</v>
      </c>
      <c r="O232" s="108">
        <v>0</v>
      </c>
      <c r="P232" s="108">
        <v>0</v>
      </c>
      <c r="Q232" s="108">
        <v>0</v>
      </c>
      <c r="R232" s="108">
        <v>0</v>
      </c>
      <c r="S232" s="108">
        <v>0</v>
      </c>
      <c r="T232" s="108">
        <v>0</v>
      </c>
      <c r="U232" s="108">
        <v>0</v>
      </c>
      <c r="V232" s="108">
        <v>0</v>
      </c>
      <c r="W232" s="108">
        <v>0</v>
      </c>
    </row>
    <row r="233" hidden="1" spans="1:23">
      <c r="A233" s="147">
        <v>45018</v>
      </c>
      <c r="B233" s="104" t="s">
        <v>38</v>
      </c>
      <c r="C233" s="145">
        <v>0</v>
      </c>
      <c r="D233" s="104">
        <v>0</v>
      </c>
      <c r="E233" s="106">
        <v>0</v>
      </c>
      <c r="F233" s="107">
        <v>0</v>
      </c>
      <c r="G233" s="106">
        <v>0</v>
      </c>
      <c r="H233" s="149" t="s">
        <v>4770</v>
      </c>
      <c r="I233" s="159">
        <v>0</v>
      </c>
      <c r="J233" s="159">
        <v>0</v>
      </c>
      <c r="K233" s="166">
        <v>0</v>
      </c>
      <c r="L233" s="108">
        <v>0</v>
      </c>
      <c r="M233" s="108">
        <v>0</v>
      </c>
      <c r="N233" s="108">
        <v>0</v>
      </c>
      <c r="O233" s="108">
        <v>0</v>
      </c>
      <c r="P233" s="108">
        <v>0</v>
      </c>
      <c r="Q233" s="108">
        <v>0</v>
      </c>
      <c r="R233" s="108">
        <v>0</v>
      </c>
      <c r="S233" s="108">
        <v>0</v>
      </c>
      <c r="T233" s="108">
        <v>0</v>
      </c>
      <c r="U233" s="108">
        <v>0</v>
      </c>
      <c r="V233" s="108">
        <v>0</v>
      </c>
      <c r="W233" s="108">
        <v>0</v>
      </c>
    </row>
    <row r="234" spans="1:23">
      <c r="A234" s="147">
        <v>45018</v>
      </c>
      <c r="B234" s="111" t="s">
        <v>39</v>
      </c>
      <c r="C234" s="112">
        <v>21783</v>
      </c>
      <c r="D234" s="112">
        <v>421</v>
      </c>
      <c r="E234" s="113">
        <v>0.0193269981177983</v>
      </c>
      <c r="F234" s="112">
        <v>141</v>
      </c>
      <c r="G234" s="113">
        <v>0.334916864608076</v>
      </c>
      <c r="H234" s="150" t="s">
        <v>4770</v>
      </c>
      <c r="I234" s="162">
        <v>421</v>
      </c>
      <c r="J234" s="162">
        <v>141</v>
      </c>
      <c r="K234" s="167">
        <v>0.334916864608076</v>
      </c>
      <c r="L234" s="108"/>
      <c r="M234" s="108"/>
      <c r="N234" s="108"/>
      <c r="O234" s="108"/>
      <c r="P234" s="108"/>
      <c r="Q234" s="108"/>
      <c r="R234" s="108"/>
      <c r="S234" s="108"/>
      <c r="T234" s="108"/>
      <c r="U234" s="108"/>
      <c r="V234" s="108"/>
      <c r="W234" s="108"/>
    </row>
    <row r="235" spans="1:23">
      <c r="A235" s="147">
        <v>45019</v>
      </c>
      <c r="B235" s="104" t="s">
        <v>17</v>
      </c>
      <c r="C235" s="105">
        <v>72</v>
      </c>
      <c r="D235" s="104">
        <v>38</v>
      </c>
      <c r="E235" s="106">
        <v>0.527777777777778</v>
      </c>
      <c r="F235" s="107">
        <v>6</v>
      </c>
      <c r="G235" s="106">
        <v>0.157894736842105</v>
      </c>
      <c r="H235" s="148" t="s">
        <v>4770</v>
      </c>
      <c r="I235" s="157">
        <v>38</v>
      </c>
      <c r="J235" s="157">
        <v>6</v>
      </c>
      <c r="K235" s="158">
        <v>0.157894736842105</v>
      </c>
      <c r="L235" s="108">
        <v>40</v>
      </c>
      <c r="M235" s="108">
        <v>30</v>
      </c>
      <c r="N235" s="108">
        <v>25</v>
      </c>
      <c r="O235" s="108">
        <v>-2.85714285714286</v>
      </c>
      <c r="P235" s="108">
        <v>9</v>
      </c>
      <c r="Q235" s="108">
        <v>6.66666666666667</v>
      </c>
      <c r="R235" s="108">
        <v>8.8</v>
      </c>
      <c r="S235" s="108">
        <v>9.28571428571428</v>
      </c>
      <c r="T235" s="108">
        <v>0</v>
      </c>
      <c r="U235" s="108">
        <v>0</v>
      </c>
      <c r="V235" s="108">
        <v>0.8</v>
      </c>
      <c r="W235" s="108">
        <v>1.14285714285714</v>
      </c>
    </row>
    <row r="236" spans="1:23">
      <c r="A236" s="147">
        <v>45019</v>
      </c>
      <c r="B236" s="104" t="s">
        <v>19</v>
      </c>
      <c r="C236" s="107">
        <v>667</v>
      </c>
      <c r="D236" s="104">
        <v>22</v>
      </c>
      <c r="E236" s="106">
        <v>0.0329835082458771</v>
      </c>
      <c r="F236" s="107">
        <v>14</v>
      </c>
      <c r="G236" s="106">
        <v>0.636363636363636</v>
      </c>
      <c r="H236" s="149" t="s">
        <v>4770</v>
      </c>
      <c r="I236" s="159">
        <v>22</v>
      </c>
      <c r="J236" s="159">
        <v>14</v>
      </c>
      <c r="K236" s="160">
        <v>0.636363636363636</v>
      </c>
      <c r="L236" s="108">
        <v>-80</v>
      </c>
      <c r="M236" s="108">
        <v>-431.666666666667</v>
      </c>
      <c r="N236" s="108">
        <v>-679.8</v>
      </c>
      <c r="O236" s="108">
        <v>-819.142857142857</v>
      </c>
      <c r="P236" s="108">
        <v>0</v>
      </c>
      <c r="Q236" s="108">
        <v>-20</v>
      </c>
      <c r="R236" s="108">
        <v>-35.6</v>
      </c>
      <c r="S236" s="108">
        <v>-47.8571428571429</v>
      </c>
      <c r="T236" s="108">
        <v>-2</v>
      </c>
      <c r="U236" s="108">
        <v>-3</v>
      </c>
      <c r="V236" s="108">
        <v>-10.4</v>
      </c>
      <c r="W236" s="115">
        <v>-14.8571428571429</v>
      </c>
    </row>
    <row r="237" spans="1:23">
      <c r="A237" s="147">
        <v>45019</v>
      </c>
      <c r="B237" s="104" t="s">
        <v>21</v>
      </c>
      <c r="C237" s="145">
        <v>1001</v>
      </c>
      <c r="D237" s="104">
        <v>21</v>
      </c>
      <c r="E237" s="106">
        <v>0.020979020979021</v>
      </c>
      <c r="F237" s="107">
        <v>8</v>
      </c>
      <c r="G237" s="106">
        <v>0.380952380952381</v>
      </c>
      <c r="H237" s="149" t="s">
        <v>4770</v>
      </c>
      <c r="I237" s="159">
        <v>21</v>
      </c>
      <c r="J237" s="159">
        <v>8</v>
      </c>
      <c r="K237" s="160">
        <v>0.380952380952381</v>
      </c>
      <c r="L237" s="108">
        <v>-249</v>
      </c>
      <c r="M237" s="108">
        <v>-188.666666666667</v>
      </c>
      <c r="N237" s="108">
        <v>-144</v>
      </c>
      <c r="O237" s="108">
        <v>-106.142857142857</v>
      </c>
      <c r="P237" s="108">
        <v>-2</v>
      </c>
      <c r="Q237" s="108">
        <v>-6</v>
      </c>
      <c r="R237" s="108">
        <v>-5</v>
      </c>
      <c r="S237" s="108">
        <v>-9.28571428571428</v>
      </c>
      <c r="T237" s="108">
        <v>-1</v>
      </c>
      <c r="U237" s="108">
        <v>-2.66666666666667</v>
      </c>
      <c r="V237" s="108">
        <v>-0.800000000000001</v>
      </c>
      <c r="W237" s="108">
        <v>-2.57142857142857</v>
      </c>
    </row>
    <row r="238" spans="1:23">
      <c r="A238" s="147">
        <v>45019</v>
      </c>
      <c r="B238" s="104" t="s">
        <v>22</v>
      </c>
      <c r="C238" s="145">
        <v>5275</v>
      </c>
      <c r="D238" s="104">
        <v>131</v>
      </c>
      <c r="E238" s="106">
        <v>0.0248341232227488</v>
      </c>
      <c r="F238" s="107">
        <v>39</v>
      </c>
      <c r="G238" s="106">
        <v>0.297709923664122</v>
      </c>
      <c r="H238" s="149" t="s">
        <v>4770</v>
      </c>
      <c r="I238" s="159">
        <v>131</v>
      </c>
      <c r="J238" s="159">
        <v>39</v>
      </c>
      <c r="K238" s="160">
        <v>0.297709923664122</v>
      </c>
      <c r="L238" s="108">
        <v>-404</v>
      </c>
      <c r="M238" s="108">
        <v>-107</v>
      </c>
      <c r="N238" s="108">
        <v>299</v>
      </c>
      <c r="O238" s="108">
        <v>447.571428571428</v>
      </c>
      <c r="P238" s="108">
        <v>-25</v>
      </c>
      <c r="Q238" s="108">
        <v>-10.3333333333333</v>
      </c>
      <c r="R238" s="108">
        <v>-5.59999999999999</v>
      </c>
      <c r="S238" s="115">
        <v>-1.57142857142858</v>
      </c>
      <c r="T238" s="108">
        <v>-15</v>
      </c>
      <c r="U238" s="108">
        <v>-12.3333333333333</v>
      </c>
      <c r="V238" s="108">
        <v>-8.4</v>
      </c>
      <c r="W238" s="117">
        <v>-7.57142857142857</v>
      </c>
    </row>
    <row r="239" spans="1:23">
      <c r="A239" s="147">
        <v>45019</v>
      </c>
      <c r="B239" s="104" t="s">
        <v>23</v>
      </c>
      <c r="C239" s="145">
        <v>3424</v>
      </c>
      <c r="D239" s="104">
        <v>51</v>
      </c>
      <c r="E239" s="106">
        <v>0.0148948598130841</v>
      </c>
      <c r="F239" s="107">
        <v>23</v>
      </c>
      <c r="G239" s="106">
        <v>0.450980392156863</v>
      </c>
      <c r="H239" s="149" t="s">
        <v>4770</v>
      </c>
      <c r="I239" s="159">
        <v>51</v>
      </c>
      <c r="J239" s="159">
        <v>23</v>
      </c>
      <c r="K239" s="160">
        <v>0.450980392156863</v>
      </c>
      <c r="L239" s="108">
        <v>-218</v>
      </c>
      <c r="M239" s="108">
        <v>-43</v>
      </c>
      <c r="N239" s="108">
        <v>221.6</v>
      </c>
      <c r="O239" s="108">
        <v>278.142857142857</v>
      </c>
      <c r="P239" s="108">
        <v>6</v>
      </c>
      <c r="Q239" s="108">
        <v>8.66666666666666</v>
      </c>
      <c r="R239" s="108">
        <v>13</v>
      </c>
      <c r="S239" s="108">
        <v>11.5714285714286</v>
      </c>
      <c r="T239" s="108">
        <v>12</v>
      </c>
      <c r="U239" s="116">
        <v>7.66666666666667</v>
      </c>
      <c r="V239" s="108">
        <v>10.4</v>
      </c>
      <c r="W239" s="108">
        <v>11.5714285714286</v>
      </c>
    </row>
    <row r="240" spans="1:23">
      <c r="A240" s="147">
        <v>45019</v>
      </c>
      <c r="B240" s="104" t="s">
        <v>24</v>
      </c>
      <c r="C240" s="145">
        <v>519</v>
      </c>
      <c r="D240" s="104">
        <v>7</v>
      </c>
      <c r="E240" s="106">
        <v>0.0134874759152216</v>
      </c>
      <c r="F240" s="107">
        <v>1</v>
      </c>
      <c r="G240" s="106">
        <v>0.142857142857143</v>
      </c>
      <c r="H240" s="149" t="s">
        <v>4770</v>
      </c>
      <c r="I240" s="159">
        <v>7</v>
      </c>
      <c r="J240" s="159">
        <v>1</v>
      </c>
      <c r="K240" s="160">
        <v>0.142857142857143</v>
      </c>
      <c r="L240" s="108">
        <v>19</v>
      </c>
      <c r="M240" s="108">
        <v>24.3333333333333</v>
      </c>
      <c r="N240" s="108">
        <v>0.600000000000023</v>
      </c>
      <c r="O240" s="108">
        <v>-10.4285714285714</v>
      </c>
      <c r="P240" s="115">
        <v>0</v>
      </c>
      <c r="Q240" s="115">
        <v>3</v>
      </c>
      <c r="R240" s="117">
        <v>1.6</v>
      </c>
      <c r="S240" s="117">
        <v>-0.428571428571429</v>
      </c>
      <c r="T240" s="115">
        <v>-2</v>
      </c>
      <c r="U240" s="115">
        <v>-1</v>
      </c>
      <c r="V240" s="115">
        <v>-1.4</v>
      </c>
      <c r="W240" s="115">
        <v>-2.28571428571429</v>
      </c>
    </row>
    <row r="241" spans="1:23">
      <c r="A241" s="147">
        <v>45019</v>
      </c>
      <c r="B241" s="104" t="s">
        <v>25</v>
      </c>
      <c r="C241" s="145">
        <v>11168</v>
      </c>
      <c r="D241" s="104">
        <v>57</v>
      </c>
      <c r="E241" s="106">
        <v>0.00510386819484241</v>
      </c>
      <c r="F241" s="107">
        <v>21</v>
      </c>
      <c r="G241" s="106">
        <v>0.368421052631579</v>
      </c>
      <c r="H241" s="149" t="s">
        <v>4770</v>
      </c>
      <c r="I241" s="159">
        <v>57</v>
      </c>
      <c r="J241" s="159">
        <v>21</v>
      </c>
      <c r="K241" s="160">
        <v>0.368421052631579</v>
      </c>
      <c r="L241" s="108">
        <v>1810</v>
      </c>
      <c r="M241" s="108">
        <v>3811</v>
      </c>
      <c r="N241" s="108">
        <v>4238</v>
      </c>
      <c r="O241" s="108">
        <v>4499.28571428571</v>
      </c>
      <c r="P241" s="116">
        <v>8</v>
      </c>
      <c r="Q241" s="115">
        <v>18.3333333333333</v>
      </c>
      <c r="R241" s="115">
        <v>17.8</v>
      </c>
      <c r="S241" s="115">
        <v>15.7142857142857</v>
      </c>
      <c r="T241" s="108">
        <v>0</v>
      </c>
      <c r="U241" s="108">
        <v>3</v>
      </c>
      <c r="V241" s="108">
        <v>-1.2</v>
      </c>
      <c r="W241" s="108">
        <v>-1.71428571428572</v>
      </c>
    </row>
    <row r="242" spans="1:23">
      <c r="A242" s="147">
        <v>45019</v>
      </c>
      <c r="B242" s="104" t="s">
        <v>26</v>
      </c>
      <c r="C242" s="145">
        <v>2113</v>
      </c>
      <c r="D242" s="104">
        <v>98</v>
      </c>
      <c r="E242" s="106">
        <v>0.0463795551348793</v>
      </c>
      <c r="F242" s="107">
        <v>19</v>
      </c>
      <c r="G242" s="106">
        <v>0.193877551020408</v>
      </c>
      <c r="H242" s="149" t="s">
        <v>4770</v>
      </c>
      <c r="I242" s="159">
        <v>98</v>
      </c>
      <c r="J242" s="159">
        <v>19</v>
      </c>
      <c r="K242" s="166">
        <v>0.193877551020408</v>
      </c>
      <c r="L242" s="108">
        <v>1585</v>
      </c>
      <c r="M242" s="108">
        <v>1595.33333333333</v>
      </c>
      <c r="N242" s="108">
        <v>1616.4</v>
      </c>
      <c r="O242" s="108">
        <v>1652.42857142857</v>
      </c>
      <c r="P242" s="108">
        <v>8</v>
      </c>
      <c r="Q242" s="108">
        <v>11.6666666666667</v>
      </c>
      <c r="R242" s="108">
        <v>18.4</v>
      </c>
      <c r="S242" s="108">
        <v>24.8571428571429</v>
      </c>
      <c r="T242" s="108">
        <v>-2</v>
      </c>
      <c r="U242" s="108">
        <v>-1.66666666666667</v>
      </c>
      <c r="V242" s="108">
        <v>-0.800000000000001</v>
      </c>
      <c r="W242" s="108">
        <v>-0.714285714285715</v>
      </c>
    </row>
    <row r="243" spans="1:23">
      <c r="A243" s="147">
        <v>45019</v>
      </c>
      <c r="B243" s="104" t="s">
        <v>27</v>
      </c>
      <c r="C243" s="145">
        <v>38</v>
      </c>
      <c r="D243" s="104">
        <v>3</v>
      </c>
      <c r="E243" s="106">
        <v>0.0789473684210526</v>
      </c>
      <c r="F243" s="107">
        <v>0</v>
      </c>
      <c r="G243" s="106">
        <v>0</v>
      </c>
      <c r="H243" s="149" t="s">
        <v>4770</v>
      </c>
      <c r="I243" s="159">
        <v>3</v>
      </c>
      <c r="J243" s="159">
        <v>0</v>
      </c>
      <c r="K243" s="160">
        <v>0</v>
      </c>
      <c r="L243" s="108">
        <v>-6</v>
      </c>
      <c r="M243" s="108">
        <v>4.66666666666666</v>
      </c>
      <c r="N243" s="108">
        <v>4.8</v>
      </c>
      <c r="O243" s="108">
        <v>6.28571428571428</v>
      </c>
      <c r="P243" s="108">
        <v>3</v>
      </c>
      <c r="Q243" s="108">
        <v>2.33333333333333</v>
      </c>
      <c r="R243" s="108">
        <v>2.6</v>
      </c>
      <c r="S243" s="108">
        <v>2.57142857142857</v>
      </c>
      <c r="T243" s="108">
        <v>0</v>
      </c>
      <c r="U243" s="108">
        <v>-0.333333333333333</v>
      </c>
      <c r="V243" s="108">
        <v>-0.2</v>
      </c>
      <c r="W243" s="108">
        <v>-0.142857142857143</v>
      </c>
    </row>
    <row r="244" spans="1:23">
      <c r="A244" s="147">
        <v>45019</v>
      </c>
      <c r="B244" s="104" t="s">
        <v>28</v>
      </c>
      <c r="C244" s="145">
        <v>0</v>
      </c>
      <c r="D244" s="104">
        <v>0</v>
      </c>
      <c r="E244" s="106">
        <v>0</v>
      </c>
      <c r="F244" s="107">
        <v>0</v>
      </c>
      <c r="G244" s="106">
        <v>0</v>
      </c>
      <c r="H244" s="149" t="s">
        <v>4770</v>
      </c>
      <c r="I244" s="159">
        <v>0</v>
      </c>
      <c r="J244" s="159">
        <v>0</v>
      </c>
      <c r="K244" s="160">
        <v>0</v>
      </c>
      <c r="L244" s="108">
        <v>0</v>
      </c>
      <c r="M244" s="108">
        <v>0</v>
      </c>
      <c r="N244" s="108">
        <v>0</v>
      </c>
      <c r="O244" s="108">
        <v>0</v>
      </c>
      <c r="P244" s="108">
        <v>0</v>
      </c>
      <c r="Q244" s="108">
        <v>0</v>
      </c>
      <c r="R244" s="108">
        <v>0</v>
      </c>
      <c r="S244" s="108">
        <v>0</v>
      </c>
      <c r="T244" s="108">
        <v>0</v>
      </c>
      <c r="U244" s="108">
        <v>0</v>
      </c>
      <c r="V244" s="108">
        <v>0</v>
      </c>
      <c r="W244" s="108">
        <v>0</v>
      </c>
    </row>
    <row r="245" spans="1:23">
      <c r="A245" s="147">
        <v>45019</v>
      </c>
      <c r="B245" s="104" t="s">
        <v>29</v>
      </c>
      <c r="C245" s="145">
        <v>4</v>
      </c>
      <c r="D245" s="104">
        <v>0</v>
      </c>
      <c r="E245" s="106">
        <v>0</v>
      </c>
      <c r="F245" s="107">
        <v>0</v>
      </c>
      <c r="G245" s="106">
        <v>0</v>
      </c>
      <c r="H245" s="149" t="s">
        <v>4770</v>
      </c>
      <c r="I245" s="159">
        <v>0</v>
      </c>
      <c r="J245" s="159">
        <v>0</v>
      </c>
      <c r="K245" s="160">
        <v>0</v>
      </c>
      <c r="L245" s="108">
        <v>1</v>
      </c>
      <c r="M245" s="108">
        <v>0.333333333333333</v>
      </c>
      <c r="N245" s="108">
        <v>0.8</v>
      </c>
      <c r="O245" s="108">
        <v>1.57142857142857</v>
      </c>
      <c r="P245" s="108">
        <v>0</v>
      </c>
      <c r="Q245" s="108">
        <v>-0.333333333333333</v>
      </c>
      <c r="R245" s="108">
        <v>-0.2</v>
      </c>
      <c r="S245" s="108">
        <v>-0.142857142857143</v>
      </c>
      <c r="T245" s="108">
        <v>0</v>
      </c>
      <c r="U245" s="108">
        <v>0</v>
      </c>
      <c r="V245" s="108">
        <v>0</v>
      </c>
      <c r="W245" s="108">
        <v>0</v>
      </c>
    </row>
    <row r="246" spans="1:23">
      <c r="A246" s="147">
        <v>45019</v>
      </c>
      <c r="B246" s="104" t="s">
        <v>30</v>
      </c>
      <c r="C246" s="145">
        <v>0</v>
      </c>
      <c r="D246" s="104">
        <v>0</v>
      </c>
      <c r="E246" s="106">
        <v>0</v>
      </c>
      <c r="F246" s="107">
        <v>0</v>
      </c>
      <c r="G246" s="106">
        <v>0</v>
      </c>
      <c r="H246" s="149" t="s">
        <v>4770</v>
      </c>
      <c r="I246" s="159">
        <v>0</v>
      </c>
      <c r="J246" s="159">
        <v>0</v>
      </c>
      <c r="K246" s="160">
        <v>0</v>
      </c>
      <c r="L246" s="108">
        <v>0</v>
      </c>
      <c r="M246" s="108">
        <v>0</v>
      </c>
      <c r="N246" s="108">
        <v>0</v>
      </c>
      <c r="O246" s="108">
        <v>0</v>
      </c>
      <c r="P246" s="108">
        <v>0</v>
      </c>
      <c r="Q246" s="108">
        <v>0</v>
      </c>
      <c r="R246" s="108">
        <v>0</v>
      </c>
      <c r="S246" s="108">
        <v>0</v>
      </c>
      <c r="T246" s="108">
        <v>0</v>
      </c>
      <c r="U246" s="108">
        <v>0</v>
      </c>
      <c r="V246" s="108">
        <v>0</v>
      </c>
      <c r="W246" s="108">
        <v>0</v>
      </c>
    </row>
    <row r="247" spans="1:23">
      <c r="A247" s="147">
        <v>45019</v>
      </c>
      <c r="B247" s="104" t="s">
        <v>31</v>
      </c>
      <c r="C247" s="145">
        <v>0</v>
      </c>
      <c r="D247" s="104">
        <v>0</v>
      </c>
      <c r="E247" s="106">
        <v>0</v>
      </c>
      <c r="F247" s="107">
        <v>0</v>
      </c>
      <c r="G247" s="106">
        <v>0</v>
      </c>
      <c r="H247" s="149" t="s">
        <v>4770</v>
      </c>
      <c r="I247" s="159">
        <v>0</v>
      </c>
      <c r="J247" s="159">
        <v>0</v>
      </c>
      <c r="K247" s="160">
        <v>0</v>
      </c>
      <c r="L247" s="108">
        <v>0</v>
      </c>
      <c r="M247" s="108">
        <v>0</v>
      </c>
      <c r="N247" s="108">
        <v>0</v>
      </c>
      <c r="O247" s="108">
        <v>0</v>
      </c>
      <c r="P247" s="108">
        <v>0</v>
      </c>
      <c r="Q247" s="108">
        <v>0</v>
      </c>
      <c r="R247" s="108">
        <v>-0.2</v>
      </c>
      <c r="S247" s="108">
        <v>-0.142857142857143</v>
      </c>
      <c r="T247" s="108">
        <v>0</v>
      </c>
      <c r="U247" s="108">
        <v>0</v>
      </c>
      <c r="V247" s="108">
        <v>0</v>
      </c>
      <c r="W247" s="108">
        <v>0</v>
      </c>
    </row>
    <row r="248" spans="1:23">
      <c r="A248" s="147">
        <v>45019</v>
      </c>
      <c r="B248" s="104" t="s">
        <v>32</v>
      </c>
      <c r="C248" s="145">
        <v>0</v>
      </c>
      <c r="D248" s="104">
        <v>0</v>
      </c>
      <c r="E248" s="106">
        <v>0</v>
      </c>
      <c r="F248" s="107">
        <v>0</v>
      </c>
      <c r="G248" s="106">
        <v>0</v>
      </c>
      <c r="H248" s="149" t="s">
        <v>4770</v>
      </c>
      <c r="I248" s="159">
        <v>0</v>
      </c>
      <c r="J248" s="159">
        <v>0</v>
      </c>
      <c r="K248" s="160">
        <v>0</v>
      </c>
      <c r="L248" s="108">
        <v>0</v>
      </c>
      <c r="M248" s="108">
        <v>0</v>
      </c>
      <c r="N248" s="108">
        <v>0</v>
      </c>
      <c r="O248" s="108">
        <v>0</v>
      </c>
      <c r="P248" s="108">
        <v>0</v>
      </c>
      <c r="Q248" s="108">
        <v>0</v>
      </c>
      <c r="R248" s="108">
        <v>0</v>
      </c>
      <c r="S248" s="108">
        <v>0</v>
      </c>
      <c r="T248" s="108">
        <v>0</v>
      </c>
      <c r="U248" s="108">
        <v>0</v>
      </c>
      <c r="V248" s="108">
        <v>0</v>
      </c>
      <c r="W248" s="108">
        <v>0</v>
      </c>
    </row>
    <row r="249" spans="1:23">
      <c r="A249" s="147">
        <v>45019</v>
      </c>
      <c r="B249" s="104" t="s">
        <v>33</v>
      </c>
      <c r="C249" s="145">
        <v>0</v>
      </c>
      <c r="D249" s="104">
        <v>0</v>
      </c>
      <c r="E249" s="106">
        <v>0</v>
      </c>
      <c r="F249" s="107">
        <v>0</v>
      </c>
      <c r="G249" s="106">
        <v>0</v>
      </c>
      <c r="H249" s="149" t="s">
        <v>4770</v>
      </c>
      <c r="I249" s="159">
        <v>0</v>
      </c>
      <c r="J249" s="159">
        <v>0</v>
      </c>
      <c r="K249" s="160">
        <v>0</v>
      </c>
      <c r="L249" s="108">
        <v>0</v>
      </c>
      <c r="M249" s="108">
        <v>0</v>
      </c>
      <c r="N249" s="108">
        <v>0</v>
      </c>
      <c r="O249" s="108">
        <v>0</v>
      </c>
      <c r="P249" s="108">
        <v>0</v>
      </c>
      <c r="Q249" s="108">
        <v>-0.333333333333333</v>
      </c>
      <c r="R249" s="108">
        <v>-0.2</v>
      </c>
      <c r="S249" s="108">
        <v>-0.142857142857143</v>
      </c>
      <c r="T249" s="108">
        <v>0</v>
      </c>
      <c r="U249" s="108">
        <v>0</v>
      </c>
      <c r="V249" s="108">
        <v>0</v>
      </c>
      <c r="W249" s="108">
        <v>0</v>
      </c>
    </row>
    <row r="250" spans="1:23">
      <c r="A250" s="147">
        <v>45019</v>
      </c>
      <c r="B250" s="104" t="s">
        <v>34</v>
      </c>
      <c r="C250" s="145">
        <v>0</v>
      </c>
      <c r="D250" s="104">
        <v>0</v>
      </c>
      <c r="E250" s="106">
        <v>0</v>
      </c>
      <c r="F250" s="107">
        <v>0</v>
      </c>
      <c r="G250" s="106">
        <v>0</v>
      </c>
      <c r="H250" s="149" t="s">
        <v>4770</v>
      </c>
      <c r="I250" s="159">
        <v>0</v>
      </c>
      <c r="J250" s="159">
        <v>0</v>
      </c>
      <c r="K250" s="166">
        <v>0</v>
      </c>
      <c r="L250" s="108">
        <v>0</v>
      </c>
      <c r="M250" s="108">
        <v>0</v>
      </c>
      <c r="N250" s="108">
        <v>0</v>
      </c>
      <c r="O250" s="108">
        <v>0</v>
      </c>
      <c r="P250" s="108">
        <v>0</v>
      </c>
      <c r="Q250" s="108">
        <v>0</v>
      </c>
      <c r="R250" s="108">
        <v>0</v>
      </c>
      <c r="S250" s="108">
        <v>0</v>
      </c>
      <c r="T250" s="108">
        <v>0</v>
      </c>
      <c r="U250" s="108">
        <v>0</v>
      </c>
      <c r="V250" s="108">
        <v>0</v>
      </c>
      <c r="W250" s="108">
        <v>0</v>
      </c>
    </row>
    <row r="251" spans="1:23">
      <c r="A251" s="147">
        <v>45019</v>
      </c>
      <c r="B251" s="104" t="s">
        <v>35</v>
      </c>
      <c r="C251" s="145">
        <v>0</v>
      </c>
      <c r="D251" s="104">
        <v>0</v>
      </c>
      <c r="E251" s="106">
        <v>0</v>
      </c>
      <c r="F251" s="107">
        <v>0</v>
      </c>
      <c r="G251" s="106">
        <v>0</v>
      </c>
      <c r="H251" s="149" t="s">
        <v>4770</v>
      </c>
      <c r="I251" s="159">
        <v>0</v>
      </c>
      <c r="J251" s="159">
        <v>0</v>
      </c>
      <c r="K251" s="166">
        <v>0</v>
      </c>
      <c r="L251" s="108">
        <v>0</v>
      </c>
      <c r="M251" s="108">
        <v>0</v>
      </c>
      <c r="N251" s="108">
        <v>0</v>
      </c>
      <c r="O251" s="108">
        <v>0</v>
      </c>
      <c r="P251" s="108">
        <v>0</v>
      </c>
      <c r="Q251" s="108">
        <v>0</v>
      </c>
      <c r="R251" s="108">
        <v>0</v>
      </c>
      <c r="S251" s="108">
        <v>0</v>
      </c>
      <c r="T251" s="108">
        <v>0</v>
      </c>
      <c r="U251" s="108">
        <v>0</v>
      </c>
      <c r="V251" s="108">
        <v>0</v>
      </c>
      <c r="W251" s="108">
        <v>0</v>
      </c>
    </row>
    <row r="252" spans="1:23">
      <c r="A252" s="147">
        <v>45019</v>
      </c>
      <c r="B252" s="104" t="s">
        <v>36</v>
      </c>
      <c r="C252" s="145">
        <v>0</v>
      </c>
      <c r="D252" s="104">
        <v>0</v>
      </c>
      <c r="E252" s="106">
        <v>0</v>
      </c>
      <c r="F252" s="107">
        <v>0</v>
      </c>
      <c r="G252" s="106">
        <v>0</v>
      </c>
      <c r="H252" s="149" t="s">
        <v>4770</v>
      </c>
      <c r="I252" s="159">
        <v>0</v>
      </c>
      <c r="J252" s="159">
        <v>0</v>
      </c>
      <c r="K252" s="166">
        <v>0</v>
      </c>
      <c r="L252" s="108">
        <v>0</v>
      </c>
      <c r="M252" s="108">
        <v>0</v>
      </c>
      <c r="N252" s="108">
        <v>0</v>
      </c>
      <c r="O252" s="108">
        <v>0</v>
      </c>
      <c r="P252" s="108">
        <v>0</v>
      </c>
      <c r="Q252" s="108">
        <v>0</v>
      </c>
      <c r="R252" s="108">
        <v>0</v>
      </c>
      <c r="S252" s="108">
        <v>0</v>
      </c>
      <c r="T252" s="108">
        <v>0</v>
      </c>
      <c r="U252" s="108">
        <v>0</v>
      </c>
      <c r="V252" s="108">
        <v>0</v>
      </c>
      <c r="W252" s="108">
        <v>0</v>
      </c>
    </row>
    <row r="253" spans="1:23">
      <c r="A253" s="147">
        <v>45019</v>
      </c>
      <c r="B253" s="104" t="s">
        <v>37</v>
      </c>
      <c r="C253" s="145">
        <v>0</v>
      </c>
      <c r="D253" s="104">
        <v>0</v>
      </c>
      <c r="E253" s="106">
        <v>0</v>
      </c>
      <c r="F253" s="107">
        <v>0</v>
      </c>
      <c r="G253" s="106">
        <v>0</v>
      </c>
      <c r="H253" s="149" t="s">
        <v>4770</v>
      </c>
      <c r="I253" s="159">
        <v>0</v>
      </c>
      <c r="J253" s="159">
        <v>0</v>
      </c>
      <c r="K253" s="166">
        <v>0</v>
      </c>
      <c r="L253" s="108">
        <v>0</v>
      </c>
      <c r="M253" s="108">
        <v>0</v>
      </c>
      <c r="N253" s="108">
        <v>0</v>
      </c>
      <c r="O253" s="108">
        <v>0</v>
      </c>
      <c r="P253" s="108">
        <v>0</v>
      </c>
      <c r="Q253" s="108">
        <v>0</v>
      </c>
      <c r="R253" s="108">
        <v>0</v>
      </c>
      <c r="S253" s="108">
        <v>0</v>
      </c>
      <c r="T253" s="108">
        <v>0</v>
      </c>
      <c r="U253" s="108">
        <v>0</v>
      </c>
      <c r="V253" s="108">
        <v>0</v>
      </c>
      <c r="W253" s="108">
        <v>0</v>
      </c>
    </row>
    <row r="254" spans="1:23">
      <c r="A254" s="147">
        <v>45019</v>
      </c>
      <c r="B254" s="104" t="s">
        <v>38</v>
      </c>
      <c r="C254" s="145">
        <v>0</v>
      </c>
      <c r="D254" s="104">
        <v>0</v>
      </c>
      <c r="E254" s="106">
        <v>0</v>
      </c>
      <c r="F254" s="107">
        <v>0</v>
      </c>
      <c r="G254" s="106">
        <v>0</v>
      </c>
      <c r="H254" s="149" t="s">
        <v>4770</v>
      </c>
      <c r="I254" s="159">
        <v>0</v>
      </c>
      <c r="J254" s="159">
        <v>0</v>
      </c>
      <c r="K254" s="166">
        <v>0</v>
      </c>
      <c r="L254" s="108">
        <v>0</v>
      </c>
      <c r="M254" s="108">
        <v>0</v>
      </c>
      <c r="N254" s="108">
        <v>0</v>
      </c>
      <c r="O254" s="108">
        <v>0</v>
      </c>
      <c r="P254" s="108">
        <v>0</v>
      </c>
      <c r="Q254" s="108">
        <v>0</v>
      </c>
      <c r="R254" s="108">
        <v>0</v>
      </c>
      <c r="S254" s="108">
        <v>0</v>
      </c>
      <c r="T254" s="108">
        <v>0</v>
      </c>
      <c r="U254" s="108">
        <v>0</v>
      </c>
      <c r="V254" s="108">
        <v>0</v>
      </c>
      <c r="W254" s="108">
        <v>0</v>
      </c>
    </row>
    <row r="255" spans="1:23">
      <c r="A255" s="147">
        <v>45019</v>
      </c>
      <c r="B255" s="111" t="s">
        <v>39</v>
      </c>
      <c r="C255" s="112">
        <v>24281</v>
      </c>
      <c r="D255" s="112">
        <v>428</v>
      </c>
      <c r="E255" s="113">
        <v>0.0176269511140398</v>
      </c>
      <c r="F255" s="112">
        <v>131</v>
      </c>
      <c r="G255" s="113">
        <v>0.30607476635514</v>
      </c>
      <c r="H255" s="150" t="s">
        <v>4770</v>
      </c>
      <c r="I255" s="162">
        <v>428</v>
      </c>
      <c r="J255" s="162">
        <v>131</v>
      </c>
      <c r="K255" s="167">
        <v>0.30607476635514</v>
      </c>
      <c r="L255" s="108"/>
      <c r="M255" s="108"/>
      <c r="N255" s="108"/>
      <c r="O255" s="108"/>
      <c r="P255" s="108"/>
      <c r="Q255" s="108"/>
      <c r="R255" s="108"/>
      <c r="S255" s="108"/>
      <c r="T255" s="108"/>
      <c r="U255" s="108"/>
      <c r="V255" s="108"/>
      <c r="W255" s="108"/>
    </row>
    <row r="256" spans="1:19">
      <c r="A256" s="147">
        <v>45020</v>
      </c>
      <c r="B256" s="104" t="s">
        <v>17</v>
      </c>
      <c r="C256" s="105">
        <v>88</v>
      </c>
      <c r="D256" s="104">
        <v>29</v>
      </c>
      <c r="E256" s="106">
        <v>0.329545454545455</v>
      </c>
      <c r="F256" s="107">
        <v>3</v>
      </c>
      <c r="G256" s="106">
        <v>0.103448275862069</v>
      </c>
      <c r="H256" s="108">
        <v>16</v>
      </c>
      <c r="I256" s="108">
        <v>35.3333333333333</v>
      </c>
      <c r="J256" s="108">
        <v>36.4</v>
      </c>
      <c r="K256" s="108">
        <v>28.2857142857143</v>
      </c>
      <c r="L256" s="108">
        <v>-9</v>
      </c>
      <c r="M256" s="108">
        <v>-6.66666666666666</v>
      </c>
      <c r="N256" s="108">
        <v>-3.8</v>
      </c>
      <c r="O256" s="108">
        <v>-1.57142857142857</v>
      </c>
      <c r="P256" s="108">
        <v>-3</v>
      </c>
      <c r="Q256" s="108">
        <v>-3</v>
      </c>
      <c r="R256" s="108">
        <v>-2.6</v>
      </c>
      <c r="S256" s="108">
        <v>-2.14285714285714</v>
      </c>
    </row>
    <row r="257" spans="1:19">
      <c r="A257" s="147">
        <v>45020</v>
      </c>
      <c r="B257" s="104" t="s">
        <v>19</v>
      </c>
      <c r="C257" s="107">
        <v>652</v>
      </c>
      <c r="D257" s="104">
        <v>18</v>
      </c>
      <c r="E257" s="106">
        <v>0.0276073619631902</v>
      </c>
      <c r="F257" s="107">
        <v>10</v>
      </c>
      <c r="G257" s="106">
        <v>0.555555555555556</v>
      </c>
      <c r="H257" s="108">
        <v>-15</v>
      </c>
      <c r="I257" s="108">
        <v>-188.666666666667</v>
      </c>
      <c r="J257" s="108">
        <v>-490.2</v>
      </c>
      <c r="K257" s="108">
        <v>-661.428571428571</v>
      </c>
      <c r="L257" s="108">
        <v>-4</v>
      </c>
      <c r="M257" s="108">
        <v>-12</v>
      </c>
      <c r="N257" s="108">
        <v>-27</v>
      </c>
      <c r="O257" s="108">
        <v>-40.4285714285714</v>
      </c>
      <c r="P257" s="108">
        <v>-4</v>
      </c>
      <c r="Q257" s="108">
        <v>-4.33333333333333</v>
      </c>
      <c r="R257" s="108">
        <v>-9.2</v>
      </c>
      <c r="S257" s="115">
        <v>-15.1428571428571</v>
      </c>
    </row>
    <row r="258" spans="1:19">
      <c r="A258" s="147">
        <v>45020</v>
      </c>
      <c r="B258" s="104" t="s">
        <v>21</v>
      </c>
      <c r="C258" s="145">
        <v>726</v>
      </c>
      <c r="D258" s="104">
        <v>25</v>
      </c>
      <c r="E258" s="106">
        <v>0.034435261707989</v>
      </c>
      <c r="F258" s="107">
        <v>9</v>
      </c>
      <c r="G258" s="106">
        <v>0.36</v>
      </c>
      <c r="H258" s="108">
        <v>-275</v>
      </c>
      <c r="I258" s="108">
        <v>-435</v>
      </c>
      <c r="J258" s="108">
        <v>-415.6</v>
      </c>
      <c r="K258" s="108">
        <v>-374.714285714286</v>
      </c>
      <c r="L258" s="108">
        <v>4</v>
      </c>
      <c r="M258" s="108">
        <v>0</v>
      </c>
      <c r="N258" s="108">
        <v>0.199999999999999</v>
      </c>
      <c r="O258" s="108">
        <v>-1.71428571428572</v>
      </c>
      <c r="P258" s="108">
        <v>1</v>
      </c>
      <c r="Q258" s="108">
        <v>-0.666666666666666</v>
      </c>
      <c r="R258" s="108">
        <v>0</v>
      </c>
      <c r="S258" s="108">
        <v>-0.428571428571429</v>
      </c>
    </row>
    <row r="259" spans="1:19">
      <c r="A259" s="147">
        <v>45020</v>
      </c>
      <c r="B259" s="104" t="s">
        <v>22</v>
      </c>
      <c r="C259" s="145">
        <v>5156</v>
      </c>
      <c r="D259" s="104">
        <v>147</v>
      </c>
      <c r="E259" s="106">
        <v>0.0285104732350659</v>
      </c>
      <c r="F259" s="107">
        <v>44</v>
      </c>
      <c r="G259" s="106">
        <v>0.299319727891156</v>
      </c>
      <c r="H259" s="108">
        <v>-119</v>
      </c>
      <c r="I259" s="108">
        <v>-414.666666666667</v>
      </c>
      <c r="J259" s="108">
        <v>8.60000000000036</v>
      </c>
      <c r="K259" s="108">
        <v>243.571428571428</v>
      </c>
      <c r="L259" s="108">
        <v>16</v>
      </c>
      <c r="M259" s="108">
        <v>-3</v>
      </c>
      <c r="N259" s="108">
        <v>9.19999999999999</v>
      </c>
      <c r="O259" s="115">
        <v>11.7142857142857</v>
      </c>
      <c r="P259" s="108">
        <v>5</v>
      </c>
      <c r="Q259" s="108">
        <v>-9.66666666666666</v>
      </c>
      <c r="R259" s="108">
        <v>-3.6</v>
      </c>
      <c r="S259" s="117">
        <v>-2.42857142857143</v>
      </c>
    </row>
    <row r="260" spans="1:19">
      <c r="A260" s="147">
        <v>45020</v>
      </c>
      <c r="B260" s="104" t="s">
        <v>23</v>
      </c>
      <c r="C260" s="145">
        <v>3424</v>
      </c>
      <c r="D260" s="104">
        <v>44</v>
      </c>
      <c r="E260" s="106">
        <v>0.0128504672897196</v>
      </c>
      <c r="F260" s="107">
        <v>19</v>
      </c>
      <c r="G260" s="106">
        <v>0.431818181818182</v>
      </c>
      <c r="H260" s="108">
        <v>0</v>
      </c>
      <c r="I260" s="108">
        <v>-142.333333333333</v>
      </c>
      <c r="J260" s="108">
        <v>113.8</v>
      </c>
      <c r="K260" s="108">
        <v>227.285714285714</v>
      </c>
      <c r="L260" s="108">
        <v>-7</v>
      </c>
      <c r="M260" s="108">
        <v>-4.66666666666666</v>
      </c>
      <c r="N260" s="108">
        <v>3.8</v>
      </c>
      <c r="O260" s="108">
        <v>2.57142857142857</v>
      </c>
      <c r="P260" s="108">
        <v>-4</v>
      </c>
      <c r="Q260" s="116">
        <v>-0.666666666666668</v>
      </c>
      <c r="R260" s="108">
        <v>4.2</v>
      </c>
      <c r="S260" s="108">
        <v>5.57142857142857</v>
      </c>
    </row>
    <row r="261" spans="1:19">
      <c r="A261" s="147">
        <v>45020</v>
      </c>
      <c r="B261" s="104" t="s">
        <v>24</v>
      </c>
      <c r="C261" s="145">
        <v>569</v>
      </c>
      <c r="D261" s="104">
        <v>7</v>
      </c>
      <c r="E261" s="106">
        <v>0.0123022847100176</v>
      </c>
      <c r="F261" s="107">
        <v>1</v>
      </c>
      <c r="G261" s="106">
        <v>0.142857142857143</v>
      </c>
      <c r="H261" s="108">
        <v>50</v>
      </c>
      <c r="I261" s="108">
        <v>61</v>
      </c>
      <c r="J261" s="108">
        <v>54.8</v>
      </c>
      <c r="K261" s="108">
        <v>50.7142857142857</v>
      </c>
      <c r="L261" s="115">
        <v>0</v>
      </c>
      <c r="M261" s="115">
        <v>1.66666666666667</v>
      </c>
      <c r="N261" s="117">
        <v>1.8</v>
      </c>
      <c r="O261" s="117">
        <v>0.714285714285714</v>
      </c>
      <c r="P261" s="115">
        <v>0</v>
      </c>
      <c r="Q261" s="115">
        <v>-1</v>
      </c>
      <c r="R261" s="115">
        <v>-0.8</v>
      </c>
      <c r="S261" s="115">
        <v>-1.71428571428571</v>
      </c>
    </row>
    <row r="262" spans="1:19">
      <c r="A262" s="147">
        <v>45020</v>
      </c>
      <c r="B262" s="104" t="s">
        <v>25</v>
      </c>
      <c r="C262" s="145">
        <v>8821</v>
      </c>
      <c r="D262" s="104">
        <v>43</v>
      </c>
      <c r="E262" s="106">
        <v>0.0048747307561501</v>
      </c>
      <c r="F262" s="107">
        <v>16</v>
      </c>
      <c r="G262" s="106">
        <v>0.372093023255814</v>
      </c>
      <c r="H262" s="108">
        <v>-2347</v>
      </c>
      <c r="I262" s="108">
        <v>-441.333333333334</v>
      </c>
      <c r="J262" s="108">
        <v>875.2</v>
      </c>
      <c r="K262" s="108">
        <v>1338.57142857143</v>
      </c>
      <c r="L262" s="116">
        <v>-14</v>
      </c>
      <c r="M262" s="115">
        <v>-4.66666666666666</v>
      </c>
      <c r="N262" s="115">
        <v>0.399999999999999</v>
      </c>
      <c r="O262" s="115">
        <v>0.714285714285715</v>
      </c>
      <c r="P262" s="108">
        <v>-5</v>
      </c>
      <c r="Q262" s="108">
        <v>-4.66666666666667</v>
      </c>
      <c r="R262" s="108">
        <v>-5</v>
      </c>
      <c r="S262" s="108">
        <v>-7.14285714285714</v>
      </c>
    </row>
    <row r="263" spans="1:19">
      <c r="A263" s="147">
        <v>45020</v>
      </c>
      <c r="B263" s="104" t="s">
        <v>26</v>
      </c>
      <c r="C263" s="145">
        <v>1774</v>
      </c>
      <c r="D263" s="104">
        <v>94</v>
      </c>
      <c r="E263" s="106">
        <v>0.0529875986471251</v>
      </c>
      <c r="F263" s="107">
        <v>26</v>
      </c>
      <c r="G263" s="106">
        <v>0.276595744680851</v>
      </c>
      <c r="H263" s="108">
        <v>-339</v>
      </c>
      <c r="I263" s="108">
        <v>714.666666666667</v>
      </c>
      <c r="J263" s="108">
        <v>947</v>
      </c>
      <c r="K263" s="108">
        <v>1060.42857142857</v>
      </c>
      <c r="L263" s="108">
        <v>-4</v>
      </c>
      <c r="M263" s="108">
        <v>-5.66666666666667</v>
      </c>
      <c r="N263" s="108">
        <v>5.59999999999999</v>
      </c>
      <c r="O263" s="108">
        <v>14.4285714285714</v>
      </c>
      <c r="P263" s="108">
        <v>7</v>
      </c>
      <c r="Q263" s="108">
        <v>4</v>
      </c>
      <c r="R263" s="108">
        <v>6</v>
      </c>
      <c r="S263" s="108">
        <v>5.71428571428572</v>
      </c>
    </row>
    <row r="264" spans="1:19">
      <c r="A264" s="147">
        <v>45020</v>
      </c>
      <c r="B264" s="104" t="s">
        <v>27</v>
      </c>
      <c r="C264" s="145">
        <v>49</v>
      </c>
      <c r="D264" s="104">
        <v>0</v>
      </c>
      <c r="E264" s="106">
        <v>0</v>
      </c>
      <c r="F264" s="107">
        <v>2</v>
      </c>
      <c r="G264" s="106">
        <v>2</v>
      </c>
      <c r="H264" s="108">
        <v>11</v>
      </c>
      <c r="I264" s="108">
        <v>11</v>
      </c>
      <c r="J264" s="108">
        <v>16.4</v>
      </c>
      <c r="K264" s="108">
        <v>15.8571428571429</v>
      </c>
      <c r="L264" s="108">
        <v>-3</v>
      </c>
      <c r="M264" s="108">
        <v>-1.66666666666667</v>
      </c>
      <c r="N264" s="108">
        <v>-1</v>
      </c>
      <c r="O264" s="108">
        <v>-0.714285714285714</v>
      </c>
      <c r="P264" s="108">
        <v>2</v>
      </c>
      <c r="Q264" s="108">
        <v>1.66666666666667</v>
      </c>
      <c r="R264" s="108">
        <v>1.8</v>
      </c>
      <c r="S264" s="108">
        <v>1.85714285714286</v>
      </c>
    </row>
    <row r="265" spans="1:19">
      <c r="A265" s="147">
        <v>45020</v>
      </c>
      <c r="B265" s="104" t="s">
        <v>28</v>
      </c>
      <c r="C265" s="145">
        <v>0</v>
      </c>
      <c r="D265" s="104">
        <v>0</v>
      </c>
      <c r="E265" s="106">
        <v>0</v>
      </c>
      <c r="F265" s="107">
        <v>0</v>
      </c>
      <c r="G265" s="106">
        <v>0</v>
      </c>
      <c r="H265" s="108">
        <v>0</v>
      </c>
      <c r="I265" s="108">
        <v>0</v>
      </c>
      <c r="J265" s="108">
        <v>0</v>
      </c>
      <c r="K265" s="108">
        <v>0</v>
      </c>
      <c r="L265" s="108">
        <v>0</v>
      </c>
      <c r="M265" s="108">
        <v>0</v>
      </c>
      <c r="N265" s="108">
        <v>0</v>
      </c>
      <c r="O265" s="108">
        <v>0</v>
      </c>
      <c r="P265" s="108">
        <v>0</v>
      </c>
      <c r="Q265" s="108">
        <v>0</v>
      </c>
      <c r="R265" s="108">
        <v>0</v>
      </c>
      <c r="S265" s="108">
        <v>0</v>
      </c>
    </row>
    <row r="266" spans="1:19">
      <c r="A266" s="147">
        <v>45020</v>
      </c>
      <c r="B266" s="104" t="s">
        <v>29</v>
      </c>
      <c r="C266" s="145">
        <v>6</v>
      </c>
      <c r="D266" s="104">
        <v>0</v>
      </c>
      <c r="E266" s="106">
        <v>0</v>
      </c>
      <c r="F266" s="107">
        <v>0</v>
      </c>
      <c r="G266" s="106">
        <v>0</v>
      </c>
      <c r="H266" s="108">
        <v>2</v>
      </c>
      <c r="I266" s="108">
        <v>3.33333333333333</v>
      </c>
      <c r="J266" s="108">
        <v>2.6</v>
      </c>
      <c r="K266" s="108">
        <v>3</v>
      </c>
      <c r="L266" s="108">
        <v>0</v>
      </c>
      <c r="M266" s="108">
        <v>0</v>
      </c>
      <c r="N266" s="108">
        <v>-0.2</v>
      </c>
      <c r="O266" s="108">
        <v>-0.142857142857143</v>
      </c>
      <c r="P266" s="108">
        <v>0</v>
      </c>
      <c r="Q266" s="108">
        <v>0</v>
      </c>
      <c r="R266" s="108">
        <v>0</v>
      </c>
      <c r="S266" s="108">
        <v>0</v>
      </c>
    </row>
    <row r="267" hidden="1" spans="1:19">
      <c r="A267" s="147">
        <v>45020</v>
      </c>
      <c r="B267" s="104" t="s">
        <v>30</v>
      </c>
      <c r="C267" s="145">
        <v>0</v>
      </c>
      <c r="D267" s="104">
        <v>0</v>
      </c>
      <c r="E267" s="106">
        <v>0</v>
      </c>
      <c r="F267" s="107">
        <v>0</v>
      </c>
      <c r="G267" s="106">
        <v>0</v>
      </c>
      <c r="H267" s="108">
        <v>0</v>
      </c>
      <c r="I267" s="108">
        <v>0</v>
      </c>
      <c r="J267" s="108">
        <v>0</v>
      </c>
      <c r="K267" s="108">
        <v>0</v>
      </c>
      <c r="L267" s="108">
        <v>0</v>
      </c>
      <c r="M267" s="108">
        <v>0</v>
      </c>
      <c r="N267" s="108">
        <v>0</v>
      </c>
      <c r="O267" s="108">
        <v>0</v>
      </c>
      <c r="P267" s="108">
        <v>0</v>
      </c>
      <c r="Q267" s="108">
        <v>0</v>
      </c>
      <c r="R267" s="108">
        <v>0</v>
      </c>
      <c r="S267" s="108">
        <v>0</v>
      </c>
    </row>
    <row r="268" hidden="1" spans="1:19">
      <c r="A268" s="147">
        <v>45020</v>
      </c>
      <c r="B268" s="104" t="s">
        <v>31</v>
      </c>
      <c r="C268" s="145">
        <v>0</v>
      </c>
      <c r="D268" s="104">
        <v>1</v>
      </c>
      <c r="E268" s="106">
        <v>1</v>
      </c>
      <c r="F268" s="107">
        <v>0</v>
      </c>
      <c r="G268" s="106">
        <v>0</v>
      </c>
      <c r="H268" s="108">
        <v>0</v>
      </c>
      <c r="I268" s="108">
        <v>0</v>
      </c>
      <c r="J268" s="108">
        <v>0</v>
      </c>
      <c r="K268" s="108">
        <v>0</v>
      </c>
      <c r="L268" s="108">
        <v>1</v>
      </c>
      <c r="M268" s="108">
        <v>1</v>
      </c>
      <c r="N268" s="108">
        <v>0.8</v>
      </c>
      <c r="O268" s="108">
        <v>0.857142857142857</v>
      </c>
      <c r="P268" s="108">
        <v>0</v>
      </c>
      <c r="Q268" s="108">
        <v>0</v>
      </c>
      <c r="R268" s="108">
        <v>0</v>
      </c>
      <c r="S268" s="108">
        <v>0</v>
      </c>
    </row>
    <row r="269" hidden="1" spans="1:19">
      <c r="A269" s="147">
        <v>45020</v>
      </c>
      <c r="B269" s="104" t="s">
        <v>32</v>
      </c>
      <c r="C269" s="145">
        <v>0</v>
      </c>
      <c r="D269" s="104">
        <v>0</v>
      </c>
      <c r="E269" s="106">
        <v>0</v>
      </c>
      <c r="F269" s="107">
        <v>0</v>
      </c>
      <c r="G269" s="106">
        <v>0</v>
      </c>
      <c r="H269" s="108">
        <v>0</v>
      </c>
      <c r="I269" s="108">
        <v>0</v>
      </c>
      <c r="J269" s="108">
        <v>0</v>
      </c>
      <c r="K269" s="108">
        <v>0</v>
      </c>
      <c r="L269" s="108">
        <v>0</v>
      </c>
      <c r="M269" s="108">
        <v>0</v>
      </c>
      <c r="N269" s="108">
        <v>0</v>
      </c>
      <c r="O269" s="108">
        <v>0</v>
      </c>
      <c r="P269" s="108">
        <v>0</v>
      </c>
      <c r="Q269" s="108">
        <v>0</v>
      </c>
      <c r="R269" s="108">
        <v>0</v>
      </c>
      <c r="S269" s="108">
        <v>0</v>
      </c>
    </row>
    <row r="270" hidden="1" spans="1:19">
      <c r="A270" s="147">
        <v>45020</v>
      </c>
      <c r="B270" s="104" t="s">
        <v>33</v>
      </c>
      <c r="C270" s="145">
        <v>0</v>
      </c>
      <c r="D270" s="104">
        <v>0</v>
      </c>
      <c r="E270" s="106">
        <v>0</v>
      </c>
      <c r="F270" s="107">
        <v>0</v>
      </c>
      <c r="G270" s="106">
        <v>0</v>
      </c>
      <c r="H270" s="108">
        <v>0</v>
      </c>
      <c r="I270" s="108">
        <v>0</v>
      </c>
      <c r="J270" s="108">
        <v>0</v>
      </c>
      <c r="K270" s="108">
        <v>0</v>
      </c>
      <c r="L270" s="108">
        <v>0</v>
      </c>
      <c r="M270" s="108">
        <v>0</v>
      </c>
      <c r="N270" s="108">
        <v>-0.2</v>
      </c>
      <c r="O270" s="108">
        <v>-0.142857142857143</v>
      </c>
      <c r="P270" s="108">
        <v>0</v>
      </c>
      <c r="Q270" s="108">
        <v>0</v>
      </c>
      <c r="R270" s="108">
        <v>0</v>
      </c>
      <c r="S270" s="108">
        <v>0</v>
      </c>
    </row>
    <row r="271" hidden="1" spans="1:19">
      <c r="A271" s="147">
        <v>45020</v>
      </c>
      <c r="B271" s="104" t="s">
        <v>34</v>
      </c>
      <c r="C271" s="145">
        <v>0</v>
      </c>
      <c r="D271" s="104">
        <v>0</v>
      </c>
      <c r="E271" s="106">
        <v>0</v>
      </c>
      <c r="F271" s="107">
        <v>0</v>
      </c>
      <c r="G271" s="106">
        <v>0</v>
      </c>
      <c r="H271" s="108">
        <v>0</v>
      </c>
      <c r="I271" s="108">
        <v>0</v>
      </c>
      <c r="J271" s="108">
        <v>0</v>
      </c>
      <c r="K271" s="108">
        <v>0</v>
      </c>
      <c r="L271" s="108">
        <v>0</v>
      </c>
      <c r="M271" s="108">
        <v>0</v>
      </c>
      <c r="N271" s="108">
        <v>0</v>
      </c>
      <c r="O271" s="108">
        <v>0</v>
      </c>
      <c r="P271" s="108">
        <v>0</v>
      </c>
      <c r="Q271" s="108">
        <v>0</v>
      </c>
      <c r="R271" s="108">
        <v>0</v>
      </c>
      <c r="S271" s="108">
        <v>0</v>
      </c>
    </row>
    <row r="272" hidden="1" spans="1:19">
      <c r="A272" s="147">
        <v>45020</v>
      </c>
      <c r="B272" s="104" t="s">
        <v>35</v>
      </c>
      <c r="C272" s="145">
        <v>0</v>
      </c>
      <c r="D272" s="104">
        <v>0</v>
      </c>
      <c r="E272" s="106">
        <v>0</v>
      </c>
      <c r="F272" s="107">
        <v>0</v>
      </c>
      <c r="G272" s="106">
        <v>0</v>
      </c>
      <c r="H272" s="108">
        <v>0</v>
      </c>
      <c r="I272" s="108">
        <v>0</v>
      </c>
      <c r="J272" s="108">
        <v>0</v>
      </c>
      <c r="K272" s="108">
        <v>0</v>
      </c>
      <c r="L272" s="108">
        <v>0</v>
      </c>
      <c r="M272" s="108">
        <v>0</v>
      </c>
      <c r="N272" s="108">
        <v>0</v>
      </c>
      <c r="O272" s="108">
        <v>0</v>
      </c>
      <c r="P272" s="108">
        <v>0</v>
      </c>
      <c r="Q272" s="108">
        <v>0</v>
      </c>
      <c r="R272" s="108">
        <v>0</v>
      </c>
      <c r="S272" s="108">
        <v>0</v>
      </c>
    </row>
    <row r="273" hidden="1" spans="1:19">
      <c r="A273" s="147">
        <v>45020</v>
      </c>
      <c r="B273" s="104" t="s">
        <v>36</v>
      </c>
      <c r="C273" s="145">
        <v>0</v>
      </c>
      <c r="D273" s="104">
        <v>0</v>
      </c>
      <c r="E273" s="106">
        <v>0</v>
      </c>
      <c r="F273" s="107">
        <v>0</v>
      </c>
      <c r="G273" s="106">
        <v>0</v>
      </c>
      <c r="H273" s="108">
        <v>0</v>
      </c>
      <c r="I273" s="108">
        <v>0</v>
      </c>
      <c r="J273" s="108">
        <v>0</v>
      </c>
      <c r="K273" s="108">
        <v>0</v>
      </c>
      <c r="L273" s="108">
        <v>0</v>
      </c>
      <c r="M273" s="108">
        <v>0</v>
      </c>
      <c r="N273" s="108">
        <v>0</v>
      </c>
      <c r="O273" s="108">
        <v>0</v>
      </c>
      <c r="P273" s="108">
        <v>0</v>
      </c>
      <c r="Q273" s="108">
        <v>0</v>
      </c>
      <c r="R273" s="108">
        <v>0</v>
      </c>
      <c r="S273" s="108">
        <v>0</v>
      </c>
    </row>
    <row r="274" hidden="1" spans="1:19">
      <c r="A274" s="147">
        <v>45020</v>
      </c>
      <c r="B274" s="104" t="s">
        <v>37</v>
      </c>
      <c r="C274" s="145">
        <v>0</v>
      </c>
      <c r="D274" s="104">
        <v>0</v>
      </c>
      <c r="E274" s="106">
        <v>0</v>
      </c>
      <c r="F274" s="107">
        <v>0</v>
      </c>
      <c r="G274" s="106">
        <v>0</v>
      </c>
      <c r="H274" s="108">
        <v>0</v>
      </c>
      <c r="I274" s="108">
        <v>0</v>
      </c>
      <c r="J274" s="108">
        <v>0</v>
      </c>
      <c r="K274" s="108">
        <v>0</v>
      </c>
      <c r="L274" s="108">
        <v>0</v>
      </c>
      <c r="M274" s="108">
        <v>0</v>
      </c>
      <c r="N274" s="108">
        <v>0</v>
      </c>
      <c r="O274" s="108">
        <v>0</v>
      </c>
      <c r="P274" s="108">
        <v>0</v>
      </c>
      <c r="Q274" s="108">
        <v>0</v>
      </c>
      <c r="R274" s="108">
        <v>0</v>
      </c>
      <c r="S274" s="108">
        <v>0</v>
      </c>
    </row>
    <row r="275" hidden="1" spans="1:19">
      <c r="A275" s="147">
        <v>45020</v>
      </c>
      <c r="B275" s="104" t="s">
        <v>38</v>
      </c>
      <c r="C275" s="145">
        <v>0</v>
      </c>
      <c r="D275" s="104">
        <v>0</v>
      </c>
      <c r="E275" s="106">
        <v>0</v>
      </c>
      <c r="F275" s="107">
        <v>0</v>
      </c>
      <c r="G275" s="106">
        <v>0</v>
      </c>
      <c r="H275" s="108">
        <v>0</v>
      </c>
      <c r="I275" s="108">
        <v>0</v>
      </c>
      <c r="J275" s="108">
        <v>0</v>
      </c>
      <c r="K275" s="108">
        <v>0</v>
      </c>
      <c r="L275" s="108">
        <v>0</v>
      </c>
      <c r="M275" s="108">
        <v>0</v>
      </c>
      <c r="N275" s="108">
        <v>0</v>
      </c>
      <c r="O275" s="108">
        <v>0</v>
      </c>
      <c r="P275" s="108">
        <v>0</v>
      </c>
      <c r="Q275" s="108">
        <v>0</v>
      </c>
      <c r="R275" s="108">
        <v>0</v>
      </c>
      <c r="S275" s="108">
        <v>0</v>
      </c>
    </row>
    <row r="276" spans="1:19">
      <c r="A276" s="147">
        <v>45020</v>
      </c>
      <c r="B276" s="111" t="s">
        <v>39</v>
      </c>
      <c r="C276" s="112">
        <v>21265</v>
      </c>
      <c r="D276" s="112">
        <v>408</v>
      </c>
      <c r="E276" s="113">
        <v>0.0191864566188573</v>
      </c>
      <c r="F276" s="112">
        <v>130</v>
      </c>
      <c r="G276" s="113">
        <v>0.318627450980392</v>
      </c>
      <c r="H276" s="108"/>
      <c r="I276" s="108"/>
      <c r="J276" s="108"/>
      <c r="K276" s="108"/>
      <c r="L276" s="108"/>
      <c r="M276" s="108"/>
      <c r="N276" s="108"/>
      <c r="O276" s="108"/>
      <c r="P276" s="108"/>
      <c r="Q276" s="108"/>
      <c r="R276" s="108"/>
      <c r="S276" s="108"/>
    </row>
    <row r="277" spans="1:19">
      <c r="A277" s="147">
        <v>45021</v>
      </c>
      <c r="B277" s="104" t="s">
        <v>17</v>
      </c>
      <c r="C277" s="105">
        <v>96</v>
      </c>
      <c r="D277" s="104">
        <v>40</v>
      </c>
      <c r="E277" s="106">
        <v>0.416666666666667</v>
      </c>
      <c r="F277" s="107">
        <v>6</v>
      </c>
      <c r="G277" s="106">
        <v>0.15</v>
      </c>
      <c r="H277" s="108">
        <v>8</v>
      </c>
      <c r="I277" s="108">
        <v>32</v>
      </c>
      <c r="J277" s="108">
        <v>38.8</v>
      </c>
      <c r="K277" s="108">
        <v>39.5714285714286</v>
      </c>
      <c r="L277" s="108">
        <v>11</v>
      </c>
      <c r="M277" s="108">
        <v>8</v>
      </c>
      <c r="N277" s="108">
        <v>7.8</v>
      </c>
      <c r="O277" s="108">
        <v>9.57142857142857</v>
      </c>
      <c r="P277" s="108">
        <v>3</v>
      </c>
      <c r="Q277" s="108">
        <v>1</v>
      </c>
      <c r="R277" s="108">
        <v>0.6</v>
      </c>
      <c r="S277" s="108">
        <v>1</v>
      </c>
    </row>
    <row r="278" spans="1:19">
      <c r="A278" s="147">
        <v>45021</v>
      </c>
      <c r="B278" s="104" t="s">
        <v>19</v>
      </c>
      <c r="C278" s="107">
        <v>672</v>
      </c>
      <c r="D278" s="104">
        <v>22</v>
      </c>
      <c r="E278" s="106">
        <v>0.0327380952380952</v>
      </c>
      <c r="F278" s="107">
        <v>11</v>
      </c>
      <c r="G278" s="106">
        <v>0.5</v>
      </c>
      <c r="H278" s="108">
        <v>20</v>
      </c>
      <c r="I278" s="108">
        <v>-16.6666666666666</v>
      </c>
      <c r="J278" s="108">
        <v>-251</v>
      </c>
      <c r="K278" s="108">
        <v>-478.428571428571</v>
      </c>
      <c r="L278" s="108">
        <v>4</v>
      </c>
      <c r="M278" s="108">
        <v>1.33333333333333</v>
      </c>
      <c r="N278" s="108">
        <v>-11.2</v>
      </c>
      <c r="O278" s="108">
        <v>-24.8571428571429</v>
      </c>
      <c r="P278" s="108">
        <v>1</v>
      </c>
      <c r="Q278" s="108">
        <v>-2.33333333333333</v>
      </c>
      <c r="R278" s="108">
        <v>-4</v>
      </c>
      <c r="S278" s="115">
        <v>-9.85714285714286</v>
      </c>
    </row>
    <row r="279" spans="1:19">
      <c r="A279" s="147">
        <v>45021</v>
      </c>
      <c r="B279" s="104" t="s">
        <v>21</v>
      </c>
      <c r="C279" s="145">
        <v>764</v>
      </c>
      <c r="D279" s="104">
        <v>29</v>
      </c>
      <c r="E279" s="106">
        <v>0.0379581151832461</v>
      </c>
      <c r="F279" s="107">
        <v>9</v>
      </c>
      <c r="G279" s="106">
        <v>0.310344827586207</v>
      </c>
      <c r="H279" s="108">
        <v>38</v>
      </c>
      <c r="I279" s="108">
        <v>-228.333333333333</v>
      </c>
      <c r="J279" s="108">
        <v>-295.2</v>
      </c>
      <c r="K279" s="108">
        <v>-300.571428571429</v>
      </c>
      <c r="L279" s="108">
        <v>4</v>
      </c>
      <c r="M279" s="108">
        <v>6</v>
      </c>
      <c r="N279" s="108">
        <v>3.6</v>
      </c>
      <c r="O279" s="108">
        <v>3.85714285714286</v>
      </c>
      <c r="P279" s="108">
        <v>0</v>
      </c>
      <c r="Q279" s="108">
        <v>0.333333333333334</v>
      </c>
      <c r="R279" s="108">
        <v>-0.800000000000001</v>
      </c>
      <c r="S279" s="108">
        <v>0.285714285714286</v>
      </c>
    </row>
    <row r="280" spans="1:19">
      <c r="A280" s="147">
        <v>45021</v>
      </c>
      <c r="B280" s="104" t="s">
        <v>22</v>
      </c>
      <c r="C280" s="145">
        <v>5099</v>
      </c>
      <c r="D280" s="104">
        <v>128</v>
      </c>
      <c r="E280" s="106">
        <v>0.0251029613649735</v>
      </c>
      <c r="F280" s="107">
        <v>51</v>
      </c>
      <c r="G280" s="106">
        <v>0.3984375</v>
      </c>
      <c r="H280" s="108">
        <v>-57</v>
      </c>
      <c r="I280" s="108">
        <v>-271</v>
      </c>
      <c r="J280" s="108">
        <v>-216.4</v>
      </c>
      <c r="K280" s="108">
        <v>54.5714285714284</v>
      </c>
      <c r="L280" s="108">
        <v>-19</v>
      </c>
      <c r="M280" s="108">
        <v>-16.6666666666667</v>
      </c>
      <c r="N280" s="108">
        <v>-12.4</v>
      </c>
      <c r="O280" s="115">
        <v>-9.28571428571428</v>
      </c>
      <c r="P280" s="108">
        <v>7</v>
      </c>
      <c r="Q280" s="108">
        <v>5.33333333333334</v>
      </c>
      <c r="R280" s="108">
        <v>3.6</v>
      </c>
      <c r="S280" s="117">
        <v>5.28571428571428</v>
      </c>
    </row>
    <row r="281" spans="1:19">
      <c r="A281" s="147">
        <v>45021</v>
      </c>
      <c r="B281" s="104" t="s">
        <v>23</v>
      </c>
      <c r="C281" s="145">
        <v>3352</v>
      </c>
      <c r="D281" s="104">
        <v>34</v>
      </c>
      <c r="E281" s="106">
        <v>0.0101431980906921</v>
      </c>
      <c r="F281" s="107">
        <v>12</v>
      </c>
      <c r="G281" s="106">
        <v>0.352941176470588</v>
      </c>
      <c r="H281" s="108">
        <v>-72</v>
      </c>
      <c r="I281" s="108">
        <v>-144.666666666667</v>
      </c>
      <c r="J281" s="108">
        <v>-97.8000000000002</v>
      </c>
      <c r="K281" s="108">
        <v>86.2857142857142</v>
      </c>
      <c r="L281" s="108">
        <v>-10</v>
      </c>
      <c r="M281" s="108">
        <v>-12.6666666666667</v>
      </c>
      <c r="N281" s="108">
        <v>-10.4</v>
      </c>
      <c r="O281" s="108">
        <v>-6.71428571428572</v>
      </c>
      <c r="P281" s="108">
        <v>-7</v>
      </c>
      <c r="Q281" s="116">
        <v>-5.66666666666667</v>
      </c>
      <c r="R281" s="108">
        <v>-5.6</v>
      </c>
      <c r="S281" s="108">
        <v>-3</v>
      </c>
    </row>
    <row r="282" spans="1:19">
      <c r="A282" s="147">
        <v>45021</v>
      </c>
      <c r="B282" s="104" t="s">
        <v>24</v>
      </c>
      <c r="C282" s="145">
        <v>544</v>
      </c>
      <c r="D282" s="104">
        <v>5</v>
      </c>
      <c r="E282" s="106">
        <v>0.00919117647058824</v>
      </c>
      <c r="F282" s="107">
        <v>1</v>
      </c>
      <c r="G282" s="106">
        <v>0.2</v>
      </c>
      <c r="H282" s="108">
        <v>-25</v>
      </c>
      <c r="I282" s="108">
        <v>14.6666666666666</v>
      </c>
      <c r="J282" s="108">
        <v>29.6</v>
      </c>
      <c r="K282" s="108">
        <v>18.2857142857143</v>
      </c>
      <c r="L282" s="115">
        <v>-2</v>
      </c>
      <c r="M282" s="115">
        <v>-2</v>
      </c>
      <c r="N282" s="117">
        <v>-0.2</v>
      </c>
      <c r="O282" s="117">
        <v>-0.857142857142857</v>
      </c>
      <c r="P282" s="115">
        <v>0</v>
      </c>
      <c r="Q282" s="115">
        <v>-0.666666666666667</v>
      </c>
      <c r="R282" s="115">
        <v>-0.6</v>
      </c>
      <c r="S282" s="115">
        <v>-1</v>
      </c>
    </row>
    <row r="283" spans="1:19">
      <c r="A283" s="147">
        <v>45021</v>
      </c>
      <c r="B283" s="104" t="s">
        <v>25</v>
      </c>
      <c r="C283" s="145">
        <v>14786</v>
      </c>
      <c r="D283" s="104">
        <v>48</v>
      </c>
      <c r="E283" s="106">
        <v>0.00324631408088733</v>
      </c>
      <c r="F283" s="107">
        <v>27</v>
      </c>
      <c r="G283" s="106">
        <v>0.5625</v>
      </c>
      <c r="H283" s="108">
        <v>5965</v>
      </c>
      <c r="I283" s="108">
        <v>5003.66666666667</v>
      </c>
      <c r="J283" s="108">
        <v>6374</v>
      </c>
      <c r="K283" s="108">
        <v>6980.42857142857</v>
      </c>
      <c r="L283" s="116">
        <v>5</v>
      </c>
      <c r="M283" s="115">
        <v>-1.66666666666666</v>
      </c>
      <c r="N283" s="115">
        <v>4.8</v>
      </c>
      <c r="O283" s="115">
        <v>5.71428571428572</v>
      </c>
      <c r="P283" s="108">
        <v>11</v>
      </c>
      <c r="Q283" s="108">
        <v>7.66666666666667</v>
      </c>
      <c r="R283" s="108">
        <v>8.8</v>
      </c>
      <c r="S283" s="108">
        <v>5.85714285714286</v>
      </c>
    </row>
    <row r="284" spans="1:19">
      <c r="A284" s="147">
        <v>45021</v>
      </c>
      <c r="B284" s="104" t="s">
        <v>26</v>
      </c>
      <c r="C284" s="145">
        <v>1232</v>
      </c>
      <c r="D284" s="104">
        <v>78</v>
      </c>
      <c r="E284" s="106">
        <v>0.0633116883116883</v>
      </c>
      <c r="F284" s="107">
        <v>19</v>
      </c>
      <c r="G284" s="106">
        <v>0.243589743589744</v>
      </c>
      <c r="H284" s="108">
        <v>-542</v>
      </c>
      <c r="I284" s="108">
        <v>-239.666666666667</v>
      </c>
      <c r="J284" s="108">
        <v>144</v>
      </c>
      <c r="K284" s="108">
        <v>322</v>
      </c>
      <c r="L284" s="108">
        <v>-16</v>
      </c>
      <c r="M284" s="108">
        <v>-16</v>
      </c>
      <c r="N284" s="108">
        <v>-12.2</v>
      </c>
      <c r="O284" s="108">
        <v>-6.28571428571429</v>
      </c>
      <c r="P284" s="108">
        <v>-7</v>
      </c>
      <c r="Q284" s="108">
        <v>-3</v>
      </c>
      <c r="R284" s="108">
        <v>-2.4</v>
      </c>
      <c r="S284" s="108">
        <v>-1.57142857142857</v>
      </c>
    </row>
    <row r="285" spans="1:19">
      <c r="A285" s="147">
        <v>45021</v>
      </c>
      <c r="B285" s="104" t="s">
        <v>27</v>
      </c>
      <c r="C285" s="145">
        <v>54</v>
      </c>
      <c r="D285" s="104">
        <v>1</v>
      </c>
      <c r="E285" s="106">
        <v>0.0185185185185185</v>
      </c>
      <c r="F285" s="107">
        <v>0</v>
      </c>
      <c r="G285" s="106">
        <v>0</v>
      </c>
      <c r="H285" s="108">
        <v>5</v>
      </c>
      <c r="I285" s="108">
        <v>10.3333333333333</v>
      </c>
      <c r="J285" s="108">
        <v>16.6</v>
      </c>
      <c r="K285" s="108">
        <v>17.8571428571429</v>
      </c>
      <c r="L285" s="108">
        <v>1</v>
      </c>
      <c r="M285" s="108">
        <v>0</v>
      </c>
      <c r="N285" s="108">
        <v>0</v>
      </c>
      <c r="O285" s="108">
        <v>0.285714285714286</v>
      </c>
      <c r="P285" s="108">
        <v>-2</v>
      </c>
      <c r="Q285" s="108">
        <v>-0.666666666666667</v>
      </c>
      <c r="R285" s="108">
        <v>-0.6</v>
      </c>
      <c r="S285" s="108">
        <v>-0.428571428571429</v>
      </c>
    </row>
    <row r="286" spans="1:19">
      <c r="A286" s="147">
        <v>45021</v>
      </c>
      <c r="B286" s="104" t="s">
        <v>28</v>
      </c>
      <c r="C286" s="145">
        <v>0</v>
      </c>
      <c r="D286" s="104">
        <v>0</v>
      </c>
      <c r="E286" s="106">
        <v>0</v>
      </c>
      <c r="F286" s="107">
        <v>0</v>
      </c>
      <c r="G286" s="106">
        <v>0</v>
      </c>
      <c r="H286" s="108">
        <v>0</v>
      </c>
      <c r="I286" s="108">
        <v>0</v>
      </c>
      <c r="J286" s="108">
        <v>0</v>
      </c>
      <c r="K286" s="108">
        <v>0</v>
      </c>
      <c r="L286" s="108">
        <v>0</v>
      </c>
      <c r="M286" s="108">
        <v>0</v>
      </c>
      <c r="N286" s="108">
        <v>0</v>
      </c>
      <c r="O286" s="108">
        <v>0</v>
      </c>
      <c r="P286" s="108">
        <v>0</v>
      </c>
      <c r="Q286" s="108">
        <v>0</v>
      </c>
      <c r="R286" s="108">
        <v>0</v>
      </c>
      <c r="S286" s="108">
        <v>0</v>
      </c>
    </row>
    <row r="287" spans="1:19">
      <c r="A287" s="147">
        <v>45021</v>
      </c>
      <c r="B287" s="104" t="s">
        <v>29</v>
      </c>
      <c r="C287" s="145">
        <v>1</v>
      </c>
      <c r="D287" s="104">
        <v>0</v>
      </c>
      <c r="E287" s="106">
        <v>0</v>
      </c>
      <c r="F287" s="107">
        <v>0</v>
      </c>
      <c r="G287" s="106">
        <v>0</v>
      </c>
      <c r="H287" s="108">
        <v>-5</v>
      </c>
      <c r="I287" s="108">
        <v>-3.33333333333333</v>
      </c>
      <c r="J287" s="108">
        <v>-3.2</v>
      </c>
      <c r="K287" s="108">
        <v>-2.71428571428571</v>
      </c>
      <c r="L287" s="108">
        <v>0</v>
      </c>
      <c r="M287" s="108">
        <v>0</v>
      </c>
      <c r="N287" s="108">
        <v>-0.2</v>
      </c>
      <c r="O287" s="108">
        <v>-0.142857142857143</v>
      </c>
      <c r="P287" s="108">
        <v>0</v>
      </c>
      <c r="Q287" s="108">
        <v>0</v>
      </c>
      <c r="R287" s="108">
        <v>0</v>
      </c>
      <c r="S287" s="108">
        <v>0</v>
      </c>
    </row>
    <row r="288" hidden="1" spans="1:19">
      <c r="A288" s="147">
        <v>45021</v>
      </c>
      <c r="B288" s="104" t="s">
        <v>30</v>
      </c>
      <c r="C288" s="145">
        <v>0</v>
      </c>
      <c r="D288" s="104">
        <v>0</v>
      </c>
      <c r="E288" s="106">
        <v>0</v>
      </c>
      <c r="F288" s="107">
        <v>0</v>
      </c>
      <c r="G288" s="106">
        <v>0</v>
      </c>
      <c r="H288" s="108">
        <v>0</v>
      </c>
      <c r="I288" s="108">
        <v>0</v>
      </c>
      <c r="J288" s="108">
        <v>0</v>
      </c>
      <c r="K288" s="108">
        <v>0</v>
      </c>
      <c r="L288" s="108">
        <v>0</v>
      </c>
      <c r="M288" s="108">
        <v>0</v>
      </c>
      <c r="N288" s="108">
        <v>0</v>
      </c>
      <c r="O288" s="108">
        <v>0</v>
      </c>
      <c r="P288" s="108">
        <v>0</v>
      </c>
      <c r="Q288" s="108">
        <v>0</v>
      </c>
      <c r="R288" s="108">
        <v>0</v>
      </c>
      <c r="S288" s="108">
        <v>0</v>
      </c>
    </row>
    <row r="289" hidden="1" spans="1:19">
      <c r="A289" s="147">
        <v>45021</v>
      </c>
      <c r="B289" s="104" t="s">
        <v>31</v>
      </c>
      <c r="C289" s="145">
        <v>0</v>
      </c>
      <c r="D289" s="104">
        <v>2</v>
      </c>
      <c r="E289" s="106">
        <v>2</v>
      </c>
      <c r="F289" s="107">
        <v>0</v>
      </c>
      <c r="G289" s="106">
        <v>0</v>
      </c>
      <c r="H289" s="108">
        <v>0</v>
      </c>
      <c r="I289" s="108">
        <v>0</v>
      </c>
      <c r="J289" s="108">
        <v>0</v>
      </c>
      <c r="K289" s="108">
        <v>0</v>
      </c>
      <c r="L289" s="108">
        <v>1</v>
      </c>
      <c r="M289" s="108">
        <v>1.66666666666667</v>
      </c>
      <c r="N289" s="108">
        <v>1.8</v>
      </c>
      <c r="O289" s="108">
        <v>1.71428571428571</v>
      </c>
      <c r="P289" s="108">
        <v>0</v>
      </c>
      <c r="Q289" s="108">
        <v>0</v>
      </c>
      <c r="R289" s="108">
        <v>0</v>
      </c>
      <c r="S289" s="108">
        <v>0</v>
      </c>
    </row>
    <row r="290" hidden="1" spans="1:19">
      <c r="A290" s="147">
        <v>45021</v>
      </c>
      <c r="B290" s="104" t="s">
        <v>32</v>
      </c>
      <c r="C290" s="145">
        <v>0</v>
      </c>
      <c r="D290" s="104">
        <v>0</v>
      </c>
      <c r="E290" s="106">
        <v>0</v>
      </c>
      <c r="F290" s="107">
        <v>0</v>
      </c>
      <c r="G290" s="106">
        <v>0</v>
      </c>
      <c r="H290" s="108">
        <v>0</v>
      </c>
      <c r="I290" s="108">
        <v>0</v>
      </c>
      <c r="J290" s="108">
        <v>0</v>
      </c>
      <c r="K290" s="108">
        <v>0</v>
      </c>
      <c r="L290" s="108">
        <v>0</v>
      </c>
      <c r="M290" s="108">
        <v>0</v>
      </c>
      <c r="N290" s="108">
        <v>0</v>
      </c>
      <c r="O290" s="108">
        <v>0</v>
      </c>
      <c r="P290" s="108">
        <v>0</v>
      </c>
      <c r="Q290" s="108">
        <v>0</v>
      </c>
      <c r="R290" s="108">
        <v>0</v>
      </c>
      <c r="S290" s="108">
        <v>0</v>
      </c>
    </row>
    <row r="291" hidden="1" spans="1:19">
      <c r="A291" s="147">
        <v>45021</v>
      </c>
      <c r="B291" s="104" t="s">
        <v>33</v>
      </c>
      <c r="C291" s="145">
        <v>0</v>
      </c>
      <c r="D291" s="104">
        <v>0</v>
      </c>
      <c r="E291" s="106">
        <v>0</v>
      </c>
      <c r="F291" s="107">
        <v>0</v>
      </c>
      <c r="G291" s="106">
        <v>0</v>
      </c>
      <c r="H291" s="108">
        <v>0</v>
      </c>
      <c r="I291" s="108">
        <v>0</v>
      </c>
      <c r="J291" s="108">
        <v>0</v>
      </c>
      <c r="K291" s="108">
        <v>0</v>
      </c>
      <c r="L291" s="108">
        <v>0</v>
      </c>
      <c r="M291" s="108">
        <v>0</v>
      </c>
      <c r="N291" s="108">
        <v>-0.2</v>
      </c>
      <c r="O291" s="108">
        <v>-0.142857142857143</v>
      </c>
      <c r="P291" s="108">
        <v>0</v>
      </c>
      <c r="Q291" s="108">
        <v>0</v>
      </c>
      <c r="R291" s="108">
        <v>0</v>
      </c>
      <c r="S291" s="108">
        <v>0</v>
      </c>
    </row>
    <row r="292" hidden="1" spans="1:19">
      <c r="A292" s="147">
        <v>45021</v>
      </c>
      <c r="B292" s="104" t="s">
        <v>34</v>
      </c>
      <c r="C292" s="145">
        <v>0</v>
      </c>
      <c r="D292" s="104">
        <v>0</v>
      </c>
      <c r="E292" s="106">
        <v>0</v>
      </c>
      <c r="F292" s="107">
        <v>0</v>
      </c>
      <c r="G292" s="106">
        <v>0</v>
      </c>
      <c r="H292" s="108">
        <v>0</v>
      </c>
      <c r="I292" s="108">
        <v>0</v>
      </c>
      <c r="J292" s="108">
        <v>0</v>
      </c>
      <c r="K292" s="108">
        <v>0</v>
      </c>
      <c r="L292" s="108">
        <v>0</v>
      </c>
      <c r="M292" s="108">
        <v>0</v>
      </c>
      <c r="N292" s="108">
        <v>0</v>
      </c>
      <c r="O292" s="108">
        <v>0</v>
      </c>
      <c r="P292" s="108">
        <v>0</v>
      </c>
      <c r="Q292" s="108">
        <v>0</v>
      </c>
      <c r="R292" s="108">
        <v>0</v>
      </c>
      <c r="S292" s="108">
        <v>0</v>
      </c>
    </row>
    <row r="293" hidden="1" spans="1:19">
      <c r="A293" s="147">
        <v>45021</v>
      </c>
      <c r="B293" s="104" t="s">
        <v>35</v>
      </c>
      <c r="C293" s="145">
        <v>0</v>
      </c>
      <c r="D293" s="104">
        <v>0</v>
      </c>
      <c r="E293" s="106">
        <v>0</v>
      </c>
      <c r="F293" s="107">
        <v>0</v>
      </c>
      <c r="G293" s="106">
        <v>0</v>
      </c>
      <c r="H293" s="108">
        <v>0</v>
      </c>
      <c r="I293" s="108">
        <v>0</v>
      </c>
      <c r="J293" s="108">
        <v>0</v>
      </c>
      <c r="K293" s="108">
        <v>0</v>
      </c>
      <c r="L293" s="108">
        <v>0</v>
      </c>
      <c r="M293" s="108">
        <v>0</v>
      </c>
      <c r="N293" s="108">
        <v>0</v>
      </c>
      <c r="O293" s="108">
        <v>0</v>
      </c>
      <c r="P293" s="108">
        <v>0</v>
      </c>
      <c r="Q293" s="108">
        <v>0</v>
      </c>
      <c r="R293" s="108">
        <v>0</v>
      </c>
      <c r="S293" s="108">
        <v>0</v>
      </c>
    </row>
    <row r="294" hidden="1" spans="1:19">
      <c r="A294" s="147">
        <v>45021</v>
      </c>
      <c r="B294" s="104" t="s">
        <v>36</v>
      </c>
      <c r="C294" s="145">
        <v>0</v>
      </c>
      <c r="D294" s="104">
        <v>0</v>
      </c>
      <c r="E294" s="106">
        <v>0</v>
      </c>
      <c r="F294" s="107">
        <v>0</v>
      </c>
      <c r="G294" s="106">
        <v>0</v>
      </c>
      <c r="H294" s="108">
        <v>0</v>
      </c>
      <c r="I294" s="108">
        <v>0</v>
      </c>
      <c r="J294" s="108">
        <v>0</v>
      </c>
      <c r="K294" s="108">
        <v>0</v>
      </c>
      <c r="L294" s="108">
        <v>0</v>
      </c>
      <c r="M294" s="108">
        <v>0</v>
      </c>
      <c r="N294" s="108">
        <v>0</v>
      </c>
      <c r="O294" s="108">
        <v>0</v>
      </c>
      <c r="P294" s="108">
        <v>0</v>
      </c>
      <c r="Q294" s="108">
        <v>0</v>
      </c>
      <c r="R294" s="108">
        <v>0</v>
      </c>
      <c r="S294" s="108">
        <v>0</v>
      </c>
    </row>
    <row r="295" hidden="1" spans="1:19">
      <c r="A295" s="147">
        <v>45021</v>
      </c>
      <c r="B295" s="104" t="s">
        <v>37</v>
      </c>
      <c r="C295" s="145">
        <v>0</v>
      </c>
      <c r="D295" s="104">
        <v>0</v>
      </c>
      <c r="E295" s="106">
        <v>0</v>
      </c>
      <c r="F295" s="107">
        <v>0</v>
      </c>
      <c r="G295" s="106">
        <v>0</v>
      </c>
      <c r="H295" s="108">
        <v>0</v>
      </c>
      <c r="I295" s="108">
        <v>0</v>
      </c>
      <c r="J295" s="108">
        <v>0</v>
      </c>
      <c r="K295" s="108">
        <v>0</v>
      </c>
      <c r="L295" s="108">
        <v>0</v>
      </c>
      <c r="M295" s="108">
        <v>0</v>
      </c>
      <c r="N295" s="108">
        <v>0</v>
      </c>
      <c r="O295" s="108">
        <v>0</v>
      </c>
      <c r="P295" s="108">
        <v>0</v>
      </c>
      <c r="Q295" s="108">
        <v>0</v>
      </c>
      <c r="R295" s="108">
        <v>0</v>
      </c>
      <c r="S295" s="108">
        <v>0</v>
      </c>
    </row>
    <row r="296" hidden="1" spans="1:19">
      <c r="A296" s="147">
        <v>45021</v>
      </c>
      <c r="B296" s="104" t="s">
        <v>38</v>
      </c>
      <c r="C296" s="145">
        <v>0</v>
      </c>
      <c r="D296" s="104">
        <v>0</v>
      </c>
      <c r="E296" s="106">
        <v>0</v>
      </c>
      <c r="F296" s="107">
        <v>0</v>
      </c>
      <c r="G296" s="106">
        <v>0</v>
      </c>
      <c r="H296" s="108">
        <v>0</v>
      </c>
      <c r="I296" s="108">
        <v>0</v>
      </c>
      <c r="J296" s="108">
        <v>0</v>
      </c>
      <c r="K296" s="108">
        <v>0</v>
      </c>
      <c r="L296" s="108">
        <v>0</v>
      </c>
      <c r="M296" s="108">
        <v>0</v>
      </c>
      <c r="N296" s="108">
        <v>0</v>
      </c>
      <c r="O296" s="108">
        <v>0</v>
      </c>
      <c r="P296" s="108">
        <v>0</v>
      </c>
      <c r="Q296" s="108">
        <v>0</v>
      </c>
      <c r="R296" s="108">
        <v>0</v>
      </c>
      <c r="S296" s="108">
        <v>0</v>
      </c>
    </row>
    <row r="297" spans="1:19">
      <c r="A297" s="147">
        <v>45021</v>
      </c>
      <c r="B297" s="111" t="s">
        <v>39</v>
      </c>
      <c r="C297" s="112">
        <v>26600</v>
      </c>
      <c r="D297" s="112">
        <v>387</v>
      </c>
      <c r="E297" s="113">
        <v>0.0145488721804511</v>
      </c>
      <c r="F297" s="112">
        <v>136</v>
      </c>
      <c r="G297" s="113">
        <v>0.351421188630491</v>
      </c>
      <c r="H297" s="108"/>
      <c r="I297" s="108"/>
      <c r="J297" s="108"/>
      <c r="K297" s="108"/>
      <c r="L297" s="108"/>
      <c r="M297" s="108"/>
      <c r="N297" s="108"/>
      <c r="O297" s="108"/>
      <c r="P297" s="108"/>
      <c r="Q297" s="108"/>
      <c r="R297" s="108"/>
      <c r="S297" s="108"/>
    </row>
    <row r="298" spans="1:19">
      <c r="A298" s="147">
        <v>45022</v>
      </c>
      <c r="B298" s="104" t="s">
        <v>17</v>
      </c>
      <c r="C298" s="105">
        <v>96</v>
      </c>
      <c r="D298" s="104">
        <v>21</v>
      </c>
      <c r="E298" s="106">
        <v>0.21875</v>
      </c>
      <c r="F298" s="107">
        <v>2</v>
      </c>
      <c r="G298" s="106">
        <v>0.0952380952380952</v>
      </c>
      <c r="H298" s="108">
        <v>0</v>
      </c>
      <c r="I298" s="108">
        <v>10.6666666666667</v>
      </c>
      <c r="J298" s="108">
        <v>27.6</v>
      </c>
      <c r="K298" s="108">
        <v>32.8571428571429</v>
      </c>
      <c r="L298" s="108">
        <v>-19</v>
      </c>
      <c r="M298" s="108">
        <v>-14.6666666666667</v>
      </c>
      <c r="N298" s="108">
        <v>-14.2</v>
      </c>
      <c r="O298" s="108">
        <v>-12.2857142857143</v>
      </c>
      <c r="P298" s="108">
        <v>-4</v>
      </c>
      <c r="Q298" s="108">
        <v>-3</v>
      </c>
      <c r="R298" s="108">
        <v>-3.4</v>
      </c>
      <c r="S298" s="108">
        <v>-3.28571428571429</v>
      </c>
    </row>
    <row r="299" spans="1:19">
      <c r="A299" s="147">
        <v>45022</v>
      </c>
      <c r="B299" s="104" t="s">
        <v>19</v>
      </c>
      <c r="C299" s="107">
        <v>661</v>
      </c>
      <c r="D299" s="104">
        <v>26</v>
      </c>
      <c r="E299" s="106">
        <v>0.0393343419062027</v>
      </c>
      <c r="F299" s="107">
        <v>9</v>
      </c>
      <c r="G299" s="106">
        <v>0.346153846153846</v>
      </c>
      <c r="H299" s="108">
        <v>-11</v>
      </c>
      <c r="I299" s="108">
        <v>-2.66666666666663</v>
      </c>
      <c r="J299" s="108">
        <v>-108.2</v>
      </c>
      <c r="K299" s="108">
        <v>-344</v>
      </c>
      <c r="L299" s="108">
        <v>4</v>
      </c>
      <c r="M299" s="108">
        <v>5.33333333333333</v>
      </c>
      <c r="N299" s="108">
        <v>0</v>
      </c>
      <c r="O299" s="108">
        <v>-11.8571428571429</v>
      </c>
      <c r="P299" s="108">
        <v>-2</v>
      </c>
      <c r="Q299" s="108">
        <v>-2.66666666666667</v>
      </c>
      <c r="R299" s="108">
        <v>-3.8</v>
      </c>
      <c r="S299" s="115">
        <v>-7.71428571428572</v>
      </c>
    </row>
    <row r="300" spans="1:19">
      <c r="A300" s="147">
        <v>45022</v>
      </c>
      <c r="B300" s="104" t="s">
        <v>21</v>
      </c>
      <c r="C300" s="145">
        <v>652</v>
      </c>
      <c r="D300" s="104">
        <v>23</v>
      </c>
      <c r="E300" s="106">
        <v>0.0352760736196319</v>
      </c>
      <c r="F300" s="107">
        <v>9</v>
      </c>
      <c r="G300" s="106">
        <v>0.391304347826087</v>
      </c>
      <c r="H300" s="108">
        <v>-112</v>
      </c>
      <c r="I300" s="108">
        <v>-178.333333333333</v>
      </c>
      <c r="J300" s="108">
        <v>-342.6</v>
      </c>
      <c r="K300" s="108">
        <v>-376.285714285714</v>
      </c>
      <c r="L300" s="108">
        <v>-6</v>
      </c>
      <c r="M300" s="108">
        <v>-2</v>
      </c>
      <c r="N300" s="108">
        <v>-2.8</v>
      </c>
      <c r="O300" s="108">
        <v>-2.42857142857143</v>
      </c>
      <c r="P300" s="108">
        <v>0</v>
      </c>
      <c r="Q300" s="108">
        <v>0.333333333333334</v>
      </c>
      <c r="R300" s="108">
        <v>-0.4</v>
      </c>
      <c r="S300" s="108">
        <v>0</v>
      </c>
    </row>
    <row r="301" spans="1:19">
      <c r="A301" s="147">
        <v>45022</v>
      </c>
      <c r="B301" s="104" t="s">
        <v>22</v>
      </c>
      <c r="C301" s="145">
        <v>4777</v>
      </c>
      <c r="D301" s="104">
        <v>116</v>
      </c>
      <c r="E301" s="106">
        <v>0.024283022817668</v>
      </c>
      <c r="F301" s="107">
        <v>39</v>
      </c>
      <c r="G301" s="106">
        <v>0.336206896551724</v>
      </c>
      <c r="H301" s="108">
        <v>-322</v>
      </c>
      <c r="I301" s="108">
        <v>-399.666666666667</v>
      </c>
      <c r="J301" s="108">
        <v>-616.4</v>
      </c>
      <c r="K301" s="108">
        <v>-364.714285714285</v>
      </c>
      <c r="L301" s="108">
        <v>-12</v>
      </c>
      <c r="M301" s="108">
        <v>-19.3333333333333</v>
      </c>
      <c r="N301" s="108">
        <v>-29</v>
      </c>
      <c r="O301" s="115">
        <v>-21.7142857142857</v>
      </c>
      <c r="P301" s="108">
        <v>-12</v>
      </c>
      <c r="Q301" s="108">
        <v>-5.66666666666666</v>
      </c>
      <c r="R301" s="108">
        <v>-12.2</v>
      </c>
      <c r="S301" s="117">
        <v>-8.57142857142857</v>
      </c>
    </row>
    <row r="302" spans="1:19">
      <c r="A302" s="147">
        <v>45022</v>
      </c>
      <c r="B302" s="104" t="s">
        <v>23</v>
      </c>
      <c r="C302" s="145">
        <v>3031</v>
      </c>
      <c r="D302" s="104">
        <v>45</v>
      </c>
      <c r="E302" s="106">
        <v>0.0148465852853844</v>
      </c>
      <c r="F302" s="107">
        <v>9</v>
      </c>
      <c r="G302" s="106">
        <v>0.2</v>
      </c>
      <c r="H302" s="108">
        <v>-321</v>
      </c>
      <c r="I302" s="108">
        <v>-369</v>
      </c>
      <c r="J302" s="108">
        <v>-464</v>
      </c>
      <c r="K302" s="108">
        <v>-301.428571428572</v>
      </c>
      <c r="L302" s="108">
        <v>11</v>
      </c>
      <c r="M302" s="108">
        <v>2</v>
      </c>
      <c r="N302" s="108">
        <v>0.200000000000003</v>
      </c>
      <c r="O302" s="108">
        <v>5.14285714285715</v>
      </c>
      <c r="P302" s="108">
        <v>-3</v>
      </c>
      <c r="Q302" s="116">
        <v>-9</v>
      </c>
      <c r="R302" s="108">
        <v>-9</v>
      </c>
      <c r="S302" s="108">
        <v>-6</v>
      </c>
    </row>
    <row r="303" spans="1:19">
      <c r="A303" s="147">
        <v>45022</v>
      </c>
      <c r="B303" s="104" t="s">
        <v>24</v>
      </c>
      <c r="C303" s="145">
        <v>798</v>
      </c>
      <c r="D303" s="104">
        <v>6</v>
      </c>
      <c r="E303" s="106">
        <v>0.0075187969924812</v>
      </c>
      <c r="F303" s="107">
        <v>1</v>
      </c>
      <c r="G303" s="106">
        <v>0.166666666666667</v>
      </c>
      <c r="H303" s="108">
        <v>254</v>
      </c>
      <c r="I303" s="108">
        <v>254</v>
      </c>
      <c r="J303" s="108">
        <v>270.6</v>
      </c>
      <c r="K303" s="108">
        <v>271.714285714286</v>
      </c>
      <c r="L303" s="115">
        <v>1</v>
      </c>
      <c r="M303" s="115">
        <v>-0.333333333333333</v>
      </c>
      <c r="N303" s="117">
        <v>0.4</v>
      </c>
      <c r="O303" s="117">
        <v>0.571428571428571</v>
      </c>
      <c r="P303" s="115">
        <v>0</v>
      </c>
      <c r="Q303" s="115">
        <v>0</v>
      </c>
      <c r="R303" s="115">
        <v>-0.6</v>
      </c>
      <c r="S303" s="115">
        <v>-0.571428571428571</v>
      </c>
    </row>
    <row r="304" spans="1:19">
      <c r="A304" s="147">
        <v>45022</v>
      </c>
      <c r="B304" s="104" t="s">
        <v>25</v>
      </c>
      <c r="C304" s="145">
        <v>18234</v>
      </c>
      <c r="D304" s="104">
        <v>45</v>
      </c>
      <c r="E304" s="106">
        <v>0.00246791707798618</v>
      </c>
      <c r="F304" s="107">
        <v>17</v>
      </c>
      <c r="G304" s="106">
        <v>0.377777777777778</v>
      </c>
      <c r="H304" s="108">
        <v>3448</v>
      </c>
      <c r="I304" s="108">
        <v>6642.33333333333</v>
      </c>
      <c r="J304" s="108">
        <v>7955.2</v>
      </c>
      <c r="K304" s="108">
        <v>9186</v>
      </c>
      <c r="L304" s="116">
        <v>-3</v>
      </c>
      <c r="M304" s="115">
        <v>-4.33333333333334</v>
      </c>
      <c r="N304" s="115">
        <v>-1.8</v>
      </c>
      <c r="O304" s="115">
        <v>1.57142857142857</v>
      </c>
      <c r="P304" s="108">
        <v>-10</v>
      </c>
      <c r="Q304" s="108">
        <v>-4.33333333333333</v>
      </c>
      <c r="R304" s="108">
        <v>-4</v>
      </c>
      <c r="S304" s="108">
        <v>-4.14285714285714</v>
      </c>
    </row>
    <row r="305" spans="1:19">
      <c r="A305" s="147">
        <v>45022</v>
      </c>
      <c r="B305" s="104" t="s">
        <v>26</v>
      </c>
      <c r="C305" s="145">
        <v>1610</v>
      </c>
      <c r="D305" s="104">
        <v>78</v>
      </c>
      <c r="E305" s="106">
        <v>0.0484472049689441</v>
      </c>
      <c r="F305" s="107">
        <v>20</v>
      </c>
      <c r="G305" s="106">
        <v>0.256410256410256</v>
      </c>
      <c r="H305" s="108">
        <v>378</v>
      </c>
      <c r="I305" s="108">
        <v>-96.3333333333333</v>
      </c>
      <c r="J305" s="108">
        <v>373.2</v>
      </c>
      <c r="K305" s="108">
        <v>589.857142857143</v>
      </c>
      <c r="L305" s="108">
        <v>0</v>
      </c>
      <c r="M305" s="108">
        <v>-12</v>
      </c>
      <c r="N305" s="108">
        <v>-16.2</v>
      </c>
      <c r="O305" s="108">
        <v>-9.71428571428571</v>
      </c>
      <c r="P305" s="108">
        <v>1</v>
      </c>
      <c r="Q305" s="108">
        <v>-1.33333333333333</v>
      </c>
      <c r="R305" s="108">
        <v>-2.2</v>
      </c>
      <c r="S305" s="108">
        <v>-0.714285714285715</v>
      </c>
    </row>
    <row r="306" spans="1:19">
      <c r="A306" s="147">
        <v>45022</v>
      </c>
      <c r="B306" s="104" t="s">
        <v>27</v>
      </c>
      <c r="C306" s="145">
        <v>41</v>
      </c>
      <c r="D306" s="104">
        <v>3</v>
      </c>
      <c r="E306" s="106">
        <v>0.0731707317073171</v>
      </c>
      <c r="F306" s="107">
        <v>1</v>
      </c>
      <c r="G306" s="106">
        <v>0.333333333333333</v>
      </c>
      <c r="H306" s="108">
        <v>-13</v>
      </c>
      <c r="I306" s="108">
        <v>-6</v>
      </c>
      <c r="J306" s="108">
        <v>-2.4</v>
      </c>
      <c r="K306" s="108">
        <v>3</v>
      </c>
      <c r="L306" s="108">
        <v>2</v>
      </c>
      <c r="M306" s="108">
        <v>1.66666666666667</v>
      </c>
      <c r="N306" s="108">
        <v>1.8</v>
      </c>
      <c r="O306" s="108">
        <v>2.14285714285714</v>
      </c>
      <c r="P306" s="108">
        <v>1</v>
      </c>
      <c r="Q306" s="108">
        <v>0.333333333333333</v>
      </c>
      <c r="R306" s="108">
        <v>0.4</v>
      </c>
      <c r="S306" s="108">
        <v>0.571428571428571</v>
      </c>
    </row>
    <row r="307" hidden="1" spans="1:19">
      <c r="A307" s="147">
        <v>45022</v>
      </c>
      <c r="B307" s="104" t="s">
        <v>28</v>
      </c>
      <c r="C307" s="145">
        <v>0</v>
      </c>
      <c r="D307" s="104">
        <v>0</v>
      </c>
      <c r="E307" s="106">
        <v>0</v>
      </c>
      <c r="F307" s="107">
        <v>0</v>
      </c>
      <c r="G307" s="106">
        <v>0</v>
      </c>
      <c r="H307" s="108">
        <v>0</v>
      </c>
      <c r="I307" s="108">
        <v>0</v>
      </c>
      <c r="J307" s="108">
        <v>0</v>
      </c>
      <c r="K307" s="108">
        <v>0</v>
      </c>
      <c r="L307" s="108">
        <v>0</v>
      </c>
      <c r="M307" s="108">
        <v>0</v>
      </c>
      <c r="N307" s="108">
        <v>0</v>
      </c>
      <c r="O307" s="108">
        <v>0</v>
      </c>
      <c r="P307" s="108">
        <v>0</v>
      </c>
      <c r="Q307" s="108">
        <v>0</v>
      </c>
      <c r="R307" s="108">
        <v>0</v>
      </c>
      <c r="S307" s="108">
        <v>0</v>
      </c>
    </row>
    <row r="308" spans="1:19">
      <c r="A308" s="147">
        <v>45022</v>
      </c>
      <c r="B308" s="104" t="s">
        <v>29</v>
      </c>
      <c r="C308" s="145">
        <v>2</v>
      </c>
      <c r="D308" s="104">
        <v>0</v>
      </c>
      <c r="E308" s="106">
        <v>0</v>
      </c>
      <c r="F308" s="107">
        <v>0</v>
      </c>
      <c r="G308" s="106">
        <v>0</v>
      </c>
      <c r="H308" s="108">
        <v>1</v>
      </c>
      <c r="I308" s="108">
        <v>-1.66666666666667</v>
      </c>
      <c r="J308" s="108">
        <v>-1</v>
      </c>
      <c r="K308" s="108">
        <v>-1.42857142857143</v>
      </c>
      <c r="L308" s="108">
        <v>0</v>
      </c>
      <c r="M308" s="108">
        <v>0</v>
      </c>
      <c r="N308" s="108">
        <v>0</v>
      </c>
      <c r="O308" s="108">
        <v>-0.142857142857143</v>
      </c>
      <c r="P308" s="108">
        <v>0</v>
      </c>
      <c r="Q308" s="108">
        <v>0</v>
      </c>
      <c r="R308" s="108">
        <v>0</v>
      </c>
      <c r="S308" s="108">
        <v>0</v>
      </c>
    </row>
    <row r="309" hidden="1" spans="1:19">
      <c r="A309" s="147">
        <v>45022</v>
      </c>
      <c r="B309" s="104" t="s">
        <v>30</v>
      </c>
      <c r="C309" s="145">
        <v>0</v>
      </c>
      <c r="D309" s="104">
        <v>0</v>
      </c>
      <c r="E309" s="106">
        <v>0</v>
      </c>
      <c r="F309" s="107">
        <v>0</v>
      </c>
      <c r="G309" s="106">
        <v>0</v>
      </c>
      <c r="H309" s="108">
        <v>0</v>
      </c>
      <c r="I309" s="108">
        <v>0</v>
      </c>
      <c r="J309" s="108">
        <v>0</v>
      </c>
      <c r="K309" s="108">
        <v>0</v>
      </c>
      <c r="L309" s="108">
        <v>0</v>
      </c>
      <c r="M309" s="108">
        <v>0</v>
      </c>
      <c r="N309" s="108">
        <v>0</v>
      </c>
      <c r="O309" s="108">
        <v>0</v>
      </c>
      <c r="P309" s="108">
        <v>0</v>
      </c>
      <c r="Q309" s="108">
        <v>0</v>
      </c>
      <c r="R309" s="108">
        <v>0</v>
      </c>
      <c r="S309" s="108">
        <v>0</v>
      </c>
    </row>
    <row r="310" hidden="1" spans="1:19">
      <c r="A310" s="147">
        <v>45022</v>
      </c>
      <c r="B310" s="104" t="s">
        <v>31</v>
      </c>
      <c r="C310" s="145">
        <v>0</v>
      </c>
      <c r="D310" s="104">
        <v>0</v>
      </c>
      <c r="E310" s="106">
        <v>0</v>
      </c>
      <c r="F310" s="107">
        <v>0</v>
      </c>
      <c r="G310" s="106">
        <v>0</v>
      </c>
      <c r="H310" s="108">
        <v>0</v>
      </c>
      <c r="I310" s="108">
        <v>0</v>
      </c>
      <c r="J310" s="108">
        <v>0</v>
      </c>
      <c r="K310" s="108">
        <v>0</v>
      </c>
      <c r="L310" s="108">
        <v>-2</v>
      </c>
      <c r="M310" s="108">
        <v>-1</v>
      </c>
      <c r="N310" s="108">
        <v>-0.6</v>
      </c>
      <c r="O310" s="108">
        <v>-0.571428571428571</v>
      </c>
      <c r="P310" s="108">
        <v>0</v>
      </c>
      <c r="Q310" s="108">
        <v>0</v>
      </c>
      <c r="R310" s="108">
        <v>0</v>
      </c>
      <c r="S310" s="108">
        <v>0</v>
      </c>
    </row>
    <row r="311" hidden="1" spans="1:19">
      <c r="A311" s="147">
        <v>45022</v>
      </c>
      <c r="B311" s="104" t="s">
        <v>32</v>
      </c>
      <c r="C311" s="145">
        <v>0</v>
      </c>
      <c r="D311" s="104">
        <v>0</v>
      </c>
      <c r="E311" s="106">
        <v>0</v>
      </c>
      <c r="F311" s="107">
        <v>0</v>
      </c>
      <c r="G311" s="106">
        <v>0</v>
      </c>
      <c r="H311" s="108">
        <v>0</v>
      </c>
      <c r="I311" s="108">
        <v>0</v>
      </c>
      <c r="J311" s="108">
        <v>0</v>
      </c>
      <c r="K311" s="108">
        <v>0</v>
      </c>
      <c r="L311" s="108">
        <v>0</v>
      </c>
      <c r="M311" s="108">
        <v>0</v>
      </c>
      <c r="N311" s="108">
        <v>0</v>
      </c>
      <c r="O311" s="108">
        <v>0</v>
      </c>
      <c r="P311" s="108">
        <v>0</v>
      </c>
      <c r="Q311" s="108">
        <v>0</v>
      </c>
      <c r="R311" s="108">
        <v>0</v>
      </c>
      <c r="S311" s="108">
        <v>0</v>
      </c>
    </row>
    <row r="312" hidden="1" spans="1:19">
      <c r="A312" s="147">
        <v>45022</v>
      </c>
      <c r="B312" s="104" t="s">
        <v>33</v>
      </c>
      <c r="C312" s="145">
        <v>0</v>
      </c>
      <c r="D312" s="104">
        <v>0</v>
      </c>
      <c r="E312" s="106">
        <v>0</v>
      </c>
      <c r="F312" s="107">
        <v>0</v>
      </c>
      <c r="G312" s="106">
        <v>0</v>
      </c>
      <c r="H312" s="108">
        <v>0</v>
      </c>
      <c r="I312" s="108">
        <v>0</v>
      </c>
      <c r="J312" s="108">
        <v>0</v>
      </c>
      <c r="K312" s="108">
        <v>0</v>
      </c>
      <c r="L312" s="108">
        <v>0</v>
      </c>
      <c r="M312" s="108">
        <v>0</v>
      </c>
      <c r="N312" s="108">
        <v>0</v>
      </c>
      <c r="O312" s="108">
        <v>-0.142857142857143</v>
      </c>
      <c r="P312" s="108">
        <v>0</v>
      </c>
      <c r="Q312" s="108">
        <v>0</v>
      </c>
      <c r="R312" s="108">
        <v>0</v>
      </c>
      <c r="S312" s="108">
        <v>0</v>
      </c>
    </row>
    <row r="313" hidden="1" spans="1:19">
      <c r="A313" s="147">
        <v>45022</v>
      </c>
      <c r="B313" s="104" t="s">
        <v>34</v>
      </c>
      <c r="C313" s="145">
        <v>0</v>
      </c>
      <c r="D313" s="104">
        <v>0</v>
      </c>
      <c r="E313" s="106">
        <v>0</v>
      </c>
      <c r="F313" s="107">
        <v>0</v>
      </c>
      <c r="G313" s="106">
        <v>0</v>
      </c>
      <c r="H313" s="108">
        <v>0</v>
      </c>
      <c r="I313" s="108">
        <v>0</v>
      </c>
      <c r="J313" s="108">
        <v>0</v>
      </c>
      <c r="K313" s="108">
        <v>0</v>
      </c>
      <c r="L313" s="108">
        <v>0</v>
      </c>
      <c r="M313" s="108">
        <v>0</v>
      </c>
      <c r="N313" s="108">
        <v>0</v>
      </c>
      <c r="O313" s="108">
        <v>0</v>
      </c>
      <c r="P313" s="108">
        <v>0</v>
      </c>
      <c r="Q313" s="108">
        <v>0</v>
      </c>
      <c r="R313" s="108">
        <v>0</v>
      </c>
      <c r="S313" s="108">
        <v>0</v>
      </c>
    </row>
    <row r="314" hidden="1" spans="1:19">
      <c r="A314" s="147">
        <v>45022</v>
      </c>
      <c r="B314" s="104" t="s">
        <v>35</v>
      </c>
      <c r="C314" s="145">
        <v>0</v>
      </c>
      <c r="D314" s="104">
        <v>0</v>
      </c>
      <c r="E314" s="106">
        <v>0</v>
      </c>
      <c r="F314" s="107">
        <v>0</v>
      </c>
      <c r="G314" s="106">
        <v>0</v>
      </c>
      <c r="H314" s="108">
        <v>0</v>
      </c>
      <c r="I314" s="108">
        <v>0</v>
      </c>
      <c r="J314" s="108">
        <v>0</v>
      </c>
      <c r="K314" s="108">
        <v>0</v>
      </c>
      <c r="L314" s="108">
        <v>0</v>
      </c>
      <c r="M314" s="108">
        <v>0</v>
      </c>
      <c r="N314" s="108">
        <v>0</v>
      </c>
      <c r="O314" s="108">
        <v>0</v>
      </c>
      <c r="P314" s="108">
        <v>0</v>
      </c>
      <c r="Q314" s="108">
        <v>0</v>
      </c>
      <c r="R314" s="108">
        <v>0</v>
      </c>
      <c r="S314" s="108">
        <v>0</v>
      </c>
    </row>
    <row r="315" hidden="1" spans="1:19">
      <c r="A315" s="147">
        <v>45022</v>
      </c>
      <c r="B315" s="104" t="s">
        <v>36</v>
      </c>
      <c r="C315" s="145">
        <v>0</v>
      </c>
      <c r="D315" s="104">
        <v>0</v>
      </c>
      <c r="E315" s="106">
        <v>0</v>
      </c>
      <c r="F315" s="107">
        <v>0</v>
      </c>
      <c r="G315" s="106">
        <v>0</v>
      </c>
      <c r="H315" s="108">
        <v>0</v>
      </c>
      <c r="I315" s="108">
        <v>0</v>
      </c>
      <c r="J315" s="108">
        <v>0</v>
      </c>
      <c r="K315" s="108">
        <v>0</v>
      </c>
      <c r="L315" s="108">
        <v>0</v>
      </c>
      <c r="M315" s="108">
        <v>0</v>
      </c>
      <c r="N315" s="108">
        <v>0</v>
      </c>
      <c r="O315" s="108">
        <v>0</v>
      </c>
      <c r="P315" s="108">
        <v>0</v>
      </c>
      <c r="Q315" s="108">
        <v>0</v>
      </c>
      <c r="R315" s="108">
        <v>0</v>
      </c>
      <c r="S315" s="108">
        <v>0</v>
      </c>
    </row>
    <row r="316" hidden="1" spans="1:19">
      <c r="A316" s="147">
        <v>45022</v>
      </c>
      <c r="B316" s="104" t="s">
        <v>37</v>
      </c>
      <c r="C316" s="145">
        <v>0</v>
      </c>
      <c r="D316" s="104">
        <v>0</v>
      </c>
      <c r="E316" s="106">
        <v>0</v>
      </c>
      <c r="F316" s="107">
        <v>0</v>
      </c>
      <c r="G316" s="106">
        <v>0</v>
      </c>
      <c r="H316" s="108">
        <v>0</v>
      </c>
      <c r="I316" s="108">
        <v>0</v>
      </c>
      <c r="J316" s="108">
        <v>0</v>
      </c>
      <c r="K316" s="108">
        <v>0</v>
      </c>
      <c r="L316" s="108">
        <v>0</v>
      </c>
      <c r="M316" s="108">
        <v>0</v>
      </c>
      <c r="N316" s="108">
        <v>0</v>
      </c>
      <c r="O316" s="108">
        <v>0</v>
      </c>
      <c r="P316" s="108">
        <v>0</v>
      </c>
      <c r="Q316" s="108">
        <v>0</v>
      </c>
      <c r="R316" s="108">
        <v>0</v>
      </c>
      <c r="S316" s="108">
        <v>0</v>
      </c>
    </row>
    <row r="317" hidden="1" spans="1:19">
      <c r="A317" s="147">
        <v>45022</v>
      </c>
      <c r="B317" s="104" t="s">
        <v>38</v>
      </c>
      <c r="C317" s="145">
        <v>0</v>
      </c>
      <c r="D317" s="104">
        <v>0</v>
      </c>
      <c r="E317" s="106">
        <v>0</v>
      </c>
      <c r="F317" s="107">
        <v>0</v>
      </c>
      <c r="G317" s="106">
        <v>0</v>
      </c>
      <c r="H317" s="108">
        <v>0</v>
      </c>
      <c r="I317" s="108">
        <v>0</v>
      </c>
      <c r="J317" s="108">
        <v>0</v>
      </c>
      <c r="K317" s="108">
        <v>0</v>
      </c>
      <c r="L317" s="108">
        <v>0</v>
      </c>
      <c r="M317" s="108">
        <v>0</v>
      </c>
      <c r="N317" s="108">
        <v>0</v>
      </c>
      <c r="O317" s="108">
        <v>0</v>
      </c>
      <c r="P317" s="108">
        <v>0</v>
      </c>
      <c r="Q317" s="108">
        <v>0</v>
      </c>
      <c r="R317" s="108">
        <v>0</v>
      </c>
      <c r="S317" s="108">
        <v>0</v>
      </c>
    </row>
    <row r="318" spans="1:19">
      <c r="A318" s="147">
        <v>45022</v>
      </c>
      <c r="B318" s="111" t="s">
        <v>39</v>
      </c>
      <c r="C318" s="112">
        <v>29902</v>
      </c>
      <c r="D318" s="112">
        <v>363</v>
      </c>
      <c r="E318" s="113">
        <v>0.0121396562102869</v>
      </c>
      <c r="F318" s="112">
        <v>107</v>
      </c>
      <c r="G318" s="113">
        <v>0.294765840220386</v>
      </c>
      <c r="H318" s="108"/>
      <c r="I318" s="108"/>
      <c r="J318" s="108"/>
      <c r="K318" s="108"/>
      <c r="L318" s="108"/>
      <c r="M318" s="108"/>
      <c r="N318" s="108"/>
      <c r="O318" s="108"/>
      <c r="P318" s="108"/>
      <c r="Q318" s="108"/>
      <c r="R318" s="108"/>
      <c r="S318" s="108"/>
    </row>
    <row r="319" ht="14.45" customHeight="1" spans="1:19">
      <c r="A319" s="147">
        <v>45023</v>
      </c>
      <c r="B319" s="104" t="s">
        <v>17</v>
      </c>
      <c r="C319" s="105">
        <v>116</v>
      </c>
      <c r="D319" s="104">
        <v>26</v>
      </c>
      <c r="E319" s="106">
        <v>0.224137931034483</v>
      </c>
      <c r="F319" s="107">
        <v>5</v>
      </c>
      <c r="G319" s="106">
        <v>0.192307692307692</v>
      </c>
      <c r="H319" s="108">
        <v>20</v>
      </c>
      <c r="I319" s="108">
        <v>22.6666666666667</v>
      </c>
      <c r="J319" s="108">
        <v>39.2</v>
      </c>
      <c r="K319" s="108">
        <v>47.7142857142857</v>
      </c>
      <c r="L319" s="108">
        <v>5</v>
      </c>
      <c r="M319" s="108">
        <v>-4</v>
      </c>
      <c r="N319" s="108">
        <v>-5.4</v>
      </c>
      <c r="O319" s="108">
        <v>-5.71428571428572</v>
      </c>
      <c r="P319" s="108">
        <v>3</v>
      </c>
      <c r="Q319" s="108">
        <v>1.33333333333333</v>
      </c>
      <c r="R319" s="108">
        <v>0.4</v>
      </c>
      <c r="S319" s="108">
        <v>0</v>
      </c>
    </row>
    <row r="320" ht="14.45" customHeight="1" spans="1:26">
      <c r="A320" s="147">
        <v>45023</v>
      </c>
      <c r="B320" s="104" t="s">
        <v>19</v>
      </c>
      <c r="C320" s="107">
        <v>764</v>
      </c>
      <c r="D320" s="104">
        <v>31</v>
      </c>
      <c r="E320" s="106">
        <v>0.0405759162303665</v>
      </c>
      <c r="F320" s="107">
        <v>9</v>
      </c>
      <c r="G320" s="106">
        <v>0.290322580645161</v>
      </c>
      <c r="H320" s="108">
        <v>103</v>
      </c>
      <c r="I320" s="108">
        <v>102.333333333333</v>
      </c>
      <c r="J320" s="108">
        <v>84.2</v>
      </c>
      <c r="K320" s="108">
        <v>-85.7142857142857</v>
      </c>
      <c r="L320" s="108">
        <v>5</v>
      </c>
      <c r="M320" s="108">
        <v>9</v>
      </c>
      <c r="N320" s="108">
        <v>9</v>
      </c>
      <c r="O320" s="108">
        <v>0.428571428571427</v>
      </c>
      <c r="P320" s="108">
        <v>0</v>
      </c>
      <c r="Q320" s="108">
        <v>-1</v>
      </c>
      <c r="R320" s="108">
        <v>-3</v>
      </c>
      <c r="S320" s="115">
        <v>-4.57142857142857</v>
      </c>
      <c r="T320" s="168"/>
      <c r="U320" s="169"/>
      <c r="V320" s="154"/>
      <c r="W320" s="154"/>
      <c r="X320" s="154"/>
      <c r="Y320" s="154"/>
      <c r="Z320" s="154"/>
    </row>
    <row r="321" ht="14.45" customHeight="1" spans="1:21">
      <c r="A321" s="147">
        <v>45023</v>
      </c>
      <c r="B321" s="104" t="s">
        <v>21</v>
      </c>
      <c r="C321" s="145">
        <v>625</v>
      </c>
      <c r="D321" s="104">
        <v>23</v>
      </c>
      <c r="E321" s="106">
        <v>0.0368</v>
      </c>
      <c r="F321" s="107">
        <v>9</v>
      </c>
      <c r="G321" s="106">
        <v>0.391304347826087</v>
      </c>
      <c r="H321" s="108">
        <v>-27</v>
      </c>
      <c r="I321" s="108">
        <v>-89</v>
      </c>
      <c r="J321" s="108">
        <v>-253.6</v>
      </c>
      <c r="K321" s="108">
        <v>-333.857142857143</v>
      </c>
      <c r="L321" s="108">
        <v>0</v>
      </c>
      <c r="M321" s="108">
        <v>-2.66666666666667</v>
      </c>
      <c r="N321" s="108">
        <v>-1.2</v>
      </c>
      <c r="O321" s="108">
        <v>-2.57142857142857</v>
      </c>
      <c r="P321" s="108">
        <v>0</v>
      </c>
      <c r="Q321" s="108">
        <v>0</v>
      </c>
      <c r="R321" s="108">
        <v>0.199999999999999</v>
      </c>
      <c r="S321" s="108">
        <v>-0.571428571428571</v>
      </c>
      <c r="T321" s="168"/>
      <c r="U321" s="169"/>
    </row>
    <row r="322" ht="18.95" customHeight="1" spans="1:26">
      <c r="A322" s="147">
        <v>45023</v>
      </c>
      <c r="B322" s="104" t="s">
        <v>22</v>
      </c>
      <c r="C322" s="145">
        <v>4202</v>
      </c>
      <c r="D322" s="104">
        <v>104</v>
      </c>
      <c r="E322" s="106">
        <v>0.0247501189909567</v>
      </c>
      <c r="F322" s="107">
        <v>24</v>
      </c>
      <c r="G322" s="106">
        <v>0.230769230769231</v>
      </c>
      <c r="H322" s="108">
        <v>-575</v>
      </c>
      <c r="I322" s="108">
        <v>-808.666666666667</v>
      </c>
      <c r="J322" s="108">
        <v>-995.2</v>
      </c>
      <c r="K322" s="108">
        <v>-1005.57142857143</v>
      </c>
      <c r="L322" s="108">
        <v>-12</v>
      </c>
      <c r="M322" s="108">
        <v>-26.3333333333333</v>
      </c>
      <c r="N322" s="108">
        <v>-31.6</v>
      </c>
      <c r="O322" s="115">
        <v>-31.1428571428571</v>
      </c>
      <c r="P322" s="108">
        <v>-15</v>
      </c>
      <c r="Q322" s="108">
        <v>-20.6666666666667</v>
      </c>
      <c r="R322" s="108">
        <v>-21.4</v>
      </c>
      <c r="S322" s="117">
        <v>-22.7142857142857</v>
      </c>
      <c r="T322" s="168"/>
      <c r="U322" s="169"/>
      <c r="V322" s="154"/>
      <c r="W322" s="154"/>
      <c r="X322" s="154"/>
      <c r="Y322" s="154"/>
      <c r="Z322" s="154"/>
    </row>
    <row r="323" ht="14.45" customHeight="1" spans="1:21">
      <c r="A323" s="147">
        <v>45023</v>
      </c>
      <c r="B323" s="104" t="s">
        <v>23</v>
      </c>
      <c r="C323" s="145">
        <v>2845</v>
      </c>
      <c r="D323" s="104">
        <v>23</v>
      </c>
      <c r="E323" s="106">
        <v>0.00808435852372584</v>
      </c>
      <c r="F323" s="107">
        <v>12</v>
      </c>
      <c r="G323" s="106">
        <v>0.521739130434783</v>
      </c>
      <c r="H323" s="108">
        <v>-186</v>
      </c>
      <c r="I323" s="108">
        <v>-424</v>
      </c>
      <c r="J323" s="108">
        <v>-529.6</v>
      </c>
      <c r="K323" s="108">
        <v>-531</v>
      </c>
      <c r="L323" s="108">
        <v>-22</v>
      </c>
      <c r="M323" s="108">
        <v>-18</v>
      </c>
      <c r="N323" s="108">
        <v>-20.8</v>
      </c>
      <c r="O323" s="108">
        <v>-20</v>
      </c>
      <c r="P323" s="108">
        <v>3</v>
      </c>
      <c r="Q323" s="116">
        <v>-1.33333333333333</v>
      </c>
      <c r="R323" s="108">
        <v>-2.8</v>
      </c>
      <c r="S323" s="108">
        <v>-3.57142857142857</v>
      </c>
      <c r="T323" s="168"/>
      <c r="U323" s="168"/>
    </row>
    <row r="324" ht="14.45" customHeight="1" spans="1:26">
      <c r="A324" s="147">
        <v>45023</v>
      </c>
      <c r="B324" s="104" t="s">
        <v>24</v>
      </c>
      <c r="C324" s="145">
        <v>456</v>
      </c>
      <c r="D324" s="104">
        <v>7</v>
      </c>
      <c r="E324" s="106">
        <v>0.0153508771929825</v>
      </c>
      <c r="F324" s="107">
        <v>2</v>
      </c>
      <c r="G324" s="106">
        <v>0.285714285714286</v>
      </c>
      <c r="H324" s="108">
        <v>-342</v>
      </c>
      <c r="I324" s="108">
        <v>-181</v>
      </c>
      <c r="J324" s="108">
        <v>-130</v>
      </c>
      <c r="K324" s="108">
        <v>-103.142857142857</v>
      </c>
      <c r="L324" s="115">
        <v>1</v>
      </c>
      <c r="M324" s="115">
        <v>1</v>
      </c>
      <c r="N324" s="117">
        <v>0.6</v>
      </c>
      <c r="O324" s="117">
        <v>1.71428571428571</v>
      </c>
      <c r="P324" s="115">
        <v>1</v>
      </c>
      <c r="Q324" s="115">
        <v>1</v>
      </c>
      <c r="R324" s="115">
        <v>0.6</v>
      </c>
      <c r="S324" s="115">
        <v>0.571428571428571</v>
      </c>
      <c r="T324" s="168"/>
      <c r="U324" s="169"/>
      <c r="V324" s="154"/>
      <c r="W324" s="154"/>
      <c r="X324" s="154"/>
      <c r="Y324" s="154"/>
      <c r="Z324" s="154"/>
    </row>
    <row r="325" ht="14.45" customHeight="1" spans="1:21">
      <c r="A325" s="147">
        <v>45023</v>
      </c>
      <c r="B325" s="104" t="s">
        <v>25</v>
      </c>
      <c r="C325" s="145">
        <v>15144</v>
      </c>
      <c r="D325" s="104">
        <v>42</v>
      </c>
      <c r="E325" s="106">
        <v>0.00277337559429477</v>
      </c>
      <c r="F325" s="107">
        <v>16</v>
      </c>
      <c r="G325" s="106">
        <v>0.380952380952381</v>
      </c>
      <c r="H325" s="108">
        <v>-3090</v>
      </c>
      <c r="I325" s="108">
        <v>1197</v>
      </c>
      <c r="J325" s="108">
        <v>2670.6</v>
      </c>
      <c r="K325" s="108">
        <v>4418.28571428571</v>
      </c>
      <c r="L325" s="116">
        <v>-3</v>
      </c>
      <c r="M325" s="115">
        <v>-3.33333333333334</v>
      </c>
      <c r="N325" s="115">
        <v>-6.4</v>
      </c>
      <c r="O325" s="115">
        <v>-2.14285714285715</v>
      </c>
      <c r="P325" s="108">
        <v>-1</v>
      </c>
      <c r="Q325" s="108">
        <v>-4</v>
      </c>
      <c r="R325" s="108">
        <v>-4.4</v>
      </c>
      <c r="S325" s="108">
        <v>-3.28571428571428</v>
      </c>
      <c r="T325" s="168"/>
      <c r="U325" s="169"/>
    </row>
    <row r="326" ht="14.45" customHeight="1" spans="1:22">
      <c r="A326" s="147">
        <v>45023</v>
      </c>
      <c r="B326" s="104" t="s">
        <v>26</v>
      </c>
      <c r="C326" s="145">
        <v>1435</v>
      </c>
      <c r="D326" s="104">
        <v>67</v>
      </c>
      <c r="E326" s="106">
        <v>0.0466898954703833</v>
      </c>
      <c r="F326" s="107">
        <v>19</v>
      </c>
      <c r="G326" s="106">
        <v>0.283582089552239</v>
      </c>
      <c r="H326" s="108">
        <v>-175</v>
      </c>
      <c r="I326" s="108">
        <v>-103.666666666667</v>
      </c>
      <c r="J326" s="108">
        <v>-16.4000000000001</v>
      </c>
      <c r="K326" s="108">
        <v>251.857142857143</v>
      </c>
      <c r="L326" s="108">
        <v>-11</v>
      </c>
      <c r="M326" s="108">
        <v>-16.3333333333333</v>
      </c>
      <c r="N326" s="108">
        <v>-20.6</v>
      </c>
      <c r="O326" s="108">
        <v>-19.7142857142857</v>
      </c>
      <c r="P326" s="108">
        <v>-1</v>
      </c>
      <c r="Q326" s="108">
        <v>-2.66666666666667</v>
      </c>
      <c r="R326" s="108">
        <v>-2</v>
      </c>
      <c r="S326" s="108">
        <v>-1.85714285714286</v>
      </c>
      <c r="T326" s="168"/>
      <c r="U326" s="169"/>
      <c r="V326" s="169"/>
    </row>
    <row r="327" ht="14.45" customHeight="1" spans="1:22">
      <c r="A327" s="147">
        <v>45023</v>
      </c>
      <c r="B327" s="104" t="s">
        <v>27</v>
      </c>
      <c r="C327" s="145">
        <v>61</v>
      </c>
      <c r="D327" s="104">
        <v>3</v>
      </c>
      <c r="E327" s="106">
        <v>0.0491803278688525</v>
      </c>
      <c r="F327" s="107">
        <v>1</v>
      </c>
      <c r="G327" s="106">
        <v>0.333333333333333</v>
      </c>
      <c r="H327" s="108">
        <v>20</v>
      </c>
      <c r="I327" s="108">
        <v>13</v>
      </c>
      <c r="J327" s="108">
        <v>15.8</v>
      </c>
      <c r="K327" s="108">
        <v>20.7142857142857</v>
      </c>
      <c r="L327" s="108">
        <v>0</v>
      </c>
      <c r="M327" s="108">
        <v>1.66666666666667</v>
      </c>
      <c r="N327" s="108">
        <v>1.6</v>
      </c>
      <c r="O327" s="108">
        <v>1.71428571428571</v>
      </c>
      <c r="P327" s="108">
        <v>0</v>
      </c>
      <c r="Q327" s="108">
        <v>0</v>
      </c>
      <c r="R327" s="108">
        <v>0.4</v>
      </c>
      <c r="S327" s="108">
        <v>0.428571428571429</v>
      </c>
      <c r="T327" s="168"/>
      <c r="U327" s="168"/>
      <c r="V327" s="168"/>
    </row>
    <row r="328" ht="14.45" hidden="1" customHeight="1" spans="1:22">
      <c r="A328" s="147">
        <v>45023</v>
      </c>
      <c r="B328" s="104" t="s">
        <v>28</v>
      </c>
      <c r="C328" s="145">
        <v>0</v>
      </c>
      <c r="D328" s="104">
        <v>0</v>
      </c>
      <c r="E328" s="106">
        <v>0</v>
      </c>
      <c r="F328" s="107">
        <v>0</v>
      </c>
      <c r="G328" s="106">
        <v>0</v>
      </c>
      <c r="H328" s="108">
        <v>0</v>
      </c>
      <c r="I328" s="108">
        <v>0</v>
      </c>
      <c r="J328" s="108">
        <v>0</v>
      </c>
      <c r="K328" s="108">
        <v>0</v>
      </c>
      <c r="L328" s="108">
        <v>0</v>
      </c>
      <c r="M328" s="108">
        <v>0</v>
      </c>
      <c r="N328" s="108">
        <v>0</v>
      </c>
      <c r="O328" s="108">
        <v>0</v>
      </c>
      <c r="P328" s="108">
        <v>0</v>
      </c>
      <c r="Q328" s="108">
        <v>0</v>
      </c>
      <c r="R328" s="108">
        <v>0</v>
      </c>
      <c r="S328" s="108">
        <v>0</v>
      </c>
      <c r="T328" s="168"/>
      <c r="U328" s="168"/>
      <c r="V328" s="168"/>
    </row>
    <row r="329" ht="14.45" customHeight="1" spans="1:22">
      <c r="A329" s="147">
        <v>45023</v>
      </c>
      <c r="B329" s="104" t="s">
        <v>29</v>
      </c>
      <c r="C329" s="145">
        <v>1</v>
      </c>
      <c r="D329" s="104">
        <v>0</v>
      </c>
      <c r="E329" s="106">
        <v>0</v>
      </c>
      <c r="F329" s="107">
        <v>0</v>
      </c>
      <c r="G329" s="106">
        <v>0</v>
      </c>
      <c r="H329" s="108">
        <v>-1</v>
      </c>
      <c r="I329" s="108">
        <v>-2</v>
      </c>
      <c r="J329" s="108">
        <v>-2.2</v>
      </c>
      <c r="K329" s="108">
        <v>-2.42857142857143</v>
      </c>
      <c r="L329" s="108">
        <v>0</v>
      </c>
      <c r="M329" s="108">
        <v>0</v>
      </c>
      <c r="N329" s="108">
        <v>0</v>
      </c>
      <c r="O329" s="108">
        <v>-0.142857142857143</v>
      </c>
      <c r="P329" s="108">
        <v>0</v>
      </c>
      <c r="Q329" s="108">
        <v>0</v>
      </c>
      <c r="R329" s="108">
        <v>0</v>
      </c>
      <c r="S329" s="108">
        <v>0</v>
      </c>
      <c r="T329" s="168"/>
      <c r="U329" s="168"/>
      <c r="V329" s="168"/>
    </row>
    <row r="330" ht="14.45" hidden="1" customHeight="1" spans="1:23">
      <c r="A330" s="147">
        <v>45023</v>
      </c>
      <c r="B330" s="104" t="s">
        <v>30</v>
      </c>
      <c r="C330" s="145">
        <v>0</v>
      </c>
      <c r="D330" s="104">
        <v>0</v>
      </c>
      <c r="E330" s="106">
        <v>0</v>
      </c>
      <c r="F330" s="107">
        <v>0</v>
      </c>
      <c r="G330" s="106">
        <v>0</v>
      </c>
      <c r="H330" s="108">
        <v>0</v>
      </c>
      <c r="I330" s="108">
        <v>0</v>
      </c>
      <c r="J330" s="108">
        <v>0</v>
      </c>
      <c r="K330" s="108">
        <v>0</v>
      </c>
      <c r="L330" s="108">
        <v>0</v>
      </c>
      <c r="M330" s="108">
        <v>0</v>
      </c>
      <c r="N330" s="108">
        <v>0</v>
      </c>
      <c r="O330" s="108">
        <v>0</v>
      </c>
      <c r="P330" s="108">
        <v>0</v>
      </c>
      <c r="Q330" s="108">
        <v>0</v>
      </c>
      <c r="R330" s="108">
        <v>0</v>
      </c>
      <c r="S330" s="108">
        <v>0</v>
      </c>
      <c r="T330" s="168"/>
      <c r="U330" s="168"/>
      <c r="V330" s="169"/>
      <c r="W330" s="169"/>
    </row>
    <row r="331" ht="14.45" hidden="1" customHeight="1" spans="1:23">
      <c r="A331" s="147">
        <v>45023</v>
      </c>
      <c r="B331" s="104" t="s">
        <v>31</v>
      </c>
      <c r="C331" s="145">
        <v>0</v>
      </c>
      <c r="D331" s="104">
        <v>0</v>
      </c>
      <c r="E331" s="106">
        <v>0</v>
      </c>
      <c r="F331" s="107">
        <v>0</v>
      </c>
      <c r="G331" s="106">
        <v>0</v>
      </c>
      <c r="H331" s="108">
        <v>0</v>
      </c>
      <c r="I331" s="108">
        <v>0</v>
      </c>
      <c r="J331" s="108">
        <v>0</v>
      </c>
      <c r="K331" s="108">
        <v>0</v>
      </c>
      <c r="L331" s="108">
        <v>0</v>
      </c>
      <c r="M331" s="108">
        <v>-1</v>
      </c>
      <c r="N331" s="108">
        <v>-0.6</v>
      </c>
      <c r="O331" s="108">
        <v>-0.428571428571429</v>
      </c>
      <c r="P331" s="108">
        <v>0</v>
      </c>
      <c r="Q331" s="108">
        <v>0</v>
      </c>
      <c r="R331" s="108">
        <v>0</v>
      </c>
      <c r="S331" s="108">
        <v>0</v>
      </c>
      <c r="T331" s="168"/>
      <c r="U331" s="168"/>
      <c r="V331" s="169"/>
      <c r="W331" s="169"/>
    </row>
    <row r="332" ht="14.45" hidden="1" customHeight="1" spans="1:23">
      <c r="A332" s="147">
        <v>45023</v>
      </c>
      <c r="B332" s="104" t="s">
        <v>32</v>
      </c>
      <c r="C332" s="145">
        <v>0</v>
      </c>
      <c r="D332" s="104">
        <v>0</v>
      </c>
      <c r="E332" s="106">
        <v>0</v>
      </c>
      <c r="F332" s="107">
        <v>0</v>
      </c>
      <c r="G332" s="106">
        <v>0</v>
      </c>
      <c r="H332" s="108">
        <v>0</v>
      </c>
      <c r="I332" s="108">
        <v>0</v>
      </c>
      <c r="J332" s="108">
        <v>0</v>
      </c>
      <c r="K332" s="108">
        <v>0</v>
      </c>
      <c r="L332" s="108">
        <v>0</v>
      </c>
      <c r="M332" s="108">
        <v>0</v>
      </c>
      <c r="N332" s="108">
        <v>0</v>
      </c>
      <c r="O332" s="108">
        <v>0</v>
      </c>
      <c r="P332" s="108">
        <v>0</v>
      </c>
      <c r="Q332" s="108">
        <v>0</v>
      </c>
      <c r="R332" s="108">
        <v>0</v>
      </c>
      <c r="S332" s="108">
        <v>0</v>
      </c>
      <c r="T332" s="168"/>
      <c r="U332" s="168"/>
      <c r="V332" s="169"/>
      <c r="W332" s="169"/>
    </row>
    <row r="333" hidden="1" spans="1:19">
      <c r="A333" s="147">
        <v>45023</v>
      </c>
      <c r="B333" s="104" t="s">
        <v>33</v>
      </c>
      <c r="C333" s="145">
        <v>0</v>
      </c>
      <c r="D333" s="104">
        <v>0</v>
      </c>
      <c r="E333" s="106">
        <v>0</v>
      </c>
      <c r="F333" s="107">
        <v>0</v>
      </c>
      <c r="G333" s="106">
        <v>0</v>
      </c>
      <c r="H333" s="108">
        <v>0</v>
      </c>
      <c r="I333" s="108">
        <v>0</v>
      </c>
      <c r="J333" s="108">
        <v>0</v>
      </c>
      <c r="K333" s="108">
        <v>0</v>
      </c>
      <c r="L333" s="108">
        <v>0</v>
      </c>
      <c r="M333" s="108">
        <v>0</v>
      </c>
      <c r="N333" s="108">
        <v>0</v>
      </c>
      <c r="O333" s="108">
        <v>-0.142857142857143</v>
      </c>
      <c r="P333" s="108">
        <v>0</v>
      </c>
      <c r="Q333" s="108">
        <v>0</v>
      </c>
      <c r="R333" s="108">
        <v>0</v>
      </c>
      <c r="S333" s="108">
        <v>0</v>
      </c>
    </row>
    <row r="334" hidden="1" spans="1:19">
      <c r="A334" s="147">
        <v>45023</v>
      </c>
      <c r="B334" s="104" t="s">
        <v>34</v>
      </c>
      <c r="C334" s="145">
        <v>0</v>
      </c>
      <c r="D334" s="104">
        <v>0</v>
      </c>
      <c r="E334" s="106">
        <v>0</v>
      </c>
      <c r="F334" s="107">
        <v>0</v>
      </c>
      <c r="G334" s="106">
        <v>0</v>
      </c>
      <c r="H334" s="108">
        <v>0</v>
      </c>
      <c r="I334" s="108">
        <v>0</v>
      </c>
      <c r="J334" s="108">
        <v>0</v>
      </c>
      <c r="K334" s="108">
        <v>0</v>
      </c>
      <c r="L334" s="108">
        <v>0</v>
      </c>
      <c r="M334" s="108">
        <v>0</v>
      </c>
      <c r="N334" s="108">
        <v>0</v>
      </c>
      <c r="O334" s="108">
        <v>0</v>
      </c>
      <c r="P334" s="108">
        <v>0</v>
      </c>
      <c r="Q334" s="108">
        <v>0</v>
      </c>
      <c r="R334" s="108">
        <v>0</v>
      </c>
      <c r="S334" s="108">
        <v>0</v>
      </c>
    </row>
    <row r="335" hidden="1" spans="1:19">
      <c r="A335" s="147">
        <v>45023</v>
      </c>
      <c r="B335" s="104" t="s">
        <v>35</v>
      </c>
      <c r="C335" s="145">
        <v>0</v>
      </c>
      <c r="D335" s="104">
        <v>0</v>
      </c>
      <c r="E335" s="106">
        <v>0</v>
      </c>
      <c r="F335" s="107">
        <v>0</v>
      </c>
      <c r="G335" s="106">
        <v>0</v>
      </c>
      <c r="H335" s="108">
        <v>0</v>
      </c>
      <c r="I335" s="108">
        <v>0</v>
      </c>
      <c r="J335" s="108">
        <v>0</v>
      </c>
      <c r="K335" s="108">
        <v>0</v>
      </c>
      <c r="L335" s="108">
        <v>0</v>
      </c>
      <c r="M335" s="108">
        <v>0</v>
      </c>
      <c r="N335" s="108">
        <v>0</v>
      </c>
      <c r="O335" s="108">
        <v>0</v>
      </c>
      <c r="P335" s="108">
        <v>0</v>
      </c>
      <c r="Q335" s="108">
        <v>0</v>
      </c>
      <c r="R335" s="108">
        <v>0</v>
      </c>
      <c r="S335" s="108">
        <v>0</v>
      </c>
    </row>
    <row r="336" hidden="1" spans="1:19">
      <c r="A336" s="147">
        <v>45023</v>
      </c>
      <c r="B336" s="104" t="s">
        <v>36</v>
      </c>
      <c r="C336" s="145">
        <v>0</v>
      </c>
      <c r="D336" s="104">
        <v>0</v>
      </c>
      <c r="E336" s="106">
        <v>0</v>
      </c>
      <c r="F336" s="107">
        <v>0</v>
      </c>
      <c r="G336" s="106">
        <v>0</v>
      </c>
      <c r="H336" s="108">
        <v>0</v>
      </c>
      <c r="I336" s="108">
        <v>0</v>
      </c>
      <c r="J336" s="108">
        <v>0</v>
      </c>
      <c r="K336" s="108">
        <v>0</v>
      </c>
      <c r="L336" s="108">
        <v>0</v>
      </c>
      <c r="M336" s="108">
        <v>0</v>
      </c>
      <c r="N336" s="108">
        <v>0</v>
      </c>
      <c r="O336" s="108">
        <v>0</v>
      </c>
      <c r="P336" s="108">
        <v>0</v>
      </c>
      <c r="Q336" s="108">
        <v>0</v>
      </c>
      <c r="R336" s="108">
        <v>0</v>
      </c>
      <c r="S336" s="108">
        <v>0</v>
      </c>
    </row>
    <row r="337" hidden="1" spans="1:19">
      <c r="A337" s="147">
        <v>45023</v>
      </c>
      <c r="B337" s="104" t="s">
        <v>37</v>
      </c>
      <c r="C337" s="145">
        <v>0</v>
      </c>
      <c r="D337" s="104">
        <v>0</v>
      </c>
      <c r="E337" s="106">
        <v>0</v>
      </c>
      <c r="F337" s="107">
        <v>0</v>
      </c>
      <c r="G337" s="106">
        <v>0</v>
      </c>
      <c r="H337" s="108">
        <v>0</v>
      </c>
      <c r="I337" s="108">
        <v>0</v>
      </c>
      <c r="J337" s="108">
        <v>0</v>
      </c>
      <c r="K337" s="108">
        <v>0</v>
      </c>
      <c r="L337" s="108">
        <v>0</v>
      </c>
      <c r="M337" s="108">
        <v>0</v>
      </c>
      <c r="N337" s="108">
        <v>0</v>
      </c>
      <c r="O337" s="108">
        <v>0</v>
      </c>
      <c r="P337" s="108">
        <v>0</v>
      </c>
      <c r="Q337" s="108">
        <v>0</v>
      </c>
      <c r="R337" s="108">
        <v>0</v>
      </c>
      <c r="S337" s="108">
        <v>0</v>
      </c>
    </row>
    <row r="338" hidden="1" spans="1:19">
      <c r="A338" s="147">
        <v>45023</v>
      </c>
      <c r="B338" s="104" t="s">
        <v>38</v>
      </c>
      <c r="C338" s="145">
        <v>0</v>
      </c>
      <c r="D338" s="104">
        <v>0</v>
      </c>
      <c r="E338" s="106">
        <v>0</v>
      </c>
      <c r="F338" s="107">
        <v>0</v>
      </c>
      <c r="G338" s="106">
        <v>0</v>
      </c>
      <c r="H338" s="108">
        <v>0</v>
      </c>
      <c r="I338" s="108">
        <v>0</v>
      </c>
      <c r="J338" s="108">
        <v>0</v>
      </c>
      <c r="K338" s="108">
        <v>0</v>
      </c>
      <c r="L338" s="108">
        <v>0</v>
      </c>
      <c r="M338" s="108">
        <v>0</v>
      </c>
      <c r="N338" s="108">
        <v>0</v>
      </c>
      <c r="O338" s="108">
        <v>0</v>
      </c>
      <c r="P338" s="108">
        <v>0</v>
      </c>
      <c r="Q338" s="108">
        <v>0</v>
      </c>
      <c r="R338" s="108">
        <v>0</v>
      </c>
      <c r="S338" s="108">
        <v>0</v>
      </c>
    </row>
    <row r="339" spans="1:19">
      <c r="A339" s="147">
        <v>45023</v>
      </c>
      <c r="B339" s="111" t="s">
        <v>39</v>
      </c>
      <c r="C339" s="112">
        <v>25649</v>
      </c>
      <c r="D339" s="112">
        <v>326</v>
      </c>
      <c r="E339" s="113">
        <v>0.0127100471753285</v>
      </c>
      <c r="F339" s="112">
        <v>97</v>
      </c>
      <c r="G339" s="113">
        <v>0.297546012269939</v>
      </c>
      <c r="H339" s="108"/>
      <c r="I339" s="108"/>
      <c r="J339" s="108"/>
      <c r="K339" s="108"/>
      <c r="L339" s="108"/>
      <c r="M339" s="108"/>
      <c r="N339" s="108"/>
      <c r="O339" s="108"/>
      <c r="P339" s="108"/>
      <c r="Q339" s="108"/>
      <c r="R339" s="108"/>
      <c r="S339" s="108"/>
    </row>
    <row r="340" spans="1:19">
      <c r="A340" s="147">
        <v>45024</v>
      </c>
      <c r="B340" s="104" t="s">
        <v>17</v>
      </c>
      <c r="C340" s="105">
        <v>181</v>
      </c>
      <c r="D340" s="104">
        <v>28</v>
      </c>
      <c r="E340" s="106">
        <v>0.154696132596685</v>
      </c>
      <c r="F340" s="107">
        <v>1</v>
      </c>
      <c r="G340" s="106">
        <v>0.0357142857142857</v>
      </c>
      <c r="H340" s="108">
        <v>65</v>
      </c>
      <c r="I340" s="108">
        <v>78.3333333333333</v>
      </c>
      <c r="J340" s="108">
        <v>87.4</v>
      </c>
      <c r="K340" s="108">
        <v>101.857142857143</v>
      </c>
      <c r="L340" s="108">
        <v>2</v>
      </c>
      <c r="M340" s="108">
        <v>-1</v>
      </c>
      <c r="N340" s="108">
        <v>-2.8</v>
      </c>
      <c r="O340" s="108">
        <v>-3.85714285714286</v>
      </c>
      <c r="P340" s="108">
        <v>-4</v>
      </c>
      <c r="Q340" s="108">
        <v>-3.33333333333333</v>
      </c>
      <c r="R340" s="108">
        <v>-3.4</v>
      </c>
      <c r="S340" s="108">
        <v>-3.85714285714286</v>
      </c>
    </row>
    <row r="341" spans="1:19">
      <c r="A341" s="147">
        <v>45024</v>
      </c>
      <c r="B341" s="104" t="s">
        <v>19</v>
      </c>
      <c r="C341" s="107">
        <v>873</v>
      </c>
      <c r="D341" s="104">
        <v>39</v>
      </c>
      <c r="E341" s="106">
        <v>0.0446735395189003</v>
      </c>
      <c r="F341" s="107">
        <v>8</v>
      </c>
      <c r="G341" s="106">
        <v>0.205128205128205</v>
      </c>
      <c r="H341" s="108">
        <v>109</v>
      </c>
      <c r="I341" s="108">
        <v>174</v>
      </c>
      <c r="J341" s="108">
        <v>189.8</v>
      </c>
      <c r="K341" s="108">
        <v>120</v>
      </c>
      <c r="L341" s="108">
        <v>8</v>
      </c>
      <c r="M341" s="108">
        <v>12.6666666666667</v>
      </c>
      <c r="N341" s="108">
        <v>15.2</v>
      </c>
      <c r="O341" s="108">
        <v>12.2857142857143</v>
      </c>
      <c r="P341" s="108">
        <v>-1</v>
      </c>
      <c r="Q341" s="108">
        <v>-1.66666666666667</v>
      </c>
      <c r="R341" s="108">
        <v>-2.6</v>
      </c>
      <c r="S341" s="115">
        <v>-3.71428571428571</v>
      </c>
    </row>
    <row r="342" spans="1:19">
      <c r="A342" s="147">
        <v>45024</v>
      </c>
      <c r="B342" s="104" t="s">
        <v>21</v>
      </c>
      <c r="C342" s="145">
        <v>465</v>
      </c>
      <c r="D342" s="104">
        <v>24</v>
      </c>
      <c r="E342" s="106">
        <v>0.0516129032258065</v>
      </c>
      <c r="F342" s="107">
        <v>7</v>
      </c>
      <c r="G342" s="106">
        <v>0.291666666666667</v>
      </c>
      <c r="H342" s="108">
        <v>-160</v>
      </c>
      <c r="I342" s="108">
        <v>-215.333333333333</v>
      </c>
      <c r="J342" s="108">
        <v>-288.6</v>
      </c>
      <c r="K342" s="108">
        <v>-427.857142857143</v>
      </c>
      <c r="L342" s="108">
        <v>1</v>
      </c>
      <c r="M342" s="108">
        <v>-1</v>
      </c>
      <c r="N342" s="108">
        <v>-0.199999999999999</v>
      </c>
      <c r="O342" s="108">
        <v>-1</v>
      </c>
      <c r="P342" s="108">
        <v>-2</v>
      </c>
      <c r="Q342" s="108">
        <v>-2</v>
      </c>
      <c r="R342" s="108">
        <v>-1.8</v>
      </c>
      <c r="S342" s="108">
        <v>-2.28571428571429</v>
      </c>
    </row>
    <row r="343" spans="1:22">
      <c r="A343" s="147">
        <v>45024</v>
      </c>
      <c r="B343" s="104" t="s">
        <v>22</v>
      </c>
      <c r="C343" s="145">
        <v>4643</v>
      </c>
      <c r="D343" s="104">
        <v>116</v>
      </c>
      <c r="E343" s="106">
        <v>0.0249838466508723</v>
      </c>
      <c r="F343" s="107">
        <v>13</v>
      </c>
      <c r="G343" s="106">
        <v>0.112068965517241</v>
      </c>
      <c r="H343" s="108">
        <v>441</v>
      </c>
      <c r="I343" s="108">
        <v>-49.666666666667</v>
      </c>
      <c r="J343" s="108">
        <v>-258.8</v>
      </c>
      <c r="K343" s="108">
        <v>-492.142857142857</v>
      </c>
      <c r="L343" s="108">
        <v>12</v>
      </c>
      <c r="M343" s="108">
        <v>0</v>
      </c>
      <c r="N343" s="108">
        <v>-9.2</v>
      </c>
      <c r="O343" s="115">
        <v>-19</v>
      </c>
      <c r="P343" s="108">
        <v>-11</v>
      </c>
      <c r="Q343" s="108">
        <v>-25</v>
      </c>
      <c r="R343" s="108">
        <v>-26.4</v>
      </c>
      <c r="S343" s="117">
        <v>-32.5714285714286</v>
      </c>
      <c r="V343">
        <f>4202-4643</f>
        <v>-441</v>
      </c>
    </row>
    <row r="344" spans="1:19">
      <c r="A344" s="147">
        <v>45024</v>
      </c>
      <c r="B344" s="104" t="s">
        <v>23</v>
      </c>
      <c r="C344" s="145">
        <v>2895</v>
      </c>
      <c r="D344" s="104">
        <v>38</v>
      </c>
      <c r="E344" s="106">
        <v>0.013126079447323</v>
      </c>
      <c r="F344" s="107">
        <v>14</v>
      </c>
      <c r="G344" s="106">
        <v>0.368421052631579</v>
      </c>
      <c r="H344" s="108">
        <v>50</v>
      </c>
      <c r="I344" s="108">
        <v>-181</v>
      </c>
      <c r="J344" s="108">
        <v>-320.2</v>
      </c>
      <c r="K344" s="108">
        <v>-440.857142857143</v>
      </c>
      <c r="L344" s="108">
        <v>15</v>
      </c>
      <c r="M344" s="108">
        <v>4</v>
      </c>
      <c r="N344" s="108">
        <v>-1.4</v>
      </c>
      <c r="O344" s="108">
        <v>-3.71428571428572</v>
      </c>
      <c r="P344" s="108">
        <v>2</v>
      </c>
      <c r="Q344" s="116">
        <v>3</v>
      </c>
      <c r="R344" s="108">
        <v>-1</v>
      </c>
      <c r="S344" s="108">
        <v>-1.85714285714286</v>
      </c>
    </row>
    <row r="345" spans="1:19">
      <c r="A345" s="147">
        <v>45024</v>
      </c>
      <c r="B345" s="104" t="s">
        <v>24</v>
      </c>
      <c r="C345" s="145">
        <v>478</v>
      </c>
      <c r="D345" s="104">
        <v>7</v>
      </c>
      <c r="E345" s="106">
        <v>0.0146443514644351</v>
      </c>
      <c r="F345" s="107">
        <v>3</v>
      </c>
      <c r="G345" s="106">
        <v>0.428571428571429</v>
      </c>
      <c r="H345" s="108">
        <v>22</v>
      </c>
      <c r="I345" s="108">
        <v>-121.333333333333</v>
      </c>
      <c r="J345" s="108">
        <v>-99.2</v>
      </c>
      <c r="K345" s="108">
        <v>-77.8571428571429</v>
      </c>
      <c r="L345" s="115">
        <v>0</v>
      </c>
      <c r="M345" s="115">
        <v>1</v>
      </c>
      <c r="N345" s="117">
        <v>0.6</v>
      </c>
      <c r="O345" s="117">
        <v>1.14285714285714</v>
      </c>
      <c r="P345" s="115">
        <v>1</v>
      </c>
      <c r="Q345" s="115">
        <v>1.66666666666667</v>
      </c>
      <c r="R345" s="115">
        <v>1.8</v>
      </c>
      <c r="S345" s="115">
        <v>1.42857142857143</v>
      </c>
    </row>
    <row r="346" spans="1:19">
      <c r="A346" s="147">
        <v>45024</v>
      </c>
      <c r="B346" s="104" t="s">
        <v>25</v>
      </c>
      <c r="C346" s="145">
        <v>11821</v>
      </c>
      <c r="D346" s="104">
        <v>50</v>
      </c>
      <c r="E346" s="106">
        <v>0.00422976059555029</v>
      </c>
      <c r="F346" s="107">
        <v>58</v>
      </c>
      <c r="G346" s="106">
        <v>1.16</v>
      </c>
      <c r="H346" s="108">
        <v>-3323</v>
      </c>
      <c r="I346" s="108">
        <v>-4233.66666666667</v>
      </c>
      <c r="J346" s="108">
        <v>-1809.6</v>
      </c>
      <c r="K346" s="108">
        <v>-289.285714285714</v>
      </c>
      <c r="L346" s="116">
        <v>8</v>
      </c>
      <c r="M346" s="115">
        <v>5</v>
      </c>
      <c r="N346" s="115">
        <v>3</v>
      </c>
      <c r="O346" s="115">
        <v>4.14285714285715</v>
      </c>
      <c r="P346" s="108">
        <v>42</v>
      </c>
      <c r="Q346" s="108">
        <v>38</v>
      </c>
      <c r="R346" s="108">
        <v>38.6</v>
      </c>
      <c r="S346" s="108">
        <v>38.2857142857143</v>
      </c>
    </row>
    <row r="347" spans="1:19">
      <c r="A347" s="147">
        <v>45024</v>
      </c>
      <c r="B347" s="104" t="s">
        <v>26</v>
      </c>
      <c r="C347" s="145">
        <v>1975</v>
      </c>
      <c r="D347" s="104">
        <v>73</v>
      </c>
      <c r="E347" s="106">
        <v>0.0369620253164557</v>
      </c>
      <c r="F347" s="107">
        <v>34</v>
      </c>
      <c r="G347" s="106">
        <v>0.465753424657534</v>
      </c>
      <c r="H347" s="108">
        <v>540</v>
      </c>
      <c r="I347" s="108">
        <v>549.333333333333</v>
      </c>
      <c r="J347" s="108">
        <v>342.2</v>
      </c>
      <c r="K347" s="108">
        <v>656.571428571429</v>
      </c>
      <c r="L347" s="108">
        <v>6</v>
      </c>
      <c r="M347" s="108">
        <v>-1.33333333333333</v>
      </c>
      <c r="N347" s="108">
        <v>-10</v>
      </c>
      <c r="O347" s="108">
        <v>-15</v>
      </c>
      <c r="P347" s="108">
        <v>15</v>
      </c>
      <c r="Q347" s="108">
        <v>14.6666666666667</v>
      </c>
      <c r="R347" s="108">
        <v>13.4</v>
      </c>
      <c r="S347" s="108">
        <v>12.5714285714286</v>
      </c>
    </row>
    <row r="348" spans="1:19">
      <c r="A348" s="147">
        <v>45024</v>
      </c>
      <c r="B348" s="104" t="s">
        <v>27</v>
      </c>
      <c r="C348" s="145">
        <v>80</v>
      </c>
      <c r="D348" s="104">
        <v>8</v>
      </c>
      <c r="E348" s="106">
        <v>0.1</v>
      </c>
      <c r="F348" s="107">
        <v>0</v>
      </c>
      <c r="G348" s="106">
        <v>0</v>
      </c>
      <c r="H348" s="108">
        <v>19</v>
      </c>
      <c r="I348" s="108">
        <v>28</v>
      </c>
      <c r="J348" s="108">
        <v>31.4</v>
      </c>
      <c r="K348" s="108">
        <v>34.4285714285714</v>
      </c>
      <c r="L348" s="108">
        <v>5</v>
      </c>
      <c r="M348" s="108">
        <v>5.66666666666667</v>
      </c>
      <c r="N348" s="108">
        <v>6</v>
      </c>
      <c r="O348" s="108">
        <v>6.28571428571429</v>
      </c>
      <c r="P348" s="108">
        <v>-1</v>
      </c>
      <c r="Q348" s="108">
        <v>-0.666666666666667</v>
      </c>
      <c r="R348" s="108">
        <v>-0.8</v>
      </c>
      <c r="S348" s="108">
        <v>-0.714285714285714</v>
      </c>
    </row>
    <row r="349" hidden="1" spans="1:19">
      <c r="A349" s="147">
        <v>45024</v>
      </c>
      <c r="B349" s="104" t="s">
        <v>28</v>
      </c>
      <c r="C349" s="145">
        <v>0</v>
      </c>
      <c r="D349" s="104">
        <v>0</v>
      </c>
      <c r="E349" s="106">
        <v>0</v>
      </c>
      <c r="F349" s="107">
        <v>0</v>
      </c>
      <c r="G349" s="106">
        <v>0</v>
      </c>
      <c r="H349" s="108">
        <v>0</v>
      </c>
      <c r="I349" s="108">
        <v>0</v>
      </c>
      <c r="J349" s="108">
        <v>0</v>
      </c>
      <c r="K349" s="108">
        <v>0</v>
      </c>
      <c r="L349" s="108">
        <v>0</v>
      </c>
      <c r="M349" s="108">
        <v>0</v>
      </c>
      <c r="N349" s="108">
        <v>0</v>
      </c>
      <c r="O349" s="108">
        <v>0</v>
      </c>
      <c r="P349" s="108">
        <v>0</v>
      </c>
      <c r="Q349" s="108">
        <v>0</v>
      </c>
      <c r="R349" s="108">
        <v>0</v>
      </c>
      <c r="S349" s="108">
        <v>0</v>
      </c>
    </row>
    <row r="350" hidden="1" spans="1:19">
      <c r="A350" s="147">
        <v>45024</v>
      </c>
      <c r="B350" s="104" t="s">
        <v>29</v>
      </c>
      <c r="C350" s="145">
        <v>0</v>
      </c>
      <c r="D350" s="104">
        <v>1</v>
      </c>
      <c r="E350" s="106">
        <v>1</v>
      </c>
      <c r="F350" s="107">
        <v>1</v>
      </c>
      <c r="G350" s="106">
        <v>1</v>
      </c>
      <c r="H350" s="108">
        <v>-1</v>
      </c>
      <c r="I350" s="108">
        <v>-1.33333333333333</v>
      </c>
      <c r="J350" s="108">
        <v>-2.8</v>
      </c>
      <c r="K350" s="108">
        <v>-2.57142857142857</v>
      </c>
      <c r="L350" s="108">
        <v>1</v>
      </c>
      <c r="M350" s="108">
        <v>1</v>
      </c>
      <c r="N350" s="108">
        <v>1</v>
      </c>
      <c r="O350" s="108">
        <v>1</v>
      </c>
      <c r="P350" s="108">
        <v>1</v>
      </c>
      <c r="Q350" s="108">
        <v>1</v>
      </c>
      <c r="R350" s="108">
        <v>1</v>
      </c>
      <c r="S350" s="108">
        <v>1</v>
      </c>
    </row>
    <row r="351" hidden="1" spans="1:19">
      <c r="A351" s="147">
        <v>45024</v>
      </c>
      <c r="B351" s="104" t="s">
        <v>30</v>
      </c>
      <c r="C351" s="145">
        <v>0</v>
      </c>
      <c r="D351" s="104">
        <v>0</v>
      </c>
      <c r="E351" s="106">
        <v>0</v>
      </c>
      <c r="F351" s="107">
        <v>0</v>
      </c>
      <c r="G351" s="106">
        <v>0</v>
      </c>
      <c r="H351" s="108">
        <v>0</v>
      </c>
      <c r="I351" s="108">
        <v>0</v>
      </c>
      <c r="J351" s="108">
        <v>0</v>
      </c>
      <c r="K351" s="108">
        <v>0</v>
      </c>
      <c r="L351" s="108">
        <v>0</v>
      </c>
      <c r="M351" s="108">
        <v>0</v>
      </c>
      <c r="N351" s="108">
        <v>0</v>
      </c>
      <c r="O351" s="108">
        <v>0</v>
      </c>
      <c r="P351" s="108">
        <v>0</v>
      </c>
      <c r="Q351" s="108">
        <v>0</v>
      </c>
      <c r="R351" s="108">
        <v>0</v>
      </c>
      <c r="S351" s="108">
        <v>0</v>
      </c>
    </row>
    <row r="352" hidden="1" spans="1:19">
      <c r="A352" s="147">
        <v>45024</v>
      </c>
      <c r="B352" s="104" t="s">
        <v>31</v>
      </c>
      <c r="C352" s="145">
        <v>0</v>
      </c>
      <c r="D352" s="104">
        <v>1</v>
      </c>
      <c r="E352" s="106">
        <v>1</v>
      </c>
      <c r="F352" s="107">
        <v>0</v>
      </c>
      <c r="G352" s="106">
        <v>0</v>
      </c>
      <c r="H352" s="108">
        <v>0</v>
      </c>
      <c r="I352" s="108">
        <v>0</v>
      </c>
      <c r="J352" s="108">
        <v>0</v>
      </c>
      <c r="K352" s="108">
        <v>0</v>
      </c>
      <c r="L352" s="108">
        <v>1</v>
      </c>
      <c r="M352" s="108">
        <v>0.333333333333333</v>
      </c>
      <c r="N352" s="108">
        <v>0.4</v>
      </c>
      <c r="O352" s="108">
        <v>0.571428571428571</v>
      </c>
      <c r="P352" s="108">
        <v>0</v>
      </c>
      <c r="Q352" s="108">
        <v>0</v>
      </c>
      <c r="R352" s="108">
        <v>0</v>
      </c>
      <c r="S352" s="108">
        <v>0</v>
      </c>
    </row>
    <row r="353" hidden="1" spans="1:19">
      <c r="A353" s="147">
        <v>45024</v>
      </c>
      <c r="B353" s="104" t="s">
        <v>32</v>
      </c>
      <c r="C353" s="145">
        <v>0</v>
      </c>
      <c r="D353" s="104">
        <v>0</v>
      </c>
      <c r="E353" s="106">
        <v>0</v>
      </c>
      <c r="F353" s="107">
        <v>0</v>
      </c>
      <c r="G353" s="106">
        <v>0</v>
      </c>
      <c r="H353" s="108">
        <v>0</v>
      </c>
      <c r="I353" s="108">
        <v>0</v>
      </c>
      <c r="J353" s="108">
        <v>0</v>
      </c>
      <c r="K353" s="108">
        <v>0</v>
      </c>
      <c r="L353" s="108">
        <v>0</v>
      </c>
      <c r="M353" s="108">
        <v>0</v>
      </c>
      <c r="N353" s="108">
        <v>0</v>
      </c>
      <c r="O353" s="108">
        <v>0</v>
      </c>
      <c r="P353" s="108">
        <v>0</v>
      </c>
      <c r="Q353" s="108">
        <v>0</v>
      </c>
      <c r="R353" s="108">
        <v>0</v>
      </c>
      <c r="S353" s="108">
        <v>0</v>
      </c>
    </row>
    <row r="354" hidden="1" spans="1:19">
      <c r="A354" s="147">
        <v>45024</v>
      </c>
      <c r="B354" s="104" t="s">
        <v>33</v>
      </c>
      <c r="C354" s="145">
        <v>0</v>
      </c>
      <c r="D354" s="104">
        <v>0</v>
      </c>
      <c r="E354" s="106">
        <v>0</v>
      </c>
      <c r="F354" s="107">
        <v>0</v>
      </c>
      <c r="G354" s="106">
        <v>0</v>
      </c>
      <c r="H354" s="108">
        <v>0</v>
      </c>
      <c r="I354" s="108">
        <v>0</v>
      </c>
      <c r="J354" s="108">
        <v>0</v>
      </c>
      <c r="K354" s="108">
        <v>0</v>
      </c>
      <c r="L354" s="108">
        <v>0</v>
      </c>
      <c r="M354" s="108">
        <v>0</v>
      </c>
      <c r="N354" s="108">
        <v>0</v>
      </c>
      <c r="O354" s="108">
        <v>0</v>
      </c>
      <c r="P354" s="108">
        <v>0</v>
      </c>
      <c r="Q354" s="108">
        <v>0</v>
      </c>
      <c r="R354" s="108">
        <v>0</v>
      </c>
      <c r="S354" s="108">
        <v>0</v>
      </c>
    </row>
    <row r="355" hidden="1" spans="1:19">
      <c r="A355" s="147">
        <v>45024</v>
      </c>
      <c r="B355" s="104" t="s">
        <v>34</v>
      </c>
      <c r="C355" s="145">
        <v>0</v>
      </c>
      <c r="D355" s="104">
        <v>0</v>
      </c>
      <c r="E355" s="106">
        <v>0</v>
      </c>
      <c r="F355" s="107">
        <v>0</v>
      </c>
      <c r="G355" s="106">
        <v>0</v>
      </c>
      <c r="H355" s="108">
        <v>0</v>
      </c>
      <c r="I355" s="108">
        <v>0</v>
      </c>
      <c r="J355" s="108">
        <v>0</v>
      </c>
      <c r="K355" s="108">
        <v>0</v>
      </c>
      <c r="L355" s="108">
        <v>0</v>
      </c>
      <c r="M355" s="108">
        <v>0</v>
      </c>
      <c r="N355" s="108">
        <v>0</v>
      </c>
      <c r="O355" s="108">
        <v>0</v>
      </c>
      <c r="P355" s="108">
        <v>0</v>
      </c>
      <c r="Q355" s="108">
        <v>0</v>
      </c>
      <c r="R355" s="108">
        <v>0</v>
      </c>
      <c r="S355" s="108">
        <v>0</v>
      </c>
    </row>
    <row r="356" hidden="1" spans="1:19">
      <c r="A356" s="147">
        <v>45024</v>
      </c>
      <c r="B356" s="104" t="s">
        <v>35</v>
      </c>
      <c r="C356" s="145">
        <v>0</v>
      </c>
      <c r="D356" s="104">
        <v>0</v>
      </c>
      <c r="E356" s="106">
        <v>0</v>
      </c>
      <c r="F356" s="107">
        <v>0</v>
      </c>
      <c r="G356" s="106">
        <v>0</v>
      </c>
      <c r="H356" s="108">
        <v>0</v>
      </c>
      <c r="I356" s="108">
        <v>0</v>
      </c>
      <c r="J356" s="108">
        <v>0</v>
      </c>
      <c r="K356" s="108">
        <v>0</v>
      </c>
      <c r="L356" s="108">
        <v>0</v>
      </c>
      <c r="M356" s="108">
        <v>0</v>
      </c>
      <c r="N356" s="108">
        <v>0</v>
      </c>
      <c r="O356" s="108">
        <v>0</v>
      </c>
      <c r="P356" s="108">
        <v>0</v>
      </c>
      <c r="Q356" s="108">
        <v>0</v>
      </c>
      <c r="R356" s="108">
        <v>0</v>
      </c>
      <c r="S356" s="108">
        <v>0</v>
      </c>
    </row>
    <row r="357" hidden="1" spans="1:19">
      <c r="A357" s="147">
        <v>45024</v>
      </c>
      <c r="B357" s="104" t="s">
        <v>36</v>
      </c>
      <c r="C357" s="145">
        <v>0</v>
      </c>
      <c r="D357" s="104">
        <v>0</v>
      </c>
      <c r="E357" s="106">
        <v>0</v>
      </c>
      <c r="F357" s="107">
        <v>0</v>
      </c>
      <c r="G357" s="106">
        <v>0</v>
      </c>
      <c r="H357" s="108">
        <v>0</v>
      </c>
      <c r="I357" s="108">
        <v>0</v>
      </c>
      <c r="J357" s="108">
        <v>0</v>
      </c>
      <c r="K357" s="108">
        <v>0</v>
      </c>
      <c r="L357" s="108">
        <v>0</v>
      </c>
      <c r="M357" s="108">
        <v>0</v>
      </c>
      <c r="N357" s="108">
        <v>0</v>
      </c>
      <c r="O357" s="108">
        <v>0</v>
      </c>
      <c r="P357" s="108">
        <v>0</v>
      </c>
      <c r="Q357" s="108">
        <v>0</v>
      </c>
      <c r="R357" s="108">
        <v>0</v>
      </c>
      <c r="S357" s="108">
        <v>0</v>
      </c>
    </row>
    <row r="358" hidden="1" spans="1:19">
      <c r="A358" s="147">
        <v>45024</v>
      </c>
      <c r="B358" s="104" t="s">
        <v>37</v>
      </c>
      <c r="C358" s="145">
        <v>0</v>
      </c>
      <c r="D358" s="104">
        <v>0</v>
      </c>
      <c r="E358" s="106">
        <v>0</v>
      </c>
      <c r="F358" s="107">
        <v>0</v>
      </c>
      <c r="G358" s="106">
        <v>0</v>
      </c>
      <c r="H358" s="108">
        <v>0</v>
      </c>
      <c r="I358" s="108">
        <v>0</v>
      </c>
      <c r="J358" s="108">
        <v>0</v>
      </c>
      <c r="K358" s="108">
        <v>0</v>
      </c>
      <c r="L358" s="108">
        <v>0</v>
      </c>
      <c r="M358" s="108">
        <v>0</v>
      </c>
      <c r="N358" s="108">
        <v>0</v>
      </c>
      <c r="O358" s="108">
        <v>0</v>
      </c>
      <c r="P358" s="108">
        <v>0</v>
      </c>
      <c r="Q358" s="108">
        <v>0</v>
      </c>
      <c r="R358" s="108">
        <v>0</v>
      </c>
      <c r="S358" s="108">
        <v>0</v>
      </c>
    </row>
    <row r="359" hidden="1" spans="1:19">
      <c r="A359" s="147">
        <v>45024</v>
      </c>
      <c r="B359" s="104" t="s">
        <v>38</v>
      </c>
      <c r="C359" s="145">
        <v>0</v>
      </c>
      <c r="D359" s="104">
        <v>0</v>
      </c>
      <c r="E359" s="106">
        <v>0</v>
      </c>
      <c r="F359" s="107">
        <v>0</v>
      </c>
      <c r="G359" s="106">
        <v>0</v>
      </c>
      <c r="H359" s="108">
        <v>0</v>
      </c>
      <c r="I359" s="108">
        <v>0</v>
      </c>
      <c r="J359" s="108">
        <v>0</v>
      </c>
      <c r="K359" s="108">
        <v>0</v>
      </c>
      <c r="L359" s="108">
        <v>0</v>
      </c>
      <c r="M359" s="108">
        <v>0</v>
      </c>
      <c r="N359" s="108">
        <v>0</v>
      </c>
      <c r="O359" s="108">
        <v>0</v>
      </c>
      <c r="P359" s="108">
        <v>0</v>
      </c>
      <c r="Q359" s="108">
        <v>0</v>
      </c>
      <c r="R359" s="108">
        <v>0</v>
      </c>
      <c r="S359" s="108">
        <v>0</v>
      </c>
    </row>
    <row r="360" spans="1:19">
      <c r="A360" s="147">
        <v>45024</v>
      </c>
      <c r="B360" s="111" t="s">
        <v>39</v>
      </c>
      <c r="C360" s="112">
        <v>23411</v>
      </c>
      <c r="D360" s="112">
        <v>385</v>
      </c>
      <c r="E360" s="113">
        <v>0.0164452607748494</v>
      </c>
      <c r="F360" s="112">
        <v>139</v>
      </c>
      <c r="G360" s="113">
        <v>0.361038961038961</v>
      </c>
      <c r="H360" s="108"/>
      <c r="I360" s="108"/>
      <c r="J360" s="108"/>
      <c r="K360" s="108"/>
      <c r="L360" s="108"/>
      <c r="M360" s="108"/>
      <c r="N360" s="108"/>
      <c r="O360" s="108"/>
      <c r="P360" s="108"/>
      <c r="Q360" s="108"/>
      <c r="R360" s="108"/>
      <c r="S360" s="108"/>
    </row>
    <row r="361" spans="1:19">
      <c r="A361" s="147">
        <v>45025</v>
      </c>
      <c r="B361" s="104" t="s">
        <v>17</v>
      </c>
      <c r="C361" s="105">
        <v>156</v>
      </c>
      <c r="D361" s="104">
        <v>33</v>
      </c>
      <c r="E361" s="106">
        <v>0.211538461538462</v>
      </c>
      <c r="F361" s="107">
        <v>4</v>
      </c>
      <c r="G361" s="106">
        <v>0.121212121212121</v>
      </c>
      <c r="H361" s="108">
        <v>-25</v>
      </c>
      <c r="I361" s="108">
        <v>25</v>
      </c>
      <c r="J361" s="108">
        <v>40.6</v>
      </c>
      <c r="K361" s="108">
        <v>58.7142857142857</v>
      </c>
      <c r="L361" s="108">
        <v>5</v>
      </c>
      <c r="M361" s="108">
        <v>8</v>
      </c>
      <c r="N361" s="108">
        <v>4.2</v>
      </c>
      <c r="O361" s="108">
        <v>2.85714285714286</v>
      </c>
      <c r="P361" s="108">
        <v>3</v>
      </c>
      <c r="Q361" s="108">
        <v>1.33333333333333</v>
      </c>
      <c r="R361" s="108">
        <v>0.6</v>
      </c>
      <c r="S361" s="108">
        <v>-0.142857142857143</v>
      </c>
    </row>
    <row r="362" spans="1:19">
      <c r="A362" s="147">
        <v>45025</v>
      </c>
      <c r="B362" s="104" t="s">
        <v>19</v>
      </c>
      <c r="C362" s="107">
        <v>601</v>
      </c>
      <c r="D362" s="104">
        <v>28</v>
      </c>
      <c r="E362" s="106">
        <v>0.0465890183028286</v>
      </c>
      <c r="F362" s="107">
        <v>13</v>
      </c>
      <c r="G362" s="106">
        <v>0.464285714285714</v>
      </c>
      <c r="H362" s="108">
        <v>-272</v>
      </c>
      <c r="I362" s="108">
        <v>-165</v>
      </c>
      <c r="J362" s="108">
        <v>-123.4</v>
      </c>
      <c r="K362" s="108">
        <v>-118.428571428571</v>
      </c>
      <c r="L362" s="108">
        <v>-11</v>
      </c>
      <c r="M362" s="108">
        <v>-4</v>
      </c>
      <c r="N362" s="108">
        <v>0.800000000000001</v>
      </c>
      <c r="O362" s="108">
        <v>2.28571428571428</v>
      </c>
      <c r="P362" s="108">
        <v>5</v>
      </c>
      <c r="Q362" s="108">
        <v>4.33333333333333</v>
      </c>
      <c r="R362" s="108">
        <v>3.6</v>
      </c>
      <c r="S362" s="115">
        <v>2</v>
      </c>
    </row>
    <row r="363" spans="1:19">
      <c r="A363" s="147">
        <v>45025</v>
      </c>
      <c r="B363" s="104" t="s">
        <v>21</v>
      </c>
      <c r="C363" s="145">
        <v>389</v>
      </c>
      <c r="D363" s="104">
        <v>22</v>
      </c>
      <c r="E363" s="106">
        <v>0.0565552699228792</v>
      </c>
      <c r="F363" s="107">
        <v>11</v>
      </c>
      <c r="G363" s="106">
        <v>0.5</v>
      </c>
      <c r="H363" s="108">
        <v>-76</v>
      </c>
      <c r="I363" s="108">
        <v>-191.666666666667</v>
      </c>
      <c r="J363" s="108">
        <v>-257.4</v>
      </c>
      <c r="K363" s="108">
        <v>-394.285714285714</v>
      </c>
      <c r="L363" s="108">
        <v>-2</v>
      </c>
      <c r="M363" s="108">
        <v>-1.33333333333333</v>
      </c>
      <c r="N363" s="108">
        <v>-2.8</v>
      </c>
      <c r="O363" s="108">
        <v>-2</v>
      </c>
      <c r="P363" s="108">
        <v>4</v>
      </c>
      <c r="Q363" s="108">
        <v>2.66666666666667</v>
      </c>
      <c r="R363" s="108">
        <v>2.4</v>
      </c>
      <c r="S363" s="108">
        <v>2.42857142857143</v>
      </c>
    </row>
    <row r="364" spans="1:19">
      <c r="A364" s="147">
        <v>45025</v>
      </c>
      <c r="B364" s="104" t="s">
        <v>22</v>
      </c>
      <c r="C364" s="145">
        <v>4472</v>
      </c>
      <c r="D364" s="104">
        <v>116</v>
      </c>
      <c r="E364" s="106">
        <v>0.0259391771019678</v>
      </c>
      <c r="F364" s="107">
        <v>38</v>
      </c>
      <c r="G364" s="106">
        <v>0.327586206896552</v>
      </c>
      <c r="H364" s="108">
        <v>-171</v>
      </c>
      <c r="I364" s="108">
        <v>-68.666666666667</v>
      </c>
      <c r="J364" s="108">
        <v>-303.4</v>
      </c>
      <c r="K364" s="108">
        <v>-503.857142857143</v>
      </c>
      <c r="L364" s="108">
        <v>0</v>
      </c>
      <c r="M364" s="108">
        <v>4</v>
      </c>
      <c r="N364" s="108">
        <v>-6.2</v>
      </c>
      <c r="O364" s="115">
        <v>-12.2857142857143</v>
      </c>
      <c r="P364" s="108">
        <v>25</v>
      </c>
      <c r="Q364" s="108">
        <v>12.6666666666667</v>
      </c>
      <c r="R364" s="108">
        <v>3.8</v>
      </c>
      <c r="S364" s="117">
        <v>0.285714285714285</v>
      </c>
    </row>
    <row r="365" spans="1:19">
      <c r="A365" s="147">
        <v>45025</v>
      </c>
      <c r="B365" s="104" t="s">
        <v>23</v>
      </c>
      <c r="C365" s="145">
        <v>2666</v>
      </c>
      <c r="D365" s="104">
        <v>31</v>
      </c>
      <c r="E365" s="106">
        <v>0.0116279069767442</v>
      </c>
      <c r="F365" s="107">
        <v>8</v>
      </c>
      <c r="G365" s="106">
        <v>0.258064516129032</v>
      </c>
      <c r="H365" s="108">
        <v>-229</v>
      </c>
      <c r="I365" s="108">
        <v>-257.666666666667</v>
      </c>
      <c r="J365" s="108">
        <v>-443.4</v>
      </c>
      <c r="K365" s="108">
        <v>-564.428571428572</v>
      </c>
      <c r="L365" s="108">
        <v>-7</v>
      </c>
      <c r="M365" s="108">
        <v>-4.33333333333334</v>
      </c>
      <c r="N365" s="108">
        <v>-5.8</v>
      </c>
      <c r="O365" s="108">
        <v>-9</v>
      </c>
      <c r="P365" s="108">
        <v>-6</v>
      </c>
      <c r="Q365" s="116">
        <v>-3.66666666666667</v>
      </c>
      <c r="R365" s="108">
        <v>-5.2</v>
      </c>
      <c r="S365" s="108">
        <v>-6.28571428571429</v>
      </c>
    </row>
    <row r="366" spans="1:19">
      <c r="A366" s="147">
        <v>45025</v>
      </c>
      <c r="B366" s="104" t="s">
        <v>24</v>
      </c>
      <c r="C366" s="145">
        <v>455</v>
      </c>
      <c r="D366" s="104">
        <v>5</v>
      </c>
      <c r="E366" s="106">
        <v>0.010989010989011</v>
      </c>
      <c r="F366" s="107">
        <v>0</v>
      </c>
      <c r="G366" s="106">
        <v>0</v>
      </c>
      <c r="H366" s="108">
        <v>-23</v>
      </c>
      <c r="I366" s="108">
        <v>-122.333333333333</v>
      </c>
      <c r="J366" s="108">
        <v>-114</v>
      </c>
      <c r="K366" s="108">
        <v>-97</v>
      </c>
      <c r="L366" s="115">
        <v>-2</v>
      </c>
      <c r="M366" s="115">
        <v>-1.66666666666667</v>
      </c>
      <c r="N366" s="117">
        <v>-1.4</v>
      </c>
      <c r="O366" s="117">
        <v>-1.57142857142857</v>
      </c>
      <c r="P366" s="115">
        <v>-3</v>
      </c>
      <c r="Q366" s="115">
        <v>-2</v>
      </c>
      <c r="R366" s="115">
        <v>-1.6</v>
      </c>
      <c r="S366" s="115">
        <v>-1.71428571428571</v>
      </c>
    </row>
    <row r="367" spans="1:19">
      <c r="A367" s="147">
        <v>45025</v>
      </c>
      <c r="B367" s="104" t="s">
        <v>25</v>
      </c>
      <c r="C367" s="145">
        <v>11147</v>
      </c>
      <c r="D367" s="104">
        <v>38</v>
      </c>
      <c r="E367" s="106">
        <v>0.00340898896564098</v>
      </c>
      <c r="F367" s="107">
        <v>18</v>
      </c>
      <c r="G367" s="106">
        <v>0.473684210526316</v>
      </c>
      <c r="H367" s="108">
        <v>-674</v>
      </c>
      <c r="I367" s="108">
        <v>-3919.33333333333</v>
      </c>
      <c r="J367" s="108">
        <v>-2614.2</v>
      </c>
      <c r="K367" s="108">
        <v>-1614.71428571429</v>
      </c>
      <c r="L367" s="116">
        <v>-12</v>
      </c>
      <c r="M367" s="115">
        <v>-7.66666666666666</v>
      </c>
      <c r="N367" s="115">
        <v>-7.6</v>
      </c>
      <c r="O367" s="115">
        <v>-9.71428571428572</v>
      </c>
      <c r="P367" s="108">
        <v>-40</v>
      </c>
      <c r="Q367" s="108">
        <v>-12.3333333333333</v>
      </c>
      <c r="R367" s="108">
        <v>-8.8</v>
      </c>
      <c r="S367" s="108">
        <v>-7.14285714285714</v>
      </c>
    </row>
    <row r="368" spans="1:19">
      <c r="A368" s="147">
        <v>45025</v>
      </c>
      <c r="B368" s="104" t="s">
        <v>26</v>
      </c>
      <c r="C368" s="145">
        <v>2322</v>
      </c>
      <c r="D368" s="104">
        <v>56</v>
      </c>
      <c r="E368" s="106">
        <v>0.0241171403962102</v>
      </c>
      <c r="F368" s="107">
        <v>22</v>
      </c>
      <c r="G368" s="106">
        <v>0.392857142857143</v>
      </c>
      <c r="H368" s="108">
        <v>347</v>
      </c>
      <c r="I368" s="108">
        <v>648.666666666667</v>
      </c>
      <c r="J368" s="108">
        <v>716.8</v>
      </c>
      <c r="K368" s="108">
        <v>798.142857142857</v>
      </c>
      <c r="L368" s="108">
        <v>-17</v>
      </c>
      <c r="M368" s="108">
        <v>-16.6666666666667</v>
      </c>
      <c r="N368" s="108">
        <v>-22</v>
      </c>
      <c r="O368" s="108">
        <v>-26.5714285714286</v>
      </c>
      <c r="P368" s="108">
        <v>-12</v>
      </c>
      <c r="Q368" s="108">
        <v>-2.33333333333333</v>
      </c>
      <c r="R368" s="108">
        <v>-1.6</v>
      </c>
      <c r="S368" s="108">
        <v>-0.571428571428573</v>
      </c>
    </row>
    <row r="369" spans="1:19">
      <c r="A369" s="147">
        <v>45025</v>
      </c>
      <c r="B369" s="104" t="s">
        <v>27</v>
      </c>
      <c r="C369" s="145">
        <v>53</v>
      </c>
      <c r="D369" s="104">
        <v>4</v>
      </c>
      <c r="E369" s="106">
        <v>0.0754716981132075</v>
      </c>
      <c r="F369" s="107">
        <v>2</v>
      </c>
      <c r="G369" s="106">
        <v>0.5</v>
      </c>
      <c r="H369" s="108">
        <v>-27</v>
      </c>
      <c r="I369" s="108">
        <v>-7.66666666666666</v>
      </c>
      <c r="J369" s="108">
        <v>-4</v>
      </c>
      <c r="K369" s="108">
        <v>0.571428571428569</v>
      </c>
      <c r="L369" s="108">
        <v>-4</v>
      </c>
      <c r="M369" s="108">
        <v>-0.666666666666667</v>
      </c>
      <c r="N369" s="108">
        <v>1</v>
      </c>
      <c r="O369" s="108">
        <v>1.42857142857143</v>
      </c>
      <c r="P369" s="108">
        <v>2</v>
      </c>
      <c r="Q369" s="108">
        <v>1.33333333333333</v>
      </c>
      <c r="R369" s="108">
        <v>1.2</v>
      </c>
      <c r="S369" s="108">
        <v>1.42857142857143</v>
      </c>
    </row>
    <row r="370" hidden="1" spans="1:19">
      <c r="A370" s="147">
        <v>45025</v>
      </c>
      <c r="B370" s="104" t="s">
        <v>28</v>
      </c>
      <c r="C370" s="145">
        <v>0</v>
      </c>
      <c r="D370" s="104">
        <v>0</v>
      </c>
      <c r="E370" s="106">
        <v>0</v>
      </c>
      <c r="F370" s="107">
        <v>0</v>
      </c>
      <c r="G370" s="106">
        <v>0</v>
      </c>
      <c r="H370" s="108">
        <v>0</v>
      </c>
      <c r="I370" s="108">
        <v>0</v>
      </c>
      <c r="J370" s="108">
        <v>0</v>
      </c>
      <c r="K370" s="108">
        <v>0</v>
      </c>
      <c r="L370" s="108">
        <v>0</v>
      </c>
      <c r="M370" s="108">
        <v>0</v>
      </c>
      <c r="N370" s="108">
        <v>0</v>
      </c>
      <c r="O370" s="108">
        <v>0</v>
      </c>
      <c r="P370" s="108">
        <v>0</v>
      </c>
      <c r="Q370" s="108">
        <v>0</v>
      </c>
      <c r="R370" s="108">
        <v>0</v>
      </c>
      <c r="S370" s="108">
        <v>0</v>
      </c>
    </row>
    <row r="371" hidden="1" spans="1:19">
      <c r="A371" s="147">
        <v>45025</v>
      </c>
      <c r="B371" s="104" t="s">
        <v>29</v>
      </c>
      <c r="C371" s="145">
        <v>0</v>
      </c>
      <c r="D371" s="104">
        <v>0</v>
      </c>
      <c r="E371" s="106">
        <v>0</v>
      </c>
      <c r="F371" s="107">
        <v>0</v>
      </c>
      <c r="G371" s="106">
        <v>0</v>
      </c>
      <c r="H371" s="108">
        <v>0</v>
      </c>
      <c r="I371" s="108">
        <v>-1</v>
      </c>
      <c r="J371" s="108">
        <v>-2</v>
      </c>
      <c r="K371" s="108">
        <v>-2.42857142857143</v>
      </c>
      <c r="L371" s="108">
        <v>-1</v>
      </c>
      <c r="M371" s="108">
        <v>-0.333333333333333</v>
      </c>
      <c r="N371" s="108">
        <v>-0.2</v>
      </c>
      <c r="O371" s="108">
        <v>-0.142857142857143</v>
      </c>
      <c r="P371" s="108">
        <v>-1</v>
      </c>
      <c r="Q371" s="108">
        <v>-0.333333333333333</v>
      </c>
      <c r="R371" s="108">
        <v>-0.2</v>
      </c>
      <c r="S371" s="108">
        <v>-0.142857142857143</v>
      </c>
    </row>
    <row r="372" hidden="1" spans="1:19">
      <c r="A372" s="147">
        <v>45025</v>
      </c>
      <c r="B372" s="104" t="s">
        <v>30</v>
      </c>
      <c r="C372" s="145">
        <v>0</v>
      </c>
      <c r="D372" s="104">
        <v>0</v>
      </c>
      <c r="E372" s="106">
        <v>0</v>
      </c>
      <c r="F372" s="107">
        <v>0</v>
      </c>
      <c r="G372" s="106">
        <v>0</v>
      </c>
      <c r="H372" s="108">
        <v>0</v>
      </c>
      <c r="I372" s="108">
        <v>0</v>
      </c>
      <c r="J372" s="108">
        <v>0</v>
      </c>
      <c r="K372" s="108">
        <v>0</v>
      </c>
      <c r="L372" s="108">
        <v>0</v>
      </c>
      <c r="M372" s="108">
        <v>0</v>
      </c>
      <c r="N372" s="108">
        <v>0</v>
      </c>
      <c r="O372" s="108">
        <v>0</v>
      </c>
      <c r="P372" s="108">
        <v>0</v>
      </c>
      <c r="Q372" s="108">
        <v>0</v>
      </c>
      <c r="R372" s="108">
        <v>0</v>
      </c>
      <c r="S372" s="108">
        <v>0</v>
      </c>
    </row>
    <row r="373" hidden="1" spans="1:19">
      <c r="A373" s="147">
        <v>45025</v>
      </c>
      <c r="B373" s="104" t="s">
        <v>31</v>
      </c>
      <c r="C373" s="145">
        <v>0</v>
      </c>
      <c r="D373" s="104">
        <v>0</v>
      </c>
      <c r="E373" s="106">
        <v>0</v>
      </c>
      <c r="F373" s="107">
        <v>0</v>
      </c>
      <c r="G373" s="106">
        <v>0</v>
      </c>
      <c r="H373" s="108">
        <v>0</v>
      </c>
      <c r="I373" s="108">
        <v>0</v>
      </c>
      <c r="J373" s="108">
        <v>0</v>
      </c>
      <c r="K373" s="108">
        <v>0</v>
      </c>
      <c r="L373" s="108">
        <v>-1</v>
      </c>
      <c r="M373" s="108">
        <v>-0.333333333333333</v>
      </c>
      <c r="N373" s="108">
        <v>-0.8</v>
      </c>
      <c r="O373" s="108">
        <v>-0.571428571428571</v>
      </c>
      <c r="P373" s="108">
        <v>0</v>
      </c>
      <c r="Q373" s="108">
        <v>0</v>
      </c>
      <c r="R373" s="108">
        <v>0</v>
      </c>
      <c r="S373" s="108">
        <v>0</v>
      </c>
    </row>
    <row r="374" hidden="1" spans="1:19">
      <c r="A374" s="147">
        <v>45025</v>
      </c>
      <c r="B374" s="104" t="s">
        <v>32</v>
      </c>
      <c r="C374" s="145">
        <v>0</v>
      </c>
      <c r="D374" s="104">
        <v>0</v>
      </c>
      <c r="E374" s="106">
        <v>0</v>
      </c>
      <c r="F374" s="107">
        <v>0</v>
      </c>
      <c r="G374" s="106">
        <v>0</v>
      </c>
      <c r="H374" s="108">
        <v>0</v>
      </c>
      <c r="I374" s="108">
        <v>0</v>
      </c>
      <c r="J374" s="108">
        <v>0</v>
      </c>
      <c r="K374" s="108">
        <v>0</v>
      </c>
      <c r="L374" s="108">
        <v>0</v>
      </c>
      <c r="M374" s="108">
        <v>0</v>
      </c>
      <c r="N374" s="108">
        <v>0</v>
      </c>
      <c r="O374" s="108">
        <v>0</v>
      </c>
      <c r="P374" s="108">
        <v>0</v>
      </c>
      <c r="Q374" s="108">
        <v>0</v>
      </c>
      <c r="R374" s="108">
        <v>0</v>
      </c>
      <c r="S374" s="108">
        <v>0</v>
      </c>
    </row>
    <row r="375" hidden="1" spans="1:19">
      <c r="A375" s="147">
        <v>45025</v>
      </c>
      <c r="B375" s="104" t="s">
        <v>33</v>
      </c>
      <c r="C375" s="145">
        <v>0</v>
      </c>
      <c r="D375" s="104">
        <v>0</v>
      </c>
      <c r="E375" s="106">
        <v>0</v>
      </c>
      <c r="F375" s="107">
        <v>0</v>
      </c>
      <c r="G375" s="106">
        <v>0</v>
      </c>
      <c r="H375" s="108">
        <v>0</v>
      </c>
      <c r="I375" s="108">
        <v>0</v>
      </c>
      <c r="J375" s="108">
        <v>0</v>
      </c>
      <c r="K375" s="108">
        <v>0</v>
      </c>
      <c r="L375" s="108">
        <v>0</v>
      </c>
      <c r="M375" s="108">
        <v>0</v>
      </c>
      <c r="N375" s="108">
        <v>0</v>
      </c>
      <c r="O375" s="108">
        <v>0</v>
      </c>
      <c r="P375" s="108">
        <v>0</v>
      </c>
      <c r="Q375" s="108">
        <v>0</v>
      </c>
      <c r="R375" s="108">
        <v>0</v>
      </c>
      <c r="S375" s="108">
        <v>0</v>
      </c>
    </row>
    <row r="376" hidden="1" spans="1:19">
      <c r="A376" s="147">
        <v>45025</v>
      </c>
      <c r="B376" s="104" t="s">
        <v>34</v>
      </c>
      <c r="C376" s="145">
        <v>0</v>
      </c>
      <c r="D376" s="104">
        <v>0</v>
      </c>
      <c r="E376" s="106">
        <v>0</v>
      </c>
      <c r="F376" s="107">
        <v>0</v>
      </c>
      <c r="G376" s="106">
        <v>0</v>
      </c>
      <c r="H376" s="108">
        <v>0</v>
      </c>
      <c r="I376" s="108">
        <v>0</v>
      </c>
      <c r="J376" s="108">
        <v>0</v>
      </c>
      <c r="K376" s="108">
        <v>0</v>
      </c>
      <c r="L376" s="108">
        <v>0</v>
      </c>
      <c r="M376" s="108">
        <v>0</v>
      </c>
      <c r="N376" s="108">
        <v>0</v>
      </c>
      <c r="O376" s="108">
        <v>0</v>
      </c>
      <c r="P376" s="108">
        <v>0</v>
      </c>
      <c r="Q376" s="108">
        <v>0</v>
      </c>
      <c r="R376" s="108">
        <v>0</v>
      </c>
      <c r="S376" s="108">
        <v>0</v>
      </c>
    </row>
    <row r="377" hidden="1" spans="1:19">
      <c r="A377" s="147">
        <v>45025</v>
      </c>
      <c r="B377" s="104" t="s">
        <v>35</v>
      </c>
      <c r="C377" s="145">
        <v>0</v>
      </c>
      <c r="D377" s="104">
        <v>0</v>
      </c>
      <c r="E377" s="106">
        <v>0</v>
      </c>
      <c r="F377" s="107">
        <v>0</v>
      </c>
      <c r="G377" s="106">
        <v>0</v>
      </c>
      <c r="H377" s="108">
        <v>0</v>
      </c>
      <c r="I377" s="108">
        <v>0</v>
      </c>
      <c r="J377" s="108">
        <v>0</v>
      </c>
      <c r="K377" s="108">
        <v>0</v>
      </c>
      <c r="L377" s="108">
        <v>0</v>
      </c>
      <c r="M377" s="108">
        <v>0</v>
      </c>
      <c r="N377" s="108">
        <v>0</v>
      </c>
      <c r="O377" s="108">
        <v>0</v>
      </c>
      <c r="P377" s="108">
        <v>0</v>
      </c>
      <c r="Q377" s="108">
        <v>0</v>
      </c>
      <c r="R377" s="108">
        <v>0</v>
      </c>
      <c r="S377" s="108">
        <v>0</v>
      </c>
    </row>
    <row r="378" hidden="1" spans="1:19">
      <c r="A378" s="147">
        <v>45025</v>
      </c>
      <c r="B378" s="104" t="s">
        <v>36</v>
      </c>
      <c r="C378" s="145">
        <v>0</v>
      </c>
      <c r="D378" s="104">
        <v>0</v>
      </c>
      <c r="E378" s="106">
        <v>0</v>
      </c>
      <c r="F378" s="107">
        <v>0</v>
      </c>
      <c r="G378" s="106">
        <v>0</v>
      </c>
      <c r="H378" s="108">
        <v>0</v>
      </c>
      <c r="I378" s="108">
        <v>0</v>
      </c>
      <c r="J378" s="108">
        <v>0</v>
      </c>
      <c r="K378" s="108">
        <v>0</v>
      </c>
      <c r="L378" s="108">
        <v>0</v>
      </c>
      <c r="M378" s="108">
        <v>0</v>
      </c>
      <c r="N378" s="108">
        <v>0</v>
      </c>
      <c r="O378" s="108">
        <v>0</v>
      </c>
      <c r="P378" s="108">
        <v>0</v>
      </c>
      <c r="Q378" s="108">
        <v>0</v>
      </c>
      <c r="R378" s="108">
        <v>0</v>
      </c>
      <c r="S378" s="108">
        <v>0</v>
      </c>
    </row>
    <row r="379" hidden="1" spans="1:19">
      <c r="A379" s="147">
        <v>45025</v>
      </c>
      <c r="B379" s="104" t="s">
        <v>37</v>
      </c>
      <c r="C379" s="145">
        <v>0</v>
      </c>
      <c r="D379" s="104">
        <v>0</v>
      </c>
      <c r="E379" s="106">
        <v>0</v>
      </c>
      <c r="F379" s="107">
        <v>0</v>
      </c>
      <c r="G379" s="106">
        <v>0</v>
      </c>
      <c r="H379" s="108">
        <v>0</v>
      </c>
      <c r="I379" s="108">
        <v>0</v>
      </c>
      <c r="J379" s="108">
        <v>0</v>
      </c>
      <c r="K379" s="108">
        <v>0</v>
      </c>
      <c r="L379" s="108">
        <v>0</v>
      </c>
      <c r="M379" s="108">
        <v>0</v>
      </c>
      <c r="N379" s="108">
        <v>0</v>
      </c>
      <c r="O379" s="108">
        <v>0</v>
      </c>
      <c r="P379" s="108">
        <v>0</v>
      </c>
      <c r="Q379" s="108">
        <v>0</v>
      </c>
      <c r="R379" s="108">
        <v>0</v>
      </c>
      <c r="S379" s="108">
        <v>0</v>
      </c>
    </row>
    <row r="380" hidden="1" spans="1:19">
      <c r="A380" s="147">
        <v>45025</v>
      </c>
      <c r="B380" s="104" t="s">
        <v>38</v>
      </c>
      <c r="C380" s="145">
        <v>0</v>
      </c>
      <c r="D380" s="104">
        <v>0</v>
      </c>
      <c r="E380" s="106">
        <v>0</v>
      </c>
      <c r="F380" s="107">
        <v>0</v>
      </c>
      <c r="G380" s="106">
        <v>0</v>
      </c>
      <c r="H380" s="108">
        <v>0</v>
      </c>
      <c r="I380" s="108">
        <v>0</v>
      </c>
      <c r="J380" s="108">
        <v>0</v>
      </c>
      <c r="K380" s="108">
        <v>0</v>
      </c>
      <c r="L380" s="108">
        <v>0</v>
      </c>
      <c r="M380" s="108">
        <v>0</v>
      </c>
      <c r="N380" s="108">
        <v>0</v>
      </c>
      <c r="O380" s="108">
        <v>0</v>
      </c>
      <c r="P380" s="108">
        <v>0</v>
      </c>
      <c r="Q380" s="108">
        <v>0</v>
      </c>
      <c r="R380" s="108">
        <v>0</v>
      </c>
      <c r="S380" s="108">
        <v>0</v>
      </c>
    </row>
    <row r="381" spans="1:19">
      <c r="A381" s="147">
        <v>45025</v>
      </c>
      <c r="B381" s="111" t="s">
        <v>39</v>
      </c>
      <c r="C381" s="112">
        <v>22261</v>
      </c>
      <c r="D381" s="112">
        <v>333</v>
      </c>
      <c r="E381" s="113">
        <v>0.0149588967252145</v>
      </c>
      <c r="F381" s="112">
        <v>116</v>
      </c>
      <c r="G381" s="113">
        <v>0.348348348348348</v>
      </c>
      <c r="H381" s="108"/>
      <c r="I381" s="108"/>
      <c r="J381" s="108"/>
      <c r="K381" s="108"/>
      <c r="L381" s="108"/>
      <c r="M381" s="108"/>
      <c r="N381" s="108"/>
      <c r="O381" s="108"/>
      <c r="P381" s="108"/>
      <c r="Q381" s="108"/>
      <c r="R381" s="108"/>
      <c r="S381" s="108"/>
    </row>
    <row r="382" spans="1:19">
      <c r="A382" s="147">
        <v>45026</v>
      </c>
      <c r="B382" s="104" t="s">
        <v>17</v>
      </c>
      <c r="C382" s="105">
        <v>167</v>
      </c>
      <c r="D382" s="104">
        <v>27</v>
      </c>
      <c r="E382" s="106">
        <v>0.161676646706587</v>
      </c>
      <c r="F382" s="107">
        <v>2</v>
      </c>
      <c r="G382" s="106">
        <v>0.0740740740740741</v>
      </c>
      <c r="H382" s="108">
        <v>11</v>
      </c>
      <c r="I382" s="108">
        <v>16</v>
      </c>
      <c r="J382" s="108">
        <v>38</v>
      </c>
      <c r="K382" s="108">
        <v>52</v>
      </c>
      <c r="L382" s="108">
        <v>-6</v>
      </c>
      <c r="M382" s="108">
        <v>-2</v>
      </c>
      <c r="N382" s="108">
        <v>-2.6</v>
      </c>
      <c r="O382" s="108">
        <v>-3.71428571428572</v>
      </c>
      <c r="P382" s="108">
        <v>-2</v>
      </c>
      <c r="Q382" s="108">
        <v>-1.33333333333333</v>
      </c>
      <c r="R382" s="108">
        <v>-1.6</v>
      </c>
      <c r="S382" s="108">
        <v>-1.85714285714286</v>
      </c>
    </row>
    <row r="383" spans="1:19">
      <c r="A383" s="147">
        <v>45026</v>
      </c>
      <c r="B383" s="104" t="s">
        <v>19</v>
      </c>
      <c r="C383" s="107">
        <v>587</v>
      </c>
      <c r="D383" s="104">
        <v>23</v>
      </c>
      <c r="E383" s="106">
        <v>0.0391822827938671</v>
      </c>
      <c r="F383" s="107">
        <v>11</v>
      </c>
      <c r="G383" s="106">
        <v>0.478260869565217</v>
      </c>
      <c r="H383" s="108">
        <v>-14</v>
      </c>
      <c r="I383" s="108">
        <v>-159</v>
      </c>
      <c r="J383" s="108">
        <v>-127.2</v>
      </c>
      <c r="K383" s="108">
        <v>-111.571428571429</v>
      </c>
      <c r="L383" s="108">
        <v>-5</v>
      </c>
      <c r="M383" s="108">
        <v>-9.66666666666666</v>
      </c>
      <c r="N383" s="108">
        <v>-6.2</v>
      </c>
      <c r="O383" s="108">
        <v>-3.57142857142857</v>
      </c>
      <c r="P383" s="108">
        <v>-2</v>
      </c>
      <c r="Q383" s="108">
        <v>1</v>
      </c>
      <c r="R383" s="108">
        <v>1</v>
      </c>
      <c r="S383" s="115">
        <v>0.428571428571429</v>
      </c>
    </row>
    <row r="384" spans="1:19">
      <c r="A384" s="147">
        <v>45026</v>
      </c>
      <c r="B384" s="104" t="s">
        <v>21</v>
      </c>
      <c r="C384" s="145">
        <v>397</v>
      </c>
      <c r="D384" s="104">
        <v>23</v>
      </c>
      <c r="E384" s="106">
        <v>0.0579345088161209</v>
      </c>
      <c r="F384" s="107">
        <v>11</v>
      </c>
      <c r="G384" s="106">
        <v>0.478260869565217</v>
      </c>
      <c r="H384" s="108">
        <v>8</v>
      </c>
      <c r="I384" s="108">
        <v>-96</v>
      </c>
      <c r="J384" s="108">
        <v>-182</v>
      </c>
      <c r="K384" s="108">
        <v>-263.285714285714</v>
      </c>
      <c r="L384" s="108">
        <v>1</v>
      </c>
      <c r="M384" s="108">
        <v>0</v>
      </c>
      <c r="N384" s="108">
        <v>-1.2</v>
      </c>
      <c r="O384" s="108">
        <v>-0.857142857142858</v>
      </c>
      <c r="P384" s="108">
        <v>0</v>
      </c>
      <c r="Q384" s="108">
        <v>2</v>
      </c>
      <c r="R384" s="108">
        <v>2</v>
      </c>
      <c r="S384" s="108">
        <v>2.14285714285714</v>
      </c>
    </row>
    <row r="385" spans="1:19">
      <c r="A385" s="147">
        <v>45026</v>
      </c>
      <c r="B385" s="104" t="s">
        <v>22</v>
      </c>
      <c r="C385" s="145">
        <v>4093</v>
      </c>
      <c r="D385" s="104">
        <v>99</v>
      </c>
      <c r="E385" s="106">
        <v>0.0241876374297581</v>
      </c>
      <c r="F385" s="107">
        <v>33</v>
      </c>
      <c r="G385" s="106">
        <v>0.333333333333333</v>
      </c>
      <c r="H385" s="108">
        <v>-379</v>
      </c>
      <c r="I385" s="108">
        <v>-346</v>
      </c>
      <c r="J385" s="108">
        <v>-545.6</v>
      </c>
      <c r="K385" s="108">
        <v>-710.428571428572</v>
      </c>
      <c r="L385" s="108">
        <v>-17</v>
      </c>
      <c r="M385" s="108">
        <v>-13</v>
      </c>
      <c r="N385" s="108">
        <v>-17</v>
      </c>
      <c r="O385" s="115">
        <v>-23.5714285714286</v>
      </c>
      <c r="P385" s="108">
        <v>-5</v>
      </c>
      <c r="Q385" s="108">
        <v>8</v>
      </c>
      <c r="R385" s="108">
        <v>0</v>
      </c>
      <c r="S385" s="117">
        <v>-2.42857142857143</v>
      </c>
    </row>
    <row r="386" spans="1:19">
      <c r="A386" s="147">
        <v>45026</v>
      </c>
      <c r="B386" s="104" t="s">
        <v>23</v>
      </c>
      <c r="C386" s="145">
        <v>2469</v>
      </c>
      <c r="D386" s="104">
        <v>34</v>
      </c>
      <c r="E386" s="106">
        <v>0.0137707573916565</v>
      </c>
      <c r="F386" s="107">
        <v>13</v>
      </c>
      <c r="G386" s="106">
        <v>0.382352941176471</v>
      </c>
      <c r="H386" s="108">
        <v>-197</v>
      </c>
      <c r="I386" s="108">
        <v>-333</v>
      </c>
      <c r="J386" s="108">
        <v>-488.8</v>
      </c>
      <c r="K386" s="108">
        <v>-622</v>
      </c>
      <c r="L386" s="108">
        <v>3</v>
      </c>
      <c r="M386" s="108">
        <v>3.33333333333333</v>
      </c>
      <c r="N386" s="108">
        <v>-0.200000000000003</v>
      </c>
      <c r="O386" s="108">
        <v>-4</v>
      </c>
      <c r="P386" s="108">
        <v>5</v>
      </c>
      <c r="Q386" s="116">
        <v>1.66666666666667</v>
      </c>
      <c r="R386" s="108">
        <v>2</v>
      </c>
      <c r="S386" s="108">
        <v>-0.857142857142858</v>
      </c>
    </row>
    <row r="387" spans="1:19">
      <c r="A387" s="147">
        <v>45026</v>
      </c>
      <c r="B387" s="104" t="s">
        <v>24</v>
      </c>
      <c r="C387" s="145">
        <v>506</v>
      </c>
      <c r="D387" s="104">
        <v>6</v>
      </c>
      <c r="E387" s="106">
        <v>0.0118577075098814</v>
      </c>
      <c r="F387" s="107">
        <v>3</v>
      </c>
      <c r="G387" s="106">
        <v>0.5</v>
      </c>
      <c r="H387" s="108">
        <v>51</v>
      </c>
      <c r="I387" s="108">
        <v>43</v>
      </c>
      <c r="J387" s="108">
        <v>-40.2</v>
      </c>
      <c r="K387" s="108">
        <v>-39.5714285714286</v>
      </c>
      <c r="L387" s="115">
        <v>1</v>
      </c>
      <c r="M387" s="115">
        <v>-0.333333333333333</v>
      </c>
      <c r="N387" s="117">
        <v>0</v>
      </c>
      <c r="O387" s="117">
        <v>-0.285714285714286</v>
      </c>
      <c r="P387" s="115">
        <v>3</v>
      </c>
      <c r="Q387" s="115">
        <v>1.33333333333333</v>
      </c>
      <c r="R387" s="115">
        <v>1.6</v>
      </c>
      <c r="S387" s="115">
        <v>1.71428571428571</v>
      </c>
    </row>
    <row r="388" spans="1:19">
      <c r="A388" s="147">
        <v>45026</v>
      </c>
      <c r="B388" s="104" t="s">
        <v>25</v>
      </c>
      <c r="C388" s="145">
        <v>3520</v>
      </c>
      <c r="D388" s="104">
        <v>27</v>
      </c>
      <c r="E388" s="106">
        <v>0.00767045454545455</v>
      </c>
      <c r="F388" s="107">
        <v>10</v>
      </c>
      <c r="G388" s="106">
        <v>0.37037037037037</v>
      </c>
      <c r="H388" s="108">
        <v>-7627</v>
      </c>
      <c r="I388" s="108">
        <v>-9184</v>
      </c>
      <c r="J388" s="108">
        <v>-10706.4</v>
      </c>
      <c r="K388" s="108">
        <v>-9497.28571428571</v>
      </c>
      <c r="L388" s="116">
        <v>-11</v>
      </c>
      <c r="M388" s="115">
        <v>-16.3333333333333</v>
      </c>
      <c r="N388" s="115">
        <v>-17.6</v>
      </c>
      <c r="O388" s="115">
        <v>-19.1428571428571</v>
      </c>
      <c r="P388" s="108">
        <v>-8</v>
      </c>
      <c r="Q388" s="108">
        <v>-20.6666666666667</v>
      </c>
      <c r="R388" s="108">
        <v>-17.2</v>
      </c>
      <c r="S388" s="108">
        <v>-14.7142857142857</v>
      </c>
    </row>
    <row r="389" spans="1:19">
      <c r="A389" s="147">
        <v>45026</v>
      </c>
      <c r="B389" s="104" t="s">
        <v>26</v>
      </c>
      <c r="C389" s="145">
        <v>2044</v>
      </c>
      <c r="D389" s="104">
        <v>45</v>
      </c>
      <c r="E389" s="106">
        <v>0.0220156555772994</v>
      </c>
      <c r="F389" s="107">
        <v>18</v>
      </c>
      <c r="G389" s="106">
        <v>0.4</v>
      </c>
      <c r="H389" s="108">
        <v>-278</v>
      </c>
      <c r="I389" s="108">
        <v>133.333333333333</v>
      </c>
      <c r="J389" s="108">
        <v>329.2</v>
      </c>
      <c r="K389" s="108">
        <v>263.857142857143</v>
      </c>
      <c r="L389" s="108">
        <v>-11</v>
      </c>
      <c r="M389" s="108">
        <v>-20.3333333333333</v>
      </c>
      <c r="N389" s="108">
        <v>-25.4</v>
      </c>
      <c r="O389" s="108">
        <v>-32.7142857142857</v>
      </c>
      <c r="P389" s="108">
        <v>-4</v>
      </c>
      <c r="Q389" s="108">
        <v>-7</v>
      </c>
      <c r="R389" s="108">
        <v>-4.8</v>
      </c>
      <c r="S389" s="108">
        <v>-4.71428571428572</v>
      </c>
    </row>
    <row r="390" spans="1:19">
      <c r="A390" s="147">
        <v>45026</v>
      </c>
      <c r="B390" s="104" t="s">
        <v>27</v>
      </c>
      <c r="C390" s="145">
        <v>52</v>
      </c>
      <c r="D390" s="104">
        <v>3</v>
      </c>
      <c r="E390" s="106">
        <v>0.0576923076923077</v>
      </c>
      <c r="F390" s="107">
        <v>2</v>
      </c>
      <c r="G390" s="106">
        <v>0.666666666666667</v>
      </c>
      <c r="H390" s="108">
        <v>-1</v>
      </c>
      <c r="I390" s="108">
        <v>-12.6666666666667</v>
      </c>
      <c r="J390" s="108">
        <v>-5.8</v>
      </c>
      <c r="K390" s="108">
        <v>-1.71428571428572</v>
      </c>
      <c r="L390" s="108">
        <v>-1</v>
      </c>
      <c r="M390" s="108">
        <v>-2</v>
      </c>
      <c r="N390" s="108">
        <v>-0.8</v>
      </c>
      <c r="O390" s="108">
        <v>-0.142857142857143</v>
      </c>
      <c r="P390" s="108">
        <v>0</v>
      </c>
      <c r="Q390" s="108">
        <v>1</v>
      </c>
      <c r="R390" s="108">
        <v>1.2</v>
      </c>
      <c r="S390" s="108">
        <v>1.14285714285714</v>
      </c>
    </row>
    <row r="391" spans="1:19">
      <c r="A391" s="147">
        <v>45026</v>
      </c>
      <c r="B391" s="104" t="s">
        <v>28</v>
      </c>
      <c r="C391" s="145">
        <v>0</v>
      </c>
      <c r="D391" s="104">
        <v>0</v>
      </c>
      <c r="E391" s="106">
        <v>0</v>
      </c>
      <c r="F391" s="107">
        <v>0</v>
      </c>
      <c r="G391" s="106">
        <v>0</v>
      </c>
      <c r="H391" s="108">
        <v>0</v>
      </c>
      <c r="I391" s="108">
        <v>0</v>
      </c>
      <c r="J391" s="108">
        <v>0</v>
      </c>
      <c r="K391" s="108">
        <v>0</v>
      </c>
      <c r="L391" s="108">
        <v>0</v>
      </c>
      <c r="M391" s="108">
        <v>0</v>
      </c>
      <c r="N391" s="108">
        <v>0</v>
      </c>
      <c r="O391" s="108">
        <v>0</v>
      </c>
      <c r="P391" s="108">
        <v>0</v>
      </c>
      <c r="Q391" s="108">
        <v>0</v>
      </c>
      <c r="R391" s="108">
        <v>0</v>
      </c>
      <c r="S391" s="108">
        <v>0</v>
      </c>
    </row>
    <row r="392" spans="1:19">
      <c r="A392" s="147">
        <v>45026</v>
      </c>
      <c r="B392" s="104" t="s">
        <v>29</v>
      </c>
      <c r="C392" s="145">
        <v>1</v>
      </c>
      <c r="D392" s="104">
        <v>1</v>
      </c>
      <c r="E392" s="106">
        <v>1</v>
      </c>
      <c r="F392" s="107">
        <v>0</v>
      </c>
      <c r="G392" s="106">
        <v>0</v>
      </c>
      <c r="H392" s="108">
        <v>1</v>
      </c>
      <c r="I392" s="108">
        <v>0.666666666666667</v>
      </c>
      <c r="J392" s="108">
        <v>0.2</v>
      </c>
      <c r="K392" s="108">
        <v>-1</v>
      </c>
      <c r="L392" s="108">
        <v>1</v>
      </c>
      <c r="M392" s="108">
        <v>0.666666666666667</v>
      </c>
      <c r="N392" s="108">
        <v>0.8</v>
      </c>
      <c r="O392" s="108">
        <v>0.857142857142857</v>
      </c>
      <c r="P392" s="108">
        <v>0</v>
      </c>
      <c r="Q392" s="108">
        <v>-0.333333333333333</v>
      </c>
      <c r="R392" s="108">
        <v>-0.2</v>
      </c>
      <c r="S392" s="108">
        <v>-0.142857142857143</v>
      </c>
    </row>
    <row r="393" spans="1:19">
      <c r="A393" s="147">
        <v>45026</v>
      </c>
      <c r="B393" s="104" t="s">
        <v>30</v>
      </c>
      <c r="C393" s="145">
        <v>0</v>
      </c>
      <c r="D393" s="104">
        <v>0</v>
      </c>
      <c r="E393" s="106">
        <v>0</v>
      </c>
      <c r="F393" s="107">
        <v>0</v>
      </c>
      <c r="G393" s="106">
        <v>0</v>
      </c>
      <c r="H393" s="108">
        <v>0</v>
      </c>
      <c r="I393" s="108">
        <v>0</v>
      </c>
      <c r="J393" s="108">
        <v>0</v>
      </c>
      <c r="K393" s="108">
        <v>0</v>
      </c>
      <c r="L393" s="108">
        <v>0</v>
      </c>
      <c r="M393" s="108">
        <v>0</v>
      </c>
      <c r="N393" s="108">
        <v>0</v>
      </c>
      <c r="O393" s="108">
        <v>0</v>
      </c>
      <c r="P393" s="108">
        <v>0</v>
      </c>
      <c r="Q393" s="108">
        <v>0</v>
      </c>
      <c r="R393" s="108">
        <v>0</v>
      </c>
      <c r="S393" s="108">
        <v>0</v>
      </c>
    </row>
    <row r="394" spans="1:19">
      <c r="A394" s="147">
        <v>45026</v>
      </c>
      <c r="B394" s="104" t="s">
        <v>31</v>
      </c>
      <c r="C394" s="145">
        <v>0</v>
      </c>
      <c r="D394" s="104">
        <v>0</v>
      </c>
      <c r="E394" s="106">
        <v>0</v>
      </c>
      <c r="F394" s="107">
        <v>0</v>
      </c>
      <c r="G394" s="106">
        <v>0</v>
      </c>
      <c r="H394" s="108">
        <v>0</v>
      </c>
      <c r="I394" s="108">
        <v>0</v>
      </c>
      <c r="J394" s="108">
        <v>0</v>
      </c>
      <c r="K394" s="108">
        <v>0</v>
      </c>
      <c r="L394" s="108">
        <v>0</v>
      </c>
      <c r="M394" s="108">
        <v>-0.333333333333333</v>
      </c>
      <c r="N394" s="108">
        <v>-0.6</v>
      </c>
      <c r="O394" s="108">
        <v>-0.571428571428571</v>
      </c>
      <c r="P394" s="108">
        <v>0</v>
      </c>
      <c r="Q394" s="108">
        <v>0</v>
      </c>
      <c r="R394" s="108">
        <v>0</v>
      </c>
      <c r="S394" s="108">
        <v>0</v>
      </c>
    </row>
    <row r="395" spans="1:19">
      <c r="A395" s="147">
        <v>45026</v>
      </c>
      <c r="B395" s="104" t="s">
        <v>32</v>
      </c>
      <c r="C395" s="145">
        <v>0</v>
      </c>
      <c r="D395" s="104">
        <v>0</v>
      </c>
      <c r="E395" s="106">
        <v>0</v>
      </c>
      <c r="F395" s="107">
        <v>0</v>
      </c>
      <c r="G395" s="106">
        <v>0</v>
      </c>
      <c r="H395" s="108">
        <v>0</v>
      </c>
      <c r="I395" s="108">
        <v>0</v>
      </c>
      <c r="J395" s="108">
        <v>0</v>
      </c>
      <c r="K395" s="108">
        <v>0</v>
      </c>
      <c r="L395" s="108">
        <v>0</v>
      </c>
      <c r="M395" s="108">
        <v>0</v>
      </c>
      <c r="N395" s="108">
        <v>0</v>
      </c>
      <c r="O395" s="108">
        <v>0</v>
      </c>
      <c r="P395" s="108">
        <v>0</v>
      </c>
      <c r="Q395" s="108">
        <v>0</v>
      </c>
      <c r="R395" s="108">
        <v>0</v>
      </c>
      <c r="S395" s="108">
        <v>0</v>
      </c>
    </row>
    <row r="396" spans="1:19">
      <c r="A396" s="147">
        <v>45026</v>
      </c>
      <c r="B396" s="104" t="s">
        <v>33</v>
      </c>
      <c r="C396" s="145">
        <v>0</v>
      </c>
      <c r="D396" s="104">
        <v>0</v>
      </c>
      <c r="E396" s="106">
        <v>0</v>
      </c>
      <c r="F396" s="107">
        <v>0</v>
      </c>
      <c r="G396" s="106">
        <v>0</v>
      </c>
      <c r="H396" s="108">
        <v>0</v>
      </c>
      <c r="I396" s="108">
        <v>0</v>
      </c>
      <c r="J396" s="108">
        <v>0</v>
      </c>
      <c r="K396" s="108">
        <v>0</v>
      </c>
      <c r="L396" s="108">
        <v>0</v>
      </c>
      <c r="M396" s="108">
        <v>0</v>
      </c>
      <c r="N396" s="108">
        <v>0</v>
      </c>
      <c r="O396" s="108">
        <v>0</v>
      </c>
      <c r="P396" s="108">
        <v>0</v>
      </c>
      <c r="Q396" s="108">
        <v>0</v>
      </c>
      <c r="R396" s="108">
        <v>0</v>
      </c>
      <c r="S396" s="108">
        <v>0</v>
      </c>
    </row>
    <row r="397" spans="1:19">
      <c r="A397" s="147">
        <v>45026</v>
      </c>
      <c r="B397" s="104" t="s">
        <v>34</v>
      </c>
      <c r="C397" s="145">
        <v>0</v>
      </c>
      <c r="D397" s="104">
        <v>0</v>
      </c>
      <c r="E397" s="106">
        <v>0</v>
      </c>
      <c r="F397" s="107">
        <v>0</v>
      </c>
      <c r="G397" s="106">
        <v>0</v>
      </c>
      <c r="H397" s="108">
        <v>0</v>
      </c>
      <c r="I397" s="108">
        <v>0</v>
      </c>
      <c r="J397" s="108">
        <v>0</v>
      </c>
      <c r="K397" s="108">
        <v>0</v>
      </c>
      <c r="L397" s="108">
        <v>0</v>
      </c>
      <c r="M397" s="108">
        <v>0</v>
      </c>
      <c r="N397" s="108">
        <v>0</v>
      </c>
      <c r="O397" s="108">
        <v>0</v>
      </c>
      <c r="P397" s="108">
        <v>0</v>
      </c>
      <c r="Q397" s="108">
        <v>0</v>
      </c>
      <c r="R397" s="108">
        <v>0</v>
      </c>
      <c r="S397" s="108">
        <v>0</v>
      </c>
    </row>
    <row r="398" spans="1:19">
      <c r="A398" s="147">
        <v>45026</v>
      </c>
      <c r="B398" s="104" t="s">
        <v>35</v>
      </c>
      <c r="C398" s="145">
        <v>0</v>
      </c>
      <c r="D398" s="104">
        <v>0</v>
      </c>
      <c r="E398" s="106">
        <v>0</v>
      </c>
      <c r="F398" s="107">
        <v>0</v>
      </c>
      <c r="G398" s="106">
        <v>0</v>
      </c>
      <c r="H398" s="108">
        <v>0</v>
      </c>
      <c r="I398" s="108">
        <v>0</v>
      </c>
      <c r="J398" s="108">
        <v>0</v>
      </c>
      <c r="K398" s="108">
        <v>0</v>
      </c>
      <c r="L398" s="108">
        <v>0</v>
      </c>
      <c r="M398" s="108">
        <v>0</v>
      </c>
      <c r="N398" s="108">
        <v>0</v>
      </c>
      <c r="O398" s="108">
        <v>0</v>
      </c>
      <c r="P398" s="108">
        <v>0</v>
      </c>
      <c r="Q398" s="108">
        <v>0</v>
      </c>
      <c r="R398" s="108">
        <v>0</v>
      </c>
      <c r="S398" s="108">
        <v>0</v>
      </c>
    </row>
    <row r="399" spans="1:19">
      <c r="A399" s="147">
        <v>45026</v>
      </c>
      <c r="B399" s="104" t="s">
        <v>36</v>
      </c>
      <c r="C399" s="145">
        <v>0</v>
      </c>
      <c r="D399" s="104">
        <v>0</v>
      </c>
      <c r="E399" s="106">
        <v>0</v>
      </c>
      <c r="F399" s="107">
        <v>0</v>
      </c>
      <c r="G399" s="106">
        <v>0</v>
      </c>
      <c r="H399" s="108">
        <v>0</v>
      </c>
      <c r="I399" s="108">
        <v>0</v>
      </c>
      <c r="J399" s="108">
        <v>0</v>
      </c>
      <c r="K399" s="108">
        <v>0</v>
      </c>
      <c r="L399" s="108">
        <v>0</v>
      </c>
      <c r="M399" s="108">
        <v>0</v>
      </c>
      <c r="N399" s="108">
        <v>0</v>
      </c>
      <c r="O399" s="108">
        <v>0</v>
      </c>
      <c r="P399" s="108">
        <v>0</v>
      </c>
      <c r="Q399" s="108">
        <v>0</v>
      </c>
      <c r="R399" s="108">
        <v>0</v>
      </c>
      <c r="S399" s="108">
        <v>0</v>
      </c>
    </row>
    <row r="400" spans="1:19">
      <c r="A400" s="147">
        <v>45026</v>
      </c>
      <c r="B400" s="104" t="s">
        <v>37</v>
      </c>
      <c r="C400" s="145">
        <v>0</v>
      </c>
      <c r="D400" s="104">
        <v>0</v>
      </c>
      <c r="E400" s="106">
        <v>0</v>
      </c>
      <c r="F400" s="107">
        <v>0</v>
      </c>
      <c r="G400" s="106">
        <v>0</v>
      </c>
      <c r="H400" s="108">
        <v>0</v>
      </c>
      <c r="I400" s="108">
        <v>0</v>
      </c>
      <c r="J400" s="108">
        <v>0</v>
      </c>
      <c r="K400" s="108">
        <v>0</v>
      </c>
      <c r="L400" s="108">
        <v>0</v>
      </c>
      <c r="M400" s="108">
        <v>0</v>
      </c>
      <c r="N400" s="108">
        <v>0</v>
      </c>
      <c r="O400" s="108">
        <v>0</v>
      </c>
      <c r="P400" s="108">
        <v>0</v>
      </c>
      <c r="Q400" s="108">
        <v>0</v>
      </c>
      <c r="R400" s="108">
        <v>0</v>
      </c>
      <c r="S400" s="108">
        <v>0</v>
      </c>
    </row>
    <row r="401" spans="1:19">
      <c r="A401" s="147">
        <v>45026</v>
      </c>
      <c r="B401" s="104" t="s">
        <v>38</v>
      </c>
      <c r="C401" s="145">
        <v>0</v>
      </c>
      <c r="D401" s="104">
        <v>0</v>
      </c>
      <c r="E401" s="106">
        <v>0</v>
      </c>
      <c r="F401" s="107">
        <v>0</v>
      </c>
      <c r="G401" s="106">
        <v>0</v>
      </c>
      <c r="H401" s="108">
        <v>0</v>
      </c>
      <c r="I401" s="108">
        <v>0</v>
      </c>
      <c r="J401" s="108">
        <v>0</v>
      </c>
      <c r="K401" s="108">
        <v>0</v>
      </c>
      <c r="L401" s="108">
        <v>0</v>
      </c>
      <c r="M401" s="108">
        <v>0</v>
      </c>
      <c r="N401" s="108">
        <v>0</v>
      </c>
      <c r="O401" s="108">
        <v>0</v>
      </c>
      <c r="P401" s="108">
        <v>0</v>
      </c>
      <c r="Q401" s="108">
        <v>0</v>
      </c>
      <c r="R401" s="108">
        <v>0</v>
      </c>
      <c r="S401" s="108">
        <v>0</v>
      </c>
    </row>
    <row r="402" spans="1:19">
      <c r="A402" s="147">
        <v>45026</v>
      </c>
      <c r="B402" s="111" t="s">
        <v>39</v>
      </c>
      <c r="C402" s="112">
        <v>13836</v>
      </c>
      <c r="D402" s="112">
        <v>288</v>
      </c>
      <c r="E402" s="113">
        <v>0.02081526452732</v>
      </c>
      <c r="F402" s="112">
        <v>103</v>
      </c>
      <c r="G402" s="113">
        <v>0.357638888888889</v>
      </c>
      <c r="H402" s="108"/>
      <c r="I402" s="108"/>
      <c r="J402" s="108"/>
      <c r="K402" s="108"/>
      <c r="L402" s="108"/>
      <c r="M402" s="108"/>
      <c r="N402" s="108"/>
      <c r="O402" s="108"/>
      <c r="P402" s="108"/>
      <c r="Q402" s="108"/>
      <c r="R402" s="108"/>
      <c r="S402" s="108"/>
    </row>
    <row r="403" spans="1:19">
      <c r="A403" s="143">
        <v>45027</v>
      </c>
      <c r="B403" s="104" t="s">
        <v>17</v>
      </c>
      <c r="C403" s="105">
        <v>216</v>
      </c>
      <c r="D403" s="104">
        <v>15</v>
      </c>
      <c r="E403" s="106">
        <v>0.0694444444444444</v>
      </c>
      <c r="F403" s="107">
        <v>3</v>
      </c>
      <c r="G403" s="106">
        <v>0.2</v>
      </c>
      <c r="H403" s="108">
        <v>49</v>
      </c>
      <c r="I403" s="108">
        <v>48</v>
      </c>
      <c r="J403" s="108">
        <v>72.8</v>
      </c>
      <c r="K403" s="108">
        <v>87.4285714285714</v>
      </c>
      <c r="L403" s="108">
        <v>-12</v>
      </c>
      <c r="M403" s="108">
        <v>-14.3333333333333</v>
      </c>
      <c r="N403" s="108">
        <v>-12</v>
      </c>
      <c r="O403" s="108">
        <v>-14.1428571428571</v>
      </c>
      <c r="P403" s="108">
        <v>1</v>
      </c>
      <c r="Q403" s="108">
        <v>0.666666666666667</v>
      </c>
      <c r="R403" s="108">
        <v>0.2</v>
      </c>
      <c r="S403" s="108">
        <v>-0.285714285714286</v>
      </c>
    </row>
    <row r="404" spans="1:19">
      <c r="A404" s="143">
        <v>45027</v>
      </c>
      <c r="B404" s="104" t="s">
        <v>19</v>
      </c>
      <c r="C404" s="107">
        <v>538</v>
      </c>
      <c r="D404" s="104">
        <v>20</v>
      </c>
      <c r="E404" s="106">
        <v>0.0371747211895911</v>
      </c>
      <c r="F404" s="107">
        <v>14</v>
      </c>
      <c r="G404" s="106">
        <v>0.7</v>
      </c>
      <c r="H404" s="108">
        <v>-49</v>
      </c>
      <c r="I404" s="108">
        <v>-149</v>
      </c>
      <c r="J404" s="108">
        <v>-159.2</v>
      </c>
      <c r="K404" s="108">
        <v>-149.142857142857</v>
      </c>
      <c r="L404" s="108">
        <v>-3</v>
      </c>
      <c r="M404" s="108">
        <v>-10</v>
      </c>
      <c r="N404" s="108">
        <v>-9.4</v>
      </c>
      <c r="O404" s="108">
        <v>-6.71428571428572</v>
      </c>
      <c r="P404" s="108">
        <v>3</v>
      </c>
      <c r="Q404" s="108">
        <v>3.33333333333333</v>
      </c>
      <c r="R404" s="108">
        <v>4</v>
      </c>
      <c r="S404" s="115">
        <v>3.85714285714286</v>
      </c>
    </row>
    <row r="405" spans="1:19">
      <c r="A405" s="143">
        <v>45027</v>
      </c>
      <c r="B405" s="104" t="s">
        <v>21</v>
      </c>
      <c r="C405" s="145">
        <v>452</v>
      </c>
      <c r="D405" s="104">
        <v>28</v>
      </c>
      <c r="E405" s="106">
        <v>0.0619469026548673</v>
      </c>
      <c r="F405" s="107">
        <v>8</v>
      </c>
      <c r="G405" s="106">
        <v>0.285714285714286</v>
      </c>
      <c r="H405" s="108">
        <v>55</v>
      </c>
      <c r="I405" s="108">
        <v>35</v>
      </c>
      <c r="J405" s="108">
        <v>-53.6</v>
      </c>
      <c r="K405" s="108">
        <v>-122</v>
      </c>
      <c r="L405" s="108">
        <v>5</v>
      </c>
      <c r="M405" s="108">
        <v>5</v>
      </c>
      <c r="N405" s="108">
        <v>5</v>
      </c>
      <c r="O405" s="108">
        <v>3.85714285714286</v>
      </c>
      <c r="P405" s="108">
        <v>-3</v>
      </c>
      <c r="Q405" s="108">
        <v>-1.66666666666667</v>
      </c>
      <c r="R405" s="108">
        <v>-1.4</v>
      </c>
      <c r="S405" s="108">
        <v>-1.28571428571429</v>
      </c>
    </row>
    <row r="406" spans="1:19">
      <c r="A406" s="143">
        <v>45027</v>
      </c>
      <c r="B406" s="104" t="s">
        <v>22</v>
      </c>
      <c r="C406" s="145">
        <v>4230</v>
      </c>
      <c r="D406" s="104">
        <v>97</v>
      </c>
      <c r="E406" s="106">
        <v>0.0229314420803782</v>
      </c>
      <c r="F406" s="107">
        <v>28</v>
      </c>
      <c r="G406" s="106">
        <v>0.288659793814433</v>
      </c>
      <c r="H406" s="108">
        <v>137</v>
      </c>
      <c r="I406" s="108">
        <v>-172.666666666667</v>
      </c>
      <c r="J406" s="108">
        <v>-207.4</v>
      </c>
      <c r="K406" s="108">
        <v>-404.571428571428</v>
      </c>
      <c r="L406" s="108">
        <v>-2</v>
      </c>
      <c r="M406" s="108">
        <v>-13.3333333333333</v>
      </c>
      <c r="N406" s="108">
        <v>-13.2</v>
      </c>
      <c r="O406" s="115">
        <v>-21</v>
      </c>
      <c r="P406" s="108">
        <v>-5</v>
      </c>
      <c r="Q406" s="108">
        <v>0</v>
      </c>
      <c r="R406" s="108">
        <v>-1.4</v>
      </c>
      <c r="S406" s="117">
        <v>-6.57142857142857</v>
      </c>
    </row>
    <row r="407" spans="1:19">
      <c r="A407" s="143">
        <v>45027</v>
      </c>
      <c r="B407" s="104" t="s">
        <v>23</v>
      </c>
      <c r="C407" s="145">
        <v>2470</v>
      </c>
      <c r="D407" s="104">
        <v>33</v>
      </c>
      <c r="E407" s="106">
        <v>0.0133603238866397</v>
      </c>
      <c r="F407" s="107">
        <v>13</v>
      </c>
      <c r="G407" s="106">
        <v>0.393939393939394</v>
      </c>
      <c r="H407" s="108">
        <v>1</v>
      </c>
      <c r="I407" s="108">
        <v>-206.666666666667</v>
      </c>
      <c r="J407" s="108">
        <v>-311.2</v>
      </c>
      <c r="K407" s="108">
        <v>-484.571428571428</v>
      </c>
      <c r="L407" s="108">
        <v>-1</v>
      </c>
      <c r="M407" s="108">
        <v>-1.33333333333334</v>
      </c>
      <c r="N407" s="108">
        <v>-1.2</v>
      </c>
      <c r="O407" s="108">
        <v>-2.57142857142857</v>
      </c>
      <c r="P407" s="108">
        <v>0</v>
      </c>
      <c r="Q407" s="116">
        <v>1.33333333333333</v>
      </c>
      <c r="R407" s="108">
        <v>1.8</v>
      </c>
      <c r="S407" s="108">
        <v>0.571428571428571</v>
      </c>
    </row>
    <row r="408" spans="1:19">
      <c r="A408" s="143">
        <v>45027</v>
      </c>
      <c r="B408" s="104" t="s">
        <v>24</v>
      </c>
      <c r="C408" s="145">
        <v>418</v>
      </c>
      <c r="D408" s="104">
        <v>9</v>
      </c>
      <c r="E408" s="106">
        <v>0.0215311004784689</v>
      </c>
      <c r="F408" s="107">
        <v>0</v>
      </c>
      <c r="G408" s="106">
        <v>0</v>
      </c>
      <c r="H408" s="108">
        <v>-88</v>
      </c>
      <c r="I408" s="108">
        <v>-61.6666666666667</v>
      </c>
      <c r="J408" s="108">
        <v>-120.6</v>
      </c>
      <c r="K408" s="108">
        <v>-125.714285714286</v>
      </c>
      <c r="L408" s="115">
        <v>3</v>
      </c>
      <c r="M408" s="115">
        <v>3</v>
      </c>
      <c r="N408" s="117">
        <v>2.8</v>
      </c>
      <c r="O408" s="117">
        <v>2.85714285714286</v>
      </c>
      <c r="P408" s="115">
        <v>-3</v>
      </c>
      <c r="Q408" s="115">
        <v>-2</v>
      </c>
      <c r="R408" s="115">
        <v>-1.8</v>
      </c>
      <c r="S408" s="115">
        <v>-1.57142857142857</v>
      </c>
    </row>
    <row r="409" spans="1:19">
      <c r="A409" s="143">
        <v>45027</v>
      </c>
      <c r="B409" s="104" t="s">
        <v>25</v>
      </c>
      <c r="C409" s="145">
        <v>3012</v>
      </c>
      <c r="D409" s="104">
        <v>34</v>
      </c>
      <c r="E409" s="106">
        <v>0.0112881806108898</v>
      </c>
      <c r="F409" s="107">
        <v>11</v>
      </c>
      <c r="G409" s="106">
        <v>0.323529411764706</v>
      </c>
      <c r="H409" s="108">
        <v>-508</v>
      </c>
      <c r="I409" s="108">
        <v>-5817.33333333333</v>
      </c>
      <c r="J409" s="108">
        <v>-8961.2</v>
      </c>
      <c r="K409" s="108">
        <v>-8912.71428571429</v>
      </c>
      <c r="L409" s="116">
        <v>7</v>
      </c>
      <c r="M409" s="115">
        <v>-4.33333333333334</v>
      </c>
      <c r="N409" s="115">
        <v>-6.4</v>
      </c>
      <c r="O409" s="115">
        <v>-7.85714285714285</v>
      </c>
      <c r="P409" s="108">
        <v>1</v>
      </c>
      <c r="Q409" s="108">
        <v>-17.6666666666667</v>
      </c>
      <c r="R409" s="108">
        <v>-12.8</v>
      </c>
      <c r="S409" s="108">
        <v>-12.1428571428571</v>
      </c>
    </row>
    <row r="410" spans="1:19">
      <c r="A410" s="143">
        <v>45027</v>
      </c>
      <c r="B410" s="104" t="s">
        <v>26</v>
      </c>
      <c r="C410" s="145">
        <v>1686</v>
      </c>
      <c r="D410" s="104">
        <v>43</v>
      </c>
      <c r="E410" s="106">
        <v>0.0255041518386714</v>
      </c>
      <c r="F410" s="107">
        <v>11</v>
      </c>
      <c r="G410" s="106">
        <v>0.255813953488372</v>
      </c>
      <c r="H410" s="108">
        <v>-358</v>
      </c>
      <c r="I410" s="108">
        <v>-427.666666666667</v>
      </c>
      <c r="J410" s="108">
        <v>-191.2</v>
      </c>
      <c r="K410" s="108">
        <v>-84.2857142857142</v>
      </c>
      <c r="L410" s="108">
        <v>-2</v>
      </c>
      <c r="M410" s="108">
        <v>-15</v>
      </c>
      <c r="N410" s="108">
        <v>-20.8</v>
      </c>
      <c r="O410" s="108">
        <v>-27.1428571428571</v>
      </c>
      <c r="P410" s="108">
        <v>-7</v>
      </c>
      <c r="Q410" s="108">
        <v>-13.6666666666667</v>
      </c>
      <c r="R410" s="108">
        <v>-11.6</v>
      </c>
      <c r="S410" s="108">
        <v>-11.5714285714286</v>
      </c>
    </row>
    <row r="411" spans="1:19">
      <c r="A411" s="143">
        <v>45027</v>
      </c>
      <c r="B411" s="104" t="s">
        <v>27</v>
      </c>
      <c r="C411" s="145">
        <v>97</v>
      </c>
      <c r="D411" s="104">
        <v>3</v>
      </c>
      <c r="E411" s="106">
        <v>0.0309278350515464</v>
      </c>
      <c r="F411" s="107">
        <v>1</v>
      </c>
      <c r="G411" s="106">
        <v>0.333333333333333</v>
      </c>
      <c r="H411" s="108">
        <v>45</v>
      </c>
      <c r="I411" s="108">
        <v>35.3333333333333</v>
      </c>
      <c r="J411" s="108">
        <v>39.6</v>
      </c>
      <c r="K411" s="108">
        <v>41.2857142857143</v>
      </c>
      <c r="L411" s="108">
        <v>0</v>
      </c>
      <c r="M411" s="108">
        <v>-2</v>
      </c>
      <c r="N411" s="108">
        <v>-1.2</v>
      </c>
      <c r="O411" s="108">
        <v>-0.142857142857143</v>
      </c>
      <c r="P411" s="108">
        <v>-1</v>
      </c>
      <c r="Q411" s="108">
        <v>-0.333333333333333</v>
      </c>
      <c r="R411" s="108">
        <v>-0.2</v>
      </c>
      <c r="S411" s="108">
        <v>-0.142857142857143</v>
      </c>
    </row>
    <row r="412" spans="1:19">
      <c r="A412" s="143">
        <v>45027</v>
      </c>
      <c r="B412" s="104" t="s">
        <v>28</v>
      </c>
      <c r="C412" s="145">
        <v>0</v>
      </c>
      <c r="D412" s="104">
        <v>1</v>
      </c>
      <c r="E412" s="106">
        <v>1</v>
      </c>
      <c r="F412" s="107">
        <v>0</v>
      </c>
      <c r="G412" s="106">
        <v>0</v>
      </c>
      <c r="H412" s="108">
        <v>0</v>
      </c>
      <c r="I412" s="108">
        <v>0</v>
      </c>
      <c r="J412" s="108">
        <v>0</v>
      </c>
      <c r="K412" s="108">
        <v>0</v>
      </c>
      <c r="L412" s="108">
        <v>1</v>
      </c>
      <c r="M412" s="108">
        <v>1</v>
      </c>
      <c r="N412" s="108">
        <v>1</v>
      </c>
      <c r="O412" s="108">
        <v>1</v>
      </c>
      <c r="P412" s="108">
        <v>0</v>
      </c>
      <c r="Q412" s="108">
        <v>0</v>
      </c>
      <c r="R412" s="108">
        <v>0</v>
      </c>
      <c r="S412" s="108">
        <v>0</v>
      </c>
    </row>
    <row r="413" spans="1:19">
      <c r="A413" s="143">
        <v>45027</v>
      </c>
      <c r="B413" s="104" t="s">
        <v>29</v>
      </c>
      <c r="C413" s="145">
        <v>1</v>
      </c>
      <c r="D413" s="104">
        <v>1</v>
      </c>
      <c r="E413" s="106">
        <v>1</v>
      </c>
      <c r="F413" s="107">
        <v>0</v>
      </c>
      <c r="G413" s="106">
        <v>0</v>
      </c>
      <c r="H413" s="108">
        <v>0</v>
      </c>
      <c r="I413" s="108">
        <v>0.666666666666667</v>
      </c>
      <c r="J413" s="108">
        <v>0.2</v>
      </c>
      <c r="K413" s="108">
        <v>-0.571428571428571</v>
      </c>
      <c r="L413" s="108">
        <v>0</v>
      </c>
      <c r="M413" s="108">
        <v>0.333333333333333</v>
      </c>
      <c r="N413" s="108">
        <v>0.6</v>
      </c>
      <c r="O413" s="108">
        <v>0.714285714285714</v>
      </c>
      <c r="P413" s="108">
        <v>0</v>
      </c>
      <c r="Q413" s="108">
        <v>-0.333333333333333</v>
      </c>
      <c r="R413" s="108">
        <v>-0.2</v>
      </c>
      <c r="S413" s="108">
        <v>-0.142857142857143</v>
      </c>
    </row>
    <row r="414" hidden="1" spans="1:19">
      <c r="A414" s="143">
        <v>45027</v>
      </c>
      <c r="B414" s="104" t="s">
        <v>30</v>
      </c>
      <c r="C414" s="145">
        <v>0</v>
      </c>
      <c r="D414" s="104">
        <v>0</v>
      </c>
      <c r="E414" s="106">
        <v>0</v>
      </c>
      <c r="F414" s="107">
        <v>0</v>
      </c>
      <c r="G414" s="106">
        <v>0</v>
      </c>
      <c r="H414" s="108">
        <v>0</v>
      </c>
      <c r="I414" s="108">
        <v>0</v>
      </c>
      <c r="J414" s="108">
        <v>0</v>
      </c>
      <c r="K414" s="108">
        <v>0</v>
      </c>
      <c r="L414" s="108">
        <v>0</v>
      </c>
      <c r="M414" s="108">
        <v>0</v>
      </c>
      <c r="N414" s="108">
        <v>0</v>
      </c>
      <c r="O414" s="108">
        <v>0</v>
      </c>
      <c r="P414" s="108">
        <v>0</v>
      </c>
      <c r="Q414" s="108">
        <v>0</v>
      </c>
      <c r="R414" s="108">
        <v>0</v>
      </c>
      <c r="S414" s="108">
        <v>0</v>
      </c>
    </row>
    <row r="415" spans="1:19">
      <c r="A415" s="143">
        <v>45027</v>
      </c>
      <c r="B415" s="104" t="s">
        <v>31</v>
      </c>
      <c r="C415" s="145">
        <v>0</v>
      </c>
      <c r="D415" s="104">
        <v>0</v>
      </c>
      <c r="E415" s="106">
        <v>0</v>
      </c>
      <c r="F415" s="107">
        <v>0</v>
      </c>
      <c r="G415" s="106">
        <v>0</v>
      </c>
      <c r="H415" s="108">
        <v>0</v>
      </c>
      <c r="I415" s="108">
        <v>0</v>
      </c>
      <c r="J415" s="108">
        <v>0</v>
      </c>
      <c r="K415" s="108">
        <v>0</v>
      </c>
      <c r="L415" s="108">
        <v>0</v>
      </c>
      <c r="M415" s="108">
        <v>-0.333333333333333</v>
      </c>
      <c r="N415" s="108">
        <v>-0.2</v>
      </c>
      <c r="O415" s="108">
        <v>-0.571428571428571</v>
      </c>
      <c r="P415" s="108">
        <v>0</v>
      </c>
      <c r="Q415" s="108">
        <v>0</v>
      </c>
      <c r="R415" s="108">
        <v>0</v>
      </c>
      <c r="S415" s="108">
        <v>0</v>
      </c>
    </row>
    <row r="416" hidden="1" spans="1:19">
      <c r="A416" s="143">
        <v>45027</v>
      </c>
      <c r="B416" s="104" t="s">
        <v>32</v>
      </c>
      <c r="C416" s="145">
        <v>0</v>
      </c>
      <c r="D416" s="104">
        <v>0</v>
      </c>
      <c r="E416" s="106">
        <v>0</v>
      </c>
      <c r="F416" s="107">
        <v>0</v>
      </c>
      <c r="G416" s="106">
        <v>0</v>
      </c>
      <c r="H416" s="108">
        <v>0</v>
      </c>
      <c r="I416" s="108">
        <v>0</v>
      </c>
      <c r="J416" s="108">
        <v>0</v>
      </c>
      <c r="K416" s="108">
        <v>0</v>
      </c>
      <c r="L416" s="108">
        <v>0</v>
      </c>
      <c r="M416" s="108">
        <v>0</v>
      </c>
      <c r="N416" s="108">
        <v>0</v>
      </c>
      <c r="O416" s="108">
        <v>0</v>
      </c>
      <c r="P416" s="108">
        <v>0</v>
      </c>
      <c r="Q416" s="108">
        <v>0</v>
      </c>
      <c r="R416" s="108">
        <v>0</v>
      </c>
      <c r="S416" s="108">
        <v>0</v>
      </c>
    </row>
    <row r="417" hidden="1" spans="1:19">
      <c r="A417" s="143">
        <v>45027</v>
      </c>
      <c r="B417" s="104" t="s">
        <v>33</v>
      </c>
      <c r="C417" s="145">
        <v>0</v>
      </c>
      <c r="D417" s="104">
        <v>0</v>
      </c>
      <c r="E417" s="106">
        <v>0</v>
      </c>
      <c r="F417" s="107">
        <v>0</v>
      </c>
      <c r="G417" s="106">
        <v>0</v>
      </c>
      <c r="H417" s="108">
        <v>0</v>
      </c>
      <c r="I417" s="108">
        <v>0</v>
      </c>
      <c r="J417" s="108">
        <v>0</v>
      </c>
      <c r="K417" s="108">
        <v>0</v>
      </c>
      <c r="L417" s="108">
        <v>0</v>
      </c>
      <c r="M417" s="108">
        <v>0</v>
      </c>
      <c r="N417" s="108">
        <v>0</v>
      </c>
      <c r="O417" s="108">
        <v>0</v>
      </c>
      <c r="P417" s="108">
        <v>0</v>
      </c>
      <c r="Q417" s="108">
        <v>0</v>
      </c>
      <c r="R417" s="108">
        <v>0</v>
      </c>
      <c r="S417" s="108">
        <v>0</v>
      </c>
    </row>
    <row r="418" hidden="1" spans="1:19">
      <c r="A418" s="143">
        <v>45027</v>
      </c>
      <c r="B418" s="104" t="s">
        <v>34</v>
      </c>
      <c r="C418" s="145">
        <v>0</v>
      </c>
      <c r="D418" s="104">
        <v>0</v>
      </c>
      <c r="E418" s="106">
        <v>0</v>
      </c>
      <c r="F418" s="107">
        <v>0</v>
      </c>
      <c r="G418" s="106">
        <v>0</v>
      </c>
      <c r="H418" s="108">
        <v>0</v>
      </c>
      <c r="I418" s="108">
        <v>0</v>
      </c>
      <c r="J418" s="108">
        <v>0</v>
      </c>
      <c r="K418" s="108">
        <v>0</v>
      </c>
      <c r="L418" s="108">
        <v>0</v>
      </c>
      <c r="M418" s="108">
        <v>0</v>
      </c>
      <c r="N418" s="108">
        <v>0</v>
      </c>
      <c r="O418" s="108">
        <v>0</v>
      </c>
      <c r="P418" s="108">
        <v>0</v>
      </c>
      <c r="Q418" s="108">
        <v>0</v>
      </c>
      <c r="R418" s="108">
        <v>0</v>
      </c>
      <c r="S418" s="108">
        <v>0</v>
      </c>
    </row>
    <row r="419" hidden="1" spans="1:19">
      <c r="A419" s="143">
        <v>45027</v>
      </c>
      <c r="B419" s="104" t="s">
        <v>35</v>
      </c>
      <c r="C419" s="145">
        <v>0</v>
      </c>
      <c r="D419" s="104">
        <v>0</v>
      </c>
      <c r="E419" s="106">
        <v>0</v>
      </c>
      <c r="F419" s="107">
        <v>0</v>
      </c>
      <c r="G419" s="106">
        <v>0</v>
      </c>
      <c r="H419" s="108">
        <v>0</v>
      </c>
      <c r="I419" s="108">
        <v>0</v>
      </c>
      <c r="J419" s="108">
        <v>0</v>
      </c>
      <c r="K419" s="108">
        <v>0</v>
      </c>
      <c r="L419" s="108">
        <v>0</v>
      </c>
      <c r="M419" s="108">
        <v>0</v>
      </c>
      <c r="N419" s="108">
        <v>0</v>
      </c>
      <c r="O419" s="108">
        <v>0</v>
      </c>
      <c r="P419" s="108">
        <v>0</v>
      </c>
      <c r="Q419" s="108">
        <v>0</v>
      </c>
      <c r="R419" s="108">
        <v>0</v>
      </c>
      <c r="S419" s="108">
        <v>0</v>
      </c>
    </row>
    <row r="420" hidden="1" spans="1:19">
      <c r="A420" s="143">
        <v>45027</v>
      </c>
      <c r="B420" s="104" t="s">
        <v>36</v>
      </c>
      <c r="C420" s="145">
        <v>0</v>
      </c>
      <c r="D420" s="104">
        <v>0</v>
      </c>
      <c r="E420" s="106">
        <v>0</v>
      </c>
      <c r="F420" s="107">
        <v>0</v>
      </c>
      <c r="G420" s="106">
        <v>0</v>
      </c>
      <c r="H420" s="108">
        <v>0</v>
      </c>
      <c r="I420" s="108">
        <v>0</v>
      </c>
      <c r="J420" s="108">
        <v>0</v>
      </c>
      <c r="K420" s="108">
        <v>0</v>
      </c>
      <c r="L420" s="108">
        <v>0</v>
      </c>
      <c r="M420" s="108">
        <v>0</v>
      </c>
      <c r="N420" s="108">
        <v>0</v>
      </c>
      <c r="O420" s="108">
        <v>0</v>
      </c>
      <c r="P420" s="108">
        <v>0</v>
      </c>
      <c r="Q420" s="108">
        <v>0</v>
      </c>
      <c r="R420" s="108">
        <v>0</v>
      </c>
      <c r="S420" s="108">
        <v>0</v>
      </c>
    </row>
    <row r="421" hidden="1" spans="1:19">
      <c r="A421" s="143">
        <v>45027</v>
      </c>
      <c r="B421" s="104" t="s">
        <v>37</v>
      </c>
      <c r="C421" s="145">
        <v>0</v>
      </c>
      <c r="D421" s="104">
        <v>0</v>
      </c>
      <c r="E421" s="106">
        <v>0</v>
      </c>
      <c r="F421" s="107">
        <v>0</v>
      </c>
      <c r="G421" s="106">
        <v>0</v>
      </c>
      <c r="H421" s="108">
        <v>0</v>
      </c>
      <c r="I421" s="108">
        <v>0</v>
      </c>
      <c r="J421" s="108">
        <v>0</v>
      </c>
      <c r="K421" s="108">
        <v>0</v>
      </c>
      <c r="L421" s="108">
        <v>0</v>
      </c>
      <c r="M421" s="108">
        <v>0</v>
      </c>
      <c r="N421" s="108">
        <v>0</v>
      </c>
      <c r="O421" s="108">
        <v>0</v>
      </c>
      <c r="P421" s="108">
        <v>0</v>
      </c>
      <c r="Q421" s="108">
        <v>0</v>
      </c>
      <c r="R421" s="108">
        <v>0</v>
      </c>
      <c r="S421" s="108">
        <v>0</v>
      </c>
    </row>
    <row r="422" hidden="1" spans="1:19">
      <c r="A422" s="143">
        <v>45027</v>
      </c>
      <c r="B422" s="104" t="s">
        <v>38</v>
      </c>
      <c r="C422" s="145">
        <v>0</v>
      </c>
      <c r="D422" s="104">
        <v>0</v>
      </c>
      <c r="E422" s="106">
        <v>0</v>
      </c>
      <c r="F422" s="107">
        <v>0</v>
      </c>
      <c r="G422" s="106">
        <v>0</v>
      </c>
      <c r="H422" s="108">
        <v>0</v>
      </c>
      <c r="I422" s="108">
        <v>0</v>
      </c>
      <c r="J422" s="108">
        <v>0</v>
      </c>
      <c r="K422" s="108">
        <v>0</v>
      </c>
      <c r="L422" s="108">
        <v>0</v>
      </c>
      <c r="M422" s="108">
        <v>0</v>
      </c>
      <c r="N422" s="108">
        <v>0</v>
      </c>
      <c r="O422" s="108">
        <v>0</v>
      </c>
      <c r="P422" s="108">
        <v>0</v>
      </c>
      <c r="Q422" s="108">
        <v>0</v>
      </c>
      <c r="R422" s="108">
        <v>0</v>
      </c>
      <c r="S422" s="108">
        <v>0</v>
      </c>
    </row>
    <row r="423" spans="1:19">
      <c r="A423" s="143">
        <v>45027</v>
      </c>
      <c r="B423" s="111" t="s">
        <v>39</v>
      </c>
      <c r="C423" s="112">
        <v>13120</v>
      </c>
      <c r="D423" s="112">
        <v>284</v>
      </c>
      <c r="E423" s="113">
        <v>0.0216463414634146</v>
      </c>
      <c r="F423" s="112">
        <v>89</v>
      </c>
      <c r="G423" s="113">
        <v>0.313380281690141</v>
      </c>
      <c r="H423" s="108"/>
      <c r="I423" s="108"/>
      <c r="J423" s="108"/>
      <c r="K423" s="108"/>
      <c r="L423" s="108"/>
      <c r="M423" s="108"/>
      <c r="N423" s="108"/>
      <c r="O423" s="108"/>
      <c r="P423" s="108"/>
      <c r="Q423" s="108"/>
      <c r="R423" s="108"/>
      <c r="S423" s="108"/>
    </row>
    <row r="424" spans="1:19">
      <c r="A424" s="143">
        <v>45028</v>
      </c>
      <c r="B424" s="104" t="s">
        <v>17</v>
      </c>
      <c r="C424" s="105">
        <v>248</v>
      </c>
      <c r="D424" s="104">
        <v>48</v>
      </c>
      <c r="E424" s="106">
        <v>0.193548387096774</v>
      </c>
      <c r="F424" s="107">
        <v>10</v>
      </c>
      <c r="G424" s="106">
        <v>0.208333333333333</v>
      </c>
      <c r="H424" s="108">
        <v>32</v>
      </c>
      <c r="I424" s="108">
        <v>68.3333333333333</v>
      </c>
      <c r="J424" s="108">
        <v>80.8</v>
      </c>
      <c r="K424" s="108">
        <v>101.142857142857</v>
      </c>
      <c r="L424" s="108">
        <v>33</v>
      </c>
      <c r="M424" s="108">
        <v>23</v>
      </c>
      <c r="N424" s="108">
        <v>22.2</v>
      </c>
      <c r="O424" s="108">
        <v>20.8571428571429</v>
      </c>
      <c r="P424" s="108">
        <v>7</v>
      </c>
      <c r="Q424" s="108">
        <v>7</v>
      </c>
      <c r="R424" s="108">
        <v>7</v>
      </c>
      <c r="S424" s="108">
        <v>6.71428571428571</v>
      </c>
    </row>
    <row r="425" spans="1:19">
      <c r="A425" s="143">
        <v>45028</v>
      </c>
      <c r="B425" s="104" t="s">
        <v>19</v>
      </c>
      <c r="C425" s="107">
        <v>998</v>
      </c>
      <c r="D425" s="104">
        <v>14</v>
      </c>
      <c r="E425" s="106">
        <v>0.0140280561122244</v>
      </c>
      <c r="F425" s="107">
        <v>8</v>
      </c>
      <c r="G425" s="106">
        <v>0.571428571428571</v>
      </c>
      <c r="H425" s="108">
        <v>460</v>
      </c>
      <c r="I425" s="108">
        <v>422.666666666667</v>
      </c>
      <c r="J425" s="108">
        <v>325.4</v>
      </c>
      <c r="K425" s="108">
        <v>327.142857142857</v>
      </c>
      <c r="L425" s="108">
        <v>-6</v>
      </c>
      <c r="M425" s="108">
        <v>-9.66666666666667</v>
      </c>
      <c r="N425" s="108">
        <v>-14.2</v>
      </c>
      <c r="O425" s="108">
        <v>-13</v>
      </c>
      <c r="P425" s="108">
        <v>-6</v>
      </c>
      <c r="Q425" s="108">
        <v>-4.66666666666667</v>
      </c>
      <c r="R425" s="108">
        <v>-3</v>
      </c>
      <c r="S425" s="115">
        <v>-2.71428571428571</v>
      </c>
    </row>
    <row r="426" spans="1:19">
      <c r="A426" s="143">
        <v>45028</v>
      </c>
      <c r="B426" s="104" t="s">
        <v>21</v>
      </c>
      <c r="C426" s="145">
        <v>407</v>
      </c>
      <c r="D426" s="104">
        <v>22</v>
      </c>
      <c r="E426" s="106">
        <v>0.0540540540540541</v>
      </c>
      <c r="F426" s="107">
        <v>9</v>
      </c>
      <c r="G426" s="106">
        <v>0.409090909090909</v>
      </c>
      <c r="H426" s="108">
        <v>-45</v>
      </c>
      <c r="I426" s="108">
        <v>-5.66666666666669</v>
      </c>
      <c r="J426" s="108">
        <v>-58.6</v>
      </c>
      <c r="K426" s="108">
        <v>-127.857142857143</v>
      </c>
      <c r="L426" s="108">
        <v>-6</v>
      </c>
      <c r="M426" s="108">
        <v>-2.33333333333333</v>
      </c>
      <c r="N426" s="108">
        <v>-2</v>
      </c>
      <c r="O426" s="108">
        <v>-2.57142857142857</v>
      </c>
      <c r="P426" s="108">
        <v>1</v>
      </c>
      <c r="Q426" s="108">
        <v>-1</v>
      </c>
      <c r="R426" s="108">
        <v>-0.199999999999999</v>
      </c>
      <c r="S426" s="108">
        <v>-0.142857142857142</v>
      </c>
    </row>
    <row r="427" spans="1:19">
      <c r="A427" s="143">
        <v>45028</v>
      </c>
      <c r="B427" s="104" t="s">
        <v>22</v>
      </c>
      <c r="C427" s="145">
        <v>4210</v>
      </c>
      <c r="D427" s="104">
        <v>76</v>
      </c>
      <c r="E427" s="106">
        <v>0.0180522565320665</v>
      </c>
      <c r="F427" s="107">
        <v>35</v>
      </c>
      <c r="G427" s="106">
        <v>0.460526315789474</v>
      </c>
      <c r="H427" s="108">
        <v>-20</v>
      </c>
      <c r="I427" s="108">
        <v>-55</v>
      </c>
      <c r="J427" s="108">
        <v>-118</v>
      </c>
      <c r="K427" s="108">
        <v>-292.285714285715</v>
      </c>
      <c r="L427" s="108">
        <v>-21</v>
      </c>
      <c r="M427" s="108">
        <v>-28</v>
      </c>
      <c r="N427" s="108">
        <v>-30.4</v>
      </c>
      <c r="O427" s="115">
        <v>-34.8571428571429</v>
      </c>
      <c r="P427" s="108">
        <v>7</v>
      </c>
      <c r="Q427" s="108">
        <v>2</v>
      </c>
      <c r="R427" s="108">
        <v>7.8</v>
      </c>
      <c r="S427" s="117">
        <v>2.71428571428572</v>
      </c>
    </row>
    <row r="428" spans="1:19">
      <c r="A428" s="143">
        <v>45028</v>
      </c>
      <c r="B428" s="104" t="s">
        <v>23</v>
      </c>
      <c r="C428" s="145">
        <v>2410</v>
      </c>
      <c r="D428" s="104">
        <v>36</v>
      </c>
      <c r="E428" s="106">
        <v>0.0149377593360996</v>
      </c>
      <c r="F428" s="107">
        <v>13</v>
      </c>
      <c r="G428" s="106">
        <v>0.361111111111111</v>
      </c>
      <c r="H428" s="108">
        <v>-60</v>
      </c>
      <c r="I428" s="108">
        <v>-125</v>
      </c>
      <c r="J428" s="108">
        <v>-259</v>
      </c>
      <c r="K428" s="108">
        <v>-408.285714285714</v>
      </c>
      <c r="L428" s="108">
        <v>3</v>
      </c>
      <c r="M428" s="108">
        <v>3.33333333333334</v>
      </c>
      <c r="N428" s="108">
        <v>4.2</v>
      </c>
      <c r="O428" s="108">
        <v>2</v>
      </c>
      <c r="P428" s="108">
        <v>0</v>
      </c>
      <c r="Q428" s="116">
        <v>1.66666666666667</v>
      </c>
      <c r="R428" s="108">
        <v>1</v>
      </c>
      <c r="S428" s="108">
        <v>1.42857142857143</v>
      </c>
    </row>
    <row r="429" spans="1:19">
      <c r="A429" s="143">
        <v>45028</v>
      </c>
      <c r="B429" s="104" t="s">
        <v>24</v>
      </c>
      <c r="C429" s="145">
        <v>438</v>
      </c>
      <c r="D429" s="104">
        <v>6</v>
      </c>
      <c r="E429" s="106">
        <v>0.0136986301369863</v>
      </c>
      <c r="F429" s="107">
        <v>2</v>
      </c>
      <c r="G429" s="106">
        <v>0.333333333333333</v>
      </c>
      <c r="H429" s="108">
        <v>20</v>
      </c>
      <c r="I429" s="108">
        <v>-21.6666666666667</v>
      </c>
      <c r="J429" s="108">
        <v>-24.6</v>
      </c>
      <c r="K429" s="108">
        <v>-84.1428571428571</v>
      </c>
      <c r="L429" s="115">
        <v>-3</v>
      </c>
      <c r="M429" s="115">
        <v>-0.666666666666667</v>
      </c>
      <c r="N429" s="117">
        <v>-0.8</v>
      </c>
      <c r="O429" s="117">
        <v>-0.428571428571429</v>
      </c>
      <c r="P429" s="115">
        <v>2</v>
      </c>
      <c r="Q429" s="115">
        <v>1</v>
      </c>
      <c r="R429" s="115">
        <v>0.4</v>
      </c>
      <c r="S429" s="115">
        <v>0.571428571428571</v>
      </c>
    </row>
    <row r="430" spans="1:19">
      <c r="A430" s="143">
        <v>45028</v>
      </c>
      <c r="B430" s="104" t="s">
        <v>25</v>
      </c>
      <c r="C430" s="145">
        <v>8784</v>
      </c>
      <c r="D430" s="104">
        <v>36</v>
      </c>
      <c r="E430" s="106">
        <v>0.00409836065573771</v>
      </c>
      <c r="F430" s="107">
        <v>17</v>
      </c>
      <c r="G430" s="106">
        <v>0.472222222222222</v>
      </c>
      <c r="H430" s="108">
        <v>5772</v>
      </c>
      <c r="I430" s="108">
        <v>2891</v>
      </c>
      <c r="J430" s="108">
        <v>-144.799999999999</v>
      </c>
      <c r="K430" s="108">
        <v>-2310.85714285714</v>
      </c>
      <c r="L430" s="116">
        <v>2</v>
      </c>
      <c r="M430" s="115">
        <v>3</v>
      </c>
      <c r="N430" s="115">
        <v>-2.2</v>
      </c>
      <c r="O430" s="115">
        <v>-4.57142857142857</v>
      </c>
      <c r="P430" s="108">
        <v>6</v>
      </c>
      <c r="Q430" s="108">
        <v>4</v>
      </c>
      <c r="R430" s="108">
        <v>-5.6</v>
      </c>
      <c r="S430" s="108">
        <v>-5.42857142857143</v>
      </c>
    </row>
    <row r="431" spans="1:19">
      <c r="A431" s="143">
        <v>45028</v>
      </c>
      <c r="B431" s="104" t="s">
        <v>26</v>
      </c>
      <c r="C431" s="145">
        <v>5556</v>
      </c>
      <c r="D431" s="104">
        <v>49</v>
      </c>
      <c r="E431" s="106">
        <v>0.00881929445644348</v>
      </c>
      <c r="F431" s="107">
        <v>17</v>
      </c>
      <c r="G431" s="106">
        <v>0.346938775510204</v>
      </c>
      <c r="H431" s="108">
        <v>3870</v>
      </c>
      <c r="I431" s="108">
        <v>3538.66666666667</v>
      </c>
      <c r="J431" s="108">
        <v>3663.6</v>
      </c>
      <c r="K431" s="108">
        <v>3798.28571428571</v>
      </c>
      <c r="L431" s="108">
        <v>6</v>
      </c>
      <c r="M431" s="108">
        <v>1</v>
      </c>
      <c r="N431" s="108">
        <v>-7.8</v>
      </c>
      <c r="O431" s="108">
        <v>-13.8571428571429</v>
      </c>
      <c r="P431" s="108">
        <v>6</v>
      </c>
      <c r="Q431" s="108">
        <v>0</v>
      </c>
      <c r="R431" s="108">
        <v>-3.8</v>
      </c>
      <c r="S431" s="108">
        <v>-3.42857142857143</v>
      </c>
    </row>
    <row r="432" spans="1:19">
      <c r="A432" s="143">
        <v>45028</v>
      </c>
      <c r="B432" s="104" t="s">
        <v>27</v>
      </c>
      <c r="C432" s="145">
        <v>332</v>
      </c>
      <c r="D432" s="104">
        <v>3</v>
      </c>
      <c r="E432" s="106">
        <v>0.00903614457831325</v>
      </c>
      <c r="F432" s="107">
        <v>1</v>
      </c>
      <c r="G432" s="106">
        <v>0.333333333333333</v>
      </c>
      <c r="H432" s="108">
        <v>235</v>
      </c>
      <c r="I432" s="108">
        <v>264.666666666667</v>
      </c>
      <c r="J432" s="108">
        <v>263.4</v>
      </c>
      <c r="K432" s="108">
        <v>269.428571428571</v>
      </c>
      <c r="L432" s="108">
        <v>0</v>
      </c>
      <c r="M432" s="108">
        <v>-0.333333333333333</v>
      </c>
      <c r="N432" s="108">
        <v>-1.2</v>
      </c>
      <c r="O432" s="108">
        <v>-0.571428571428572</v>
      </c>
      <c r="P432" s="108">
        <v>0</v>
      </c>
      <c r="Q432" s="108">
        <v>-0.666666666666667</v>
      </c>
      <c r="R432" s="108">
        <v>-0.2</v>
      </c>
      <c r="S432" s="108">
        <v>0</v>
      </c>
    </row>
    <row r="433" spans="1:19">
      <c r="A433" s="143">
        <v>45028</v>
      </c>
      <c r="B433" s="104" t="s">
        <v>28</v>
      </c>
      <c r="C433" s="145">
        <v>0</v>
      </c>
      <c r="D433" s="104">
        <v>1</v>
      </c>
      <c r="E433" s="106">
        <v>1</v>
      </c>
      <c r="F433" s="107">
        <v>1</v>
      </c>
      <c r="G433" s="106">
        <v>1</v>
      </c>
      <c r="H433" s="108">
        <v>0</v>
      </c>
      <c r="I433" s="108">
        <v>0</v>
      </c>
      <c r="J433" s="108">
        <v>0</v>
      </c>
      <c r="K433" s="108">
        <v>0</v>
      </c>
      <c r="L433" s="108">
        <v>0</v>
      </c>
      <c r="M433" s="108">
        <v>0.666666666666667</v>
      </c>
      <c r="N433" s="108">
        <v>0.8</v>
      </c>
      <c r="O433" s="108">
        <v>0.857142857142857</v>
      </c>
      <c r="P433" s="108">
        <v>1</v>
      </c>
      <c r="Q433" s="108">
        <v>1</v>
      </c>
      <c r="R433" s="108">
        <v>1</v>
      </c>
      <c r="S433" s="108">
        <v>1</v>
      </c>
    </row>
    <row r="434" spans="1:19">
      <c r="A434" s="143">
        <v>45028</v>
      </c>
      <c r="B434" s="104" t="s">
        <v>29</v>
      </c>
      <c r="C434" s="145">
        <v>3</v>
      </c>
      <c r="D434" s="104">
        <v>0</v>
      </c>
      <c r="E434" s="106">
        <v>0</v>
      </c>
      <c r="F434" s="107">
        <v>0</v>
      </c>
      <c r="G434" s="106">
        <v>0</v>
      </c>
      <c r="H434" s="108">
        <v>2</v>
      </c>
      <c r="I434" s="108">
        <v>2.33333333333333</v>
      </c>
      <c r="J434" s="108">
        <v>2.4</v>
      </c>
      <c r="K434" s="108">
        <v>2.14285714285714</v>
      </c>
      <c r="L434" s="108">
        <v>-1</v>
      </c>
      <c r="M434" s="108">
        <v>-0.666666666666667</v>
      </c>
      <c r="N434" s="108">
        <v>-0.6</v>
      </c>
      <c r="O434" s="108">
        <v>-0.428571428571429</v>
      </c>
      <c r="P434" s="108">
        <v>0</v>
      </c>
      <c r="Q434" s="108">
        <v>0</v>
      </c>
      <c r="R434" s="108">
        <v>-0.2</v>
      </c>
      <c r="S434" s="108">
        <v>-0.142857142857143</v>
      </c>
    </row>
    <row r="435" spans="1:19">
      <c r="A435" s="143">
        <v>45028</v>
      </c>
      <c r="B435" s="104" t="s">
        <v>30</v>
      </c>
      <c r="C435" s="145">
        <v>0</v>
      </c>
      <c r="D435" s="104">
        <v>0</v>
      </c>
      <c r="E435" s="106">
        <v>0</v>
      </c>
      <c r="F435" s="107">
        <v>0</v>
      </c>
      <c r="G435" s="106">
        <v>0</v>
      </c>
      <c r="H435" s="108">
        <v>0</v>
      </c>
      <c r="I435" s="108">
        <v>0</v>
      </c>
      <c r="J435" s="108">
        <v>0</v>
      </c>
      <c r="K435" s="108">
        <v>0</v>
      </c>
      <c r="L435" s="108">
        <v>0</v>
      </c>
      <c r="M435" s="108">
        <v>0</v>
      </c>
      <c r="N435" s="108">
        <v>0</v>
      </c>
      <c r="O435" s="108">
        <v>0</v>
      </c>
      <c r="P435" s="108">
        <v>0</v>
      </c>
      <c r="Q435" s="108">
        <v>0</v>
      </c>
      <c r="R435" s="108">
        <v>0</v>
      </c>
      <c r="S435" s="108">
        <v>0</v>
      </c>
    </row>
    <row r="436" spans="1:19">
      <c r="A436" s="143">
        <v>45028</v>
      </c>
      <c r="B436" s="104" t="s">
        <v>31</v>
      </c>
      <c r="C436" s="145">
        <v>0</v>
      </c>
      <c r="D436" s="104">
        <v>0</v>
      </c>
      <c r="E436" s="106">
        <v>0</v>
      </c>
      <c r="F436" s="107">
        <v>0</v>
      </c>
      <c r="G436" s="106">
        <v>0</v>
      </c>
      <c r="H436" s="108">
        <v>0</v>
      </c>
      <c r="I436" s="108">
        <v>0</v>
      </c>
      <c r="J436" s="108">
        <v>0</v>
      </c>
      <c r="K436" s="108">
        <v>0</v>
      </c>
      <c r="L436" s="108">
        <v>0</v>
      </c>
      <c r="M436" s="108">
        <v>0</v>
      </c>
      <c r="N436" s="108">
        <v>-0.2</v>
      </c>
      <c r="O436" s="108">
        <v>-0.428571428571429</v>
      </c>
      <c r="P436" s="108">
        <v>0</v>
      </c>
      <c r="Q436" s="108">
        <v>0</v>
      </c>
      <c r="R436" s="108">
        <v>0</v>
      </c>
      <c r="S436" s="108">
        <v>0</v>
      </c>
    </row>
    <row r="437" spans="1:19">
      <c r="A437" s="143">
        <v>45028</v>
      </c>
      <c r="B437" s="104" t="s">
        <v>32</v>
      </c>
      <c r="C437" s="145">
        <v>0</v>
      </c>
      <c r="D437" s="104">
        <v>0</v>
      </c>
      <c r="E437" s="106">
        <v>0</v>
      </c>
      <c r="F437" s="107">
        <v>0</v>
      </c>
      <c r="G437" s="106">
        <v>0</v>
      </c>
      <c r="H437" s="108">
        <v>0</v>
      </c>
      <c r="I437" s="108">
        <v>0</v>
      </c>
      <c r="J437" s="108">
        <v>0</v>
      </c>
      <c r="K437" s="108">
        <v>0</v>
      </c>
      <c r="L437" s="108">
        <v>0</v>
      </c>
      <c r="M437" s="108">
        <v>0</v>
      </c>
      <c r="N437" s="108">
        <v>0</v>
      </c>
      <c r="O437" s="108">
        <v>0</v>
      </c>
      <c r="P437" s="108">
        <v>0</v>
      </c>
      <c r="Q437" s="108">
        <v>0</v>
      </c>
      <c r="R437" s="108">
        <v>0</v>
      </c>
      <c r="S437" s="108">
        <v>0</v>
      </c>
    </row>
    <row r="438" spans="1:19">
      <c r="A438" s="143">
        <v>45028</v>
      </c>
      <c r="B438" s="104" t="s">
        <v>33</v>
      </c>
      <c r="C438" s="145">
        <v>0</v>
      </c>
      <c r="D438" s="104">
        <v>0</v>
      </c>
      <c r="E438" s="106">
        <v>0</v>
      </c>
      <c r="F438" s="107">
        <v>0</v>
      </c>
      <c r="G438" s="106">
        <v>0</v>
      </c>
      <c r="H438" s="108">
        <v>0</v>
      </c>
      <c r="I438" s="108">
        <v>0</v>
      </c>
      <c r="J438" s="108">
        <v>0</v>
      </c>
      <c r="K438" s="108">
        <v>0</v>
      </c>
      <c r="L438" s="108">
        <v>0</v>
      </c>
      <c r="M438" s="108">
        <v>0</v>
      </c>
      <c r="N438" s="108">
        <v>0</v>
      </c>
      <c r="O438" s="108">
        <v>0</v>
      </c>
      <c r="P438" s="108">
        <v>0</v>
      </c>
      <c r="Q438" s="108">
        <v>0</v>
      </c>
      <c r="R438" s="108">
        <v>0</v>
      </c>
      <c r="S438" s="108">
        <v>0</v>
      </c>
    </row>
    <row r="439" spans="1:19">
      <c r="A439" s="143">
        <v>45028</v>
      </c>
      <c r="B439" s="104" t="s">
        <v>34</v>
      </c>
      <c r="C439" s="145">
        <v>0</v>
      </c>
      <c r="D439" s="104">
        <v>0</v>
      </c>
      <c r="E439" s="106">
        <v>0</v>
      </c>
      <c r="F439" s="107">
        <v>0</v>
      </c>
      <c r="G439" s="106">
        <v>0</v>
      </c>
      <c r="H439" s="108">
        <v>0</v>
      </c>
      <c r="I439" s="108">
        <v>0</v>
      </c>
      <c r="J439" s="108">
        <v>0</v>
      </c>
      <c r="K439" s="108">
        <v>0</v>
      </c>
      <c r="L439" s="108">
        <v>0</v>
      </c>
      <c r="M439" s="108">
        <v>0</v>
      </c>
      <c r="N439" s="108">
        <v>0</v>
      </c>
      <c r="O439" s="108">
        <v>0</v>
      </c>
      <c r="P439" s="108">
        <v>0</v>
      </c>
      <c r="Q439" s="108">
        <v>0</v>
      </c>
      <c r="R439" s="108">
        <v>0</v>
      </c>
      <c r="S439" s="108">
        <v>0</v>
      </c>
    </row>
    <row r="440" spans="1:19">
      <c r="A440" s="143">
        <v>45028</v>
      </c>
      <c r="B440" s="104" t="s">
        <v>35</v>
      </c>
      <c r="C440" s="145">
        <v>0</v>
      </c>
      <c r="D440" s="104">
        <v>0</v>
      </c>
      <c r="E440" s="106">
        <v>0</v>
      </c>
      <c r="F440" s="107">
        <v>0</v>
      </c>
      <c r="G440" s="106">
        <v>0</v>
      </c>
      <c r="H440" s="108">
        <v>0</v>
      </c>
      <c r="I440" s="108">
        <v>0</v>
      </c>
      <c r="J440" s="108">
        <v>0</v>
      </c>
      <c r="K440" s="108">
        <v>0</v>
      </c>
      <c r="L440" s="108">
        <v>0</v>
      </c>
      <c r="M440" s="108">
        <v>0</v>
      </c>
      <c r="N440" s="108">
        <v>0</v>
      </c>
      <c r="O440" s="108">
        <v>0</v>
      </c>
      <c r="P440" s="108">
        <v>0</v>
      </c>
      <c r="Q440" s="108">
        <v>0</v>
      </c>
      <c r="R440" s="108">
        <v>0</v>
      </c>
      <c r="S440" s="108">
        <v>0</v>
      </c>
    </row>
    <row r="441" spans="1:19">
      <c r="A441" s="143">
        <v>45028</v>
      </c>
      <c r="B441" s="104" t="s">
        <v>36</v>
      </c>
      <c r="C441" s="145">
        <v>0</v>
      </c>
      <c r="D441" s="104">
        <v>0</v>
      </c>
      <c r="E441" s="106">
        <v>0</v>
      </c>
      <c r="F441" s="107">
        <v>0</v>
      </c>
      <c r="G441" s="106">
        <v>0</v>
      </c>
      <c r="H441" s="108">
        <v>0</v>
      </c>
      <c r="I441" s="108">
        <v>0</v>
      </c>
      <c r="J441" s="108">
        <v>0</v>
      </c>
      <c r="K441" s="108">
        <v>0</v>
      </c>
      <c r="L441" s="108">
        <v>0</v>
      </c>
      <c r="M441" s="108">
        <v>0</v>
      </c>
      <c r="N441" s="108">
        <v>0</v>
      </c>
      <c r="O441" s="108">
        <v>0</v>
      </c>
      <c r="P441" s="108">
        <v>0</v>
      </c>
      <c r="Q441" s="108">
        <v>0</v>
      </c>
      <c r="R441" s="108">
        <v>0</v>
      </c>
      <c r="S441" s="108">
        <v>0</v>
      </c>
    </row>
    <row r="442" spans="1:19">
      <c r="A442" s="143">
        <v>45028</v>
      </c>
      <c r="B442" s="104" t="s">
        <v>37</v>
      </c>
      <c r="C442" s="145">
        <v>0</v>
      </c>
      <c r="D442" s="104">
        <v>0</v>
      </c>
      <c r="E442" s="106">
        <v>0</v>
      </c>
      <c r="F442" s="107">
        <v>0</v>
      </c>
      <c r="G442" s="106">
        <v>0</v>
      </c>
      <c r="H442" s="108">
        <v>0</v>
      </c>
      <c r="I442" s="108">
        <v>0</v>
      </c>
      <c r="J442" s="108">
        <v>0</v>
      </c>
      <c r="K442" s="108">
        <v>0</v>
      </c>
      <c r="L442" s="108">
        <v>0</v>
      </c>
      <c r="M442" s="108">
        <v>0</v>
      </c>
      <c r="N442" s="108">
        <v>0</v>
      </c>
      <c r="O442" s="108">
        <v>0</v>
      </c>
      <c r="P442" s="108">
        <v>0</v>
      </c>
      <c r="Q442" s="108">
        <v>0</v>
      </c>
      <c r="R442" s="108">
        <v>0</v>
      </c>
      <c r="S442" s="108">
        <v>0</v>
      </c>
    </row>
    <row r="443" spans="1:19">
      <c r="A443" s="143">
        <v>45028</v>
      </c>
      <c r="B443" s="104" t="s">
        <v>38</v>
      </c>
      <c r="C443" s="145">
        <v>0</v>
      </c>
      <c r="D443" s="104">
        <v>0</v>
      </c>
      <c r="E443" s="106">
        <v>0</v>
      </c>
      <c r="F443" s="107">
        <v>0</v>
      </c>
      <c r="G443" s="106">
        <v>0</v>
      </c>
      <c r="H443" s="108">
        <v>0</v>
      </c>
      <c r="I443" s="108">
        <v>0</v>
      </c>
      <c r="J443" s="108">
        <v>0</v>
      </c>
      <c r="K443" s="108">
        <v>0</v>
      </c>
      <c r="L443" s="108">
        <v>0</v>
      </c>
      <c r="M443" s="108">
        <v>0</v>
      </c>
      <c r="N443" s="108">
        <v>0</v>
      </c>
      <c r="O443" s="108">
        <v>0</v>
      </c>
      <c r="P443" s="108">
        <v>0</v>
      </c>
      <c r="Q443" s="108">
        <v>0</v>
      </c>
      <c r="R443" s="108">
        <v>0</v>
      </c>
      <c r="S443" s="108">
        <v>0</v>
      </c>
    </row>
    <row r="444" spans="1:19">
      <c r="A444" s="143">
        <v>45028</v>
      </c>
      <c r="B444" s="111" t="s">
        <v>39</v>
      </c>
      <c r="C444" s="112">
        <v>23386</v>
      </c>
      <c r="D444" s="112">
        <v>291</v>
      </c>
      <c r="E444" s="113">
        <v>0.0124433421705294</v>
      </c>
      <c r="F444" s="112">
        <v>113</v>
      </c>
      <c r="G444" s="113">
        <v>0.388316151202749</v>
      </c>
      <c r="H444" s="108"/>
      <c r="I444" s="108"/>
      <c r="J444" s="108"/>
      <c r="K444" s="108"/>
      <c r="L444" s="108"/>
      <c r="M444" s="108"/>
      <c r="N444" s="108"/>
      <c r="O444" s="108"/>
      <c r="P444" s="108"/>
      <c r="Q444" s="108"/>
      <c r="R444" s="108"/>
      <c r="S444" s="108"/>
    </row>
    <row r="445" spans="1:19">
      <c r="A445" s="143">
        <v>45029</v>
      </c>
      <c r="B445" s="104" t="s">
        <v>17</v>
      </c>
      <c r="C445" s="105">
        <v>234</v>
      </c>
      <c r="D445" s="104">
        <v>31</v>
      </c>
      <c r="E445" s="106">
        <v>0.132478632478632</v>
      </c>
      <c r="F445" s="107">
        <v>6</v>
      </c>
      <c r="G445" s="106">
        <v>0.193548387096774</v>
      </c>
      <c r="H445" s="108">
        <v>-14</v>
      </c>
      <c r="I445" s="108">
        <v>23.6666666666667</v>
      </c>
      <c r="J445" s="108">
        <v>40.4</v>
      </c>
      <c r="K445" s="108">
        <v>65.4285714285714</v>
      </c>
      <c r="L445" s="108">
        <v>-17</v>
      </c>
      <c r="M445" s="108">
        <v>1</v>
      </c>
      <c r="N445" s="108">
        <v>0.800000000000001</v>
      </c>
      <c r="O445" s="108">
        <v>2.71428571428572</v>
      </c>
      <c r="P445" s="108">
        <v>-4</v>
      </c>
      <c r="Q445" s="108">
        <v>1</v>
      </c>
      <c r="R445" s="108">
        <v>2</v>
      </c>
      <c r="S445" s="108">
        <v>2.14285714285714</v>
      </c>
    </row>
    <row r="446" spans="1:19">
      <c r="A446" s="143">
        <v>45029</v>
      </c>
      <c r="B446" s="104" t="s">
        <v>19</v>
      </c>
      <c r="C446" s="107">
        <v>920</v>
      </c>
      <c r="D446" s="104">
        <v>18</v>
      </c>
      <c r="E446" s="106">
        <v>0.0195652173913043</v>
      </c>
      <c r="F446" s="107">
        <v>7</v>
      </c>
      <c r="G446" s="106">
        <v>0.388888888888889</v>
      </c>
      <c r="H446" s="108">
        <v>-78</v>
      </c>
      <c r="I446" s="108">
        <v>212.333333333333</v>
      </c>
      <c r="J446" s="108">
        <v>200.6</v>
      </c>
      <c r="K446" s="108">
        <v>202.571428571429</v>
      </c>
      <c r="L446" s="108">
        <v>4</v>
      </c>
      <c r="M446" s="108">
        <v>-1</v>
      </c>
      <c r="N446" s="108">
        <v>-6.8</v>
      </c>
      <c r="O446" s="108">
        <v>-7.85714285714286</v>
      </c>
      <c r="P446" s="108">
        <v>-1</v>
      </c>
      <c r="Q446" s="108">
        <v>-4</v>
      </c>
      <c r="R446" s="108">
        <v>-3.8</v>
      </c>
      <c r="S446" s="115">
        <v>-3.28571428571429</v>
      </c>
    </row>
    <row r="447" spans="1:19">
      <c r="A447" s="143">
        <v>45029</v>
      </c>
      <c r="B447" s="104" t="s">
        <v>21</v>
      </c>
      <c r="C447" s="145">
        <v>370</v>
      </c>
      <c r="D447" s="104">
        <v>27</v>
      </c>
      <c r="E447" s="106">
        <v>0.072972972972973</v>
      </c>
      <c r="F447" s="107">
        <v>8</v>
      </c>
      <c r="G447" s="106">
        <v>0.296296296296296</v>
      </c>
      <c r="H447" s="108">
        <v>-37</v>
      </c>
      <c r="I447" s="108">
        <v>-48.6666666666667</v>
      </c>
      <c r="J447" s="108">
        <v>-52</v>
      </c>
      <c r="K447" s="108">
        <v>-113.857142857143</v>
      </c>
      <c r="L447" s="108">
        <v>5</v>
      </c>
      <c r="M447" s="108">
        <v>2.66666666666667</v>
      </c>
      <c r="N447" s="108">
        <v>3.2</v>
      </c>
      <c r="O447" s="108">
        <v>3.42857142857143</v>
      </c>
      <c r="P447" s="108">
        <v>-1</v>
      </c>
      <c r="Q447" s="108">
        <v>-1.33333333333333</v>
      </c>
      <c r="R447" s="108">
        <v>-1.2</v>
      </c>
      <c r="S447" s="108">
        <v>-1.14285714285714</v>
      </c>
    </row>
    <row r="448" spans="1:19">
      <c r="A448" s="143">
        <v>45029</v>
      </c>
      <c r="B448" s="104" t="s">
        <v>22</v>
      </c>
      <c r="C448" s="145">
        <v>4135</v>
      </c>
      <c r="D448" s="104">
        <v>93</v>
      </c>
      <c r="E448" s="106">
        <v>0.022490931076179</v>
      </c>
      <c r="F448" s="107">
        <v>37</v>
      </c>
      <c r="G448" s="106">
        <v>0.397849462365591</v>
      </c>
      <c r="H448" s="108">
        <v>-75</v>
      </c>
      <c r="I448" s="108">
        <v>-42.666666666667</v>
      </c>
      <c r="J448" s="108">
        <v>-194.6</v>
      </c>
      <c r="K448" s="108">
        <v>-240.285714285715</v>
      </c>
      <c r="L448" s="108">
        <v>17</v>
      </c>
      <c r="M448" s="108">
        <v>2.33333333333333</v>
      </c>
      <c r="N448" s="108">
        <v>-7.8</v>
      </c>
      <c r="O448" s="115">
        <v>-10.4285714285714</v>
      </c>
      <c r="P448" s="108">
        <v>2</v>
      </c>
      <c r="Q448" s="108">
        <v>5</v>
      </c>
      <c r="R448" s="108">
        <v>7.6</v>
      </c>
      <c r="S448" s="117">
        <v>7</v>
      </c>
    </row>
    <row r="449" spans="1:19">
      <c r="A449" s="143">
        <v>45029</v>
      </c>
      <c r="B449" s="104" t="s">
        <v>23</v>
      </c>
      <c r="C449" s="145">
        <v>2381</v>
      </c>
      <c r="D449" s="104">
        <v>27</v>
      </c>
      <c r="E449" s="106">
        <v>0.0113397732045359</v>
      </c>
      <c r="F449" s="107">
        <v>9</v>
      </c>
      <c r="G449" s="106">
        <v>0.333333333333333</v>
      </c>
      <c r="H449" s="108">
        <v>-29</v>
      </c>
      <c r="I449" s="108">
        <v>-68.6666666666665</v>
      </c>
      <c r="J449" s="108">
        <v>-201</v>
      </c>
      <c r="K449" s="108">
        <v>-302.714285714286</v>
      </c>
      <c r="L449" s="108">
        <v>-9</v>
      </c>
      <c r="M449" s="108">
        <v>-7.33333333333334</v>
      </c>
      <c r="N449" s="108">
        <v>-7.4</v>
      </c>
      <c r="O449" s="108">
        <v>-7.28571428571428</v>
      </c>
      <c r="P449" s="108">
        <v>-4</v>
      </c>
      <c r="Q449" s="116">
        <v>-4</v>
      </c>
      <c r="R449" s="108">
        <v>-3.2</v>
      </c>
      <c r="S449" s="108">
        <v>-2.71428571428571</v>
      </c>
    </row>
    <row r="450" spans="1:19">
      <c r="A450" s="143">
        <v>45029</v>
      </c>
      <c r="B450" s="104" t="s">
        <v>24</v>
      </c>
      <c r="C450" s="145">
        <v>485</v>
      </c>
      <c r="D450" s="104">
        <v>7</v>
      </c>
      <c r="E450" s="106">
        <v>0.0144329896907217</v>
      </c>
      <c r="F450" s="107">
        <v>2</v>
      </c>
      <c r="G450" s="106">
        <v>0.285714285714286</v>
      </c>
      <c r="H450" s="108">
        <v>47</v>
      </c>
      <c r="I450" s="108">
        <v>31</v>
      </c>
      <c r="J450" s="108">
        <v>26</v>
      </c>
      <c r="K450" s="108">
        <v>-22</v>
      </c>
      <c r="L450" s="115">
        <v>1</v>
      </c>
      <c r="M450" s="115">
        <v>0</v>
      </c>
      <c r="N450" s="117">
        <v>0.4</v>
      </c>
      <c r="O450" s="117">
        <v>0.428571428571429</v>
      </c>
      <c r="P450" s="115">
        <v>0</v>
      </c>
      <c r="Q450" s="115">
        <v>0.333333333333333</v>
      </c>
      <c r="R450" s="115">
        <v>0.4</v>
      </c>
      <c r="S450" s="115">
        <v>0.428571428571429</v>
      </c>
    </row>
    <row r="451" spans="1:19">
      <c r="A451" s="143">
        <v>45029</v>
      </c>
      <c r="B451" s="104" t="s">
        <v>25</v>
      </c>
      <c r="C451" s="145">
        <v>9340</v>
      </c>
      <c r="D451" s="104">
        <v>35</v>
      </c>
      <c r="E451" s="106">
        <v>0.00374732334047109</v>
      </c>
      <c r="F451" s="107">
        <v>11</v>
      </c>
      <c r="G451" s="106">
        <v>0.314285714285714</v>
      </c>
      <c r="H451" s="108">
        <v>556</v>
      </c>
      <c r="I451" s="108">
        <v>4234.66666666667</v>
      </c>
      <c r="J451" s="108">
        <v>1683.2</v>
      </c>
      <c r="K451" s="108">
        <v>-897.428571428571</v>
      </c>
      <c r="L451" s="116">
        <v>-1</v>
      </c>
      <c r="M451" s="115">
        <v>2.66666666666666</v>
      </c>
      <c r="N451" s="115">
        <v>-2</v>
      </c>
      <c r="O451" s="115">
        <v>-3.85714285714285</v>
      </c>
      <c r="P451" s="108">
        <v>-6</v>
      </c>
      <c r="Q451" s="108">
        <v>-1.66666666666667</v>
      </c>
      <c r="R451" s="108">
        <v>-11.8</v>
      </c>
      <c r="S451" s="108">
        <v>-10</v>
      </c>
    </row>
    <row r="452" spans="1:19">
      <c r="A452" s="143">
        <v>45029</v>
      </c>
      <c r="B452" s="104" t="s">
        <v>26</v>
      </c>
      <c r="C452" s="145">
        <v>5756</v>
      </c>
      <c r="D452" s="104">
        <v>31</v>
      </c>
      <c r="E452" s="106">
        <v>0.00538568450312717</v>
      </c>
      <c r="F452" s="107">
        <v>14</v>
      </c>
      <c r="G452" s="106">
        <v>0.451612903225806</v>
      </c>
      <c r="H452" s="108">
        <v>200</v>
      </c>
      <c r="I452" s="108">
        <v>2660.66666666667</v>
      </c>
      <c r="J452" s="108">
        <v>3039.4</v>
      </c>
      <c r="K452" s="108">
        <v>3380.57142857143</v>
      </c>
      <c r="L452" s="108">
        <v>-18</v>
      </c>
      <c r="M452" s="108">
        <v>-14.6666666666667</v>
      </c>
      <c r="N452" s="108">
        <v>-22.2</v>
      </c>
      <c r="O452" s="108">
        <v>-27.7142857142857</v>
      </c>
      <c r="P452" s="108">
        <v>-3</v>
      </c>
      <c r="Q452" s="108">
        <v>-1.33333333333333</v>
      </c>
      <c r="R452" s="108">
        <v>-6.4</v>
      </c>
      <c r="S452" s="108">
        <v>-6.14285714285714</v>
      </c>
    </row>
    <row r="453" spans="1:19">
      <c r="A453" s="143">
        <v>45029</v>
      </c>
      <c r="B453" s="104" t="s">
        <v>27</v>
      </c>
      <c r="C453" s="145">
        <v>380</v>
      </c>
      <c r="D453" s="104">
        <v>6</v>
      </c>
      <c r="E453" s="106">
        <v>0.0157894736842105</v>
      </c>
      <c r="F453" s="107">
        <v>0</v>
      </c>
      <c r="G453" s="106">
        <v>0</v>
      </c>
      <c r="H453" s="108">
        <v>48</v>
      </c>
      <c r="I453" s="108">
        <v>219.666666666667</v>
      </c>
      <c r="J453" s="108">
        <v>257.2</v>
      </c>
      <c r="K453" s="108">
        <v>277.714285714286</v>
      </c>
      <c r="L453" s="108">
        <v>3</v>
      </c>
      <c r="M453" s="108">
        <v>3</v>
      </c>
      <c r="N453" s="108">
        <v>1.8</v>
      </c>
      <c r="O453" s="108">
        <v>2.14285714285714</v>
      </c>
      <c r="P453" s="108">
        <v>-1</v>
      </c>
      <c r="Q453" s="108">
        <v>-1.33333333333333</v>
      </c>
      <c r="R453" s="108">
        <v>-1.2</v>
      </c>
      <c r="S453" s="108">
        <v>-1.14285714285714</v>
      </c>
    </row>
    <row r="454" spans="1:19">
      <c r="A454" s="143">
        <v>45029</v>
      </c>
      <c r="B454" s="104" t="s">
        <v>28</v>
      </c>
      <c r="C454" s="145">
        <v>0</v>
      </c>
      <c r="D454" s="104">
        <v>0</v>
      </c>
      <c r="E454" s="106">
        <v>0</v>
      </c>
      <c r="F454" s="107">
        <v>0</v>
      </c>
      <c r="G454" s="106">
        <v>0</v>
      </c>
      <c r="H454" s="108">
        <v>0</v>
      </c>
      <c r="I454" s="108">
        <v>0</v>
      </c>
      <c r="J454" s="108">
        <v>0</v>
      </c>
      <c r="K454" s="108">
        <v>0</v>
      </c>
      <c r="L454" s="108">
        <v>-1</v>
      </c>
      <c r="M454" s="108">
        <v>-0.666666666666667</v>
      </c>
      <c r="N454" s="108">
        <v>-0.4</v>
      </c>
      <c r="O454" s="108">
        <v>-0.285714285714286</v>
      </c>
      <c r="P454" s="108">
        <v>-1</v>
      </c>
      <c r="Q454" s="108">
        <v>-0.333333333333333</v>
      </c>
      <c r="R454" s="108">
        <v>-0.2</v>
      </c>
      <c r="S454" s="108">
        <v>-0.142857142857143</v>
      </c>
    </row>
    <row r="455" spans="1:19">
      <c r="A455" s="143">
        <v>45029</v>
      </c>
      <c r="B455" s="104" t="s">
        <v>29</v>
      </c>
      <c r="C455" s="145">
        <v>2</v>
      </c>
      <c r="D455" s="104">
        <v>0</v>
      </c>
      <c r="E455" s="106">
        <v>0</v>
      </c>
      <c r="F455" s="107">
        <v>0</v>
      </c>
      <c r="G455" s="106">
        <v>0</v>
      </c>
      <c r="H455" s="108">
        <v>-1</v>
      </c>
      <c r="I455" s="108">
        <v>0.333333333333333</v>
      </c>
      <c r="J455" s="108">
        <v>1</v>
      </c>
      <c r="K455" s="108">
        <v>0.857142857142857</v>
      </c>
      <c r="L455" s="108">
        <v>0</v>
      </c>
      <c r="M455" s="108">
        <v>-0.666666666666667</v>
      </c>
      <c r="N455" s="108">
        <v>-0.6</v>
      </c>
      <c r="O455" s="108">
        <v>-0.428571428571429</v>
      </c>
      <c r="P455" s="108">
        <v>0</v>
      </c>
      <c r="Q455" s="108">
        <v>0</v>
      </c>
      <c r="R455" s="108">
        <v>-0.2</v>
      </c>
      <c r="S455" s="108">
        <v>-0.142857142857143</v>
      </c>
    </row>
    <row r="456" spans="1:19">
      <c r="A456" s="143">
        <v>45029</v>
      </c>
      <c r="B456" s="104" t="s">
        <v>30</v>
      </c>
      <c r="C456" s="145">
        <v>0</v>
      </c>
      <c r="D456" s="104">
        <v>0</v>
      </c>
      <c r="E456" s="106">
        <v>0</v>
      </c>
      <c r="F456" s="107">
        <v>0</v>
      </c>
      <c r="G456" s="106">
        <v>0</v>
      </c>
      <c r="H456" s="108">
        <v>0</v>
      </c>
      <c r="I456" s="108">
        <v>0</v>
      </c>
      <c r="J456" s="108">
        <v>0</v>
      </c>
      <c r="K456" s="108">
        <v>0</v>
      </c>
      <c r="L456" s="108">
        <v>0</v>
      </c>
      <c r="M456" s="108">
        <v>0</v>
      </c>
      <c r="N456" s="108">
        <v>0</v>
      </c>
      <c r="O456" s="108">
        <v>0</v>
      </c>
      <c r="P456" s="108">
        <v>0</v>
      </c>
      <c r="Q456" s="108">
        <v>0</v>
      </c>
      <c r="R456" s="108">
        <v>0</v>
      </c>
      <c r="S456" s="108">
        <v>0</v>
      </c>
    </row>
    <row r="457" spans="1:19">
      <c r="A457" s="143">
        <v>45029</v>
      </c>
      <c r="B457" s="104" t="s">
        <v>31</v>
      </c>
      <c r="C457" s="145">
        <v>0</v>
      </c>
      <c r="D457" s="104">
        <v>0</v>
      </c>
      <c r="E457" s="106">
        <v>0</v>
      </c>
      <c r="F457" s="107">
        <v>0</v>
      </c>
      <c r="G457" s="106">
        <v>0</v>
      </c>
      <c r="H457" s="108">
        <v>0</v>
      </c>
      <c r="I457" s="108">
        <v>0</v>
      </c>
      <c r="J457" s="108">
        <v>0</v>
      </c>
      <c r="K457" s="108">
        <v>0</v>
      </c>
      <c r="L457" s="108">
        <v>0</v>
      </c>
      <c r="M457" s="108">
        <v>0</v>
      </c>
      <c r="N457" s="108">
        <v>-0.2</v>
      </c>
      <c r="O457" s="108">
        <v>-0.142857142857143</v>
      </c>
      <c r="P457" s="108">
        <v>0</v>
      </c>
      <c r="Q457" s="108">
        <v>0</v>
      </c>
      <c r="R457" s="108">
        <v>0</v>
      </c>
      <c r="S457" s="108">
        <v>0</v>
      </c>
    </row>
    <row r="458" spans="1:19">
      <c r="A458" s="143">
        <v>45029</v>
      </c>
      <c r="B458" s="104" t="s">
        <v>32</v>
      </c>
      <c r="C458" s="145">
        <v>0</v>
      </c>
      <c r="D458" s="104">
        <v>0</v>
      </c>
      <c r="E458" s="106">
        <v>0</v>
      </c>
      <c r="F458" s="107">
        <v>0</v>
      </c>
      <c r="G458" s="106">
        <v>0</v>
      </c>
      <c r="H458" s="108">
        <v>0</v>
      </c>
      <c r="I458" s="108">
        <v>0</v>
      </c>
      <c r="J458" s="108">
        <v>0</v>
      </c>
      <c r="K458" s="108">
        <v>0</v>
      </c>
      <c r="L458" s="108">
        <v>0</v>
      </c>
      <c r="M458" s="108">
        <v>0</v>
      </c>
      <c r="N458" s="108">
        <v>0</v>
      </c>
      <c r="O458" s="108">
        <v>0</v>
      </c>
      <c r="P458" s="108">
        <v>0</v>
      </c>
      <c r="Q458" s="108">
        <v>0</v>
      </c>
      <c r="R458" s="108">
        <v>0</v>
      </c>
      <c r="S458" s="108">
        <v>0</v>
      </c>
    </row>
    <row r="459" spans="1:19">
      <c r="A459" s="143">
        <v>45029</v>
      </c>
      <c r="B459" s="104" t="s">
        <v>33</v>
      </c>
      <c r="C459" s="145">
        <v>0</v>
      </c>
      <c r="D459" s="104">
        <v>0</v>
      </c>
      <c r="E459" s="106">
        <v>0</v>
      </c>
      <c r="F459" s="107">
        <v>0</v>
      </c>
      <c r="G459" s="106">
        <v>0</v>
      </c>
      <c r="H459" s="108">
        <v>0</v>
      </c>
      <c r="I459" s="108">
        <v>0</v>
      </c>
      <c r="J459" s="108">
        <v>0</v>
      </c>
      <c r="K459" s="108">
        <v>0</v>
      </c>
      <c r="L459" s="108">
        <v>0</v>
      </c>
      <c r="M459" s="108">
        <v>0</v>
      </c>
      <c r="N459" s="108">
        <v>0</v>
      </c>
      <c r="O459" s="108">
        <v>0</v>
      </c>
      <c r="P459" s="108">
        <v>0</v>
      </c>
      <c r="Q459" s="108">
        <v>0</v>
      </c>
      <c r="R459" s="108">
        <v>0</v>
      </c>
      <c r="S459" s="108">
        <v>0</v>
      </c>
    </row>
    <row r="460" spans="1:19">
      <c r="A460" s="143">
        <v>45029</v>
      </c>
      <c r="B460" s="104" t="s">
        <v>34</v>
      </c>
      <c r="C460" s="145">
        <v>0</v>
      </c>
      <c r="D460" s="104">
        <v>0</v>
      </c>
      <c r="E460" s="106">
        <v>0</v>
      </c>
      <c r="F460" s="107">
        <v>0</v>
      </c>
      <c r="G460" s="106">
        <v>0</v>
      </c>
      <c r="H460" s="108">
        <v>0</v>
      </c>
      <c r="I460" s="108">
        <v>0</v>
      </c>
      <c r="J460" s="108">
        <v>0</v>
      </c>
      <c r="K460" s="108">
        <v>0</v>
      </c>
      <c r="L460" s="108">
        <v>0</v>
      </c>
      <c r="M460" s="108">
        <v>0</v>
      </c>
      <c r="N460" s="108">
        <v>0</v>
      </c>
      <c r="O460" s="108">
        <v>0</v>
      </c>
      <c r="P460" s="108">
        <v>0</v>
      </c>
      <c r="Q460" s="108">
        <v>0</v>
      </c>
      <c r="R460" s="108">
        <v>0</v>
      </c>
      <c r="S460" s="108">
        <v>0</v>
      </c>
    </row>
    <row r="461" spans="1:19">
      <c r="A461" s="143">
        <v>45029</v>
      </c>
      <c r="B461" s="104" t="s">
        <v>35</v>
      </c>
      <c r="C461" s="145">
        <v>0</v>
      </c>
      <c r="D461" s="104">
        <v>0</v>
      </c>
      <c r="E461" s="106">
        <v>0</v>
      </c>
      <c r="F461" s="107">
        <v>0</v>
      </c>
      <c r="G461" s="106">
        <v>0</v>
      </c>
      <c r="H461" s="108">
        <v>0</v>
      </c>
      <c r="I461" s="108">
        <v>0</v>
      </c>
      <c r="J461" s="108">
        <v>0</v>
      </c>
      <c r="K461" s="108">
        <v>0</v>
      </c>
      <c r="L461" s="108">
        <v>0</v>
      </c>
      <c r="M461" s="108">
        <v>0</v>
      </c>
      <c r="N461" s="108">
        <v>0</v>
      </c>
      <c r="O461" s="108">
        <v>0</v>
      </c>
      <c r="P461" s="108">
        <v>0</v>
      </c>
      <c r="Q461" s="108">
        <v>0</v>
      </c>
      <c r="R461" s="108">
        <v>0</v>
      </c>
      <c r="S461" s="108">
        <v>0</v>
      </c>
    </row>
    <row r="462" spans="1:19">
      <c r="A462" s="143">
        <v>45029</v>
      </c>
      <c r="B462" s="104" t="s">
        <v>36</v>
      </c>
      <c r="C462" s="145">
        <v>0</v>
      </c>
      <c r="D462" s="104">
        <v>0</v>
      </c>
      <c r="E462" s="106">
        <v>0</v>
      </c>
      <c r="F462" s="107">
        <v>0</v>
      </c>
      <c r="G462" s="106">
        <v>0</v>
      </c>
      <c r="H462" s="108">
        <v>0</v>
      </c>
      <c r="I462" s="108">
        <v>0</v>
      </c>
      <c r="J462" s="108">
        <v>0</v>
      </c>
      <c r="K462" s="108">
        <v>0</v>
      </c>
      <c r="L462" s="108">
        <v>0</v>
      </c>
      <c r="M462" s="108">
        <v>0</v>
      </c>
      <c r="N462" s="108">
        <v>0</v>
      </c>
      <c r="O462" s="108">
        <v>0</v>
      </c>
      <c r="P462" s="108">
        <v>0</v>
      </c>
      <c r="Q462" s="108">
        <v>0</v>
      </c>
      <c r="R462" s="108">
        <v>0</v>
      </c>
      <c r="S462" s="108">
        <v>0</v>
      </c>
    </row>
    <row r="463" spans="1:19">
      <c r="A463" s="143">
        <v>45029</v>
      </c>
      <c r="B463" s="104" t="s">
        <v>37</v>
      </c>
      <c r="C463" s="145">
        <v>0</v>
      </c>
      <c r="D463" s="104">
        <v>0</v>
      </c>
      <c r="E463" s="106">
        <v>0</v>
      </c>
      <c r="F463" s="107">
        <v>0</v>
      </c>
      <c r="G463" s="106">
        <v>0</v>
      </c>
      <c r="H463" s="108">
        <v>0</v>
      </c>
      <c r="I463" s="108">
        <v>0</v>
      </c>
      <c r="J463" s="108">
        <v>0</v>
      </c>
      <c r="K463" s="108">
        <v>0</v>
      </c>
      <c r="L463" s="108">
        <v>0</v>
      </c>
      <c r="M463" s="108">
        <v>0</v>
      </c>
      <c r="N463" s="108">
        <v>0</v>
      </c>
      <c r="O463" s="108">
        <v>0</v>
      </c>
      <c r="P463" s="108">
        <v>0</v>
      </c>
      <c r="Q463" s="108">
        <v>0</v>
      </c>
      <c r="R463" s="108">
        <v>0</v>
      </c>
      <c r="S463" s="108">
        <v>0</v>
      </c>
    </row>
    <row r="464" spans="1:19">
      <c r="A464" s="143">
        <v>45029</v>
      </c>
      <c r="B464" s="104" t="s">
        <v>38</v>
      </c>
      <c r="C464" s="145">
        <v>0</v>
      </c>
      <c r="D464" s="104">
        <v>0</v>
      </c>
      <c r="E464" s="106">
        <v>0</v>
      </c>
      <c r="F464" s="107">
        <v>0</v>
      </c>
      <c r="G464" s="106">
        <v>0</v>
      </c>
      <c r="H464" s="108">
        <v>0</v>
      </c>
      <c r="I464" s="108">
        <v>0</v>
      </c>
      <c r="J464" s="108">
        <v>0</v>
      </c>
      <c r="K464" s="108">
        <v>0</v>
      </c>
      <c r="L464" s="108">
        <v>0</v>
      </c>
      <c r="M464" s="108">
        <v>0</v>
      </c>
      <c r="N464" s="108">
        <v>0</v>
      </c>
      <c r="O464" s="108">
        <v>0</v>
      </c>
      <c r="P464" s="108">
        <v>0</v>
      </c>
      <c r="Q464" s="108">
        <v>0</v>
      </c>
      <c r="R464" s="108">
        <v>0</v>
      </c>
      <c r="S464" s="108">
        <v>0</v>
      </c>
    </row>
    <row r="465" spans="1:19">
      <c r="A465" s="143">
        <v>45029</v>
      </c>
      <c r="B465" s="111" t="s">
        <v>39</v>
      </c>
      <c r="C465" s="112">
        <v>24003</v>
      </c>
      <c r="D465" s="112">
        <v>275</v>
      </c>
      <c r="E465" s="113">
        <v>0.0114569012206807</v>
      </c>
      <c r="F465" s="112">
        <v>94</v>
      </c>
      <c r="G465" s="113">
        <v>0.341818181818182</v>
      </c>
      <c r="H465" s="108"/>
      <c r="I465" s="108"/>
      <c r="J465" s="108"/>
      <c r="K465" s="108"/>
      <c r="L465" s="108"/>
      <c r="M465" s="108"/>
      <c r="N465" s="108"/>
      <c r="O465" s="108"/>
      <c r="P465" s="108"/>
      <c r="Q465" s="108"/>
      <c r="R465" s="108"/>
      <c r="S465" s="108"/>
    </row>
    <row r="466" spans="1:19">
      <c r="A466" s="143">
        <v>45030</v>
      </c>
      <c r="B466" s="104" t="s">
        <v>17</v>
      </c>
      <c r="C466" s="105">
        <v>156</v>
      </c>
      <c r="D466" s="104">
        <v>27</v>
      </c>
      <c r="E466" s="106">
        <v>0.173076923076923</v>
      </c>
      <c r="F466" s="107">
        <v>4</v>
      </c>
      <c r="G466" s="106">
        <v>0.148148148148148</v>
      </c>
      <c r="H466" s="108">
        <v>-78</v>
      </c>
      <c r="I466" s="108">
        <v>-76.6666666666667</v>
      </c>
      <c r="J466" s="108">
        <v>-48.2</v>
      </c>
      <c r="K466" s="108">
        <v>-32.2857142857143</v>
      </c>
      <c r="L466" s="108">
        <v>-4</v>
      </c>
      <c r="M466" s="108">
        <v>-4.33333333333333</v>
      </c>
      <c r="N466" s="108">
        <v>-3.8</v>
      </c>
      <c r="O466" s="108">
        <v>-2.71428571428572</v>
      </c>
      <c r="P466" s="108">
        <v>-2</v>
      </c>
      <c r="Q466" s="108">
        <v>-2.33333333333333</v>
      </c>
      <c r="R466" s="108">
        <v>-1</v>
      </c>
      <c r="S466" s="108">
        <v>-0.428571428571429</v>
      </c>
    </row>
    <row r="467" spans="1:19">
      <c r="A467" s="143">
        <v>45030</v>
      </c>
      <c r="B467" s="104" t="s">
        <v>19</v>
      </c>
      <c r="C467" s="107">
        <v>1066</v>
      </c>
      <c r="D467" s="104">
        <v>24</v>
      </c>
      <c r="E467" s="106">
        <v>0.0225140712945591</v>
      </c>
      <c r="F467" s="107">
        <v>8</v>
      </c>
      <c r="G467" s="106">
        <v>0.333333333333333</v>
      </c>
      <c r="H467" s="108">
        <v>146</v>
      </c>
      <c r="I467" s="108">
        <v>247.333333333333</v>
      </c>
      <c r="J467" s="108">
        <v>337.2</v>
      </c>
      <c r="K467" s="108">
        <v>311.571428571429</v>
      </c>
      <c r="L467" s="108">
        <v>6</v>
      </c>
      <c r="M467" s="108">
        <v>6.66666666666667</v>
      </c>
      <c r="N467" s="108">
        <v>3.4</v>
      </c>
      <c r="O467" s="108">
        <v>-0.714285714285715</v>
      </c>
      <c r="P467" s="108">
        <v>1</v>
      </c>
      <c r="Q467" s="108">
        <v>-1.66666666666667</v>
      </c>
      <c r="R467" s="108">
        <v>-2.6</v>
      </c>
      <c r="S467" s="115">
        <v>-2</v>
      </c>
    </row>
    <row r="468" spans="1:19">
      <c r="A468" s="143">
        <v>45030</v>
      </c>
      <c r="B468" s="104" t="s">
        <v>21</v>
      </c>
      <c r="C468" s="145">
        <v>406</v>
      </c>
      <c r="D468" s="104">
        <v>28</v>
      </c>
      <c r="E468" s="106">
        <v>0.0689655172413793</v>
      </c>
      <c r="F468" s="107">
        <v>9</v>
      </c>
      <c r="G468" s="106">
        <v>0.321428571428571</v>
      </c>
      <c r="H468" s="108">
        <v>36</v>
      </c>
      <c r="I468" s="108">
        <v>-3.66666666666669</v>
      </c>
      <c r="J468" s="108">
        <v>3</v>
      </c>
      <c r="K468" s="108">
        <v>-37.5714285714286</v>
      </c>
      <c r="L468" s="108">
        <v>1</v>
      </c>
      <c r="M468" s="108">
        <v>2.33333333333333</v>
      </c>
      <c r="N468" s="108">
        <v>3.6</v>
      </c>
      <c r="O468" s="108">
        <v>3.85714285714286</v>
      </c>
      <c r="P468" s="108">
        <v>1</v>
      </c>
      <c r="Q468" s="108">
        <v>0.666666666666666</v>
      </c>
      <c r="R468" s="108">
        <v>-0.4</v>
      </c>
      <c r="S468" s="108">
        <v>0</v>
      </c>
    </row>
    <row r="469" spans="1:19">
      <c r="A469" s="143">
        <v>45030</v>
      </c>
      <c r="B469" s="104" t="s">
        <v>22</v>
      </c>
      <c r="C469" s="145">
        <v>4246</v>
      </c>
      <c r="D469" s="104">
        <v>92</v>
      </c>
      <c r="E469" s="106">
        <v>0.0216674517192652</v>
      </c>
      <c r="F469" s="107">
        <v>36</v>
      </c>
      <c r="G469" s="106">
        <v>0.391304347826087</v>
      </c>
      <c r="H469" s="108">
        <v>111</v>
      </c>
      <c r="I469" s="108">
        <v>54.333333333333</v>
      </c>
      <c r="J469" s="108">
        <v>18</v>
      </c>
      <c r="K469" s="108">
        <v>-37.5714285714284</v>
      </c>
      <c r="L469" s="108">
        <v>-1</v>
      </c>
      <c r="M469" s="108">
        <v>3.33333333333333</v>
      </c>
      <c r="N469" s="108">
        <v>-4.2</v>
      </c>
      <c r="O469" s="115">
        <v>-8.14285714285714</v>
      </c>
      <c r="P469" s="108">
        <v>-1</v>
      </c>
      <c r="Q469" s="108">
        <v>2.66666666666666</v>
      </c>
      <c r="R469" s="108">
        <v>1.8</v>
      </c>
      <c r="S469" s="117">
        <v>6.28571428571428</v>
      </c>
    </row>
    <row r="470" spans="1:19">
      <c r="A470" s="143">
        <v>45030</v>
      </c>
      <c r="B470" s="104" t="s">
        <v>23</v>
      </c>
      <c r="C470" s="145">
        <v>2593</v>
      </c>
      <c r="D470" s="104">
        <v>27</v>
      </c>
      <c r="E470" s="106">
        <v>0.0104126494408022</v>
      </c>
      <c r="F470" s="107">
        <v>6</v>
      </c>
      <c r="G470" s="106">
        <v>0.222222222222222</v>
      </c>
      <c r="H470" s="108">
        <v>212</v>
      </c>
      <c r="I470" s="108">
        <v>172.666666666667</v>
      </c>
      <c r="J470" s="108">
        <v>113.8</v>
      </c>
      <c r="K470" s="108">
        <v>2.14285714285734</v>
      </c>
      <c r="L470" s="108">
        <v>0</v>
      </c>
      <c r="M470" s="108">
        <v>-5</v>
      </c>
      <c r="N470" s="108">
        <v>-5.2</v>
      </c>
      <c r="O470" s="108">
        <v>-4.71428571428572</v>
      </c>
      <c r="P470" s="108">
        <v>-3</v>
      </c>
      <c r="Q470" s="116">
        <v>-5.66666666666667</v>
      </c>
      <c r="R470" s="108">
        <v>-5.2</v>
      </c>
      <c r="S470" s="108">
        <v>-5.71428571428571</v>
      </c>
    </row>
    <row r="471" spans="1:19">
      <c r="A471" s="143">
        <v>45030</v>
      </c>
      <c r="B471" s="104" t="s">
        <v>24</v>
      </c>
      <c r="C471" s="145">
        <v>266</v>
      </c>
      <c r="D471" s="104">
        <v>5</v>
      </c>
      <c r="E471" s="106">
        <v>0.018796992481203</v>
      </c>
      <c r="F471" s="107">
        <v>1</v>
      </c>
      <c r="G471" s="106">
        <v>0.2</v>
      </c>
      <c r="H471" s="108">
        <v>-219</v>
      </c>
      <c r="I471" s="108">
        <v>-181</v>
      </c>
      <c r="J471" s="108">
        <v>-194.4</v>
      </c>
      <c r="K471" s="108">
        <v>-196.285714285714</v>
      </c>
      <c r="L471" s="115">
        <v>-2</v>
      </c>
      <c r="M471" s="115">
        <v>-2.33333333333333</v>
      </c>
      <c r="N471" s="117">
        <v>-1.6</v>
      </c>
      <c r="O471" s="117">
        <v>-1.71428571428571</v>
      </c>
      <c r="P471" s="115">
        <v>-1</v>
      </c>
      <c r="Q471" s="115">
        <v>-0.333333333333333</v>
      </c>
      <c r="R471" s="115">
        <v>-0.4</v>
      </c>
      <c r="S471" s="115">
        <v>-0.714285714285714</v>
      </c>
    </row>
    <row r="472" spans="1:19">
      <c r="A472" s="143">
        <v>45030</v>
      </c>
      <c r="B472" s="104" t="s">
        <v>25</v>
      </c>
      <c r="C472" s="145">
        <v>9880</v>
      </c>
      <c r="D472" s="104">
        <v>34</v>
      </c>
      <c r="E472" s="106">
        <v>0.0034412955465587</v>
      </c>
      <c r="F472" s="107">
        <v>14</v>
      </c>
      <c r="G472" s="106">
        <v>0.411764705882353</v>
      </c>
      <c r="H472" s="108">
        <v>540</v>
      </c>
      <c r="I472" s="108">
        <v>2834.66666666667</v>
      </c>
      <c r="J472" s="108">
        <v>2719.4</v>
      </c>
      <c r="K472" s="108">
        <v>913.142857142857</v>
      </c>
      <c r="L472" s="116">
        <v>-1</v>
      </c>
      <c r="M472" s="115">
        <v>-1</v>
      </c>
      <c r="N472" s="115">
        <v>0</v>
      </c>
      <c r="O472" s="115">
        <v>-3.42857142857143</v>
      </c>
      <c r="P472" s="108">
        <v>3</v>
      </c>
      <c r="Q472" s="108">
        <v>1</v>
      </c>
      <c r="R472" s="108">
        <v>0.6</v>
      </c>
      <c r="S472" s="108">
        <v>-6.14285714285714</v>
      </c>
    </row>
    <row r="473" spans="1:19">
      <c r="A473" s="143">
        <v>45030</v>
      </c>
      <c r="B473" s="104" t="s">
        <v>26</v>
      </c>
      <c r="C473" s="145">
        <v>5868</v>
      </c>
      <c r="D473" s="104">
        <v>32</v>
      </c>
      <c r="E473" s="106">
        <v>0.005453306066803</v>
      </c>
      <c r="F473" s="107">
        <v>11</v>
      </c>
      <c r="G473" s="106">
        <v>0.34375</v>
      </c>
      <c r="H473" s="108">
        <v>112</v>
      </c>
      <c r="I473" s="108">
        <v>1535.33333333333</v>
      </c>
      <c r="J473" s="108">
        <v>2395.2</v>
      </c>
      <c r="K473" s="108">
        <v>2900.28571428571</v>
      </c>
      <c r="L473" s="108">
        <v>1</v>
      </c>
      <c r="M473" s="108">
        <v>-9</v>
      </c>
      <c r="N473" s="108">
        <v>-12.8</v>
      </c>
      <c r="O473" s="108">
        <v>-20</v>
      </c>
      <c r="P473" s="108">
        <v>-3</v>
      </c>
      <c r="Q473" s="108">
        <v>-3</v>
      </c>
      <c r="R473" s="108">
        <v>-5.4</v>
      </c>
      <c r="S473" s="108">
        <v>-8.28571428571428</v>
      </c>
    </row>
    <row r="474" spans="1:19">
      <c r="A474" s="143">
        <v>45030</v>
      </c>
      <c r="B474" s="104" t="s">
        <v>27</v>
      </c>
      <c r="C474" s="145">
        <v>338</v>
      </c>
      <c r="D474" s="104">
        <v>6</v>
      </c>
      <c r="E474" s="106">
        <v>0.0177514792899408</v>
      </c>
      <c r="F474" s="107">
        <v>1</v>
      </c>
      <c r="G474" s="106">
        <v>0.166666666666667</v>
      </c>
      <c r="H474" s="108">
        <v>-42</v>
      </c>
      <c r="I474" s="108">
        <v>68.3333333333333</v>
      </c>
      <c r="J474" s="108">
        <v>155.2</v>
      </c>
      <c r="K474" s="108">
        <v>187.285714285714</v>
      </c>
      <c r="L474" s="108">
        <v>0</v>
      </c>
      <c r="M474" s="108">
        <v>2</v>
      </c>
      <c r="N474" s="108">
        <v>2.2</v>
      </c>
      <c r="O474" s="108">
        <v>1.71428571428571</v>
      </c>
      <c r="P474" s="108">
        <v>1</v>
      </c>
      <c r="Q474" s="108">
        <v>0.333333333333333</v>
      </c>
      <c r="R474" s="108">
        <v>-0.2</v>
      </c>
      <c r="S474" s="108">
        <v>0</v>
      </c>
    </row>
    <row r="475" spans="1:19">
      <c r="A475" s="143">
        <v>45030</v>
      </c>
      <c r="B475" s="104" t="s">
        <v>28</v>
      </c>
      <c r="C475" s="145">
        <v>0</v>
      </c>
      <c r="D475" s="104">
        <v>0</v>
      </c>
      <c r="E475" s="106">
        <v>0</v>
      </c>
      <c r="F475" s="107">
        <v>0</v>
      </c>
      <c r="G475" s="106">
        <v>0</v>
      </c>
      <c r="H475" s="108">
        <v>0</v>
      </c>
      <c r="I475" s="108">
        <v>0</v>
      </c>
      <c r="J475" s="108">
        <v>0</v>
      </c>
      <c r="K475" s="108">
        <v>0</v>
      </c>
      <c r="L475" s="108">
        <v>0</v>
      </c>
      <c r="M475" s="108">
        <v>-0.666666666666667</v>
      </c>
      <c r="N475" s="108">
        <v>-0.4</v>
      </c>
      <c r="O475" s="108">
        <v>-0.285714285714286</v>
      </c>
      <c r="P475" s="108">
        <v>0</v>
      </c>
      <c r="Q475" s="108">
        <v>-0.333333333333333</v>
      </c>
      <c r="R475" s="108">
        <v>-0.2</v>
      </c>
      <c r="S475" s="108">
        <v>-0.142857142857143</v>
      </c>
    </row>
    <row r="476" spans="1:19">
      <c r="A476" s="143">
        <v>45030</v>
      </c>
      <c r="B476" s="104" t="s">
        <v>29</v>
      </c>
      <c r="C476" s="145">
        <v>0</v>
      </c>
      <c r="D476" s="104">
        <v>1</v>
      </c>
      <c r="E476" s="106">
        <v>1</v>
      </c>
      <c r="F476" s="107">
        <v>0</v>
      </c>
      <c r="G476" s="106">
        <v>0</v>
      </c>
      <c r="H476" s="108">
        <v>-2</v>
      </c>
      <c r="I476" s="108">
        <v>-2</v>
      </c>
      <c r="J476" s="108">
        <v>-1.4</v>
      </c>
      <c r="K476" s="108">
        <v>-1.14285714285714</v>
      </c>
      <c r="L476" s="108">
        <v>1</v>
      </c>
      <c r="M476" s="108">
        <v>0.666666666666667</v>
      </c>
      <c r="N476" s="108">
        <v>0.6</v>
      </c>
      <c r="O476" s="108">
        <v>0.571428571428571</v>
      </c>
      <c r="P476" s="108">
        <v>0</v>
      </c>
      <c r="Q476" s="108">
        <v>0</v>
      </c>
      <c r="R476" s="108">
        <v>0</v>
      </c>
      <c r="S476" s="108">
        <v>-0.142857142857143</v>
      </c>
    </row>
    <row r="477" spans="1:19">
      <c r="A477" s="143">
        <v>45030</v>
      </c>
      <c r="B477" s="104" t="s">
        <v>30</v>
      </c>
      <c r="C477" s="145">
        <v>0</v>
      </c>
      <c r="D477" s="104">
        <v>0</v>
      </c>
      <c r="E477" s="106">
        <v>0</v>
      </c>
      <c r="F477" s="107">
        <v>0</v>
      </c>
      <c r="G477" s="106">
        <v>0</v>
      </c>
      <c r="H477" s="108">
        <v>0</v>
      </c>
      <c r="I477" s="108">
        <v>0</v>
      </c>
      <c r="J477" s="108">
        <v>0</v>
      </c>
      <c r="K477" s="108">
        <v>0</v>
      </c>
      <c r="L477" s="108">
        <v>0</v>
      </c>
      <c r="M477" s="108">
        <v>0</v>
      </c>
      <c r="N477" s="108">
        <v>0</v>
      </c>
      <c r="O477" s="108">
        <v>0</v>
      </c>
      <c r="P477" s="108">
        <v>0</v>
      </c>
      <c r="Q477" s="108">
        <v>0</v>
      </c>
      <c r="R477" s="108">
        <v>0</v>
      </c>
      <c r="S477" s="108">
        <v>0</v>
      </c>
    </row>
    <row r="478" spans="1:19">
      <c r="A478" s="143">
        <v>45030</v>
      </c>
      <c r="B478" s="104" t="s">
        <v>31</v>
      </c>
      <c r="C478" s="145">
        <v>0</v>
      </c>
      <c r="D478" s="104">
        <v>0</v>
      </c>
      <c r="E478" s="106">
        <v>0</v>
      </c>
      <c r="F478" s="107">
        <v>0</v>
      </c>
      <c r="G478" s="106">
        <v>0</v>
      </c>
      <c r="H478" s="108">
        <v>0</v>
      </c>
      <c r="I478" s="108">
        <v>0</v>
      </c>
      <c r="J478" s="108">
        <v>0</v>
      </c>
      <c r="K478" s="108">
        <v>0</v>
      </c>
      <c r="L478" s="108">
        <v>0</v>
      </c>
      <c r="M478" s="108">
        <v>0</v>
      </c>
      <c r="N478" s="108">
        <v>0</v>
      </c>
      <c r="O478" s="108">
        <v>-0.142857142857143</v>
      </c>
      <c r="P478" s="108">
        <v>0</v>
      </c>
      <c r="Q478" s="108">
        <v>0</v>
      </c>
      <c r="R478" s="108">
        <v>0</v>
      </c>
      <c r="S478" s="108">
        <v>0</v>
      </c>
    </row>
    <row r="479" spans="1:19">
      <c r="A479" s="143">
        <v>45030</v>
      </c>
      <c r="B479" s="104" t="s">
        <v>32</v>
      </c>
      <c r="C479" s="145">
        <v>0</v>
      </c>
      <c r="D479" s="104">
        <v>0</v>
      </c>
      <c r="E479" s="106">
        <v>0</v>
      </c>
      <c r="F479" s="107">
        <v>0</v>
      </c>
      <c r="G479" s="106">
        <v>0</v>
      </c>
      <c r="H479" s="108">
        <v>0</v>
      </c>
      <c r="I479" s="108">
        <v>0</v>
      </c>
      <c r="J479" s="108">
        <v>0</v>
      </c>
      <c r="K479" s="108">
        <v>0</v>
      </c>
      <c r="L479" s="108">
        <v>0</v>
      </c>
      <c r="M479" s="108">
        <v>0</v>
      </c>
      <c r="N479" s="108">
        <v>0</v>
      </c>
      <c r="O479" s="108">
        <v>0</v>
      </c>
      <c r="P479" s="108">
        <v>0</v>
      </c>
      <c r="Q479" s="108">
        <v>0</v>
      </c>
      <c r="R479" s="108">
        <v>0</v>
      </c>
      <c r="S479" s="108">
        <v>0</v>
      </c>
    </row>
    <row r="480" spans="1:19">
      <c r="A480" s="143">
        <v>45030</v>
      </c>
      <c r="B480" s="104" t="s">
        <v>33</v>
      </c>
      <c r="C480" s="145">
        <v>0</v>
      </c>
      <c r="D480" s="104">
        <v>0</v>
      </c>
      <c r="E480" s="106">
        <v>0</v>
      </c>
      <c r="F480" s="107">
        <v>0</v>
      </c>
      <c r="G480" s="106">
        <v>0</v>
      </c>
      <c r="H480" s="108">
        <v>0</v>
      </c>
      <c r="I480" s="108">
        <v>0</v>
      </c>
      <c r="J480" s="108">
        <v>0</v>
      </c>
      <c r="K480" s="108">
        <v>0</v>
      </c>
      <c r="L480" s="108">
        <v>0</v>
      </c>
      <c r="M480" s="108">
        <v>0</v>
      </c>
      <c r="N480" s="108">
        <v>0</v>
      </c>
      <c r="O480" s="108">
        <v>0</v>
      </c>
      <c r="P480" s="108">
        <v>0</v>
      </c>
      <c r="Q480" s="108">
        <v>0</v>
      </c>
      <c r="R480" s="108">
        <v>0</v>
      </c>
      <c r="S480" s="108">
        <v>0</v>
      </c>
    </row>
    <row r="481" spans="1:19">
      <c r="A481" s="143">
        <v>45030</v>
      </c>
      <c r="B481" s="104" t="s">
        <v>34</v>
      </c>
      <c r="C481" s="145">
        <v>0</v>
      </c>
      <c r="D481" s="104">
        <v>0</v>
      </c>
      <c r="E481" s="106">
        <v>0</v>
      </c>
      <c r="F481" s="107">
        <v>0</v>
      </c>
      <c r="G481" s="106">
        <v>0</v>
      </c>
      <c r="H481" s="108">
        <v>0</v>
      </c>
      <c r="I481" s="108">
        <v>0</v>
      </c>
      <c r="J481" s="108">
        <v>0</v>
      </c>
      <c r="K481" s="108">
        <v>0</v>
      </c>
      <c r="L481" s="108">
        <v>0</v>
      </c>
      <c r="M481" s="108">
        <v>0</v>
      </c>
      <c r="N481" s="108">
        <v>0</v>
      </c>
      <c r="O481" s="108">
        <v>0</v>
      </c>
      <c r="P481" s="108">
        <v>0</v>
      </c>
      <c r="Q481" s="108">
        <v>0</v>
      </c>
      <c r="R481" s="108">
        <v>0</v>
      </c>
      <c r="S481" s="108">
        <v>0</v>
      </c>
    </row>
    <row r="482" spans="1:19">
      <c r="A482" s="143">
        <v>45030</v>
      </c>
      <c r="B482" s="104" t="s">
        <v>35</v>
      </c>
      <c r="C482" s="145">
        <v>0</v>
      </c>
      <c r="D482" s="104">
        <v>0</v>
      </c>
      <c r="E482" s="106">
        <v>0</v>
      </c>
      <c r="F482" s="107">
        <v>0</v>
      </c>
      <c r="G482" s="106">
        <v>0</v>
      </c>
      <c r="H482" s="108">
        <v>0</v>
      </c>
      <c r="I482" s="108">
        <v>0</v>
      </c>
      <c r="J482" s="108">
        <v>0</v>
      </c>
      <c r="K482" s="108">
        <v>0</v>
      </c>
      <c r="L482" s="108">
        <v>0</v>
      </c>
      <c r="M482" s="108">
        <v>0</v>
      </c>
      <c r="N482" s="108">
        <v>0</v>
      </c>
      <c r="O482" s="108">
        <v>0</v>
      </c>
      <c r="P482" s="108">
        <v>0</v>
      </c>
      <c r="Q482" s="108">
        <v>0</v>
      </c>
      <c r="R482" s="108">
        <v>0</v>
      </c>
      <c r="S482" s="108">
        <v>0</v>
      </c>
    </row>
    <row r="483" spans="1:19">
      <c r="A483" s="143">
        <v>45030</v>
      </c>
      <c r="B483" s="104" t="s">
        <v>36</v>
      </c>
      <c r="C483" s="145">
        <v>0</v>
      </c>
      <c r="D483" s="104">
        <v>0</v>
      </c>
      <c r="E483" s="106">
        <v>0</v>
      </c>
      <c r="F483" s="107">
        <v>0</v>
      </c>
      <c r="G483" s="106">
        <v>0</v>
      </c>
      <c r="H483" s="108">
        <v>0</v>
      </c>
      <c r="I483" s="108">
        <v>0</v>
      </c>
      <c r="J483" s="108">
        <v>0</v>
      </c>
      <c r="K483" s="108">
        <v>0</v>
      </c>
      <c r="L483" s="108">
        <v>0</v>
      </c>
      <c r="M483" s="108">
        <v>0</v>
      </c>
      <c r="N483" s="108">
        <v>0</v>
      </c>
      <c r="O483" s="108">
        <v>0</v>
      </c>
      <c r="P483" s="108">
        <v>0</v>
      </c>
      <c r="Q483" s="108">
        <v>0</v>
      </c>
      <c r="R483" s="108">
        <v>0</v>
      </c>
      <c r="S483" s="108">
        <v>0</v>
      </c>
    </row>
    <row r="484" spans="1:19">
      <c r="A484" s="143">
        <v>45030</v>
      </c>
      <c r="B484" s="104" t="s">
        <v>37</v>
      </c>
      <c r="C484" s="145">
        <v>0</v>
      </c>
      <c r="D484" s="104">
        <v>0</v>
      </c>
      <c r="E484" s="106">
        <v>0</v>
      </c>
      <c r="F484" s="107">
        <v>0</v>
      </c>
      <c r="G484" s="106">
        <v>0</v>
      </c>
      <c r="H484" s="108">
        <v>0</v>
      </c>
      <c r="I484" s="108">
        <v>0</v>
      </c>
      <c r="J484" s="108">
        <v>0</v>
      </c>
      <c r="K484" s="108">
        <v>0</v>
      </c>
      <c r="L484" s="108">
        <v>0</v>
      </c>
      <c r="M484" s="108">
        <v>0</v>
      </c>
      <c r="N484" s="108">
        <v>0</v>
      </c>
      <c r="O484" s="108">
        <v>0</v>
      </c>
      <c r="P484" s="108">
        <v>0</v>
      </c>
      <c r="Q484" s="108">
        <v>0</v>
      </c>
      <c r="R484" s="108">
        <v>0</v>
      </c>
      <c r="S484" s="108">
        <v>0</v>
      </c>
    </row>
    <row r="485" spans="1:19">
      <c r="A485" s="143">
        <v>45030</v>
      </c>
      <c r="B485" s="104" t="s">
        <v>38</v>
      </c>
      <c r="C485" s="145">
        <v>0</v>
      </c>
      <c r="D485" s="104">
        <v>0</v>
      </c>
      <c r="E485" s="106">
        <v>0</v>
      </c>
      <c r="F485" s="107">
        <v>0</v>
      </c>
      <c r="G485" s="106">
        <v>0</v>
      </c>
      <c r="H485" s="108">
        <v>0</v>
      </c>
      <c r="I485" s="108">
        <v>0</v>
      </c>
      <c r="J485" s="108">
        <v>0</v>
      </c>
      <c r="K485" s="108">
        <v>0</v>
      </c>
      <c r="L485" s="108">
        <v>0</v>
      </c>
      <c r="M485" s="108">
        <v>0</v>
      </c>
      <c r="N485" s="108">
        <v>0</v>
      </c>
      <c r="O485" s="108">
        <v>0</v>
      </c>
      <c r="P485" s="108">
        <v>0</v>
      </c>
      <c r="Q485" s="108">
        <v>0</v>
      </c>
      <c r="R485" s="108">
        <v>0</v>
      </c>
      <c r="S485" s="108">
        <v>0</v>
      </c>
    </row>
    <row r="486" spans="1:19">
      <c r="A486" s="143">
        <v>45030</v>
      </c>
      <c r="B486" s="111" t="s">
        <v>39</v>
      </c>
      <c r="C486" s="112">
        <v>24819</v>
      </c>
      <c r="D486" s="112">
        <v>276</v>
      </c>
      <c r="E486" s="113">
        <v>0.0111205125105766</v>
      </c>
      <c r="F486" s="112">
        <v>90</v>
      </c>
      <c r="G486" s="113">
        <v>0.326086956521739</v>
      </c>
      <c r="H486" s="108"/>
      <c r="I486" s="108"/>
      <c r="J486" s="108"/>
      <c r="K486" s="108"/>
      <c r="L486" s="108"/>
      <c r="M486" s="108"/>
      <c r="N486" s="108"/>
      <c r="O486" s="108"/>
      <c r="P486" s="108"/>
      <c r="Q486" s="108"/>
      <c r="R486" s="108"/>
      <c r="S486" s="108"/>
    </row>
    <row r="487" spans="1:19">
      <c r="A487" s="143">
        <v>45031</v>
      </c>
      <c r="B487" s="104" t="s">
        <v>17</v>
      </c>
      <c r="C487" s="105">
        <v>176</v>
      </c>
      <c r="D487" s="104">
        <v>29</v>
      </c>
      <c r="E487" s="106">
        <v>0.164772727272727</v>
      </c>
      <c r="F487" s="107">
        <v>5</v>
      </c>
      <c r="G487" s="106">
        <v>0.172413793103448</v>
      </c>
      <c r="H487" s="108">
        <v>20</v>
      </c>
      <c r="I487" s="108">
        <v>-36.6666666666667</v>
      </c>
      <c r="J487" s="108">
        <v>-28.2</v>
      </c>
      <c r="K487" s="108">
        <v>-18</v>
      </c>
      <c r="L487" s="108">
        <v>2</v>
      </c>
      <c r="M487" s="108">
        <v>-6.33333333333334</v>
      </c>
      <c r="N487" s="108">
        <v>-0.600000000000001</v>
      </c>
      <c r="O487" s="108">
        <v>-0.857142857142858</v>
      </c>
      <c r="P487" s="108">
        <v>1</v>
      </c>
      <c r="Q487" s="108">
        <v>-1.66666666666667</v>
      </c>
      <c r="R487" s="108">
        <v>0</v>
      </c>
      <c r="S487" s="108">
        <v>0.714285714285714</v>
      </c>
    </row>
    <row r="488" spans="1:19">
      <c r="A488" s="143">
        <v>45031</v>
      </c>
      <c r="B488" s="104" t="s">
        <v>19</v>
      </c>
      <c r="C488" s="107">
        <v>1508</v>
      </c>
      <c r="D488" s="104">
        <v>37</v>
      </c>
      <c r="E488" s="106">
        <v>0.0245358090185676</v>
      </c>
      <c r="F488" s="107">
        <v>11</v>
      </c>
      <c r="G488" s="106">
        <v>0.297297297297297</v>
      </c>
      <c r="H488" s="108">
        <v>442</v>
      </c>
      <c r="I488" s="108">
        <v>513.333333333333</v>
      </c>
      <c r="J488" s="108">
        <v>686.2</v>
      </c>
      <c r="K488" s="108">
        <v>710.428571428571</v>
      </c>
      <c r="L488" s="108">
        <v>13</v>
      </c>
      <c r="M488" s="108">
        <v>18.3333333333333</v>
      </c>
      <c r="N488" s="108">
        <v>17.2</v>
      </c>
      <c r="O488" s="108">
        <v>13.2857142857143</v>
      </c>
      <c r="P488" s="108">
        <v>3</v>
      </c>
      <c r="Q488" s="108">
        <v>3.33333333333333</v>
      </c>
      <c r="R488" s="108">
        <v>1.4</v>
      </c>
      <c r="S488" s="115">
        <v>1.14285714285714</v>
      </c>
    </row>
    <row r="489" spans="1:19">
      <c r="A489" s="143">
        <v>45031</v>
      </c>
      <c r="B489" s="104" t="s">
        <v>21</v>
      </c>
      <c r="C489" s="145">
        <v>416</v>
      </c>
      <c r="D489" s="104">
        <v>21</v>
      </c>
      <c r="E489" s="106">
        <v>0.0504807692307692</v>
      </c>
      <c r="F489" s="107">
        <v>11</v>
      </c>
      <c r="G489" s="106">
        <v>0.523809523809524</v>
      </c>
      <c r="H489" s="108">
        <v>10</v>
      </c>
      <c r="I489" s="108">
        <v>21.6666666666667</v>
      </c>
      <c r="J489" s="108">
        <v>9.60000000000002</v>
      </c>
      <c r="K489" s="108">
        <v>3.71428571428572</v>
      </c>
      <c r="L489" s="108">
        <v>-7</v>
      </c>
      <c r="M489" s="108">
        <v>-4.66666666666667</v>
      </c>
      <c r="N489" s="108">
        <v>-4.6</v>
      </c>
      <c r="O489" s="108">
        <v>-3.85714285714286</v>
      </c>
      <c r="P489" s="108">
        <v>2</v>
      </c>
      <c r="Q489" s="108">
        <v>2.33333333333333</v>
      </c>
      <c r="R489" s="108">
        <v>2</v>
      </c>
      <c r="S489" s="108">
        <v>2</v>
      </c>
    </row>
    <row r="490" spans="1:19">
      <c r="A490" s="143">
        <v>45031</v>
      </c>
      <c r="B490" s="104" t="s">
        <v>22</v>
      </c>
      <c r="C490" s="145">
        <v>4435</v>
      </c>
      <c r="D490" s="104">
        <v>106</v>
      </c>
      <c r="E490" s="106">
        <v>0.0239007891770011</v>
      </c>
      <c r="F490" s="107">
        <v>37</v>
      </c>
      <c r="G490" s="106">
        <v>0.349056603773585</v>
      </c>
      <c r="H490" s="108">
        <v>189</v>
      </c>
      <c r="I490" s="108">
        <v>238</v>
      </c>
      <c r="J490" s="108">
        <v>252.2</v>
      </c>
      <c r="K490" s="108">
        <v>145.142857142857</v>
      </c>
      <c r="L490" s="108">
        <v>14</v>
      </c>
      <c r="M490" s="108">
        <v>19</v>
      </c>
      <c r="N490" s="108">
        <v>14.6</v>
      </c>
      <c r="O490" s="115">
        <v>7.57142857142857</v>
      </c>
      <c r="P490" s="108">
        <v>1</v>
      </c>
      <c r="Q490" s="108">
        <v>1</v>
      </c>
      <c r="R490" s="108">
        <v>3.2</v>
      </c>
      <c r="S490" s="117">
        <v>5.57142857142857</v>
      </c>
    </row>
    <row r="491" spans="1:19">
      <c r="A491" s="143">
        <v>45031</v>
      </c>
      <c r="B491" s="104" t="s">
        <v>23</v>
      </c>
      <c r="C491" s="145">
        <v>2617</v>
      </c>
      <c r="D491" s="104">
        <v>19</v>
      </c>
      <c r="E491" s="106">
        <v>0.00726022162781811</v>
      </c>
      <c r="F491" s="107">
        <v>13</v>
      </c>
      <c r="G491" s="106">
        <v>0.684210526315789</v>
      </c>
      <c r="H491" s="108">
        <v>24</v>
      </c>
      <c r="I491" s="108">
        <v>155.666666666667</v>
      </c>
      <c r="J491" s="108">
        <v>152.4</v>
      </c>
      <c r="K491" s="108">
        <v>62.1428571428573</v>
      </c>
      <c r="L491" s="108">
        <v>-8</v>
      </c>
      <c r="M491" s="108">
        <v>-11</v>
      </c>
      <c r="N491" s="108">
        <v>-12.4</v>
      </c>
      <c r="O491" s="108">
        <v>-13.2857142857143</v>
      </c>
      <c r="P491" s="108">
        <v>7</v>
      </c>
      <c r="Q491" s="116">
        <v>3.66666666666667</v>
      </c>
      <c r="R491" s="108">
        <v>2.2</v>
      </c>
      <c r="S491" s="108">
        <v>2.14285714285714</v>
      </c>
    </row>
    <row r="492" spans="1:19">
      <c r="A492" s="143">
        <v>45031</v>
      </c>
      <c r="B492" s="104" t="s">
        <v>24</v>
      </c>
      <c r="C492" s="145">
        <v>361</v>
      </c>
      <c r="D492" s="104">
        <v>2</v>
      </c>
      <c r="E492" s="106">
        <v>0.00554016620498615</v>
      </c>
      <c r="F492" s="107">
        <v>2</v>
      </c>
      <c r="G492" s="106">
        <v>1</v>
      </c>
      <c r="H492" s="108">
        <v>95</v>
      </c>
      <c r="I492" s="108">
        <v>-35.3333333333333</v>
      </c>
      <c r="J492" s="108">
        <v>-61.6</v>
      </c>
      <c r="K492" s="108">
        <v>-74.1428571428572</v>
      </c>
      <c r="L492" s="115">
        <v>-3</v>
      </c>
      <c r="M492" s="115">
        <v>-4</v>
      </c>
      <c r="N492" s="117">
        <v>-4.6</v>
      </c>
      <c r="O492" s="117">
        <v>-4.42857142857143</v>
      </c>
      <c r="P492" s="115">
        <v>1</v>
      </c>
      <c r="Q492" s="115">
        <v>0.333333333333333</v>
      </c>
      <c r="R492" s="115">
        <v>0.4</v>
      </c>
      <c r="S492" s="115">
        <v>0.428571428571429</v>
      </c>
    </row>
    <row r="493" spans="1:19">
      <c r="A493" s="143">
        <v>45031</v>
      </c>
      <c r="B493" s="104" t="s">
        <v>25</v>
      </c>
      <c r="C493" s="145">
        <v>10730</v>
      </c>
      <c r="D493" s="104">
        <v>28</v>
      </c>
      <c r="E493" s="106">
        <v>0.00260950605778192</v>
      </c>
      <c r="F493" s="107">
        <v>12</v>
      </c>
      <c r="G493" s="106">
        <v>0.428571428571429</v>
      </c>
      <c r="H493" s="108">
        <v>850</v>
      </c>
      <c r="I493" s="108">
        <v>1395.33333333333</v>
      </c>
      <c r="J493" s="108">
        <v>3822.8</v>
      </c>
      <c r="K493" s="108">
        <v>2515.14285714286</v>
      </c>
      <c r="L493" s="116">
        <v>-6</v>
      </c>
      <c r="M493" s="115">
        <v>-7</v>
      </c>
      <c r="N493" s="115">
        <v>-5.2</v>
      </c>
      <c r="O493" s="115">
        <v>-8.28571428571428</v>
      </c>
      <c r="P493" s="108">
        <v>-2</v>
      </c>
      <c r="Q493" s="108">
        <v>-2</v>
      </c>
      <c r="R493" s="108">
        <v>-0.6</v>
      </c>
      <c r="S493" s="108">
        <v>-7.85714285714286</v>
      </c>
    </row>
    <row r="494" spans="1:19">
      <c r="A494" s="143">
        <v>45031</v>
      </c>
      <c r="B494" s="104" t="s">
        <v>26</v>
      </c>
      <c r="C494" s="145">
        <v>3454</v>
      </c>
      <c r="D494" s="104">
        <v>20</v>
      </c>
      <c r="E494" s="106">
        <v>0.00579038795599305</v>
      </c>
      <c r="F494" s="107">
        <v>16</v>
      </c>
      <c r="G494" s="106">
        <v>0.8</v>
      </c>
      <c r="H494" s="108">
        <v>-2414</v>
      </c>
      <c r="I494" s="108">
        <v>-2272.66666666667</v>
      </c>
      <c r="J494" s="108">
        <v>-728</v>
      </c>
      <c r="K494" s="108">
        <v>-147</v>
      </c>
      <c r="L494" s="108">
        <v>-12</v>
      </c>
      <c r="M494" s="108">
        <v>-17.3333333333333</v>
      </c>
      <c r="N494" s="108">
        <v>-20</v>
      </c>
      <c r="O494" s="108">
        <v>-27</v>
      </c>
      <c r="P494" s="108">
        <v>5</v>
      </c>
      <c r="Q494" s="108">
        <v>2</v>
      </c>
      <c r="R494" s="108">
        <v>1.8</v>
      </c>
      <c r="S494" s="108">
        <v>-2.14285714285714</v>
      </c>
    </row>
    <row r="495" spans="1:19">
      <c r="A495" s="143">
        <v>45031</v>
      </c>
      <c r="B495" s="104" t="s">
        <v>27</v>
      </c>
      <c r="C495" s="145">
        <v>324</v>
      </c>
      <c r="D495" s="104">
        <v>0</v>
      </c>
      <c r="E495" s="106">
        <v>0</v>
      </c>
      <c r="F495" s="107">
        <v>0</v>
      </c>
      <c r="G495" s="106">
        <v>0</v>
      </c>
      <c r="H495" s="108">
        <v>-14</v>
      </c>
      <c r="I495" s="108">
        <v>-26</v>
      </c>
      <c r="J495" s="108">
        <v>84.2</v>
      </c>
      <c r="K495" s="108">
        <v>133.714285714286</v>
      </c>
      <c r="L495" s="108">
        <v>-6</v>
      </c>
      <c r="M495" s="108">
        <v>-5</v>
      </c>
      <c r="N495" s="108">
        <v>-4.2</v>
      </c>
      <c r="O495" s="108">
        <v>-4.71428571428571</v>
      </c>
      <c r="P495" s="108">
        <v>-1</v>
      </c>
      <c r="Q495" s="108">
        <v>-0.666666666666667</v>
      </c>
      <c r="R495" s="108">
        <v>-1</v>
      </c>
      <c r="S495" s="108">
        <v>-1</v>
      </c>
    </row>
    <row r="496" spans="1:19">
      <c r="A496" s="143">
        <v>45031</v>
      </c>
      <c r="B496" s="104" t="s">
        <v>28</v>
      </c>
      <c r="C496" s="145">
        <v>0</v>
      </c>
      <c r="D496" s="104">
        <v>0</v>
      </c>
      <c r="E496" s="106">
        <v>0</v>
      </c>
      <c r="F496" s="107">
        <v>0</v>
      </c>
      <c r="G496" s="106">
        <v>0</v>
      </c>
      <c r="H496" s="108">
        <v>0</v>
      </c>
      <c r="I496" s="108">
        <v>0</v>
      </c>
      <c r="J496" s="108">
        <v>0</v>
      </c>
      <c r="K496" s="108">
        <v>0</v>
      </c>
      <c r="L496" s="108">
        <v>0</v>
      </c>
      <c r="M496" s="108">
        <v>-0.333333333333333</v>
      </c>
      <c r="N496" s="108">
        <v>-0.4</v>
      </c>
      <c r="O496" s="108">
        <v>-0.285714285714286</v>
      </c>
      <c r="P496" s="108">
        <v>0</v>
      </c>
      <c r="Q496" s="108">
        <v>-0.333333333333333</v>
      </c>
      <c r="R496" s="108">
        <v>-0.2</v>
      </c>
      <c r="S496" s="108">
        <v>-0.142857142857143</v>
      </c>
    </row>
    <row r="497" spans="1:19">
      <c r="A497" s="143">
        <v>45031</v>
      </c>
      <c r="B497" s="104" t="s">
        <v>29</v>
      </c>
      <c r="C497" s="145">
        <v>0</v>
      </c>
      <c r="D497" s="104">
        <v>0</v>
      </c>
      <c r="E497" s="106">
        <v>0</v>
      </c>
      <c r="F497" s="107">
        <v>0</v>
      </c>
      <c r="G497" s="106">
        <v>0</v>
      </c>
      <c r="H497" s="108">
        <v>0</v>
      </c>
      <c r="I497" s="108">
        <v>-1.66666666666667</v>
      </c>
      <c r="J497" s="108">
        <v>-1.4</v>
      </c>
      <c r="K497" s="108">
        <v>-1</v>
      </c>
      <c r="L497" s="108">
        <v>-1</v>
      </c>
      <c r="M497" s="108">
        <v>-0.333333333333333</v>
      </c>
      <c r="N497" s="108">
        <v>-0.6</v>
      </c>
      <c r="O497" s="108">
        <v>-0.571428571428571</v>
      </c>
      <c r="P497" s="108">
        <v>0</v>
      </c>
      <c r="Q497" s="108">
        <v>0</v>
      </c>
      <c r="R497" s="108">
        <v>0</v>
      </c>
      <c r="S497" s="108">
        <v>-0.142857142857143</v>
      </c>
    </row>
    <row r="498" spans="1:19">
      <c r="A498" s="143">
        <v>45031</v>
      </c>
      <c r="B498" s="104" t="s">
        <v>30</v>
      </c>
      <c r="C498" s="145">
        <v>0</v>
      </c>
      <c r="D498" s="104">
        <v>0</v>
      </c>
      <c r="E498" s="106">
        <v>0</v>
      </c>
      <c r="F498" s="107">
        <v>0</v>
      </c>
      <c r="G498" s="106">
        <v>0</v>
      </c>
      <c r="H498" s="108">
        <v>0</v>
      </c>
      <c r="I498" s="108">
        <v>0</v>
      </c>
      <c r="J498" s="108">
        <v>0</v>
      </c>
      <c r="K498" s="108">
        <v>0</v>
      </c>
      <c r="L498" s="108">
        <v>0</v>
      </c>
      <c r="M498" s="108">
        <v>0</v>
      </c>
      <c r="N498" s="108">
        <v>0</v>
      </c>
      <c r="O498" s="108">
        <v>0</v>
      </c>
      <c r="P498" s="108">
        <v>0</v>
      </c>
      <c r="Q498" s="108">
        <v>0</v>
      </c>
      <c r="R498" s="108">
        <v>0</v>
      </c>
      <c r="S498" s="108">
        <v>0</v>
      </c>
    </row>
    <row r="499" spans="1:19">
      <c r="A499" s="143">
        <v>45031</v>
      </c>
      <c r="B499" s="104" t="s">
        <v>31</v>
      </c>
      <c r="C499" s="145">
        <v>0</v>
      </c>
      <c r="D499" s="104">
        <v>0</v>
      </c>
      <c r="E499" s="106">
        <v>0</v>
      </c>
      <c r="F499" s="107">
        <v>0</v>
      </c>
      <c r="G499" s="106">
        <v>0</v>
      </c>
      <c r="H499" s="108">
        <v>0</v>
      </c>
      <c r="I499" s="108">
        <v>0</v>
      </c>
      <c r="J499" s="108">
        <v>0</v>
      </c>
      <c r="K499" s="108">
        <v>0</v>
      </c>
      <c r="L499" s="108">
        <v>0</v>
      </c>
      <c r="M499" s="108">
        <v>0</v>
      </c>
      <c r="N499" s="108">
        <v>0</v>
      </c>
      <c r="O499" s="108">
        <v>-0.142857142857143</v>
      </c>
      <c r="P499" s="108">
        <v>0</v>
      </c>
      <c r="Q499" s="108">
        <v>0</v>
      </c>
      <c r="R499" s="108">
        <v>0</v>
      </c>
      <c r="S499" s="108">
        <v>0</v>
      </c>
    </row>
    <row r="500" spans="1:19">
      <c r="A500" s="143">
        <v>45031</v>
      </c>
      <c r="B500" s="104" t="s">
        <v>32</v>
      </c>
      <c r="C500" s="145">
        <v>0</v>
      </c>
      <c r="D500" s="104">
        <v>0</v>
      </c>
      <c r="E500" s="106">
        <v>0</v>
      </c>
      <c r="F500" s="107">
        <v>0</v>
      </c>
      <c r="G500" s="106">
        <v>0</v>
      </c>
      <c r="H500" s="108">
        <v>0</v>
      </c>
      <c r="I500" s="108">
        <v>0</v>
      </c>
      <c r="J500" s="108">
        <v>0</v>
      </c>
      <c r="K500" s="108">
        <v>0</v>
      </c>
      <c r="L500" s="108">
        <v>0</v>
      </c>
      <c r="M500" s="108">
        <v>0</v>
      </c>
      <c r="N500" s="108">
        <v>0</v>
      </c>
      <c r="O500" s="108">
        <v>0</v>
      </c>
      <c r="P500" s="108">
        <v>0</v>
      </c>
      <c r="Q500" s="108">
        <v>0</v>
      </c>
      <c r="R500" s="108">
        <v>0</v>
      </c>
      <c r="S500" s="108">
        <v>0</v>
      </c>
    </row>
    <row r="501" spans="1:19">
      <c r="A501" s="143">
        <v>45031</v>
      </c>
      <c r="B501" s="104" t="s">
        <v>33</v>
      </c>
      <c r="C501" s="145">
        <v>0</v>
      </c>
      <c r="D501" s="104">
        <v>0</v>
      </c>
      <c r="E501" s="106">
        <v>0</v>
      </c>
      <c r="F501" s="107">
        <v>0</v>
      </c>
      <c r="G501" s="106">
        <v>0</v>
      </c>
      <c r="H501" s="108">
        <v>0</v>
      </c>
      <c r="I501" s="108">
        <v>0</v>
      </c>
      <c r="J501" s="108">
        <v>0</v>
      </c>
      <c r="K501" s="108">
        <v>0</v>
      </c>
      <c r="L501" s="108">
        <v>0</v>
      </c>
      <c r="M501" s="108">
        <v>0</v>
      </c>
      <c r="N501" s="108">
        <v>0</v>
      </c>
      <c r="O501" s="108">
        <v>0</v>
      </c>
      <c r="P501" s="108">
        <v>0</v>
      </c>
      <c r="Q501" s="108">
        <v>0</v>
      </c>
      <c r="R501" s="108">
        <v>0</v>
      </c>
      <c r="S501" s="108">
        <v>0</v>
      </c>
    </row>
    <row r="502" spans="1:19">
      <c r="A502" s="143">
        <v>45031</v>
      </c>
      <c r="B502" s="104" t="s">
        <v>34</v>
      </c>
      <c r="C502" s="145">
        <v>0</v>
      </c>
      <c r="D502" s="104">
        <v>0</v>
      </c>
      <c r="E502" s="106">
        <v>0</v>
      </c>
      <c r="F502" s="107">
        <v>0</v>
      </c>
      <c r="G502" s="106">
        <v>0</v>
      </c>
      <c r="H502" s="108">
        <v>0</v>
      </c>
      <c r="I502" s="108">
        <v>0</v>
      </c>
      <c r="J502" s="108">
        <v>0</v>
      </c>
      <c r="K502" s="108">
        <v>0</v>
      </c>
      <c r="L502" s="108">
        <v>0</v>
      </c>
      <c r="M502" s="108">
        <v>0</v>
      </c>
      <c r="N502" s="108">
        <v>0</v>
      </c>
      <c r="O502" s="108">
        <v>0</v>
      </c>
      <c r="P502" s="108">
        <v>0</v>
      </c>
      <c r="Q502" s="108">
        <v>0</v>
      </c>
      <c r="R502" s="108">
        <v>0</v>
      </c>
      <c r="S502" s="108">
        <v>0</v>
      </c>
    </row>
    <row r="503" spans="1:19">
      <c r="A503" s="143">
        <v>45031</v>
      </c>
      <c r="B503" s="104" t="s">
        <v>35</v>
      </c>
      <c r="C503" s="145">
        <v>0</v>
      </c>
      <c r="D503" s="104">
        <v>0</v>
      </c>
      <c r="E503" s="106">
        <v>0</v>
      </c>
      <c r="F503" s="107">
        <v>0</v>
      </c>
      <c r="G503" s="106">
        <v>0</v>
      </c>
      <c r="H503" s="108">
        <v>0</v>
      </c>
      <c r="I503" s="108">
        <v>0</v>
      </c>
      <c r="J503" s="108">
        <v>0</v>
      </c>
      <c r="K503" s="108">
        <v>0</v>
      </c>
      <c r="L503" s="108">
        <v>0</v>
      </c>
      <c r="M503" s="108">
        <v>0</v>
      </c>
      <c r="N503" s="108">
        <v>0</v>
      </c>
      <c r="O503" s="108">
        <v>0</v>
      </c>
      <c r="P503" s="108">
        <v>0</v>
      </c>
      <c r="Q503" s="108">
        <v>0</v>
      </c>
      <c r="R503" s="108">
        <v>0</v>
      </c>
      <c r="S503" s="108">
        <v>0</v>
      </c>
    </row>
    <row r="504" spans="1:19">
      <c r="A504" s="143">
        <v>45031</v>
      </c>
      <c r="B504" s="104" t="s">
        <v>36</v>
      </c>
      <c r="C504" s="145">
        <v>0</v>
      </c>
      <c r="D504" s="104">
        <v>0</v>
      </c>
      <c r="E504" s="106">
        <v>0</v>
      </c>
      <c r="F504" s="107">
        <v>0</v>
      </c>
      <c r="G504" s="106">
        <v>0</v>
      </c>
      <c r="H504" s="108">
        <v>0</v>
      </c>
      <c r="I504" s="108">
        <v>0</v>
      </c>
      <c r="J504" s="108">
        <v>0</v>
      </c>
      <c r="K504" s="108">
        <v>0</v>
      </c>
      <c r="L504" s="108">
        <v>0</v>
      </c>
      <c r="M504" s="108">
        <v>0</v>
      </c>
      <c r="N504" s="108">
        <v>0</v>
      </c>
      <c r="O504" s="108">
        <v>0</v>
      </c>
      <c r="P504" s="108">
        <v>0</v>
      </c>
      <c r="Q504" s="108">
        <v>0</v>
      </c>
      <c r="R504" s="108">
        <v>0</v>
      </c>
      <c r="S504" s="108">
        <v>0</v>
      </c>
    </row>
    <row r="505" spans="1:19">
      <c r="A505" s="143">
        <v>45031</v>
      </c>
      <c r="B505" s="104" t="s">
        <v>37</v>
      </c>
      <c r="C505" s="145">
        <v>0</v>
      </c>
      <c r="D505" s="104">
        <v>0</v>
      </c>
      <c r="E505" s="106">
        <v>0</v>
      </c>
      <c r="F505" s="107">
        <v>0</v>
      </c>
      <c r="G505" s="106">
        <v>0</v>
      </c>
      <c r="H505" s="108">
        <v>0</v>
      </c>
      <c r="I505" s="108">
        <v>0</v>
      </c>
      <c r="J505" s="108">
        <v>0</v>
      </c>
      <c r="K505" s="108">
        <v>0</v>
      </c>
      <c r="L505" s="108">
        <v>0</v>
      </c>
      <c r="M505" s="108">
        <v>0</v>
      </c>
      <c r="N505" s="108">
        <v>0</v>
      </c>
      <c r="O505" s="108">
        <v>0</v>
      </c>
      <c r="P505" s="108">
        <v>0</v>
      </c>
      <c r="Q505" s="108">
        <v>0</v>
      </c>
      <c r="R505" s="108">
        <v>0</v>
      </c>
      <c r="S505" s="108">
        <v>0</v>
      </c>
    </row>
    <row r="506" spans="1:19">
      <c r="A506" s="143">
        <v>45031</v>
      </c>
      <c r="B506" s="104" t="s">
        <v>38</v>
      </c>
      <c r="C506" s="145">
        <v>0</v>
      </c>
      <c r="D506" s="104">
        <v>0</v>
      </c>
      <c r="E506" s="106">
        <v>0</v>
      </c>
      <c r="F506" s="107">
        <v>0</v>
      </c>
      <c r="G506" s="106">
        <v>0</v>
      </c>
      <c r="H506" s="108">
        <v>0</v>
      </c>
      <c r="I506" s="108">
        <v>0</v>
      </c>
      <c r="J506" s="108">
        <v>0</v>
      </c>
      <c r="K506" s="108">
        <v>0</v>
      </c>
      <c r="L506" s="108">
        <v>0</v>
      </c>
      <c r="M506" s="108">
        <v>0</v>
      </c>
      <c r="N506" s="108">
        <v>0</v>
      </c>
      <c r="O506" s="108">
        <v>0</v>
      </c>
      <c r="P506" s="108">
        <v>0</v>
      </c>
      <c r="Q506" s="108">
        <v>0</v>
      </c>
      <c r="R506" s="108">
        <v>0</v>
      </c>
      <c r="S506" s="108">
        <v>0</v>
      </c>
    </row>
    <row r="507" spans="1:19">
      <c r="A507" s="143">
        <v>45031</v>
      </c>
      <c r="B507" s="111" t="s">
        <v>39</v>
      </c>
      <c r="C507" s="112">
        <v>24021</v>
      </c>
      <c r="D507" s="112">
        <v>262</v>
      </c>
      <c r="E507" s="113">
        <v>0.0109071229340993</v>
      </c>
      <c r="F507" s="112">
        <v>107</v>
      </c>
      <c r="G507" s="113">
        <v>0.408396946564886</v>
      </c>
      <c r="H507" s="108"/>
      <c r="I507" s="108"/>
      <c r="J507" s="108"/>
      <c r="K507" s="108"/>
      <c r="L507" s="108"/>
      <c r="M507" s="108"/>
      <c r="N507" s="108"/>
      <c r="O507" s="108"/>
      <c r="P507" s="108"/>
      <c r="Q507" s="108"/>
      <c r="R507" s="108"/>
      <c r="S507" s="108"/>
    </row>
    <row r="508" spans="1:19">
      <c r="A508" s="143">
        <v>45032</v>
      </c>
      <c r="B508" s="104" t="s">
        <v>17</v>
      </c>
      <c r="C508" s="105">
        <v>698</v>
      </c>
      <c r="D508" s="104">
        <v>30</v>
      </c>
      <c r="E508" s="106">
        <v>0.0429799426934097</v>
      </c>
      <c r="F508" s="107">
        <v>9</v>
      </c>
      <c r="G508" s="106">
        <v>0.3</v>
      </c>
      <c r="H508" s="108">
        <v>522</v>
      </c>
      <c r="I508" s="108">
        <v>509.333333333333</v>
      </c>
      <c r="J508" s="108">
        <v>492</v>
      </c>
      <c r="K508" s="108">
        <v>504.714285714286</v>
      </c>
      <c r="L508" s="108">
        <v>1</v>
      </c>
      <c r="M508" s="108">
        <v>1</v>
      </c>
      <c r="N508" s="108">
        <v>0</v>
      </c>
      <c r="O508" s="108">
        <v>0</v>
      </c>
      <c r="P508" s="108">
        <v>4</v>
      </c>
      <c r="Q508" s="108">
        <v>4</v>
      </c>
      <c r="R508" s="108">
        <v>3.4</v>
      </c>
      <c r="S508" s="108">
        <v>4.14285714285714</v>
      </c>
    </row>
    <row r="509" spans="1:19">
      <c r="A509" s="143">
        <v>45032</v>
      </c>
      <c r="B509" s="104" t="s">
        <v>19</v>
      </c>
      <c r="C509" s="107">
        <v>1482</v>
      </c>
      <c r="D509" s="104">
        <v>39</v>
      </c>
      <c r="E509" s="106">
        <v>0.0263157894736842</v>
      </c>
      <c r="F509" s="107">
        <v>14</v>
      </c>
      <c r="G509" s="106">
        <v>0.358974358974359</v>
      </c>
      <c r="H509" s="108">
        <v>-26</v>
      </c>
      <c r="I509" s="108">
        <v>317.333333333333</v>
      </c>
      <c r="J509" s="108">
        <v>476</v>
      </c>
      <c r="K509" s="108">
        <v>593.714285714286</v>
      </c>
      <c r="L509" s="108">
        <v>2</v>
      </c>
      <c r="M509" s="108">
        <v>12.6666666666667</v>
      </c>
      <c r="N509" s="108">
        <v>16.4</v>
      </c>
      <c r="O509" s="108">
        <v>15.5714285714286</v>
      </c>
      <c r="P509" s="108">
        <v>3</v>
      </c>
      <c r="Q509" s="108">
        <v>5.33333333333333</v>
      </c>
      <c r="R509" s="108">
        <v>4.4</v>
      </c>
      <c r="S509" s="115">
        <v>3.71428571428571</v>
      </c>
    </row>
    <row r="510" spans="1:19">
      <c r="A510" s="143">
        <v>45032</v>
      </c>
      <c r="B510" s="104" t="s">
        <v>21</v>
      </c>
      <c r="C510" s="145">
        <v>516</v>
      </c>
      <c r="D510" s="104">
        <v>23</v>
      </c>
      <c r="E510" s="106">
        <v>0.0445736434108527</v>
      </c>
      <c r="F510" s="107">
        <v>6</v>
      </c>
      <c r="G510" s="106">
        <v>0.260869565217391</v>
      </c>
      <c r="H510" s="108">
        <v>100</v>
      </c>
      <c r="I510" s="108">
        <v>118.666666666667</v>
      </c>
      <c r="J510" s="108">
        <v>105.8</v>
      </c>
      <c r="K510" s="108">
        <v>110.714285714286</v>
      </c>
      <c r="L510" s="108">
        <v>2</v>
      </c>
      <c r="M510" s="108">
        <v>-2.33333333333333</v>
      </c>
      <c r="N510" s="108">
        <v>-2.2</v>
      </c>
      <c r="O510" s="108">
        <v>-1.42857142857143</v>
      </c>
      <c r="P510" s="108">
        <v>-5</v>
      </c>
      <c r="Q510" s="108">
        <v>-3.33333333333333</v>
      </c>
      <c r="R510" s="108">
        <v>-3</v>
      </c>
      <c r="S510" s="108">
        <v>-3.57142857142857</v>
      </c>
    </row>
    <row r="511" spans="1:19">
      <c r="A511" s="143">
        <v>45032</v>
      </c>
      <c r="B511" s="104" t="s">
        <v>22</v>
      </c>
      <c r="C511" s="145">
        <v>4442</v>
      </c>
      <c r="D511" s="104">
        <v>105</v>
      </c>
      <c r="E511" s="106">
        <v>0.0236380009004953</v>
      </c>
      <c r="F511" s="107">
        <v>39</v>
      </c>
      <c r="G511" s="106">
        <v>0.371428571428571</v>
      </c>
      <c r="H511" s="108">
        <v>7</v>
      </c>
      <c r="I511" s="108">
        <v>170</v>
      </c>
      <c r="J511" s="108">
        <v>190.8</v>
      </c>
      <c r="K511" s="108">
        <v>181.857142857143</v>
      </c>
      <c r="L511" s="108">
        <v>-1</v>
      </c>
      <c r="M511" s="108">
        <v>8</v>
      </c>
      <c r="N511" s="108">
        <v>12.2</v>
      </c>
      <c r="O511" s="115">
        <v>8</v>
      </c>
      <c r="P511" s="108">
        <v>2</v>
      </c>
      <c r="Q511" s="108">
        <v>2.33333333333334</v>
      </c>
      <c r="R511" s="108">
        <v>4.4</v>
      </c>
      <c r="S511" s="117">
        <v>4.14285714285715</v>
      </c>
    </row>
    <row r="512" spans="1:19">
      <c r="A512" s="143">
        <v>45032</v>
      </c>
      <c r="B512" s="104" t="s">
        <v>23</v>
      </c>
      <c r="C512" s="145">
        <v>2814</v>
      </c>
      <c r="D512" s="104">
        <v>35</v>
      </c>
      <c r="E512" s="106">
        <v>0.0124378109452736</v>
      </c>
      <c r="F512" s="107">
        <v>12</v>
      </c>
      <c r="G512" s="106">
        <v>0.342857142857143</v>
      </c>
      <c r="H512" s="108">
        <v>197</v>
      </c>
      <c r="I512" s="108">
        <v>283.666666666667</v>
      </c>
      <c r="J512" s="108">
        <v>319.8</v>
      </c>
      <c r="K512" s="108">
        <v>298.857142857143</v>
      </c>
      <c r="L512" s="108">
        <v>16</v>
      </c>
      <c r="M512" s="108">
        <v>10.6666666666667</v>
      </c>
      <c r="N512" s="108">
        <v>6.6</v>
      </c>
      <c r="O512" s="108">
        <v>5.42857142857143</v>
      </c>
      <c r="P512" s="108">
        <v>-1</v>
      </c>
      <c r="Q512" s="116">
        <v>2.66666666666667</v>
      </c>
      <c r="R512" s="108">
        <v>1.2</v>
      </c>
      <c r="S512" s="108">
        <v>1.28571428571429</v>
      </c>
    </row>
    <row r="513" spans="1:19">
      <c r="A513" s="143">
        <v>45032</v>
      </c>
      <c r="B513" s="104" t="s">
        <v>24</v>
      </c>
      <c r="C513" s="145">
        <v>484</v>
      </c>
      <c r="D513" s="104">
        <v>3</v>
      </c>
      <c r="E513" s="106">
        <v>0.00619834710743802</v>
      </c>
      <c r="F513" s="107">
        <v>4</v>
      </c>
      <c r="G513" s="106">
        <v>1.33333333333333</v>
      </c>
      <c r="H513" s="108">
        <v>123</v>
      </c>
      <c r="I513" s="108">
        <v>113.333333333333</v>
      </c>
      <c r="J513" s="108">
        <v>90.4</v>
      </c>
      <c r="K513" s="108">
        <v>65.5714285714286</v>
      </c>
      <c r="L513" s="115">
        <v>1</v>
      </c>
      <c r="M513" s="115">
        <v>-1.66666666666667</v>
      </c>
      <c r="N513" s="117">
        <v>-2.8</v>
      </c>
      <c r="O513" s="117">
        <v>-2.71428571428571</v>
      </c>
      <c r="P513" s="115">
        <v>2</v>
      </c>
      <c r="Q513" s="115">
        <v>2.33333333333333</v>
      </c>
      <c r="R513" s="115">
        <v>2.6</v>
      </c>
      <c r="S513" s="115">
        <v>2.57142857142857</v>
      </c>
    </row>
    <row r="514" spans="1:19">
      <c r="A514" s="143">
        <v>45032</v>
      </c>
      <c r="B514" s="104" t="s">
        <v>25</v>
      </c>
      <c r="C514" s="145">
        <v>12738</v>
      </c>
      <c r="D514" s="104">
        <v>54</v>
      </c>
      <c r="E514" s="106">
        <v>0.00423928403203015</v>
      </c>
      <c r="F514" s="107">
        <v>25</v>
      </c>
      <c r="G514" s="106">
        <v>0.462962962962963</v>
      </c>
      <c r="H514" s="108">
        <v>2008</v>
      </c>
      <c r="I514" s="108">
        <v>2754.66666666667</v>
      </c>
      <c r="J514" s="108">
        <v>4388.8</v>
      </c>
      <c r="K514" s="108">
        <v>4679</v>
      </c>
      <c r="L514" s="116">
        <v>26</v>
      </c>
      <c r="M514" s="115">
        <v>21.6666666666667</v>
      </c>
      <c r="N514" s="115">
        <v>20.6</v>
      </c>
      <c r="O514" s="115">
        <v>20.8571428571429</v>
      </c>
      <c r="P514" s="108">
        <v>13</v>
      </c>
      <c r="Q514" s="108">
        <v>12.6666666666667</v>
      </c>
      <c r="R514" s="108">
        <v>12</v>
      </c>
      <c r="S514" s="108">
        <v>11.7142857142857</v>
      </c>
    </row>
    <row r="515" spans="1:19">
      <c r="A515" s="143">
        <v>45032</v>
      </c>
      <c r="B515" s="104" t="s">
        <v>26</v>
      </c>
      <c r="C515" s="145">
        <v>2582</v>
      </c>
      <c r="D515" s="104">
        <v>38</v>
      </c>
      <c r="E515" s="106">
        <v>0.0147172734314485</v>
      </c>
      <c r="F515" s="107">
        <v>10</v>
      </c>
      <c r="G515" s="106">
        <v>0.263157894736842</v>
      </c>
      <c r="H515" s="108">
        <v>-872</v>
      </c>
      <c r="I515" s="108">
        <v>-2444</v>
      </c>
      <c r="J515" s="108">
        <v>-1882</v>
      </c>
      <c r="K515" s="108">
        <v>-1230.28571428571</v>
      </c>
      <c r="L515" s="108">
        <v>18</v>
      </c>
      <c r="M515" s="108">
        <v>10.3333333333333</v>
      </c>
      <c r="N515" s="108">
        <v>3</v>
      </c>
      <c r="O515" s="108">
        <v>-1.42857142857143</v>
      </c>
      <c r="P515" s="108">
        <v>-6</v>
      </c>
      <c r="Q515" s="108">
        <v>-3.66666666666667</v>
      </c>
      <c r="R515" s="108">
        <v>-3.8</v>
      </c>
      <c r="S515" s="108">
        <v>-5.57142857142857</v>
      </c>
    </row>
    <row r="516" spans="1:19">
      <c r="A516" s="143">
        <v>45032</v>
      </c>
      <c r="B516" s="104" t="s">
        <v>27</v>
      </c>
      <c r="C516" s="145">
        <v>278</v>
      </c>
      <c r="D516" s="104">
        <v>5</v>
      </c>
      <c r="E516" s="106">
        <v>0.0179856115107914</v>
      </c>
      <c r="F516" s="107">
        <v>2</v>
      </c>
      <c r="G516" s="106">
        <v>0.4</v>
      </c>
      <c r="H516" s="108">
        <v>-46</v>
      </c>
      <c r="I516" s="108">
        <v>-69.3333333333333</v>
      </c>
      <c r="J516" s="108">
        <v>-16.2</v>
      </c>
      <c r="K516" s="108">
        <v>52.8571428571429</v>
      </c>
      <c r="L516" s="108">
        <v>5</v>
      </c>
      <c r="M516" s="108">
        <v>1</v>
      </c>
      <c r="N516" s="108">
        <v>1.4</v>
      </c>
      <c r="O516" s="108">
        <v>1.42857142857143</v>
      </c>
      <c r="P516" s="108">
        <v>2</v>
      </c>
      <c r="Q516" s="108">
        <v>1.66666666666667</v>
      </c>
      <c r="R516" s="108">
        <v>1.4</v>
      </c>
      <c r="S516" s="108">
        <v>1</v>
      </c>
    </row>
    <row r="517" hidden="1" spans="1:19">
      <c r="A517" s="143">
        <v>45032</v>
      </c>
      <c r="B517" s="104" t="s">
        <v>28</v>
      </c>
      <c r="C517" s="145">
        <v>0</v>
      </c>
      <c r="D517" s="104">
        <v>0</v>
      </c>
      <c r="E517" s="106">
        <v>0</v>
      </c>
      <c r="F517" s="107">
        <v>0</v>
      </c>
      <c r="G517" s="106">
        <v>0</v>
      </c>
      <c r="H517" s="108">
        <v>0</v>
      </c>
      <c r="I517" s="108">
        <v>0</v>
      </c>
      <c r="J517" s="108">
        <v>0</v>
      </c>
      <c r="K517" s="108">
        <v>0</v>
      </c>
      <c r="L517" s="108">
        <v>0</v>
      </c>
      <c r="M517" s="108">
        <v>0</v>
      </c>
      <c r="N517" s="108">
        <v>-0.4</v>
      </c>
      <c r="O517" s="108">
        <v>-0.285714285714286</v>
      </c>
      <c r="P517" s="108">
        <v>0</v>
      </c>
      <c r="Q517" s="108">
        <v>0</v>
      </c>
      <c r="R517" s="108">
        <v>-0.2</v>
      </c>
      <c r="S517" s="108">
        <v>-0.142857142857143</v>
      </c>
    </row>
    <row r="518" hidden="1" spans="1:19">
      <c r="A518" s="143">
        <v>45032</v>
      </c>
      <c r="B518" s="104" t="s">
        <v>29</v>
      </c>
      <c r="C518" s="145">
        <v>0</v>
      </c>
      <c r="D518" s="104">
        <v>0</v>
      </c>
      <c r="E518" s="106">
        <v>0</v>
      </c>
      <c r="F518" s="107">
        <v>0</v>
      </c>
      <c r="G518" s="106">
        <v>0</v>
      </c>
      <c r="H518" s="108">
        <v>0</v>
      </c>
      <c r="I518" s="108">
        <v>-0.666666666666667</v>
      </c>
      <c r="J518" s="108">
        <v>-1.2</v>
      </c>
      <c r="K518" s="108">
        <v>-1</v>
      </c>
      <c r="L518" s="108">
        <v>0</v>
      </c>
      <c r="M518" s="108">
        <v>-0.333333333333333</v>
      </c>
      <c r="N518" s="108">
        <v>-0.4</v>
      </c>
      <c r="O518" s="108">
        <v>-0.428571428571429</v>
      </c>
      <c r="P518" s="108">
        <v>0</v>
      </c>
      <c r="Q518" s="108">
        <v>0</v>
      </c>
      <c r="R518" s="108">
        <v>0</v>
      </c>
      <c r="S518" s="108">
        <v>0</v>
      </c>
    </row>
    <row r="519" hidden="1" spans="1:19">
      <c r="A519" s="143">
        <v>45032</v>
      </c>
      <c r="B519" s="104" t="s">
        <v>30</v>
      </c>
      <c r="C519" s="145">
        <v>0</v>
      </c>
      <c r="D519" s="104">
        <v>0</v>
      </c>
      <c r="E519" s="106">
        <v>0</v>
      </c>
      <c r="F519" s="107">
        <v>0</v>
      </c>
      <c r="G519" s="106">
        <v>0</v>
      </c>
      <c r="H519" s="108">
        <v>0</v>
      </c>
      <c r="I519" s="108">
        <v>0</v>
      </c>
      <c r="J519" s="108">
        <v>0</v>
      </c>
      <c r="K519" s="108">
        <v>0</v>
      </c>
      <c r="L519" s="108">
        <v>0</v>
      </c>
      <c r="M519" s="108">
        <v>0</v>
      </c>
      <c r="N519" s="108">
        <v>0</v>
      </c>
      <c r="O519" s="108">
        <v>0</v>
      </c>
      <c r="P519" s="108">
        <v>0</v>
      </c>
      <c r="Q519" s="108">
        <v>0</v>
      </c>
      <c r="R519" s="108">
        <v>0</v>
      </c>
      <c r="S519" s="108">
        <v>0</v>
      </c>
    </row>
    <row r="520" hidden="1" spans="1:19">
      <c r="A520" s="143">
        <v>45032</v>
      </c>
      <c r="B520" s="104" t="s">
        <v>31</v>
      </c>
      <c r="C520" s="145">
        <v>0</v>
      </c>
      <c r="D520" s="104">
        <v>0</v>
      </c>
      <c r="E520" s="106">
        <v>0</v>
      </c>
      <c r="F520" s="107">
        <v>0</v>
      </c>
      <c r="G520" s="106">
        <v>0</v>
      </c>
      <c r="H520" s="108">
        <v>0</v>
      </c>
      <c r="I520" s="108">
        <v>0</v>
      </c>
      <c r="J520" s="108">
        <v>0</v>
      </c>
      <c r="K520" s="108">
        <v>0</v>
      </c>
      <c r="L520" s="108">
        <v>0</v>
      </c>
      <c r="M520" s="108">
        <v>0</v>
      </c>
      <c r="N520" s="108">
        <v>0</v>
      </c>
      <c r="O520" s="108">
        <v>0</v>
      </c>
      <c r="P520" s="108">
        <v>0</v>
      </c>
      <c r="Q520" s="108">
        <v>0</v>
      </c>
      <c r="R520" s="108">
        <v>0</v>
      </c>
      <c r="S520" s="108">
        <v>0</v>
      </c>
    </row>
    <row r="521" hidden="1" spans="1:19">
      <c r="A521" s="143">
        <v>45032</v>
      </c>
      <c r="B521" s="104" t="s">
        <v>32</v>
      </c>
      <c r="C521" s="145">
        <v>0</v>
      </c>
      <c r="D521" s="104">
        <v>0</v>
      </c>
      <c r="E521" s="106">
        <v>0</v>
      </c>
      <c r="F521" s="107">
        <v>0</v>
      </c>
      <c r="G521" s="106">
        <v>0</v>
      </c>
      <c r="H521" s="108">
        <v>0</v>
      </c>
      <c r="I521" s="108">
        <v>0</v>
      </c>
      <c r="J521" s="108">
        <v>0</v>
      </c>
      <c r="K521" s="108">
        <v>0</v>
      </c>
      <c r="L521" s="108">
        <v>0</v>
      </c>
      <c r="M521" s="108">
        <v>0</v>
      </c>
      <c r="N521" s="108">
        <v>0</v>
      </c>
      <c r="O521" s="108">
        <v>0</v>
      </c>
      <c r="P521" s="108">
        <v>0</v>
      </c>
      <c r="Q521" s="108">
        <v>0</v>
      </c>
      <c r="R521" s="108">
        <v>0</v>
      </c>
      <c r="S521" s="108">
        <v>0</v>
      </c>
    </row>
    <row r="522" hidden="1" spans="1:19">
      <c r="A522" s="143">
        <v>45032</v>
      </c>
      <c r="B522" s="104" t="s">
        <v>33</v>
      </c>
      <c r="C522" s="145">
        <v>0</v>
      </c>
      <c r="D522" s="104">
        <v>0</v>
      </c>
      <c r="E522" s="106">
        <v>0</v>
      </c>
      <c r="F522" s="107">
        <v>0</v>
      </c>
      <c r="G522" s="106">
        <v>0</v>
      </c>
      <c r="H522" s="108">
        <v>0</v>
      </c>
      <c r="I522" s="108">
        <v>0</v>
      </c>
      <c r="J522" s="108">
        <v>0</v>
      </c>
      <c r="K522" s="108">
        <v>0</v>
      </c>
      <c r="L522" s="108">
        <v>0</v>
      </c>
      <c r="M522" s="108">
        <v>0</v>
      </c>
      <c r="N522" s="108">
        <v>0</v>
      </c>
      <c r="O522" s="108">
        <v>0</v>
      </c>
      <c r="P522" s="108">
        <v>0</v>
      </c>
      <c r="Q522" s="108">
        <v>0</v>
      </c>
      <c r="R522" s="108">
        <v>0</v>
      </c>
      <c r="S522" s="108">
        <v>0</v>
      </c>
    </row>
    <row r="523" hidden="1" spans="1:19">
      <c r="A523" s="143">
        <v>45032</v>
      </c>
      <c r="B523" s="104" t="s">
        <v>34</v>
      </c>
      <c r="C523" s="145">
        <v>0</v>
      </c>
      <c r="D523" s="104">
        <v>0</v>
      </c>
      <c r="E523" s="106">
        <v>0</v>
      </c>
      <c r="F523" s="107">
        <v>0</v>
      </c>
      <c r="G523" s="106">
        <v>0</v>
      </c>
      <c r="H523" s="108">
        <v>0</v>
      </c>
      <c r="I523" s="108">
        <v>0</v>
      </c>
      <c r="J523" s="108">
        <v>0</v>
      </c>
      <c r="K523" s="108">
        <v>0</v>
      </c>
      <c r="L523" s="108">
        <v>0</v>
      </c>
      <c r="M523" s="108">
        <v>0</v>
      </c>
      <c r="N523" s="108">
        <v>0</v>
      </c>
      <c r="O523" s="108">
        <v>0</v>
      </c>
      <c r="P523" s="108">
        <v>0</v>
      </c>
      <c r="Q523" s="108">
        <v>0</v>
      </c>
      <c r="R523" s="108">
        <v>0</v>
      </c>
      <c r="S523" s="108">
        <v>0</v>
      </c>
    </row>
    <row r="524" hidden="1" spans="1:19">
      <c r="A524" s="143">
        <v>45032</v>
      </c>
      <c r="B524" s="104" t="s">
        <v>35</v>
      </c>
      <c r="C524" s="145">
        <v>0</v>
      </c>
      <c r="D524" s="104">
        <v>0</v>
      </c>
      <c r="E524" s="106">
        <v>0</v>
      </c>
      <c r="F524" s="107">
        <v>0</v>
      </c>
      <c r="G524" s="106">
        <v>0</v>
      </c>
      <c r="H524" s="108">
        <v>0</v>
      </c>
      <c r="I524" s="108">
        <v>0</v>
      </c>
      <c r="J524" s="108">
        <v>0</v>
      </c>
      <c r="K524" s="108">
        <v>0</v>
      </c>
      <c r="L524" s="108">
        <v>0</v>
      </c>
      <c r="M524" s="108">
        <v>0</v>
      </c>
      <c r="N524" s="108">
        <v>0</v>
      </c>
      <c r="O524" s="108">
        <v>0</v>
      </c>
      <c r="P524" s="108">
        <v>0</v>
      </c>
      <c r="Q524" s="108">
        <v>0</v>
      </c>
      <c r="R524" s="108">
        <v>0</v>
      </c>
      <c r="S524" s="108">
        <v>0</v>
      </c>
    </row>
    <row r="525" hidden="1" spans="1:19">
      <c r="A525" s="143">
        <v>45032</v>
      </c>
      <c r="B525" s="104" t="s">
        <v>36</v>
      </c>
      <c r="C525" s="145">
        <v>0</v>
      </c>
      <c r="D525" s="104">
        <v>0</v>
      </c>
      <c r="E525" s="106">
        <v>0</v>
      </c>
      <c r="F525" s="107">
        <v>0</v>
      </c>
      <c r="G525" s="106">
        <v>0</v>
      </c>
      <c r="H525" s="108">
        <v>0</v>
      </c>
      <c r="I525" s="108">
        <v>0</v>
      </c>
      <c r="J525" s="108">
        <v>0</v>
      </c>
      <c r="K525" s="108">
        <v>0</v>
      </c>
      <c r="L525" s="108">
        <v>0</v>
      </c>
      <c r="M525" s="108">
        <v>0</v>
      </c>
      <c r="N525" s="108">
        <v>0</v>
      </c>
      <c r="O525" s="108">
        <v>0</v>
      </c>
      <c r="P525" s="108">
        <v>0</v>
      </c>
      <c r="Q525" s="108">
        <v>0</v>
      </c>
      <c r="R525" s="108">
        <v>0</v>
      </c>
      <c r="S525" s="108">
        <v>0</v>
      </c>
    </row>
    <row r="526" hidden="1" spans="1:19">
      <c r="A526" s="143">
        <v>45032</v>
      </c>
      <c r="B526" s="104" t="s">
        <v>37</v>
      </c>
      <c r="C526" s="145">
        <v>0</v>
      </c>
      <c r="D526" s="104">
        <v>0</v>
      </c>
      <c r="E526" s="106">
        <v>0</v>
      </c>
      <c r="F526" s="107">
        <v>0</v>
      </c>
      <c r="G526" s="106">
        <v>0</v>
      </c>
      <c r="H526" s="108">
        <v>0</v>
      </c>
      <c r="I526" s="108">
        <v>0</v>
      </c>
      <c r="J526" s="108">
        <v>0</v>
      </c>
      <c r="K526" s="108">
        <v>0</v>
      </c>
      <c r="L526" s="108">
        <v>0</v>
      </c>
      <c r="M526" s="108">
        <v>0</v>
      </c>
      <c r="N526" s="108">
        <v>0</v>
      </c>
      <c r="O526" s="108">
        <v>0</v>
      </c>
      <c r="P526" s="108">
        <v>0</v>
      </c>
      <c r="Q526" s="108">
        <v>0</v>
      </c>
      <c r="R526" s="108">
        <v>0</v>
      </c>
      <c r="S526" s="108">
        <v>0</v>
      </c>
    </row>
    <row r="527" hidden="1" spans="1:19">
      <c r="A527" s="143">
        <v>45032</v>
      </c>
      <c r="B527" s="104" t="s">
        <v>38</v>
      </c>
      <c r="C527" s="145">
        <v>0</v>
      </c>
      <c r="D527" s="104">
        <v>0</v>
      </c>
      <c r="E527" s="106">
        <v>0</v>
      </c>
      <c r="F527" s="107">
        <v>0</v>
      </c>
      <c r="G527" s="106">
        <v>0</v>
      </c>
      <c r="H527" s="108">
        <v>0</v>
      </c>
      <c r="I527" s="108">
        <v>0</v>
      </c>
      <c r="J527" s="108">
        <v>0</v>
      </c>
      <c r="K527" s="108">
        <v>0</v>
      </c>
      <c r="L527" s="108">
        <v>0</v>
      </c>
      <c r="M527" s="108">
        <v>0</v>
      </c>
      <c r="N527" s="108">
        <v>0</v>
      </c>
      <c r="O527" s="108">
        <v>0</v>
      </c>
      <c r="P527" s="108">
        <v>0</v>
      </c>
      <c r="Q527" s="108">
        <v>0</v>
      </c>
      <c r="R527" s="108">
        <v>0</v>
      </c>
      <c r="S527" s="108">
        <v>0</v>
      </c>
    </row>
    <row r="528" spans="1:19">
      <c r="A528" s="143">
        <v>45032</v>
      </c>
      <c r="B528" s="111" t="s">
        <v>39</v>
      </c>
      <c r="C528" s="112">
        <v>26034</v>
      </c>
      <c r="D528" s="112">
        <v>332</v>
      </c>
      <c r="E528" s="113">
        <v>0.0127525543520012</v>
      </c>
      <c r="F528" s="112">
        <v>121</v>
      </c>
      <c r="G528" s="113">
        <v>0.364457831325301</v>
      </c>
      <c r="H528" s="108"/>
      <c r="I528" s="108"/>
      <c r="J528" s="108"/>
      <c r="K528" s="108"/>
      <c r="L528" s="108"/>
      <c r="M528" s="108"/>
      <c r="N528" s="108"/>
      <c r="O528" s="108"/>
      <c r="P528" s="108"/>
      <c r="Q528" s="108"/>
      <c r="R528" s="108"/>
      <c r="S528" s="108"/>
    </row>
    <row r="529" spans="1:19">
      <c r="A529" s="143">
        <v>45033</v>
      </c>
      <c r="B529" s="104" t="s">
        <v>17</v>
      </c>
      <c r="C529" s="105">
        <v>736</v>
      </c>
      <c r="D529" s="104">
        <v>25</v>
      </c>
      <c r="E529" s="106">
        <v>0.0339673913043478</v>
      </c>
      <c r="F529" s="107">
        <v>8</v>
      </c>
      <c r="G529" s="106">
        <v>0.32</v>
      </c>
      <c r="H529" s="108">
        <v>38</v>
      </c>
      <c r="I529" s="108">
        <v>392.666666666667</v>
      </c>
      <c r="J529" s="108">
        <v>433.6</v>
      </c>
      <c r="K529" s="108">
        <v>465.285714285714</v>
      </c>
      <c r="L529" s="108">
        <v>-5</v>
      </c>
      <c r="M529" s="108">
        <v>-3.66666666666667</v>
      </c>
      <c r="N529" s="108">
        <v>-8</v>
      </c>
      <c r="O529" s="108">
        <v>-4.57142857142857</v>
      </c>
      <c r="P529" s="108">
        <v>-1</v>
      </c>
      <c r="Q529" s="108">
        <v>2</v>
      </c>
      <c r="R529" s="108">
        <v>1.2</v>
      </c>
      <c r="S529" s="108">
        <v>2.42857142857143</v>
      </c>
    </row>
    <row r="530" spans="1:19">
      <c r="A530" s="143">
        <v>45033</v>
      </c>
      <c r="B530" s="104" t="s">
        <v>19</v>
      </c>
      <c r="C530" s="107">
        <v>1292</v>
      </c>
      <c r="D530" s="104">
        <v>25</v>
      </c>
      <c r="E530" s="106">
        <v>0.0193498452012384</v>
      </c>
      <c r="F530" s="107">
        <v>11</v>
      </c>
      <c r="G530" s="106">
        <v>0.44</v>
      </c>
      <c r="H530" s="108">
        <v>-190</v>
      </c>
      <c r="I530" s="108">
        <v>-60</v>
      </c>
      <c r="J530" s="108">
        <v>97.2</v>
      </c>
      <c r="K530" s="108">
        <v>277.857142857143</v>
      </c>
      <c r="L530" s="108">
        <v>-14</v>
      </c>
      <c r="M530" s="108">
        <v>-8.33333333333334</v>
      </c>
      <c r="N530" s="108">
        <v>-1.4</v>
      </c>
      <c r="O530" s="108">
        <v>0</v>
      </c>
      <c r="P530" s="108">
        <v>-3</v>
      </c>
      <c r="Q530" s="108">
        <v>0</v>
      </c>
      <c r="R530" s="108">
        <v>1.4</v>
      </c>
      <c r="S530" s="115">
        <v>0.571428571428571</v>
      </c>
    </row>
    <row r="531" spans="1:19">
      <c r="A531" s="143">
        <v>45033</v>
      </c>
      <c r="B531" s="104" t="s">
        <v>21</v>
      </c>
      <c r="C531" s="145">
        <v>593</v>
      </c>
      <c r="D531" s="104">
        <v>33</v>
      </c>
      <c r="E531" s="106">
        <v>0.0556492411467116</v>
      </c>
      <c r="F531" s="107">
        <v>11</v>
      </c>
      <c r="G531" s="106">
        <v>0.333333333333333</v>
      </c>
      <c r="H531" s="108">
        <v>77</v>
      </c>
      <c r="I531" s="108">
        <v>147</v>
      </c>
      <c r="J531" s="108">
        <v>170</v>
      </c>
      <c r="K531" s="108">
        <v>169.571428571429</v>
      </c>
      <c r="L531" s="108">
        <v>10</v>
      </c>
      <c r="M531" s="108">
        <v>9</v>
      </c>
      <c r="N531" s="108">
        <v>8.8</v>
      </c>
      <c r="O531" s="108">
        <v>8.42857142857143</v>
      </c>
      <c r="P531" s="108">
        <v>5</v>
      </c>
      <c r="Q531" s="108">
        <v>2.33333333333333</v>
      </c>
      <c r="R531" s="108">
        <v>2.4</v>
      </c>
      <c r="S531" s="108">
        <v>2.14285714285714</v>
      </c>
    </row>
    <row r="532" spans="1:19">
      <c r="A532" s="143">
        <v>45033</v>
      </c>
      <c r="B532" s="104" t="s">
        <v>22</v>
      </c>
      <c r="C532" s="145">
        <v>4063</v>
      </c>
      <c r="D532" s="104">
        <v>85</v>
      </c>
      <c r="E532" s="106">
        <v>0.0209205020920502</v>
      </c>
      <c r="F532" s="107">
        <v>30</v>
      </c>
      <c r="G532" s="106">
        <v>0.352941176470588</v>
      </c>
      <c r="H532" s="108">
        <v>-379</v>
      </c>
      <c r="I532" s="108">
        <v>-311.333333333333</v>
      </c>
      <c r="J532" s="108">
        <v>-230.6</v>
      </c>
      <c r="K532" s="108">
        <v>-192.857142857143</v>
      </c>
      <c r="L532" s="108">
        <v>-20</v>
      </c>
      <c r="M532" s="108">
        <v>-16</v>
      </c>
      <c r="N532" s="108">
        <v>-9.40000000000001</v>
      </c>
      <c r="O532" s="115">
        <v>-10.4285714285714</v>
      </c>
      <c r="P532" s="108">
        <v>-9</v>
      </c>
      <c r="Q532" s="108">
        <v>-7.33333333333334</v>
      </c>
      <c r="R532" s="108">
        <v>-6.8</v>
      </c>
      <c r="S532" s="117">
        <v>-5</v>
      </c>
    </row>
    <row r="533" spans="1:19">
      <c r="A533" s="143">
        <v>45033</v>
      </c>
      <c r="B533" s="104" t="s">
        <v>23</v>
      </c>
      <c r="C533" s="145">
        <v>2584</v>
      </c>
      <c r="D533" s="104">
        <v>35</v>
      </c>
      <c r="E533" s="106">
        <v>0.0135448916408669</v>
      </c>
      <c r="F533" s="107">
        <v>13</v>
      </c>
      <c r="G533" s="106">
        <v>0.371428571428571</v>
      </c>
      <c r="H533" s="108">
        <v>-230</v>
      </c>
      <c r="I533" s="108">
        <v>-90.6666666666665</v>
      </c>
      <c r="J533" s="108">
        <v>21</v>
      </c>
      <c r="K533" s="108">
        <v>47.7142857142858</v>
      </c>
      <c r="L533" s="108">
        <v>0</v>
      </c>
      <c r="M533" s="108">
        <v>8</v>
      </c>
      <c r="N533" s="108">
        <v>6.2</v>
      </c>
      <c r="O533" s="108">
        <v>4.85714285714286</v>
      </c>
      <c r="P533" s="108">
        <v>1</v>
      </c>
      <c r="Q533" s="116">
        <v>2.66666666666667</v>
      </c>
      <c r="R533" s="108">
        <v>2.4</v>
      </c>
      <c r="S533" s="108">
        <v>1.71428571428571</v>
      </c>
    </row>
    <row r="534" spans="1:19">
      <c r="A534" s="143">
        <v>45033</v>
      </c>
      <c r="B534" s="104" t="s">
        <v>24</v>
      </c>
      <c r="C534" s="145">
        <v>486</v>
      </c>
      <c r="D534" s="104">
        <v>11</v>
      </c>
      <c r="E534" s="106">
        <v>0.0226337448559671</v>
      </c>
      <c r="F534" s="107">
        <v>3</v>
      </c>
      <c r="G534" s="106">
        <v>0.272727272727273</v>
      </c>
      <c r="H534" s="108">
        <v>2</v>
      </c>
      <c r="I534" s="108">
        <v>115.666666666667</v>
      </c>
      <c r="J534" s="108">
        <v>79.2</v>
      </c>
      <c r="K534" s="108">
        <v>63.4285714285714</v>
      </c>
      <c r="L534" s="115">
        <v>8</v>
      </c>
      <c r="M534" s="115">
        <v>7.66666666666667</v>
      </c>
      <c r="N534" s="117">
        <v>6.4</v>
      </c>
      <c r="O534" s="117">
        <v>5.57142857142857</v>
      </c>
      <c r="P534" s="115">
        <v>-1</v>
      </c>
      <c r="Q534" s="115">
        <v>0.666666666666667</v>
      </c>
      <c r="R534" s="115">
        <v>0.8</v>
      </c>
      <c r="S534" s="115">
        <v>1</v>
      </c>
    </row>
    <row r="535" spans="1:19">
      <c r="A535" s="143">
        <v>45033</v>
      </c>
      <c r="B535" s="104" t="s">
        <v>25</v>
      </c>
      <c r="C535" s="145">
        <v>12390</v>
      </c>
      <c r="D535" s="104">
        <v>39</v>
      </c>
      <c r="E535" s="106">
        <v>0.00314769975786925</v>
      </c>
      <c r="F535" s="107">
        <v>6</v>
      </c>
      <c r="G535" s="106">
        <v>0.153846153846154</v>
      </c>
      <c r="H535" s="108">
        <v>-348</v>
      </c>
      <c r="I535" s="108">
        <v>1274</v>
      </c>
      <c r="J535" s="108">
        <v>2095.6</v>
      </c>
      <c r="K535" s="108">
        <v>4103.71428571429</v>
      </c>
      <c r="L535" s="116">
        <v>-15</v>
      </c>
      <c r="M535" s="115">
        <v>0.333333333333336</v>
      </c>
      <c r="N535" s="115">
        <v>1.6</v>
      </c>
      <c r="O535" s="115">
        <v>3.57142857142857</v>
      </c>
      <c r="P535" s="108">
        <v>-19</v>
      </c>
      <c r="Q535" s="108">
        <v>-11</v>
      </c>
      <c r="R535" s="108">
        <v>-9.8</v>
      </c>
      <c r="S535" s="108">
        <v>-8.28571428571429</v>
      </c>
    </row>
    <row r="536" spans="1:19">
      <c r="A536" s="143">
        <v>45033</v>
      </c>
      <c r="B536" s="104" t="s">
        <v>26</v>
      </c>
      <c r="C536" s="145">
        <v>2042</v>
      </c>
      <c r="D536" s="104">
        <v>30</v>
      </c>
      <c r="E536" s="106">
        <v>0.0146914789422135</v>
      </c>
      <c r="F536" s="107">
        <v>9</v>
      </c>
      <c r="G536" s="106">
        <v>0.3</v>
      </c>
      <c r="H536" s="108">
        <v>-540</v>
      </c>
      <c r="I536" s="108">
        <v>-1926</v>
      </c>
      <c r="J536" s="108">
        <v>-2601.2</v>
      </c>
      <c r="K536" s="108">
        <v>-1807.42857142857</v>
      </c>
      <c r="L536" s="108">
        <v>-8</v>
      </c>
      <c r="M536" s="108">
        <v>0</v>
      </c>
      <c r="N536" s="108">
        <v>-4</v>
      </c>
      <c r="O536" s="108">
        <v>-6.85714285714285</v>
      </c>
      <c r="P536" s="108">
        <v>-1</v>
      </c>
      <c r="Q536" s="108">
        <v>-3.33333333333333</v>
      </c>
      <c r="R536" s="108">
        <v>-4.6</v>
      </c>
      <c r="S536" s="108">
        <v>-4.85714285714286</v>
      </c>
    </row>
    <row r="537" spans="1:19">
      <c r="A537" s="143">
        <v>45033</v>
      </c>
      <c r="B537" s="104" t="s">
        <v>27</v>
      </c>
      <c r="C537" s="145">
        <v>292</v>
      </c>
      <c r="D537" s="104">
        <v>8</v>
      </c>
      <c r="E537" s="106">
        <v>0.0273972602739726</v>
      </c>
      <c r="F537" s="107">
        <v>3</v>
      </c>
      <c r="G537" s="106">
        <v>0.375</v>
      </c>
      <c r="H537" s="108">
        <v>14</v>
      </c>
      <c r="I537" s="108">
        <v>-21.3333333333333</v>
      </c>
      <c r="J537" s="108">
        <v>-38.4</v>
      </c>
      <c r="K537" s="108">
        <v>34.7142857142857</v>
      </c>
      <c r="L537" s="108">
        <v>3</v>
      </c>
      <c r="M537" s="108">
        <v>4.33333333333333</v>
      </c>
      <c r="N537" s="108">
        <v>4</v>
      </c>
      <c r="O537" s="108">
        <v>4.28571428571429</v>
      </c>
      <c r="P537" s="108">
        <v>1</v>
      </c>
      <c r="Q537" s="108">
        <v>2</v>
      </c>
      <c r="R537" s="108">
        <v>2.2</v>
      </c>
      <c r="S537" s="108">
        <v>2</v>
      </c>
    </row>
    <row r="538" hidden="1" spans="1:19">
      <c r="A538" s="143">
        <v>45033</v>
      </c>
      <c r="B538" s="104" t="s">
        <v>28</v>
      </c>
      <c r="C538" s="145">
        <v>0</v>
      </c>
      <c r="D538" s="104">
        <v>0</v>
      </c>
      <c r="E538" s="106">
        <v>0</v>
      </c>
      <c r="F538" s="107">
        <v>0</v>
      </c>
      <c r="G538" s="106">
        <v>0</v>
      </c>
      <c r="H538" s="108">
        <v>0</v>
      </c>
      <c r="I538" s="108">
        <v>0</v>
      </c>
      <c r="J538" s="108">
        <v>0</v>
      </c>
      <c r="K538" s="108">
        <v>0</v>
      </c>
      <c r="L538" s="108">
        <v>0</v>
      </c>
      <c r="M538" s="108">
        <v>0</v>
      </c>
      <c r="N538" s="108">
        <v>-0.2</v>
      </c>
      <c r="O538" s="108">
        <v>-0.285714285714286</v>
      </c>
      <c r="P538" s="108">
        <v>0</v>
      </c>
      <c r="Q538" s="108">
        <v>0</v>
      </c>
      <c r="R538" s="108">
        <v>-0.2</v>
      </c>
      <c r="S538" s="108">
        <v>-0.142857142857143</v>
      </c>
    </row>
    <row r="539" hidden="1" spans="1:19">
      <c r="A539" s="143">
        <v>45033</v>
      </c>
      <c r="B539" s="104" t="s">
        <v>29</v>
      </c>
      <c r="C539" s="145">
        <v>0</v>
      </c>
      <c r="D539" s="104">
        <v>0</v>
      </c>
      <c r="E539" s="106">
        <v>0</v>
      </c>
      <c r="F539" s="107">
        <v>0</v>
      </c>
      <c r="G539" s="106">
        <v>0</v>
      </c>
      <c r="H539" s="108">
        <v>0</v>
      </c>
      <c r="I539" s="108">
        <v>0</v>
      </c>
      <c r="J539" s="108">
        <v>-1</v>
      </c>
      <c r="K539" s="108">
        <v>-1</v>
      </c>
      <c r="L539" s="108">
        <v>0</v>
      </c>
      <c r="M539" s="108">
        <v>-0.333333333333333</v>
      </c>
      <c r="N539" s="108">
        <v>-0.2</v>
      </c>
      <c r="O539" s="108">
        <v>-0.428571428571429</v>
      </c>
      <c r="P539" s="108">
        <v>0</v>
      </c>
      <c r="Q539" s="108">
        <v>0</v>
      </c>
      <c r="R539" s="108">
        <v>0</v>
      </c>
      <c r="S539" s="108">
        <v>0</v>
      </c>
    </row>
    <row r="540" hidden="1" spans="1:19">
      <c r="A540" s="143">
        <v>45033</v>
      </c>
      <c r="B540" s="104" t="s">
        <v>30</v>
      </c>
      <c r="C540" s="145">
        <v>0</v>
      </c>
      <c r="D540" s="104">
        <v>0</v>
      </c>
      <c r="E540" s="106">
        <v>0</v>
      </c>
      <c r="F540" s="107">
        <v>0</v>
      </c>
      <c r="G540" s="106">
        <v>0</v>
      </c>
      <c r="H540" s="108">
        <v>0</v>
      </c>
      <c r="I540" s="108">
        <v>0</v>
      </c>
      <c r="J540" s="108">
        <v>0</v>
      </c>
      <c r="K540" s="108">
        <v>0</v>
      </c>
      <c r="L540" s="108">
        <v>0</v>
      </c>
      <c r="M540" s="108">
        <v>0</v>
      </c>
      <c r="N540" s="108">
        <v>0</v>
      </c>
      <c r="O540" s="108">
        <v>0</v>
      </c>
      <c r="P540" s="108">
        <v>0</v>
      </c>
      <c r="Q540" s="108">
        <v>0</v>
      </c>
      <c r="R540" s="108">
        <v>0</v>
      </c>
      <c r="S540" s="108">
        <v>0</v>
      </c>
    </row>
    <row r="541" hidden="1" spans="1:19">
      <c r="A541" s="143">
        <v>45033</v>
      </c>
      <c r="B541" s="104" t="s">
        <v>31</v>
      </c>
      <c r="C541" s="145">
        <v>0</v>
      </c>
      <c r="D541" s="104">
        <v>0</v>
      </c>
      <c r="E541" s="106">
        <v>0</v>
      </c>
      <c r="F541" s="107">
        <v>0</v>
      </c>
      <c r="G541" s="106">
        <v>0</v>
      </c>
      <c r="H541" s="108">
        <v>0</v>
      </c>
      <c r="I541" s="108">
        <v>0</v>
      </c>
      <c r="J541" s="108">
        <v>0</v>
      </c>
      <c r="K541" s="108">
        <v>0</v>
      </c>
      <c r="L541" s="108">
        <v>0</v>
      </c>
      <c r="M541" s="108">
        <v>0</v>
      </c>
      <c r="N541" s="108">
        <v>0</v>
      </c>
      <c r="O541" s="108">
        <v>0</v>
      </c>
      <c r="P541" s="108">
        <v>0</v>
      </c>
      <c r="Q541" s="108">
        <v>0</v>
      </c>
      <c r="R541" s="108">
        <v>0</v>
      </c>
      <c r="S541" s="108">
        <v>0</v>
      </c>
    </row>
    <row r="542" hidden="1" spans="1:19">
      <c r="A542" s="143">
        <v>45033</v>
      </c>
      <c r="B542" s="104" t="s">
        <v>32</v>
      </c>
      <c r="C542" s="145">
        <v>0</v>
      </c>
      <c r="D542" s="104">
        <v>0</v>
      </c>
      <c r="E542" s="106">
        <v>0</v>
      </c>
      <c r="F542" s="107">
        <v>0</v>
      </c>
      <c r="G542" s="106">
        <v>0</v>
      </c>
      <c r="H542" s="108">
        <v>0</v>
      </c>
      <c r="I542" s="108">
        <v>0</v>
      </c>
      <c r="J542" s="108">
        <v>0</v>
      </c>
      <c r="K542" s="108">
        <v>0</v>
      </c>
      <c r="L542" s="108">
        <v>0</v>
      </c>
      <c r="M542" s="108">
        <v>0</v>
      </c>
      <c r="N542" s="108">
        <v>0</v>
      </c>
      <c r="O542" s="108">
        <v>0</v>
      </c>
      <c r="P542" s="108">
        <v>0</v>
      </c>
      <c r="Q542" s="108">
        <v>0</v>
      </c>
      <c r="R542" s="108">
        <v>0</v>
      </c>
      <c r="S542" s="108">
        <v>0</v>
      </c>
    </row>
    <row r="543" hidden="1" spans="1:19">
      <c r="A543" s="143">
        <v>45033</v>
      </c>
      <c r="B543" s="104" t="s">
        <v>33</v>
      </c>
      <c r="C543" s="145">
        <v>0</v>
      </c>
      <c r="D543" s="104">
        <v>0</v>
      </c>
      <c r="E543" s="106">
        <v>0</v>
      </c>
      <c r="F543" s="107">
        <v>0</v>
      </c>
      <c r="G543" s="106">
        <v>0</v>
      </c>
      <c r="H543" s="108">
        <v>0</v>
      </c>
      <c r="I543" s="108">
        <v>0</v>
      </c>
      <c r="J543" s="108">
        <v>0</v>
      </c>
      <c r="K543" s="108">
        <v>0</v>
      </c>
      <c r="L543" s="108">
        <v>0</v>
      </c>
      <c r="M543" s="108">
        <v>0</v>
      </c>
      <c r="N543" s="108">
        <v>0</v>
      </c>
      <c r="O543" s="108">
        <v>0</v>
      </c>
      <c r="P543" s="108">
        <v>0</v>
      </c>
      <c r="Q543" s="108">
        <v>0</v>
      </c>
      <c r="R543" s="108">
        <v>0</v>
      </c>
      <c r="S543" s="108">
        <v>0</v>
      </c>
    </row>
    <row r="544" hidden="1" spans="1:19">
      <c r="A544" s="143">
        <v>45033</v>
      </c>
      <c r="B544" s="104" t="s">
        <v>34</v>
      </c>
      <c r="C544" s="145">
        <v>0</v>
      </c>
      <c r="D544" s="104">
        <v>0</v>
      </c>
      <c r="E544" s="106">
        <v>0</v>
      </c>
      <c r="F544" s="107">
        <v>0</v>
      </c>
      <c r="G544" s="106">
        <v>0</v>
      </c>
      <c r="H544" s="108">
        <v>0</v>
      </c>
      <c r="I544" s="108">
        <v>0</v>
      </c>
      <c r="J544" s="108">
        <v>0</v>
      </c>
      <c r="K544" s="108">
        <v>0</v>
      </c>
      <c r="L544" s="108">
        <v>0</v>
      </c>
      <c r="M544" s="108">
        <v>0</v>
      </c>
      <c r="N544" s="108">
        <v>0</v>
      </c>
      <c r="O544" s="108">
        <v>0</v>
      </c>
      <c r="P544" s="108">
        <v>0</v>
      </c>
      <c r="Q544" s="108">
        <v>0</v>
      </c>
      <c r="R544" s="108">
        <v>0</v>
      </c>
      <c r="S544" s="108">
        <v>0</v>
      </c>
    </row>
    <row r="545" hidden="1" spans="1:19">
      <c r="A545" s="143">
        <v>45033</v>
      </c>
      <c r="B545" s="104" t="s">
        <v>35</v>
      </c>
      <c r="C545" s="145">
        <v>0</v>
      </c>
      <c r="D545" s="104">
        <v>0</v>
      </c>
      <c r="E545" s="106">
        <v>0</v>
      </c>
      <c r="F545" s="107">
        <v>0</v>
      </c>
      <c r="G545" s="106">
        <v>0</v>
      </c>
      <c r="H545" s="108">
        <v>0</v>
      </c>
      <c r="I545" s="108">
        <v>0</v>
      </c>
      <c r="J545" s="108">
        <v>0</v>
      </c>
      <c r="K545" s="108">
        <v>0</v>
      </c>
      <c r="L545" s="108">
        <v>0</v>
      </c>
      <c r="M545" s="108">
        <v>0</v>
      </c>
      <c r="N545" s="108">
        <v>0</v>
      </c>
      <c r="O545" s="108">
        <v>0</v>
      </c>
      <c r="P545" s="108">
        <v>0</v>
      </c>
      <c r="Q545" s="108">
        <v>0</v>
      </c>
      <c r="R545" s="108">
        <v>0</v>
      </c>
      <c r="S545" s="108">
        <v>0</v>
      </c>
    </row>
    <row r="546" hidden="1" spans="1:19">
      <c r="A546" s="143">
        <v>45033</v>
      </c>
      <c r="B546" s="104" t="s">
        <v>36</v>
      </c>
      <c r="C546" s="145">
        <v>0</v>
      </c>
      <c r="D546" s="104">
        <v>0</v>
      </c>
      <c r="E546" s="106">
        <v>0</v>
      </c>
      <c r="F546" s="107">
        <v>0</v>
      </c>
      <c r="G546" s="106">
        <v>0</v>
      </c>
      <c r="H546" s="108">
        <v>0</v>
      </c>
      <c r="I546" s="108">
        <v>0</v>
      </c>
      <c r="J546" s="108">
        <v>0</v>
      </c>
      <c r="K546" s="108">
        <v>0</v>
      </c>
      <c r="L546" s="108">
        <v>0</v>
      </c>
      <c r="M546" s="108">
        <v>0</v>
      </c>
      <c r="N546" s="108">
        <v>0</v>
      </c>
      <c r="O546" s="108">
        <v>0</v>
      </c>
      <c r="P546" s="108">
        <v>0</v>
      </c>
      <c r="Q546" s="108">
        <v>0</v>
      </c>
      <c r="R546" s="108">
        <v>0</v>
      </c>
      <c r="S546" s="108">
        <v>0</v>
      </c>
    </row>
    <row r="547" hidden="1" spans="1:19">
      <c r="A547" s="143">
        <v>45033</v>
      </c>
      <c r="B547" s="104" t="s">
        <v>37</v>
      </c>
      <c r="C547" s="145">
        <v>0</v>
      </c>
      <c r="D547" s="104">
        <v>0</v>
      </c>
      <c r="E547" s="106">
        <v>0</v>
      </c>
      <c r="F547" s="107">
        <v>0</v>
      </c>
      <c r="G547" s="106">
        <v>0</v>
      </c>
      <c r="H547" s="108">
        <v>0</v>
      </c>
      <c r="I547" s="108">
        <v>0</v>
      </c>
      <c r="J547" s="108">
        <v>0</v>
      </c>
      <c r="K547" s="108">
        <v>0</v>
      </c>
      <c r="L547" s="108">
        <v>0</v>
      </c>
      <c r="M547" s="108">
        <v>0</v>
      </c>
      <c r="N547" s="108">
        <v>0</v>
      </c>
      <c r="O547" s="108">
        <v>0</v>
      </c>
      <c r="P547" s="108">
        <v>0</v>
      </c>
      <c r="Q547" s="108">
        <v>0</v>
      </c>
      <c r="R547" s="108">
        <v>0</v>
      </c>
      <c r="S547" s="108">
        <v>0</v>
      </c>
    </row>
    <row r="548" hidden="1" spans="1:19">
      <c r="A548" s="143">
        <v>45033</v>
      </c>
      <c r="B548" s="104" t="s">
        <v>38</v>
      </c>
      <c r="C548" s="145">
        <v>0</v>
      </c>
      <c r="D548" s="104">
        <v>0</v>
      </c>
      <c r="E548" s="106">
        <v>0</v>
      </c>
      <c r="F548" s="107">
        <v>0</v>
      </c>
      <c r="G548" s="106">
        <v>0</v>
      </c>
      <c r="H548" s="108">
        <v>0</v>
      </c>
      <c r="I548" s="108">
        <v>0</v>
      </c>
      <c r="J548" s="108">
        <v>0</v>
      </c>
      <c r="K548" s="108">
        <v>0</v>
      </c>
      <c r="L548" s="108">
        <v>0</v>
      </c>
      <c r="M548" s="108">
        <v>0</v>
      </c>
      <c r="N548" s="108">
        <v>0</v>
      </c>
      <c r="O548" s="108">
        <v>0</v>
      </c>
      <c r="P548" s="108">
        <v>0</v>
      </c>
      <c r="Q548" s="108">
        <v>0</v>
      </c>
      <c r="R548" s="108">
        <v>0</v>
      </c>
      <c r="S548" s="108">
        <v>0</v>
      </c>
    </row>
    <row r="549" spans="1:19">
      <c r="A549" s="143">
        <v>45033</v>
      </c>
      <c r="B549" s="111" t="s">
        <v>39</v>
      </c>
      <c r="C549" s="112">
        <v>24478</v>
      </c>
      <c r="D549" s="112">
        <v>291</v>
      </c>
      <c r="E549" s="113">
        <v>0.0118882261622682</v>
      </c>
      <c r="F549" s="112">
        <v>94</v>
      </c>
      <c r="G549" s="113">
        <v>0.323024054982818</v>
      </c>
      <c r="H549" s="108"/>
      <c r="I549" s="108"/>
      <c r="J549" s="108"/>
      <c r="K549" s="108"/>
      <c r="L549" s="108"/>
      <c r="M549" s="108"/>
      <c r="N549" s="108"/>
      <c r="O549" s="108"/>
      <c r="P549" s="108"/>
      <c r="Q549" s="108"/>
      <c r="R549" s="108"/>
      <c r="S549" s="108"/>
    </row>
    <row r="550" spans="1:19">
      <c r="A550" s="143">
        <v>45034</v>
      </c>
      <c r="B550" s="104" t="s">
        <v>17</v>
      </c>
      <c r="C550" s="105">
        <v>716</v>
      </c>
      <c r="D550" s="104">
        <v>27</v>
      </c>
      <c r="E550" s="106">
        <v>0.0377094972067039</v>
      </c>
      <c r="F550" s="107">
        <v>6</v>
      </c>
      <c r="G550" s="106">
        <v>0.222222222222222</v>
      </c>
      <c r="H550" s="108">
        <v>-20</v>
      </c>
      <c r="I550" s="108">
        <v>179.333333333333</v>
      </c>
      <c r="J550" s="108">
        <v>316</v>
      </c>
      <c r="K550" s="108">
        <v>364</v>
      </c>
      <c r="L550" s="108">
        <v>2</v>
      </c>
      <c r="M550" s="108">
        <v>-1</v>
      </c>
      <c r="N550" s="108">
        <v>-1.4</v>
      </c>
      <c r="O550" s="108">
        <v>-2.28571428571428</v>
      </c>
      <c r="P550" s="108">
        <v>-2</v>
      </c>
      <c r="Q550" s="108">
        <v>-1.33333333333333</v>
      </c>
      <c r="R550" s="108">
        <v>-0.4</v>
      </c>
      <c r="S550" s="108">
        <v>-0.428571428571429</v>
      </c>
    </row>
    <row r="551" spans="1:19">
      <c r="A551" s="143">
        <v>45034</v>
      </c>
      <c r="B551" s="104" t="s">
        <v>19</v>
      </c>
      <c r="C551" s="107">
        <v>1418</v>
      </c>
      <c r="D551" s="104">
        <v>24</v>
      </c>
      <c r="E551" s="106">
        <v>0.0169252468265162</v>
      </c>
      <c r="F551" s="107">
        <v>11</v>
      </c>
      <c r="G551" s="106">
        <v>0.458333333333333</v>
      </c>
      <c r="H551" s="108">
        <v>126</v>
      </c>
      <c r="I551" s="108">
        <v>-9.33333333333326</v>
      </c>
      <c r="J551" s="108">
        <v>164.4</v>
      </c>
      <c r="K551" s="108">
        <v>303.142857142857</v>
      </c>
      <c r="L551" s="108">
        <v>-1</v>
      </c>
      <c r="M551" s="108">
        <v>-9.66666666666666</v>
      </c>
      <c r="N551" s="108">
        <v>-4.6</v>
      </c>
      <c r="O551" s="108">
        <v>-1.28571428571428</v>
      </c>
      <c r="P551" s="108">
        <v>0</v>
      </c>
      <c r="Q551" s="108">
        <v>-1</v>
      </c>
      <c r="R551" s="108">
        <v>0.800000000000001</v>
      </c>
      <c r="S551" s="115">
        <v>0.571428571428571</v>
      </c>
    </row>
    <row r="552" spans="1:19">
      <c r="A552" s="143">
        <v>45034</v>
      </c>
      <c r="B552" s="104" t="s">
        <v>21</v>
      </c>
      <c r="C552" s="145">
        <v>538</v>
      </c>
      <c r="D552" s="104">
        <v>33</v>
      </c>
      <c r="E552" s="106">
        <v>0.0613382899628253</v>
      </c>
      <c r="F552" s="107">
        <v>14</v>
      </c>
      <c r="G552" s="106">
        <v>0.424242424242424</v>
      </c>
      <c r="H552" s="108">
        <v>-55</v>
      </c>
      <c r="I552" s="108">
        <v>29.6666666666667</v>
      </c>
      <c r="J552" s="108">
        <v>77.8</v>
      </c>
      <c r="K552" s="108">
        <v>86.5714285714286</v>
      </c>
      <c r="L552" s="108">
        <v>0</v>
      </c>
      <c r="M552" s="108">
        <v>7.33333333333333</v>
      </c>
      <c r="N552" s="108">
        <v>6.6</v>
      </c>
      <c r="O552" s="108">
        <v>7</v>
      </c>
      <c r="P552" s="108">
        <v>3</v>
      </c>
      <c r="Q552" s="108">
        <v>4.66666666666667</v>
      </c>
      <c r="R552" s="108">
        <v>5</v>
      </c>
      <c r="S552" s="108">
        <v>5.14285714285714</v>
      </c>
    </row>
    <row r="553" spans="1:19">
      <c r="A553" s="143">
        <v>45034</v>
      </c>
      <c r="B553" s="104" t="s">
        <v>22</v>
      </c>
      <c r="C553" s="145">
        <v>3729</v>
      </c>
      <c r="D553" s="104">
        <v>73</v>
      </c>
      <c r="E553" s="106">
        <v>0.0195762939125771</v>
      </c>
      <c r="F553" s="107">
        <v>22</v>
      </c>
      <c r="G553" s="106">
        <v>0.301369863013699</v>
      </c>
      <c r="H553" s="108">
        <v>-334</v>
      </c>
      <c r="I553" s="108">
        <v>-584.333333333333</v>
      </c>
      <c r="J553" s="108">
        <v>-535.2</v>
      </c>
      <c r="K553" s="108">
        <v>-522.571428571428</v>
      </c>
      <c r="L553" s="108">
        <v>-12</v>
      </c>
      <c r="M553" s="108">
        <v>-25.6666666666667</v>
      </c>
      <c r="N553" s="108">
        <v>-23.2</v>
      </c>
      <c r="O553" s="115">
        <v>-20.4285714285714</v>
      </c>
      <c r="P553" s="108">
        <v>-8</v>
      </c>
      <c r="Q553" s="108">
        <v>-13.3333333333333</v>
      </c>
      <c r="R553" s="108">
        <v>-13.8</v>
      </c>
      <c r="S553" s="117">
        <v>-12.5714285714286</v>
      </c>
    </row>
    <row r="554" spans="1:19">
      <c r="A554" s="143">
        <v>45034</v>
      </c>
      <c r="B554" s="104" t="s">
        <v>23</v>
      </c>
      <c r="C554" s="145">
        <v>2568</v>
      </c>
      <c r="D554" s="104">
        <v>19</v>
      </c>
      <c r="E554" s="106">
        <v>0.007398753894081</v>
      </c>
      <c r="F554" s="107">
        <v>2</v>
      </c>
      <c r="G554" s="106">
        <v>0.105263157894737</v>
      </c>
      <c r="H554" s="108">
        <v>-16</v>
      </c>
      <c r="I554" s="108">
        <v>-103.666666666667</v>
      </c>
      <c r="J554" s="108">
        <v>-29.8000000000002</v>
      </c>
      <c r="K554" s="108">
        <v>15.2857142857142</v>
      </c>
      <c r="L554" s="108">
        <v>-16</v>
      </c>
      <c r="M554" s="108">
        <v>-10.6666666666667</v>
      </c>
      <c r="N554" s="108">
        <v>-9.6</v>
      </c>
      <c r="O554" s="108">
        <v>-11.2857142857143</v>
      </c>
      <c r="P554" s="108">
        <v>-11</v>
      </c>
      <c r="Q554" s="116">
        <v>-10.6666666666667</v>
      </c>
      <c r="R554" s="108">
        <v>-8.6</v>
      </c>
      <c r="S554" s="108">
        <v>-9.28571428571429</v>
      </c>
    </row>
    <row r="555" spans="1:19">
      <c r="A555" s="143">
        <v>45034</v>
      </c>
      <c r="B555" s="104" t="s">
        <v>24</v>
      </c>
      <c r="C555" s="145">
        <v>702</v>
      </c>
      <c r="D555" s="104">
        <v>2</v>
      </c>
      <c r="E555" s="106">
        <v>0.00284900284900285</v>
      </c>
      <c r="F555" s="107">
        <v>1</v>
      </c>
      <c r="G555" s="106">
        <v>0.5</v>
      </c>
      <c r="H555" s="108">
        <v>216</v>
      </c>
      <c r="I555" s="108">
        <v>258.333333333333</v>
      </c>
      <c r="J555" s="108">
        <v>285.6</v>
      </c>
      <c r="K555" s="108">
        <v>282.285714285714</v>
      </c>
      <c r="L555" s="115">
        <v>-9</v>
      </c>
      <c r="M555" s="115">
        <v>-3.33333333333333</v>
      </c>
      <c r="N555" s="117">
        <v>-3.6</v>
      </c>
      <c r="O555" s="117">
        <v>-4.14285714285714</v>
      </c>
      <c r="P555" s="115">
        <v>-2</v>
      </c>
      <c r="Q555" s="115">
        <v>-2</v>
      </c>
      <c r="R555" s="115">
        <v>-1.4</v>
      </c>
      <c r="S555" s="115">
        <v>-1</v>
      </c>
    </row>
    <row r="556" spans="1:19">
      <c r="A556" s="143">
        <v>45034</v>
      </c>
      <c r="B556" s="104" t="s">
        <v>25</v>
      </c>
      <c r="C556" s="145">
        <v>11612</v>
      </c>
      <c r="D556" s="104">
        <v>38</v>
      </c>
      <c r="E556" s="106">
        <v>0.00327247674819153</v>
      </c>
      <c r="F556" s="107">
        <v>12</v>
      </c>
      <c r="G556" s="106">
        <v>0.315789473684211</v>
      </c>
      <c r="H556" s="108">
        <v>-778</v>
      </c>
      <c r="I556" s="108">
        <v>-340.666666666666</v>
      </c>
      <c r="J556" s="108">
        <v>596.4</v>
      </c>
      <c r="K556" s="108">
        <v>2058.57142857143</v>
      </c>
      <c r="L556" s="116">
        <v>-1</v>
      </c>
      <c r="M556" s="115">
        <v>-2.33333333333334</v>
      </c>
      <c r="N556" s="115">
        <v>0</v>
      </c>
      <c r="O556" s="115">
        <v>0.857142857142854</v>
      </c>
      <c r="P556" s="108">
        <v>6</v>
      </c>
      <c r="Q556" s="108">
        <v>-2.33333333333333</v>
      </c>
      <c r="R556" s="108">
        <v>-1.6</v>
      </c>
      <c r="S556" s="108">
        <v>-1.71428571428571</v>
      </c>
    </row>
    <row r="557" spans="1:19">
      <c r="A557" s="143">
        <v>45034</v>
      </c>
      <c r="B557" s="104" t="s">
        <v>26</v>
      </c>
      <c r="C557" s="145">
        <v>1832</v>
      </c>
      <c r="D557" s="104">
        <v>19</v>
      </c>
      <c r="E557" s="106">
        <v>0.0103711790393013</v>
      </c>
      <c r="F557" s="107">
        <v>4</v>
      </c>
      <c r="G557" s="106">
        <v>0.210526315789474</v>
      </c>
      <c r="H557" s="108">
        <v>-210</v>
      </c>
      <c r="I557" s="108">
        <v>-860.666666666667</v>
      </c>
      <c r="J557" s="108">
        <v>-2108.4</v>
      </c>
      <c r="K557" s="108">
        <v>-2017.14285714286</v>
      </c>
      <c r="L557" s="108">
        <v>-11</v>
      </c>
      <c r="M557" s="108">
        <v>-10.3333333333333</v>
      </c>
      <c r="N557" s="108">
        <v>-11.2</v>
      </c>
      <c r="O557" s="108">
        <v>-15.7142857142857</v>
      </c>
      <c r="P557" s="108">
        <v>-5</v>
      </c>
      <c r="Q557" s="108">
        <v>-7.66666666666667</v>
      </c>
      <c r="R557" s="108">
        <v>-8</v>
      </c>
      <c r="S557" s="108">
        <v>-8.57142857142857</v>
      </c>
    </row>
    <row r="558" spans="1:19">
      <c r="A558" s="143">
        <v>45034</v>
      </c>
      <c r="B558" s="104" t="s">
        <v>27</v>
      </c>
      <c r="C558" s="145">
        <v>294</v>
      </c>
      <c r="D558" s="104">
        <v>4</v>
      </c>
      <c r="E558" s="106">
        <v>0.0136054421768707</v>
      </c>
      <c r="F558" s="107">
        <v>0</v>
      </c>
      <c r="G558" s="106">
        <v>0</v>
      </c>
      <c r="H558" s="108">
        <v>2</v>
      </c>
      <c r="I558" s="108">
        <v>-4</v>
      </c>
      <c r="J558" s="108">
        <v>-28.4</v>
      </c>
      <c r="K558" s="108">
        <v>2.42857142857144</v>
      </c>
      <c r="L558" s="108">
        <v>-4</v>
      </c>
      <c r="M558" s="108">
        <v>-0.333333333333333</v>
      </c>
      <c r="N558" s="108">
        <v>-1</v>
      </c>
      <c r="O558" s="108">
        <v>-0.428571428571429</v>
      </c>
      <c r="P558" s="108">
        <v>-3</v>
      </c>
      <c r="Q558" s="108">
        <v>-1.66666666666667</v>
      </c>
      <c r="R558" s="108">
        <v>-1.2</v>
      </c>
      <c r="S558" s="108">
        <v>-1.14285714285714</v>
      </c>
    </row>
    <row r="559" hidden="1" spans="1:19">
      <c r="A559" s="143">
        <v>45034</v>
      </c>
      <c r="B559" s="104" t="s">
        <v>28</v>
      </c>
      <c r="C559" s="145">
        <v>0</v>
      </c>
      <c r="D559" s="104">
        <v>0</v>
      </c>
      <c r="E559" s="106">
        <v>0</v>
      </c>
      <c r="F559" s="107">
        <v>1</v>
      </c>
      <c r="G559" s="106">
        <v>1</v>
      </c>
      <c r="H559" s="108">
        <v>0</v>
      </c>
      <c r="I559" s="108">
        <v>0</v>
      </c>
      <c r="J559" s="108">
        <v>0</v>
      </c>
      <c r="K559" s="108">
        <v>0</v>
      </c>
      <c r="L559" s="108">
        <v>0</v>
      </c>
      <c r="M559" s="108">
        <v>0</v>
      </c>
      <c r="N559" s="108">
        <v>0</v>
      </c>
      <c r="O559" s="108">
        <v>-0.285714285714286</v>
      </c>
      <c r="P559" s="108">
        <v>1</v>
      </c>
      <c r="Q559" s="108">
        <v>1</v>
      </c>
      <c r="R559" s="108">
        <v>1</v>
      </c>
      <c r="S559" s="108">
        <v>0.857142857142857</v>
      </c>
    </row>
    <row r="560" hidden="1" spans="1:19">
      <c r="A560" s="143">
        <v>45034</v>
      </c>
      <c r="B560" s="104" t="s">
        <v>29</v>
      </c>
      <c r="C560" s="145">
        <v>0</v>
      </c>
      <c r="D560" s="104">
        <v>0</v>
      </c>
      <c r="E560" s="106">
        <v>0</v>
      </c>
      <c r="F560" s="107">
        <v>0</v>
      </c>
      <c r="G560" s="106">
        <v>0</v>
      </c>
      <c r="H560" s="108">
        <v>0</v>
      </c>
      <c r="I560" s="108">
        <v>0</v>
      </c>
      <c r="J560" s="108">
        <v>-0.4</v>
      </c>
      <c r="K560" s="108">
        <v>-0.857142857142857</v>
      </c>
      <c r="L560" s="108">
        <v>0</v>
      </c>
      <c r="M560" s="108">
        <v>0</v>
      </c>
      <c r="N560" s="108">
        <v>-0.2</v>
      </c>
      <c r="O560" s="108">
        <v>-0.285714285714286</v>
      </c>
      <c r="P560" s="108">
        <v>0</v>
      </c>
      <c r="Q560" s="108">
        <v>0</v>
      </c>
      <c r="R560" s="108">
        <v>0</v>
      </c>
      <c r="S560" s="108">
        <v>0</v>
      </c>
    </row>
    <row r="561" hidden="1" spans="1:19">
      <c r="A561" s="143">
        <v>45034</v>
      </c>
      <c r="B561" s="104" t="s">
        <v>30</v>
      </c>
      <c r="C561" s="145">
        <v>0</v>
      </c>
      <c r="D561" s="104">
        <v>0</v>
      </c>
      <c r="E561" s="106">
        <v>0</v>
      </c>
      <c r="F561" s="107">
        <v>0</v>
      </c>
      <c r="G561" s="106">
        <v>0</v>
      </c>
      <c r="H561" s="108">
        <v>0</v>
      </c>
      <c r="I561" s="108">
        <v>0</v>
      </c>
      <c r="J561" s="108">
        <v>0</v>
      </c>
      <c r="K561" s="108">
        <v>0</v>
      </c>
      <c r="L561" s="108">
        <v>0</v>
      </c>
      <c r="M561" s="108">
        <v>0</v>
      </c>
      <c r="N561" s="108">
        <v>0</v>
      </c>
      <c r="O561" s="108">
        <v>0</v>
      </c>
      <c r="P561" s="108">
        <v>0</v>
      </c>
      <c r="Q561" s="108">
        <v>0</v>
      </c>
      <c r="R561" s="108">
        <v>0</v>
      </c>
      <c r="S561" s="108">
        <v>0</v>
      </c>
    </row>
    <row r="562" hidden="1" spans="1:19">
      <c r="A562" s="143">
        <v>45034</v>
      </c>
      <c r="B562" s="104" t="s">
        <v>31</v>
      </c>
      <c r="C562" s="145">
        <v>0</v>
      </c>
      <c r="D562" s="104">
        <v>1</v>
      </c>
      <c r="E562" s="106">
        <v>1</v>
      </c>
      <c r="F562" s="107">
        <v>1</v>
      </c>
      <c r="G562" s="106">
        <v>1</v>
      </c>
      <c r="H562" s="108">
        <v>0</v>
      </c>
      <c r="I562" s="108">
        <v>0</v>
      </c>
      <c r="J562" s="108">
        <v>0</v>
      </c>
      <c r="K562" s="108">
        <v>0</v>
      </c>
      <c r="L562" s="108">
        <v>1</v>
      </c>
      <c r="M562" s="108">
        <v>1</v>
      </c>
      <c r="N562" s="108">
        <v>1</v>
      </c>
      <c r="O562" s="108">
        <v>1</v>
      </c>
      <c r="P562" s="108">
        <v>1</v>
      </c>
      <c r="Q562" s="108">
        <v>1</v>
      </c>
      <c r="R562" s="108">
        <v>1</v>
      </c>
      <c r="S562" s="108">
        <v>1</v>
      </c>
    </row>
    <row r="563" hidden="1" spans="1:19">
      <c r="A563" s="143">
        <v>45034</v>
      </c>
      <c r="B563" s="104" t="s">
        <v>32</v>
      </c>
      <c r="C563" s="145">
        <v>0</v>
      </c>
      <c r="D563" s="104">
        <v>0</v>
      </c>
      <c r="E563" s="106">
        <v>0</v>
      </c>
      <c r="F563" s="107">
        <v>0</v>
      </c>
      <c r="G563" s="106">
        <v>0</v>
      </c>
      <c r="H563" s="108">
        <v>0</v>
      </c>
      <c r="I563" s="108">
        <v>0</v>
      </c>
      <c r="J563" s="108">
        <v>0</v>
      </c>
      <c r="K563" s="108">
        <v>0</v>
      </c>
      <c r="L563" s="108">
        <v>0</v>
      </c>
      <c r="M563" s="108">
        <v>0</v>
      </c>
      <c r="N563" s="108">
        <v>0</v>
      </c>
      <c r="O563" s="108">
        <v>0</v>
      </c>
      <c r="P563" s="108">
        <v>0</v>
      </c>
      <c r="Q563" s="108">
        <v>0</v>
      </c>
      <c r="R563" s="108">
        <v>0</v>
      </c>
      <c r="S563" s="108">
        <v>0</v>
      </c>
    </row>
    <row r="564" hidden="1" spans="1:19">
      <c r="A564" s="143">
        <v>45034</v>
      </c>
      <c r="B564" s="104" t="s">
        <v>33</v>
      </c>
      <c r="C564" s="145">
        <v>0</v>
      </c>
      <c r="D564" s="104">
        <v>0</v>
      </c>
      <c r="E564" s="106">
        <v>0</v>
      </c>
      <c r="F564" s="107">
        <v>0</v>
      </c>
      <c r="G564" s="106">
        <v>0</v>
      </c>
      <c r="H564" s="108">
        <v>0</v>
      </c>
      <c r="I564" s="108">
        <v>0</v>
      </c>
      <c r="J564" s="108">
        <v>0</v>
      </c>
      <c r="K564" s="108">
        <v>0</v>
      </c>
      <c r="L564" s="108">
        <v>0</v>
      </c>
      <c r="M564" s="108">
        <v>0</v>
      </c>
      <c r="N564" s="108">
        <v>0</v>
      </c>
      <c r="O564" s="108">
        <v>0</v>
      </c>
      <c r="P564" s="108">
        <v>0</v>
      </c>
      <c r="Q564" s="108">
        <v>0</v>
      </c>
      <c r="R564" s="108">
        <v>0</v>
      </c>
      <c r="S564" s="108">
        <v>0</v>
      </c>
    </row>
    <row r="565" hidden="1" spans="1:19">
      <c r="A565" s="143">
        <v>45034</v>
      </c>
      <c r="B565" s="104" t="s">
        <v>34</v>
      </c>
      <c r="C565" s="145">
        <v>0</v>
      </c>
      <c r="D565" s="104">
        <v>0</v>
      </c>
      <c r="E565" s="106">
        <v>0</v>
      </c>
      <c r="F565" s="107">
        <v>0</v>
      </c>
      <c r="G565" s="106">
        <v>0</v>
      </c>
      <c r="H565" s="108">
        <v>0</v>
      </c>
      <c r="I565" s="108">
        <v>0</v>
      </c>
      <c r="J565" s="108">
        <v>0</v>
      </c>
      <c r="K565" s="108">
        <v>0</v>
      </c>
      <c r="L565" s="108">
        <v>0</v>
      </c>
      <c r="M565" s="108">
        <v>0</v>
      </c>
      <c r="N565" s="108">
        <v>0</v>
      </c>
      <c r="O565" s="108">
        <v>0</v>
      </c>
      <c r="P565" s="108">
        <v>0</v>
      </c>
      <c r="Q565" s="108">
        <v>0</v>
      </c>
      <c r="R565" s="108">
        <v>0</v>
      </c>
      <c r="S565" s="108">
        <v>0</v>
      </c>
    </row>
    <row r="566" hidden="1" spans="1:19">
      <c r="A566" s="143">
        <v>45034</v>
      </c>
      <c r="B566" s="104" t="s">
        <v>35</v>
      </c>
      <c r="C566" s="145">
        <v>0</v>
      </c>
      <c r="D566" s="104">
        <v>0</v>
      </c>
      <c r="E566" s="106">
        <v>0</v>
      </c>
      <c r="F566" s="107">
        <v>0</v>
      </c>
      <c r="G566" s="106">
        <v>0</v>
      </c>
      <c r="H566" s="108">
        <v>0</v>
      </c>
      <c r="I566" s="108">
        <v>0</v>
      </c>
      <c r="J566" s="108">
        <v>0</v>
      </c>
      <c r="K566" s="108">
        <v>0</v>
      </c>
      <c r="L566" s="108">
        <v>0</v>
      </c>
      <c r="M566" s="108">
        <v>0</v>
      </c>
      <c r="N566" s="108">
        <v>0</v>
      </c>
      <c r="O566" s="108">
        <v>0</v>
      </c>
      <c r="P566" s="108">
        <v>0</v>
      </c>
      <c r="Q566" s="108">
        <v>0</v>
      </c>
      <c r="R566" s="108">
        <v>0</v>
      </c>
      <c r="S566" s="108">
        <v>0</v>
      </c>
    </row>
    <row r="567" hidden="1" spans="1:19">
      <c r="A567" s="143">
        <v>45034</v>
      </c>
      <c r="B567" s="104" t="s">
        <v>36</v>
      </c>
      <c r="C567" s="145">
        <v>0</v>
      </c>
      <c r="D567" s="104">
        <v>0</v>
      </c>
      <c r="E567" s="106">
        <v>0</v>
      </c>
      <c r="F567" s="107">
        <v>0</v>
      </c>
      <c r="G567" s="106">
        <v>0</v>
      </c>
      <c r="H567" s="108">
        <v>0</v>
      </c>
      <c r="I567" s="108">
        <v>0</v>
      </c>
      <c r="J567" s="108">
        <v>0</v>
      </c>
      <c r="K567" s="108">
        <v>0</v>
      </c>
      <c r="L567" s="108">
        <v>0</v>
      </c>
      <c r="M567" s="108">
        <v>0</v>
      </c>
      <c r="N567" s="108">
        <v>0</v>
      </c>
      <c r="O567" s="108">
        <v>0</v>
      </c>
      <c r="P567" s="108">
        <v>0</v>
      </c>
      <c r="Q567" s="108">
        <v>0</v>
      </c>
      <c r="R567" s="108">
        <v>0</v>
      </c>
      <c r="S567" s="108">
        <v>0</v>
      </c>
    </row>
    <row r="568" hidden="1" spans="1:19">
      <c r="A568" s="143">
        <v>45034</v>
      </c>
      <c r="B568" s="104" t="s">
        <v>37</v>
      </c>
      <c r="C568" s="145">
        <v>0</v>
      </c>
      <c r="D568" s="104">
        <v>0</v>
      </c>
      <c r="E568" s="106">
        <v>0</v>
      </c>
      <c r="F568" s="107">
        <v>0</v>
      </c>
      <c r="G568" s="106">
        <v>0</v>
      </c>
      <c r="H568" s="108">
        <v>0</v>
      </c>
      <c r="I568" s="108">
        <v>0</v>
      </c>
      <c r="J568" s="108">
        <v>0</v>
      </c>
      <c r="K568" s="108">
        <v>0</v>
      </c>
      <c r="L568" s="108">
        <v>0</v>
      </c>
      <c r="M568" s="108">
        <v>0</v>
      </c>
      <c r="N568" s="108">
        <v>0</v>
      </c>
      <c r="O568" s="108">
        <v>0</v>
      </c>
      <c r="P568" s="108">
        <v>0</v>
      </c>
      <c r="Q568" s="108">
        <v>0</v>
      </c>
      <c r="R568" s="108">
        <v>0</v>
      </c>
      <c r="S568" s="108">
        <v>0</v>
      </c>
    </row>
    <row r="569" hidden="1" spans="1:19">
      <c r="A569" s="143">
        <v>45034</v>
      </c>
      <c r="B569" s="104" t="s">
        <v>38</v>
      </c>
      <c r="C569" s="145">
        <v>0</v>
      </c>
      <c r="D569" s="104">
        <v>0</v>
      </c>
      <c r="E569" s="106">
        <v>0</v>
      </c>
      <c r="F569" s="107">
        <v>0</v>
      </c>
      <c r="G569" s="106">
        <v>0</v>
      </c>
      <c r="H569" s="108">
        <v>0</v>
      </c>
      <c r="I569" s="108">
        <v>0</v>
      </c>
      <c r="J569" s="108">
        <v>0</v>
      </c>
      <c r="K569" s="108">
        <v>0</v>
      </c>
      <c r="L569" s="108">
        <v>0</v>
      </c>
      <c r="M569" s="108">
        <v>0</v>
      </c>
      <c r="N569" s="108">
        <v>0</v>
      </c>
      <c r="O569" s="108">
        <v>0</v>
      </c>
      <c r="P569" s="108">
        <v>0</v>
      </c>
      <c r="Q569" s="108">
        <v>0</v>
      </c>
      <c r="R569" s="108">
        <v>0</v>
      </c>
      <c r="S569" s="108">
        <v>0</v>
      </c>
    </row>
    <row r="570" spans="1:19">
      <c r="A570" s="143">
        <v>45034</v>
      </c>
      <c r="B570" s="111" t="s">
        <v>39</v>
      </c>
      <c r="C570" s="112">
        <v>23409</v>
      </c>
      <c r="D570" s="112">
        <v>240</v>
      </c>
      <c r="E570" s="113">
        <v>0.0102524669998718</v>
      </c>
      <c r="F570" s="112">
        <v>74</v>
      </c>
      <c r="G570" s="113">
        <v>0.308333333333333</v>
      </c>
      <c r="H570" s="108"/>
      <c r="I570" s="108"/>
      <c r="J570" s="108"/>
      <c r="K570" s="108"/>
      <c r="L570" s="108"/>
      <c r="M570" s="108"/>
      <c r="N570" s="108"/>
      <c r="O570" s="108"/>
      <c r="P570" s="108"/>
      <c r="Q570" s="108"/>
      <c r="R570" s="108"/>
      <c r="S570" s="108"/>
    </row>
    <row r="571" spans="1:19">
      <c r="A571" s="143">
        <v>45035</v>
      </c>
      <c r="B571" s="104" t="s">
        <v>17</v>
      </c>
      <c r="C571" s="105">
        <v>627</v>
      </c>
      <c r="D571" s="104">
        <v>20</v>
      </c>
      <c r="E571" s="106">
        <v>0.0318979266347687</v>
      </c>
      <c r="F571" s="107">
        <v>8</v>
      </c>
      <c r="G571" s="106">
        <v>0.4</v>
      </c>
      <c r="H571" s="108">
        <v>-89</v>
      </c>
      <c r="I571" s="108">
        <v>-89.6666666666666</v>
      </c>
      <c r="J571" s="108">
        <v>130.6</v>
      </c>
      <c r="K571" s="108">
        <v>203.571428571429</v>
      </c>
      <c r="L571" s="108">
        <v>-7</v>
      </c>
      <c r="M571" s="108">
        <v>-7.33333333333333</v>
      </c>
      <c r="N571" s="108">
        <v>-7.6</v>
      </c>
      <c r="O571" s="108">
        <v>-11</v>
      </c>
      <c r="P571" s="108">
        <v>2</v>
      </c>
      <c r="Q571" s="108">
        <v>0.333333333333333</v>
      </c>
      <c r="R571" s="108">
        <v>1.6</v>
      </c>
      <c r="S571" s="108">
        <v>1.14285714285714</v>
      </c>
    </row>
    <row r="572" spans="1:19">
      <c r="A572" s="143">
        <v>45035</v>
      </c>
      <c r="B572" s="104" t="s">
        <v>19</v>
      </c>
      <c r="C572" s="107">
        <v>1856</v>
      </c>
      <c r="D572" s="104">
        <v>38</v>
      </c>
      <c r="E572" s="106">
        <v>0.0204741379310345</v>
      </c>
      <c r="F572" s="107">
        <v>16</v>
      </c>
      <c r="G572" s="106">
        <v>0.421052631578947</v>
      </c>
      <c r="H572" s="108">
        <v>438</v>
      </c>
      <c r="I572" s="108">
        <v>458.666666666667</v>
      </c>
      <c r="J572" s="108">
        <v>502.8</v>
      </c>
      <c r="K572" s="108">
        <v>615.428571428571</v>
      </c>
      <c r="L572" s="108">
        <v>14</v>
      </c>
      <c r="M572" s="108">
        <v>8.66666666666667</v>
      </c>
      <c r="N572" s="108">
        <v>8.2</v>
      </c>
      <c r="O572" s="108">
        <v>12.1428571428571</v>
      </c>
      <c r="P572" s="108">
        <v>5</v>
      </c>
      <c r="Q572" s="108">
        <v>4</v>
      </c>
      <c r="R572" s="108">
        <v>5</v>
      </c>
      <c r="S572" s="115">
        <v>6</v>
      </c>
    </row>
    <row r="573" spans="1:19">
      <c r="A573" s="143">
        <v>45035</v>
      </c>
      <c r="B573" s="104" t="s">
        <v>21</v>
      </c>
      <c r="C573" s="145">
        <v>558</v>
      </c>
      <c r="D573" s="104">
        <v>30</v>
      </c>
      <c r="E573" s="106">
        <v>0.0537634408602151</v>
      </c>
      <c r="F573" s="107">
        <v>7</v>
      </c>
      <c r="G573" s="106">
        <v>0.233333333333333</v>
      </c>
      <c r="H573" s="108">
        <v>20</v>
      </c>
      <c r="I573" s="108">
        <v>9</v>
      </c>
      <c r="J573" s="108">
        <v>64.2</v>
      </c>
      <c r="K573" s="108">
        <v>94.2857142857143</v>
      </c>
      <c r="L573" s="108">
        <v>-3</v>
      </c>
      <c r="M573" s="108">
        <v>0.333333333333332</v>
      </c>
      <c r="N573" s="108">
        <v>2.4</v>
      </c>
      <c r="O573" s="108">
        <v>3.28571428571428</v>
      </c>
      <c r="P573" s="108">
        <v>-7</v>
      </c>
      <c r="Q573" s="108">
        <v>-3.33333333333333</v>
      </c>
      <c r="R573" s="108">
        <v>-3.2</v>
      </c>
      <c r="S573" s="108">
        <v>-2.71428571428571</v>
      </c>
    </row>
    <row r="574" spans="1:19">
      <c r="A574" s="143">
        <v>45035</v>
      </c>
      <c r="B574" s="104" t="s">
        <v>22</v>
      </c>
      <c r="C574" s="145">
        <v>3774</v>
      </c>
      <c r="D574" s="104">
        <v>91</v>
      </c>
      <c r="E574" s="106">
        <v>0.0241123476417594</v>
      </c>
      <c r="F574" s="107">
        <v>35</v>
      </c>
      <c r="G574" s="106">
        <v>0.384615384615385</v>
      </c>
      <c r="H574" s="108">
        <v>45</v>
      </c>
      <c r="I574" s="108">
        <v>-304</v>
      </c>
      <c r="J574" s="108">
        <v>-409</v>
      </c>
      <c r="K574" s="108">
        <v>-406</v>
      </c>
      <c r="L574" s="108">
        <v>18</v>
      </c>
      <c r="M574" s="108">
        <v>3.33333333333333</v>
      </c>
      <c r="N574" s="108">
        <v>-1.2</v>
      </c>
      <c r="O574" s="115">
        <v>1</v>
      </c>
      <c r="P574" s="108">
        <v>13</v>
      </c>
      <c r="Q574" s="108">
        <v>4.66666666666667</v>
      </c>
      <c r="R574" s="108">
        <v>2.2</v>
      </c>
      <c r="S574" s="117">
        <v>1.28571428571428</v>
      </c>
    </row>
    <row r="575" spans="1:19">
      <c r="A575" s="143">
        <v>45035</v>
      </c>
      <c r="B575" s="104" t="s">
        <v>23</v>
      </c>
      <c r="C575" s="145">
        <v>2549</v>
      </c>
      <c r="D575" s="104">
        <v>25</v>
      </c>
      <c r="E575" s="106">
        <v>0.00980776775205963</v>
      </c>
      <c r="F575" s="107">
        <v>11</v>
      </c>
      <c r="G575" s="106">
        <v>0.44</v>
      </c>
      <c r="H575" s="108">
        <v>-19</v>
      </c>
      <c r="I575" s="108">
        <v>-106.333333333333</v>
      </c>
      <c r="J575" s="108">
        <v>-86.1999999999998</v>
      </c>
      <c r="K575" s="108">
        <v>-17.7142857142858</v>
      </c>
      <c r="L575" s="108">
        <v>6</v>
      </c>
      <c r="M575" s="108">
        <v>-4.66666666666667</v>
      </c>
      <c r="N575" s="108">
        <v>-2</v>
      </c>
      <c r="O575" s="108">
        <v>-3.28571428571428</v>
      </c>
      <c r="P575" s="108">
        <v>9</v>
      </c>
      <c r="Q575" s="116">
        <v>2</v>
      </c>
      <c r="R575" s="108">
        <v>1.8</v>
      </c>
      <c r="S575" s="108">
        <v>1.28571428571429</v>
      </c>
    </row>
    <row r="576" spans="1:19">
      <c r="A576" s="143">
        <v>45035</v>
      </c>
      <c r="B576" s="104" t="s">
        <v>24</v>
      </c>
      <c r="C576" s="145">
        <v>435</v>
      </c>
      <c r="D576" s="104">
        <v>4</v>
      </c>
      <c r="E576" s="106">
        <v>0.00919540229885057</v>
      </c>
      <c r="F576" s="107">
        <v>5</v>
      </c>
      <c r="G576" s="106">
        <v>1.25</v>
      </c>
      <c r="H576" s="108">
        <v>-267</v>
      </c>
      <c r="I576" s="108">
        <v>-122.333333333333</v>
      </c>
      <c r="J576" s="108">
        <v>-24.8</v>
      </c>
      <c r="K576" s="108">
        <v>-25.2857142857143</v>
      </c>
      <c r="L576" s="115">
        <v>2</v>
      </c>
      <c r="M576" s="115">
        <v>-1.33333333333333</v>
      </c>
      <c r="N576" s="117">
        <v>-0.6</v>
      </c>
      <c r="O576" s="117">
        <v>-1.14285714285714</v>
      </c>
      <c r="P576" s="115">
        <v>4</v>
      </c>
      <c r="Q576" s="115">
        <v>2.33333333333333</v>
      </c>
      <c r="R576" s="115">
        <v>2.8</v>
      </c>
      <c r="S576" s="115">
        <v>2.85714285714286</v>
      </c>
    </row>
    <row r="577" spans="1:19">
      <c r="A577" s="143">
        <v>45035</v>
      </c>
      <c r="B577" s="104" t="s">
        <v>25</v>
      </c>
      <c r="C577" s="145">
        <v>13202</v>
      </c>
      <c r="D577" s="104">
        <v>38</v>
      </c>
      <c r="E577" s="106">
        <v>0.00287835176488411</v>
      </c>
      <c r="F577" s="107">
        <v>16</v>
      </c>
      <c r="G577" s="106">
        <v>0.421052631578947</v>
      </c>
      <c r="H577" s="108">
        <v>1590</v>
      </c>
      <c r="I577" s="108">
        <v>955.333333333334</v>
      </c>
      <c r="J577" s="108">
        <v>1732</v>
      </c>
      <c r="K577" s="108">
        <v>2420</v>
      </c>
      <c r="L577" s="116">
        <v>0</v>
      </c>
      <c r="M577" s="115">
        <v>-5.66666666666666</v>
      </c>
      <c r="N577" s="115">
        <v>-0.600000000000001</v>
      </c>
      <c r="O577" s="115">
        <v>0.285714285714285</v>
      </c>
      <c r="P577" s="108">
        <v>4</v>
      </c>
      <c r="Q577" s="108">
        <v>1.66666666666667</v>
      </c>
      <c r="R577" s="108">
        <v>2.2</v>
      </c>
      <c r="S577" s="108">
        <v>2.14285714285714</v>
      </c>
    </row>
    <row r="578" spans="1:19">
      <c r="A578" s="143">
        <v>45035</v>
      </c>
      <c r="B578" s="104" t="s">
        <v>26</v>
      </c>
      <c r="C578" s="145">
        <v>2046</v>
      </c>
      <c r="D578" s="104">
        <v>15</v>
      </c>
      <c r="E578" s="106">
        <v>0.00733137829912024</v>
      </c>
      <c r="F578" s="107">
        <v>4</v>
      </c>
      <c r="G578" s="106">
        <v>0.266666666666667</v>
      </c>
      <c r="H578" s="108">
        <v>214</v>
      </c>
      <c r="I578" s="108">
        <v>-106</v>
      </c>
      <c r="J578" s="108">
        <v>-1109.6</v>
      </c>
      <c r="K578" s="108">
        <v>-1824</v>
      </c>
      <c r="L578" s="108">
        <v>-4</v>
      </c>
      <c r="M578" s="108">
        <v>-14</v>
      </c>
      <c r="N578" s="108">
        <v>-12.8</v>
      </c>
      <c r="O578" s="108">
        <v>-16.2857142857143</v>
      </c>
      <c r="P578" s="108">
        <v>0</v>
      </c>
      <c r="Q578" s="108">
        <v>-3.66666666666667</v>
      </c>
      <c r="R578" s="108">
        <v>-6</v>
      </c>
      <c r="S578" s="108">
        <v>-7.57142857142857</v>
      </c>
    </row>
    <row r="579" spans="1:19">
      <c r="A579" s="143">
        <v>45035</v>
      </c>
      <c r="B579" s="104" t="s">
        <v>27</v>
      </c>
      <c r="C579" s="145">
        <v>402</v>
      </c>
      <c r="D579" s="104">
        <v>0</v>
      </c>
      <c r="E579" s="106">
        <v>0</v>
      </c>
      <c r="F579" s="107">
        <v>0</v>
      </c>
      <c r="G579" s="106">
        <v>0</v>
      </c>
      <c r="H579" s="108">
        <v>108</v>
      </c>
      <c r="I579" s="108">
        <v>114</v>
      </c>
      <c r="J579" s="108">
        <v>96.8</v>
      </c>
      <c r="K579" s="108">
        <v>82.2857142857143</v>
      </c>
      <c r="L579" s="108">
        <v>-4</v>
      </c>
      <c r="M579" s="108">
        <v>-5.66666666666667</v>
      </c>
      <c r="N579" s="108">
        <v>-4.6</v>
      </c>
      <c r="O579" s="108">
        <v>-4.57142857142857</v>
      </c>
      <c r="P579" s="108">
        <v>0</v>
      </c>
      <c r="Q579" s="108">
        <v>-1.66666666666667</v>
      </c>
      <c r="R579" s="108">
        <v>-1.2</v>
      </c>
      <c r="S579" s="108">
        <v>-1</v>
      </c>
    </row>
    <row r="580" hidden="1" spans="1:19">
      <c r="A580" s="143">
        <v>45035</v>
      </c>
      <c r="B580" s="104" t="s">
        <v>28</v>
      </c>
      <c r="C580" s="145">
        <v>0</v>
      </c>
      <c r="D580" s="104">
        <v>1</v>
      </c>
      <c r="E580" s="106">
        <v>1</v>
      </c>
      <c r="F580" s="107">
        <v>0</v>
      </c>
      <c r="G580" s="106">
        <v>0</v>
      </c>
      <c r="H580" s="108">
        <v>0</v>
      </c>
      <c r="I580" s="108">
        <v>0</v>
      </c>
      <c r="J580" s="108">
        <v>0</v>
      </c>
      <c r="K580" s="108">
        <v>0</v>
      </c>
      <c r="L580" s="108">
        <v>1</v>
      </c>
      <c r="M580" s="108">
        <v>1</v>
      </c>
      <c r="N580" s="108">
        <v>1</v>
      </c>
      <c r="O580" s="108">
        <v>0.857142857142857</v>
      </c>
      <c r="P580" s="108">
        <v>-1</v>
      </c>
      <c r="Q580" s="108">
        <v>-0.333333333333333</v>
      </c>
      <c r="R580" s="108">
        <v>-0.2</v>
      </c>
      <c r="S580" s="108">
        <v>-0.285714285714286</v>
      </c>
    </row>
    <row r="581" hidden="1" spans="1:19">
      <c r="A581" s="143">
        <v>45035</v>
      </c>
      <c r="B581" s="104" t="s">
        <v>29</v>
      </c>
      <c r="C581" s="145">
        <v>0</v>
      </c>
      <c r="D581" s="104">
        <v>0</v>
      </c>
      <c r="E581" s="106">
        <v>0</v>
      </c>
      <c r="F581" s="107">
        <v>0</v>
      </c>
      <c r="G581" s="106">
        <v>0</v>
      </c>
      <c r="H581" s="108">
        <v>0</v>
      </c>
      <c r="I581" s="108">
        <v>0</v>
      </c>
      <c r="J581" s="108">
        <v>0</v>
      </c>
      <c r="K581" s="108">
        <v>-0.714285714285714</v>
      </c>
      <c r="L581" s="108">
        <v>0</v>
      </c>
      <c r="M581" s="108">
        <v>0</v>
      </c>
      <c r="N581" s="108">
        <v>-0.2</v>
      </c>
      <c r="O581" s="108">
        <v>-0.142857142857143</v>
      </c>
      <c r="P581" s="108">
        <v>0</v>
      </c>
      <c r="Q581" s="108">
        <v>0</v>
      </c>
      <c r="R581" s="108">
        <v>0</v>
      </c>
      <c r="S581" s="108">
        <v>0</v>
      </c>
    </row>
    <row r="582" hidden="1" spans="1:19">
      <c r="A582" s="143">
        <v>45035</v>
      </c>
      <c r="B582" s="104" t="s">
        <v>30</v>
      </c>
      <c r="C582" s="145">
        <v>0</v>
      </c>
      <c r="D582" s="104">
        <v>0</v>
      </c>
      <c r="E582" s="106">
        <v>0</v>
      </c>
      <c r="F582" s="107">
        <v>0</v>
      </c>
      <c r="G582" s="106">
        <v>0</v>
      </c>
      <c r="H582" s="108">
        <v>0</v>
      </c>
      <c r="I582" s="108">
        <v>0</v>
      </c>
      <c r="J582" s="108">
        <v>0</v>
      </c>
      <c r="K582" s="108">
        <v>0</v>
      </c>
      <c r="L582" s="108">
        <v>0</v>
      </c>
      <c r="M582" s="108">
        <v>0</v>
      </c>
      <c r="N582" s="108">
        <v>0</v>
      </c>
      <c r="O582" s="108">
        <v>0</v>
      </c>
      <c r="P582" s="108">
        <v>0</v>
      </c>
      <c r="Q582" s="108">
        <v>0</v>
      </c>
      <c r="R582" s="108">
        <v>0</v>
      </c>
      <c r="S582" s="108">
        <v>0</v>
      </c>
    </row>
    <row r="583" hidden="1" spans="1:19">
      <c r="A583" s="143">
        <v>45035</v>
      </c>
      <c r="B583" s="104" t="s">
        <v>31</v>
      </c>
      <c r="C583" s="145">
        <v>0</v>
      </c>
      <c r="D583" s="104">
        <v>0</v>
      </c>
      <c r="E583" s="106">
        <v>0</v>
      </c>
      <c r="F583" s="107">
        <v>0</v>
      </c>
      <c r="G583" s="106">
        <v>0</v>
      </c>
      <c r="H583" s="108">
        <v>0</v>
      </c>
      <c r="I583" s="108">
        <v>0</v>
      </c>
      <c r="J583" s="108">
        <v>0</v>
      </c>
      <c r="K583" s="108">
        <v>0</v>
      </c>
      <c r="L583" s="108">
        <v>-1</v>
      </c>
      <c r="M583" s="108">
        <v>-0.333333333333333</v>
      </c>
      <c r="N583" s="108">
        <v>-0.2</v>
      </c>
      <c r="O583" s="108">
        <v>-0.142857142857143</v>
      </c>
      <c r="P583" s="108">
        <v>-1</v>
      </c>
      <c r="Q583" s="108">
        <v>-0.333333333333333</v>
      </c>
      <c r="R583" s="108">
        <v>-0.2</v>
      </c>
      <c r="S583" s="108">
        <v>-0.142857142857143</v>
      </c>
    </row>
    <row r="584" hidden="1" spans="1:19">
      <c r="A584" s="143">
        <v>45035</v>
      </c>
      <c r="B584" s="104" t="s">
        <v>32</v>
      </c>
      <c r="C584" s="145">
        <v>0</v>
      </c>
      <c r="D584" s="104">
        <v>0</v>
      </c>
      <c r="E584" s="106">
        <v>0</v>
      </c>
      <c r="F584" s="107">
        <v>0</v>
      </c>
      <c r="G584" s="106">
        <v>0</v>
      </c>
      <c r="H584" s="108">
        <v>0</v>
      </c>
      <c r="I584" s="108">
        <v>0</v>
      </c>
      <c r="J584" s="108">
        <v>0</v>
      </c>
      <c r="K584" s="108">
        <v>0</v>
      </c>
      <c r="L584" s="108">
        <v>0</v>
      </c>
      <c r="M584" s="108">
        <v>0</v>
      </c>
      <c r="N584" s="108">
        <v>0</v>
      </c>
      <c r="O584" s="108">
        <v>0</v>
      </c>
      <c r="P584" s="108">
        <v>0</v>
      </c>
      <c r="Q584" s="108">
        <v>0</v>
      </c>
      <c r="R584" s="108">
        <v>0</v>
      </c>
      <c r="S584" s="108">
        <v>0</v>
      </c>
    </row>
    <row r="585" hidden="1" spans="1:19">
      <c r="A585" s="143">
        <v>45035</v>
      </c>
      <c r="B585" s="104" t="s">
        <v>33</v>
      </c>
      <c r="C585" s="145">
        <v>0</v>
      </c>
      <c r="D585" s="104">
        <v>0</v>
      </c>
      <c r="E585" s="106">
        <v>0</v>
      </c>
      <c r="F585" s="107">
        <v>0</v>
      </c>
      <c r="G585" s="106">
        <v>0</v>
      </c>
      <c r="H585" s="108">
        <v>0</v>
      </c>
      <c r="I585" s="108">
        <v>0</v>
      </c>
      <c r="J585" s="108">
        <v>0</v>
      </c>
      <c r="K585" s="108">
        <v>0</v>
      </c>
      <c r="L585" s="108">
        <v>0</v>
      </c>
      <c r="M585" s="108">
        <v>0</v>
      </c>
      <c r="N585" s="108">
        <v>0</v>
      </c>
      <c r="O585" s="108">
        <v>0</v>
      </c>
      <c r="P585" s="108">
        <v>0</v>
      </c>
      <c r="Q585" s="108">
        <v>0</v>
      </c>
      <c r="R585" s="108">
        <v>0</v>
      </c>
      <c r="S585" s="108">
        <v>0</v>
      </c>
    </row>
    <row r="586" hidden="1" spans="1:19">
      <c r="A586" s="143">
        <v>45035</v>
      </c>
      <c r="B586" s="104" t="s">
        <v>34</v>
      </c>
      <c r="C586" s="145">
        <v>0</v>
      </c>
      <c r="D586" s="104">
        <v>0</v>
      </c>
      <c r="E586" s="106">
        <v>0</v>
      </c>
      <c r="F586" s="107">
        <v>0</v>
      </c>
      <c r="G586" s="106">
        <v>0</v>
      </c>
      <c r="H586" s="108">
        <v>0</v>
      </c>
      <c r="I586" s="108">
        <v>0</v>
      </c>
      <c r="J586" s="108">
        <v>0</v>
      </c>
      <c r="K586" s="108">
        <v>0</v>
      </c>
      <c r="L586" s="108">
        <v>0</v>
      </c>
      <c r="M586" s="108">
        <v>0</v>
      </c>
      <c r="N586" s="108">
        <v>0</v>
      </c>
      <c r="O586" s="108">
        <v>0</v>
      </c>
      <c r="P586" s="108">
        <v>0</v>
      </c>
      <c r="Q586" s="108">
        <v>0</v>
      </c>
      <c r="R586" s="108">
        <v>0</v>
      </c>
      <c r="S586" s="108">
        <v>0</v>
      </c>
    </row>
    <row r="587" hidden="1" spans="1:19">
      <c r="A587" s="143">
        <v>45035</v>
      </c>
      <c r="B587" s="104" t="s">
        <v>35</v>
      </c>
      <c r="C587" s="145">
        <v>0</v>
      </c>
      <c r="D587" s="104">
        <v>0</v>
      </c>
      <c r="E587" s="106">
        <v>0</v>
      </c>
      <c r="F587" s="107">
        <v>0</v>
      </c>
      <c r="G587" s="106">
        <v>0</v>
      </c>
      <c r="H587" s="108">
        <v>0</v>
      </c>
      <c r="I587" s="108">
        <v>0</v>
      </c>
      <c r="J587" s="108">
        <v>0</v>
      </c>
      <c r="K587" s="108">
        <v>0</v>
      </c>
      <c r="L587" s="108">
        <v>0</v>
      </c>
      <c r="M587" s="108">
        <v>0</v>
      </c>
      <c r="N587" s="108">
        <v>0</v>
      </c>
      <c r="O587" s="108">
        <v>0</v>
      </c>
      <c r="P587" s="108">
        <v>0</v>
      </c>
      <c r="Q587" s="108">
        <v>0</v>
      </c>
      <c r="R587" s="108">
        <v>0</v>
      </c>
      <c r="S587" s="108">
        <v>0</v>
      </c>
    </row>
    <row r="588" hidden="1" spans="1:19">
      <c r="A588" s="143">
        <v>45035</v>
      </c>
      <c r="B588" s="104" t="s">
        <v>36</v>
      </c>
      <c r="C588" s="145">
        <v>0</v>
      </c>
      <c r="D588" s="104">
        <v>0</v>
      </c>
      <c r="E588" s="106">
        <v>0</v>
      </c>
      <c r="F588" s="107">
        <v>0</v>
      </c>
      <c r="G588" s="106">
        <v>0</v>
      </c>
      <c r="H588" s="108">
        <v>0</v>
      </c>
      <c r="I588" s="108">
        <v>0</v>
      </c>
      <c r="J588" s="108">
        <v>0</v>
      </c>
      <c r="K588" s="108">
        <v>0</v>
      </c>
      <c r="L588" s="108">
        <v>0</v>
      </c>
      <c r="M588" s="108">
        <v>0</v>
      </c>
      <c r="N588" s="108">
        <v>0</v>
      </c>
      <c r="O588" s="108">
        <v>0</v>
      </c>
      <c r="P588" s="108">
        <v>0</v>
      </c>
      <c r="Q588" s="108">
        <v>0</v>
      </c>
      <c r="R588" s="108">
        <v>0</v>
      </c>
      <c r="S588" s="108">
        <v>0</v>
      </c>
    </row>
    <row r="589" hidden="1" spans="1:19">
      <c r="A589" s="143">
        <v>45035</v>
      </c>
      <c r="B589" s="104" t="s">
        <v>37</v>
      </c>
      <c r="C589" s="145">
        <v>0</v>
      </c>
      <c r="D589" s="104">
        <v>0</v>
      </c>
      <c r="E589" s="106">
        <v>0</v>
      </c>
      <c r="F589" s="107">
        <v>0</v>
      </c>
      <c r="G589" s="106">
        <v>0</v>
      </c>
      <c r="H589" s="108">
        <v>0</v>
      </c>
      <c r="I589" s="108">
        <v>0</v>
      </c>
      <c r="J589" s="108">
        <v>0</v>
      </c>
      <c r="K589" s="108">
        <v>0</v>
      </c>
      <c r="L589" s="108">
        <v>0</v>
      </c>
      <c r="M589" s="108">
        <v>0</v>
      </c>
      <c r="N589" s="108">
        <v>0</v>
      </c>
      <c r="O589" s="108">
        <v>0</v>
      </c>
      <c r="P589" s="108">
        <v>0</v>
      </c>
      <c r="Q589" s="108">
        <v>0</v>
      </c>
      <c r="R589" s="108">
        <v>0</v>
      </c>
      <c r="S589" s="108">
        <v>0</v>
      </c>
    </row>
    <row r="590" hidden="1" spans="1:19">
      <c r="A590" s="143">
        <v>45035</v>
      </c>
      <c r="B590" s="104" t="s">
        <v>38</v>
      </c>
      <c r="C590" s="145">
        <v>0</v>
      </c>
      <c r="D590" s="104">
        <v>0</v>
      </c>
      <c r="E590" s="106">
        <v>0</v>
      </c>
      <c r="F590" s="107">
        <v>0</v>
      </c>
      <c r="G590" s="106">
        <v>0</v>
      </c>
      <c r="H590" s="108">
        <v>0</v>
      </c>
      <c r="I590" s="108">
        <v>0</v>
      </c>
      <c r="J590" s="108">
        <v>0</v>
      </c>
      <c r="K590" s="108">
        <v>0</v>
      </c>
      <c r="L590" s="108">
        <v>0</v>
      </c>
      <c r="M590" s="108">
        <v>0</v>
      </c>
      <c r="N590" s="108">
        <v>0</v>
      </c>
      <c r="O590" s="108">
        <v>0</v>
      </c>
      <c r="P590" s="108">
        <v>0</v>
      </c>
      <c r="Q590" s="108">
        <v>0</v>
      </c>
      <c r="R590" s="108">
        <v>0</v>
      </c>
      <c r="S590" s="108">
        <v>0</v>
      </c>
    </row>
    <row r="591" spans="1:19">
      <c r="A591" s="143">
        <v>45035</v>
      </c>
      <c r="B591" s="111" t="s">
        <v>39</v>
      </c>
      <c r="C591" s="112">
        <v>25449</v>
      </c>
      <c r="D591" s="112">
        <v>262</v>
      </c>
      <c r="E591" s="113">
        <v>0.0102951000039294</v>
      </c>
      <c r="F591" s="112">
        <v>102</v>
      </c>
      <c r="G591" s="113">
        <v>0.389312977099237</v>
      </c>
      <c r="H591" s="108"/>
      <c r="I591" s="108"/>
      <c r="J591" s="108"/>
      <c r="K591" s="108"/>
      <c r="L591" s="108"/>
      <c r="M591" s="108"/>
      <c r="N591" s="108"/>
      <c r="O591" s="108"/>
      <c r="P591" s="108"/>
      <c r="Q591" s="108"/>
      <c r="R591" s="108"/>
      <c r="S591" s="108"/>
    </row>
    <row r="592" spans="1:19">
      <c r="A592" s="143">
        <v>45036</v>
      </c>
      <c r="B592" s="104" t="s">
        <v>17</v>
      </c>
      <c r="C592" s="105">
        <v>540</v>
      </c>
      <c r="D592" s="104">
        <v>15</v>
      </c>
      <c r="E592" s="106">
        <v>0.0277777777777778</v>
      </c>
      <c r="F592" s="107">
        <v>3</v>
      </c>
      <c r="G592" s="106">
        <v>0.2</v>
      </c>
      <c r="H592" s="108">
        <v>-87</v>
      </c>
      <c r="I592" s="108">
        <v>-153</v>
      </c>
      <c r="J592" s="108">
        <v>-50.6</v>
      </c>
      <c r="K592" s="108">
        <v>62.4285714285714</v>
      </c>
      <c r="L592" s="108">
        <v>-5</v>
      </c>
      <c r="M592" s="108">
        <v>-9</v>
      </c>
      <c r="N592" s="108">
        <v>-11.2</v>
      </c>
      <c r="O592" s="108">
        <v>-12</v>
      </c>
      <c r="P592" s="108">
        <v>-5</v>
      </c>
      <c r="Q592" s="108">
        <v>-4.33333333333333</v>
      </c>
      <c r="R592" s="108">
        <v>-4.2</v>
      </c>
      <c r="S592" s="108">
        <v>-3.57142857142857</v>
      </c>
    </row>
    <row r="593" spans="1:19">
      <c r="A593" s="143">
        <v>45036</v>
      </c>
      <c r="B593" s="104" t="s">
        <v>19</v>
      </c>
      <c r="C593" s="107">
        <v>2348</v>
      </c>
      <c r="D593" s="104">
        <v>37</v>
      </c>
      <c r="E593" s="106">
        <v>0.0157580919931857</v>
      </c>
      <c r="F593" s="107">
        <v>21</v>
      </c>
      <c r="G593" s="106">
        <v>0.567567567567568</v>
      </c>
      <c r="H593" s="108">
        <v>492</v>
      </c>
      <c r="I593" s="108">
        <v>826</v>
      </c>
      <c r="J593" s="108">
        <v>836.8</v>
      </c>
      <c r="K593" s="108">
        <v>984.857142857143</v>
      </c>
      <c r="L593" s="108">
        <v>-1</v>
      </c>
      <c r="M593" s="108">
        <v>8</v>
      </c>
      <c r="N593" s="108">
        <v>4.4</v>
      </c>
      <c r="O593" s="108">
        <v>7.71428571428572</v>
      </c>
      <c r="P593" s="108">
        <v>5</v>
      </c>
      <c r="Q593" s="108">
        <v>8.33333333333333</v>
      </c>
      <c r="R593" s="108">
        <v>8.4</v>
      </c>
      <c r="S593" s="115">
        <v>9.85714285714286</v>
      </c>
    </row>
    <row r="594" spans="1:19">
      <c r="A594" s="143">
        <v>45036</v>
      </c>
      <c r="B594" s="104" t="s">
        <v>21</v>
      </c>
      <c r="C594" s="145">
        <v>523</v>
      </c>
      <c r="D594" s="104">
        <v>24</v>
      </c>
      <c r="E594" s="106">
        <v>0.0458891013384321</v>
      </c>
      <c r="F594" s="107">
        <v>10</v>
      </c>
      <c r="G594" s="106">
        <v>0.416666666666667</v>
      </c>
      <c r="H594" s="108">
        <v>-35</v>
      </c>
      <c r="I594" s="108">
        <v>-40</v>
      </c>
      <c r="J594" s="108">
        <v>-1.20000000000005</v>
      </c>
      <c r="K594" s="108">
        <v>37.7142857142857</v>
      </c>
      <c r="L594" s="108">
        <v>-6</v>
      </c>
      <c r="M594" s="108">
        <v>-8</v>
      </c>
      <c r="N594" s="108">
        <v>-4</v>
      </c>
      <c r="O594" s="108">
        <v>-3.85714285714286</v>
      </c>
      <c r="P594" s="108">
        <v>3</v>
      </c>
      <c r="Q594" s="108">
        <v>-0.666666666666666</v>
      </c>
      <c r="R594" s="108">
        <v>0.199999999999999</v>
      </c>
      <c r="S594" s="108">
        <v>0.571428571428571</v>
      </c>
    </row>
    <row r="595" spans="1:19">
      <c r="A595" s="143">
        <v>45036</v>
      </c>
      <c r="B595" s="104" t="s">
        <v>22</v>
      </c>
      <c r="C595" s="145">
        <v>3665</v>
      </c>
      <c r="D595" s="104">
        <v>60</v>
      </c>
      <c r="E595" s="106">
        <v>0.0163710777626194</v>
      </c>
      <c r="F595" s="107">
        <v>27</v>
      </c>
      <c r="G595" s="106">
        <v>0.45</v>
      </c>
      <c r="H595" s="108">
        <v>-109</v>
      </c>
      <c r="I595" s="108">
        <v>-190.333333333333</v>
      </c>
      <c r="J595" s="108">
        <v>-423.6</v>
      </c>
      <c r="K595" s="108">
        <v>-452.714285714285</v>
      </c>
      <c r="L595" s="108">
        <v>-31</v>
      </c>
      <c r="M595" s="108">
        <v>-23</v>
      </c>
      <c r="N595" s="108">
        <v>-32</v>
      </c>
      <c r="O595" s="115">
        <v>-32.1428571428571</v>
      </c>
      <c r="P595" s="108">
        <v>-8</v>
      </c>
      <c r="Q595" s="108">
        <v>-2</v>
      </c>
      <c r="R595" s="108">
        <v>-5.6</v>
      </c>
      <c r="S595" s="117">
        <v>-6.71428571428572</v>
      </c>
    </row>
    <row r="596" spans="1:19">
      <c r="A596" s="143">
        <v>45036</v>
      </c>
      <c r="B596" s="104" t="s">
        <v>23</v>
      </c>
      <c r="C596" s="145">
        <v>2635</v>
      </c>
      <c r="D596" s="104">
        <v>32</v>
      </c>
      <c r="E596" s="106">
        <v>0.0121442125237192</v>
      </c>
      <c r="F596" s="107">
        <v>9</v>
      </c>
      <c r="G596" s="106">
        <v>0.28125</v>
      </c>
      <c r="H596" s="108">
        <v>86</v>
      </c>
      <c r="I596" s="108">
        <v>68</v>
      </c>
      <c r="J596" s="108">
        <v>8.59999999999991</v>
      </c>
      <c r="K596" s="108">
        <v>48.4285714285716</v>
      </c>
      <c r="L596" s="108">
        <v>7</v>
      </c>
      <c r="M596" s="108">
        <v>5.66666666666667</v>
      </c>
      <c r="N596" s="108">
        <v>5.4</v>
      </c>
      <c r="O596" s="108">
        <v>5.28571428571428</v>
      </c>
      <c r="P596" s="108">
        <v>-2</v>
      </c>
      <c r="Q596" s="116">
        <v>0.333333333333334</v>
      </c>
      <c r="R596" s="108">
        <v>-1.2</v>
      </c>
      <c r="S596" s="108">
        <v>-0.428571428571429</v>
      </c>
    </row>
    <row r="597" spans="1:19">
      <c r="A597" s="143">
        <v>45036</v>
      </c>
      <c r="B597" s="104" t="s">
        <v>24</v>
      </c>
      <c r="C597" s="145">
        <v>445</v>
      </c>
      <c r="D597" s="104">
        <v>3</v>
      </c>
      <c r="E597" s="106">
        <v>0.00674157303370787</v>
      </c>
      <c r="F597" s="107">
        <v>2</v>
      </c>
      <c r="G597" s="106">
        <v>0.666666666666667</v>
      </c>
      <c r="H597" s="108">
        <v>10</v>
      </c>
      <c r="I597" s="108">
        <v>-96</v>
      </c>
      <c r="J597" s="108">
        <v>-48.6</v>
      </c>
      <c r="K597" s="108">
        <v>-14.8571428571428</v>
      </c>
      <c r="L597" s="115">
        <v>-1</v>
      </c>
      <c r="M597" s="115">
        <v>-2.66666666666667</v>
      </c>
      <c r="N597" s="117">
        <v>-1.4</v>
      </c>
      <c r="O597" s="117">
        <v>-1.85714285714286</v>
      </c>
      <c r="P597" s="115">
        <v>-3</v>
      </c>
      <c r="Q597" s="115">
        <v>-1</v>
      </c>
      <c r="R597" s="115">
        <v>-1</v>
      </c>
      <c r="S597" s="115">
        <v>-0.571428571428572</v>
      </c>
    </row>
    <row r="598" spans="1:19">
      <c r="A598" s="143">
        <v>45036</v>
      </c>
      <c r="B598" s="104" t="s">
        <v>25</v>
      </c>
      <c r="C598" s="145">
        <v>13770</v>
      </c>
      <c r="D598" s="104">
        <v>27</v>
      </c>
      <c r="E598" s="106">
        <v>0.00196078431372549</v>
      </c>
      <c r="F598" s="107">
        <v>15</v>
      </c>
      <c r="G598" s="106">
        <v>0.555555555555556</v>
      </c>
      <c r="H598" s="108">
        <v>568</v>
      </c>
      <c r="I598" s="108">
        <v>1368.66666666667</v>
      </c>
      <c r="J598" s="108">
        <v>1635.6</v>
      </c>
      <c r="K598" s="108">
        <v>2356.85714285714</v>
      </c>
      <c r="L598" s="116">
        <v>-11</v>
      </c>
      <c r="M598" s="115">
        <v>-11.3333333333333</v>
      </c>
      <c r="N598" s="115">
        <v>-12.4</v>
      </c>
      <c r="O598" s="115">
        <v>-11</v>
      </c>
      <c r="P598" s="108">
        <v>-1</v>
      </c>
      <c r="Q598" s="108">
        <v>3.66666666666667</v>
      </c>
      <c r="R598" s="108">
        <v>0.800000000000001</v>
      </c>
      <c r="S598" s="108">
        <v>1.28571428571429</v>
      </c>
    </row>
    <row r="599" spans="1:19">
      <c r="A599" s="143">
        <v>45036</v>
      </c>
      <c r="B599" s="104" t="s">
        <v>26</v>
      </c>
      <c r="C599" s="145">
        <v>2288</v>
      </c>
      <c r="D599" s="104">
        <v>27</v>
      </c>
      <c r="E599" s="106">
        <v>0.0118006993006993</v>
      </c>
      <c r="F599" s="107">
        <v>13</v>
      </c>
      <c r="G599" s="106">
        <v>0.481481481481481</v>
      </c>
      <c r="H599" s="108">
        <v>242</v>
      </c>
      <c r="I599" s="108">
        <v>314.666666666667</v>
      </c>
      <c r="J599" s="108">
        <v>-103.2</v>
      </c>
      <c r="K599" s="108">
        <v>-1080.57142857143</v>
      </c>
      <c r="L599" s="108">
        <v>12</v>
      </c>
      <c r="M599" s="108">
        <v>5.66666666666667</v>
      </c>
      <c r="N599" s="108">
        <v>2.6</v>
      </c>
      <c r="O599" s="108">
        <v>0.571428571428573</v>
      </c>
      <c r="P599" s="108">
        <v>9</v>
      </c>
      <c r="Q599" s="108">
        <v>7.33333333333333</v>
      </c>
      <c r="R599" s="108">
        <v>4.4</v>
      </c>
      <c r="S599" s="108">
        <v>3.28571428571429</v>
      </c>
    </row>
    <row r="600" spans="1:19">
      <c r="A600" s="143">
        <v>45036</v>
      </c>
      <c r="B600" s="104" t="s">
        <v>27</v>
      </c>
      <c r="C600" s="145">
        <v>448</v>
      </c>
      <c r="D600" s="104">
        <v>3</v>
      </c>
      <c r="E600" s="106">
        <v>0.00669642857142857</v>
      </c>
      <c r="F600" s="107">
        <v>3</v>
      </c>
      <c r="G600" s="106">
        <v>1</v>
      </c>
      <c r="H600" s="108">
        <v>46</v>
      </c>
      <c r="I600" s="108">
        <v>118.666666666667</v>
      </c>
      <c r="J600" s="108">
        <v>130</v>
      </c>
      <c r="K600" s="108">
        <v>118.285714285714</v>
      </c>
      <c r="L600" s="108">
        <v>3</v>
      </c>
      <c r="M600" s="108">
        <v>-1</v>
      </c>
      <c r="N600" s="108">
        <v>-0.4</v>
      </c>
      <c r="O600" s="108">
        <v>-1.14285714285714</v>
      </c>
      <c r="P600" s="108">
        <v>3</v>
      </c>
      <c r="Q600" s="108">
        <v>2</v>
      </c>
      <c r="R600" s="108">
        <v>2</v>
      </c>
      <c r="S600" s="108">
        <v>2.14285714285714</v>
      </c>
    </row>
    <row r="601" hidden="1" spans="1:19">
      <c r="A601" s="143">
        <v>45036</v>
      </c>
      <c r="B601" s="104" t="s">
        <v>28</v>
      </c>
      <c r="C601" s="145">
        <v>0</v>
      </c>
      <c r="D601" s="104">
        <v>0</v>
      </c>
      <c r="E601" s="106">
        <v>0</v>
      </c>
      <c r="F601" s="107">
        <v>0</v>
      </c>
      <c r="G601" s="106">
        <v>0</v>
      </c>
      <c r="H601" s="108">
        <v>0</v>
      </c>
      <c r="I601" s="108">
        <v>0</v>
      </c>
      <c r="J601" s="108">
        <v>0</v>
      </c>
      <c r="K601" s="108">
        <v>0</v>
      </c>
      <c r="L601" s="108">
        <v>-1</v>
      </c>
      <c r="M601" s="108">
        <v>-0.333333333333333</v>
      </c>
      <c r="N601" s="108">
        <v>-0.2</v>
      </c>
      <c r="O601" s="108">
        <v>-0.142857142857143</v>
      </c>
      <c r="P601" s="108">
        <v>0</v>
      </c>
      <c r="Q601" s="108">
        <v>-0.333333333333333</v>
      </c>
      <c r="R601" s="108">
        <v>-0.2</v>
      </c>
      <c r="S601" s="108">
        <v>-0.142857142857143</v>
      </c>
    </row>
    <row r="602" hidden="1" spans="1:19">
      <c r="A602" s="143">
        <v>45036</v>
      </c>
      <c r="B602" s="104" t="s">
        <v>29</v>
      </c>
      <c r="C602" s="145">
        <v>0</v>
      </c>
      <c r="D602" s="104">
        <v>0</v>
      </c>
      <c r="E602" s="106">
        <v>0</v>
      </c>
      <c r="F602" s="107">
        <v>0</v>
      </c>
      <c r="G602" s="106">
        <v>0</v>
      </c>
      <c r="H602" s="108">
        <v>0</v>
      </c>
      <c r="I602" s="108">
        <v>0</v>
      </c>
      <c r="J602" s="108">
        <v>0</v>
      </c>
      <c r="K602" s="108">
        <v>-0.285714285714286</v>
      </c>
      <c r="L602" s="108">
        <v>0</v>
      </c>
      <c r="M602" s="108">
        <v>0</v>
      </c>
      <c r="N602" s="108">
        <v>0</v>
      </c>
      <c r="O602" s="108">
        <v>-0.142857142857143</v>
      </c>
      <c r="P602" s="108">
        <v>0</v>
      </c>
      <c r="Q602" s="108">
        <v>0</v>
      </c>
      <c r="R602" s="108">
        <v>0</v>
      </c>
      <c r="S602" s="108">
        <v>0</v>
      </c>
    </row>
    <row r="603" hidden="1" spans="1:19">
      <c r="A603" s="143">
        <v>45036</v>
      </c>
      <c r="B603" s="104" t="s">
        <v>30</v>
      </c>
      <c r="C603" s="145">
        <v>0</v>
      </c>
      <c r="D603" s="104">
        <v>0</v>
      </c>
      <c r="E603" s="106">
        <v>0</v>
      </c>
      <c r="F603" s="107">
        <v>0</v>
      </c>
      <c r="G603" s="106">
        <v>0</v>
      </c>
      <c r="H603" s="108">
        <v>0</v>
      </c>
      <c r="I603" s="108">
        <v>0</v>
      </c>
      <c r="J603" s="108">
        <v>0</v>
      </c>
      <c r="K603" s="108">
        <v>0</v>
      </c>
      <c r="L603" s="108">
        <v>0</v>
      </c>
      <c r="M603" s="108">
        <v>0</v>
      </c>
      <c r="N603" s="108">
        <v>0</v>
      </c>
      <c r="O603" s="108">
        <v>0</v>
      </c>
      <c r="P603" s="108">
        <v>0</v>
      </c>
      <c r="Q603" s="108">
        <v>0</v>
      </c>
      <c r="R603" s="108">
        <v>0</v>
      </c>
      <c r="S603" s="108">
        <v>0</v>
      </c>
    </row>
    <row r="604" hidden="1" spans="1:19">
      <c r="A604" s="143">
        <v>45036</v>
      </c>
      <c r="B604" s="104" t="s">
        <v>31</v>
      </c>
      <c r="C604" s="145">
        <v>0</v>
      </c>
      <c r="D604" s="104">
        <v>0</v>
      </c>
      <c r="E604" s="106">
        <v>0</v>
      </c>
      <c r="F604" s="107">
        <v>0</v>
      </c>
      <c r="G604" s="106">
        <v>0</v>
      </c>
      <c r="H604" s="108">
        <v>0</v>
      </c>
      <c r="I604" s="108">
        <v>0</v>
      </c>
      <c r="J604" s="108">
        <v>0</v>
      </c>
      <c r="K604" s="108">
        <v>0</v>
      </c>
      <c r="L604" s="108">
        <v>0</v>
      </c>
      <c r="M604" s="108">
        <v>-0.333333333333333</v>
      </c>
      <c r="N604" s="108">
        <v>-0.2</v>
      </c>
      <c r="O604" s="108">
        <v>-0.142857142857143</v>
      </c>
      <c r="P604" s="108">
        <v>0</v>
      </c>
      <c r="Q604" s="108">
        <v>-0.333333333333333</v>
      </c>
      <c r="R604" s="108">
        <v>-0.2</v>
      </c>
      <c r="S604" s="108">
        <v>-0.142857142857143</v>
      </c>
    </row>
    <row r="605" hidden="1" spans="1:19">
      <c r="A605" s="143">
        <v>45036</v>
      </c>
      <c r="B605" s="104" t="s">
        <v>32</v>
      </c>
      <c r="C605" s="145">
        <v>0</v>
      </c>
      <c r="D605" s="104">
        <v>0</v>
      </c>
      <c r="E605" s="106">
        <v>0</v>
      </c>
      <c r="F605" s="107">
        <v>0</v>
      </c>
      <c r="G605" s="106">
        <v>0</v>
      </c>
      <c r="H605" s="108">
        <v>0</v>
      </c>
      <c r="I605" s="108">
        <v>0</v>
      </c>
      <c r="J605" s="108">
        <v>0</v>
      </c>
      <c r="K605" s="108">
        <v>0</v>
      </c>
      <c r="L605" s="108">
        <v>0</v>
      </c>
      <c r="M605" s="108">
        <v>0</v>
      </c>
      <c r="N605" s="108">
        <v>0</v>
      </c>
      <c r="O605" s="108">
        <v>0</v>
      </c>
      <c r="P605" s="108">
        <v>0</v>
      </c>
      <c r="Q605" s="108">
        <v>0</v>
      </c>
      <c r="R605" s="108">
        <v>0</v>
      </c>
      <c r="S605" s="108">
        <v>0</v>
      </c>
    </row>
    <row r="606" hidden="1" spans="1:19">
      <c r="A606" s="143">
        <v>45036</v>
      </c>
      <c r="B606" s="104" t="s">
        <v>33</v>
      </c>
      <c r="C606" s="145">
        <v>0</v>
      </c>
      <c r="D606" s="104">
        <v>0</v>
      </c>
      <c r="E606" s="106">
        <v>0</v>
      </c>
      <c r="F606" s="107">
        <v>0</v>
      </c>
      <c r="G606" s="106">
        <v>0</v>
      </c>
      <c r="H606" s="108">
        <v>0</v>
      </c>
      <c r="I606" s="108">
        <v>0</v>
      </c>
      <c r="J606" s="108">
        <v>0</v>
      </c>
      <c r="K606" s="108">
        <v>0</v>
      </c>
      <c r="L606" s="108">
        <v>0</v>
      </c>
      <c r="M606" s="108">
        <v>0</v>
      </c>
      <c r="N606" s="108">
        <v>0</v>
      </c>
      <c r="O606" s="108">
        <v>0</v>
      </c>
      <c r="P606" s="108">
        <v>0</v>
      </c>
      <c r="Q606" s="108">
        <v>0</v>
      </c>
      <c r="R606" s="108">
        <v>0</v>
      </c>
      <c r="S606" s="108">
        <v>0</v>
      </c>
    </row>
    <row r="607" hidden="1" spans="1:19">
      <c r="A607" s="143">
        <v>45036</v>
      </c>
      <c r="B607" s="104" t="s">
        <v>34</v>
      </c>
      <c r="C607" s="145">
        <v>0</v>
      </c>
      <c r="D607" s="104">
        <v>0</v>
      </c>
      <c r="E607" s="106">
        <v>0</v>
      </c>
      <c r="F607" s="107">
        <v>0</v>
      </c>
      <c r="G607" s="106">
        <v>0</v>
      </c>
      <c r="H607" s="108">
        <v>0</v>
      </c>
      <c r="I607" s="108">
        <v>0</v>
      </c>
      <c r="J607" s="108">
        <v>0</v>
      </c>
      <c r="K607" s="108">
        <v>0</v>
      </c>
      <c r="L607" s="108">
        <v>0</v>
      </c>
      <c r="M607" s="108">
        <v>0</v>
      </c>
      <c r="N607" s="108">
        <v>0</v>
      </c>
      <c r="O607" s="108">
        <v>0</v>
      </c>
      <c r="P607" s="108">
        <v>0</v>
      </c>
      <c r="Q607" s="108">
        <v>0</v>
      </c>
      <c r="R607" s="108">
        <v>0</v>
      </c>
      <c r="S607" s="108">
        <v>0</v>
      </c>
    </row>
    <row r="608" hidden="1" spans="1:19">
      <c r="A608" s="143">
        <v>45036</v>
      </c>
      <c r="B608" s="104" t="s">
        <v>35</v>
      </c>
      <c r="C608" s="145">
        <v>0</v>
      </c>
      <c r="D608" s="104">
        <v>0</v>
      </c>
      <c r="E608" s="106">
        <v>0</v>
      </c>
      <c r="F608" s="107">
        <v>0</v>
      </c>
      <c r="G608" s="106">
        <v>0</v>
      </c>
      <c r="H608" s="108">
        <v>0</v>
      </c>
      <c r="I608" s="108">
        <v>0</v>
      </c>
      <c r="J608" s="108">
        <v>0</v>
      </c>
      <c r="K608" s="108">
        <v>0</v>
      </c>
      <c r="L608" s="108">
        <v>0</v>
      </c>
      <c r="M608" s="108">
        <v>0</v>
      </c>
      <c r="N608" s="108">
        <v>0</v>
      </c>
      <c r="O608" s="108">
        <v>0</v>
      </c>
      <c r="P608" s="108">
        <v>0</v>
      </c>
      <c r="Q608" s="108">
        <v>0</v>
      </c>
      <c r="R608" s="108">
        <v>0</v>
      </c>
      <c r="S608" s="108">
        <v>0</v>
      </c>
    </row>
    <row r="609" hidden="1" spans="1:19">
      <c r="A609" s="143">
        <v>45036</v>
      </c>
      <c r="B609" s="104" t="s">
        <v>36</v>
      </c>
      <c r="C609" s="145">
        <v>0</v>
      </c>
      <c r="D609" s="104">
        <v>0</v>
      </c>
      <c r="E609" s="106">
        <v>0</v>
      </c>
      <c r="F609" s="107">
        <v>0</v>
      </c>
      <c r="G609" s="106">
        <v>0</v>
      </c>
      <c r="H609" s="108">
        <v>0</v>
      </c>
      <c r="I609" s="108">
        <v>0</v>
      </c>
      <c r="J609" s="108">
        <v>0</v>
      </c>
      <c r="K609" s="108">
        <v>0</v>
      </c>
      <c r="L609" s="108">
        <v>0</v>
      </c>
      <c r="M609" s="108">
        <v>0</v>
      </c>
      <c r="N609" s="108">
        <v>0</v>
      </c>
      <c r="O609" s="108">
        <v>0</v>
      </c>
      <c r="P609" s="108">
        <v>0</v>
      </c>
      <c r="Q609" s="108">
        <v>0</v>
      </c>
      <c r="R609" s="108">
        <v>0</v>
      </c>
      <c r="S609" s="108">
        <v>0</v>
      </c>
    </row>
    <row r="610" hidden="1" spans="1:19">
      <c r="A610" s="143">
        <v>45036</v>
      </c>
      <c r="B610" s="104" t="s">
        <v>37</v>
      </c>
      <c r="C610" s="145">
        <v>0</v>
      </c>
      <c r="D610" s="104">
        <v>0</v>
      </c>
      <c r="E610" s="106">
        <v>0</v>
      </c>
      <c r="F610" s="107">
        <v>0</v>
      </c>
      <c r="G610" s="106">
        <v>0</v>
      </c>
      <c r="H610" s="108">
        <v>0</v>
      </c>
      <c r="I610" s="108">
        <v>0</v>
      </c>
      <c r="J610" s="108">
        <v>0</v>
      </c>
      <c r="K610" s="108">
        <v>0</v>
      </c>
      <c r="L610" s="108">
        <v>0</v>
      </c>
      <c r="M610" s="108">
        <v>0</v>
      </c>
      <c r="N610" s="108">
        <v>0</v>
      </c>
      <c r="O610" s="108">
        <v>0</v>
      </c>
      <c r="P610" s="108">
        <v>0</v>
      </c>
      <c r="Q610" s="108">
        <v>0</v>
      </c>
      <c r="R610" s="108">
        <v>0</v>
      </c>
      <c r="S610" s="108">
        <v>0</v>
      </c>
    </row>
    <row r="611" hidden="1" spans="1:19">
      <c r="A611" s="143">
        <v>45036</v>
      </c>
      <c r="B611" s="104" t="s">
        <v>38</v>
      </c>
      <c r="C611" s="145">
        <v>0</v>
      </c>
      <c r="D611" s="104">
        <v>0</v>
      </c>
      <c r="E611" s="106">
        <v>0</v>
      </c>
      <c r="F611" s="107">
        <v>0</v>
      </c>
      <c r="G611" s="106">
        <v>0</v>
      </c>
      <c r="H611" s="108">
        <v>0</v>
      </c>
      <c r="I611" s="108">
        <v>0</v>
      </c>
      <c r="J611" s="108">
        <v>0</v>
      </c>
      <c r="K611" s="108">
        <v>0</v>
      </c>
      <c r="L611" s="108">
        <v>0</v>
      </c>
      <c r="M611" s="108">
        <v>0</v>
      </c>
      <c r="N611" s="108">
        <v>0</v>
      </c>
      <c r="O611" s="108">
        <v>0</v>
      </c>
      <c r="P611" s="108">
        <v>0</v>
      </c>
      <c r="Q611" s="108">
        <v>0</v>
      </c>
      <c r="R611" s="108">
        <v>0</v>
      </c>
      <c r="S611" s="108">
        <v>0</v>
      </c>
    </row>
    <row r="612" spans="1:19">
      <c r="A612" s="143">
        <v>45036</v>
      </c>
      <c r="B612" s="111" t="s">
        <v>39</v>
      </c>
      <c r="C612" s="112">
        <v>26662</v>
      </c>
      <c r="D612" s="112">
        <v>228</v>
      </c>
      <c r="E612" s="113">
        <v>0.00855149651188958</v>
      </c>
      <c r="F612" s="112">
        <v>103</v>
      </c>
      <c r="G612" s="113">
        <v>0.451754385964912</v>
      </c>
      <c r="H612" s="108"/>
      <c r="I612" s="108"/>
      <c r="J612" s="108"/>
      <c r="K612" s="108"/>
      <c r="L612" s="108"/>
      <c r="M612" s="108"/>
      <c r="N612" s="108"/>
      <c r="O612" s="108"/>
      <c r="P612" s="108"/>
      <c r="Q612" s="108"/>
      <c r="R612" s="108"/>
      <c r="S612" s="108"/>
    </row>
    <row r="613" spans="1:19">
      <c r="A613" s="143">
        <v>45037</v>
      </c>
      <c r="B613" s="104" t="s">
        <v>17</v>
      </c>
      <c r="C613" s="105">
        <v>701</v>
      </c>
      <c r="D613" s="104">
        <v>21</v>
      </c>
      <c r="E613" s="106">
        <v>0.0299572039942939</v>
      </c>
      <c r="F613" s="107">
        <v>5</v>
      </c>
      <c r="G613" s="106">
        <v>0.238095238095238</v>
      </c>
      <c r="H613" s="108">
        <v>161</v>
      </c>
      <c r="I613" s="108">
        <v>73.3333333333334</v>
      </c>
      <c r="J613" s="108">
        <v>37.6</v>
      </c>
      <c r="K613" s="108">
        <v>179.714285714286</v>
      </c>
      <c r="L613" s="108">
        <v>6</v>
      </c>
      <c r="M613" s="108">
        <v>0.333333333333332</v>
      </c>
      <c r="N613" s="108">
        <v>-2.4</v>
      </c>
      <c r="O613" s="108">
        <v>-3.71428571428572</v>
      </c>
      <c r="P613" s="108">
        <v>2</v>
      </c>
      <c r="Q613" s="108">
        <v>-0.666666666666667</v>
      </c>
      <c r="R613" s="108">
        <v>-1.8</v>
      </c>
      <c r="S613" s="108">
        <v>-1.14285714285714</v>
      </c>
    </row>
    <row r="614" spans="1:19">
      <c r="A614" s="143">
        <v>45037</v>
      </c>
      <c r="B614" s="104" t="s">
        <v>19</v>
      </c>
      <c r="C614" s="107">
        <v>2906</v>
      </c>
      <c r="D614" s="104">
        <v>42</v>
      </c>
      <c r="E614" s="106">
        <v>0.0144528561596696</v>
      </c>
      <c r="F614" s="107">
        <v>18</v>
      </c>
      <c r="G614" s="106">
        <v>0.428571428571429</v>
      </c>
      <c r="H614" s="108">
        <v>558</v>
      </c>
      <c r="I614" s="108">
        <v>1032</v>
      </c>
      <c r="J614" s="108">
        <v>1226.8</v>
      </c>
      <c r="K614" s="108">
        <v>1338.85714285714</v>
      </c>
      <c r="L614" s="108">
        <v>5</v>
      </c>
      <c r="M614" s="108">
        <v>9</v>
      </c>
      <c r="N614" s="108">
        <v>9.4</v>
      </c>
      <c r="O614" s="108">
        <v>10</v>
      </c>
      <c r="P614" s="108">
        <v>-3</v>
      </c>
      <c r="Q614" s="108">
        <v>2</v>
      </c>
      <c r="R614" s="108">
        <v>3.4</v>
      </c>
      <c r="S614" s="115">
        <v>4.85714285714286</v>
      </c>
    </row>
    <row r="615" spans="1:19">
      <c r="A615" s="143">
        <v>45037</v>
      </c>
      <c r="B615" s="104" t="s">
        <v>21</v>
      </c>
      <c r="C615" s="145">
        <v>561</v>
      </c>
      <c r="D615" s="104">
        <v>24</v>
      </c>
      <c r="E615" s="106">
        <v>0.0427807486631016</v>
      </c>
      <c r="F615" s="107">
        <v>10</v>
      </c>
      <c r="G615" s="106">
        <v>0.416666666666667</v>
      </c>
      <c r="H615" s="108">
        <v>38</v>
      </c>
      <c r="I615" s="108">
        <v>21.3333333333334</v>
      </c>
      <c r="J615" s="108">
        <v>15.4</v>
      </c>
      <c r="K615" s="108">
        <v>53.8571428571428</v>
      </c>
      <c r="L615" s="108">
        <v>0</v>
      </c>
      <c r="M615" s="108">
        <v>-5</v>
      </c>
      <c r="N615" s="108">
        <v>-4.6</v>
      </c>
      <c r="O615" s="108">
        <v>-3.42857142857143</v>
      </c>
      <c r="P615" s="108">
        <v>0</v>
      </c>
      <c r="Q615" s="108">
        <v>-0.333333333333334</v>
      </c>
      <c r="R615" s="108">
        <v>0.4</v>
      </c>
      <c r="S615" s="108">
        <v>0.285714285714286</v>
      </c>
    </row>
    <row r="616" spans="1:19">
      <c r="A616" s="143">
        <v>45037</v>
      </c>
      <c r="B616" s="104" t="s">
        <v>22</v>
      </c>
      <c r="C616" s="145">
        <v>3742</v>
      </c>
      <c r="D616" s="104">
        <v>70</v>
      </c>
      <c r="E616" s="106">
        <v>0.0187065740245858</v>
      </c>
      <c r="F616" s="107">
        <v>25</v>
      </c>
      <c r="G616" s="106">
        <v>0.357142857142857</v>
      </c>
      <c r="H616" s="108">
        <v>77</v>
      </c>
      <c r="I616" s="108">
        <v>19.3333333333335</v>
      </c>
      <c r="J616" s="108">
        <v>-192.6</v>
      </c>
      <c r="K616" s="108">
        <v>-308.571428571428</v>
      </c>
      <c r="L616" s="108">
        <v>10</v>
      </c>
      <c r="M616" s="108">
        <v>-4.66666666666667</v>
      </c>
      <c r="N616" s="108">
        <v>-12.8</v>
      </c>
      <c r="O616" s="115">
        <v>-17.4285714285714</v>
      </c>
      <c r="P616" s="108">
        <v>-2</v>
      </c>
      <c r="Q616" s="108">
        <v>-3</v>
      </c>
      <c r="R616" s="108">
        <v>-5.6</v>
      </c>
      <c r="S616" s="117">
        <v>-7.28571428571428</v>
      </c>
    </row>
    <row r="617" spans="1:19">
      <c r="A617" s="143">
        <v>45037</v>
      </c>
      <c r="B617" s="104" t="s">
        <v>23</v>
      </c>
      <c r="C617" s="145">
        <v>2612</v>
      </c>
      <c r="D617" s="104">
        <v>23</v>
      </c>
      <c r="E617" s="106">
        <v>0.00880551301684533</v>
      </c>
      <c r="F617" s="107">
        <v>6</v>
      </c>
      <c r="G617" s="106">
        <v>0.260869565217391</v>
      </c>
      <c r="H617" s="108">
        <v>-23</v>
      </c>
      <c r="I617" s="108">
        <v>28</v>
      </c>
      <c r="J617" s="108">
        <v>-18</v>
      </c>
      <c r="K617" s="108">
        <v>-10.8571428571427</v>
      </c>
      <c r="L617" s="108">
        <v>-9</v>
      </c>
      <c r="M617" s="108">
        <v>-2.33333333333333</v>
      </c>
      <c r="N617" s="108">
        <v>-6.2</v>
      </c>
      <c r="O617" s="108">
        <v>-4.42857142857143</v>
      </c>
      <c r="P617" s="108">
        <v>-3</v>
      </c>
      <c r="Q617" s="116">
        <v>-1.33333333333333</v>
      </c>
      <c r="R617" s="108">
        <v>-3.4</v>
      </c>
      <c r="S617" s="108">
        <v>-3.42857142857143</v>
      </c>
    </row>
    <row r="618" spans="1:19">
      <c r="A618" s="143">
        <v>45037</v>
      </c>
      <c r="B618" s="104" t="s">
        <v>24</v>
      </c>
      <c r="C618" s="145">
        <v>372</v>
      </c>
      <c r="D618" s="104">
        <v>1</v>
      </c>
      <c r="E618" s="106">
        <v>0.00268817204301075</v>
      </c>
      <c r="F618" s="107">
        <v>1</v>
      </c>
      <c r="G618" s="106">
        <v>1</v>
      </c>
      <c r="H618" s="108">
        <v>-73</v>
      </c>
      <c r="I618" s="108">
        <v>-155.333333333333</v>
      </c>
      <c r="J618" s="108">
        <v>-138.4</v>
      </c>
      <c r="K618" s="108">
        <v>-82.1428571428572</v>
      </c>
      <c r="L618" s="115">
        <v>-2</v>
      </c>
      <c r="M618" s="115">
        <v>-2</v>
      </c>
      <c r="N618" s="117">
        <v>-3.6</v>
      </c>
      <c r="O618" s="117">
        <v>-3.28571428571429</v>
      </c>
      <c r="P618" s="115">
        <v>-1</v>
      </c>
      <c r="Q618" s="115">
        <v>-1.66666666666667</v>
      </c>
      <c r="R618" s="115">
        <v>-2</v>
      </c>
      <c r="S618" s="115">
        <v>-1.57142857142857</v>
      </c>
    </row>
    <row r="619" spans="1:19">
      <c r="A619" s="143">
        <v>45037</v>
      </c>
      <c r="B619" s="104" t="s">
        <v>25</v>
      </c>
      <c r="C619" s="145">
        <v>14326</v>
      </c>
      <c r="D619" s="104">
        <v>51</v>
      </c>
      <c r="E619" s="106">
        <v>0.00355996091023314</v>
      </c>
      <c r="F619" s="107">
        <v>15</v>
      </c>
      <c r="G619" s="106">
        <v>0.294117647058824</v>
      </c>
      <c r="H619" s="108">
        <v>556</v>
      </c>
      <c r="I619" s="108">
        <v>1464.66666666667</v>
      </c>
      <c r="J619" s="108">
        <v>1583.6</v>
      </c>
      <c r="K619" s="108">
        <v>2280</v>
      </c>
      <c r="L619" s="116">
        <v>24</v>
      </c>
      <c r="M619" s="115">
        <v>16.6666666666667</v>
      </c>
      <c r="N619" s="115">
        <v>11.8</v>
      </c>
      <c r="O619" s="115">
        <v>14.1428571428571</v>
      </c>
      <c r="P619" s="108">
        <v>0</v>
      </c>
      <c r="Q619" s="108">
        <v>0.666666666666666</v>
      </c>
      <c r="R619" s="108">
        <v>0.199999999999999</v>
      </c>
      <c r="S619" s="108">
        <v>0.714285714285714</v>
      </c>
    </row>
    <row r="620" spans="1:19">
      <c r="A620" s="143">
        <v>45037</v>
      </c>
      <c r="B620" s="104" t="s">
        <v>26</v>
      </c>
      <c r="C620" s="145">
        <v>2282</v>
      </c>
      <c r="D620" s="104">
        <v>28</v>
      </c>
      <c r="E620" s="106">
        <v>0.0122699386503067</v>
      </c>
      <c r="F620" s="107">
        <v>8</v>
      </c>
      <c r="G620" s="106">
        <v>0.285714285714286</v>
      </c>
      <c r="H620" s="108">
        <v>-6</v>
      </c>
      <c r="I620" s="108">
        <v>226.666666666667</v>
      </c>
      <c r="J620" s="108">
        <v>124</v>
      </c>
      <c r="K620" s="108">
        <v>-591.142857142857</v>
      </c>
      <c r="L620" s="108">
        <v>1</v>
      </c>
      <c r="M620" s="108">
        <v>7.66666666666667</v>
      </c>
      <c r="N620" s="108">
        <v>2.2</v>
      </c>
      <c r="O620" s="108">
        <v>2.14285714285714</v>
      </c>
      <c r="P620" s="108">
        <v>-5</v>
      </c>
      <c r="Q620" s="108">
        <v>1</v>
      </c>
      <c r="R620" s="108">
        <v>0</v>
      </c>
      <c r="S620" s="108">
        <v>-1.57142857142857</v>
      </c>
    </row>
    <row r="621" spans="1:19">
      <c r="A621" s="143">
        <v>45037</v>
      </c>
      <c r="B621" s="104" t="s">
        <v>27</v>
      </c>
      <c r="C621" s="145">
        <v>512</v>
      </c>
      <c r="D621" s="104">
        <v>4</v>
      </c>
      <c r="E621" s="106">
        <v>0.0078125</v>
      </c>
      <c r="F621" s="107">
        <v>2</v>
      </c>
      <c r="G621" s="106">
        <v>0.5</v>
      </c>
      <c r="H621" s="108">
        <v>64</v>
      </c>
      <c r="I621" s="108">
        <v>130.666666666667</v>
      </c>
      <c r="J621" s="108">
        <v>169.2</v>
      </c>
      <c r="K621" s="108">
        <v>172.571428571429</v>
      </c>
      <c r="L621" s="108">
        <v>1</v>
      </c>
      <c r="M621" s="108">
        <v>1.66666666666667</v>
      </c>
      <c r="N621" s="108">
        <v>0</v>
      </c>
      <c r="O621" s="108">
        <v>0.285714285714286</v>
      </c>
      <c r="P621" s="108">
        <v>-1</v>
      </c>
      <c r="Q621" s="108">
        <v>1</v>
      </c>
      <c r="R621" s="108">
        <v>0.4</v>
      </c>
      <c r="S621" s="108">
        <v>0.714285714285714</v>
      </c>
    </row>
    <row r="622" spans="1:19">
      <c r="A622" s="143">
        <v>45037</v>
      </c>
      <c r="B622" s="104" t="s">
        <v>28</v>
      </c>
      <c r="C622" s="145">
        <v>0</v>
      </c>
      <c r="D622" s="104">
        <v>1</v>
      </c>
      <c r="E622" s="106">
        <v>1</v>
      </c>
      <c r="F622" s="107">
        <v>0</v>
      </c>
      <c r="G622" s="106">
        <v>0</v>
      </c>
      <c r="H622" s="108">
        <v>0</v>
      </c>
      <c r="I622" s="108">
        <v>0</v>
      </c>
      <c r="J622" s="108">
        <v>0</v>
      </c>
      <c r="K622" s="108">
        <v>0</v>
      </c>
      <c r="L622" s="108">
        <v>1</v>
      </c>
      <c r="M622" s="108">
        <v>0.666666666666667</v>
      </c>
      <c r="N622" s="108">
        <v>0.8</v>
      </c>
      <c r="O622" s="108">
        <v>0.857142857142857</v>
      </c>
      <c r="P622" s="108">
        <v>0</v>
      </c>
      <c r="Q622" s="108">
        <v>-0.333333333333333</v>
      </c>
      <c r="R622" s="108">
        <v>-0.2</v>
      </c>
      <c r="S622" s="108">
        <v>-0.142857142857143</v>
      </c>
    </row>
    <row r="623" hidden="1" spans="1:19">
      <c r="A623" s="143">
        <v>45037</v>
      </c>
      <c r="B623" s="104" t="s">
        <v>29</v>
      </c>
      <c r="C623" s="145">
        <v>0</v>
      </c>
      <c r="D623" s="104">
        <v>1</v>
      </c>
      <c r="E623" s="106">
        <v>1</v>
      </c>
      <c r="F623" s="107">
        <v>0</v>
      </c>
      <c r="G623" s="106">
        <v>0</v>
      </c>
      <c r="H623" s="108">
        <v>0</v>
      </c>
      <c r="I623" s="108">
        <v>0</v>
      </c>
      <c r="J623" s="108">
        <v>0</v>
      </c>
      <c r="K623" s="108">
        <v>0</v>
      </c>
      <c r="L623" s="108">
        <v>1</v>
      </c>
      <c r="M623" s="108">
        <v>1</v>
      </c>
      <c r="N623" s="108">
        <v>1</v>
      </c>
      <c r="O623" s="108">
        <v>0.857142857142857</v>
      </c>
      <c r="P623" s="108">
        <v>0</v>
      </c>
      <c r="Q623" s="108">
        <v>0</v>
      </c>
      <c r="R623" s="108">
        <v>0</v>
      </c>
      <c r="S623" s="108">
        <v>0</v>
      </c>
    </row>
    <row r="624" hidden="1" spans="1:19">
      <c r="A624" s="143">
        <v>45037</v>
      </c>
      <c r="B624" s="104" t="s">
        <v>30</v>
      </c>
      <c r="C624" s="145">
        <v>0</v>
      </c>
      <c r="D624" s="104">
        <v>0</v>
      </c>
      <c r="E624" s="106">
        <v>0</v>
      </c>
      <c r="F624" s="107">
        <v>0</v>
      </c>
      <c r="G624" s="106">
        <v>0</v>
      </c>
      <c r="H624" s="108">
        <v>0</v>
      </c>
      <c r="I624" s="108">
        <v>0</v>
      </c>
      <c r="J624" s="108">
        <v>0</v>
      </c>
      <c r="K624" s="108">
        <v>0</v>
      </c>
      <c r="L624" s="108">
        <v>0</v>
      </c>
      <c r="M624" s="108">
        <v>0</v>
      </c>
      <c r="N624" s="108">
        <v>0</v>
      </c>
      <c r="O624" s="108">
        <v>0</v>
      </c>
      <c r="P624" s="108">
        <v>0</v>
      </c>
      <c r="Q624" s="108">
        <v>0</v>
      </c>
      <c r="R624" s="108">
        <v>0</v>
      </c>
      <c r="S624" s="108">
        <v>0</v>
      </c>
    </row>
    <row r="625" hidden="1" spans="1:19">
      <c r="A625" s="143">
        <v>45037</v>
      </c>
      <c r="B625" s="104" t="s">
        <v>31</v>
      </c>
      <c r="C625" s="145">
        <v>0</v>
      </c>
      <c r="D625" s="104">
        <v>0</v>
      </c>
      <c r="E625" s="106">
        <v>0</v>
      </c>
      <c r="F625" s="107">
        <v>0</v>
      </c>
      <c r="G625" s="106">
        <v>0</v>
      </c>
      <c r="H625" s="108">
        <v>0</v>
      </c>
      <c r="I625" s="108">
        <v>0</v>
      </c>
      <c r="J625" s="108">
        <v>0</v>
      </c>
      <c r="K625" s="108">
        <v>0</v>
      </c>
      <c r="L625" s="108">
        <v>0</v>
      </c>
      <c r="M625" s="108">
        <v>-0.333333333333333</v>
      </c>
      <c r="N625" s="108">
        <v>-0.2</v>
      </c>
      <c r="O625" s="108">
        <v>-0.142857142857143</v>
      </c>
      <c r="P625" s="108">
        <v>0</v>
      </c>
      <c r="Q625" s="108">
        <v>-0.333333333333333</v>
      </c>
      <c r="R625" s="108">
        <v>-0.2</v>
      </c>
      <c r="S625" s="108">
        <v>-0.142857142857143</v>
      </c>
    </row>
    <row r="626" hidden="1" spans="1:19">
      <c r="A626" s="143">
        <v>45037</v>
      </c>
      <c r="B626" s="104" t="s">
        <v>32</v>
      </c>
      <c r="C626" s="145">
        <v>0</v>
      </c>
      <c r="D626" s="104">
        <v>0</v>
      </c>
      <c r="E626" s="106">
        <v>0</v>
      </c>
      <c r="F626" s="107">
        <v>0</v>
      </c>
      <c r="G626" s="106">
        <v>0</v>
      </c>
      <c r="H626" s="108">
        <v>0</v>
      </c>
      <c r="I626" s="108">
        <v>0</v>
      </c>
      <c r="J626" s="108">
        <v>0</v>
      </c>
      <c r="K626" s="108">
        <v>0</v>
      </c>
      <c r="L626" s="108">
        <v>0</v>
      </c>
      <c r="M626" s="108">
        <v>0</v>
      </c>
      <c r="N626" s="108">
        <v>0</v>
      </c>
      <c r="O626" s="108">
        <v>0</v>
      </c>
      <c r="P626" s="108">
        <v>0</v>
      </c>
      <c r="Q626" s="108">
        <v>0</v>
      </c>
      <c r="R626" s="108">
        <v>0</v>
      </c>
      <c r="S626" s="108">
        <v>0</v>
      </c>
    </row>
    <row r="627" hidden="1" spans="1:19">
      <c r="A627" s="143">
        <v>45037</v>
      </c>
      <c r="B627" s="104" t="s">
        <v>33</v>
      </c>
      <c r="C627" s="145">
        <v>0</v>
      </c>
      <c r="D627" s="104">
        <v>0</v>
      </c>
      <c r="E627" s="106">
        <v>0</v>
      </c>
      <c r="F627" s="107">
        <v>0</v>
      </c>
      <c r="G627" s="106">
        <v>0</v>
      </c>
      <c r="H627" s="108">
        <v>0</v>
      </c>
      <c r="I627" s="108">
        <v>0</v>
      </c>
      <c r="J627" s="108">
        <v>0</v>
      </c>
      <c r="K627" s="108">
        <v>0</v>
      </c>
      <c r="L627" s="108">
        <v>0</v>
      </c>
      <c r="M627" s="108">
        <v>0</v>
      </c>
      <c r="N627" s="108">
        <v>0</v>
      </c>
      <c r="O627" s="108">
        <v>0</v>
      </c>
      <c r="P627" s="108">
        <v>0</v>
      </c>
      <c r="Q627" s="108">
        <v>0</v>
      </c>
      <c r="R627" s="108">
        <v>0</v>
      </c>
      <c r="S627" s="108">
        <v>0</v>
      </c>
    </row>
    <row r="628" hidden="1" spans="1:19">
      <c r="A628" s="143">
        <v>45037</v>
      </c>
      <c r="B628" s="104" t="s">
        <v>34</v>
      </c>
      <c r="C628" s="145">
        <v>0</v>
      </c>
      <c r="D628" s="104">
        <v>0</v>
      </c>
      <c r="E628" s="106">
        <v>0</v>
      </c>
      <c r="F628" s="107">
        <v>0</v>
      </c>
      <c r="G628" s="106">
        <v>0</v>
      </c>
      <c r="H628" s="108">
        <v>0</v>
      </c>
      <c r="I628" s="108">
        <v>0</v>
      </c>
      <c r="J628" s="108">
        <v>0</v>
      </c>
      <c r="K628" s="108">
        <v>0</v>
      </c>
      <c r="L628" s="108">
        <v>0</v>
      </c>
      <c r="M628" s="108">
        <v>0</v>
      </c>
      <c r="N628" s="108">
        <v>0</v>
      </c>
      <c r="O628" s="108">
        <v>0</v>
      </c>
      <c r="P628" s="108">
        <v>0</v>
      </c>
      <c r="Q628" s="108">
        <v>0</v>
      </c>
      <c r="R628" s="108">
        <v>0</v>
      </c>
      <c r="S628" s="108">
        <v>0</v>
      </c>
    </row>
    <row r="629" hidden="1" spans="1:19">
      <c r="A629" s="143">
        <v>45037</v>
      </c>
      <c r="B629" s="104" t="s">
        <v>35</v>
      </c>
      <c r="C629" s="145">
        <v>0</v>
      </c>
      <c r="D629" s="104">
        <v>0</v>
      </c>
      <c r="E629" s="106">
        <v>0</v>
      </c>
      <c r="F629" s="107">
        <v>0</v>
      </c>
      <c r="G629" s="106">
        <v>0</v>
      </c>
      <c r="H629" s="108">
        <v>0</v>
      </c>
      <c r="I629" s="108">
        <v>0</v>
      </c>
      <c r="J629" s="108">
        <v>0</v>
      </c>
      <c r="K629" s="108">
        <v>0</v>
      </c>
      <c r="L629" s="108">
        <v>0</v>
      </c>
      <c r="M629" s="108">
        <v>0</v>
      </c>
      <c r="N629" s="108">
        <v>0</v>
      </c>
      <c r="O629" s="108">
        <v>0</v>
      </c>
      <c r="P629" s="108">
        <v>0</v>
      </c>
      <c r="Q629" s="108">
        <v>0</v>
      </c>
      <c r="R629" s="108">
        <v>0</v>
      </c>
      <c r="S629" s="108">
        <v>0</v>
      </c>
    </row>
    <row r="630" hidden="1" spans="1:19">
      <c r="A630" s="143">
        <v>45037</v>
      </c>
      <c r="B630" s="104" t="s">
        <v>36</v>
      </c>
      <c r="C630" s="145">
        <v>0</v>
      </c>
      <c r="D630" s="104">
        <v>0</v>
      </c>
      <c r="E630" s="106">
        <v>0</v>
      </c>
      <c r="F630" s="107">
        <v>0</v>
      </c>
      <c r="G630" s="106">
        <v>0</v>
      </c>
      <c r="H630" s="108">
        <v>0</v>
      </c>
      <c r="I630" s="108">
        <v>0</v>
      </c>
      <c r="J630" s="108">
        <v>0</v>
      </c>
      <c r="K630" s="108">
        <v>0</v>
      </c>
      <c r="L630" s="108">
        <v>0</v>
      </c>
      <c r="M630" s="108">
        <v>0</v>
      </c>
      <c r="N630" s="108">
        <v>0</v>
      </c>
      <c r="O630" s="108">
        <v>0</v>
      </c>
      <c r="P630" s="108">
        <v>0</v>
      </c>
      <c r="Q630" s="108">
        <v>0</v>
      </c>
      <c r="R630" s="108">
        <v>0</v>
      </c>
      <c r="S630" s="108">
        <v>0</v>
      </c>
    </row>
    <row r="631" hidden="1" spans="1:19">
      <c r="A631" s="143">
        <v>45037</v>
      </c>
      <c r="B631" s="104" t="s">
        <v>37</v>
      </c>
      <c r="C631" s="145">
        <v>0</v>
      </c>
      <c r="D631" s="104">
        <v>0</v>
      </c>
      <c r="E631" s="106">
        <v>0</v>
      </c>
      <c r="F631" s="107">
        <v>0</v>
      </c>
      <c r="G631" s="106">
        <v>0</v>
      </c>
      <c r="H631" s="108">
        <v>0</v>
      </c>
      <c r="I631" s="108">
        <v>0</v>
      </c>
      <c r="J631" s="108">
        <v>0</v>
      </c>
      <c r="K631" s="108">
        <v>0</v>
      </c>
      <c r="L631" s="108">
        <v>0</v>
      </c>
      <c r="M631" s="108">
        <v>0</v>
      </c>
      <c r="N631" s="108">
        <v>0</v>
      </c>
      <c r="O631" s="108">
        <v>0</v>
      </c>
      <c r="P631" s="108">
        <v>0</v>
      </c>
      <c r="Q631" s="108">
        <v>0</v>
      </c>
      <c r="R631" s="108">
        <v>0</v>
      </c>
      <c r="S631" s="108">
        <v>0</v>
      </c>
    </row>
    <row r="632" hidden="1" spans="1:19">
      <c r="A632" s="143">
        <v>45037</v>
      </c>
      <c r="B632" s="104" t="s">
        <v>38</v>
      </c>
      <c r="C632" s="145">
        <v>0</v>
      </c>
      <c r="D632" s="104">
        <v>0</v>
      </c>
      <c r="E632" s="106">
        <v>0</v>
      </c>
      <c r="F632" s="107">
        <v>0</v>
      </c>
      <c r="G632" s="106">
        <v>0</v>
      </c>
      <c r="H632" s="108">
        <v>0</v>
      </c>
      <c r="I632" s="108">
        <v>0</v>
      </c>
      <c r="J632" s="108">
        <v>0</v>
      </c>
      <c r="K632" s="108">
        <v>0</v>
      </c>
      <c r="L632" s="108">
        <v>0</v>
      </c>
      <c r="M632" s="108">
        <v>0</v>
      </c>
      <c r="N632" s="108">
        <v>0</v>
      </c>
      <c r="O632" s="108">
        <v>0</v>
      </c>
      <c r="P632" s="108">
        <v>0</v>
      </c>
      <c r="Q632" s="108">
        <v>0</v>
      </c>
      <c r="R632" s="108">
        <v>0</v>
      </c>
      <c r="S632" s="108">
        <v>0</v>
      </c>
    </row>
    <row r="633" spans="1:19">
      <c r="A633" s="143">
        <v>45037</v>
      </c>
      <c r="B633" s="111" t="s">
        <v>39</v>
      </c>
      <c r="C633" s="112">
        <v>28014</v>
      </c>
      <c r="D633" s="112">
        <v>266</v>
      </c>
      <c r="E633" s="113">
        <v>0.00949525237381309</v>
      </c>
      <c r="F633" s="112">
        <v>90</v>
      </c>
      <c r="G633" s="113">
        <v>0.338345864661654</v>
      </c>
      <c r="H633" s="108"/>
      <c r="I633" s="108"/>
      <c r="J633" s="108"/>
      <c r="K633" s="108"/>
      <c r="L633" s="108"/>
      <c r="M633" s="108"/>
      <c r="N633" s="108"/>
      <c r="O633" s="108"/>
      <c r="P633" s="108"/>
      <c r="Q633" s="108"/>
      <c r="R633" s="108"/>
      <c r="S633" s="108"/>
    </row>
    <row r="634" spans="1:19">
      <c r="A634" s="143">
        <v>45038</v>
      </c>
      <c r="B634" s="104" t="s">
        <v>17</v>
      </c>
      <c r="C634" s="105">
        <v>636</v>
      </c>
      <c r="D634" s="104">
        <v>19</v>
      </c>
      <c r="E634" s="106">
        <v>0.029874213836478</v>
      </c>
      <c r="F634" s="107">
        <v>3</v>
      </c>
      <c r="G634" s="106">
        <v>0.157894736842105</v>
      </c>
      <c r="H634" s="108">
        <v>-65</v>
      </c>
      <c r="I634" s="108">
        <v>13.3333333333334</v>
      </c>
      <c r="J634" s="108">
        <v>-28</v>
      </c>
      <c r="K634" s="108">
        <v>36.8571428571429</v>
      </c>
      <c r="L634" s="108">
        <v>-2</v>
      </c>
      <c r="M634" s="108">
        <v>0.333333333333332</v>
      </c>
      <c r="N634" s="108">
        <v>-2.6</v>
      </c>
      <c r="O634" s="108">
        <v>-4.85714285714286</v>
      </c>
      <c r="P634" s="108">
        <v>-2</v>
      </c>
      <c r="Q634" s="108">
        <v>-2.33333333333333</v>
      </c>
      <c r="R634" s="108">
        <v>-3</v>
      </c>
      <c r="S634" s="108">
        <v>-3.28571428571429</v>
      </c>
    </row>
    <row r="635" spans="1:19">
      <c r="A635" s="143">
        <v>45038</v>
      </c>
      <c r="B635" s="104" t="s">
        <v>19</v>
      </c>
      <c r="C635" s="107">
        <v>3366</v>
      </c>
      <c r="D635" s="104">
        <v>35</v>
      </c>
      <c r="E635" s="106">
        <v>0.0103980986333928</v>
      </c>
      <c r="F635" s="107">
        <v>10</v>
      </c>
      <c r="G635" s="106">
        <v>0.285714285714286</v>
      </c>
      <c r="H635" s="108">
        <v>460</v>
      </c>
      <c r="I635" s="108">
        <v>996</v>
      </c>
      <c r="J635" s="108">
        <v>1402</v>
      </c>
      <c r="K635" s="108">
        <v>1536</v>
      </c>
      <c r="L635" s="108">
        <v>-7</v>
      </c>
      <c r="M635" s="108">
        <v>-4</v>
      </c>
      <c r="N635" s="108">
        <v>1.8</v>
      </c>
      <c r="O635" s="108">
        <v>0.428571428571431</v>
      </c>
      <c r="P635" s="108">
        <v>-8</v>
      </c>
      <c r="Q635" s="108">
        <v>-8.33333333333333</v>
      </c>
      <c r="R635" s="108">
        <v>-5.4</v>
      </c>
      <c r="S635" s="115">
        <v>-4.57142857142857</v>
      </c>
    </row>
    <row r="636" spans="1:19">
      <c r="A636" s="143">
        <v>45038</v>
      </c>
      <c r="B636" s="104" t="s">
        <v>21</v>
      </c>
      <c r="C636" s="145">
        <v>631</v>
      </c>
      <c r="D636" s="104">
        <v>25</v>
      </c>
      <c r="E636" s="106">
        <v>0.0396196513470681</v>
      </c>
      <c r="F636" s="107">
        <v>10</v>
      </c>
      <c r="G636" s="106">
        <v>0.4</v>
      </c>
      <c r="H636" s="108">
        <v>70</v>
      </c>
      <c r="I636" s="108">
        <v>83.6666666666666</v>
      </c>
      <c r="J636" s="108">
        <v>76.4</v>
      </c>
      <c r="K636" s="108">
        <v>101.714285714286</v>
      </c>
      <c r="L636" s="108">
        <v>1</v>
      </c>
      <c r="M636" s="108">
        <v>-1</v>
      </c>
      <c r="N636" s="108">
        <v>-3.8</v>
      </c>
      <c r="O636" s="108">
        <v>-1.85714285714286</v>
      </c>
      <c r="P636" s="108">
        <v>0</v>
      </c>
      <c r="Q636" s="108">
        <v>1</v>
      </c>
      <c r="R636" s="108">
        <v>-0.4</v>
      </c>
      <c r="S636" s="108">
        <v>0.142857142857142</v>
      </c>
    </row>
    <row r="637" spans="1:19">
      <c r="A637" s="143">
        <v>45038</v>
      </c>
      <c r="B637" s="104" t="s">
        <v>22</v>
      </c>
      <c r="C637" s="145">
        <v>3635</v>
      </c>
      <c r="D637" s="104">
        <v>52</v>
      </c>
      <c r="E637" s="106">
        <v>0.0143053645116919</v>
      </c>
      <c r="F637" s="107">
        <v>22</v>
      </c>
      <c r="G637" s="106">
        <v>0.423076923076923</v>
      </c>
      <c r="H637" s="108">
        <v>-107</v>
      </c>
      <c r="I637" s="108">
        <v>-92</v>
      </c>
      <c r="J637" s="108">
        <v>-159.6</v>
      </c>
      <c r="K637" s="108">
        <v>-343.571428571428</v>
      </c>
      <c r="L637" s="108">
        <v>-18</v>
      </c>
      <c r="M637" s="108">
        <v>-21.6666666666667</v>
      </c>
      <c r="N637" s="108">
        <v>-23.8</v>
      </c>
      <c r="O637" s="115">
        <v>-32.2857142857143</v>
      </c>
      <c r="P637" s="108">
        <v>-3</v>
      </c>
      <c r="Q637" s="108">
        <v>-7</v>
      </c>
      <c r="R637" s="108">
        <v>-5.8</v>
      </c>
      <c r="S637" s="117">
        <v>-8.71428571428572</v>
      </c>
    </row>
    <row r="638" spans="1:19">
      <c r="A638" s="143">
        <v>45038</v>
      </c>
      <c r="B638" s="104" t="s">
        <v>23</v>
      </c>
      <c r="C638" s="145">
        <v>2592</v>
      </c>
      <c r="D638" s="104">
        <v>22</v>
      </c>
      <c r="E638" s="106">
        <v>0.00848765432098765</v>
      </c>
      <c r="F638" s="107">
        <v>7</v>
      </c>
      <c r="G638" s="106">
        <v>0.318181818181818</v>
      </c>
      <c r="H638" s="108">
        <v>-20</v>
      </c>
      <c r="I638" s="108">
        <v>-6.66666666666652</v>
      </c>
      <c r="J638" s="108">
        <v>2.40000000000009</v>
      </c>
      <c r="K638" s="108">
        <v>-33.5714285714284</v>
      </c>
      <c r="L638" s="108">
        <v>-1</v>
      </c>
      <c r="M638" s="108">
        <v>-4.66666666666667</v>
      </c>
      <c r="N638" s="108">
        <v>-4.8</v>
      </c>
      <c r="O638" s="108">
        <v>-4.85714285714286</v>
      </c>
      <c r="P638" s="108">
        <v>1</v>
      </c>
      <c r="Q638" s="116">
        <v>-1.66666666666667</v>
      </c>
      <c r="R638" s="108">
        <v>-1.2</v>
      </c>
      <c r="S638" s="108">
        <v>-2.42857142857143</v>
      </c>
    </row>
    <row r="639" spans="1:19">
      <c r="A639" s="143">
        <v>45038</v>
      </c>
      <c r="B639" s="104" t="s">
        <v>24</v>
      </c>
      <c r="C639" s="145">
        <v>432</v>
      </c>
      <c r="D639" s="104">
        <v>1</v>
      </c>
      <c r="E639" s="106">
        <v>0.00231481481481481</v>
      </c>
      <c r="F639" s="107">
        <v>1</v>
      </c>
      <c r="G639" s="106">
        <v>1</v>
      </c>
      <c r="H639" s="108">
        <v>60</v>
      </c>
      <c r="I639" s="108">
        <v>14.6666666666667</v>
      </c>
      <c r="J639" s="108">
        <v>-56</v>
      </c>
      <c r="K639" s="108">
        <v>-37.2857142857143</v>
      </c>
      <c r="L639" s="115">
        <v>0</v>
      </c>
      <c r="M639" s="115">
        <v>-1.66666666666667</v>
      </c>
      <c r="N639" s="117">
        <v>-3.2</v>
      </c>
      <c r="O639" s="117">
        <v>-2.71428571428571</v>
      </c>
      <c r="P639" s="115">
        <v>0</v>
      </c>
      <c r="Q639" s="115">
        <v>-1.66666666666667</v>
      </c>
      <c r="R639" s="115">
        <v>-1.4</v>
      </c>
      <c r="S639" s="115">
        <v>-1.57142857142857</v>
      </c>
    </row>
    <row r="640" spans="1:19">
      <c r="A640" s="143">
        <v>45038</v>
      </c>
      <c r="B640" s="104" t="s">
        <v>25</v>
      </c>
      <c r="C640" s="145">
        <v>15742</v>
      </c>
      <c r="D640" s="104">
        <v>43</v>
      </c>
      <c r="E640" s="106">
        <v>0.00273154618218778</v>
      </c>
      <c r="F640" s="107">
        <v>19</v>
      </c>
      <c r="G640" s="106">
        <v>0.441860465116279</v>
      </c>
      <c r="H640" s="108">
        <v>1416</v>
      </c>
      <c r="I640" s="108">
        <v>1976</v>
      </c>
      <c r="J640" s="108">
        <v>2682</v>
      </c>
      <c r="K640" s="108">
        <v>3060.85714285714</v>
      </c>
      <c r="L640" s="116">
        <v>-8</v>
      </c>
      <c r="M640" s="115">
        <v>4.33333333333334</v>
      </c>
      <c r="N640" s="115">
        <v>4.4</v>
      </c>
      <c r="O640" s="115">
        <v>3.71428571428572</v>
      </c>
      <c r="P640" s="108">
        <v>4</v>
      </c>
      <c r="Q640" s="108">
        <v>3.66666666666667</v>
      </c>
      <c r="R640" s="108">
        <v>6.2</v>
      </c>
      <c r="S640" s="108">
        <v>4.57142857142857</v>
      </c>
    </row>
    <row r="641" spans="1:19">
      <c r="A641" s="143">
        <v>45038</v>
      </c>
      <c r="B641" s="104" t="s">
        <v>26</v>
      </c>
      <c r="C641" s="145">
        <v>2196</v>
      </c>
      <c r="D641" s="104">
        <v>22</v>
      </c>
      <c r="E641" s="106">
        <v>0.0100182149362477</v>
      </c>
      <c r="F641" s="107">
        <v>8</v>
      </c>
      <c r="G641" s="106">
        <v>0.363636363636364</v>
      </c>
      <c r="H641" s="108">
        <v>-86</v>
      </c>
      <c r="I641" s="108">
        <v>-9.33333333333348</v>
      </c>
      <c r="J641" s="108">
        <v>98</v>
      </c>
      <c r="K641" s="108">
        <v>-164.857142857143</v>
      </c>
      <c r="L641" s="108">
        <v>-6</v>
      </c>
      <c r="M641" s="108">
        <v>-1.33333333333333</v>
      </c>
      <c r="N641" s="108">
        <v>-1.8</v>
      </c>
      <c r="O641" s="108">
        <v>-3.28571428571428</v>
      </c>
      <c r="P641" s="108">
        <v>0</v>
      </c>
      <c r="Q641" s="108">
        <v>-0.333333333333334</v>
      </c>
      <c r="R641" s="108">
        <v>0.4</v>
      </c>
      <c r="S641" s="108">
        <v>-1.14285714285714</v>
      </c>
    </row>
    <row r="642" spans="1:19">
      <c r="A642" s="143">
        <v>45038</v>
      </c>
      <c r="B642" s="104" t="s">
        <v>27</v>
      </c>
      <c r="C642" s="145">
        <v>548</v>
      </c>
      <c r="D642" s="104">
        <v>7</v>
      </c>
      <c r="E642" s="106">
        <v>0.0127737226277372</v>
      </c>
      <c r="F642" s="107">
        <v>2</v>
      </c>
      <c r="G642" s="106">
        <v>0.285714285714286</v>
      </c>
      <c r="H642" s="108">
        <v>36</v>
      </c>
      <c r="I642" s="108">
        <v>94</v>
      </c>
      <c r="J642" s="108">
        <v>158.4</v>
      </c>
      <c r="K642" s="108">
        <v>183.714285714286</v>
      </c>
      <c r="L642" s="108">
        <v>3</v>
      </c>
      <c r="M642" s="108">
        <v>4.66666666666667</v>
      </c>
      <c r="N642" s="108">
        <v>3.2</v>
      </c>
      <c r="O642" s="108">
        <v>3.57142857142857</v>
      </c>
      <c r="P642" s="108">
        <v>0</v>
      </c>
      <c r="Q642" s="108">
        <v>0.333333333333333</v>
      </c>
      <c r="R642" s="108">
        <v>0.4</v>
      </c>
      <c r="S642" s="108">
        <v>0.571428571428571</v>
      </c>
    </row>
    <row r="643" hidden="1" spans="1:19">
      <c r="A643" s="143">
        <v>45038</v>
      </c>
      <c r="B643" s="104" t="s">
        <v>28</v>
      </c>
      <c r="C643" s="145">
        <v>0</v>
      </c>
      <c r="D643" s="104">
        <v>0</v>
      </c>
      <c r="E643" s="106">
        <v>0</v>
      </c>
      <c r="F643" s="107">
        <v>0</v>
      </c>
      <c r="G643" s="106">
        <v>0</v>
      </c>
      <c r="H643" s="108">
        <v>0</v>
      </c>
      <c r="I643" s="108">
        <v>0</v>
      </c>
      <c r="J643" s="108">
        <v>0</v>
      </c>
      <c r="K643" s="108">
        <v>0</v>
      </c>
      <c r="L643" s="108">
        <v>-1</v>
      </c>
      <c r="M643" s="108">
        <v>-0.666666666666667</v>
      </c>
      <c r="N643" s="108">
        <v>-0.4</v>
      </c>
      <c r="O643" s="108">
        <v>-0.285714285714286</v>
      </c>
      <c r="P643" s="108">
        <v>0</v>
      </c>
      <c r="Q643" s="108">
        <v>0</v>
      </c>
      <c r="R643" s="108">
        <v>-0.2</v>
      </c>
      <c r="S643" s="108">
        <v>-0.142857142857143</v>
      </c>
    </row>
    <row r="644" hidden="1" spans="1:19">
      <c r="A644" s="143">
        <v>45038</v>
      </c>
      <c r="B644" s="104" t="s">
        <v>29</v>
      </c>
      <c r="C644" s="145">
        <v>0</v>
      </c>
      <c r="D644" s="104">
        <v>1</v>
      </c>
      <c r="E644" s="106">
        <v>1</v>
      </c>
      <c r="F644" s="107">
        <v>0</v>
      </c>
      <c r="G644" s="106">
        <v>0</v>
      </c>
      <c r="H644" s="108">
        <v>0</v>
      </c>
      <c r="I644" s="108">
        <v>0</v>
      </c>
      <c r="J644" s="108">
        <v>0</v>
      </c>
      <c r="K644" s="108">
        <v>0</v>
      </c>
      <c r="L644" s="108">
        <v>0</v>
      </c>
      <c r="M644" s="108">
        <v>0.666666666666667</v>
      </c>
      <c r="N644" s="108">
        <v>0.8</v>
      </c>
      <c r="O644" s="108">
        <v>0.857142857142857</v>
      </c>
      <c r="P644" s="108">
        <v>0</v>
      </c>
      <c r="Q644" s="108">
        <v>0</v>
      </c>
      <c r="R644" s="108">
        <v>0</v>
      </c>
      <c r="S644" s="108">
        <v>0</v>
      </c>
    </row>
    <row r="645" hidden="1" spans="1:19">
      <c r="A645" s="143">
        <v>45038</v>
      </c>
      <c r="B645" s="104" t="s">
        <v>30</v>
      </c>
      <c r="C645" s="145">
        <v>0</v>
      </c>
      <c r="D645" s="104">
        <v>0</v>
      </c>
      <c r="E645" s="106">
        <v>0</v>
      </c>
      <c r="F645" s="107">
        <v>0</v>
      </c>
      <c r="G645" s="106">
        <v>0</v>
      </c>
      <c r="H645" s="108">
        <v>0</v>
      </c>
      <c r="I645" s="108">
        <v>0</v>
      </c>
      <c r="J645" s="108">
        <v>0</v>
      </c>
      <c r="K645" s="108">
        <v>0</v>
      </c>
      <c r="L645" s="108">
        <v>0</v>
      </c>
      <c r="M645" s="108">
        <v>0</v>
      </c>
      <c r="N645" s="108">
        <v>0</v>
      </c>
      <c r="O645" s="108">
        <v>0</v>
      </c>
      <c r="P645" s="108">
        <v>0</v>
      </c>
      <c r="Q645" s="108">
        <v>0</v>
      </c>
      <c r="R645" s="108">
        <v>0</v>
      </c>
      <c r="S645" s="108">
        <v>0</v>
      </c>
    </row>
    <row r="646" hidden="1" spans="1:19">
      <c r="A646" s="143">
        <v>45038</v>
      </c>
      <c r="B646" s="104" t="s">
        <v>31</v>
      </c>
      <c r="C646" s="145">
        <v>0</v>
      </c>
      <c r="D646" s="104">
        <v>0</v>
      </c>
      <c r="E646" s="106">
        <v>0</v>
      </c>
      <c r="F646" s="107">
        <v>1</v>
      </c>
      <c r="G646" s="106">
        <v>1</v>
      </c>
      <c r="H646" s="108">
        <v>0</v>
      </c>
      <c r="I646" s="108">
        <v>0</v>
      </c>
      <c r="J646" s="108">
        <v>0</v>
      </c>
      <c r="K646" s="108">
        <v>0</v>
      </c>
      <c r="L646" s="108">
        <v>0</v>
      </c>
      <c r="M646" s="108">
        <v>0</v>
      </c>
      <c r="N646" s="108">
        <v>-0.2</v>
      </c>
      <c r="O646" s="108">
        <v>-0.142857142857143</v>
      </c>
      <c r="P646" s="108">
        <v>1</v>
      </c>
      <c r="Q646" s="108">
        <v>1</v>
      </c>
      <c r="R646" s="108">
        <v>0.8</v>
      </c>
      <c r="S646" s="108">
        <v>0.857142857142857</v>
      </c>
    </row>
    <row r="647" hidden="1" spans="1:19">
      <c r="A647" s="143">
        <v>45038</v>
      </c>
      <c r="B647" s="104" t="s">
        <v>32</v>
      </c>
      <c r="C647" s="145">
        <v>0</v>
      </c>
      <c r="D647" s="104">
        <v>0</v>
      </c>
      <c r="E647" s="106">
        <v>0</v>
      </c>
      <c r="F647" s="107">
        <v>0</v>
      </c>
      <c r="G647" s="106">
        <v>0</v>
      </c>
      <c r="H647" s="108">
        <v>0</v>
      </c>
      <c r="I647" s="108">
        <v>0</v>
      </c>
      <c r="J647" s="108">
        <v>0</v>
      </c>
      <c r="K647" s="108">
        <v>0</v>
      </c>
      <c r="L647" s="108">
        <v>0</v>
      </c>
      <c r="M647" s="108">
        <v>0</v>
      </c>
      <c r="N647" s="108">
        <v>0</v>
      </c>
      <c r="O647" s="108">
        <v>0</v>
      </c>
      <c r="P647" s="108">
        <v>0</v>
      </c>
      <c r="Q647" s="108">
        <v>0</v>
      </c>
      <c r="R647" s="108">
        <v>0</v>
      </c>
      <c r="S647" s="108">
        <v>0</v>
      </c>
    </row>
    <row r="648" hidden="1" spans="1:19">
      <c r="A648" s="143">
        <v>45038</v>
      </c>
      <c r="B648" s="104" t="s">
        <v>33</v>
      </c>
      <c r="C648" s="145">
        <v>0</v>
      </c>
      <c r="D648" s="104">
        <v>0</v>
      </c>
      <c r="E648" s="106">
        <v>0</v>
      </c>
      <c r="F648" s="107">
        <v>0</v>
      </c>
      <c r="G648" s="106">
        <v>0</v>
      </c>
      <c r="H648" s="108">
        <v>0</v>
      </c>
      <c r="I648" s="108">
        <v>0</v>
      </c>
      <c r="J648" s="108">
        <v>0</v>
      </c>
      <c r="K648" s="108">
        <v>0</v>
      </c>
      <c r="L648" s="108">
        <v>0</v>
      </c>
      <c r="M648" s="108">
        <v>0</v>
      </c>
      <c r="N648" s="108">
        <v>0</v>
      </c>
      <c r="O648" s="108">
        <v>0</v>
      </c>
      <c r="P648" s="108">
        <v>0</v>
      </c>
      <c r="Q648" s="108">
        <v>0</v>
      </c>
      <c r="R648" s="108">
        <v>0</v>
      </c>
      <c r="S648" s="108">
        <v>0</v>
      </c>
    </row>
    <row r="649" hidden="1" spans="1:19">
      <c r="A649" s="143">
        <v>45038</v>
      </c>
      <c r="B649" s="104" t="s">
        <v>34</v>
      </c>
      <c r="C649" s="145">
        <v>0</v>
      </c>
      <c r="D649" s="104">
        <v>0</v>
      </c>
      <c r="E649" s="106">
        <v>0</v>
      </c>
      <c r="F649" s="107">
        <v>0</v>
      </c>
      <c r="G649" s="106">
        <v>0</v>
      </c>
      <c r="H649" s="108">
        <v>0</v>
      </c>
      <c r="I649" s="108">
        <v>0</v>
      </c>
      <c r="J649" s="108">
        <v>0</v>
      </c>
      <c r="K649" s="108">
        <v>0</v>
      </c>
      <c r="L649" s="108">
        <v>0</v>
      </c>
      <c r="M649" s="108">
        <v>0</v>
      </c>
      <c r="N649" s="108">
        <v>0</v>
      </c>
      <c r="O649" s="108">
        <v>0</v>
      </c>
      <c r="P649" s="108">
        <v>0</v>
      </c>
      <c r="Q649" s="108">
        <v>0</v>
      </c>
      <c r="R649" s="108">
        <v>0</v>
      </c>
      <c r="S649" s="108">
        <v>0</v>
      </c>
    </row>
    <row r="650" hidden="1" spans="1:19">
      <c r="A650" s="143">
        <v>45038</v>
      </c>
      <c r="B650" s="104" t="s">
        <v>35</v>
      </c>
      <c r="C650" s="145">
        <v>0</v>
      </c>
      <c r="D650" s="104">
        <v>0</v>
      </c>
      <c r="E650" s="106">
        <v>0</v>
      </c>
      <c r="F650" s="107">
        <v>0</v>
      </c>
      <c r="G650" s="106">
        <v>0</v>
      </c>
      <c r="H650" s="108">
        <v>0</v>
      </c>
      <c r="I650" s="108">
        <v>0</v>
      </c>
      <c r="J650" s="108">
        <v>0</v>
      </c>
      <c r="K650" s="108">
        <v>0</v>
      </c>
      <c r="L650" s="108">
        <v>0</v>
      </c>
      <c r="M650" s="108">
        <v>0</v>
      </c>
      <c r="N650" s="108">
        <v>0</v>
      </c>
      <c r="O650" s="108">
        <v>0</v>
      </c>
      <c r="P650" s="108">
        <v>0</v>
      </c>
      <c r="Q650" s="108">
        <v>0</v>
      </c>
      <c r="R650" s="108">
        <v>0</v>
      </c>
      <c r="S650" s="108">
        <v>0</v>
      </c>
    </row>
    <row r="651" hidden="1" spans="1:19">
      <c r="A651" s="143">
        <v>45038</v>
      </c>
      <c r="B651" s="104" t="s">
        <v>36</v>
      </c>
      <c r="C651" s="145">
        <v>0</v>
      </c>
      <c r="D651" s="104">
        <v>0</v>
      </c>
      <c r="E651" s="106">
        <v>0</v>
      </c>
      <c r="F651" s="107">
        <v>0</v>
      </c>
      <c r="G651" s="106">
        <v>0</v>
      </c>
      <c r="H651" s="108">
        <v>0</v>
      </c>
      <c r="I651" s="108">
        <v>0</v>
      </c>
      <c r="J651" s="108">
        <v>0</v>
      </c>
      <c r="K651" s="108">
        <v>0</v>
      </c>
      <c r="L651" s="108">
        <v>0</v>
      </c>
      <c r="M651" s="108">
        <v>0</v>
      </c>
      <c r="N651" s="108">
        <v>0</v>
      </c>
      <c r="O651" s="108">
        <v>0</v>
      </c>
      <c r="P651" s="108">
        <v>0</v>
      </c>
      <c r="Q651" s="108">
        <v>0</v>
      </c>
      <c r="R651" s="108">
        <v>0</v>
      </c>
      <c r="S651" s="108">
        <v>0</v>
      </c>
    </row>
    <row r="652" hidden="1" spans="1:19">
      <c r="A652" s="143">
        <v>45038</v>
      </c>
      <c r="B652" s="104" t="s">
        <v>37</v>
      </c>
      <c r="C652" s="145">
        <v>0</v>
      </c>
      <c r="D652" s="104">
        <v>0</v>
      </c>
      <c r="E652" s="106">
        <v>0</v>
      </c>
      <c r="F652" s="107">
        <v>0</v>
      </c>
      <c r="G652" s="106">
        <v>0</v>
      </c>
      <c r="H652" s="108">
        <v>0</v>
      </c>
      <c r="I652" s="108">
        <v>0</v>
      </c>
      <c r="J652" s="108">
        <v>0</v>
      </c>
      <c r="K652" s="108">
        <v>0</v>
      </c>
      <c r="L652" s="108">
        <v>0</v>
      </c>
      <c r="M652" s="108">
        <v>0</v>
      </c>
      <c r="N652" s="108">
        <v>0</v>
      </c>
      <c r="O652" s="108">
        <v>0</v>
      </c>
      <c r="P652" s="108">
        <v>0</v>
      </c>
      <c r="Q652" s="108">
        <v>0</v>
      </c>
      <c r="R652" s="108">
        <v>0</v>
      </c>
      <c r="S652" s="108">
        <v>0</v>
      </c>
    </row>
    <row r="653" hidden="1" spans="1:19">
      <c r="A653" s="143">
        <v>45038</v>
      </c>
      <c r="B653" s="104" t="s">
        <v>38</v>
      </c>
      <c r="C653" s="145">
        <v>0</v>
      </c>
      <c r="D653" s="104">
        <v>0</v>
      </c>
      <c r="E653" s="106">
        <v>0</v>
      </c>
      <c r="F653" s="107">
        <v>0</v>
      </c>
      <c r="G653" s="106">
        <v>0</v>
      </c>
      <c r="H653" s="108">
        <v>0</v>
      </c>
      <c r="I653" s="108">
        <v>0</v>
      </c>
      <c r="J653" s="108">
        <v>0</v>
      </c>
      <c r="K653" s="108">
        <v>0</v>
      </c>
      <c r="L653" s="108">
        <v>0</v>
      </c>
      <c r="M653" s="108">
        <v>0</v>
      </c>
      <c r="N653" s="108">
        <v>0</v>
      </c>
      <c r="O653" s="108">
        <v>0</v>
      </c>
      <c r="P653" s="108">
        <v>0</v>
      </c>
      <c r="Q653" s="108">
        <v>0</v>
      </c>
      <c r="R653" s="108">
        <v>0</v>
      </c>
      <c r="S653" s="108">
        <v>0</v>
      </c>
    </row>
    <row r="654" spans="1:19">
      <c r="A654" s="143">
        <v>45038</v>
      </c>
      <c r="B654" s="111" t="s">
        <v>39</v>
      </c>
      <c r="C654" s="112">
        <v>29778</v>
      </c>
      <c r="D654" s="112">
        <v>227</v>
      </c>
      <c r="E654" s="113">
        <v>0.0076230774397206</v>
      </c>
      <c r="F654" s="112">
        <v>83</v>
      </c>
      <c r="G654" s="113">
        <v>0.365638766519824</v>
      </c>
      <c r="H654" s="108"/>
      <c r="I654" s="108"/>
      <c r="J654" s="108"/>
      <c r="K654" s="108"/>
      <c r="L654" s="108"/>
      <c r="M654" s="108"/>
      <c r="N654" s="108"/>
      <c r="O654" s="108"/>
      <c r="P654" s="108"/>
      <c r="Q654" s="108"/>
      <c r="R654" s="108"/>
      <c r="S654" s="108"/>
    </row>
    <row r="655" spans="1:19">
      <c r="A655" s="143">
        <v>45039</v>
      </c>
      <c r="B655" s="104" t="s">
        <v>17</v>
      </c>
      <c r="C655" s="105">
        <v>562</v>
      </c>
      <c r="D655" s="104">
        <v>36</v>
      </c>
      <c r="E655" s="106">
        <v>0.0640569395017794</v>
      </c>
      <c r="F655" s="107">
        <v>7</v>
      </c>
      <c r="G655" s="106">
        <v>0.194444444444444</v>
      </c>
      <c r="H655" s="108">
        <v>-74</v>
      </c>
      <c r="I655" s="108">
        <v>-63.6666666666666</v>
      </c>
      <c r="J655" s="108">
        <v>-82</v>
      </c>
      <c r="K655" s="108">
        <v>-102.857142857143</v>
      </c>
      <c r="L655" s="108">
        <v>17</v>
      </c>
      <c r="M655" s="108">
        <v>17.6666666666667</v>
      </c>
      <c r="N655" s="108">
        <v>15.6</v>
      </c>
      <c r="O655" s="108">
        <v>13.5714285714286</v>
      </c>
      <c r="P655" s="108">
        <v>4</v>
      </c>
      <c r="Q655" s="108">
        <v>3.33333333333333</v>
      </c>
      <c r="R655" s="108">
        <v>2</v>
      </c>
      <c r="S655" s="108">
        <v>1</v>
      </c>
    </row>
    <row r="656" spans="1:19">
      <c r="A656" s="143">
        <v>45039</v>
      </c>
      <c r="B656" s="104" t="s">
        <v>19</v>
      </c>
      <c r="C656" s="107">
        <v>3308</v>
      </c>
      <c r="D656" s="104">
        <v>54</v>
      </c>
      <c r="E656" s="106">
        <v>0.0163240628778718</v>
      </c>
      <c r="F656" s="107">
        <v>22</v>
      </c>
      <c r="G656" s="106">
        <v>0.407407407407407</v>
      </c>
      <c r="H656" s="108">
        <v>-58</v>
      </c>
      <c r="I656" s="108">
        <v>434.666666666667</v>
      </c>
      <c r="J656" s="108">
        <v>929.2</v>
      </c>
      <c r="K656" s="108">
        <v>1212.57142857143</v>
      </c>
      <c r="L656" s="108">
        <v>19</v>
      </c>
      <c r="M656" s="108">
        <v>16</v>
      </c>
      <c r="N656" s="108">
        <v>18.8</v>
      </c>
      <c r="O656" s="108">
        <v>19.7142857142857</v>
      </c>
      <c r="P656" s="108">
        <v>12</v>
      </c>
      <c r="Q656" s="108">
        <v>5.66666666666667</v>
      </c>
      <c r="R656" s="108">
        <v>6.8</v>
      </c>
      <c r="S656" s="115">
        <v>7.57142857142857</v>
      </c>
    </row>
    <row r="657" spans="1:19">
      <c r="A657" s="143">
        <v>45039</v>
      </c>
      <c r="B657" s="104" t="s">
        <v>21</v>
      </c>
      <c r="C657" s="145">
        <v>629</v>
      </c>
      <c r="D657" s="104">
        <v>34</v>
      </c>
      <c r="E657" s="106">
        <v>0.0540540540540541</v>
      </c>
      <c r="F657" s="107">
        <v>9</v>
      </c>
      <c r="G657" s="106">
        <v>0.264705882352941</v>
      </c>
      <c r="H657" s="108">
        <v>-2</v>
      </c>
      <c r="I657" s="108">
        <v>57.3333333333334</v>
      </c>
      <c r="J657" s="108">
        <v>66.8</v>
      </c>
      <c r="K657" s="108">
        <v>69</v>
      </c>
      <c r="L657" s="108">
        <v>9</v>
      </c>
      <c r="M657" s="108">
        <v>9.66666666666667</v>
      </c>
      <c r="N657" s="108">
        <v>6.8</v>
      </c>
      <c r="O657" s="108">
        <v>6.57142857142857</v>
      </c>
      <c r="P657" s="108">
        <v>-1</v>
      </c>
      <c r="Q657" s="108">
        <v>-1</v>
      </c>
      <c r="R657" s="108">
        <v>-1.2</v>
      </c>
      <c r="S657" s="108">
        <v>-0.714285714285714</v>
      </c>
    </row>
    <row r="658" spans="1:19">
      <c r="A658" s="143">
        <v>45039</v>
      </c>
      <c r="B658" s="104" t="s">
        <v>22</v>
      </c>
      <c r="C658" s="145">
        <v>3685</v>
      </c>
      <c r="D658" s="104">
        <v>69</v>
      </c>
      <c r="E658" s="106">
        <v>0.0187245590230665</v>
      </c>
      <c r="F658" s="107">
        <v>18</v>
      </c>
      <c r="G658" s="106">
        <v>0.260869565217391</v>
      </c>
      <c r="H658" s="108">
        <v>50</v>
      </c>
      <c r="I658" s="108">
        <v>4.33333333333348</v>
      </c>
      <c r="J658" s="108">
        <v>-24</v>
      </c>
      <c r="K658" s="108">
        <v>-179.285714285714</v>
      </c>
      <c r="L658" s="108">
        <v>17</v>
      </c>
      <c r="M658" s="108">
        <v>8.33333333333334</v>
      </c>
      <c r="N658" s="108">
        <v>-0.200000000000003</v>
      </c>
      <c r="O658" s="115">
        <v>-7.57142857142857</v>
      </c>
      <c r="P658" s="108">
        <v>-4</v>
      </c>
      <c r="Q658" s="108">
        <v>-6.66666666666667</v>
      </c>
      <c r="R658" s="108">
        <v>-8.2</v>
      </c>
      <c r="S658" s="117">
        <v>-10.5714285714286</v>
      </c>
    </row>
    <row r="659" spans="1:19">
      <c r="A659" s="143">
        <v>45039</v>
      </c>
      <c r="B659" s="104" t="s">
        <v>23</v>
      </c>
      <c r="C659" s="145">
        <v>2466</v>
      </c>
      <c r="D659" s="104">
        <v>14</v>
      </c>
      <c r="E659" s="106">
        <v>0.0056772100567721</v>
      </c>
      <c r="F659" s="107">
        <v>2</v>
      </c>
      <c r="G659" s="106">
        <v>0.142857142857143</v>
      </c>
      <c r="H659" s="108">
        <v>-126</v>
      </c>
      <c r="I659" s="108">
        <v>-147</v>
      </c>
      <c r="J659" s="108">
        <v>-125.2</v>
      </c>
      <c r="K659" s="108">
        <v>-156</v>
      </c>
      <c r="L659" s="108">
        <v>-8</v>
      </c>
      <c r="M659" s="108">
        <v>-11.6666666666667</v>
      </c>
      <c r="N659" s="108">
        <v>-10.2</v>
      </c>
      <c r="O659" s="108">
        <v>-13.2857142857143</v>
      </c>
      <c r="P659" s="108">
        <v>-5</v>
      </c>
      <c r="Q659" s="116">
        <v>-5.33333333333333</v>
      </c>
      <c r="R659" s="108">
        <v>-5</v>
      </c>
      <c r="S659" s="108">
        <v>-6.57142857142857</v>
      </c>
    </row>
    <row r="660" spans="1:19">
      <c r="A660" s="143">
        <v>45039</v>
      </c>
      <c r="B660" s="104" t="s">
        <v>24</v>
      </c>
      <c r="C660" s="145">
        <v>351</v>
      </c>
      <c r="D660" s="104">
        <v>3</v>
      </c>
      <c r="E660" s="106">
        <v>0.00854700854700855</v>
      </c>
      <c r="F660" s="107">
        <v>2</v>
      </c>
      <c r="G660" s="106">
        <v>0.666666666666667</v>
      </c>
      <c r="H660" s="108">
        <v>-81</v>
      </c>
      <c r="I660" s="108">
        <v>-65.3333333333333</v>
      </c>
      <c r="J660" s="108">
        <v>-126.2</v>
      </c>
      <c r="K660" s="108">
        <v>-128.428571428571</v>
      </c>
      <c r="L660" s="115">
        <v>2</v>
      </c>
      <c r="M660" s="115">
        <v>1.33333333333333</v>
      </c>
      <c r="N660" s="117">
        <v>0.8</v>
      </c>
      <c r="O660" s="117">
        <v>-0.571428571428572</v>
      </c>
      <c r="P660" s="115">
        <v>1</v>
      </c>
      <c r="Q660" s="115">
        <v>0.666666666666667</v>
      </c>
      <c r="R660" s="115">
        <v>0</v>
      </c>
      <c r="S660" s="115">
        <v>-0.428571428571428</v>
      </c>
    </row>
    <row r="661" spans="1:19">
      <c r="A661" s="143">
        <v>45039</v>
      </c>
      <c r="B661" s="104" t="s">
        <v>25</v>
      </c>
      <c r="C661" s="145">
        <v>14850</v>
      </c>
      <c r="D661" s="104">
        <v>42</v>
      </c>
      <c r="E661" s="106">
        <v>0.00282828282828283</v>
      </c>
      <c r="F661" s="107">
        <v>15</v>
      </c>
      <c r="G661" s="106">
        <v>0.357142857142857</v>
      </c>
      <c r="H661" s="108">
        <v>-892</v>
      </c>
      <c r="I661" s="108">
        <v>237.333333333334</v>
      </c>
      <c r="J661" s="108">
        <v>1119.6</v>
      </c>
      <c r="K661" s="108">
        <v>1452.85714285714</v>
      </c>
      <c r="L661" s="116">
        <v>-1</v>
      </c>
      <c r="M661" s="115">
        <v>1.66666666666666</v>
      </c>
      <c r="N661" s="115">
        <v>2.6</v>
      </c>
      <c r="O661" s="115">
        <v>0.571428571428569</v>
      </c>
      <c r="P661" s="108">
        <v>-4</v>
      </c>
      <c r="Q661" s="108">
        <v>-1.33333333333333</v>
      </c>
      <c r="R661" s="108">
        <v>-0.4</v>
      </c>
      <c r="S661" s="108">
        <v>-0.428571428571429</v>
      </c>
    </row>
    <row r="662" spans="1:19">
      <c r="A662" s="143">
        <v>45039</v>
      </c>
      <c r="B662" s="104" t="s">
        <v>26</v>
      </c>
      <c r="C662" s="145">
        <v>2076</v>
      </c>
      <c r="D662" s="104">
        <v>24</v>
      </c>
      <c r="E662" s="106">
        <v>0.0115606936416185</v>
      </c>
      <c r="F662" s="107">
        <v>8</v>
      </c>
      <c r="G662" s="106">
        <v>0.333333333333333</v>
      </c>
      <c r="H662" s="108">
        <v>-120</v>
      </c>
      <c r="I662" s="108">
        <v>-179.333333333333</v>
      </c>
      <c r="J662" s="108">
        <v>-52.8000000000002</v>
      </c>
      <c r="K662" s="108">
        <v>-105.142857142857</v>
      </c>
      <c r="L662" s="108">
        <v>2</v>
      </c>
      <c r="M662" s="108">
        <v>-1.66666666666667</v>
      </c>
      <c r="N662" s="108">
        <v>1.8</v>
      </c>
      <c r="O662" s="108">
        <v>-1.57142857142857</v>
      </c>
      <c r="P662" s="108">
        <v>0</v>
      </c>
      <c r="Q662" s="108">
        <v>-1.66666666666667</v>
      </c>
      <c r="R662" s="108">
        <v>0.6</v>
      </c>
      <c r="S662" s="108">
        <v>0</v>
      </c>
    </row>
    <row r="663" spans="1:19">
      <c r="A663" s="143">
        <v>45039</v>
      </c>
      <c r="B663" s="104" t="s">
        <v>27</v>
      </c>
      <c r="C663" s="145">
        <v>434</v>
      </c>
      <c r="D663" s="104">
        <v>8</v>
      </c>
      <c r="E663" s="106">
        <v>0.0184331797235023</v>
      </c>
      <c r="F663" s="107">
        <v>2</v>
      </c>
      <c r="G663" s="106">
        <v>0.25</v>
      </c>
      <c r="H663" s="108">
        <v>-114</v>
      </c>
      <c r="I663" s="108">
        <v>-68.6666666666667</v>
      </c>
      <c r="J663" s="108">
        <v>-6.80000000000001</v>
      </c>
      <c r="K663" s="108">
        <v>37.7142857142857</v>
      </c>
      <c r="L663" s="108">
        <v>1</v>
      </c>
      <c r="M663" s="108">
        <v>3.33333333333333</v>
      </c>
      <c r="N663" s="108">
        <v>4.4</v>
      </c>
      <c r="O663" s="108">
        <v>3.57142857142857</v>
      </c>
      <c r="P663" s="108">
        <v>0</v>
      </c>
      <c r="Q663" s="108">
        <v>-0.333333333333333</v>
      </c>
      <c r="R663" s="108">
        <v>0.6</v>
      </c>
      <c r="S663" s="108">
        <v>0.285714285714286</v>
      </c>
    </row>
    <row r="664" hidden="1" spans="1:19">
      <c r="A664" s="143">
        <v>45039</v>
      </c>
      <c r="B664" s="104" t="s">
        <v>28</v>
      </c>
      <c r="C664" s="145">
        <v>0</v>
      </c>
      <c r="D664" s="104">
        <v>0</v>
      </c>
      <c r="E664" s="106">
        <v>0</v>
      </c>
      <c r="F664" s="107">
        <v>0</v>
      </c>
      <c r="G664" s="106">
        <v>0</v>
      </c>
      <c r="H664" s="108">
        <v>0</v>
      </c>
      <c r="I664" s="108">
        <v>0</v>
      </c>
      <c r="J664" s="108">
        <v>0</v>
      </c>
      <c r="K664" s="108">
        <v>0</v>
      </c>
      <c r="L664" s="108">
        <v>0</v>
      </c>
      <c r="M664" s="108">
        <v>-0.333333333333333</v>
      </c>
      <c r="N664" s="108">
        <v>-0.4</v>
      </c>
      <c r="O664" s="108">
        <v>-0.285714285714286</v>
      </c>
      <c r="P664" s="108">
        <v>0</v>
      </c>
      <c r="Q664" s="108">
        <v>0</v>
      </c>
      <c r="R664" s="108">
        <v>-0.2</v>
      </c>
      <c r="S664" s="108">
        <v>-0.142857142857143</v>
      </c>
    </row>
    <row r="665" hidden="1" spans="1:19">
      <c r="A665" s="143">
        <v>45039</v>
      </c>
      <c r="B665" s="104" t="s">
        <v>29</v>
      </c>
      <c r="C665" s="145">
        <v>0</v>
      </c>
      <c r="D665" s="104">
        <v>0</v>
      </c>
      <c r="E665" s="106">
        <v>0</v>
      </c>
      <c r="F665" s="107">
        <v>0</v>
      </c>
      <c r="G665" s="106">
        <v>0</v>
      </c>
      <c r="H665" s="108">
        <v>0</v>
      </c>
      <c r="I665" s="108">
        <v>0</v>
      </c>
      <c r="J665" s="108">
        <v>0</v>
      </c>
      <c r="K665" s="108">
        <v>0</v>
      </c>
      <c r="L665" s="108">
        <v>-1</v>
      </c>
      <c r="M665" s="108">
        <v>-0.666666666666667</v>
      </c>
      <c r="N665" s="108">
        <v>-0.4</v>
      </c>
      <c r="O665" s="108">
        <v>-0.285714285714286</v>
      </c>
      <c r="P665" s="108">
        <v>0</v>
      </c>
      <c r="Q665" s="108">
        <v>0</v>
      </c>
      <c r="R665" s="108">
        <v>0</v>
      </c>
      <c r="S665" s="108">
        <v>0</v>
      </c>
    </row>
    <row r="666" hidden="1" spans="1:19">
      <c r="A666" s="143">
        <v>45039</v>
      </c>
      <c r="B666" s="104" t="s">
        <v>30</v>
      </c>
      <c r="C666" s="145">
        <v>0</v>
      </c>
      <c r="D666" s="104">
        <v>0</v>
      </c>
      <c r="E666" s="106">
        <v>0</v>
      </c>
      <c r="F666" s="107">
        <v>0</v>
      </c>
      <c r="G666" s="106">
        <v>0</v>
      </c>
      <c r="H666" s="108">
        <v>0</v>
      </c>
      <c r="I666" s="108">
        <v>0</v>
      </c>
      <c r="J666" s="108">
        <v>0</v>
      </c>
      <c r="K666" s="108">
        <v>0</v>
      </c>
      <c r="L666" s="108">
        <v>0</v>
      </c>
      <c r="M666" s="108">
        <v>0</v>
      </c>
      <c r="N666" s="108">
        <v>0</v>
      </c>
      <c r="O666" s="108">
        <v>0</v>
      </c>
      <c r="P666" s="108">
        <v>0</v>
      </c>
      <c r="Q666" s="108">
        <v>0</v>
      </c>
      <c r="R666" s="108">
        <v>0</v>
      </c>
      <c r="S666" s="108">
        <v>0</v>
      </c>
    </row>
    <row r="667" hidden="1" spans="1:19">
      <c r="A667" s="143">
        <v>45039</v>
      </c>
      <c r="B667" s="104" t="s">
        <v>31</v>
      </c>
      <c r="C667" s="145">
        <v>0</v>
      </c>
      <c r="D667" s="104">
        <v>1</v>
      </c>
      <c r="E667" s="106">
        <v>1</v>
      </c>
      <c r="F667" s="107">
        <v>0</v>
      </c>
      <c r="G667" s="106">
        <v>0</v>
      </c>
      <c r="H667" s="108">
        <v>0</v>
      </c>
      <c r="I667" s="108">
        <v>0</v>
      </c>
      <c r="J667" s="108">
        <v>0</v>
      </c>
      <c r="K667" s="108">
        <v>0</v>
      </c>
      <c r="L667" s="108">
        <v>1</v>
      </c>
      <c r="M667" s="108">
        <v>1</v>
      </c>
      <c r="N667" s="108">
        <v>0.8</v>
      </c>
      <c r="O667" s="108">
        <v>0.857142857142857</v>
      </c>
      <c r="P667" s="108">
        <v>-1</v>
      </c>
      <c r="Q667" s="108">
        <v>-0.333333333333333</v>
      </c>
      <c r="R667" s="108">
        <v>-0.4</v>
      </c>
      <c r="S667" s="108">
        <v>-0.285714285714286</v>
      </c>
    </row>
    <row r="668" hidden="1" spans="1:19">
      <c r="A668" s="143">
        <v>45039</v>
      </c>
      <c r="B668" s="104" t="s">
        <v>32</v>
      </c>
      <c r="C668" s="145">
        <v>0</v>
      </c>
      <c r="D668" s="104">
        <v>0</v>
      </c>
      <c r="E668" s="106">
        <v>0</v>
      </c>
      <c r="F668" s="107">
        <v>0</v>
      </c>
      <c r="G668" s="106">
        <v>0</v>
      </c>
      <c r="H668" s="108">
        <v>0</v>
      </c>
      <c r="I668" s="108">
        <v>0</v>
      </c>
      <c r="J668" s="108">
        <v>0</v>
      </c>
      <c r="K668" s="108">
        <v>0</v>
      </c>
      <c r="L668" s="108">
        <v>0</v>
      </c>
      <c r="M668" s="108">
        <v>0</v>
      </c>
      <c r="N668" s="108">
        <v>0</v>
      </c>
      <c r="O668" s="108">
        <v>0</v>
      </c>
      <c r="P668" s="108">
        <v>0</v>
      </c>
      <c r="Q668" s="108">
        <v>0</v>
      </c>
      <c r="R668" s="108">
        <v>0</v>
      </c>
      <c r="S668" s="108">
        <v>0</v>
      </c>
    </row>
    <row r="669" hidden="1" spans="1:19">
      <c r="A669" s="143">
        <v>45039</v>
      </c>
      <c r="B669" s="104" t="s">
        <v>33</v>
      </c>
      <c r="C669" s="145">
        <v>0</v>
      </c>
      <c r="D669" s="104">
        <v>0</v>
      </c>
      <c r="E669" s="106">
        <v>0</v>
      </c>
      <c r="F669" s="107">
        <v>0</v>
      </c>
      <c r="G669" s="106">
        <v>0</v>
      </c>
      <c r="H669" s="108">
        <v>0</v>
      </c>
      <c r="I669" s="108">
        <v>0</v>
      </c>
      <c r="J669" s="108">
        <v>0</v>
      </c>
      <c r="K669" s="108">
        <v>0</v>
      </c>
      <c r="L669" s="108">
        <v>0</v>
      </c>
      <c r="M669" s="108">
        <v>0</v>
      </c>
      <c r="N669" s="108">
        <v>0</v>
      </c>
      <c r="O669" s="108">
        <v>0</v>
      </c>
      <c r="P669" s="108">
        <v>0</v>
      </c>
      <c r="Q669" s="108">
        <v>0</v>
      </c>
      <c r="R669" s="108">
        <v>0</v>
      </c>
      <c r="S669" s="108">
        <v>0</v>
      </c>
    </row>
    <row r="670" hidden="1" spans="1:19">
      <c r="A670" s="143">
        <v>45039</v>
      </c>
      <c r="B670" s="104" t="s">
        <v>34</v>
      </c>
      <c r="C670" s="145">
        <v>0</v>
      </c>
      <c r="D670" s="104">
        <v>0</v>
      </c>
      <c r="E670" s="106">
        <v>0</v>
      </c>
      <c r="F670" s="107">
        <v>0</v>
      </c>
      <c r="G670" s="106">
        <v>0</v>
      </c>
      <c r="H670" s="108">
        <v>0</v>
      </c>
      <c r="I670" s="108">
        <v>0</v>
      </c>
      <c r="J670" s="108">
        <v>0</v>
      </c>
      <c r="K670" s="108">
        <v>0</v>
      </c>
      <c r="L670" s="108">
        <v>0</v>
      </c>
      <c r="M670" s="108">
        <v>0</v>
      </c>
      <c r="N670" s="108">
        <v>0</v>
      </c>
      <c r="O670" s="108">
        <v>0</v>
      </c>
      <c r="P670" s="108">
        <v>0</v>
      </c>
      <c r="Q670" s="108">
        <v>0</v>
      </c>
      <c r="R670" s="108">
        <v>0</v>
      </c>
      <c r="S670" s="108">
        <v>0</v>
      </c>
    </row>
    <row r="671" hidden="1" spans="1:19">
      <c r="A671" s="143">
        <v>45039</v>
      </c>
      <c r="B671" s="104" t="s">
        <v>35</v>
      </c>
      <c r="C671" s="145">
        <v>0</v>
      </c>
      <c r="D671" s="104">
        <v>0</v>
      </c>
      <c r="E671" s="106">
        <v>0</v>
      </c>
      <c r="F671" s="107">
        <v>0</v>
      </c>
      <c r="G671" s="106">
        <v>0</v>
      </c>
      <c r="H671" s="108">
        <v>0</v>
      </c>
      <c r="I671" s="108">
        <v>0</v>
      </c>
      <c r="J671" s="108">
        <v>0</v>
      </c>
      <c r="K671" s="108">
        <v>0</v>
      </c>
      <c r="L671" s="108">
        <v>0</v>
      </c>
      <c r="M671" s="108">
        <v>0</v>
      </c>
      <c r="N671" s="108">
        <v>0</v>
      </c>
      <c r="O671" s="108">
        <v>0</v>
      </c>
      <c r="P671" s="108">
        <v>0</v>
      </c>
      <c r="Q671" s="108">
        <v>0</v>
      </c>
      <c r="R671" s="108">
        <v>0</v>
      </c>
      <c r="S671" s="108">
        <v>0</v>
      </c>
    </row>
    <row r="672" hidden="1" spans="1:19">
      <c r="A672" s="143">
        <v>45039</v>
      </c>
      <c r="B672" s="104" t="s">
        <v>36</v>
      </c>
      <c r="C672" s="145">
        <v>0</v>
      </c>
      <c r="D672" s="104">
        <v>0</v>
      </c>
      <c r="E672" s="106">
        <v>0</v>
      </c>
      <c r="F672" s="107">
        <v>0</v>
      </c>
      <c r="G672" s="106">
        <v>0</v>
      </c>
      <c r="H672" s="108">
        <v>0</v>
      </c>
      <c r="I672" s="108">
        <v>0</v>
      </c>
      <c r="J672" s="108">
        <v>0</v>
      </c>
      <c r="K672" s="108">
        <v>0</v>
      </c>
      <c r="L672" s="108">
        <v>0</v>
      </c>
      <c r="M672" s="108">
        <v>0</v>
      </c>
      <c r="N672" s="108">
        <v>0</v>
      </c>
      <c r="O672" s="108">
        <v>0</v>
      </c>
      <c r="P672" s="108">
        <v>0</v>
      </c>
      <c r="Q672" s="108">
        <v>0</v>
      </c>
      <c r="R672" s="108">
        <v>0</v>
      </c>
      <c r="S672" s="108">
        <v>0</v>
      </c>
    </row>
    <row r="673" hidden="1" spans="1:19">
      <c r="A673" s="143">
        <v>45039</v>
      </c>
      <c r="B673" s="104" t="s">
        <v>37</v>
      </c>
      <c r="C673" s="145">
        <v>0</v>
      </c>
      <c r="D673" s="104">
        <v>0</v>
      </c>
      <c r="E673" s="106">
        <v>0</v>
      </c>
      <c r="F673" s="107">
        <v>0</v>
      </c>
      <c r="G673" s="106">
        <v>0</v>
      </c>
      <c r="H673" s="108">
        <v>0</v>
      </c>
      <c r="I673" s="108">
        <v>0</v>
      </c>
      <c r="J673" s="108">
        <v>0</v>
      </c>
      <c r="K673" s="108">
        <v>0</v>
      </c>
      <c r="L673" s="108">
        <v>0</v>
      </c>
      <c r="M673" s="108">
        <v>0</v>
      </c>
      <c r="N673" s="108">
        <v>0</v>
      </c>
      <c r="O673" s="108">
        <v>0</v>
      </c>
      <c r="P673" s="108">
        <v>0</v>
      </c>
      <c r="Q673" s="108">
        <v>0</v>
      </c>
      <c r="R673" s="108">
        <v>0</v>
      </c>
      <c r="S673" s="108">
        <v>0</v>
      </c>
    </row>
    <row r="674" hidden="1" spans="1:19">
      <c r="A674" s="143">
        <v>45039</v>
      </c>
      <c r="B674" s="104" t="s">
        <v>38</v>
      </c>
      <c r="C674" s="145">
        <v>0</v>
      </c>
      <c r="D674" s="104">
        <v>0</v>
      </c>
      <c r="E674" s="106">
        <v>0</v>
      </c>
      <c r="F674" s="107">
        <v>0</v>
      </c>
      <c r="G674" s="106">
        <v>0</v>
      </c>
      <c r="H674" s="108">
        <v>0</v>
      </c>
      <c r="I674" s="108">
        <v>0</v>
      </c>
      <c r="J674" s="108">
        <v>0</v>
      </c>
      <c r="K674" s="108">
        <v>0</v>
      </c>
      <c r="L674" s="108">
        <v>0</v>
      </c>
      <c r="M674" s="108">
        <v>0</v>
      </c>
      <c r="N674" s="108">
        <v>0</v>
      </c>
      <c r="O674" s="108">
        <v>0</v>
      </c>
      <c r="P674" s="108">
        <v>0</v>
      </c>
      <c r="Q674" s="108">
        <v>0</v>
      </c>
      <c r="R674" s="108">
        <v>0</v>
      </c>
      <c r="S674" s="108">
        <v>0</v>
      </c>
    </row>
    <row r="675" spans="1:19">
      <c r="A675" s="143">
        <v>45039</v>
      </c>
      <c r="B675" s="111" t="s">
        <v>39</v>
      </c>
      <c r="C675" s="112">
        <v>28361</v>
      </c>
      <c r="D675" s="112">
        <v>285</v>
      </c>
      <c r="E675" s="113">
        <v>0.0100490109657628</v>
      </c>
      <c r="F675" s="112">
        <v>85</v>
      </c>
      <c r="G675" s="113">
        <v>0.298245614035088</v>
      </c>
      <c r="H675" s="108"/>
      <c r="I675" s="108"/>
      <c r="J675" s="108"/>
      <c r="K675" s="108"/>
      <c r="L675" s="108"/>
      <c r="M675" s="108"/>
      <c r="N675" s="108"/>
      <c r="O675" s="108"/>
      <c r="P675" s="108"/>
      <c r="Q675" s="108"/>
      <c r="R675" s="108"/>
      <c r="S675" s="108"/>
    </row>
    <row r="676" spans="1:19">
      <c r="A676" s="143">
        <v>45040</v>
      </c>
      <c r="B676" s="104" t="s">
        <v>17</v>
      </c>
      <c r="C676" s="105">
        <v>525</v>
      </c>
      <c r="D676" s="104">
        <v>33</v>
      </c>
      <c r="E676" s="106">
        <v>0.0628571428571429</v>
      </c>
      <c r="F676" s="107">
        <v>5</v>
      </c>
      <c r="G676" s="106">
        <v>0.151515151515152</v>
      </c>
      <c r="H676" s="108">
        <v>-37</v>
      </c>
      <c r="I676" s="108">
        <v>-108</v>
      </c>
      <c r="J676" s="108">
        <v>-88.2</v>
      </c>
      <c r="K676" s="108">
        <v>-120.428571428571</v>
      </c>
      <c r="L676" s="108">
        <v>-3</v>
      </c>
      <c r="M676" s="108">
        <v>7.66666666666667</v>
      </c>
      <c r="N676" s="108">
        <v>10.8</v>
      </c>
      <c r="O676" s="108">
        <v>9.71428571428572</v>
      </c>
      <c r="P676" s="108">
        <v>-2</v>
      </c>
      <c r="Q676" s="108">
        <v>0</v>
      </c>
      <c r="R676" s="108">
        <v>-0.2</v>
      </c>
      <c r="S676" s="108">
        <v>-0.714285714285714</v>
      </c>
    </row>
    <row r="677" spans="1:19">
      <c r="A677" s="143">
        <v>45040</v>
      </c>
      <c r="B677" s="104" t="s">
        <v>19</v>
      </c>
      <c r="C677" s="107">
        <v>3528</v>
      </c>
      <c r="D677" s="104">
        <v>54</v>
      </c>
      <c r="E677" s="106">
        <v>0.0153061224489796</v>
      </c>
      <c r="F677" s="107">
        <v>23</v>
      </c>
      <c r="G677" s="106">
        <v>0.425925925925926</v>
      </c>
      <c r="H677" s="108">
        <v>220</v>
      </c>
      <c r="I677" s="108">
        <v>334.666666666667</v>
      </c>
      <c r="J677" s="108">
        <v>771.2</v>
      </c>
      <c r="K677" s="108">
        <v>1171.71428571429</v>
      </c>
      <c r="L677" s="108">
        <v>0</v>
      </c>
      <c r="M677" s="108">
        <v>10.3333333333333</v>
      </c>
      <c r="N677" s="108">
        <v>12.8</v>
      </c>
      <c r="O677" s="108">
        <v>17.5714285714286</v>
      </c>
      <c r="P677" s="108">
        <v>1</v>
      </c>
      <c r="Q677" s="108">
        <v>6.33333333333333</v>
      </c>
      <c r="R677" s="108">
        <v>5.6</v>
      </c>
      <c r="S677" s="115">
        <v>7.42857142857143</v>
      </c>
    </row>
    <row r="678" spans="1:19">
      <c r="A678" s="143">
        <v>45040</v>
      </c>
      <c r="B678" s="104" t="s">
        <v>21</v>
      </c>
      <c r="C678" s="145">
        <v>559</v>
      </c>
      <c r="D678" s="104">
        <v>25</v>
      </c>
      <c r="E678" s="106">
        <v>0.0447227191413238</v>
      </c>
      <c r="F678" s="107">
        <v>6</v>
      </c>
      <c r="G678" s="106">
        <v>0.24</v>
      </c>
      <c r="H678" s="108">
        <v>-70</v>
      </c>
      <c r="I678" s="108">
        <v>-48</v>
      </c>
      <c r="J678" s="108">
        <v>-21.4</v>
      </c>
      <c r="K678" s="108">
        <v>-17.1428571428571</v>
      </c>
      <c r="L678" s="108">
        <v>-9</v>
      </c>
      <c r="M678" s="108">
        <v>-2.66666666666667</v>
      </c>
      <c r="N678" s="108">
        <v>-2.4</v>
      </c>
      <c r="O678" s="108">
        <v>-4</v>
      </c>
      <c r="P678" s="108">
        <v>-3</v>
      </c>
      <c r="Q678" s="108">
        <v>-3.66666666666667</v>
      </c>
      <c r="R678" s="108">
        <v>-3.2</v>
      </c>
      <c r="S678" s="108">
        <v>-4.14285714285714</v>
      </c>
    </row>
    <row r="679" spans="1:19">
      <c r="A679" s="143">
        <v>45040</v>
      </c>
      <c r="B679" s="104" t="s">
        <v>22</v>
      </c>
      <c r="C679" s="145">
        <v>3591</v>
      </c>
      <c r="D679" s="104">
        <v>75</v>
      </c>
      <c r="E679" s="106">
        <v>0.0208855472013367</v>
      </c>
      <c r="F679" s="107">
        <v>27</v>
      </c>
      <c r="G679" s="106">
        <v>0.36</v>
      </c>
      <c r="H679" s="108">
        <v>-94</v>
      </c>
      <c r="I679" s="108">
        <v>-96.3333333333335</v>
      </c>
      <c r="J679" s="108">
        <v>-109.2</v>
      </c>
      <c r="K679" s="108">
        <v>-165.142857142857</v>
      </c>
      <c r="L679" s="108">
        <v>6</v>
      </c>
      <c r="M679" s="108">
        <v>11.3333333333333</v>
      </c>
      <c r="N679" s="108">
        <v>6.59999999999999</v>
      </c>
      <c r="O679" s="115">
        <v>3.57142857142857</v>
      </c>
      <c r="P679" s="108">
        <v>9</v>
      </c>
      <c r="Q679" s="108">
        <v>5.33333333333333</v>
      </c>
      <c r="R679" s="108">
        <v>1.6</v>
      </c>
      <c r="S679" s="117">
        <v>1.42857142857143</v>
      </c>
    </row>
    <row r="680" spans="1:19">
      <c r="A680" s="143">
        <v>45040</v>
      </c>
      <c r="B680" s="104" t="s">
        <v>23</v>
      </c>
      <c r="C680" s="145">
        <v>2458</v>
      </c>
      <c r="D680" s="104">
        <v>24</v>
      </c>
      <c r="E680" s="106">
        <v>0.00976403580146461</v>
      </c>
      <c r="F680" s="107">
        <v>8</v>
      </c>
      <c r="G680" s="106">
        <v>0.333333333333333</v>
      </c>
      <c r="H680" s="108">
        <v>-8</v>
      </c>
      <c r="I680" s="108">
        <v>-98.6666666666665</v>
      </c>
      <c r="J680" s="108">
        <v>-112.8</v>
      </c>
      <c r="K680" s="108">
        <v>-114.285714285714</v>
      </c>
      <c r="L680" s="108">
        <v>10</v>
      </c>
      <c r="M680" s="108">
        <v>4.33333333333333</v>
      </c>
      <c r="N680" s="108">
        <v>0.800000000000001</v>
      </c>
      <c r="O680" s="108">
        <v>-0.285714285714285</v>
      </c>
      <c r="P680" s="108">
        <v>6</v>
      </c>
      <c r="Q680" s="116">
        <v>3</v>
      </c>
      <c r="R680" s="108">
        <v>1</v>
      </c>
      <c r="S680" s="108">
        <v>0.857142857142857</v>
      </c>
    </row>
    <row r="681" spans="1:19">
      <c r="A681" s="143">
        <v>45040</v>
      </c>
      <c r="B681" s="104" t="s">
        <v>24</v>
      </c>
      <c r="C681" s="145">
        <v>295</v>
      </c>
      <c r="D681" s="104">
        <v>2</v>
      </c>
      <c r="E681" s="106">
        <v>0.00677966101694915</v>
      </c>
      <c r="F681" s="107">
        <v>0</v>
      </c>
      <c r="G681" s="106">
        <v>0</v>
      </c>
      <c r="H681" s="108">
        <v>-56</v>
      </c>
      <c r="I681" s="108">
        <v>-90</v>
      </c>
      <c r="J681" s="108">
        <v>-112</v>
      </c>
      <c r="K681" s="108">
        <v>-165.428571428571</v>
      </c>
      <c r="L681" s="115">
        <v>-1</v>
      </c>
      <c r="M681" s="115">
        <v>0.333333333333333</v>
      </c>
      <c r="N681" s="117">
        <v>-0.4</v>
      </c>
      <c r="O681" s="117">
        <v>-1.57142857142857</v>
      </c>
      <c r="P681" s="115">
        <v>-2</v>
      </c>
      <c r="Q681" s="115">
        <v>-1.33333333333333</v>
      </c>
      <c r="R681" s="115">
        <v>-2.2</v>
      </c>
      <c r="S681" s="115">
        <v>-2.14285714285714</v>
      </c>
    </row>
    <row r="682" spans="1:19">
      <c r="A682" s="143">
        <v>45040</v>
      </c>
      <c r="B682" s="104" t="s">
        <v>25</v>
      </c>
      <c r="C682" s="145">
        <v>13088</v>
      </c>
      <c r="D682" s="104">
        <v>36</v>
      </c>
      <c r="E682" s="106">
        <v>0.00275061124694377</v>
      </c>
      <c r="F682" s="107">
        <v>10</v>
      </c>
      <c r="G682" s="106">
        <v>0.277777777777778</v>
      </c>
      <c r="H682" s="108">
        <v>-1762</v>
      </c>
      <c r="I682" s="108">
        <v>-1884.66666666667</v>
      </c>
      <c r="J682" s="108">
        <v>-1290</v>
      </c>
      <c r="K682" s="108">
        <v>-610.857142857143</v>
      </c>
      <c r="L682" s="116">
        <v>-6</v>
      </c>
      <c r="M682" s="115">
        <v>-9.33333333333334</v>
      </c>
      <c r="N682" s="115">
        <v>-4.2</v>
      </c>
      <c r="O682" s="115">
        <v>-3.71428571428572</v>
      </c>
      <c r="P682" s="108">
        <v>-5</v>
      </c>
      <c r="Q682" s="108">
        <v>-6.33333333333333</v>
      </c>
      <c r="R682" s="108">
        <v>-6</v>
      </c>
      <c r="S682" s="108">
        <v>-4</v>
      </c>
    </row>
    <row r="683" spans="1:19">
      <c r="A683" s="143">
        <v>45040</v>
      </c>
      <c r="B683" s="104" t="s">
        <v>26</v>
      </c>
      <c r="C683" s="145">
        <v>2172</v>
      </c>
      <c r="D683" s="104">
        <v>11</v>
      </c>
      <c r="E683" s="106">
        <v>0.00506445672191529</v>
      </c>
      <c r="F683" s="107">
        <v>10</v>
      </c>
      <c r="G683" s="106">
        <v>0.909090909090909</v>
      </c>
      <c r="H683" s="108">
        <v>96</v>
      </c>
      <c r="I683" s="108">
        <v>-12.6666666666665</v>
      </c>
      <c r="J683" s="108">
        <v>-5.59999999999991</v>
      </c>
      <c r="K683" s="108">
        <v>63.1428571428573</v>
      </c>
      <c r="L683" s="108">
        <v>-13</v>
      </c>
      <c r="M683" s="108">
        <v>-13.6666666666667</v>
      </c>
      <c r="N683" s="108">
        <v>-12.2</v>
      </c>
      <c r="O683" s="108">
        <v>-12.5714285714286</v>
      </c>
      <c r="P683" s="108">
        <v>2</v>
      </c>
      <c r="Q683" s="108">
        <v>2</v>
      </c>
      <c r="R683" s="108">
        <v>1.8</v>
      </c>
      <c r="S683" s="108">
        <v>2.28571428571429</v>
      </c>
    </row>
    <row r="684" spans="1:19">
      <c r="A684" s="143">
        <v>45040</v>
      </c>
      <c r="B684" s="104" t="s">
        <v>27</v>
      </c>
      <c r="C684" s="145">
        <v>364</v>
      </c>
      <c r="D684" s="104">
        <v>2</v>
      </c>
      <c r="E684" s="106">
        <v>0.00549450549450549</v>
      </c>
      <c r="F684" s="107">
        <v>0</v>
      </c>
      <c r="G684" s="106">
        <v>0</v>
      </c>
      <c r="H684" s="108">
        <v>-70</v>
      </c>
      <c r="I684" s="108">
        <v>-134</v>
      </c>
      <c r="J684" s="108">
        <v>-104.8</v>
      </c>
      <c r="K684" s="108">
        <v>-54.5714285714286</v>
      </c>
      <c r="L684" s="108">
        <v>-6</v>
      </c>
      <c r="M684" s="108">
        <v>-4.33333333333333</v>
      </c>
      <c r="N684" s="108">
        <v>-2.4</v>
      </c>
      <c r="O684" s="108">
        <v>-2.85714285714286</v>
      </c>
      <c r="P684" s="108">
        <v>-2</v>
      </c>
      <c r="Q684" s="108">
        <v>-2</v>
      </c>
      <c r="R684" s="108">
        <v>-1.8</v>
      </c>
      <c r="S684" s="108">
        <v>-1.71428571428571</v>
      </c>
    </row>
    <row r="685" hidden="1" spans="1:19">
      <c r="A685" s="143">
        <v>45040</v>
      </c>
      <c r="B685" s="104" t="s">
        <v>28</v>
      </c>
      <c r="C685" s="145">
        <v>0</v>
      </c>
      <c r="D685" s="104">
        <v>0</v>
      </c>
      <c r="E685" s="106">
        <v>0</v>
      </c>
      <c r="F685" s="107">
        <v>0</v>
      </c>
      <c r="G685" s="106">
        <v>0</v>
      </c>
      <c r="H685" s="108">
        <v>0</v>
      </c>
      <c r="I685" s="108">
        <v>0</v>
      </c>
      <c r="J685" s="108">
        <v>0</v>
      </c>
      <c r="K685" s="108">
        <v>0</v>
      </c>
      <c r="L685" s="108">
        <v>0</v>
      </c>
      <c r="M685" s="108">
        <v>-0.333333333333333</v>
      </c>
      <c r="N685" s="108">
        <v>-0.4</v>
      </c>
      <c r="O685" s="108">
        <v>-0.285714285714286</v>
      </c>
      <c r="P685" s="108">
        <v>0</v>
      </c>
      <c r="Q685" s="108">
        <v>0</v>
      </c>
      <c r="R685" s="108">
        <v>0</v>
      </c>
      <c r="S685" s="108">
        <v>-0.142857142857143</v>
      </c>
    </row>
    <row r="686" hidden="1" spans="1:19">
      <c r="A686" s="143">
        <v>45040</v>
      </c>
      <c r="B686" s="104" t="s">
        <v>29</v>
      </c>
      <c r="C686" s="145">
        <v>0</v>
      </c>
      <c r="D686" s="104">
        <v>1</v>
      </c>
      <c r="E686" s="106">
        <v>1</v>
      </c>
      <c r="F686" s="107">
        <v>0</v>
      </c>
      <c r="G686" s="106">
        <v>0</v>
      </c>
      <c r="H686" s="108">
        <v>0</v>
      </c>
      <c r="I686" s="108">
        <v>0</v>
      </c>
      <c r="J686" s="108">
        <v>0</v>
      </c>
      <c r="K686" s="108">
        <v>0</v>
      </c>
      <c r="L686" s="108">
        <v>1</v>
      </c>
      <c r="M686" s="108">
        <v>0.333333333333333</v>
      </c>
      <c r="N686" s="108">
        <v>0.6</v>
      </c>
      <c r="O686" s="108">
        <v>0.714285714285714</v>
      </c>
      <c r="P686" s="108">
        <v>0</v>
      </c>
      <c r="Q686" s="108">
        <v>0</v>
      </c>
      <c r="R686" s="108">
        <v>0</v>
      </c>
      <c r="S686" s="108">
        <v>0</v>
      </c>
    </row>
    <row r="687" hidden="1" spans="1:19">
      <c r="A687" s="143">
        <v>45040</v>
      </c>
      <c r="B687" s="104" t="s">
        <v>30</v>
      </c>
      <c r="C687" s="145">
        <v>0</v>
      </c>
      <c r="D687" s="104">
        <v>0</v>
      </c>
      <c r="E687" s="106">
        <v>0</v>
      </c>
      <c r="F687" s="107">
        <v>0</v>
      </c>
      <c r="G687" s="106">
        <v>0</v>
      </c>
      <c r="H687" s="108">
        <v>0</v>
      </c>
      <c r="I687" s="108">
        <v>0</v>
      </c>
      <c r="J687" s="108">
        <v>0</v>
      </c>
      <c r="K687" s="108">
        <v>0</v>
      </c>
      <c r="L687" s="108">
        <v>0</v>
      </c>
      <c r="M687" s="108">
        <v>0</v>
      </c>
      <c r="N687" s="108">
        <v>0</v>
      </c>
      <c r="O687" s="108">
        <v>0</v>
      </c>
      <c r="P687" s="108">
        <v>0</v>
      </c>
      <c r="Q687" s="108">
        <v>0</v>
      </c>
      <c r="R687" s="108">
        <v>0</v>
      </c>
      <c r="S687" s="108">
        <v>0</v>
      </c>
    </row>
    <row r="688" hidden="1" spans="1:19">
      <c r="A688" s="143">
        <v>45040</v>
      </c>
      <c r="B688" s="104" t="s">
        <v>31</v>
      </c>
      <c r="C688" s="145">
        <v>0</v>
      </c>
      <c r="D688" s="104">
        <v>0</v>
      </c>
      <c r="E688" s="106">
        <v>0</v>
      </c>
      <c r="F688" s="107">
        <v>0</v>
      </c>
      <c r="G688" s="106">
        <v>0</v>
      </c>
      <c r="H688" s="108">
        <v>0</v>
      </c>
      <c r="I688" s="108">
        <v>0</v>
      </c>
      <c r="J688" s="108">
        <v>0</v>
      </c>
      <c r="K688" s="108">
        <v>0</v>
      </c>
      <c r="L688" s="108">
        <v>-1</v>
      </c>
      <c r="M688" s="108">
        <v>-0.333333333333333</v>
      </c>
      <c r="N688" s="108">
        <v>-0.2</v>
      </c>
      <c r="O688" s="108">
        <v>-0.285714285714286</v>
      </c>
      <c r="P688" s="108">
        <v>0</v>
      </c>
      <c r="Q688" s="108">
        <v>-0.333333333333333</v>
      </c>
      <c r="R688" s="108">
        <v>-0.2</v>
      </c>
      <c r="S688" s="108">
        <v>-0.285714285714286</v>
      </c>
    </row>
    <row r="689" hidden="1" spans="1:19">
      <c r="A689" s="143">
        <v>45040</v>
      </c>
      <c r="B689" s="104" t="s">
        <v>32</v>
      </c>
      <c r="C689" s="145">
        <v>0</v>
      </c>
      <c r="D689" s="104">
        <v>0</v>
      </c>
      <c r="E689" s="106">
        <v>0</v>
      </c>
      <c r="F689" s="107">
        <v>0</v>
      </c>
      <c r="G689" s="106">
        <v>0</v>
      </c>
      <c r="H689" s="108">
        <v>0</v>
      </c>
      <c r="I689" s="108">
        <v>0</v>
      </c>
      <c r="J689" s="108">
        <v>0</v>
      </c>
      <c r="K689" s="108">
        <v>0</v>
      </c>
      <c r="L689" s="108">
        <v>0</v>
      </c>
      <c r="M689" s="108">
        <v>0</v>
      </c>
      <c r="N689" s="108">
        <v>0</v>
      </c>
      <c r="O689" s="108">
        <v>0</v>
      </c>
      <c r="P689" s="108">
        <v>0</v>
      </c>
      <c r="Q689" s="108">
        <v>0</v>
      </c>
      <c r="R689" s="108">
        <v>0</v>
      </c>
      <c r="S689" s="108">
        <v>0</v>
      </c>
    </row>
    <row r="690" hidden="1" spans="1:19">
      <c r="A690" s="143">
        <v>45040</v>
      </c>
      <c r="B690" s="104" t="s">
        <v>33</v>
      </c>
      <c r="C690" s="145">
        <v>0</v>
      </c>
      <c r="D690" s="104">
        <v>0</v>
      </c>
      <c r="E690" s="106">
        <v>0</v>
      </c>
      <c r="F690" s="107">
        <v>0</v>
      </c>
      <c r="G690" s="106">
        <v>0</v>
      </c>
      <c r="H690" s="108">
        <v>0</v>
      </c>
      <c r="I690" s="108">
        <v>0</v>
      </c>
      <c r="J690" s="108">
        <v>0</v>
      </c>
      <c r="K690" s="108">
        <v>0</v>
      </c>
      <c r="L690" s="108">
        <v>0</v>
      </c>
      <c r="M690" s="108">
        <v>0</v>
      </c>
      <c r="N690" s="108">
        <v>0</v>
      </c>
      <c r="O690" s="108">
        <v>0</v>
      </c>
      <c r="P690" s="108">
        <v>0</v>
      </c>
      <c r="Q690" s="108">
        <v>0</v>
      </c>
      <c r="R690" s="108">
        <v>0</v>
      </c>
      <c r="S690" s="108">
        <v>0</v>
      </c>
    </row>
    <row r="691" hidden="1" spans="1:19">
      <c r="A691" s="143">
        <v>45040</v>
      </c>
      <c r="B691" s="104" t="s">
        <v>34</v>
      </c>
      <c r="C691" s="145">
        <v>0</v>
      </c>
      <c r="D691" s="104">
        <v>0</v>
      </c>
      <c r="E691" s="106">
        <v>0</v>
      </c>
      <c r="F691" s="107">
        <v>0</v>
      </c>
      <c r="G691" s="106">
        <v>0</v>
      </c>
      <c r="H691" s="108">
        <v>0</v>
      </c>
      <c r="I691" s="108">
        <v>0</v>
      </c>
      <c r="J691" s="108">
        <v>0</v>
      </c>
      <c r="K691" s="108">
        <v>0</v>
      </c>
      <c r="L691" s="108">
        <v>0</v>
      </c>
      <c r="M691" s="108">
        <v>0</v>
      </c>
      <c r="N691" s="108">
        <v>0</v>
      </c>
      <c r="O691" s="108">
        <v>0</v>
      </c>
      <c r="P691" s="108">
        <v>0</v>
      </c>
      <c r="Q691" s="108">
        <v>0</v>
      </c>
      <c r="R691" s="108">
        <v>0</v>
      </c>
      <c r="S691" s="108">
        <v>0</v>
      </c>
    </row>
    <row r="692" hidden="1" spans="1:19">
      <c r="A692" s="143">
        <v>45040</v>
      </c>
      <c r="B692" s="104" t="s">
        <v>35</v>
      </c>
      <c r="C692" s="145">
        <v>0</v>
      </c>
      <c r="D692" s="104">
        <v>0</v>
      </c>
      <c r="E692" s="106">
        <v>0</v>
      </c>
      <c r="F692" s="107">
        <v>0</v>
      </c>
      <c r="G692" s="106">
        <v>0</v>
      </c>
      <c r="H692" s="108">
        <v>0</v>
      </c>
      <c r="I692" s="108">
        <v>0</v>
      </c>
      <c r="J692" s="108">
        <v>0</v>
      </c>
      <c r="K692" s="108">
        <v>0</v>
      </c>
      <c r="L692" s="108">
        <v>0</v>
      </c>
      <c r="M692" s="108">
        <v>0</v>
      </c>
      <c r="N692" s="108">
        <v>0</v>
      </c>
      <c r="O692" s="108">
        <v>0</v>
      </c>
      <c r="P692" s="108">
        <v>0</v>
      </c>
      <c r="Q692" s="108">
        <v>0</v>
      </c>
      <c r="R692" s="108">
        <v>0</v>
      </c>
      <c r="S692" s="108">
        <v>0</v>
      </c>
    </row>
    <row r="693" hidden="1" spans="1:19">
      <c r="A693" s="143">
        <v>45040</v>
      </c>
      <c r="B693" s="104" t="s">
        <v>36</v>
      </c>
      <c r="C693" s="145">
        <v>0</v>
      </c>
      <c r="D693" s="104">
        <v>0</v>
      </c>
      <c r="E693" s="106">
        <v>0</v>
      </c>
      <c r="F693" s="107">
        <v>0</v>
      </c>
      <c r="G693" s="106">
        <v>0</v>
      </c>
      <c r="H693" s="108">
        <v>0</v>
      </c>
      <c r="I693" s="108">
        <v>0</v>
      </c>
      <c r="J693" s="108">
        <v>0</v>
      </c>
      <c r="K693" s="108">
        <v>0</v>
      </c>
      <c r="L693" s="108">
        <v>0</v>
      </c>
      <c r="M693" s="108">
        <v>0</v>
      </c>
      <c r="N693" s="108">
        <v>0</v>
      </c>
      <c r="O693" s="108">
        <v>0</v>
      </c>
      <c r="P693" s="108">
        <v>0</v>
      </c>
      <c r="Q693" s="108">
        <v>0</v>
      </c>
      <c r="R693" s="108">
        <v>0</v>
      </c>
      <c r="S693" s="108">
        <v>0</v>
      </c>
    </row>
    <row r="694" hidden="1" spans="1:19">
      <c r="A694" s="143">
        <v>45040</v>
      </c>
      <c r="B694" s="104" t="s">
        <v>37</v>
      </c>
      <c r="C694" s="145">
        <v>0</v>
      </c>
      <c r="D694" s="104">
        <v>0</v>
      </c>
      <c r="E694" s="106">
        <v>0</v>
      </c>
      <c r="F694" s="107">
        <v>0</v>
      </c>
      <c r="G694" s="106">
        <v>0</v>
      </c>
      <c r="H694" s="108">
        <v>0</v>
      </c>
      <c r="I694" s="108">
        <v>0</v>
      </c>
      <c r="J694" s="108">
        <v>0</v>
      </c>
      <c r="K694" s="108">
        <v>0</v>
      </c>
      <c r="L694" s="108">
        <v>0</v>
      </c>
      <c r="M694" s="108">
        <v>0</v>
      </c>
      <c r="N694" s="108">
        <v>0</v>
      </c>
      <c r="O694" s="108">
        <v>0</v>
      </c>
      <c r="P694" s="108">
        <v>0</v>
      </c>
      <c r="Q694" s="108">
        <v>0</v>
      </c>
      <c r="R694" s="108">
        <v>0</v>
      </c>
      <c r="S694" s="108">
        <v>0</v>
      </c>
    </row>
    <row r="695" hidden="1" spans="1:19">
      <c r="A695" s="143">
        <v>45040</v>
      </c>
      <c r="B695" s="104" t="s">
        <v>38</v>
      </c>
      <c r="C695" s="145">
        <v>0</v>
      </c>
      <c r="D695" s="104">
        <v>0</v>
      </c>
      <c r="E695" s="106">
        <v>0</v>
      </c>
      <c r="F695" s="107">
        <v>0</v>
      </c>
      <c r="G695" s="106">
        <v>0</v>
      </c>
      <c r="H695" s="108">
        <v>0</v>
      </c>
      <c r="I695" s="108">
        <v>0</v>
      </c>
      <c r="J695" s="108">
        <v>0</v>
      </c>
      <c r="K695" s="108">
        <v>0</v>
      </c>
      <c r="L695" s="108">
        <v>0</v>
      </c>
      <c r="M695" s="108">
        <v>0</v>
      </c>
      <c r="N695" s="108">
        <v>0</v>
      </c>
      <c r="O695" s="108">
        <v>0</v>
      </c>
      <c r="P695" s="108">
        <v>0</v>
      </c>
      <c r="Q695" s="108">
        <v>0</v>
      </c>
      <c r="R695" s="108">
        <v>0</v>
      </c>
      <c r="S695" s="108">
        <v>0</v>
      </c>
    </row>
    <row r="696" spans="1:19">
      <c r="A696" s="143">
        <v>45040</v>
      </c>
      <c r="B696" s="111" t="s">
        <v>39</v>
      </c>
      <c r="C696" s="112">
        <v>26580</v>
      </c>
      <c r="D696" s="112">
        <v>263</v>
      </c>
      <c r="E696" s="113">
        <v>0.00989465763732129</v>
      </c>
      <c r="F696" s="112">
        <v>89</v>
      </c>
      <c r="G696" s="113">
        <v>0.338403041825095</v>
      </c>
      <c r="H696" s="108"/>
      <c r="I696" s="108"/>
      <c r="J696" s="108"/>
      <c r="K696" s="108"/>
      <c r="L696" s="108"/>
      <c r="M696" s="108"/>
      <c r="N696" s="108"/>
      <c r="O696" s="108"/>
      <c r="P696" s="108"/>
      <c r="Q696" s="108"/>
      <c r="R696" s="108"/>
      <c r="S696" s="108"/>
    </row>
    <row r="697" spans="1:19">
      <c r="A697" s="143">
        <v>45041</v>
      </c>
      <c r="B697" s="104" t="s">
        <v>17</v>
      </c>
      <c r="C697" s="105">
        <v>571</v>
      </c>
      <c r="D697" s="104">
        <v>42</v>
      </c>
      <c r="E697" s="106">
        <v>0.0735551663747811</v>
      </c>
      <c r="F697" s="107">
        <v>11</v>
      </c>
      <c r="G697" s="106">
        <v>0.261904761904762</v>
      </c>
      <c r="H697" s="108">
        <v>46</v>
      </c>
      <c r="I697" s="108">
        <v>-3.33333333333337</v>
      </c>
      <c r="J697" s="108">
        <v>-21.8</v>
      </c>
      <c r="K697" s="108">
        <v>-44.2857142857143</v>
      </c>
      <c r="L697" s="108">
        <v>9</v>
      </c>
      <c r="M697" s="108">
        <v>12.6666666666667</v>
      </c>
      <c r="N697" s="108">
        <v>17.2</v>
      </c>
      <c r="O697" s="108">
        <v>17.5714285714286</v>
      </c>
      <c r="P697" s="108">
        <v>6</v>
      </c>
      <c r="Q697" s="108">
        <v>6</v>
      </c>
      <c r="R697" s="108">
        <v>6.4</v>
      </c>
      <c r="S697" s="108">
        <v>5.71428571428571</v>
      </c>
    </row>
    <row r="698" spans="1:19">
      <c r="A698" s="143">
        <v>45041</v>
      </c>
      <c r="B698" s="104" t="s">
        <v>19</v>
      </c>
      <c r="C698" s="107">
        <v>3368</v>
      </c>
      <c r="D698" s="104">
        <v>53</v>
      </c>
      <c r="E698" s="106">
        <v>0.0157363420427553</v>
      </c>
      <c r="F698" s="107">
        <v>19</v>
      </c>
      <c r="G698" s="106">
        <v>0.358490566037736</v>
      </c>
      <c r="H698" s="108">
        <v>-160</v>
      </c>
      <c r="I698" s="108">
        <v>-32.6666666666665</v>
      </c>
      <c r="J698" s="108">
        <v>276.8</v>
      </c>
      <c r="K698" s="108">
        <v>692.285714285714</v>
      </c>
      <c r="L698" s="108">
        <v>-1</v>
      </c>
      <c r="M698" s="108">
        <v>5.33333333333334</v>
      </c>
      <c r="N698" s="108">
        <v>8.6</v>
      </c>
      <c r="O698" s="108">
        <v>12.4285714285714</v>
      </c>
      <c r="P698" s="108">
        <v>-4</v>
      </c>
      <c r="Q698" s="108">
        <v>0.666666666666668</v>
      </c>
      <c r="R698" s="108">
        <v>0.199999999999999</v>
      </c>
      <c r="S698" s="115">
        <v>1.71428571428572</v>
      </c>
    </row>
    <row r="699" spans="1:19">
      <c r="A699" s="143">
        <v>45041</v>
      </c>
      <c r="B699" s="104" t="s">
        <v>21</v>
      </c>
      <c r="C699" s="145">
        <v>549</v>
      </c>
      <c r="D699" s="104">
        <v>23</v>
      </c>
      <c r="E699" s="106">
        <v>0.0418943533697632</v>
      </c>
      <c r="F699" s="107">
        <v>10</v>
      </c>
      <c r="G699" s="106">
        <v>0.434782608695652</v>
      </c>
      <c r="H699" s="108">
        <v>-10</v>
      </c>
      <c r="I699" s="108">
        <v>-57.3333333333334</v>
      </c>
      <c r="J699" s="108">
        <v>-31.6</v>
      </c>
      <c r="K699" s="108">
        <v>-22.2857142857143</v>
      </c>
      <c r="L699" s="108">
        <v>-2</v>
      </c>
      <c r="M699" s="108">
        <v>-5</v>
      </c>
      <c r="N699" s="108">
        <v>-3.4</v>
      </c>
      <c r="O699" s="108">
        <v>-4.85714285714286</v>
      </c>
      <c r="P699" s="108">
        <v>4</v>
      </c>
      <c r="Q699" s="108">
        <v>1.66666666666667</v>
      </c>
      <c r="R699" s="108">
        <v>1</v>
      </c>
      <c r="S699" s="108">
        <v>0.571428571428571</v>
      </c>
    </row>
    <row r="700" spans="1:19">
      <c r="A700" s="143">
        <v>45041</v>
      </c>
      <c r="B700" s="104" t="s">
        <v>22</v>
      </c>
      <c r="C700" s="145">
        <v>3544</v>
      </c>
      <c r="D700" s="104">
        <v>58</v>
      </c>
      <c r="E700" s="106">
        <v>0.0163656884875846</v>
      </c>
      <c r="F700" s="107">
        <v>24</v>
      </c>
      <c r="G700" s="106">
        <v>0.413793103448276</v>
      </c>
      <c r="H700" s="108">
        <v>-47</v>
      </c>
      <c r="I700" s="108">
        <v>-93</v>
      </c>
      <c r="J700" s="108">
        <v>-119.6</v>
      </c>
      <c r="K700" s="108">
        <v>-144.714285714286</v>
      </c>
      <c r="L700" s="108">
        <v>-17</v>
      </c>
      <c r="M700" s="108">
        <v>-7.33333333333333</v>
      </c>
      <c r="N700" s="108">
        <v>-7.2</v>
      </c>
      <c r="O700" s="115">
        <v>-12</v>
      </c>
      <c r="P700" s="108">
        <v>-3</v>
      </c>
      <c r="Q700" s="108">
        <v>1.66666666666667</v>
      </c>
      <c r="R700" s="108">
        <v>0.199999999999999</v>
      </c>
      <c r="S700" s="117">
        <v>-1.14285714285714</v>
      </c>
    </row>
    <row r="701" spans="1:19">
      <c r="A701" s="143">
        <v>45041</v>
      </c>
      <c r="B701" s="104" t="s">
        <v>23</v>
      </c>
      <c r="C701" s="145">
        <v>2605</v>
      </c>
      <c r="D701" s="104">
        <v>25</v>
      </c>
      <c r="E701" s="106">
        <v>0.00959692898272553</v>
      </c>
      <c r="F701" s="107">
        <v>4</v>
      </c>
      <c r="G701" s="106">
        <v>0.16</v>
      </c>
      <c r="H701" s="108">
        <v>147</v>
      </c>
      <c r="I701" s="108">
        <v>99.6666666666665</v>
      </c>
      <c r="J701" s="108">
        <v>52.4000000000001</v>
      </c>
      <c r="K701" s="108">
        <v>50.7142857142858</v>
      </c>
      <c r="L701" s="108">
        <v>1</v>
      </c>
      <c r="M701" s="108">
        <v>5</v>
      </c>
      <c r="N701" s="108">
        <v>2</v>
      </c>
      <c r="O701" s="108">
        <v>2.28571428571428</v>
      </c>
      <c r="P701" s="108">
        <v>-4</v>
      </c>
      <c r="Q701" s="116">
        <v>-1.66666666666667</v>
      </c>
      <c r="R701" s="108">
        <v>-2.4</v>
      </c>
      <c r="S701" s="108">
        <v>-2.42857142857143</v>
      </c>
    </row>
    <row r="702" spans="1:19">
      <c r="A702" s="143">
        <v>45041</v>
      </c>
      <c r="B702" s="104" t="s">
        <v>24</v>
      </c>
      <c r="C702" s="145">
        <v>268</v>
      </c>
      <c r="D702" s="104">
        <v>1</v>
      </c>
      <c r="E702" s="106">
        <v>0.00373134328358209</v>
      </c>
      <c r="F702" s="107">
        <v>0</v>
      </c>
      <c r="G702" s="106">
        <v>0</v>
      </c>
      <c r="H702" s="108">
        <v>-27</v>
      </c>
      <c r="I702" s="108">
        <v>-91.3333333333333</v>
      </c>
      <c r="J702" s="108">
        <v>-111</v>
      </c>
      <c r="K702" s="108">
        <v>-165.142857142857</v>
      </c>
      <c r="L702" s="115">
        <v>-1</v>
      </c>
      <c r="M702" s="115">
        <v>-1</v>
      </c>
      <c r="N702" s="117">
        <v>-1</v>
      </c>
      <c r="O702" s="117">
        <v>-1.28571428571429</v>
      </c>
      <c r="P702" s="115">
        <v>0</v>
      </c>
      <c r="Q702" s="115">
        <v>-1</v>
      </c>
      <c r="R702" s="115">
        <v>-1.2</v>
      </c>
      <c r="S702" s="115">
        <v>-1.71428571428571</v>
      </c>
    </row>
    <row r="703" spans="1:19">
      <c r="A703" s="143">
        <v>45041</v>
      </c>
      <c r="B703" s="104" t="s">
        <v>25</v>
      </c>
      <c r="C703" s="145">
        <v>15392</v>
      </c>
      <c r="D703" s="104">
        <v>30</v>
      </c>
      <c r="E703" s="106">
        <v>0.00194906444906445</v>
      </c>
      <c r="F703" s="107">
        <v>13</v>
      </c>
      <c r="G703" s="106">
        <v>0.433333333333333</v>
      </c>
      <c r="H703" s="108">
        <v>2304</v>
      </c>
      <c r="I703" s="108">
        <v>832</v>
      </c>
      <c r="J703" s="108">
        <v>1036.8</v>
      </c>
      <c r="K703" s="108">
        <v>1593.42857142857</v>
      </c>
      <c r="L703" s="116">
        <v>-6</v>
      </c>
      <c r="M703" s="115">
        <v>-10.3333333333333</v>
      </c>
      <c r="N703" s="115">
        <v>-9.8</v>
      </c>
      <c r="O703" s="115">
        <v>-9.28571428571428</v>
      </c>
      <c r="P703" s="108">
        <v>3</v>
      </c>
      <c r="Q703" s="108">
        <v>-1.66666666666667</v>
      </c>
      <c r="R703" s="108">
        <v>-1.8</v>
      </c>
      <c r="S703" s="108">
        <v>-1.57142857142857</v>
      </c>
    </row>
    <row r="704" spans="1:19">
      <c r="A704" s="143">
        <v>45041</v>
      </c>
      <c r="B704" s="104" t="s">
        <v>26</v>
      </c>
      <c r="C704" s="145">
        <v>2402</v>
      </c>
      <c r="D704" s="104">
        <v>20</v>
      </c>
      <c r="E704" s="106">
        <v>0.00832639467110741</v>
      </c>
      <c r="F704" s="107">
        <v>9</v>
      </c>
      <c r="G704" s="106">
        <v>0.45</v>
      </c>
      <c r="H704" s="108">
        <v>230</v>
      </c>
      <c r="I704" s="108">
        <v>254</v>
      </c>
      <c r="J704" s="108">
        <v>199.2</v>
      </c>
      <c r="K704" s="108">
        <v>274.571428571428</v>
      </c>
      <c r="L704" s="108">
        <v>9</v>
      </c>
      <c r="M704" s="108">
        <v>1</v>
      </c>
      <c r="N704" s="108">
        <v>-2.4</v>
      </c>
      <c r="O704" s="108">
        <v>-0.857142857142858</v>
      </c>
      <c r="P704" s="108">
        <v>-1</v>
      </c>
      <c r="Q704" s="108">
        <v>0.333333333333334</v>
      </c>
      <c r="R704" s="108">
        <v>-0.4</v>
      </c>
      <c r="S704" s="108">
        <v>1.14285714285714</v>
      </c>
    </row>
    <row r="705" spans="1:19">
      <c r="A705" s="143">
        <v>45041</v>
      </c>
      <c r="B705" s="104" t="s">
        <v>27</v>
      </c>
      <c r="C705" s="145">
        <v>422</v>
      </c>
      <c r="D705" s="104">
        <v>5</v>
      </c>
      <c r="E705" s="106">
        <v>0.0118483412322275</v>
      </c>
      <c r="F705" s="107">
        <v>1</v>
      </c>
      <c r="G705" s="106">
        <v>0.2</v>
      </c>
      <c r="H705" s="108">
        <v>58</v>
      </c>
      <c r="I705" s="108">
        <v>-26.6666666666667</v>
      </c>
      <c r="J705" s="108">
        <v>-39.2</v>
      </c>
      <c r="K705" s="108">
        <v>-6.85714285714283</v>
      </c>
      <c r="L705" s="108">
        <v>3</v>
      </c>
      <c r="M705" s="108">
        <v>-0.666666666666667</v>
      </c>
      <c r="N705" s="108">
        <v>0.2</v>
      </c>
      <c r="O705" s="108">
        <v>1</v>
      </c>
      <c r="P705" s="108">
        <v>1</v>
      </c>
      <c r="Q705" s="108">
        <v>-0.333333333333333</v>
      </c>
      <c r="R705" s="108">
        <v>-0.8</v>
      </c>
      <c r="S705" s="108">
        <v>-0.285714285714286</v>
      </c>
    </row>
    <row r="706" hidden="1" spans="1:19">
      <c r="A706" s="143">
        <v>45041</v>
      </c>
      <c r="B706" s="104" t="s">
        <v>28</v>
      </c>
      <c r="C706" s="145">
        <v>0</v>
      </c>
      <c r="D706" s="104">
        <v>1</v>
      </c>
      <c r="E706" s="106">
        <v>1</v>
      </c>
      <c r="F706" s="107">
        <v>0</v>
      </c>
      <c r="G706" s="106">
        <v>0</v>
      </c>
      <c r="H706" s="108">
        <v>0</v>
      </c>
      <c r="I706" s="108">
        <v>0</v>
      </c>
      <c r="J706" s="108">
        <v>0</v>
      </c>
      <c r="K706" s="108">
        <v>0</v>
      </c>
      <c r="L706" s="108">
        <v>1</v>
      </c>
      <c r="M706" s="108">
        <v>1</v>
      </c>
      <c r="N706" s="108">
        <v>0.8</v>
      </c>
      <c r="O706" s="108">
        <v>0.714285714285714</v>
      </c>
      <c r="P706" s="108">
        <v>0</v>
      </c>
      <c r="Q706" s="108">
        <v>0</v>
      </c>
      <c r="R706" s="108">
        <v>0</v>
      </c>
      <c r="S706" s="108">
        <v>-0.142857142857143</v>
      </c>
    </row>
    <row r="707" hidden="1" spans="1:19">
      <c r="A707" s="143">
        <v>45041</v>
      </c>
      <c r="B707" s="104" t="s">
        <v>29</v>
      </c>
      <c r="C707" s="145">
        <v>0</v>
      </c>
      <c r="D707" s="104">
        <v>0</v>
      </c>
      <c r="E707" s="106">
        <v>0</v>
      </c>
      <c r="F707" s="107">
        <v>0</v>
      </c>
      <c r="G707" s="106">
        <v>0</v>
      </c>
      <c r="H707" s="108">
        <v>0</v>
      </c>
      <c r="I707" s="108">
        <v>0</v>
      </c>
      <c r="J707" s="108">
        <v>0</v>
      </c>
      <c r="K707" s="108">
        <v>0</v>
      </c>
      <c r="L707" s="108">
        <v>-1</v>
      </c>
      <c r="M707" s="108">
        <v>-0.666666666666667</v>
      </c>
      <c r="N707" s="108">
        <v>-0.6</v>
      </c>
      <c r="O707" s="108">
        <v>-0.428571428571429</v>
      </c>
      <c r="P707" s="108">
        <v>0</v>
      </c>
      <c r="Q707" s="108">
        <v>0</v>
      </c>
      <c r="R707" s="108">
        <v>0</v>
      </c>
      <c r="S707" s="108">
        <v>0</v>
      </c>
    </row>
    <row r="708" hidden="1" spans="1:19">
      <c r="A708" s="143">
        <v>45041</v>
      </c>
      <c r="B708" s="104" t="s">
        <v>30</v>
      </c>
      <c r="C708" s="145">
        <v>0</v>
      </c>
      <c r="D708" s="104">
        <v>0</v>
      </c>
      <c r="E708" s="106">
        <v>0</v>
      </c>
      <c r="F708" s="107">
        <v>0</v>
      </c>
      <c r="G708" s="106">
        <v>0</v>
      </c>
      <c r="H708" s="108">
        <v>0</v>
      </c>
      <c r="I708" s="108">
        <v>0</v>
      </c>
      <c r="J708" s="108">
        <v>0</v>
      </c>
      <c r="K708" s="108">
        <v>0</v>
      </c>
      <c r="L708" s="108">
        <v>0</v>
      </c>
      <c r="M708" s="108">
        <v>0</v>
      </c>
      <c r="N708" s="108">
        <v>0</v>
      </c>
      <c r="O708" s="108">
        <v>0</v>
      </c>
      <c r="P708" s="108">
        <v>0</v>
      </c>
      <c r="Q708" s="108">
        <v>0</v>
      </c>
      <c r="R708" s="108">
        <v>0</v>
      </c>
      <c r="S708" s="108">
        <v>0</v>
      </c>
    </row>
    <row r="709" hidden="1" spans="1:19">
      <c r="A709" s="143">
        <v>45041</v>
      </c>
      <c r="B709" s="104" t="s">
        <v>31</v>
      </c>
      <c r="C709" s="145">
        <v>0</v>
      </c>
      <c r="D709" s="104">
        <v>0</v>
      </c>
      <c r="E709" s="106">
        <v>0</v>
      </c>
      <c r="F709" s="107">
        <v>0</v>
      </c>
      <c r="G709" s="106">
        <v>0</v>
      </c>
      <c r="H709" s="108">
        <v>0</v>
      </c>
      <c r="I709" s="108">
        <v>0</v>
      </c>
      <c r="J709" s="108">
        <v>0</v>
      </c>
      <c r="K709" s="108">
        <v>0</v>
      </c>
      <c r="L709" s="108">
        <v>0</v>
      </c>
      <c r="M709" s="108">
        <v>-0.333333333333333</v>
      </c>
      <c r="N709" s="108">
        <v>-0.2</v>
      </c>
      <c r="O709" s="108">
        <v>-0.285714285714286</v>
      </c>
      <c r="P709" s="108">
        <v>0</v>
      </c>
      <c r="Q709" s="108">
        <v>-0.333333333333333</v>
      </c>
      <c r="R709" s="108">
        <v>-0.2</v>
      </c>
      <c r="S709" s="108">
        <v>-0.285714285714286</v>
      </c>
    </row>
    <row r="710" hidden="1" spans="1:19">
      <c r="A710" s="143">
        <v>45041</v>
      </c>
      <c r="B710" s="104" t="s">
        <v>32</v>
      </c>
      <c r="C710" s="145">
        <v>0</v>
      </c>
      <c r="D710" s="104">
        <v>0</v>
      </c>
      <c r="E710" s="106">
        <v>0</v>
      </c>
      <c r="F710" s="107">
        <v>0</v>
      </c>
      <c r="G710" s="106">
        <v>0</v>
      </c>
      <c r="H710" s="108">
        <v>0</v>
      </c>
      <c r="I710" s="108">
        <v>0</v>
      </c>
      <c r="J710" s="108">
        <v>0</v>
      </c>
      <c r="K710" s="108">
        <v>0</v>
      </c>
      <c r="L710" s="108">
        <v>0</v>
      </c>
      <c r="M710" s="108">
        <v>0</v>
      </c>
      <c r="N710" s="108">
        <v>0</v>
      </c>
      <c r="O710" s="108">
        <v>0</v>
      </c>
      <c r="P710" s="108">
        <v>0</v>
      </c>
      <c r="Q710" s="108">
        <v>0</v>
      </c>
      <c r="R710" s="108">
        <v>0</v>
      </c>
      <c r="S710" s="108">
        <v>0</v>
      </c>
    </row>
    <row r="711" hidden="1" spans="1:19">
      <c r="A711" s="143">
        <v>45041</v>
      </c>
      <c r="B711" s="104" t="s">
        <v>33</v>
      </c>
      <c r="C711" s="145">
        <v>0</v>
      </c>
      <c r="D711" s="104">
        <v>0</v>
      </c>
      <c r="E711" s="106">
        <v>0</v>
      </c>
      <c r="F711" s="107">
        <v>0</v>
      </c>
      <c r="G711" s="106">
        <v>0</v>
      </c>
      <c r="H711" s="108">
        <v>0</v>
      </c>
      <c r="I711" s="108">
        <v>0</v>
      </c>
      <c r="J711" s="108">
        <v>0</v>
      </c>
      <c r="K711" s="108">
        <v>0</v>
      </c>
      <c r="L711" s="108">
        <v>0</v>
      </c>
      <c r="M711" s="108">
        <v>0</v>
      </c>
      <c r="N711" s="108">
        <v>0</v>
      </c>
      <c r="O711" s="108">
        <v>0</v>
      </c>
      <c r="P711" s="108">
        <v>0</v>
      </c>
      <c r="Q711" s="108">
        <v>0</v>
      </c>
      <c r="R711" s="108">
        <v>0</v>
      </c>
      <c r="S711" s="108">
        <v>0</v>
      </c>
    </row>
    <row r="712" hidden="1" spans="1:19">
      <c r="A712" s="143">
        <v>45041</v>
      </c>
      <c r="B712" s="104" t="s">
        <v>34</v>
      </c>
      <c r="C712" s="145">
        <v>0</v>
      </c>
      <c r="D712" s="104">
        <v>0</v>
      </c>
      <c r="E712" s="106">
        <v>0</v>
      </c>
      <c r="F712" s="107">
        <v>0</v>
      </c>
      <c r="G712" s="106">
        <v>0</v>
      </c>
      <c r="H712" s="108">
        <v>0</v>
      </c>
      <c r="I712" s="108">
        <v>0</v>
      </c>
      <c r="J712" s="108">
        <v>0</v>
      </c>
      <c r="K712" s="108">
        <v>0</v>
      </c>
      <c r="L712" s="108">
        <v>0</v>
      </c>
      <c r="M712" s="108">
        <v>0</v>
      </c>
      <c r="N712" s="108">
        <v>0</v>
      </c>
      <c r="O712" s="108">
        <v>0</v>
      </c>
      <c r="P712" s="108">
        <v>0</v>
      </c>
      <c r="Q712" s="108">
        <v>0</v>
      </c>
      <c r="R712" s="108">
        <v>0</v>
      </c>
      <c r="S712" s="108">
        <v>0</v>
      </c>
    </row>
    <row r="713" hidden="1" spans="1:19">
      <c r="A713" s="143">
        <v>45041</v>
      </c>
      <c r="B713" s="104" t="s">
        <v>35</v>
      </c>
      <c r="C713" s="145">
        <v>0</v>
      </c>
      <c r="D713" s="104">
        <v>0</v>
      </c>
      <c r="E713" s="106">
        <v>0</v>
      </c>
      <c r="F713" s="107">
        <v>0</v>
      </c>
      <c r="G713" s="106">
        <v>0</v>
      </c>
      <c r="H713" s="108">
        <v>0</v>
      </c>
      <c r="I713" s="108">
        <v>0</v>
      </c>
      <c r="J713" s="108">
        <v>0</v>
      </c>
      <c r="K713" s="108">
        <v>0</v>
      </c>
      <c r="L713" s="108">
        <v>0</v>
      </c>
      <c r="M713" s="108">
        <v>0</v>
      </c>
      <c r="N713" s="108">
        <v>0</v>
      </c>
      <c r="O713" s="108">
        <v>0</v>
      </c>
      <c r="P713" s="108">
        <v>0</v>
      </c>
      <c r="Q713" s="108">
        <v>0</v>
      </c>
      <c r="R713" s="108">
        <v>0</v>
      </c>
      <c r="S713" s="108">
        <v>0</v>
      </c>
    </row>
    <row r="714" hidden="1" spans="1:19">
      <c r="A714" s="143">
        <v>45041</v>
      </c>
      <c r="B714" s="104" t="s">
        <v>36</v>
      </c>
      <c r="C714" s="145">
        <v>0</v>
      </c>
      <c r="D714" s="104">
        <v>0</v>
      </c>
      <c r="E714" s="106">
        <v>0</v>
      </c>
      <c r="F714" s="107">
        <v>0</v>
      </c>
      <c r="G714" s="106">
        <v>0</v>
      </c>
      <c r="H714" s="108">
        <v>0</v>
      </c>
      <c r="I714" s="108">
        <v>0</v>
      </c>
      <c r="J714" s="108">
        <v>0</v>
      </c>
      <c r="K714" s="108">
        <v>0</v>
      </c>
      <c r="L714" s="108">
        <v>0</v>
      </c>
      <c r="M714" s="108">
        <v>0</v>
      </c>
      <c r="N714" s="108">
        <v>0</v>
      </c>
      <c r="O714" s="108">
        <v>0</v>
      </c>
      <c r="P714" s="108">
        <v>0</v>
      </c>
      <c r="Q714" s="108">
        <v>0</v>
      </c>
      <c r="R714" s="108">
        <v>0</v>
      </c>
      <c r="S714" s="108">
        <v>0</v>
      </c>
    </row>
    <row r="715" hidden="1" spans="1:19">
      <c r="A715" s="143">
        <v>45041</v>
      </c>
      <c r="B715" s="104" t="s">
        <v>37</v>
      </c>
      <c r="C715" s="145">
        <v>0</v>
      </c>
      <c r="D715" s="104">
        <v>0</v>
      </c>
      <c r="E715" s="106">
        <v>0</v>
      </c>
      <c r="F715" s="107">
        <v>0</v>
      </c>
      <c r="G715" s="106">
        <v>0</v>
      </c>
      <c r="H715" s="108">
        <v>0</v>
      </c>
      <c r="I715" s="108">
        <v>0</v>
      </c>
      <c r="J715" s="108">
        <v>0</v>
      </c>
      <c r="K715" s="108">
        <v>0</v>
      </c>
      <c r="L715" s="108">
        <v>0</v>
      </c>
      <c r="M715" s="108">
        <v>0</v>
      </c>
      <c r="N715" s="108">
        <v>0</v>
      </c>
      <c r="O715" s="108">
        <v>0</v>
      </c>
      <c r="P715" s="108">
        <v>0</v>
      </c>
      <c r="Q715" s="108">
        <v>0</v>
      </c>
      <c r="R715" s="108">
        <v>0</v>
      </c>
      <c r="S715" s="108">
        <v>0</v>
      </c>
    </row>
    <row r="716" hidden="1" spans="1:19">
      <c r="A716" s="143">
        <v>45041</v>
      </c>
      <c r="B716" s="104" t="s">
        <v>38</v>
      </c>
      <c r="C716" s="145">
        <v>0</v>
      </c>
      <c r="D716" s="104">
        <v>0</v>
      </c>
      <c r="E716" s="106">
        <v>0</v>
      </c>
      <c r="F716" s="107">
        <v>0</v>
      </c>
      <c r="G716" s="106">
        <v>0</v>
      </c>
      <c r="H716" s="108">
        <v>0</v>
      </c>
      <c r="I716" s="108">
        <v>0</v>
      </c>
      <c r="J716" s="108">
        <v>0</v>
      </c>
      <c r="K716" s="108">
        <v>0</v>
      </c>
      <c r="L716" s="108">
        <v>0</v>
      </c>
      <c r="M716" s="108">
        <v>0</v>
      </c>
      <c r="N716" s="108">
        <v>0</v>
      </c>
      <c r="O716" s="108">
        <v>0</v>
      </c>
      <c r="P716" s="108">
        <v>0</v>
      </c>
      <c r="Q716" s="108">
        <v>0</v>
      </c>
      <c r="R716" s="108">
        <v>0</v>
      </c>
      <c r="S716" s="108">
        <v>0</v>
      </c>
    </row>
    <row r="717" spans="1:19">
      <c r="A717" s="143">
        <v>45041</v>
      </c>
      <c r="B717" s="111" t="s">
        <v>39</v>
      </c>
      <c r="C717" s="112">
        <v>29121</v>
      </c>
      <c r="D717" s="112">
        <v>258</v>
      </c>
      <c r="E717" s="113">
        <v>0.00885958586586999</v>
      </c>
      <c r="F717" s="112">
        <v>91</v>
      </c>
      <c r="G717" s="113">
        <v>0.352713178294574</v>
      </c>
      <c r="H717" s="108"/>
      <c r="I717" s="108"/>
      <c r="J717" s="108"/>
      <c r="K717" s="108"/>
      <c r="L717" s="108"/>
      <c r="M717" s="108"/>
      <c r="N717" s="108"/>
      <c r="O717" s="108"/>
      <c r="P717" s="108"/>
      <c r="Q717" s="108"/>
      <c r="R717" s="108"/>
      <c r="S717" s="108"/>
    </row>
    <row r="718" spans="1:19">
      <c r="A718" s="143">
        <v>45042</v>
      </c>
      <c r="B718" s="104" t="s">
        <v>17</v>
      </c>
      <c r="C718" s="105">
        <v>616</v>
      </c>
      <c r="D718" s="104">
        <v>36</v>
      </c>
      <c r="E718" s="106">
        <v>0.0584415584415584</v>
      </c>
      <c r="F718" s="107">
        <v>11</v>
      </c>
      <c r="G718" s="106">
        <v>0.305555555555556</v>
      </c>
      <c r="H718" s="108">
        <v>45</v>
      </c>
      <c r="I718" s="108">
        <v>63.3333333333334</v>
      </c>
      <c r="J718" s="108">
        <v>17</v>
      </c>
      <c r="K718" s="108">
        <v>21.4285714285714</v>
      </c>
      <c r="L718" s="108">
        <v>-6</v>
      </c>
      <c r="M718" s="108">
        <v>-1</v>
      </c>
      <c r="N718" s="108">
        <v>5.8</v>
      </c>
      <c r="O718" s="108">
        <v>9.42857142857143</v>
      </c>
      <c r="P718" s="108">
        <v>0</v>
      </c>
      <c r="Q718" s="108">
        <v>3.33333333333333</v>
      </c>
      <c r="R718" s="108">
        <v>4.8</v>
      </c>
      <c r="S718" s="108">
        <v>5</v>
      </c>
    </row>
    <row r="719" spans="1:19">
      <c r="A719" s="143">
        <v>45042</v>
      </c>
      <c r="B719" s="104" t="s">
        <v>19</v>
      </c>
      <c r="C719" s="107">
        <v>1042</v>
      </c>
      <c r="D719" s="104">
        <v>24</v>
      </c>
      <c r="E719" s="106">
        <v>0.0230326295585413</v>
      </c>
      <c r="F719" s="107">
        <v>14</v>
      </c>
      <c r="G719" s="106">
        <v>0.583333333333333</v>
      </c>
      <c r="H719" s="108">
        <v>-2326</v>
      </c>
      <c r="I719" s="108">
        <v>-2359.33333333333</v>
      </c>
      <c r="J719" s="108">
        <v>-2253.2</v>
      </c>
      <c r="K719" s="108">
        <v>-1912.28571428571</v>
      </c>
      <c r="L719" s="108">
        <v>-29</v>
      </c>
      <c r="M719" s="108">
        <v>-29.6666666666667</v>
      </c>
      <c r="N719" s="108">
        <v>-23.6</v>
      </c>
      <c r="O719" s="108">
        <v>-20.7142857142857</v>
      </c>
      <c r="P719" s="108">
        <v>-5</v>
      </c>
      <c r="Q719" s="108">
        <v>-7.33333333333333</v>
      </c>
      <c r="R719" s="108">
        <v>-4.4</v>
      </c>
      <c r="S719" s="115">
        <v>-4.42857142857143</v>
      </c>
    </row>
    <row r="720" spans="1:19">
      <c r="A720" s="143">
        <v>45042</v>
      </c>
      <c r="B720" s="104" t="s">
        <v>21</v>
      </c>
      <c r="C720" s="145">
        <v>621</v>
      </c>
      <c r="D720" s="104">
        <v>28</v>
      </c>
      <c r="E720" s="106">
        <v>0.0450885668276973</v>
      </c>
      <c r="F720" s="107">
        <v>9</v>
      </c>
      <c r="G720" s="106">
        <v>0.321428571428571</v>
      </c>
      <c r="H720" s="108">
        <v>72</v>
      </c>
      <c r="I720" s="108">
        <v>42</v>
      </c>
      <c r="J720" s="108">
        <v>35.2</v>
      </c>
      <c r="K720" s="108">
        <v>48.1428571428571</v>
      </c>
      <c r="L720" s="108">
        <v>5</v>
      </c>
      <c r="M720" s="108">
        <v>0.666666666666668</v>
      </c>
      <c r="N720" s="108">
        <v>1.8</v>
      </c>
      <c r="O720" s="108">
        <v>1.57142857142857</v>
      </c>
      <c r="P720" s="108">
        <v>-1</v>
      </c>
      <c r="Q720" s="108">
        <v>0.666666666666666</v>
      </c>
      <c r="R720" s="108">
        <v>0</v>
      </c>
      <c r="S720" s="108">
        <v>0.142857142857142</v>
      </c>
    </row>
    <row r="721" spans="1:19">
      <c r="A721" s="143">
        <v>45042</v>
      </c>
      <c r="B721" s="104" t="s">
        <v>22</v>
      </c>
      <c r="C721" s="145">
        <v>3662</v>
      </c>
      <c r="D721" s="104">
        <v>75</v>
      </c>
      <c r="E721" s="106">
        <v>0.0204806116876024</v>
      </c>
      <c r="F721" s="107">
        <v>30</v>
      </c>
      <c r="G721" s="106">
        <v>0.4</v>
      </c>
      <c r="H721" s="108">
        <v>118</v>
      </c>
      <c r="I721" s="108">
        <v>55.3333333333335</v>
      </c>
      <c r="J721" s="108">
        <v>22.5999999999999</v>
      </c>
      <c r="K721" s="108">
        <v>-0.285714285714221</v>
      </c>
      <c r="L721" s="108">
        <v>17</v>
      </c>
      <c r="M721" s="108">
        <v>7.66666666666667</v>
      </c>
      <c r="N721" s="108">
        <v>10.2</v>
      </c>
      <c r="O721" s="115">
        <v>7.14285714285714</v>
      </c>
      <c r="P721" s="108">
        <v>6</v>
      </c>
      <c r="Q721" s="108">
        <v>7</v>
      </c>
      <c r="R721" s="108">
        <v>6.8</v>
      </c>
      <c r="S721" s="117">
        <v>4.57142857142857</v>
      </c>
    </row>
    <row r="722" spans="1:19">
      <c r="A722" s="143">
        <v>45042</v>
      </c>
      <c r="B722" s="104" t="s">
        <v>23</v>
      </c>
      <c r="C722" s="145">
        <v>2728</v>
      </c>
      <c r="D722" s="104">
        <v>33</v>
      </c>
      <c r="E722" s="106">
        <v>0.0120967741935484</v>
      </c>
      <c r="F722" s="107">
        <v>9</v>
      </c>
      <c r="G722" s="106">
        <v>0.272727272727273</v>
      </c>
      <c r="H722" s="108">
        <v>123</v>
      </c>
      <c r="I722" s="108">
        <v>218.333333333333</v>
      </c>
      <c r="J722" s="108">
        <v>181.4</v>
      </c>
      <c r="K722" s="108">
        <v>168.428571428572</v>
      </c>
      <c r="L722" s="108">
        <v>8</v>
      </c>
      <c r="M722" s="108">
        <v>12</v>
      </c>
      <c r="N722" s="108">
        <v>11.4</v>
      </c>
      <c r="O722" s="108">
        <v>9.42857142857143</v>
      </c>
      <c r="P722" s="108">
        <v>5</v>
      </c>
      <c r="Q722" s="116">
        <v>4.33333333333333</v>
      </c>
      <c r="R722" s="108">
        <v>3.6</v>
      </c>
      <c r="S722" s="108">
        <v>2.28571428571429</v>
      </c>
    </row>
    <row r="723" spans="1:19">
      <c r="A723" s="143">
        <v>45042</v>
      </c>
      <c r="B723" s="104" t="s">
        <v>24</v>
      </c>
      <c r="C723" s="145">
        <v>193</v>
      </c>
      <c r="D723" s="104">
        <v>0</v>
      </c>
      <c r="E723" s="106">
        <v>0</v>
      </c>
      <c r="F723" s="107">
        <v>1</v>
      </c>
      <c r="G723" s="106">
        <v>1</v>
      </c>
      <c r="H723" s="108">
        <v>-75</v>
      </c>
      <c r="I723" s="108">
        <v>-111.666666666667</v>
      </c>
      <c r="J723" s="108">
        <v>-150.6</v>
      </c>
      <c r="K723" s="108">
        <v>-178.142857142857</v>
      </c>
      <c r="L723" s="115">
        <v>-1</v>
      </c>
      <c r="M723" s="115">
        <v>-2</v>
      </c>
      <c r="N723" s="117">
        <v>-1.6</v>
      </c>
      <c r="O723" s="117">
        <v>-2.14285714285714</v>
      </c>
      <c r="P723" s="115">
        <v>1</v>
      </c>
      <c r="Q723" s="115">
        <v>0.333333333333333</v>
      </c>
      <c r="R723" s="115">
        <v>0.2</v>
      </c>
      <c r="S723" s="115">
        <v>-0.571428571428571</v>
      </c>
    </row>
    <row r="724" spans="1:19">
      <c r="A724" s="143">
        <v>45042</v>
      </c>
      <c r="B724" s="104" t="s">
        <v>25</v>
      </c>
      <c r="C724" s="145">
        <v>16572</v>
      </c>
      <c r="D724" s="104">
        <v>53</v>
      </c>
      <c r="E724" s="106">
        <v>0.00319816558049722</v>
      </c>
      <c r="F724" s="107">
        <v>26</v>
      </c>
      <c r="G724" s="106">
        <v>0.490566037735849</v>
      </c>
      <c r="H724" s="108">
        <v>1180</v>
      </c>
      <c r="I724" s="108">
        <v>2128.66666666667</v>
      </c>
      <c r="J724" s="108">
        <v>1892.4</v>
      </c>
      <c r="K724" s="108">
        <v>2233.42857142857</v>
      </c>
      <c r="L724" s="116">
        <v>23</v>
      </c>
      <c r="M724" s="115">
        <v>17</v>
      </c>
      <c r="N724" s="115">
        <v>12.6</v>
      </c>
      <c r="O724" s="115">
        <v>14.8571428571429</v>
      </c>
      <c r="P724" s="108">
        <v>13</v>
      </c>
      <c r="Q724" s="108">
        <v>13.3333333333333</v>
      </c>
      <c r="R724" s="108">
        <v>11.6</v>
      </c>
      <c r="S724" s="108">
        <v>11.2857142857143</v>
      </c>
    </row>
    <row r="725" spans="1:19">
      <c r="A725" s="143">
        <v>45042</v>
      </c>
      <c r="B725" s="104" t="s">
        <v>26</v>
      </c>
      <c r="C725" s="145">
        <v>2964</v>
      </c>
      <c r="D725" s="104">
        <v>13</v>
      </c>
      <c r="E725" s="106">
        <v>0.0043859649122807</v>
      </c>
      <c r="F725" s="107">
        <v>3</v>
      </c>
      <c r="G725" s="106">
        <v>0.230769230769231</v>
      </c>
      <c r="H725" s="108">
        <v>562</v>
      </c>
      <c r="I725" s="108">
        <v>747.333333333333</v>
      </c>
      <c r="J725" s="108">
        <v>738.4</v>
      </c>
      <c r="K725" s="108">
        <v>755.142857142857</v>
      </c>
      <c r="L725" s="108">
        <v>-7</v>
      </c>
      <c r="M725" s="108">
        <v>-5.33333333333333</v>
      </c>
      <c r="N725" s="108">
        <v>-8</v>
      </c>
      <c r="O725" s="108">
        <v>-8</v>
      </c>
      <c r="P725" s="108">
        <v>-6</v>
      </c>
      <c r="Q725" s="108">
        <v>-6</v>
      </c>
      <c r="R725" s="108">
        <v>-5.6</v>
      </c>
      <c r="S725" s="108">
        <v>-5.57142857142857</v>
      </c>
    </row>
    <row r="726" spans="1:19">
      <c r="A726" s="143">
        <v>45042</v>
      </c>
      <c r="B726" s="104" t="s">
        <v>27</v>
      </c>
      <c r="C726" s="145">
        <v>600</v>
      </c>
      <c r="D726" s="104">
        <v>10</v>
      </c>
      <c r="E726" s="106">
        <v>0.0166666666666667</v>
      </c>
      <c r="F726" s="107">
        <v>2</v>
      </c>
      <c r="G726" s="106">
        <v>0.2</v>
      </c>
      <c r="H726" s="108">
        <v>178</v>
      </c>
      <c r="I726" s="108">
        <v>193.333333333333</v>
      </c>
      <c r="J726" s="108">
        <v>144</v>
      </c>
      <c r="K726" s="108">
        <v>152.857142857143</v>
      </c>
      <c r="L726" s="108">
        <v>5</v>
      </c>
      <c r="M726" s="108">
        <v>5</v>
      </c>
      <c r="N726" s="108">
        <v>4.8</v>
      </c>
      <c r="O726" s="108">
        <v>5.85714285714286</v>
      </c>
      <c r="P726" s="108">
        <v>1</v>
      </c>
      <c r="Q726" s="108">
        <v>1</v>
      </c>
      <c r="R726" s="108">
        <v>0.6</v>
      </c>
      <c r="S726" s="108">
        <v>0.571428571428571</v>
      </c>
    </row>
    <row r="727" hidden="1" spans="1:19">
      <c r="A727" s="143">
        <v>45042</v>
      </c>
      <c r="B727" s="104" t="s">
        <v>28</v>
      </c>
      <c r="C727" s="145">
        <v>0</v>
      </c>
      <c r="D727" s="104">
        <v>0</v>
      </c>
      <c r="E727" s="106">
        <v>0</v>
      </c>
      <c r="F727" s="107">
        <v>0</v>
      </c>
      <c r="G727" s="106">
        <v>0</v>
      </c>
      <c r="H727" s="108">
        <v>0</v>
      </c>
      <c r="I727" s="108">
        <v>0</v>
      </c>
      <c r="J727" s="108">
        <v>0</v>
      </c>
      <c r="K727" s="108">
        <v>0</v>
      </c>
      <c r="L727" s="108">
        <v>-1</v>
      </c>
      <c r="M727" s="108">
        <v>-0.333333333333333</v>
      </c>
      <c r="N727" s="108">
        <v>-0.4</v>
      </c>
      <c r="O727" s="108">
        <v>-0.428571428571429</v>
      </c>
      <c r="P727" s="108">
        <v>0</v>
      </c>
      <c r="Q727" s="108">
        <v>0</v>
      </c>
      <c r="R727" s="108">
        <v>0</v>
      </c>
      <c r="S727" s="108">
        <v>0</v>
      </c>
    </row>
    <row r="728" hidden="1" spans="1:19">
      <c r="A728" s="143">
        <v>45042</v>
      </c>
      <c r="B728" s="104" t="s">
        <v>29</v>
      </c>
      <c r="C728" s="145">
        <v>0</v>
      </c>
      <c r="D728" s="104">
        <v>0</v>
      </c>
      <c r="E728" s="106">
        <v>0</v>
      </c>
      <c r="F728" s="107">
        <v>0</v>
      </c>
      <c r="G728" s="106">
        <v>0</v>
      </c>
      <c r="H728" s="108">
        <v>0</v>
      </c>
      <c r="I728" s="108">
        <v>0</v>
      </c>
      <c r="J728" s="108">
        <v>0</v>
      </c>
      <c r="K728" s="108">
        <v>0</v>
      </c>
      <c r="L728" s="108">
        <v>0</v>
      </c>
      <c r="M728" s="108">
        <v>-0.333333333333333</v>
      </c>
      <c r="N728" s="108">
        <v>-0.6</v>
      </c>
      <c r="O728" s="108">
        <v>-0.428571428571429</v>
      </c>
      <c r="P728" s="108">
        <v>0</v>
      </c>
      <c r="Q728" s="108">
        <v>0</v>
      </c>
      <c r="R728" s="108">
        <v>0</v>
      </c>
      <c r="S728" s="108">
        <v>0</v>
      </c>
    </row>
    <row r="729" hidden="1" spans="1:19">
      <c r="A729" s="143">
        <v>45042</v>
      </c>
      <c r="B729" s="104" t="s">
        <v>30</v>
      </c>
      <c r="C729" s="145">
        <v>0</v>
      </c>
      <c r="D729" s="104">
        <v>0</v>
      </c>
      <c r="E729" s="106">
        <v>0</v>
      </c>
      <c r="F729" s="107">
        <v>0</v>
      </c>
      <c r="G729" s="106">
        <v>0</v>
      </c>
      <c r="H729" s="108">
        <v>0</v>
      </c>
      <c r="I729" s="108">
        <v>0</v>
      </c>
      <c r="J729" s="108">
        <v>0</v>
      </c>
      <c r="K729" s="108">
        <v>0</v>
      </c>
      <c r="L729" s="108">
        <v>0</v>
      </c>
      <c r="M729" s="108">
        <v>0</v>
      </c>
      <c r="N729" s="108">
        <v>0</v>
      </c>
      <c r="O729" s="108">
        <v>0</v>
      </c>
      <c r="P729" s="108">
        <v>0</v>
      </c>
      <c r="Q729" s="108">
        <v>0</v>
      </c>
      <c r="R729" s="108">
        <v>0</v>
      </c>
      <c r="S729" s="108">
        <v>0</v>
      </c>
    </row>
    <row r="730" hidden="1" spans="1:19">
      <c r="A730" s="143">
        <v>45042</v>
      </c>
      <c r="B730" s="104" t="s">
        <v>31</v>
      </c>
      <c r="C730" s="145">
        <v>0</v>
      </c>
      <c r="D730" s="104">
        <v>0</v>
      </c>
      <c r="E730" s="106">
        <v>0</v>
      </c>
      <c r="F730" s="107">
        <v>0</v>
      </c>
      <c r="G730" s="106">
        <v>0</v>
      </c>
      <c r="H730" s="108">
        <v>0</v>
      </c>
      <c r="I730" s="108">
        <v>0</v>
      </c>
      <c r="J730" s="108">
        <v>0</v>
      </c>
      <c r="K730" s="108">
        <v>0</v>
      </c>
      <c r="L730" s="108">
        <v>0</v>
      </c>
      <c r="M730" s="108">
        <v>-0.333333333333333</v>
      </c>
      <c r="N730" s="108">
        <v>-0.2</v>
      </c>
      <c r="O730" s="108">
        <v>-0.142857142857143</v>
      </c>
      <c r="P730" s="108">
        <v>0</v>
      </c>
      <c r="Q730" s="108">
        <v>0</v>
      </c>
      <c r="R730" s="108">
        <v>-0.2</v>
      </c>
      <c r="S730" s="108">
        <v>-0.142857142857143</v>
      </c>
    </row>
    <row r="731" hidden="1" spans="1:19">
      <c r="A731" s="143">
        <v>45042</v>
      </c>
      <c r="B731" s="104" t="s">
        <v>32</v>
      </c>
      <c r="C731" s="145">
        <v>0</v>
      </c>
      <c r="D731" s="104">
        <v>0</v>
      </c>
      <c r="E731" s="106">
        <v>0</v>
      </c>
      <c r="F731" s="107">
        <v>0</v>
      </c>
      <c r="G731" s="106">
        <v>0</v>
      </c>
      <c r="H731" s="108">
        <v>0</v>
      </c>
      <c r="I731" s="108">
        <v>0</v>
      </c>
      <c r="J731" s="108">
        <v>0</v>
      </c>
      <c r="K731" s="108">
        <v>0</v>
      </c>
      <c r="L731" s="108">
        <v>0</v>
      </c>
      <c r="M731" s="108">
        <v>0</v>
      </c>
      <c r="N731" s="108">
        <v>0</v>
      </c>
      <c r="O731" s="108">
        <v>0</v>
      </c>
      <c r="P731" s="108">
        <v>0</v>
      </c>
      <c r="Q731" s="108">
        <v>0</v>
      </c>
      <c r="R731" s="108">
        <v>0</v>
      </c>
      <c r="S731" s="108">
        <v>0</v>
      </c>
    </row>
    <row r="732" hidden="1" spans="1:19">
      <c r="A732" s="143">
        <v>45042</v>
      </c>
      <c r="B732" s="104" t="s">
        <v>33</v>
      </c>
      <c r="C732" s="145">
        <v>0</v>
      </c>
      <c r="D732" s="104">
        <v>0</v>
      </c>
      <c r="E732" s="106">
        <v>0</v>
      </c>
      <c r="F732" s="107">
        <v>0</v>
      </c>
      <c r="G732" s="106">
        <v>0</v>
      </c>
      <c r="H732" s="108">
        <v>0</v>
      </c>
      <c r="I732" s="108">
        <v>0</v>
      </c>
      <c r="J732" s="108">
        <v>0</v>
      </c>
      <c r="K732" s="108">
        <v>0</v>
      </c>
      <c r="L732" s="108">
        <v>0</v>
      </c>
      <c r="M732" s="108">
        <v>0</v>
      </c>
      <c r="N732" s="108">
        <v>0</v>
      </c>
      <c r="O732" s="108">
        <v>0</v>
      </c>
      <c r="P732" s="108">
        <v>0</v>
      </c>
      <c r="Q732" s="108">
        <v>0</v>
      </c>
      <c r="R732" s="108">
        <v>0</v>
      </c>
      <c r="S732" s="108">
        <v>0</v>
      </c>
    </row>
    <row r="733" hidden="1" spans="1:19">
      <c r="A733" s="143">
        <v>45042</v>
      </c>
      <c r="B733" s="104" t="s">
        <v>34</v>
      </c>
      <c r="C733" s="145">
        <v>0</v>
      </c>
      <c r="D733" s="104">
        <v>0</v>
      </c>
      <c r="E733" s="106">
        <v>0</v>
      </c>
      <c r="F733" s="107">
        <v>0</v>
      </c>
      <c r="G733" s="106">
        <v>0</v>
      </c>
      <c r="H733" s="108">
        <v>0</v>
      </c>
      <c r="I733" s="108">
        <v>0</v>
      </c>
      <c r="J733" s="108">
        <v>0</v>
      </c>
      <c r="K733" s="108">
        <v>0</v>
      </c>
      <c r="L733" s="108">
        <v>0</v>
      </c>
      <c r="M733" s="108">
        <v>0</v>
      </c>
      <c r="N733" s="108">
        <v>0</v>
      </c>
      <c r="O733" s="108">
        <v>0</v>
      </c>
      <c r="P733" s="108">
        <v>0</v>
      </c>
      <c r="Q733" s="108">
        <v>0</v>
      </c>
      <c r="R733" s="108">
        <v>0</v>
      </c>
      <c r="S733" s="108">
        <v>0</v>
      </c>
    </row>
    <row r="734" hidden="1" spans="1:19">
      <c r="A734" s="143">
        <v>45042</v>
      </c>
      <c r="B734" s="104" t="s">
        <v>35</v>
      </c>
      <c r="C734" s="145">
        <v>0</v>
      </c>
      <c r="D734" s="104">
        <v>0</v>
      </c>
      <c r="E734" s="106">
        <v>0</v>
      </c>
      <c r="F734" s="107">
        <v>0</v>
      </c>
      <c r="G734" s="106">
        <v>0</v>
      </c>
      <c r="H734" s="108">
        <v>0</v>
      </c>
      <c r="I734" s="108">
        <v>0</v>
      </c>
      <c r="J734" s="108">
        <v>0</v>
      </c>
      <c r="K734" s="108">
        <v>0</v>
      </c>
      <c r="L734" s="108">
        <v>0</v>
      </c>
      <c r="M734" s="108">
        <v>0</v>
      </c>
      <c r="N734" s="108">
        <v>0</v>
      </c>
      <c r="O734" s="108">
        <v>0</v>
      </c>
      <c r="P734" s="108">
        <v>0</v>
      </c>
      <c r="Q734" s="108">
        <v>0</v>
      </c>
      <c r="R734" s="108">
        <v>0</v>
      </c>
      <c r="S734" s="108">
        <v>0</v>
      </c>
    </row>
    <row r="735" hidden="1" spans="1:19">
      <c r="A735" s="143">
        <v>45042</v>
      </c>
      <c r="B735" s="104" t="s">
        <v>36</v>
      </c>
      <c r="C735" s="145">
        <v>0</v>
      </c>
      <c r="D735" s="104">
        <v>0</v>
      </c>
      <c r="E735" s="106">
        <v>0</v>
      </c>
      <c r="F735" s="107">
        <v>0</v>
      </c>
      <c r="G735" s="106">
        <v>0</v>
      </c>
      <c r="H735" s="108">
        <v>0</v>
      </c>
      <c r="I735" s="108">
        <v>0</v>
      </c>
      <c r="J735" s="108">
        <v>0</v>
      </c>
      <c r="K735" s="108">
        <v>0</v>
      </c>
      <c r="L735" s="108">
        <v>0</v>
      </c>
      <c r="M735" s="108">
        <v>0</v>
      </c>
      <c r="N735" s="108">
        <v>0</v>
      </c>
      <c r="O735" s="108">
        <v>0</v>
      </c>
      <c r="P735" s="108">
        <v>0</v>
      </c>
      <c r="Q735" s="108">
        <v>0</v>
      </c>
      <c r="R735" s="108">
        <v>0</v>
      </c>
      <c r="S735" s="108">
        <v>0</v>
      </c>
    </row>
    <row r="736" hidden="1" spans="1:19">
      <c r="A736" s="143">
        <v>45042</v>
      </c>
      <c r="B736" s="104" t="s">
        <v>37</v>
      </c>
      <c r="C736" s="145">
        <v>0</v>
      </c>
      <c r="D736" s="104">
        <v>0</v>
      </c>
      <c r="E736" s="106">
        <v>0</v>
      </c>
      <c r="F736" s="107">
        <v>0</v>
      </c>
      <c r="G736" s="106">
        <v>0</v>
      </c>
      <c r="H736" s="108">
        <v>0</v>
      </c>
      <c r="I736" s="108">
        <v>0</v>
      </c>
      <c r="J736" s="108">
        <v>0</v>
      </c>
      <c r="K736" s="108">
        <v>0</v>
      </c>
      <c r="L736" s="108">
        <v>0</v>
      </c>
      <c r="M736" s="108">
        <v>0</v>
      </c>
      <c r="N736" s="108">
        <v>0</v>
      </c>
      <c r="O736" s="108">
        <v>0</v>
      </c>
      <c r="P736" s="108">
        <v>0</v>
      </c>
      <c r="Q736" s="108">
        <v>0</v>
      </c>
      <c r="R736" s="108">
        <v>0</v>
      </c>
      <c r="S736" s="108">
        <v>0</v>
      </c>
    </row>
    <row r="737" hidden="1" spans="1:19">
      <c r="A737" s="143">
        <v>45042</v>
      </c>
      <c r="B737" s="104" t="s">
        <v>38</v>
      </c>
      <c r="C737" s="145">
        <v>0</v>
      </c>
      <c r="D737" s="104">
        <v>0</v>
      </c>
      <c r="E737" s="106">
        <v>0</v>
      </c>
      <c r="F737" s="107">
        <v>0</v>
      </c>
      <c r="G737" s="106">
        <v>0</v>
      </c>
      <c r="H737" s="108">
        <v>0</v>
      </c>
      <c r="I737" s="108">
        <v>0</v>
      </c>
      <c r="J737" s="108">
        <v>0</v>
      </c>
      <c r="K737" s="108">
        <v>0</v>
      </c>
      <c r="L737" s="108">
        <v>0</v>
      </c>
      <c r="M737" s="108">
        <v>0</v>
      </c>
      <c r="N737" s="108">
        <v>0</v>
      </c>
      <c r="O737" s="108">
        <v>0</v>
      </c>
      <c r="P737" s="108">
        <v>0</v>
      </c>
      <c r="Q737" s="108">
        <v>0</v>
      </c>
      <c r="R737" s="108">
        <v>0</v>
      </c>
      <c r="S737" s="108">
        <v>0</v>
      </c>
    </row>
    <row r="738" spans="1:19">
      <c r="A738" s="143">
        <v>45042</v>
      </c>
      <c r="B738" s="111" t="s">
        <v>39</v>
      </c>
      <c r="C738" s="112">
        <v>28998</v>
      </c>
      <c r="D738" s="112">
        <v>272</v>
      </c>
      <c r="E738" s="113">
        <v>0.00937995723843024</v>
      </c>
      <c r="F738" s="112">
        <v>105</v>
      </c>
      <c r="G738" s="113">
        <v>0.386029411764706</v>
      </c>
      <c r="H738" s="108"/>
      <c r="I738" s="108"/>
      <c r="J738" s="108"/>
      <c r="K738" s="108"/>
      <c r="L738" s="108"/>
      <c r="M738" s="108"/>
      <c r="N738" s="108"/>
      <c r="O738" s="108"/>
      <c r="P738" s="108"/>
      <c r="Q738" s="108"/>
      <c r="R738" s="108"/>
      <c r="S738" s="108"/>
    </row>
    <row r="739" spans="1:19">
      <c r="A739" s="143">
        <v>45043</v>
      </c>
      <c r="B739" s="104" t="s">
        <v>17</v>
      </c>
      <c r="C739" s="105">
        <v>687</v>
      </c>
      <c r="D739" s="104">
        <v>53</v>
      </c>
      <c r="E739" s="106">
        <v>0.0771470160116448</v>
      </c>
      <c r="F739" s="107">
        <v>7</v>
      </c>
      <c r="G739" s="106">
        <v>0.132075471698113</v>
      </c>
      <c r="H739" s="108">
        <v>71</v>
      </c>
      <c r="I739" s="108">
        <v>116.333333333333</v>
      </c>
      <c r="J739" s="108">
        <v>105</v>
      </c>
      <c r="K739" s="108">
        <v>94</v>
      </c>
      <c r="L739" s="108">
        <v>17</v>
      </c>
      <c r="M739" s="108">
        <v>16</v>
      </c>
      <c r="N739" s="108">
        <v>19.8</v>
      </c>
      <c r="O739" s="108">
        <v>24.1428571428571</v>
      </c>
      <c r="P739" s="108">
        <v>-4</v>
      </c>
      <c r="Q739" s="108">
        <v>-2</v>
      </c>
      <c r="R739" s="108">
        <v>-0.4</v>
      </c>
      <c r="S739" s="108">
        <v>0.571428571428571</v>
      </c>
    </row>
    <row r="740" spans="1:19">
      <c r="A740" s="143">
        <v>45043</v>
      </c>
      <c r="B740" s="104" t="s">
        <v>19</v>
      </c>
      <c r="C740" s="107">
        <v>710</v>
      </c>
      <c r="D740" s="104">
        <v>11</v>
      </c>
      <c r="E740" s="106">
        <v>0.0154929577464789</v>
      </c>
      <c r="F740" s="107">
        <v>6</v>
      </c>
      <c r="G740" s="106">
        <v>0.545454545454545</v>
      </c>
      <c r="H740" s="108">
        <v>-332</v>
      </c>
      <c r="I740" s="108">
        <v>-1936</v>
      </c>
      <c r="J740" s="108">
        <v>-2212.4</v>
      </c>
      <c r="K740" s="108">
        <v>-2128</v>
      </c>
      <c r="L740" s="108">
        <v>-13</v>
      </c>
      <c r="M740" s="108">
        <v>-32.6666666666667</v>
      </c>
      <c r="N740" s="108">
        <v>-33</v>
      </c>
      <c r="O740" s="108">
        <v>-31.7142857142857</v>
      </c>
      <c r="P740" s="108">
        <v>-8</v>
      </c>
      <c r="Q740" s="108">
        <v>-12.6666666666667</v>
      </c>
      <c r="R740" s="108">
        <v>-11.6</v>
      </c>
      <c r="S740" s="115">
        <v>-12.1428571428571</v>
      </c>
    </row>
    <row r="741" spans="1:19">
      <c r="A741" s="143">
        <v>45043</v>
      </c>
      <c r="B741" s="104" t="s">
        <v>21</v>
      </c>
      <c r="C741" s="145">
        <v>603</v>
      </c>
      <c r="D741" s="104">
        <v>37</v>
      </c>
      <c r="E741" s="106">
        <v>0.0613598673300166</v>
      </c>
      <c r="F741" s="107">
        <v>9</v>
      </c>
      <c r="G741" s="106">
        <v>0.243243243243243</v>
      </c>
      <c r="H741" s="108">
        <v>-18</v>
      </c>
      <c r="I741" s="108">
        <v>26.6666666666666</v>
      </c>
      <c r="J741" s="108">
        <v>5.20000000000005</v>
      </c>
      <c r="K741" s="108">
        <v>21.1428571428571</v>
      </c>
      <c r="L741" s="108">
        <v>9</v>
      </c>
      <c r="M741" s="108">
        <v>11.6666666666667</v>
      </c>
      <c r="N741" s="108">
        <v>10</v>
      </c>
      <c r="O741" s="108">
        <v>10.8571428571429</v>
      </c>
      <c r="P741" s="108">
        <v>0</v>
      </c>
      <c r="Q741" s="108">
        <v>0.666666666666666</v>
      </c>
      <c r="R741" s="108">
        <v>0.199999999999999</v>
      </c>
      <c r="S741" s="108">
        <v>-0.142857142857142</v>
      </c>
    </row>
    <row r="742" spans="1:19">
      <c r="A742" s="143">
        <v>45043</v>
      </c>
      <c r="B742" s="104" t="s">
        <v>22</v>
      </c>
      <c r="C742" s="145">
        <v>3543</v>
      </c>
      <c r="D742" s="104">
        <v>66</v>
      </c>
      <c r="E742" s="106">
        <v>0.0186282811176969</v>
      </c>
      <c r="F742" s="107">
        <v>23</v>
      </c>
      <c r="G742" s="106">
        <v>0.348484848484849</v>
      </c>
      <c r="H742" s="108">
        <v>-119</v>
      </c>
      <c r="I742" s="108">
        <v>-56</v>
      </c>
      <c r="J742" s="108">
        <v>-80.4000000000001</v>
      </c>
      <c r="K742" s="108">
        <v>-103.285714285714</v>
      </c>
      <c r="L742" s="108">
        <v>-9</v>
      </c>
      <c r="M742" s="108">
        <v>-3.33333333333333</v>
      </c>
      <c r="N742" s="108">
        <v>0.200000000000003</v>
      </c>
      <c r="O742" s="115">
        <v>0.428571428571431</v>
      </c>
      <c r="P742" s="108">
        <v>-7</v>
      </c>
      <c r="Q742" s="108">
        <v>-4</v>
      </c>
      <c r="R742" s="108">
        <v>-1.2</v>
      </c>
      <c r="S742" s="117">
        <v>-1.71428571428572</v>
      </c>
    </row>
    <row r="743" spans="1:19">
      <c r="A743" s="143">
        <v>45043</v>
      </c>
      <c r="B743" s="104" t="s">
        <v>23</v>
      </c>
      <c r="C743" s="145">
        <v>2664</v>
      </c>
      <c r="D743" s="104">
        <v>29</v>
      </c>
      <c r="E743" s="106">
        <v>0.0108858858858859</v>
      </c>
      <c r="F743" s="107">
        <v>3</v>
      </c>
      <c r="G743" s="106">
        <v>0.103448275862069</v>
      </c>
      <c r="H743" s="108">
        <v>-64</v>
      </c>
      <c r="I743" s="108">
        <v>67</v>
      </c>
      <c r="J743" s="108">
        <v>94.1999999999998</v>
      </c>
      <c r="K743" s="108">
        <v>78.8571428571427</v>
      </c>
      <c r="L743" s="108">
        <v>-4</v>
      </c>
      <c r="M743" s="108">
        <v>1.66666666666667</v>
      </c>
      <c r="N743" s="108">
        <v>5.4</v>
      </c>
      <c r="O743" s="108">
        <v>4.28571428571428</v>
      </c>
      <c r="P743" s="108">
        <v>-6</v>
      </c>
      <c r="Q743" s="116">
        <v>-4</v>
      </c>
      <c r="R743" s="108">
        <v>-3</v>
      </c>
      <c r="S743" s="108">
        <v>-3.42857142857143</v>
      </c>
    </row>
    <row r="744" spans="1:19">
      <c r="A744" s="143">
        <v>45043</v>
      </c>
      <c r="B744" s="104" t="s">
        <v>24</v>
      </c>
      <c r="C744" s="145">
        <v>220</v>
      </c>
      <c r="D744" s="104">
        <v>3</v>
      </c>
      <c r="E744" s="106">
        <v>0.0136363636363636</v>
      </c>
      <c r="F744" s="107">
        <v>0</v>
      </c>
      <c r="G744" s="106">
        <v>0</v>
      </c>
      <c r="H744" s="108">
        <v>27</v>
      </c>
      <c r="I744" s="108">
        <v>-32</v>
      </c>
      <c r="J744" s="108">
        <v>-87.8</v>
      </c>
      <c r="K744" s="108">
        <v>-116.571428571429</v>
      </c>
      <c r="L744" s="115">
        <v>3</v>
      </c>
      <c r="M744" s="115">
        <v>2</v>
      </c>
      <c r="N744" s="117">
        <v>1.6</v>
      </c>
      <c r="O744" s="117">
        <v>1.42857142857143</v>
      </c>
      <c r="P744" s="115">
        <v>-1</v>
      </c>
      <c r="Q744" s="115">
        <v>-0.333333333333333</v>
      </c>
      <c r="R744" s="115">
        <v>-0.8</v>
      </c>
      <c r="S744" s="115">
        <v>-1</v>
      </c>
    </row>
    <row r="745" spans="1:19">
      <c r="A745" s="143">
        <v>45043</v>
      </c>
      <c r="B745" s="104" t="s">
        <v>25</v>
      </c>
      <c r="C745" s="145">
        <v>14948</v>
      </c>
      <c r="D745" s="104">
        <v>65</v>
      </c>
      <c r="E745" s="106">
        <v>0.00434840781375435</v>
      </c>
      <c r="F745" s="107">
        <v>19</v>
      </c>
      <c r="G745" s="106">
        <v>0.292307692307692</v>
      </c>
      <c r="H745" s="108">
        <v>-1624</v>
      </c>
      <c r="I745" s="108">
        <v>-69.3333333333339</v>
      </c>
      <c r="J745" s="108">
        <v>-180.799999999999</v>
      </c>
      <c r="K745" s="108">
        <v>128</v>
      </c>
      <c r="L745" s="116">
        <v>12</v>
      </c>
      <c r="M745" s="115">
        <v>25.3333333333333</v>
      </c>
      <c r="N745" s="115">
        <v>24.2</v>
      </c>
      <c r="O745" s="115">
        <v>24.7142857142857</v>
      </c>
      <c r="P745" s="108">
        <v>-7</v>
      </c>
      <c r="Q745" s="108">
        <v>2.66666666666667</v>
      </c>
      <c r="R745" s="108">
        <v>2.4</v>
      </c>
      <c r="S745" s="108">
        <v>2.85714285714286</v>
      </c>
    </row>
    <row r="746" spans="1:19">
      <c r="A746" s="143">
        <v>45043</v>
      </c>
      <c r="B746" s="104" t="s">
        <v>26</v>
      </c>
      <c r="C746" s="145">
        <v>2588</v>
      </c>
      <c r="D746" s="104">
        <v>16</v>
      </c>
      <c r="E746" s="106">
        <v>0.00618238021638331</v>
      </c>
      <c r="F746" s="107">
        <v>8</v>
      </c>
      <c r="G746" s="106">
        <v>0.5</v>
      </c>
      <c r="H746" s="108">
        <v>-376</v>
      </c>
      <c r="I746" s="108">
        <v>75.3333333333335</v>
      </c>
      <c r="J746" s="108">
        <v>226</v>
      </c>
      <c r="K746" s="108">
        <v>248</v>
      </c>
      <c r="L746" s="108">
        <v>3</v>
      </c>
      <c r="M746" s="108">
        <v>1.33333333333333</v>
      </c>
      <c r="N746" s="108">
        <v>-2</v>
      </c>
      <c r="O746" s="108">
        <v>-4.71428571428572</v>
      </c>
      <c r="P746" s="108">
        <v>5</v>
      </c>
      <c r="Q746" s="108">
        <v>0.666666666666667</v>
      </c>
      <c r="R746" s="108">
        <v>0.4</v>
      </c>
      <c r="S746" s="108">
        <v>-0.428571428571429</v>
      </c>
    </row>
    <row r="747" spans="1:19">
      <c r="A747" s="143">
        <v>45043</v>
      </c>
      <c r="B747" s="104" t="s">
        <v>27</v>
      </c>
      <c r="C747" s="145">
        <v>1028</v>
      </c>
      <c r="D747" s="104">
        <v>11</v>
      </c>
      <c r="E747" s="106">
        <v>0.0107003891050584</v>
      </c>
      <c r="F747" s="107">
        <v>5</v>
      </c>
      <c r="G747" s="106">
        <v>0.454545454545455</v>
      </c>
      <c r="H747" s="108">
        <v>428</v>
      </c>
      <c r="I747" s="108">
        <v>566</v>
      </c>
      <c r="J747" s="108">
        <v>554.4</v>
      </c>
      <c r="K747" s="108">
        <v>552.571428571429</v>
      </c>
      <c r="L747" s="108">
        <v>1</v>
      </c>
      <c r="M747" s="108">
        <v>5.33333333333333</v>
      </c>
      <c r="N747" s="108">
        <v>4.6</v>
      </c>
      <c r="O747" s="108">
        <v>5.42857142857143</v>
      </c>
      <c r="P747" s="108">
        <v>3</v>
      </c>
      <c r="Q747" s="108">
        <v>4</v>
      </c>
      <c r="R747" s="108">
        <v>3.6</v>
      </c>
      <c r="S747" s="108">
        <v>3.28571428571429</v>
      </c>
    </row>
    <row r="748" hidden="1" spans="1:19">
      <c r="A748" s="143">
        <v>45043</v>
      </c>
      <c r="B748" s="104" t="s">
        <v>28</v>
      </c>
      <c r="C748" s="145">
        <v>0</v>
      </c>
      <c r="D748" s="104">
        <v>0</v>
      </c>
      <c r="E748" s="106">
        <v>0</v>
      </c>
      <c r="F748" s="107">
        <v>0</v>
      </c>
      <c r="G748" s="106">
        <v>0</v>
      </c>
      <c r="H748" s="108">
        <v>0</v>
      </c>
      <c r="I748" s="108">
        <v>0</v>
      </c>
      <c r="J748" s="108">
        <v>0</v>
      </c>
      <c r="K748" s="108">
        <v>0</v>
      </c>
      <c r="L748" s="108">
        <v>0</v>
      </c>
      <c r="M748" s="108">
        <v>-0.333333333333333</v>
      </c>
      <c r="N748" s="108">
        <v>-0.2</v>
      </c>
      <c r="O748" s="108">
        <v>-0.285714285714286</v>
      </c>
      <c r="P748" s="108">
        <v>0</v>
      </c>
      <c r="Q748" s="108">
        <v>0</v>
      </c>
      <c r="R748" s="108">
        <v>0</v>
      </c>
      <c r="S748" s="108">
        <v>0</v>
      </c>
    </row>
    <row r="749" hidden="1" spans="1:19">
      <c r="A749" s="143">
        <v>45043</v>
      </c>
      <c r="B749" s="104" t="s">
        <v>29</v>
      </c>
      <c r="C749" s="145">
        <v>1</v>
      </c>
      <c r="D749" s="104">
        <v>0</v>
      </c>
      <c r="E749" s="106">
        <v>0</v>
      </c>
      <c r="F749" s="107">
        <v>0</v>
      </c>
      <c r="G749" s="106">
        <v>0</v>
      </c>
      <c r="H749" s="108">
        <v>1</v>
      </c>
      <c r="I749" s="108">
        <v>1</v>
      </c>
      <c r="J749" s="108">
        <v>1</v>
      </c>
      <c r="K749" s="108">
        <v>1</v>
      </c>
      <c r="L749" s="108">
        <v>0</v>
      </c>
      <c r="M749" s="108">
        <v>-0.333333333333333</v>
      </c>
      <c r="N749" s="108">
        <v>-0.4</v>
      </c>
      <c r="O749" s="108">
        <v>-0.428571428571429</v>
      </c>
      <c r="P749" s="108">
        <v>0</v>
      </c>
      <c r="Q749" s="108">
        <v>0</v>
      </c>
      <c r="R749" s="108">
        <v>0</v>
      </c>
      <c r="S749" s="108">
        <v>0</v>
      </c>
    </row>
    <row r="750" hidden="1" spans="1:19">
      <c r="A750" s="143">
        <v>45043</v>
      </c>
      <c r="B750" s="104" t="s">
        <v>30</v>
      </c>
      <c r="C750" s="145">
        <v>0</v>
      </c>
      <c r="D750" s="104">
        <v>0</v>
      </c>
      <c r="E750" s="106">
        <v>0</v>
      </c>
      <c r="F750" s="107">
        <v>0</v>
      </c>
      <c r="G750" s="106">
        <v>0</v>
      </c>
      <c r="H750" s="108">
        <v>0</v>
      </c>
      <c r="I750" s="108">
        <v>0</v>
      </c>
      <c r="J750" s="108">
        <v>0</v>
      </c>
      <c r="K750" s="108">
        <v>0</v>
      </c>
      <c r="L750" s="108">
        <v>0</v>
      </c>
      <c r="M750" s="108">
        <v>0</v>
      </c>
      <c r="N750" s="108">
        <v>0</v>
      </c>
      <c r="O750" s="108">
        <v>0</v>
      </c>
      <c r="P750" s="108">
        <v>0</v>
      </c>
      <c r="Q750" s="108">
        <v>0</v>
      </c>
      <c r="R750" s="108">
        <v>0</v>
      </c>
      <c r="S750" s="108">
        <v>0</v>
      </c>
    </row>
    <row r="751" hidden="1" spans="1:19">
      <c r="A751" s="143">
        <v>45043</v>
      </c>
      <c r="B751" s="104" t="s">
        <v>31</v>
      </c>
      <c r="C751" s="145">
        <v>0</v>
      </c>
      <c r="D751" s="104">
        <v>0</v>
      </c>
      <c r="E751" s="106">
        <v>0</v>
      </c>
      <c r="F751" s="107">
        <v>0</v>
      </c>
      <c r="G751" s="106">
        <v>0</v>
      </c>
      <c r="H751" s="108">
        <v>0</v>
      </c>
      <c r="I751" s="108">
        <v>0</v>
      </c>
      <c r="J751" s="108">
        <v>0</v>
      </c>
      <c r="K751" s="108">
        <v>0</v>
      </c>
      <c r="L751" s="108">
        <v>0</v>
      </c>
      <c r="M751" s="108">
        <v>0</v>
      </c>
      <c r="N751" s="108">
        <v>-0.2</v>
      </c>
      <c r="O751" s="108">
        <v>-0.142857142857143</v>
      </c>
      <c r="P751" s="108">
        <v>0</v>
      </c>
      <c r="Q751" s="108">
        <v>0</v>
      </c>
      <c r="R751" s="108">
        <v>-0.2</v>
      </c>
      <c r="S751" s="108">
        <v>-0.142857142857143</v>
      </c>
    </row>
    <row r="752" hidden="1" spans="1:19">
      <c r="A752" s="143">
        <v>45043</v>
      </c>
      <c r="B752" s="104" t="s">
        <v>32</v>
      </c>
      <c r="C752" s="145">
        <v>0</v>
      </c>
      <c r="D752" s="104">
        <v>0</v>
      </c>
      <c r="E752" s="106">
        <v>0</v>
      </c>
      <c r="F752" s="107">
        <v>0</v>
      </c>
      <c r="G752" s="106">
        <v>0</v>
      </c>
      <c r="H752" s="108">
        <v>0</v>
      </c>
      <c r="I752" s="108">
        <v>0</v>
      </c>
      <c r="J752" s="108">
        <v>0</v>
      </c>
      <c r="K752" s="108">
        <v>0</v>
      </c>
      <c r="L752" s="108">
        <v>0</v>
      </c>
      <c r="M752" s="108">
        <v>0</v>
      </c>
      <c r="N752" s="108">
        <v>0</v>
      </c>
      <c r="O752" s="108">
        <v>0</v>
      </c>
      <c r="P752" s="108">
        <v>0</v>
      </c>
      <c r="Q752" s="108">
        <v>0</v>
      </c>
      <c r="R752" s="108">
        <v>0</v>
      </c>
      <c r="S752" s="108">
        <v>0</v>
      </c>
    </row>
    <row r="753" hidden="1" spans="1:19">
      <c r="A753" s="143">
        <v>45043</v>
      </c>
      <c r="B753" s="104" t="s">
        <v>33</v>
      </c>
      <c r="C753" s="145">
        <v>0</v>
      </c>
      <c r="D753" s="104">
        <v>0</v>
      </c>
      <c r="E753" s="106">
        <v>0</v>
      </c>
      <c r="F753" s="107">
        <v>0</v>
      </c>
      <c r="G753" s="106">
        <v>0</v>
      </c>
      <c r="H753" s="108">
        <v>0</v>
      </c>
      <c r="I753" s="108">
        <v>0</v>
      </c>
      <c r="J753" s="108">
        <v>0</v>
      </c>
      <c r="K753" s="108">
        <v>0</v>
      </c>
      <c r="L753" s="108">
        <v>0</v>
      </c>
      <c r="M753" s="108">
        <v>0</v>
      </c>
      <c r="N753" s="108">
        <v>0</v>
      </c>
      <c r="O753" s="108">
        <v>0</v>
      </c>
      <c r="P753" s="108">
        <v>0</v>
      </c>
      <c r="Q753" s="108">
        <v>0</v>
      </c>
      <c r="R753" s="108">
        <v>0</v>
      </c>
      <c r="S753" s="108">
        <v>0</v>
      </c>
    </row>
    <row r="754" hidden="1" spans="1:19">
      <c r="A754" s="143">
        <v>45043</v>
      </c>
      <c r="B754" s="104" t="s">
        <v>34</v>
      </c>
      <c r="C754" s="145">
        <v>0</v>
      </c>
      <c r="D754" s="104">
        <v>0</v>
      </c>
      <c r="E754" s="106">
        <v>0</v>
      </c>
      <c r="F754" s="107">
        <v>0</v>
      </c>
      <c r="G754" s="106">
        <v>0</v>
      </c>
      <c r="H754" s="108">
        <v>0</v>
      </c>
      <c r="I754" s="108">
        <v>0</v>
      </c>
      <c r="J754" s="108">
        <v>0</v>
      </c>
      <c r="K754" s="108">
        <v>0</v>
      </c>
      <c r="L754" s="108">
        <v>0</v>
      </c>
      <c r="M754" s="108">
        <v>0</v>
      </c>
      <c r="N754" s="108">
        <v>0</v>
      </c>
      <c r="O754" s="108">
        <v>0</v>
      </c>
      <c r="P754" s="108">
        <v>0</v>
      </c>
      <c r="Q754" s="108">
        <v>0</v>
      </c>
      <c r="R754" s="108">
        <v>0</v>
      </c>
      <c r="S754" s="108">
        <v>0</v>
      </c>
    </row>
    <row r="755" hidden="1" spans="1:19">
      <c r="A755" s="143">
        <v>45043</v>
      </c>
      <c r="B755" s="104" t="s">
        <v>35</v>
      </c>
      <c r="C755" s="145">
        <v>0</v>
      </c>
      <c r="D755" s="104">
        <v>0</v>
      </c>
      <c r="E755" s="106">
        <v>0</v>
      </c>
      <c r="F755" s="107">
        <v>0</v>
      </c>
      <c r="G755" s="106">
        <v>0</v>
      </c>
      <c r="H755" s="108">
        <v>0</v>
      </c>
      <c r="I755" s="108">
        <v>0</v>
      </c>
      <c r="J755" s="108">
        <v>0</v>
      </c>
      <c r="K755" s="108">
        <v>0</v>
      </c>
      <c r="L755" s="108">
        <v>0</v>
      </c>
      <c r="M755" s="108">
        <v>0</v>
      </c>
      <c r="N755" s="108">
        <v>0</v>
      </c>
      <c r="O755" s="108">
        <v>0</v>
      </c>
      <c r="P755" s="108">
        <v>0</v>
      </c>
      <c r="Q755" s="108">
        <v>0</v>
      </c>
      <c r="R755" s="108">
        <v>0</v>
      </c>
      <c r="S755" s="108">
        <v>0</v>
      </c>
    </row>
    <row r="756" hidden="1" spans="1:19">
      <c r="A756" s="143">
        <v>45043</v>
      </c>
      <c r="B756" s="104" t="s">
        <v>36</v>
      </c>
      <c r="C756" s="145">
        <v>0</v>
      </c>
      <c r="D756" s="104">
        <v>0</v>
      </c>
      <c r="E756" s="106">
        <v>0</v>
      </c>
      <c r="F756" s="107">
        <v>0</v>
      </c>
      <c r="G756" s="106">
        <v>0</v>
      </c>
      <c r="H756" s="108">
        <v>0</v>
      </c>
      <c r="I756" s="108">
        <v>0</v>
      </c>
      <c r="J756" s="108">
        <v>0</v>
      </c>
      <c r="K756" s="108">
        <v>0</v>
      </c>
      <c r="L756" s="108">
        <v>0</v>
      </c>
      <c r="M756" s="108">
        <v>0</v>
      </c>
      <c r="N756" s="108">
        <v>0</v>
      </c>
      <c r="O756" s="108">
        <v>0</v>
      </c>
      <c r="P756" s="108">
        <v>0</v>
      </c>
      <c r="Q756" s="108">
        <v>0</v>
      </c>
      <c r="R756" s="108">
        <v>0</v>
      </c>
      <c r="S756" s="108">
        <v>0</v>
      </c>
    </row>
    <row r="757" hidden="1" spans="1:19">
      <c r="A757" s="143">
        <v>45043</v>
      </c>
      <c r="B757" s="104" t="s">
        <v>37</v>
      </c>
      <c r="C757" s="145">
        <v>0</v>
      </c>
      <c r="D757" s="104">
        <v>0</v>
      </c>
      <c r="E757" s="106">
        <v>0</v>
      </c>
      <c r="F757" s="107">
        <v>0</v>
      </c>
      <c r="G757" s="106">
        <v>0</v>
      </c>
      <c r="H757" s="108">
        <v>0</v>
      </c>
      <c r="I757" s="108">
        <v>0</v>
      </c>
      <c r="J757" s="108">
        <v>0</v>
      </c>
      <c r="K757" s="108">
        <v>0</v>
      </c>
      <c r="L757" s="108">
        <v>0</v>
      </c>
      <c r="M757" s="108">
        <v>0</v>
      </c>
      <c r="N757" s="108">
        <v>0</v>
      </c>
      <c r="O757" s="108">
        <v>0</v>
      </c>
      <c r="P757" s="108">
        <v>0</v>
      </c>
      <c r="Q757" s="108">
        <v>0</v>
      </c>
      <c r="R757" s="108">
        <v>0</v>
      </c>
      <c r="S757" s="108">
        <v>0</v>
      </c>
    </row>
    <row r="758" hidden="1" spans="1:19">
      <c r="A758" s="143">
        <v>45043</v>
      </c>
      <c r="B758" s="104" t="s">
        <v>38</v>
      </c>
      <c r="C758" s="145">
        <v>0</v>
      </c>
      <c r="D758" s="104">
        <v>0</v>
      </c>
      <c r="E758" s="106">
        <v>0</v>
      </c>
      <c r="F758" s="107">
        <v>0</v>
      </c>
      <c r="G758" s="106">
        <v>0</v>
      </c>
      <c r="H758" s="108">
        <v>0</v>
      </c>
      <c r="I758" s="108">
        <v>0</v>
      </c>
      <c r="J758" s="108">
        <v>0</v>
      </c>
      <c r="K758" s="108">
        <v>0</v>
      </c>
      <c r="L758" s="108">
        <v>0</v>
      </c>
      <c r="M758" s="108">
        <v>0</v>
      </c>
      <c r="N758" s="108">
        <v>0</v>
      </c>
      <c r="O758" s="108">
        <v>0</v>
      </c>
      <c r="P758" s="108">
        <v>0</v>
      </c>
      <c r="Q758" s="108">
        <v>0</v>
      </c>
      <c r="R758" s="108">
        <v>0</v>
      </c>
      <c r="S758" s="108">
        <v>0</v>
      </c>
    </row>
    <row r="759" spans="1:19">
      <c r="A759" s="143">
        <v>45043</v>
      </c>
      <c r="B759" s="111" t="s">
        <v>39</v>
      </c>
      <c r="C759" s="112">
        <v>26992</v>
      </c>
      <c r="D759" s="112">
        <v>291</v>
      </c>
      <c r="E759" s="113">
        <v>0.0107809721398933</v>
      </c>
      <c r="F759" s="112">
        <v>80</v>
      </c>
      <c r="G759" s="113">
        <v>0.274914089347079</v>
      </c>
      <c r="H759" s="108"/>
      <c r="I759" s="108"/>
      <c r="J759" s="108"/>
      <c r="K759" s="108"/>
      <c r="L759" s="108"/>
      <c r="M759" s="108"/>
      <c r="N759" s="108"/>
      <c r="O759" s="108"/>
      <c r="P759" s="108"/>
      <c r="Q759" s="108"/>
      <c r="R759" s="108"/>
      <c r="S759" s="108"/>
    </row>
    <row r="760" spans="1:19">
      <c r="A760" s="143">
        <v>45044</v>
      </c>
      <c r="B760" s="104" t="s">
        <v>17</v>
      </c>
      <c r="C760" s="105">
        <v>570</v>
      </c>
      <c r="D760" s="104">
        <v>39</v>
      </c>
      <c r="E760" s="106">
        <v>0.068421052631579</v>
      </c>
      <c r="F760" s="107">
        <v>4</v>
      </c>
      <c r="G760" s="106">
        <v>0.102564102564103</v>
      </c>
      <c r="H760" s="108">
        <v>-117</v>
      </c>
      <c r="I760" s="108">
        <v>-54.6666666666666</v>
      </c>
      <c r="J760" s="108">
        <v>-22.2</v>
      </c>
      <c r="K760" s="108">
        <v>-44</v>
      </c>
      <c r="L760" s="108">
        <v>-14</v>
      </c>
      <c r="M760" s="108">
        <v>-4.66666666666666</v>
      </c>
      <c r="N760" s="108">
        <v>-1</v>
      </c>
      <c r="O760" s="108">
        <v>4.71428571428572</v>
      </c>
      <c r="P760" s="108">
        <v>-3</v>
      </c>
      <c r="Q760" s="108">
        <v>-5.66666666666667</v>
      </c>
      <c r="R760" s="108">
        <v>-4.2</v>
      </c>
      <c r="S760" s="108">
        <v>-3</v>
      </c>
    </row>
    <row r="761" spans="1:19">
      <c r="A761" s="170">
        <v>45044</v>
      </c>
      <c r="B761" s="104" t="s">
        <v>19</v>
      </c>
      <c r="C761" s="107">
        <v>552</v>
      </c>
      <c r="D761" s="104">
        <v>14</v>
      </c>
      <c r="E761" s="106">
        <v>0.0253623188405797</v>
      </c>
      <c r="F761" s="107">
        <v>5</v>
      </c>
      <c r="G761" s="106">
        <v>0.357142857142857</v>
      </c>
      <c r="H761" s="108">
        <v>-158</v>
      </c>
      <c r="I761" s="108">
        <v>-1154.66666666667</v>
      </c>
      <c r="J761" s="108">
        <v>-1839.2</v>
      </c>
      <c r="K761" s="108">
        <v>-2052</v>
      </c>
      <c r="L761" s="108">
        <v>3</v>
      </c>
      <c r="M761" s="108">
        <v>-15.3333333333333</v>
      </c>
      <c r="N761" s="108">
        <v>-25.2</v>
      </c>
      <c r="O761" s="108">
        <v>-25</v>
      </c>
      <c r="P761" s="108">
        <v>-1</v>
      </c>
      <c r="Q761" s="108">
        <v>-8</v>
      </c>
      <c r="R761" s="108">
        <v>-11.8</v>
      </c>
      <c r="S761" s="115">
        <v>-11</v>
      </c>
    </row>
    <row r="762" spans="1:19">
      <c r="A762" s="170">
        <v>45044</v>
      </c>
      <c r="B762" s="104" t="s">
        <v>21</v>
      </c>
      <c r="C762" s="145">
        <v>586</v>
      </c>
      <c r="D762" s="104">
        <v>27</v>
      </c>
      <c r="E762" s="106">
        <v>0.0460750853242321</v>
      </c>
      <c r="F762" s="107">
        <v>6</v>
      </c>
      <c r="G762" s="106">
        <v>0.222222222222222</v>
      </c>
      <c r="H762" s="108">
        <v>-17</v>
      </c>
      <c r="I762" s="108">
        <v>-5</v>
      </c>
      <c r="J762" s="108">
        <v>-6.20000000000005</v>
      </c>
      <c r="K762" s="108">
        <v>-7.28571428571433</v>
      </c>
      <c r="L762" s="108">
        <v>-10</v>
      </c>
      <c r="M762" s="108">
        <v>-2.33333333333333</v>
      </c>
      <c r="N762" s="108">
        <v>-2.4</v>
      </c>
      <c r="O762" s="108">
        <v>-1</v>
      </c>
      <c r="P762" s="108">
        <v>-3</v>
      </c>
      <c r="Q762" s="108">
        <v>-3.33333333333333</v>
      </c>
      <c r="R762" s="108">
        <v>-2.6</v>
      </c>
      <c r="S762" s="108">
        <v>-3</v>
      </c>
    </row>
    <row r="763" spans="1:19">
      <c r="A763" s="170">
        <v>45044</v>
      </c>
      <c r="B763" s="104" t="s">
        <v>22</v>
      </c>
      <c r="C763" s="145">
        <v>3364</v>
      </c>
      <c r="D763" s="104">
        <v>61</v>
      </c>
      <c r="E763" s="106">
        <v>0.0181331747919144</v>
      </c>
      <c r="F763" s="107">
        <v>26</v>
      </c>
      <c r="G763" s="106">
        <v>0.426229508196721</v>
      </c>
      <c r="H763" s="108">
        <v>-179</v>
      </c>
      <c r="I763" s="108">
        <v>-219</v>
      </c>
      <c r="J763" s="108">
        <v>-241</v>
      </c>
      <c r="K763" s="108">
        <v>-264.857142857143</v>
      </c>
      <c r="L763" s="108">
        <v>-5</v>
      </c>
      <c r="M763" s="108">
        <v>-5.33333333333333</v>
      </c>
      <c r="N763" s="108">
        <v>-7.59999999999999</v>
      </c>
      <c r="O763" s="115">
        <v>-5.42857142857143</v>
      </c>
      <c r="P763" s="108">
        <v>3</v>
      </c>
      <c r="Q763" s="108">
        <v>0.333333333333332</v>
      </c>
      <c r="R763" s="108">
        <v>1.6</v>
      </c>
      <c r="S763" s="117">
        <v>1.85714285714286</v>
      </c>
    </row>
    <row r="764" spans="1:19">
      <c r="A764" s="170">
        <v>45044</v>
      </c>
      <c r="B764" s="104" t="s">
        <v>23</v>
      </c>
      <c r="C764" s="145">
        <v>2630</v>
      </c>
      <c r="D764" s="104">
        <v>19</v>
      </c>
      <c r="E764" s="106">
        <v>0.00722433460076046</v>
      </c>
      <c r="F764" s="107">
        <v>10</v>
      </c>
      <c r="G764" s="106">
        <v>0.526315789473684</v>
      </c>
      <c r="H764" s="108">
        <v>-34</v>
      </c>
      <c r="I764" s="108">
        <v>-35.6666666666665</v>
      </c>
      <c r="J764" s="108">
        <v>45.8000000000002</v>
      </c>
      <c r="K764" s="108">
        <v>40.7142857142858</v>
      </c>
      <c r="L764" s="108">
        <v>-10</v>
      </c>
      <c r="M764" s="108">
        <v>-10</v>
      </c>
      <c r="N764" s="108">
        <v>-6</v>
      </c>
      <c r="O764" s="108">
        <v>-5.28571428571428</v>
      </c>
      <c r="P764" s="108">
        <v>7</v>
      </c>
      <c r="Q764" s="116">
        <v>4.66666666666667</v>
      </c>
      <c r="R764" s="108">
        <v>4.8</v>
      </c>
      <c r="S764" s="108">
        <v>4.42857142857143</v>
      </c>
    </row>
    <row r="765" spans="1:19">
      <c r="A765" s="170">
        <v>45044</v>
      </c>
      <c r="B765" s="104" t="s">
        <v>24</v>
      </c>
      <c r="C765" s="145">
        <v>299</v>
      </c>
      <c r="D765" s="104">
        <v>1</v>
      </c>
      <c r="E765" s="106">
        <v>0.00334448160535117</v>
      </c>
      <c r="F765" s="107">
        <v>1</v>
      </c>
      <c r="G765" s="106">
        <v>1</v>
      </c>
      <c r="H765" s="108">
        <v>79</v>
      </c>
      <c r="I765" s="108">
        <v>72</v>
      </c>
      <c r="J765" s="108">
        <v>33.6</v>
      </c>
      <c r="K765" s="108">
        <v>-5.42857142857144</v>
      </c>
      <c r="L765" s="115">
        <v>-2</v>
      </c>
      <c r="M765" s="115">
        <v>-0.333333333333333</v>
      </c>
      <c r="N765" s="117">
        <v>-0.8</v>
      </c>
      <c r="O765" s="117">
        <v>-0.571428571428571</v>
      </c>
      <c r="P765" s="115">
        <v>1</v>
      </c>
      <c r="Q765" s="115">
        <v>0.666666666666667</v>
      </c>
      <c r="R765" s="115">
        <v>0.4</v>
      </c>
      <c r="S765" s="115">
        <v>0.285714285714286</v>
      </c>
    </row>
    <row r="766" spans="1:19">
      <c r="A766" s="170">
        <v>45044</v>
      </c>
      <c r="B766" s="104" t="s">
        <v>25</v>
      </c>
      <c r="C766" s="145">
        <v>16536</v>
      </c>
      <c r="D766" s="104">
        <v>79</v>
      </c>
      <c r="E766" s="106">
        <v>0.00477745524915336</v>
      </c>
      <c r="F766" s="107">
        <v>33</v>
      </c>
      <c r="G766" s="106">
        <v>0.417721518987342</v>
      </c>
      <c r="H766" s="108">
        <v>1588</v>
      </c>
      <c r="I766" s="108">
        <v>898.666666666666</v>
      </c>
      <c r="J766" s="108">
        <v>1566</v>
      </c>
      <c r="K766" s="108">
        <v>1547.71428571429</v>
      </c>
      <c r="L766" s="116">
        <v>14</v>
      </c>
      <c r="M766" s="115">
        <v>29.6666666666667</v>
      </c>
      <c r="N766" s="115">
        <v>33.8</v>
      </c>
      <c r="O766" s="115">
        <v>33.2857142857143</v>
      </c>
      <c r="P766" s="108">
        <v>14</v>
      </c>
      <c r="Q766" s="108">
        <v>13.6666666666667</v>
      </c>
      <c r="R766" s="108">
        <v>16.4</v>
      </c>
      <c r="S766" s="108">
        <v>16.2857142857143</v>
      </c>
    </row>
    <row r="767" spans="1:19">
      <c r="A767" s="170">
        <v>45044</v>
      </c>
      <c r="B767" s="104" t="s">
        <v>26</v>
      </c>
      <c r="C767" s="145">
        <v>2376</v>
      </c>
      <c r="D767" s="104">
        <v>18</v>
      </c>
      <c r="E767" s="106">
        <v>0.00757575757575758</v>
      </c>
      <c r="F767" s="107">
        <v>6</v>
      </c>
      <c r="G767" s="106">
        <v>0.333333333333333</v>
      </c>
      <c r="H767" s="108">
        <v>-212</v>
      </c>
      <c r="I767" s="108">
        <v>-275.333333333333</v>
      </c>
      <c r="J767" s="108">
        <v>-64.4000000000001</v>
      </c>
      <c r="K767" s="108">
        <v>-6.85714285714266</v>
      </c>
      <c r="L767" s="108">
        <v>2</v>
      </c>
      <c r="M767" s="108">
        <v>1.66666666666667</v>
      </c>
      <c r="N767" s="108">
        <v>1.2</v>
      </c>
      <c r="O767" s="108">
        <v>-1.14285714285714</v>
      </c>
      <c r="P767" s="108">
        <v>-2</v>
      </c>
      <c r="Q767" s="108">
        <v>-0.666666666666667</v>
      </c>
      <c r="R767" s="108">
        <v>-1.6</v>
      </c>
      <c r="S767" s="108">
        <v>-1.71428571428571</v>
      </c>
    </row>
    <row r="768" spans="1:19">
      <c r="A768" s="170">
        <v>45044</v>
      </c>
      <c r="B768" s="104" t="s">
        <v>27</v>
      </c>
      <c r="C768" s="145">
        <v>1158</v>
      </c>
      <c r="D768" s="104">
        <v>9</v>
      </c>
      <c r="E768" s="106">
        <v>0.0077720207253886</v>
      </c>
      <c r="F768" s="107">
        <v>0</v>
      </c>
      <c r="G768" s="106">
        <v>0</v>
      </c>
      <c r="H768" s="108">
        <v>130</v>
      </c>
      <c r="I768" s="108">
        <v>474.666666666667</v>
      </c>
      <c r="J768" s="108">
        <v>588.4</v>
      </c>
      <c r="K768" s="108">
        <v>599.714285714286</v>
      </c>
      <c r="L768" s="108">
        <v>-2</v>
      </c>
      <c r="M768" s="108">
        <v>0.333333333333334</v>
      </c>
      <c r="N768" s="108">
        <v>1.8</v>
      </c>
      <c r="O768" s="108">
        <v>2.28571428571429</v>
      </c>
      <c r="P768" s="108">
        <v>-5</v>
      </c>
      <c r="Q768" s="108">
        <v>-2.66666666666667</v>
      </c>
      <c r="R768" s="108">
        <v>-2</v>
      </c>
      <c r="S768" s="108">
        <v>-2</v>
      </c>
    </row>
    <row r="769" hidden="1" spans="1:19">
      <c r="A769" s="170">
        <v>45044</v>
      </c>
      <c r="B769" s="104" t="s">
        <v>28</v>
      </c>
      <c r="C769" s="145">
        <v>0</v>
      </c>
      <c r="D769" s="104">
        <v>0</v>
      </c>
      <c r="E769" s="106">
        <v>0</v>
      </c>
      <c r="F769" s="107">
        <v>0</v>
      </c>
      <c r="G769" s="106">
        <v>0</v>
      </c>
      <c r="H769" s="108">
        <v>0</v>
      </c>
      <c r="I769" s="108">
        <v>0</v>
      </c>
      <c r="J769" s="108">
        <v>0</v>
      </c>
      <c r="K769" s="108">
        <v>0</v>
      </c>
      <c r="L769" s="108">
        <v>0</v>
      </c>
      <c r="M769" s="108">
        <v>-0.333333333333333</v>
      </c>
      <c r="N769" s="108">
        <v>-0.2</v>
      </c>
      <c r="O769" s="108">
        <v>-0.285714285714286</v>
      </c>
      <c r="P769" s="108">
        <v>0</v>
      </c>
      <c r="Q769" s="108">
        <v>0</v>
      </c>
      <c r="R769" s="108">
        <v>0</v>
      </c>
      <c r="S769" s="108">
        <v>0</v>
      </c>
    </row>
    <row r="770" hidden="1" spans="1:19">
      <c r="A770" s="170">
        <v>45044</v>
      </c>
      <c r="B770" s="104" t="s">
        <v>29</v>
      </c>
      <c r="C770" s="145">
        <v>0</v>
      </c>
      <c r="D770" s="104">
        <v>0</v>
      </c>
      <c r="E770" s="106">
        <v>0</v>
      </c>
      <c r="F770" s="107">
        <v>0</v>
      </c>
      <c r="G770" s="106">
        <v>0</v>
      </c>
      <c r="H770" s="108">
        <v>-1</v>
      </c>
      <c r="I770" s="108">
        <v>-0.333333333333333</v>
      </c>
      <c r="J770" s="108">
        <v>-0.2</v>
      </c>
      <c r="K770" s="108">
        <v>-0.142857142857143</v>
      </c>
      <c r="L770" s="108">
        <v>0</v>
      </c>
      <c r="M770" s="108">
        <v>0</v>
      </c>
      <c r="N770" s="108">
        <v>-0.2</v>
      </c>
      <c r="O770" s="108">
        <v>-0.428571428571429</v>
      </c>
      <c r="P770" s="108">
        <v>0</v>
      </c>
      <c r="Q770" s="108">
        <v>0</v>
      </c>
      <c r="R770" s="108">
        <v>0</v>
      </c>
      <c r="S770" s="108">
        <v>0</v>
      </c>
    </row>
    <row r="771" hidden="1" spans="1:19">
      <c r="A771" s="170">
        <v>45044</v>
      </c>
      <c r="B771" s="104" t="s">
        <v>30</v>
      </c>
      <c r="C771" s="145">
        <v>0</v>
      </c>
      <c r="D771" s="104">
        <v>0</v>
      </c>
      <c r="E771" s="106">
        <v>0</v>
      </c>
      <c r="F771" s="107">
        <v>0</v>
      </c>
      <c r="G771" s="106">
        <v>0</v>
      </c>
      <c r="H771" s="108">
        <v>0</v>
      </c>
      <c r="I771" s="108">
        <v>0</v>
      </c>
      <c r="J771" s="108">
        <v>0</v>
      </c>
      <c r="K771" s="108">
        <v>0</v>
      </c>
      <c r="L771" s="108">
        <v>0</v>
      </c>
      <c r="M771" s="108">
        <v>0</v>
      </c>
      <c r="N771" s="108">
        <v>0</v>
      </c>
      <c r="O771" s="108">
        <v>0</v>
      </c>
      <c r="P771" s="108">
        <v>0</v>
      </c>
      <c r="Q771" s="108">
        <v>0</v>
      </c>
      <c r="R771" s="108">
        <v>0</v>
      </c>
      <c r="S771" s="108">
        <v>0</v>
      </c>
    </row>
    <row r="772" hidden="1" spans="1:19">
      <c r="A772" s="170">
        <v>45044</v>
      </c>
      <c r="B772" s="104" t="s">
        <v>31</v>
      </c>
      <c r="C772" s="145">
        <v>0</v>
      </c>
      <c r="D772" s="104">
        <v>1</v>
      </c>
      <c r="E772" s="106">
        <v>1</v>
      </c>
      <c r="F772" s="107">
        <v>0</v>
      </c>
      <c r="G772" s="106">
        <v>0</v>
      </c>
      <c r="H772" s="108">
        <v>0</v>
      </c>
      <c r="I772" s="108">
        <v>0</v>
      </c>
      <c r="J772" s="108">
        <v>0</v>
      </c>
      <c r="K772" s="108">
        <v>0</v>
      </c>
      <c r="L772" s="108">
        <v>1</v>
      </c>
      <c r="M772" s="108">
        <v>1</v>
      </c>
      <c r="N772" s="108">
        <v>0.8</v>
      </c>
      <c r="O772" s="108">
        <v>0.857142857142857</v>
      </c>
      <c r="P772" s="108">
        <v>0</v>
      </c>
      <c r="Q772" s="108">
        <v>0</v>
      </c>
      <c r="R772" s="108">
        <v>0</v>
      </c>
      <c r="S772" s="108">
        <v>-0.142857142857143</v>
      </c>
    </row>
    <row r="773" hidden="1" spans="1:19">
      <c r="A773" s="170">
        <v>45044</v>
      </c>
      <c r="B773" s="104" t="s">
        <v>32</v>
      </c>
      <c r="C773" s="145">
        <v>0</v>
      </c>
      <c r="D773" s="104">
        <v>0</v>
      </c>
      <c r="E773" s="106">
        <v>0</v>
      </c>
      <c r="F773" s="107">
        <v>0</v>
      </c>
      <c r="G773" s="106">
        <v>0</v>
      </c>
      <c r="H773" s="108">
        <v>0</v>
      </c>
      <c r="I773" s="108">
        <v>0</v>
      </c>
      <c r="J773" s="108">
        <v>0</v>
      </c>
      <c r="K773" s="108">
        <v>0</v>
      </c>
      <c r="L773" s="108">
        <v>0</v>
      </c>
      <c r="M773" s="108">
        <v>0</v>
      </c>
      <c r="N773" s="108">
        <v>0</v>
      </c>
      <c r="O773" s="108">
        <v>0</v>
      </c>
      <c r="P773" s="108">
        <v>0</v>
      </c>
      <c r="Q773" s="108">
        <v>0</v>
      </c>
      <c r="R773" s="108">
        <v>0</v>
      </c>
      <c r="S773" s="108">
        <v>0</v>
      </c>
    </row>
    <row r="774" hidden="1" spans="1:19">
      <c r="A774" s="170">
        <v>45044</v>
      </c>
      <c r="B774" s="104" t="s">
        <v>33</v>
      </c>
      <c r="C774" s="145">
        <v>0</v>
      </c>
      <c r="D774" s="104">
        <v>1</v>
      </c>
      <c r="E774" s="106">
        <v>1</v>
      </c>
      <c r="F774" s="107">
        <v>0</v>
      </c>
      <c r="G774" s="106">
        <v>0</v>
      </c>
      <c r="H774" s="108">
        <v>0</v>
      </c>
      <c r="I774" s="108">
        <v>0</v>
      </c>
      <c r="J774" s="108">
        <v>0</v>
      </c>
      <c r="K774" s="108">
        <v>0</v>
      </c>
      <c r="L774" s="108">
        <v>1</v>
      </c>
      <c r="M774" s="108">
        <v>1</v>
      </c>
      <c r="N774" s="108">
        <v>1</v>
      </c>
      <c r="O774" s="108">
        <v>1</v>
      </c>
      <c r="P774" s="108">
        <v>0</v>
      </c>
      <c r="Q774" s="108">
        <v>0</v>
      </c>
      <c r="R774" s="108">
        <v>0</v>
      </c>
      <c r="S774" s="108">
        <v>0</v>
      </c>
    </row>
    <row r="775" hidden="1" spans="1:19">
      <c r="A775" s="170">
        <v>45044</v>
      </c>
      <c r="B775" s="104" t="s">
        <v>34</v>
      </c>
      <c r="C775" s="145">
        <v>0</v>
      </c>
      <c r="D775" s="104">
        <v>0</v>
      </c>
      <c r="E775" s="106">
        <v>0</v>
      </c>
      <c r="F775" s="107">
        <v>0</v>
      </c>
      <c r="G775" s="106">
        <v>0</v>
      </c>
      <c r="H775" s="108">
        <v>0</v>
      </c>
      <c r="I775" s="108">
        <v>0</v>
      </c>
      <c r="J775" s="108">
        <v>0</v>
      </c>
      <c r="K775" s="108">
        <v>0</v>
      </c>
      <c r="L775" s="108">
        <v>0</v>
      </c>
      <c r="M775" s="108">
        <v>0</v>
      </c>
      <c r="N775" s="108">
        <v>0</v>
      </c>
      <c r="O775" s="108">
        <v>0</v>
      </c>
      <c r="P775" s="108">
        <v>0</v>
      </c>
      <c r="Q775" s="108">
        <v>0</v>
      </c>
      <c r="R775" s="108">
        <v>0</v>
      </c>
      <c r="S775" s="108">
        <v>0</v>
      </c>
    </row>
    <row r="776" hidden="1" spans="1:19">
      <c r="A776" s="170">
        <v>45044</v>
      </c>
      <c r="B776" s="104" t="s">
        <v>35</v>
      </c>
      <c r="C776" s="145">
        <v>0</v>
      </c>
      <c r="D776" s="104">
        <v>0</v>
      </c>
      <c r="E776" s="106">
        <v>0</v>
      </c>
      <c r="F776" s="107">
        <v>0</v>
      </c>
      <c r="G776" s="106">
        <v>0</v>
      </c>
      <c r="H776" s="108">
        <v>0</v>
      </c>
      <c r="I776" s="108">
        <v>0</v>
      </c>
      <c r="J776" s="108">
        <v>0</v>
      </c>
      <c r="K776" s="108">
        <v>0</v>
      </c>
      <c r="L776" s="108">
        <v>0</v>
      </c>
      <c r="M776" s="108">
        <v>0</v>
      </c>
      <c r="N776" s="108">
        <v>0</v>
      </c>
      <c r="O776" s="108">
        <v>0</v>
      </c>
      <c r="P776" s="108">
        <v>0</v>
      </c>
      <c r="Q776" s="108">
        <v>0</v>
      </c>
      <c r="R776" s="108">
        <v>0</v>
      </c>
      <c r="S776" s="108">
        <v>0</v>
      </c>
    </row>
    <row r="777" hidden="1" spans="1:19">
      <c r="A777" s="170">
        <v>45044</v>
      </c>
      <c r="B777" s="104" t="s">
        <v>36</v>
      </c>
      <c r="C777" s="145">
        <v>0</v>
      </c>
      <c r="D777" s="104">
        <v>0</v>
      </c>
      <c r="E777" s="106">
        <v>0</v>
      </c>
      <c r="F777" s="107">
        <v>0</v>
      </c>
      <c r="G777" s="106">
        <v>0</v>
      </c>
      <c r="H777" s="108">
        <v>0</v>
      </c>
      <c r="I777" s="108">
        <v>0</v>
      </c>
      <c r="J777" s="108">
        <v>0</v>
      </c>
      <c r="K777" s="108">
        <v>0</v>
      </c>
      <c r="L777" s="108">
        <v>0</v>
      </c>
      <c r="M777" s="108">
        <v>0</v>
      </c>
      <c r="N777" s="108">
        <v>0</v>
      </c>
      <c r="O777" s="108">
        <v>0</v>
      </c>
      <c r="P777" s="108">
        <v>0</v>
      </c>
      <c r="Q777" s="108">
        <v>0</v>
      </c>
      <c r="R777" s="108">
        <v>0</v>
      </c>
      <c r="S777" s="108">
        <v>0</v>
      </c>
    </row>
    <row r="778" hidden="1" spans="1:19">
      <c r="A778" s="170">
        <v>45044</v>
      </c>
      <c r="B778" s="104" t="s">
        <v>37</v>
      </c>
      <c r="C778" s="145">
        <v>0</v>
      </c>
      <c r="D778" s="104">
        <v>0</v>
      </c>
      <c r="E778" s="106">
        <v>0</v>
      </c>
      <c r="F778" s="107">
        <v>0</v>
      </c>
      <c r="G778" s="106">
        <v>0</v>
      </c>
      <c r="H778" s="108">
        <v>0</v>
      </c>
      <c r="I778" s="108">
        <v>0</v>
      </c>
      <c r="J778" s="108">
        <v>0</v>
      </c>
      <c r="K778" s="108">
        <v>0</v>
      </c>
      <c r="L778" s="108">
        <v>0</v>
      </c>
      <c r="M778" s="108">
        <v>0</v>
      </c>
      <c r="N778" s="108">
        <v>0</v>
      </c>
      <c r="O778" s="108">
        <v>0</v>
      </c>
      <c r="P778" s="108">
        <v>0</v>
      </c>
      <c r="Q778" s="108">
        <v>0</v>
      </c>
      <c r="R778" s="108">
        <v>0</v>
      </c>
      <c r="S778" s="108">
        <v>0</v>
      </c>
    </row>
    <row r="779" hidden="1" spans="1:19">
      <c r="A779" s="170">
        <v>45044</v>
      </c>
      <c r="B779" s="104" t="s">
        <v>38</v>
      </c>
      <c r="C779" s="145">
        <v>0</v>
      </c>
      <c r="D779" s="104">
        <v>0</v>
      </c>
      <c r="E779" s="106">
        <v>0</v>
      </c>
      <c r="F779" s="107">
        <v>0</v>
      </c>
      <c r="G779" s="106">
        <v>0</v>
      </c>
      <c r="H779" s="108">
        <v>0</v>
      </c>
      <c r="I779" s="108">
        <v>0</v>
      </c>
      <c r="J779" s="108">
        <v>0</v>
      </c>
      <c r="K779" s="108">
        <v>0</v>
      </c>
      <c r="L779" s="108">
        <v>0</v>
      </c>
      <c r="M779" s="108">
        <v>0</v>
      </c>
      <c r="N779" s="108">
        <v>0</v>
      </c>
      <c r="O779" s="108">
        <v>0</v>
      </c>
      <c r="P779" s="108">
        <v>0</v>
      </c>
      <c r="Q779" s="108">
        <v>0</v>
      </c>
      <c r="R779" s="108">
        <v>0</v>
      </c>
      <c r="S779" s="108">
        <v>0</v>
      </c>
    </row>
    <row r="780" spans="1:19">
      <c r="A780" s="171">
        <v>45044</v>
      </c>
      <c r="B780" s="111" t="s">
        <v>39</v>
      </c>
      <c r="C780" s="112">
        <v>28071</v>
      </c>
      <c r="D780" s="112">
        <v>269</v>
      </c>
      <c r="E780" s="113">
        <v>0.00958284350397207</v>
      </c>
      <c r="F780" s="112">
        <v>91</v>
      </c>
      <c r="G780" s="113">
        <v>0.338289962825279</v>
      </c>
      <c r="H780" s="108"/>
      <c r="I780" s="108"/>
      <c r="J780" s="108"/>
      <c r="K780" s="108"/>
      <c r="L780" s="108"/>
      <c r="M780" s="108"/>
      <c r="N780" s="108"/>
      <c r="O780" s="108"/>
      <c r="P780" s="108"/>
      <c r="Q780" s="108"/>
      <c r="R780" s="108"/>
      <c r="S780" s="108"/>
    </row>
    <row r="781" spans="1:19">
      <c r="A781" s="143">
        <v>45045</v>
      </c>
      <c r="B781" s="104" t="s">
        <v>17</v>
      </c>
      <c r="C781" s="105">
        <v>688</v>
      </c>
      <c r="D781" s="104">
        <v>52</v>
      </c>
      <c r="E781" s="106">
        <v>0.0755813953488372</v>
      </c>
      <c r="F781" s="107">
        <v>6</v>
      </c>
      <c r="G781" s="106">
        <v>0.115384615384615</v>
      </c>
      <c r="H781" s="108">
        <v>118</v>
      </c>
      <c r="I781" s="108">
        <v>63.6666666666666</v>
      </c>
      <c r="J781" s="108">
        <v>94.2</v>
      </c>
      <c r="K781" s="108">
        <v>92.7142857142857</v>
      </c>
      <c r="L781" s="108">
        <v>13</v>
      </c>
      <c r="M781" s="108">
        <v>9.33333333333334</v>
      </c>
      <c r="N781" s="108">
        <v>11.4</v>
      </c>
      <c r="O781" s="108">
        <v>15.1428571428571</v>
      </c>
      <c r="P781" s="108">
        <v>2</v>
      </c>
      <c r="Q781" s="108">
        <v>-1.33333333333333</v>
      </c>
      <c r="R781" s="108">
        <v>-1.6</v>
      </c>
      <c r="S781" s="108">
        <v>-0.857142857142857</v>
      </c>
    </row>
    <row r="782" spans="1:19">
      <c r="A782" s="143">
        <v>45045</v>
      </c>
      <c r="B782" s="104" t="s">
        <v>19</v>
      </c>
      <c r="C782" s="107">
        <v>966</v>
      </c>
      <c r="D782" s="104">
        <v>21</v>
      </c>
      <c r="E782" s="106">
        <v>0.0217391304347826</v>
      </c>
      <c r="F782" s="107">
        <v>8</v>
      </c>
      <c r="G782" s="106">
        <v>0.380952380952381</v>
      </c>
      <c r="H782" s="108">
        <v>414</v>
      </c>
      <c r="I782" s="108">
        <v>198</v>
      </c>
      <c r="J782" s="108">
        <v>-874</v>
      </c>
      <c r="K782" s="108">
        <v>-1301.71428571429</v>
      </c>
      <c r="L782" s="108">
        <v>7</v>
      </c>
      <c r="M782" s="108">
        <v>4.66666666666667</v>
      </c>
      <c r="N782" s="108">
        <v>-10.2</v>
      </c>
      <c r="O782" s="108">
        <v>-14</v>
      </c>
      <c r="P782" s="108">
        <v>3</v>
      </c>
      <c r="Q782" s="108">
        <v>-0.333333333333334</v>
      </c>
      <c r="R782" s="108">
        <v>-5.4</v>
      </c>
      <c r="S782" s="115">
        <v>-6.14285714285714</v>
      </c>
    </row>
    <row r="783" spans="1:19">
      <c r="A783" s="143">
        <v>45045</v>
      </c>
      <c r="B783" s="104" t="s">
        <v>21</v>
      </c>
      <c r="C783" s="145">
        <v>591</v>
      </c>
      <c r="D783" s="104">
        <v>34</v>
      </c>
      <c r="E783" s="106">
        <v>0.0575296108291032</v>
      </c>
      <c r="F783" s="107">
        <v>12</v>
      </c>
      <c r="G783" s="106">
        <v>0.352941176470588</v>
      </c>
      <c r="H783" s="108">
        <v>5</v>
      </c>
      <c r="I783" s="108">
        <v>-12.3333333333334</v>
      </c>
      <c r="J783" s="108">
        <v>7.39999999999998</v>
      </c>
      <c r="K783" s="108">
        <v>-5.85714285714289</v>
      </c>
      <c r="L783" s="108">
        <v>7</v>
      </c>
      <c r="M783" s="108">
        <v>3.33333333333333</v>
      </c>
      <c r="N783" s="108">
        <v>6</v>
      </c>
      <c r="O783" s="108">
        <v>5.57142857142857</v>
      </c>
      <c r="P783" s="108">
        <v>6</v>
      </c>
      <c r="Q783" s="108">
        <v>4</v>
      </c>
      <c r="R783" s="108">
        <v>4</v>
      </c>
      <c r="S783" s="108">
        <v>3.57142857142857</v>
      </c>
    </row>
    <row r="784" spans="1:19">
      <c r="A784" s="143">
        <v>45045</v>
      </c>
      <c r="B784" s="104" t="s">
        <v>22</v>
      </c>
      <c r="C784" s="145">
        <v>2903</v>
      </c>
      <c r="D784" s="104">
        <v>45</v>
      </c>
      <c r="E784" s="106">
        <v>0.0155012056493283</v>
      </c>
      <c r="F784" s="107">
        <v>17</v>
      </c>
      <c r="G784" s="106">
        <v>0.377777777777778</v>
      </c>
      <c r="H784" s="108">
        <v>-461</v>
      </c>
      <c r="I784" s="108">
        <v>-620</v>
      </c>
      <c r="J784" s="108">
        <v>-637.8</v>
      </c>
      <c r="K784" s="108">
        <v>-671.857142857143</v>
      </c>
      <c r="L784" s="108">
        <v>-16</v>
      </c>
      <c r="M784" s="108">
        <v>-22.3333333333333</v>
      </c>
      <c r="N784" s="108">
        <v>-22</v>
      </c>
      <c r="O784" s="115">
        <v>-20.1428571428571</v>
      </c>
      <c r="P784" s="108">
        <v>-9</v>
      </c>
      <c r="Q784" s="108">
        <v>-9.33333333333333</v>
      </c>
      <c r="R784" s="108">
        <v>-9</v>
      </c>
      <c r="S784" s="117">
        <v>-7.28571428571428</v>
      </c>
    </row>
    <row r="785" spans="1:19">
      <c r="A785" s="143">
        <v>45045</v>
      </c>
      <c r="B785" s="104" t="s">
        <v>23</v>
      </c>
      <c r="C785" s="145">
        <v>2696</v>
      </c>
      <c r="D785" s="104">
        <v>16</v>
      </c>
      <c r="E785" s="106">
        <v>0.00593471810089021</v>
      </c>
      <c r="F785" s="107">
        <v>5</v>
      </c>
      <c r="G785" s="106">
        <v>0.3125</v>
      </c>
      <c r="H785" s="108">
        <v>66</v>
      </c>
      <c r="I785" s="108">
        <v>22</v>
      </c>
      <c r="J785" s="108">
        <v>79</v>
      </c>
      <c r="K785" s="108">
        <v>104.142857142857</v>
      </c>
      <c r="L785" s="108">
        <v>-3</v>
      </c>
      <c r="M785" s="108">
        <v>-11</v>
      </c>
      <c r="N785" s="108">
        <v>-10</v>
      </c>
      <c r="O785" s="108">
        <v>-7.71428571428572</v>
      </c>
      <c r="P785" s="108">
        <v>-5</v>
      </c>
      <c r="Q785" s="116">
        <v>-2.33333333333333</v>
      </c>
      <c r="R785" s="108">
        <v>-1.8</v>
      </c>
      <c r="S785" s="108">
        <v>-1.14285714285714</v>
      </c>
    </row>
    <row r="786" spans="1:19">
      <c r="A786" s="143">
        <v>45045</v>
      </c>
      <c r="B786" s="104" t="s">
        <v>24</v>
      </c>
      <c r="C786" s="145">
        <v>550</v>
      </c>
      <c r="D786" s="104">
        <v>2</v>
      </c>
      <c r="E786" s="106">
        <v>0.00363636363636364</v>
      </c>
      <c r="F786" s="107">
        <v>0</v>
      </c>
      <c r="G786" s="106">
        <v>0</v>
      </c>
      <c r="H786" s="108">
        <v>251</v>
      </c>
      <c r="I786" s="108">
        <v>312.666666666667</v>
      </c>
      <c r="J786" s="108">
        <v>295</v>
      </c>
      <c r="K786" s="108">
        <v>256</v>
      </c>
      <c r="L786" s="115">
        <v>1</v>
      </c>
      <c r="M786" s="115">
        <v>0.666666666666667</v>
      </c>
      <c r="N786" s="117">
        <v>0.6</v>
      </c>
      <c r="O786" s="117">
        <v>0.428571428571429</v>
      </c>
      <c r="P786" s="115">
        <v>-1</v>
      </c>
      <c r="Q786" s="115">
        <v>-0.666666666666667</v>
      </c>
      <c r="R786" s="115">
        <v>-0.4</v>
      </c>
      <c r="S786" s="115">
        <v>-0.714285714285714</v>
      </c>
    </row>
    <row r="787" spans="1:19">
      <c r="A787" s="143">
        <v>45045</v>
      </c>
      <c r="B787" s="104" t="s">
        <v>25</v>
      </c>
      <c r="C787" s="145">
        <v>15810</v>
      </c>
      <c r="D787" s="104">
        <v>46</v>
      </c>
      <c r="E787" s="106">
        <v>0.00290955091714105</v>
      </c>
      <c r="F787" s="107">
        <v>17</v>
      </c>
      <c r="G787" s="106">
        <v>0.369565217391304</v>
      </c>
      <c r="H787" s="108">
        <v>-726</v>
      </c>
      <c r="I787" s="108">
        <v>-208.666666666666</v>
      </c>
      <c r="J787" s="108">
        <v>502.799999999999</v>
      </c>
      <c r="K787" s="108">
        <v>506</v>
      </c>
      <c r="L787" s="116">
        <v>-33</v>
      </c>
      <c r="M787" s="115">
        <v>-19.6666666666667</v>
      </c>
      <c r="N787" s="115">
        <v>-6.6</v>
      </c>
      <c r="O787" s="115">
        <v>-3.71428571428572</v>
      </c>
      <c r="P787" s="108">
        <v>-16</v>
      </c>
      <c r="Q787" s="108">
        <v>-9</v>
      </c>
      <c r="R787" s="108">
        <v>-3.2</v>
      </c>
      <c r="S787" s="108">
        <v>-2.28571428571428</v>
      </c>
    </row>
    <row r="788" spans="1:19">
      <c r="A788" s="143">
        <v>45045</v>
      </c>
      <c r="B788" s="104" t="s">
        <v>26</v>
      </c>
      <c r="C788" s="145">
        <v>2570</v>
      </c>
      <c r="D788" s="104">
        <v>22</v>
      </c>
      <c r="E788" s="106">
        <v>0.00856031128404669</v>
      </c>
      <c r="F788" s="107">
        <v>7</v>
      </c>
      <c r="G788" s="106">
        <v>0.318181818181818</v>
      </c>
      <c r="H788" s="108">
        <v>194</v>
      </c>
      <c r="I788" s="108">
        <v>-72.6666666666665</v>
      </c>
      <c r="J788" s="108">
        <v>69.5999999999999</v>
      </c>
      <c r="K788" s="108">
        <v>173.714285714286</v>
      </c>
      <c r="L788" s="108">
        <v>4</v>
      </c>
      <c r="M788" s="108">
        <v>6.33333333333333</v>
      </c>
      <c r="N788" s="108">
        <v>6.4</v>
      </c>
      <c r="O788" s="108">
        <v>4.28571428571428</v>
      </c>
      <c r="P788" s="108">
        <v>1</v>
      </c>
      <c r="Q788" s="108">
        <v>1.33333333333333</v>
      </c>
      <c r="R788" s="108">
        <v>-0.2</v>
      </c>
      <c r="S788" s="108">
        <v>-0.428571428571429</v>
      </c>
    </row>
    <row r="789" spans="1:19">
      <c r="A789" s="143">
        <v>45045</v>
      </c>
      <c r="B789" s="104" t="s">
        <v>27</v>
      </c>
      <c r="C789" s="145">
        <v>1238</v>
      </c>
      <c r="D789" s="104">
        <v>17</v>
      </c>
      <c r="E789" s="106">
        <v>0.0137318255250404</v>
      </c>
      <c r="F789" s="107">
        <v>5</v>
      </c>
      <c r="G789" s="106">
        <v>0.294117647058824</v>
      </c>
      <c r="H789" s="108">
        <v>80</v>
      </c>
      <c r="I789" s="108">
        <v>309.333333333333</v>
      </c>
      <c r="J789" s="108">
        <v>523.6</v>
      </c>
      <c r="K789" s="108">
        <v>587.428571428571</v>
      </c>
      <c r="L789" s="108">
        <v>8</v>
      </c>
      <c r="M789" s="108">
        <v>7</v>
      </c>
      <c r="N789" s="108">
        <v>9.6</v>
      </c>
      <c r="O789" s="108">
        <v>9.57142857142857</v>
      </c>
      <c r="P789" s="108">
        <v>5</v>
      </c>
      <c r="Q789" s="108">
        <v>2.66666666666667</v>
      </c>
      <c r="R789" s="108">
        <v>3.4</v>
      </c>
      <c r="S789" s="108">
        <v>3.28571428571429</v>
      </c>
    </row>
    <row r="790" hidden="1" spans="1:19">
      <c r="A790" s="143">
        <v>45045</v>
      </c>
      <c r="B790" s="104" t="s">
        <v>28</v>
      </c>
      <c r="C790" s="145">
        <v>0</v>
      </c>
      <c r="D790" s="104">
        <v>0</v>
      </c>
      <c r="E790" s="106">
        <v>0</v>
      </c>
      <c r="F790" s="107">
        <v>0</v>
      </c>
      <c r="G790" s="106">
        <v>0</v>
      </c>
      <c r="H790" s="108">
        <v>0</v>
      </c>
      <c r="I790" s="108">
        <v>0</v>
      </c>
      <c r="J790" s="108">
        <v>0</v>
      </c>
      <c r="K790" s="108">
        <v>0</v>
      </c>
      <c r="L790" s="108">
        <v>0</v>
      </c>
      <c r="M790" s="108">
        <v>0</v>
      </c>
      <c r="N790" s="108">
        <v>-0.2</v>
      </c>
      <c r="O790" s="108">
        <v>-0.142857142857143</v>
      </c>
      <c r="P790" s="108">
        <v>0</v>
      </c>
      <c r="Q790" s="108">
        <v>0</v>
      </c>
      <c r="R790" s="108">
        <v>0</v>
      </c>
      <c r="S790" s="108">
        <v>0</v>
      </c>
    </row>
    <row r="791" hidden="1" spans="1:19">
      <c r="A791" s="143">
        <v>45045</v>
      </c>
      <c r="B791" s="104" t="s">
        <v>29</v>
      </c>
      <c r="C791" s="145">
        <v>0</v>
      </c>
      <c r="D791" s="104">
        <v>0</v>
      </c>
      <c r="E791" s="106">
        <v>0</v>
      </c>
      <c r="F791" s="107">
        <v>0</v>
      </c>
      <c r="G791" s="106">
        <v>0</v>
      </c>
      <c r="H791" s="108">
        <v>0</v>
      </c>
      <c r="I791" s="108">
        <v>-0.333333333333333</v>
      </c>
      <c r="J791" s="108">
        <v>-0.2</v>
      </c>
      <c r="K791" s="108">
        <v>-0.142857142857143</v>
      </c>
      <c r="L791" s="108">
        <v>0</v>
      </c>
      <c r="M791" s="108">
        <v>0</v>
      </c>
      <c r="N791" s="108">
        <v>-0.2</v>
      </c>
      <c r="O791" s="108">
        <v>-0.285714285714286</v>
      </c>
      <c r="P791" s="108">
        <v>0</v>
      </c>
      <c r="Q791" s="108">
        <v>0</v>
      </c>
      <c r="R791" s="108">
        <v>0</v>
      </c>
      <c r="S791" s="108">
        <v>0</v>
      </c>
    </row>
    <row r="792" hidden="1" spans="1:19">
      <c r="A792" s="143">
        <v>45045</v>
      </c>
      <c r="B792" s="104" t="s">
        <v>30</v>
      </c>
      <c r="C792" s="145">
        <v>0</v>
      </c>
      <c r="D792" s="104">
        <v>0</v>
      </c>
      <c r="E792" s="106">
        <v>0</v>
      </c>
      <c r="F792" s="107">
        <v>0</v>
      </c>
      <c r="G792" s="106">
        <v>0</v>
      </c>
      <c r="H792" s="108">
        <v>0</v>
      </c>
      <c r="I792" s="108">
        <v>0</v>
      </c>
      <c r="J792" s="108">
        <v>0</v>
      </c>
      <c r="K792" s="108">
        <v>0</v>
      </c>
      <c r="L792" s="108">
        <v>0</v>
      </c>
      <c r="M792" s="108">
        <v>0</v>
      </c>
      <c r="N792" s="108">
        <v>0</v>
      </c>
      <c r="O792" s="108">
        <v>0</v>
      </c>
      <c r="P792" s="108">
        <v>0</v>
      </c>
      <c r="Q792" s="108">
        <v>0</v>
      </c>
      <c r="R792" s="108">
        <v>0</v>
      </c>
      <c r="S792" s="108">
        <v>0</v>
      </c>
    </row>
    <row r="793" hidden="1" spans="1:19">
      <c r="A793" s="143">
        <v>45045</v>
      </c>
      <c r="B793" s="104" t="s">
        <v>31</v>
      </c>
      <c r="C793" s="145">
        <v>0</v>
      </c>
      <c r="D793" s="104">
        <v>0</v>
      </c>
      <c r="E793" s="106">
        <v>0</v>
      </c>
      <c r="F793" s="107">
        <v>0</v>
      </c>
      <c r="G793" s="106">
        <v>0</v>
      </c>
      <c r="H793" s="108">
        <v>0</v>
      </c>
      <c r="I793" s="108">
        <v>0</v>
      </c>
      <c r="J793" s="108">
        <v>0</v>
      </c>
      <c r="K793" s="108">
        <v>0</v>
      </c>
      <c r="L793" s="108">
        <v>-1</v>
      </c>
      <c r="M793" s="108">
        <v>-0.333333333333333</v>
      </c>
      <c r="N793" s="108">
        <v>-0.2</v>
      </c>
      <c r="O793" s="108">
        <v>-0.285714285714286</v>
      </c>
      <c r="P793" s="108">
        <v>0</v>
      </c>
      <c r="Q793" s="108">
        <v>0</v>
      </c>
      <c r="R793" s="108">
        <v>0</v>
      </c>
      <c r="S793" s="108">
        <v>-0.142857142857143</v>
      </c>
    </row>
    <row r="794" hidden="1" spans="1:19">
      <c r="A794" s="143">
        <v>45045</v>
      </c>
      <c r="B794" s="104" t="s">
        <v>32</v>
      </c>
      <c r="C794" s="145">
        <v>0</v>
      </c>
      <c r="D794" s="104">
        <v>0</v>
      </c>
      <c r="E794" s="106">
        <v>0</v>
      </c>
      <c r="F794" s="107">
        <v>0</v>
      </c>
      <c r="G794" s="106">
        <v>0</v>
      </c>
      <c r="H794" s="108">
        <v>0</v>
      </c>
      <c r="I794" s="108">
        <v>0</v>
      </c>
      <c r="J794" s="108">
        <v>0</v>
      </c>
      <c r="K794" s="108">
        <v>0</v>
      </c>
      <c r="L794" s="108">
        <v>0</v>
      </c>
      <c r="M794" s="108">
        <v>0</v>
      </c>
      <c r="N794" s="108">
        <v>0</v>
      </c>
      <c r="O794" s="108">
        <v>0</v>
      </c>
      <c r="P794" s="108">
        <v>0</v>
      </c>
      <c r="Q794" s="108">
        <v>0</v>
      </c>
      <c r="R794" s="108">
        <v>0</v>
      </c>
      <c r="S794" s="108">
        <v>0</v>
      </c>
    </row>
    <row r="795" hidden="1" spans="1:19">
      <c r="A795" s="143">
        <v>45045</v>
      </c>
      <c r="B795" s="104" t="s">
        <v>33</v>
      </c>
      <c r="C795" s="145">
        <v>0</v>
      </c>
      <c r="D795" s="104">
        <v>0</v>
      </c>
      <c r="E795" s="106">
        <v>0</v>
      </c>
      <c r="F795" s="107">
        <v>0</v>
      </c>
      <c r="G795" s="106">
        <v>0</v>
      </c>
      <c r="H795" s="108">
        <v>0</v>
      </c>
      <c r="I795" s="108">
        <v>0</v>
      </c>
      <c r="J795" s="108">
        <v>0</v>
      </c>
      <c r="K795" s="108">
        <v>0</v>
      </c>
      <c r="L795" s="108">
        <v>-1</v>
      </c>
      <c r="M795" s="108">
        <v>-0.333333333333333</v>
      </c>
      <c r="N795" s="108">
        <v>-0.2</v>
      </c>
      <c r="O795" s="108">
        <v>-0.142857142857143</v>
      </c>
      <c r="P795" s="108">
        <v>0</v>
      </c>
      <c r="Q795" s="108">
        <v>0</v>
      </c>
      <c r="R795" s="108">
        <v>0</v>
      </c>
      <c r="S795" s="108">
        <v>0</v>
      </c>
    </row>
    <row r="796" hidden="1" spans="1:19">
      <c r="A796" s="143">
        <v>45045</v>
      </c>
      <c r="B796" s="104" t="s">
        <v>34</v>
      </c>
      <c r="C796" s="145">
        <v>0</v>
      </c>
      <c r="D796" s="104">
        <v>0</v>
      </c>
      <c r="E796" s="106">
        <v>0</v>
      </c>
      <c r="F796" s="107">
        <v>0</v>
      </c>
      <c r="G796" s="106">
        <v>0</v>
      </c>
      <c r="H796" s="108">
        <v>0</v>
      </c>
      <c r="I796" s="108">
        <v>0</v>
      </c>
      <c r="J796" s="108">
        <v>0</v>
      </c>
      <c r="K796" s="108">
        <v>0</v>
      </c>
      <c r="L796" s="108">
        <v>0</v>
      </c>
      <c r="M796" s="108">
        <v>0</v>
      </c>
      <c r="N796" s="108">
        <v>0</v>
      </c>
      <c r="O796" s="108">
        <v>0</v>
      </c>
      <c r="P796" s="108">
        <v>0</v>
      </c>
      <c r="Q796" s="108">
        <v>0</v>
      </c>
      <c r="R796" s="108">
        <v>0</v>
      </c>
      <c r="S796" s="108">
        <v>0</v>
      </c>
    </row>
    <row r="797" hidden="1" spans="1:19">
      <c r="A797" s="143">
        <v>45045</v>
      </c>
      <c r="B797" s="104" t="s">
        <v>35</v>
      </c>
      <c r="C797" s="145">
        <v>0</v>
      </c>
      <c r="D797" s="104">
        <v>0</v>
      </c>
      <c r="E797" s="106">
        <v>0</v>
      </c>
      <c r="F797" s="107">
        <v>0</v>
      </c>
      <c r="G797" s="106">
        <v>0</v>
      </c>
      <c r="H797" s="108">
        <v>0</v>
      </c>
      <c r="I797" s="108">
        <v>0</v>
      </c>
      <c r="J797" s="108">
        <v>0</v>
      </c>
      <c r="K797" s="108">
        <v>0</v>
      </c>
      <c r="L797" s="108">
        <v>0</v>
      </c>
      <c r="M797" s="108">
        <v>0</v>
      </c>
      <c r="N797" s="108">
        <v>0</v>
      </c>
      <c r="O797" s="108">
        <v>0</v>
      </c>
      <c r="P797" s="108">
        <v>0</v>
      </c>
      <c r="Q797" s="108">
        <v>0</v>
      </c>
      <c r="R797" s="108">
        <v>0</v>
      </c>
      <c r="S797" s="108">
        <v>0</v>
      </c>
    </row>
    <row r="798" hidden="1" spans="1:19">
      <c r="A798" s="143">
        <v>45045</v>
      </c>
      <c r="B798" s="104" t="s">
        <v>36</v>
      </c>
      <c r="C798" s="145">
        <v>0</v>
      </c>
      <c r="D798" s="104">
        <v>0</v>
      </c>
      <c r="E798" s="106">
        <v>0</v>
      </c>
      <c r="F798" s="107">
        <v>0</v>
      </c>
      <c r="G798" s="106">
        <v>0</v>
      </c>
      <c r="H798" s="108">
        <v>0</v>
      </c>
      <c r="I798" s="108">
        <v>0</v>
      </c>
      <c r="J798" s="108">
        <v>0</v>
      </c>
      <c r="K798" s="108">
        <v>0</v>
      </c>
      <c r="L798" s="108">
        <v>0</v>
      </c>
      <c r="M798" s="108">
        <v>0</v>
      </c>
      <c r="N798" s="108">
        <v>0</v>
      </c>
      <c r="O798" s="108">
        <v>0</v>
      </c>
      <c r="P798" s="108">
        <v>0</v>
      </c>
      <c r="Q798" s="108">
        <v>0</v>
      </c>
      <c r="R798" s="108">
        <v>0</v>
      </c>
      <c r="S798" s="108">
        <v>0</v>
      </c>
    </row>
    <row r="799" hidden="1" spans="1:19">
      <c r="A799" s="143">
        <v>45045</v>
      </c>
      <c r="B799" s="104" t="s">
        <v>37</v>
      </c>
      <c r="C799" s="145">
        <v>0</v>
      </c>
      <c r="D799" s="104">
        <v>0</v>
      </c>
      <c r="E799" s="106">
        <v>0</v>
      </c>
      <c r="F799" s="107">
        <v>0</v>
      </c>
      <c r="G799" s="106">
        <v>0</v>
      </c>
      <c r="H799" s="108">
        <v>0</v>
      </c>
      <c r="I799" s="108">
        <v>0</v>
      </c>
      <c r="J799" s="108">
        <v>0</v>
      </c>
      <c r="K799" s="108">
        <v>0</v>
      </c>
      <c r="L799" s="108">
        <v>0</v>
      </c>
      <c r="M799" s="108">
        <v>0</v>
      </c>
      <c r="N799" s="108">
        <v>0</v>
      </c>
      <c r="O799" s="108">
        <v>0</v>
      </c>
      <c r="P799" s="108">
        <v>0</v>
      </c>
      <c r="Q799" s="108">
        <v>0</v>
      </c>
      <c r="R799" s="108">
        <v>0</v>
      </c>
      <c r="S799" s="108">
        <v>0</v>
      </c>
    </row>
    <row r="800" hidden="1" spans="1:19">
      <c r="A800" s="143">
        <v>45045</v>
      </c>
      <c r="B800" s="104" t="s">
        <v>38</v>
      </c>
      <c r="C800" s="145">
        <v>0</v>
      </c>
      <c r="D800" s="104">
        <v>0</v>
      </c>
      <c r="E800" s="106">
        <v>0</v>
      </c>
      <c r="F800" s="107">
        <v>0</v>
      </c>
      <c r="G800" s="106">
        <v>0</v>
      </c>
      <c r="H800" s="108">
        <v>0</v>
      </c>
      <c r="I800" s="108">
        <v>0</v>
      </c>
      <c r="J800" s="108">
        <v>0</v>
      </c>
      <c r="K800" s="108">
        <v>0</v>
      </c>
      <c r="L800" s="108">
        <v>0</v>
      </c>
      <c r="M800" s="108">
        <v>0</v>
      </c>
      <c r="N800" s="108">
        <v>0</v>
      </c>
      <c r="O800" s="108">
        <v>0</v>
      </c>
      <c r="P800" s="108">
        <v>0</v>
      </c>
      <c r="Q800" s="108">
        <v>0</v>
      </c>
      <c r="R800" s="108">
        <v>0</v>
      </c>
      <c r="S800" s="108">
        <v>0</v>
      </c>
    </row>
    <row r="801" spans="1:19">
      <c r="A801" s="143">
        <v>45045</v>
      </c>
      <c r="B801" s="111" t="s">
        <v>39</v>
      </c>
      <c r="C801" s="112">
        <v>28012</v>
      </c>
      <c r="D801" s="112">
        <v>255</v>
      </c>
      <c r="E801" s="113">
        <v>0.00910324146794231</v>
      </c>
      <c r="F801" s="112">
        <v>77</v>
      </c>
      <c r="G801" s="113">
        <v>0.301960784313725</v>
      </c>
      <c r="H801" s="108"/>
      <c r="I801" s="108"/>
      <c r="J801" s="108"/>
      <c r="K801" s="108"/>
      <c r="L801" s="108"/>
      <c r="M801" s="108"/>
      <c r="N801" s="108"/>
      <c r="O801" s="108"/>
      <c r="P801" s="108"/>
      <c r="Q801" s="108"/>
      <c r="R801" s="108"/>
      <c r="S801" s="108"/>
    </row>
    <row r="802" spans="1:19">
      <c r="A802" s="143">
        <v>45046</v>
      </c>
      <c r="B802" s="104" t="s">
        <v>17</v>
      </c>
      <c r="C802" s="105">
        <v>668</v>
      </c>
      <c r="D802" s="104">
        <v>44</v>
      </c>
      <c r="E802" s="106">
        <v>0.0658682634730539</v>
      </c>
      <c r="F802" s="107">
        <v>11</v>
      </c>
      <c r="G802" s="106">
        <v>0.25</v>
      </c>
      <c r="H802" s="108">
        <v>-20</v>
      </c>
      <c r="I802" s="108">
        <v>19.6666666666666</v>
      </c>
      <c r="J802" s="108">
        <v>41.6</v>
      </c>
      <c r="K802" s="108">
        <v>65.2857142857143</v>
      </c>
      <c r="L802" s="108">
        <v>-8</v>
      </c>
      <c r="M802" s="108">
        <v>-4</v>
      </c>
      <c r="N802" s="108">
        <v>-0.399999999999999</v>
      </c>
      <c r="O802" s="108">
        <v>2.42857142857143</v>
      </c>
      <c r="P802" s="108">
        <v>5</v>
      </c>
      <c r="Q802" s="108">
        <v>5.33333333333333</v>
      </c>
      <c r="R802" s="108">
        <v>3.2</v>
      </c>
      <c r="S802" s="108">
        <v>3.71428571428571</v>
      </c>
    </row>
    <row r="803" spans="1:19">
      <c r="A803" s="143">
        <v>45046</v>
      </c>
      <c r="B803" s="104" t="s">
        <v>19</v>
      </c>
      <c r="C803" s="107">
        <v>1180</v>
      </c>
      <c r="D803" s="104">
        <v>24</v>
      </c>
      <c r="E803" s="106">
        <v>0.0203389830508475</v>
      </c>
      <c r="F803" s="107">
        <v>8</v>
      </c>
      <c r="G803" s="106">
        <v>0.333333333333333</v>
      </c>
      <c r="H803" s="108">
        <v>214</v>
      </c>
      <c r="I803" s="108">
        <v>437.333333333333</v>
      </c>
      <c r="J803" s="108">
        <v>-147.6</v>
      </c>
      <c r="K803" s="108">
        <v>-744.857142857143</v>
      </c>
      <c r="L803" s="108">
        <v>3</v>
      </c>
      <c r="M803" s="108">
        <v>8.66666666666667</v>
      </c>
      <c r="N803" s="108">
        <v>-0.600000000000001</v>
      </c>
      <c r="O803" s="108">
        <v>-9</v>
      </c>
      <c r="P803" s="108">
        <v>0</v>
      </c>
      <c r="Q803" s="108">
        <v>1.66666666666667</v>
      </c>
      <c r="R803" s="108">
        <v>-2.4</v>
      </c>
      <c r="S803" s="115">
        <v>-5.85714285714286</v>
      </c>
    </row>
    <row r="804" spans="1:19">
      <c r="A804" s="143">
        <v>45046</v>
      </c>
      <c r="B804" s="104" t="s">
        <v>21</v>
      </c>
      <c r="C804" s="145">
        <v>548</v>
      </c>
      <c r="D804" s="104">
        <v>26</v>
      </c>
      <c r="E804" s="106">
        <v>0.0474452554744526</v>
      </c>
      <c r="F804" s="107">
        <v>11</v>
      </c>
      <c r="G804" s="106">
        <v>0.423076923076923</v>
      </c>
      <c r="H804" s="108">
        <v>-43</v>
      </c>
      <c r="I804" s="108">
        <v>-45.3333333333334</v>
      </c>
      <c r="J804" s="108">
        <v>-42</v>
      </c>
      <c r="K804" s="108">
        <v>-43.1428571428571</v>
      </c>
      <c r="L804" s="108">
        <v>-8</v>
      </c>
      <c r="M804" s="108">
        <v>-6.66666666666666</v>
      </c>
      <c r="N804" s="108">
        <v>-3.8</v>
      </c>
      <c r="O804" s="108">
        <v>-3.71428571428572</v>
      </c>
      <c r="P804" s="108">
        <v>-1</v>
      </c>
      <c r="Q804" s="108">
        <v>2</v>
      </c>
      <c r="R804" s="108">
        <v>1.8</v>
      </c>
      <c r="S804" s="108">
        <v>2.28571428571429</v>
      </c>
    </row>
    <row r="805" spans="1:19">
      <c r="A805" s="143">
        <v>45046</v>
      </c>
      <c r="B805" s="104" t="s">
        <v>22</v>
      </c>
      <c r="C805" s="145">
        <v>2782</v>
      </c>
      <c r="D805" s="104">
        <v>49</v>
      </c>
      <c r="E805" s="106">
        <v>0.0176132278936017</v>
      </c>
      <c r="F805" s="107">
        <v>13</v>
      </c>
      <c r="G805" s="106">
        <v>0.26530612244898</v>
      </c>
      <c r="H805" s="108">
        <v>-121</v>
      </c>
      <c r="I805" s="108">
        <v>-488</v>
      </c>
      <c r="J805" s="108">
        <v>-621.2</v>
      </c>
      <c r="K805" s="108">
        <v>-688.285714285714</v>
      </c>
      <c r="L805" s="108">
        <v>4</v>
      </c>
      <c r="M805" s="108">
        <v>-8.33333333333334</v>
      </c>
      <c r="N805" s="108">
        <v>-12</v>
      </c>
      <c r="O805" s="115">
        <v>-15.1428571428571</v>
      </c>
      <c r="P805" s="108">
        <v>-4</v>
      </c>
      <c r="Q805" s="108">
        <v>-9</v>
      </c>
      <c r="R805" s="108">
        <v>-11</v>
      </c>
      <c r="S805" s="117">
        <v>-10.5714285714286</v>
      </c>
    </row>
    <row r="806" spans="1:19">
      <c r="A806" s="143">
        <v>45046</v>
      </c>
      <c r="B806" s="104" t="s">
        <v>23</v>
      </c>
      <c r="C806" s="145">
        <v>2673</v>
      </c>
      <c r="D806" s="104">
        <v>20</v>
      </c>
      <c r="E806" s="106">
        <v>0.00748222970445193</v>
      </c>
      <c r="F806" s="107">
        <v>5</v>
      </c>
      <c r="G806" s="106">
        <v>0.25</v>
      </c>
      <c r="H806" s="108">
        <v>-23</v>
      </c>
      <c r="I806" s="108">
        <v>9.66666666666652</v>
      </c>
      <c r="J806" s="108">
        <v>8.40000000000009</v>
      </c>
      <c r="K806" s="108">
        <v>66.2857142857142</v>
      </c>
      <c r="L806" s="108">
        <v>4</v>
      </c>
      <c r="M806" s="108">
        <v>-1.33333333333333</v>
      </c>
      <c r="N806" s="108">
        <v>-4.4</v>
      </c>
      <c r="O806" s="108">
        <v>-2.85714285714286</v>
      </c>
      <c r="P806" s="108">
        <v>0</v>
      </c>
      <c r="Q806" s="116">
        <v>-1</v>
      </c>
      <c r="R806" s="108">
        <v>-1.2</v>
      </c>
      <c r="S806" s="108">
        <v>-0.857142857142857</v>
      </c>
    </row>
    <row r="807" spans="1:19">
      <c r="A807" s="143">
        <v>45046</v>
      </c>
      <c r="B807" s="104" t="s">
        <v>24</v>
      </c>
      <c r="C807" s="145">
        <v>446</v>
      </c>
      <c r="D807" s="104">
        <v>4</v>
      </c>
      <c r="E807" s="106">
        <v>0.00896860986547085</v>
      </c>
      <c r="F807" s="107">
        <v>0</v>
      </c>
      <c r="G807" s="106">
        <v>0</v>
      </c>
      <c r="H807" s="108">
        <v>-104</v>
      </c>
      <c r="I807" s="108">
        <v>89.6666666666667</v>
      </c>
      <c r="J807" s="108">
        <v>140</v>
      </c>
      <c r="K807" s="108">
        <v>135.142857142857</v>
      </c>
      <c r="L807" s="115">
        <v>2</v>
      </c>
      <c r="M807" s="115">
        <v>2</v>
      </c>
      <c r="N807" s="117">
        <v>2.6</v>
      </c>
      <c r="O807" s="117">
        <v>2.28571428571429</v>
      </c>
      <c r="P807" s="115">
        <v>0</v>
      </c>
      <c r="Q807" s="115">
        <v>-0.333333333333333</v>
      </c>
      <c r="R807" s="115">
        <v>-0.4</v>
      </c>
      <c r="S807" s="115">
        <v>-0.571428571428571</v>
      </c>
    </row>
    <row r="808" spans="1:19">
      <c r="A808" s="143">
        <v>45046</v>
      </c>
      <c r="B808" s="104" t="s">
        <v>25</v>
      </c>
      <c r="C808" s="145">
        <v>10650</v>
      </c>
      <c r="D808" s="104">
        <v>50</v>
      </c>
      <c r="E808" s="106">
        <v>0.00469483568075117</v>
      </c>
      <c r="F808" s="107">
        <v>17</v>
      </c>
      <c r="G808" s="106">
        <v>0.34</v>
      </c>
      <c r="H808" s="108">
        <v>-5160</v>
      </c>
      <c r="I808" s="108">
        <v>-5114.66666666667</v>
      </c>
      <c r="J808" s="108">
        <v>-5201.6</v>
      </c>
      <c r="K808" s="108">
        <v>-4663.71428571429</v>
      </c>
      <c r="L808" s="116">
        <v>4</v>
      </c>
      <c r="M808" s="115">
        <v>-13.3333333333333</v>
      </c>
      <c r="N808" s="115">
        <v>-4.6</v>
      </c>
      <c r="O808" s="115">
        <v>-0.142857142857146</v>
      </c>
      <c r="P808" s="108">
        <v>0</v>
      </c>
      <c r="Q808" s="108">
        <v>-6</v>
      </c>
      <c r="R808" s="108">
        <v>-4.6</v>
      </c>
      <c r="S808" s="108">
        <v>-2</v>
      </c>
    </row>
    <row r="809" spans="1:19">
      <c r="A809" s="143">
        <v>45046</v>
      </c>
      <c r="B809" s="104" t="s">
        <v>26</v>
      </c>
      <c r="C809" s="145">
        <v>2612</v>
      </c>
      <c r="D809" s="104">
        <v>21</v>
      </c>
      <c r="E809" s="106">
        <v>0.00803981623277182</v>
      </c>
      <c r="F809" s="107">
        <v>5</v>
      </c>
      <c r="G809" s="106">
        <v>0.238095238095238</v>
      </c>
      <c r="H809" s="108">
        <v>42</v>
      </c>
      <c r="I809" s="108">
        <v>100.666666666667</v>
      </c>
      <c r="J809" s="108">
        <v>32</v>
      </c>
      <c r="K809" s="108">
        <v>162.285714285714</v>
      </c>
      <c r="L809" s="108">
        <v>-1</v>
      </c>
      <c r="M809" s="108">
        <v>2.33333333333333</v>
      </c>
      <c r="N809" s="108">
        <v>3.2</v>
      </c>
      <c r="O809" s="108">
        <v>3.28571428571428</v>
      </c>
      <c r="P809" s="108">
        <v>-2</v>
      </c>
      <c r="Q809" s="108">
        <v>-2</v>
      </c>
      <c r="R809" s="108">
        <v>-1.6</v>
      </c>
      <c r="S809" s="108">
        <v>-2.28571428571429</v>
      </c>
    </row>
    <row r="810" spans="1:19">
      <c r="A810" s="143">
        <v>45046</v>
      </c>
      <c r="B810" s="104" t="s">
        <v>27</v>
      </c>
      <c r="C810" s="145">
        <v>1728</v>
      </c>
      <c r="D810" s="104">
        <v>9</v>
      </c>
      <c r="E810" s="106">
        <v>0.00520833333333333</v>
      </c>
      <c r="F810" s="107">
        <v>3</v>
      </c>
      <c r="G810" s="106">
        <v>0.333333333333333</v>
      </c>
      <c r="H810" s="108">
        <v>490</v>
      </c>
      <c r="I810" s="108">
        <v>586.666666666667</v>
      </c>
      <c r="J810" s="108">
        <v>838.8</v>
      </c>
      <c r="K810" s="108">
        <v>978.857142857143</v>
      </c>
      <c r="L810" s="108">
        <v>-8</v>
      </c>
      <c r="M810" s="108">
        <v>-3.33333333333333</v>
      </c>
      <c r="N810" s="108">
        <v>-1.4</v>
      </c>
      <c r="O810" s="108">
        <v>0.142857142857142</v>
      </c>
      <c r="P810" s="108">
        <v>-2</v>
      </c>
      <c r="Q810" s="108">
        <v>-0.333333333333333</v>
      </c>
      <c r="R810" s="108">
        <v>0.4</v>
      </c>
      <c r="S810" s="108">
        <v>0.857142857142857</v>
      </c>
    </row>
    <row r="811" hidden="1" spans="1:19">
      <c r="A811" s="143">
        <v>45046</v>
      </c>
      <c r="B811" s="104" t="s">
        <v>28</v>
      </c>
      <c r="C811" s="145">
        <v>0</v>
      </c>
      <c r="D811" s="104">
        <v>0</v>
      </c>
      <c r="E811" s="106">
        <v>0</v>
      </c>
      <c r="F811" s="107">
        <v>0</v>
      </c>
      <c r="G811" s="106">
        <v>0</v>
      </c>
      <c r="H811" s="108">
        <v>0</v>
      </c>
      <c r="I811" s="108">
        <v>0</v>
      </c>
      <c r="J811" s="108">
        <v>0</v>
      </c>
      <c r="K811" s="108">
        <v>0</v>
      </c>
      <c r="L811" s="108">
        <v>0</v>
      </c>
      <c r="M811" s="108">
        <v>0</v>
      </c>
      <c r="N811" s="108">
        <v>-0.2</v>
      </c>
      <c r="O811" s="108">
        <v>-0.142857142857143</v>
      </c>
      <c r="P811" s="108">
        <v>0</v>
      </c>
      <c r="Q811" s="108">
        <v>0</v>
      </c>
      <c r="R811" s="108">
        <v>0</v>
      </c>
      <c r="S811" s="108">
        <v>0</v>
      </c>
    </row>
    <row r="812" hidden="1" spans="1:19">
      <c r="A812" s="143">
        <v>45046</v>
      </c>
      <c r="B812" s="104" t="s">
        <v>29</v>
      </c>
      <c r="C812" s="145">
        <v>0</v>
      </c>
      <c r="D812" s="104">
        <v>0</v>
      </c>
      <c r="E812" s="106">
        <v>0</v>
      </c>
      <c r="F812" s="107">
        <v>0</v>
      </c>
      <c r="G812" s="106">
        <v>0</v>
      </c>
      <c r="H812" s="108">
        <v>0</v>
      </c>
      <c r="I812" s="108">
        <v>-0.333333333333333</v>
      </c>
      <c r="J812" s="108">
        <v>-0.2</v>
      </c>
      <c r="K812" s="108">
        <v>-0.142857142857143</v>
      </c>
      <c r="L812" s="108">
        <v>0</v>
      </c>
      <c r="M812" s="108">
        <v>0</v>
      </c>
      <c r="N812" s="108">
        <v>0</v>
      </c>
      <c r="O812" s="108">
        <v>-0.142857142857143</v>
      </c>
      <c r="P812" s="108">
        <v>0</v>
      </c>
      <c r="Q812" s="108">
        <v>0</v>
      </c>
      <c r="R812" s="108">
        <v>0</v>
      </c>
      <c r="S812" s="108">
        <v>0</v>
      </c>
    </row>
    <row r="813" hidden="1" spans="1:19">
      <c r="A813" s="143">
        <v>45046</v>
      </c>
      <c r="B813" s="104" t="s">
        <v>30</v>
      </c>
      <c r="C813" s="145">
        <v>0</v>
      </c>
      <c r="D813" s="104">
        <v>0</v>
      </c>
      <c r="E813" s="106">
        <v>0</v>
      </c>
      <c r="F813" s="107">
        <v>0</v>
      </c>
      <c r="G813" s="106">
        <v>0</v>
      </c>
      <c r="H813" s="108">
        <v>0</v>
      </c>
      <c r="I813" s="108">
        <v>0</v>
      </c>
      <c r="J813" s="108">
        <v>0</v>
      </c>
      <c r="K813" s="108">
        <v>0</v>
      </c>
      <c r="L813" s="108">
        <v>0</v>
      </c>
      <c r="M813" s="108">
        <v>0</v>
      </c>
      <c r="N813" s="108">
        <v>0</v>
      </c>
      <c r="O813" s="108">
        <v>0</v>
      </c>
      <c r="P813" s="108">
        <v>0</v>
      </c>
      <c r="Q813" s="108">
        <v>0</v>
      </c>
      <c r="R813" s="108">
        <v>0</v>
      </c>
      <c r="S813" s="108">
        <v>0</v>
      </c>
    </row>
    <row r="814" hidden="1" spans="1:19">
      <c r="A814" s="143">
        <v>45046</v>
      </c>
      <c r="B814" s="104" t="s">
        <v>31</v>
      </c>
      <c r="C814" s="145">
        <v>0</v>
      </c>
      <c r="D814" s="104">
        <v>0</v>
      </c>
      <c r="E814" s="106">
        <v>0</v>
      </c>
      <c r="F814" s="107">
        <v>0</v>
      </c>
      <c r="G814" s="106">
        <v>0</v>
      </c>
      <c r="H814" s="108">
        <v>0</v>
      </c>
      <c r="I814" s="108">
        <v>0</v>
      </c>
      <c r="J814" s="108">
        <v>0</v>
      </c>
      <c r="K814" s="108">
        <v>0</v>
      </c>
      <c r="L814" s="108">
        <v>0</v>
      </c>
      <c r="M814" s="108">
        <v>-0.333333333333333</v>
      </c>
      <c r="N814" s="108">
        <v>-0.2</v>
      </c>
      <c r="O814" s="108">
        <v>-0.285714285714286</v>
      </c>
      <c r="P814" s="108">
        <v>0</v>
      </c>
      <c r="Q814" s="108">
        <v>0</v>
      </c>
      <c r="R814" s="108">
        <v>0</v>
      </c>
      <c r="S814" s="108">
        <v>0</v>
      </c>
    </row>
    <row r="815" hidden="1" spans="1:19">
      <c r="A815" s="143">
        <v>45046</v>
      </c>
      <c r="B815" s="104" t="s">
        <v>32</v>
      </c>
      <c r="C815" s="145">
        <v>0</v>
      </c>
      <c r="D815" s="104">
        <v>0</v>
      </c>
      <c r="E815" s="106">
        <v>0</v>
      </c>
      <c r="F815" s="107">
        <v>0</v>
      </c>
      <c r="G815" s="106">
        <v>0</v>
      </c>
      <c r="H815" s="108">
        <v>0</v>
      </c>
      <c r="I815" s="108">
        <v>0</v>
      </c>
      <c r="J815" s="108">
        <v>0</v>
      </c>
      <c r="K815" s="108">
        <v>0</v>
      </c>
      <c r="L815" s="108">
        <v>0</v>
      </c>
      <c r="M815" s="108">
        <v>0</v>
      </c>
      <c r="N815" s="108">
        <v>0</v>
      </c>
      <c r="O815" s="108">
        <v>0</v>
      </c>
      <c r="P815" s="108">
        <v>0</v>
      </c>
      <c r="Q815" s="108">
        <v>0</v>
      </c>
      <c r="R815" s="108">
        <v>0</v>
      </c>
      <c r="S815" s="108">
        <v>0</v>
      </c>
    </row>
    <row r="816" hidden="1" spans="1:19">
      <c r="A816" s="143">
        <v>45046</v>
      </c>
      <c r="B816" s="104" t="s">
        <v>33</v>
      </c>
      <c r="C816" s="145">
        <v>0</v>
      </c>
      <c r="D816" s="104">
        <v>1</v>
      </c>
      <c r="E816" s="106">
        <v>1</v>
      </c>
      <c r="F816" s="107">
        <v>0</v>
      </c>
      <c r="G816" s="106">
        <v>0</v>
      </c>
      <c r="H816" s="108">
        <v>0</v>
      </c>
      <c r="I816" s="108">
        <v>0</v>
      </c>
      <c r="J816" s="108">
        <v>0</v>
      </c>
      <c r="K816" s="108">
        <v>0</v>
      </c>
      <c r="L816" s="108">
        <v>1</v>
      </c>
      <c r="M816" s="108">
        <v>0.666666666666667</v>
      </c>
      <c r="N816" s="108">
        <v>0.8</v>
      </c>
      <c r="O816" s="108">
        <v>0.857142857142857</v>
      </c>
      <c r="P816" s="108">
        <v>0</v>
      </c>
      <c r="Q816" s="108">
        <v>0</v>
      </c>
      <c r="R816" s="108">
        <v>0</v>
      </c>
      <c r="S816" s="108">
        <v>0</v>
      </c>
    </row>
    <row r="817" hidden="1" spans="1:19">
      <c r="A817" s="143">
        <v>45046</v>
      </c>
      <c r="B817" s="104" t="s">
        <v>34</v>
      </c>
      <c r="C817" s="145">
        <v>0</v>
      </c>
      <c r="D817" s="104">
        <v>0</v>
      </c>
      <c r="E817" s="106">
        <v>0</v>
      </c>
      <c r="F817" s="107">
        <v>0</v>
      </c>
      <c r="G817" s="106">
        <v>0</v>
      </c>
      <c r="H817" s="108">
        <v>0</v>
      </c>
      <c r="I817" s="108">
        <v>0</v>
      </c>
      <c r="J817" s="108">
        <v>0</v>
      </c>
      <c r="K817" s="108">
        <v>0</v>
      </c>
      <c r="L817" s="108">
        <v>0</v>
      </c>
      <c r="M817" s="108">
        <v>0</v>
      </c>
      <c r="N817" s="108">
        <v>0</v>
      </c>
      <c r="O817" s="108">
        <v>0</v>
      </c>
      <c r="P817" s="108">
        <v>0</v>
      </c>
      <c r="Q817" s="108">
        <v>0</v>
      </c>
      <c r="R817" s="108">
        <v>0</v>
      </c>
      <c r="S817" s="108">
        <v>0</v>
      </c>
    </row>
    <row r="818" hidden="1" spans="1:19">
      <c r="A818" s="143">
        <v>45046</v>
      </c>
      <c r="B818" s="104" t="s">
        <v>35</v>
      </c>
      <c r="C818" s="145">
        <v>0</v>
      </c>
      <c r="D818" s="104">
        <v>0</v>
      </c>
      <c r="E818" s="106">
        <v>0</v>
      </c>
      <c r="F818" s="107">
        <v>0</v>
      </c>
      <c r="G818" s="106">
        <v>0</v>
      </c>
      <c r="H818" s="108">
        <v>0</v>
      </c>
      <c r="I818" s="108">
        <v>0</v>
      </c>
      <c r="J818" s="108">
        <v>0</v>
      </c>
      <c r="K818" s="108">
        <v>0</v>
      </c>
      <c r="L818" s="108">
        <v>0</v>
      </c>
      <c r="M818" s="108">
        <v>0</v>
      </c>
      <c r="N818" s="108">
        <v>0</v>
      </c>
      <c r="O818" s="108">
        <v>0</v>
      </c>
      <c r="P818" s="108">
        <v>0</v>
      </c>
      <c r="Q818" s="108">
        <v>0</v>
      </c>
      <c r="R818" s="108">
        <v>0</v>
      </c>
      <c r="S818" s="108">
        <v>0</v>
      </c>
    </row>
    <row r="819" hidden="1" spans="1:19">
      <c r="A819" s="143">
        <v>45046</v>
      </c>
      <c r="B819" s="104" t="s">
        <v>36</v>
      </c>
      <c r="C819" s="145">
        <v>0</v>
      </c>
      <c r="D819" s="104">
        <v>0</v>
      </c>
      <c r="E819" s="106">
        <v>0</v>
      </c>
      <c r="F819" s="107">
        <v>0</v>
      </c>
      <c r="G819" s="106">
        <v>0</v>
      </c>
      <c r="H819" s="108">
        <v>0</v>
      </c>
      <c r="I819" s="108">
        <v>0</v>
      </c>
      <c r="J819" s="108">
        <v>0</v>
      </c>
      <c r="K819" s="108">
        <v>0</v>
      </c>
      <c r="L819" s="108">
        <v>0</v>
      </c>
      <c r="M819" s="108">
        <v>0</v>
      </c>
      <c r="N819" s="108">
        <v>0</v>
      </c>
      <c r="O819" s="108">
        <v>0</v>
      </c>
      <c r="P819" s="108">
        <v>0</v>
      </c>
      <c r="Q819" s="108">
        <v>0</v>
      </c>
      <c r="R819" s="108">
        <v>0</v>
      </c>
      <c r="S819" s="108">
        <v>0</v>
      </c>
    </row>
    <row r="820" hidden="1" spans="1:19">
      <c r="A820" s="143">
        <v>45046</v>
      </c>
      <c r="B820" s="104" t="s">
        <v>37</v>
      </c>
      <c r="C820" s="145">
        <v>0</v>
      </c>
      <c r="D820" s="104">
        <v>0</v>
      </c>
      <c r="E820" s="106">
        <v>0</v>
      </c>
      <c r="F820" s="107">
        <v>0</v>
      </c>
      <c r="G820" s="106">
        <v>0</v>
      </c>
      <c r="H820" s="108">
        <v>0</v>
      </c>
      <c r="I820" s="108">
        <v>0</v>
      </c>
      <c r="J820" s="108">
        <v>0</v>
      </c>
      <c r="K820" s="108">
        <v>0</v>
      </c>
      <c r="L820" s="108">
        <v>0</v>
      </c>
      <c r="M820" s="108">
        <v>0</v>
      </c>
      <c r="N820" s="108">
        <v>0</v>
      </c>
      <c r="O820" s="108">
        <v>0</v>
      </c>
      <c r="P820" s="108">
        <v>0</v>
      </c>
      <c r="Q820" s="108">
        <v>0</v>
      </c>
      <c r="R820" s="108">
        <v>0</v>
      </c>
      <c r="S820" s="108">
        <v>0</v>
      </c>
    </row>
    <row r="821" hidden="1" spans="1:19">
      <c r="A821" s="143">
        <v>45046</v>
      </c>
      <c r="B821" s="104" t="s">
        <v>38</v>
      </c>
      <c r="C821" s="145">
        <v>0</v>
      </c>
      <c r="D821" s="104">
        <v>0</v>
      </c>
      <c r="E821" s="106">
        <v>0</v>
      </c>
      <c r="F821" s="107">
        <v>0</v>
      </c>
      <c r="G821" s="106">
        <v>0</v>
      </c>
      <c r="H821" s="108">
        <v>0</v>
      </c>
      <c r="I821" s="108">
        <v>0</v>
      </c>
      <c r="J821" s="108">
        <v>0</v>
      </c>
      <c r="K821" s="108">
        <v>0</v>
      </c>
      <c r="L821" s="108">
        <v>0</v>
      </c>
      <c r="M821" s="108">
        <v>0</v>
      </c>
      <c r="N821" s="108">
        <v>0</v>
      </c>
      <c r="O821" s="108">
        <v>0</v>
      </c>
      <c r="P821" s="108">
        <v>0</v>
      </c>
      <c r="Q821" s="108">
        <v>0</v>
      </c>
      <c r="R821" s="108">
        <v>0</v>
      </c>
      <c r="S821" s="108">
        <v>0</v>
      </c>
    </row>
    <row r="822" spans="1:19">
      <c r="A822" s="143">
        <v>45046</v>
      </c>
      <c r="B822" s="111" t="s">
        <v>39</v>
      </c>
      <c r="C822" s="112">
        <v>23287</v>
      </c>
      <c r="D822" s="112">
        <v>248</v>
      </c>
      <c r="E822" s="113">
        <v>0.0106497187271868</v>
      </c>
      <c r="F822" s="112">
        <v>73</v>
      </c>
      <c r="G822" s="113">
        <v>0.294354838709677</v>
      </c>
      <c r="H822" s="108"/>
      <c r="I822" s="108"/>
      <c r="J822" s="108"/>
      <c r="K822" s="108"/>
      <c r="L822" s="108"/>
      <c r="M822" s="108"/>
      <c r="N822" s="108"/>
      <c r="O822" s="108"/>
      <c r="P822" s="108"/>
      <c r="Q822" s="108"/>
      <c r="R822" s="108"/>
      <c r="S822" s="108"/>
    </row>
    <row r="823" spans="1:19">
      <c r="A823" s="143">
        <v>45047</v>
      </c>
      <c r="B823" s="104" t="s">
        <v>17</v>
      </c>
      <c r="C823" s="105">
        <v>639</v>
      </c>
      <c r="D823" s="104">
        <v>38</v>
      </c>
      <c r="E823" s="106">
        <v>0.0594679186228482</v>
      </c>
      <c r="F823" s="107">
        <v>7</v>
      </c>
      <c r="G823" s="106">
        <v>0.184210526315789</v>
      </c>
      <c r="H823" s="108">
        <v>-29</v>
      </c>
      <c r="I823" s="108">
        <v>-3</v>
      </c>
      <c r="J823" s="108">
        <v>-6.79999999999995</v>
      </c>
      <c r="K823" s="108">
        <v>21.1428571428571</v>
      </c>
      <c r="L823" s="108">
        <v>-6</v>
      </c>
      <c r="M823" s="108">
        <v>-7</v>
      </c>
      <c r="N823" s="108">
        <v>-6.8</v>
      </c>
      <c r="O823" s="108">
        <v>-4.71428571428572</v>
      </c>
      <c r="P823" s="108">
        <v>-4</v>
      </c>
      <c r="Q823" s="108">
        <v>0</v>
      </c>
      <c r="R823" s="108">
        <v>-0.8</v>
      </c>
      <c r="S823" s="108">
        <v>-0.857142857142857</v>
      </c>
    </row>
    <row r="824" spans="1:19">
      <c r="A824" s="143">
        <v>45047</v>
      </c>
      <c r="B824" s="104" t="s">
        <v>19</v>
      </c>
      <c r="C824" s="107">
        <v>1246</v>
      </c>
      <c r="D824" s="104">
        <v>27</v>
      </c>
      <c r="E824" s="106">
        <v>0.021669341894061</v>
      </c>
      <c r="F824" s="107">
        <v>11</v>
      </c>
      <c r="G824" s="106">
        <v>0.407407407407407</v>
      </c>
      <c r="H824" s="108">
        <v>66</v>
      </c>
      <c r="I824" s="108">
        <v>346.666666666667</v>
      </c>
      <c r="J824" s="108">
        <v>356</v>
      </c>
      <c r="K824" s="108">
        <v>-374.857142857143</v>
      </c>
      <c r="L824" s="108">
        <v>3</v>
      </c>
      <c r="M824" s="108">
        <v>7.33333333333333</v>
      </c>
      <c r="N824" s="108">
        <v>8.2</v>
      </c>
      <c r="O824" s="108">
        <v>-1.71428571428572</v>
      </c>
      <c r="P824" s="108">
        <v>3</v>
      </c>
      <c r="Q824" s="108">
        <v>4</v>
      </c>
      <c r="R824" s="108">
        <v>2.8</v>
      </c>
      <c r="S824" s="115">
        <v>-0.857142857142858</v>
      </c>
    </row>
    <row r="825" spans="1:19">
      <c r="A825" s="143">
        <v>45047</v>
      </c>
      <c r="B825" s="104" t="s">
        <v>21</v>
      </c>
      <c r="C825" s="145">
        <v>504</v>
      </c>
      <c r="D825" s="104">
        <v>29</v>
      </c>
      <c r="E825" s="106">
        <v>0.0575396825396825</v>
      </c>
      <c r="F825" s="107">
        <v>5</v>
      </c>
      <c r="G825" s="106">
        <v>0.172413793103448</v>
      </c>
      <c r="H825" s="108">
        <v>-44</v>
      </c>
      <c r="I825" s="108">
        <v>-71</v>
      </c>
      <c r="J825" s="108">
        <v>-85.8</v>
      </c>
      <c r="K825" s="108">
        <v>-75.5714285714286</v>
      </c>
      <c r="L825" s="108">
        <v>3</v>
      </c>
      <c r="M825" s="108">
        <v>0</v>
      </c>
      <c r="N825" s="108">
        <v>-1.4</v>
      </c>
      <c r="O825" s="108">
        <v>0.428571428571427</v>
      </c>
      <c r="P825" s="108">
        <v>-6</v>
      </c>
      <c r="Q825" s="108">
        <v>-4.66666666666667</v>
      </c>
      <c r="R825" s="108">
        <v>-4.4</v>
      </c>
      <c r="S825" s="108">
        <v>-4</v>
      </c>
    </row>
    <row r="826" spans="1:19">
      <c r="A826" s="143">
        <v>45047</v>
      </c>
      <c r="B826" s="104" t="s">
        <v>22</v>
      </c>
      <c r="C826" s="145">
        <v>2838</v>
      </c>
      <c r="D826" s="104">
        <v>29</v>
      </c>
      <c r="E826" s="106">
        <v>0.0102184637068358</v>
      </c>
      <c r="F826" s="107">
        <v>7</v>
      </c>
      <c r="G826" s="106">
        <v>0.241379310344828</v>
      </c>
      <c r="H826" s="108">
        <v>56</v>
      </c>
      <c r="I826" s="108">
        <v>-178.333333333333</v>
      </c>
      <c r="J826" s="108">
        <v>-412.8</v>
      </c>
      <c r="K826" s="108">
        <v>-503.285714285714</v>
      </c>
      <c r="L826" s="108">
        <v>-20</v>
      </c>
      <c r="M826" s="108">
        <v>-22.6666666666667</v>
      </c>
      <c r="N826" s="108">
        <v>-30.2</v>
      </c>
      <c r="O826" s="115">
        <v>-32.2857142857143</v>
      </c>
      <c r="P826" s="108">
        <v>-6</v>
      </c>
      <c r="Q826" s="108">
        <v>-11.6666666666667</v>
      </c>
      <c r="R826" s="108">
        <v>-14.8</v>
      </c>
      <c r="S826" s="117">
        <v>-15.8571428571429</v>
      </c>
    </row>
    <row r="827" spans="1:19">
      <c r="A827" s="143">
        <v>45047</v>
      </c>
      <c r="B827" s="104" t="s">
        <v>23</v>
      </c>
      <c r="C827" s="145">
        <v>2639</v>
      </c>
      <c r="D827" s="104">
        <v>21</v>
      </c>
      <c r="E827" s="106">
        <v>0.00795755968169761</v>
      </c>
      <c r="F827" s="107">
        <v>8</v>
      </c>
      <c r="G827" s="106">
        <v>0.380952380952381</v>
      </c>
      <c r="H827" s="108">
        <v>-34</v>
      </c>
      <c r="I827" s="108">
        <v>-27.3333333333335</v>
      </c>
      <c r="J827" s="108">
        <v>-39.1999999999998</v>
      </c>
      <c r="K827" s="108">
        <v>2.71428571428578</v>
      </c>
      <c r="L827" s="108">
        <v>1</v>
      </c>
      <c r="M827" s="108">
        <v>2.66666666666667</v>
      </c>
      <c r="N827" s="108">
        <v>-2.4</v>
      </c>
      <c r="O827" s="108">
        <v>-2.71428571428572</v>
      </c>
      <c r="P827" s="108">
        <v>3</v>
      </c>
      <c r="Q827" s="116">
        <v>1.33333333333333</v>
      </c>
      <c r="R827" s="108">
        <v>1.6</v>
      </c>
      <c r="S827" s="108">
        <v>1.71428571428571</v>
      </c>
    </row>
    <row r="828" spans="1:19">
      <c r="A828" s="143">
        <v>45047</v>
      </c>
      <c r="B828" s="104" t="s">
        <v>24</v>
      </c>
      <c r="C828" s="145">
        <v>2130</v>
      </c>
      <c r="D828" s="104">
        <v>5</v>
      </c>
      <c r="E828" s="106">
        <v>0.00234741784037559</v>
      </c>
      <c r="F828" s="107">
        <v>1</v>
      </c>
      <c r="G828" s="106">
        <v>0.2</v>
      </c>
      <c r="H828" s="108">
        <v>1684</v>
      </c>
      <c r="I828" s="108">
        <v>1698.33333333333</v>
      </c>
      <c r="J828" s="108">
        <v>1788.4</v>
      </c>
      <c r="K828" s="108">
        <v>1805.57142857143</v>
      </c>
      <c r="L828" s="115">
        <v>1</v>
      </c>
      <c r="M828" s="115">
        <v>2.66666666666667</v>
      </c>
      <c r="N828" s="117">
        <v>3</v>
      </c>
      <c r="O828" s="117">
        <v>3.14285714285714</v>
      </c>
      <c r="P828" s="115">
        <v>1</v>
      </c>
      <c r="Q828" s="115">
        <v>0.666666666666667</v>
      </c>
      <c r="R828" s="115">
        <v>0.6</v>
      </c>
      <c r="S828" s="115">
        <v>0.714285714285714</v>
      </c>
    </row>
    <row r="829" spans="1:19">
      <c r="A829" s="143">
        <v>45047</v>
      </c>
      <c r="B829" s="104" t="s">
        <v>25</v>
      </c>
      <c r="C829" s="145">
        <v>12192</v>
      </c>
      <c r="D829" s="104">
        <v>36</v>
      </c>
      <c r="E829" s="106">
        <v>0.00295275590551181</v>
      </c>
      <c r="F829" s="107">
        <v>21</v>
      </c>
      <c r="G829" s="106">
        <v>0.583333333333333</v>
      </c>
      <c r="H829" s="108">
        <v>1542</v>
      </c>
      <c r="I829" s="108">
        <v>-2140</v>
      </c>
      <c r="J829" s="108">
        <v>-2711.2</v>
      </c>
      <c r="K829" s="108">
        <v>-2521.71428571429</v>
      </c>
      <c r="L829" s="116">
        <v>-14</v>
      </c>
      <c r="M829" s="115">
        <v>-22.3333333333333</v>
      </c>
      <c r="N829" s="115">
        <v>-22.6</v>
      </c>
      <c r="O829" s="115">
        <v>-15.2857142857143</v>
      </c>
      <c r="P829" s="108">
        <v>4</v>
      </c>
      <c r="Q829" s="108">
        <v>-1.33333333333333</v>
      </c>
      <c r="R829" s="108">
        <v>-1.4</v>
      </c>
      <c r="S829" s="108">
        <v>1.71428571428572</v>
      </c>
    </row>
    <row r="830" spans="1:19">
      <c r="A830" s="143">
        <v>45047</v>
      </c>
      <c r="B830" s="104" t="s">
        <v>26</v>
      </c>
      <c r="C830" s="145">
        <v>2596</v>
      </c>
      <c r="D830" s="104">
        <v>16</v>
      </c>
      <c r="E830" s="106">
        <v>0.0061633281972265</v>
      </c>
      <c r="F830" s="107">
        <v>5</v>
      </c>
      <c r="G830" s="106">
        <v>0.3125</v>
      </c>
      <c r="H830" s="108">
        <v>-16</v>
      </c>
      <c r="I830" s="108">
        <v>76.6666666666665</v>
      </c>
      <c r="J830" s="108">
        <v>-26</v>
      </c>
      <c r="K830" s="108">
        <v>69.7142857142858</v>
      </c>
      <c r="L830" s="108">
        <v>-5</v>
      </c>
      <c r="M830" s="108">
        <v>-4.33333333333333</v>
      </c>
      <c r="N830" s="108">
        <v>-2</v>
      </c>
      <c r="O830" s="108">
        <v>-1.28571428571428</v>
      </c>
      <c r="P830" s="108">
        <v>0</v>
      </c>
      <c r="Q830" s="108">
        <v>-1</v>
      </c>
      <c r="R830" s="108">
        <v>-0.8</v>
      </c>
      <c r="S830" s="108">
        <v>-1.85714285714286</v>
      </c>
    </row>
    <row r="831" spans="1:19">
      <c r="A831" s="143">
        <v>45047</v>
      </c>
      <c r="B831" s="104" t="s">
        <v>27</v>
      </c>
      <c r="C831" s="145">
        <v>2666</v>
      </c>
      <c r="D831" s="104">
        <v>27</v>
      </c>
      <c r="E831" s="106">
        <v>0.0101275318829707</v>
      </c>
      <c r="F831" s="107">
        <v>12</v>
      </c>
      <c r="G831" s="106">
        <v>0.444444444444444</v>
      </c>
      <c r="H831" s="108">
        <v>938</v>
      </c>
      <c r="I831" s="108">
        <v>1291.33333333333</v>
      </c>
      <c r="J831" s="108">
        <v>1515.6</v>
      </c>
      <c r="K831" s="108">
        <v>1732</v>
      </c>
      <c r="L831" s="108">
        <v>18</v>
      </c>
      <c r="M831" s="108">
        <v>15.3333333333333</v>
      </c>
      <c r="N831" s="108">
        <v>15.8</v>
      </c>
      <c r="O831" s="108">
        <v>18</v>
      </c>
      <c r="P831" s="108">
        <v>9</v>
      </c>
      <c r="Q831" s="108">
        <v>9.33333333333333</v>
      </c>
      <c r="R831" s="108">
        <v>9</v>
      </c>
      <c r="S831" s="108">
        <v>9.71428571428572</v>
      </c>
    </row>
    <row r="832" spans="1:19">
      <c r="A832" s="143">
        <v>45047</v>
      </c>
      <c r="B832" s="104" t="s">
        <v>28</v>
      </c>
      <c r="C832" s="145">
        <v>0</v>
      </c>
      <c r="D832" s="104">
        <v>0</v>
      </c>
      <c r="E832" s="106">
        <v>0</v>
      </c>
      <c r="F832" s="107">
        <v>0</v>
      </c>
      <c r="G832" s="106">
        <v>0</v>
      </c>
      <c r="H832" s="108">
        <v>0</v>
      </c>
      <c r="I832" s="108">
        <v>0</v>
      </c>
      <c r="J832" s="108">
        <v>0</v>
      </c>
      <c r="K832" s="108">
        <v>0</v>
      </c>
      <c r="L832" s="108">
        <v>0</v>
      </c>
      <c r="M832" s="108">
        <v>0</v>
      </c>
      <c r="N832" s="108">
        <v>0</v>
      </c>
      <c r="O832" s="108">
        <v>-0.142857142857143</v>
      </c>
      <c r="P832" s="108">
        <v>0</v>
      </c>
      <c r="Q832" s="108">
        <v>0</v>
      </c>
      <c r="R832" s="108">
        <v>0</v>
      </c>
      <c r="S832" s="108">
        <v>0</v>
      </c>
    </row>
    <row r="833" spans="1:19">
      <c r="A833" s="143">
        <v>45047</v>
      </c>
      <c r="B833" s="104" t="s">
        <v>29</v>
      </c>
      <c r="C833" s="145">
        <v>0</v>
      </c>
      <c r="D833" s="104">
        <v>0</v>
      </c>
      <c r="E833" s="106">
        <v>0</v>
      </c>
      <c r="F833" s="107">
        <v>0</v>
      </c>
      <c r="G833" s="106">
        <v>0</v>
      </c>
      <c r="H833" s="108">
        <v>0</v>
      </c>
      <c r="I833" s="108">
        <v>0</v>
      </c>
      <c r="J833" s="108">
        <v>-0.2</v>
      </c>
      <c r="K833" s="108">
        <v>-0.142857142857143</v>
      </c>
      <c r="L833" s="108">
        <v>0</v>
      </c>
      <c r="M833" s="108">
        <v>0</v>
      </c>
      <c r="N833" s="108">
        <v>0</v>
      </c>
      <c r="O833" s="108">
        <v>-0.142857142857143</v>
      </c>
      <c r="P833" s="108">
        <v>0</v>
      </c>
      <c r="Q833" s="108">
        <v>0</v>
      </c>
      <c r="R833" s="108">
        <v>0</v>
      </c>
      <c r="S833" s="108">
        <v>0</v>
      </c>
    </row>
    <row r="834" spans="1:19">
      <c r="A834" s="143">
        <v>45047</v>
      </c>
      <c r="B834" s="104" t="s">
        <v>30</v>
      </c>
      <c r="C834" s="145">
        <v>0</v>
      </c>
      <c r="D834" s="104">
        <v>0</v>
      </c>
      <c r="E834" s="106">
        <v>0</v>
      </c>
      <c r="F834" s="107">
        <v>0</v>
      </c>
      <c r="G834" s="106">
        <v>0</v>
      </c>
      <c r="H834" s="108">
        <v>0</v>
      </c>
      <c r="I834" s="108">
        <v>0</v>
      </c>
      <c r="J834" s="108">
        <v>0</v>
      </c>
      <c r="K834" s="108">
        <v>0</v>
      </c>
      <c r="L834" s="108">
        <v>0</v>
      </c>
      <c r="M834" s="108">
        <v>0</v>
      </c>
      <c r="N834" s="108">
        <v>0</v>
      </c>
      <c r="O834" s="108">
        <v>0</v>
      </c>
      <c r="P834" s="108">
        <v>0</v>
      </c>
      <c r="Q834" s="108">
        <v>0</v>
      </c>
      <c r="R834" s="108">
        <v>0</v>
      </c>
      <c r="S834" s="108">
        <v>0</v>
      </c>
    </row>
    <row r="835" spans="1:19">
      <c r="A835" s="143">
        <v>45047</v>
      </c>
      <c r="B835" s="104" t="s">
        <v>31</v>
      </c>
      <c r="C835" s="145">
        <v>0</v>
      </c>
      <c r="D835" s="104">
        <v>0</v>
      </c>
      <c r="E835" s="106">
        <v>0</v>
      </c>
      <c r="F835" s="107">
        <v>0</v>
      </c>
      <c r="G835" s="106">
        <v>0</v>
      </c>
      <c r="H835" s="108">
        <v>0</v>
      </c>
      <c r="I835" s="108">
        <v>0</v>
      </c>
      <c r="J835" s="108">
        <v>0</v>
      </c>
      <c r="K835" s="108">
        <v>0</v>
      </c>
      <c r="L835" s="108">
        <v>0</v>
      </c>
      <c r="M835" s="108">
        <v>-0.333333333333333</v>
      </c>
      <c r="N835" s="108">
        <v>-0.2</v>
      </c>
      <c r="O835" s="108">
        <v>-0.142857142857143</v>
      </c>
      <c r="P835" s="108">
        <v>0</v>
      </c>
      <c r="Q835" s="108">
        <v>0</v>
      </c>
      <c r="R835" s="108">
        <v>0</v>
      </c>
      <c r="S835" s="108">
        <v>0</v>
      </c>
    </row>
    <row r="836" spans="1:19">
      <c r="A836" s="143">
        <v>45047</v>
      </c>
      <c r="B836" s="104" t="s">
        <v>32</v>
      </c>
      <c r="C836" s="145">
        <v>0</v>
      </c>
      <c r="D836" s="104">
        <v>0</v>
      </c>
      <c r="E836" s="106">
        <v>0</v>
      </c>
      <c r="F836" s="107">
        <v>0</v>
      </c>
      <c r="G836" s="106">
        <v>0</v>
      </c>
      <c r="H836" s="108">
        <v>0</v>
      </c>
      <c r="I836" s="108">
        <v>0</v>
      </c>
      <c r="J836" s="108">
        <v>0</v>
      </c>
      <c r="K836" s="108">
        <v>0</v>
      </c>
      <c r="L836" s="108">
        <v>0</v>
      </c>
      <c r="M836" s="108">
        <v>0</v>
      </c>
      <c r="N836" s="108">
        <v>0</v>
      </c>
      <c r="O836" s="108">
        <v>0</v>
      </c>
      <c r="P836" s="108">
        <v>0</v>
      </c>
      <c r="Q836" s="108">
        <v>0</v>
      </c>
      <c r="R836" s="108">
        <v>0</v>
      </c>
      <c r="S836" s="108">
        <v>0</v>
      </c>
    </row>
    <row r="837" spans="1:19">
      <c r="A837" s="143">
        <v>45047</v>
      </c>
      <c r="B837" s="104" t="s">
        <v>33</v>
      </c>
      <c r="C837" s="145">
        <v>0</v>
      </c>
      <c r="D837" s="104">
        <v>0</v>
      </c>
      <c r="E837" s="106">
        <v>0</v>
      </c>
      <c r="F837" s="107">
        <v>0</v>
      </c>
      <c r="G837" s="106">
        <v>0</v>
      </c>
      <c r="H837" s="108">
        <v>0</v>
      </c>
      <c r="I837" s="108">
        <v>0</v>
      </c>
      <c r="J837" s="108">
        <v>0</v>
      </c>
      <c r="K837" s="108">
        <v>0</v>
      </c>
      <c r="L837" s="108">
        <v>-1</v>
      </c>
      <c r="M837" s="108">
        <v>-0.666666666666667</v>
      </c>
      <c r="N837" s="108">
        <v>-0.4</v>
      </c>
      <c r="O837" s="108">
        <v>-0.285714285714286</v>
      </c>
      <c r="P837" s="108">
        <v>0</v>
      </c>
      <c r="Q837" s="108">
        <v>0</v>
      </c>
      <c r="R837" s="108">
        <v>0</v>
      </c>
      <c r="S837" s="108">
        <v>0</v>
      </c>
    </row>
    <row r="838" spans="1:19">
      <c r="A838" s="143">
        <v>45047</v>
      </c>
      <c r="B838" s="104" t="s">
        <v>34</v>
      </c>
      <c r="C838" s="145">
        <v>0</v>
      </c>
      <c r="D838" s="104">
        <v>0</v>
      </c>
      <c r="E838" s="106">
        <v>0</v>
      </c>
      <c r="F838" s="107">
        <v>0</v>
      </c>
      <c r="G838" s="106">
        <v>0</v>
      </c>
      <c r="H838" s="108">
        <v>0</v>
      </c>
      <c r="I838" s="108">
        <v>0</v>
      </c>
      <c r="J838" s="108">
        <v>0</v>
      </c>
      <c r="K838" s="108">
        <v>0</v>
      </c>
      <c r="L838" s="108">
        <v>0</v>
      </c>
      <c r="M838" s="108">
        <v>0</v>
      </c>
      <c r="N838" s="108">
        <v>0</v>
      </c>
      <c r="O838" s="108">
        <v>0</v>
      </c>
      <c r="P838" s="108">
        <v>0</v>
      </c>
      <c r="Q838" s="108">
        <v>0</v>
      </c>
      <c r="R838" s="108">
        <v>0</v>
      </c>
      <c r="S838" s="108">
        <v>0</v>
      </c>
    </row>
    <row r="839" spans="1:19">
      <c r="A839" s="143">
        <v>45047</v>
      </c>
      <c r="B839" s="104" t="s">
        <v>35</v>
      </c>
      <c r="C839" s="145">
        <v>0</v>
      </c>
      <c r="D839" s="104">
        <v>0</v>
      </c>
      <c r="E839" s="106">
        <v>0</v>
      </c>
      <c r="F839" s="107">
        <v>0</v>
      </c>
      <c r="G839" s="106">
        <v>0</v>
      </c>
      <c r="H839" s="108">
        <v>0</v>
      </c>
      <c r="I839" s="108">
        <v>0</v>
      </c>
      <c r="J839" s="108">
        <v>0</v>
      </c>
      <c r="K839" s="108">
        <v>0</v>
      </c>
      <c r="L839" s="108">
        <v>0</v>
      </c>
      <c r="M839" s="108">
        <v>0</v>
      </c>
      <c r="N839" s="108">
        <v>0</v>
      </c>
      <c r="O839" s="108">
        <v>0</v>
      </c>
      <c r="P839" s="108">
        <v>0</v>
      </c>
      <c r="Q839" s="108">
        <v>0</v>
      </c>
      <c r="R839" s="108">
        <v>0</v>
      </c>
      <c r="S839" s="108">
        <v>0</v>
      </c>
    </row>
    <row r="840" spans="1:19">
      <c r="A840" s="143">
        <v>45047</v>
      </c>
      <c r="B840" s="104" t="s">
        <v>36</v>
      </c>
      <c r="C840" s="145">
        <v>0</v>
      </c>
      <c r="D840" s="104">
        <v>0</v>
      </c>
      <c r="E840" s="106">
        <v>0</v>
      </c>
      <c r="F840" s="107">
        <v>0</v>
      </c>
      <c r="G840" s="106">
        <v>0</v>
      </c>
      <c r="H840" s="108">
        <v>0</v>
      </c>
      <c r="I840" s="108">
        <v>0</v>
      </c>
      <c r="J840" s="108">
        <v>0</v>
      </c>
      <c r="K840" s="108">
        <v>0</v>
      </c>
      <c r="L840" s="108">
        <v>0</v>
      </c>
      <c r="M840" s="108">
        <v>0</v>
      </c>
      <c r="N840" s="108">
        <v>0</v>
      </c>
      <c r="O840" s="108">
        <v>0</v>
      </c>
      <c r="P840" s="108">
        <v>0</v>
      </c>
      <c r="Q840" s="108">
        <v>0</v>
      </c>
      <c r="R840" s="108">
        <v>0</v>
      </c>
      <c r="S840" s="108">
        <v>0</v>
      </c>
    </row>
    <row r="841" spans="1:19">
      <c r="A841" s="143">
        <v>45047</v>
      </c>
      <c r="B841" s="104" t="s">
        <v>37</v>
      </c>
      <c r="C841" s="145">
        <v>0</v>
      </c>
      <c r="D841" s="104">
        <v>1</v>
      </c>
      <c r="E841" s="106">
        <v>1</v>
      </c>
      <c r="F841" s="107">
        <v>0</v>
      </c>
      <c r="G841" s="106">
        <v>0</v>
      </c>
      <c r="H841" s="108">
        <v>0</v>
      </c>
      <c r="I841" s="108">
        <v>0</v>
      </c>
      <c r="J841" s="108">
        <v>0</v>
      </c>
      <c r="K841" s="108">
        <v>0</v>
      </c>
      <c r="L841" s="108">
        <v>1</v>
      </c>
      <c r="M841" s="108">
        <v>1</v>
      </c>
      <c r="N841" s="108">
        <v>1</v>
      </c>
      <c r="O841" s="108">
        <v>1</v>
      </c>
      <c r="P841" s="108">
        <v>0</v>
      </c>
      <c r="Q841" s="108">
        <v>0</v>
      </c>
      <c r="R841" s="108">
        <v>0</v>
      </c>
      <c r="S841" s="108">
        <v>0</v>
      </c>
    </row>
    <row r="842" spans="1:19">
      <c r="A842" s="143">
        <v>45047</v>
      </c>
      <c r="B842" s="104" t="s">
        <v>38</v>
      </c>
      <c r="C842" s="145">
        <v>0</v>
      </c>
      <c r="D842" s="104">
        <v>0</v>
      </c>
      <c r="E842" s="106">
        <v>0</v>
      </c>
      <c r="F842" s="107">
        <v>0</v>
      </c>
      <c r="G842" s="106">
        <v>0</v>
      </c>
      <c r="H842" s="108">
        <v>0</v>
      </c>
      <c r="I842" s="108">
        <v>0</v>
      </c>
      <c r="J842" s="108">
        <v>0</v>
      </c>
      <c r="K842" s="108">
        <v>0</v>
      </c>
      <c r="L842" s="108">
        <v>0</v>
      </c>
      <c r="M842" s="108">
        <v>0</v>
      </c>
      <c r="N842" s="108">
        <v>0</v>
      </c>
      <c r="O842" s="108">
        <v>0</v>
      </c>
      <c r="P842" s="108">
        <v>0</v>
      </c>
      <c r="Q842" s="108">
        <v>0</v>
      </c>
      <c r="R842" s="108">
        <v>0</v>
      </c>
      <c r="S842" s="108">
        <v>0</v>
      </c>
    </row>
    <row r="843" spans="1:19">
      <c r="A843" s="143">
        <v>45047</v>
      </c>
      <c r="B843" s="111" t="s">
        <v>39</v>
      </c>
      <c r="C843" s="112">
        <v>27450</v>
      </c>
      <c r="D843" s="112">
        <v>229</v>
      </c>
      <c r="E843" s="113">
        <v>0.0083424408014572</v>
      </c>
      <c r="F843" s="112">
        <v>77</v>
      </c>
      <c r="G843" s="113">
        <v>0.336244541484716</v>
      </c>
      <c r="H843" s="108"/>
      <c r="I843" s="108"/>
      <c r="J843" s="108"/>
      <c r="K843" s="108"/>
      <c r="L843" s="108"/>
      <c r="M843" s="108"/>
      <c r="N843" s="108"/>
      <c r="O843" s="108"/>
      <c r="P843" s="108"/>
      <c r="Q843" s="108"/>
      <c r="R843" s="108"/>
      <c r="S843" s="108"/>
    </row>
    <row r="844" spans="1:19">
      <c r="A844" s="143">
        <v>45048</v>
      </c>
      <c r="B844" s="104" t="s">
        <v>17</v>
      </c>
      <c r="C844" s="105">
        <v>539</v>
      </c>
      <c r="D844" s="104">
        <v>31</v>
      </c>
      <c r="E844" s="106">
        <v>0.0575139146567718</v>
      </c>
      <c r="F844" s="107">
        <v>11</v>
      </c>
      <c r="G844" s="106">
        <v>0.354838709677419</v>
      </c>
      <c r="H844" s="108">
        <v>-100</v>
      </c>
      <c r="I844" s="108">
        <v>-126</v>
      </c>
      <c r="J844" s="108">
        <v>-111.4</v>
      </c>
      <c r="K844" s="108">
        <v>-95.1428571428571</v>
      </c>
      <c r="L844" s="108">
        <v>-7</v>
      </c>
      <c r="M844" s="108">
        <v>-13.6666666666667</v>
      </c>
      <c r="N844" s="108">
        <v>-14.2</v>
      </c>
      <c r="O844" s="108">
        <v>-12.4285714285714</v>
      </c>
      <c r="P844" s="108">
        <v>4</v>
      </c>
      <c r="Q844" s="108">
        <v>3</v>
      </c>
      <c r="R844" s="108">
        <v>4</v>
      </c>
      <c r="S844" s="108">
        <v>2.85714285714286</v>
      </c>
    </row>
    <row r="845" spans="1:19">
      <c r="A845" s="143">
        <v>45048</v>
      </c>
      <c r="B845" s="104" t="s">
        <v>19</v>
      </c>
      <c r="C845" s="107">
        <v>1106</v>
      </c>
      <c r="D845" s="104">
        <v>10</v>
      </c>
      <c r="E845" s="106">
        <v>0.00904159132007233</v>
      </c>
      <c r="F845" s="107">
        <v>5</v>
      </c>
      <c r="G845" s="106">
        <v>0.5</v>
      </c>
      <c r="H845" s="108">
        <v>-140</v>
      </c>
      <c r="I845" s="108">
        <v>-24.6666666666667</v>
      </c>
      <c r="J845" s="108">
        <v>175.2</v>
      </c>
      <c r="K845" s="108">
        <v>-188.857142857143</v>
      </c>
      <c r="L845" s="108">
        <v>-17</v>
      </c>
      <c r="M845" s="108">
        <v>-14</v>
      </c>
      <c r="N845" s="108">
        <v>-9.4</v>
      </c>
      <c r="O845" s="108">
        <v>-14.8571428571429</v>
      </c>
      <c r="P845" s="108">
        <v>-6</v>
      </c>
      <c r="Q845" s="108">
        <v>-4</v>
      </c>
      <c r="R845" s="108">
        <v>-2.6</v>
      </c>
      <c r="S845" s="115">
        <v>-5.14285714285714</v>
      </c>
    </row>
    <row r="846" spans="1:19">
      <c r="A846" s="143">
        <v>45048</v>
      </c>
      <c r="B846" s="104" t="s">
        <v>21</v>
      </c>
      <c r="C846" s="145">
        <v>561</v>
      </c>
      <c r="D846" s="104">
        <v>28</v>
      </c>
      <c r="E846" s="106">
        <v>0.0499108734402852</v>
      </c>
      <c r="F846" s="107">
        <v>7</v>
      </c>
      <c r="G846" s="106">
        <v>0.25</v>
      </c>
      <c r="H846" s="108">
        <v>57</v>
      </c>
      <c r="I846" s="108">
        <v>13.3333333333334</v>
      </c>
      <c r="J846" s="108">
        <v>-5.39999999999998</v>
      </c>
      <c r="K846" s="108">
        <v>-10.7142857142857</v>
      </c>
      <c r="L846" s="108">
        <v>-1</v>
      </c>
      <c r="M846" s="108">
        <v>-1.66666666666667</v>
      </c>
      <c r="N846" s="108">
        <v>-2.6</v>
      </c>
      <c r="O846" s="108">
        <v>-1.14285714285714</v>
      </c>
      <c r="P846" s="108">
        <v>2</v>
      </c>
      <c r="Q846" s="108">
        <v>-2.33333333333333</v>
      </c>
      <c r="R846" s="108">
        <v>-1.6</v>
      </c>
      <c r="S846" s="108">
        <v>-1.85714285714286</v>
      </c>
    </row>
    <row r="847" spans="1:19">
      <c r="A847" s="143">
        <v>45048</v>
      </c>
      <c r="B847" s="104" t="s">
        <v>22</v>
      </c>
      <c r="C847" s="145">
        <v>1616</v>
      </c>
      <c r="D847" s="104">
        <v>40</v>
      </c>
      <c r="E847" s="106">
        <v>0.0247524752475248</v>
      </c>
      <c r="F847" s="107">
        <v>11</v>
      </c>
      <c r="G847" s="106">
        <v>0.275</v>
      </c>
      <c r="H847" s="108">
        <v>-1222</v>
      </c>
      <c r="I847" s="108">
        <v>-1225</v>
      </c>
      <c r="J847" s="108">
        <v>-1470</v>
      </c>
      <c r="K847" s="108">
        <v>-1617.71428571429</v>
      </c>
      <c r="L847" s="108">
        <v>11</v>
      </c>
      <c r="M847" s="108">
        <v>-1</v>
      </c>
      <c r="N847" s="108">
        <v>-10</v>
      </c>
      <c r="O847" s="115">
        <v>-14.7142857142857</v>
      </c>
      <c r="P847" s="108">
        <v>4</v>
      </c>
      <c r="Q847" s="108">
        <v>-1.33333333333333</v>
      </c>
      <c r="R847" s="108">
        <v>-6.2</v>
      </c>
      <c r="S847" s="117">
        <v>-9</v>
      </c>
    </row>
    <row r="848" spans="1:19">
      <c r="A848" s="143">
        <v>45048</v>
      </c>
      <c r="B848" s="104" t="s">
        <v>23</v>
      </c>
      <c r="C848" s="145">
        <v>2472</v>
      </c>
      <c r="D848" s="104">
        <v>19</v>
      </c>
      <c r="E848" s="106">
        <v>0.00768608414239482</v>
      </c>
      <c r="F848" s="107">
        <v>7</v>
      </c>
      <c r="G848" s="106">
        <v>0.368421052631579</v>
      </c>
      <c r="H848" s="108">
        <v>-167</v>
      </c>
      <c r="I848" s="108">
        <v>-197.333333333333</v>
      </c>
      <c r="J848" s="108">
        <v>-188.4</v>
      </c>
      <c r="K848" s="108">
        <v>-190.142857142857</v>
      </c>
      <c r="L848" s="108">
        <v>-2</v>
      </c>
      <c r="M848" s="108">
        <v>0</v>
      </c>
      <c r="N848" s="108">
        <v>-2</v>
      </c>
      <c r="O848" s="108">
        <v>-4.28571428571428</v>
      </c>
      <c r="P848" s="108">
        <v>-1</v>
      </c>
      <c r="Q848" s="116">
        <v>1</v>
      </c>
      <c r="R848" s="108">
        <v>0.8</v>
      </c>
      <c r="S848" s="108">
        <v>0.714285714285714</v>
      </c>
    </row>
    <row r="849" spans="1:19">
      <c r="A849" s="143">
        <v>45048</v>
      </c>
      <c r="B849" s="104" t="s">
        <v>24</v>
      </c>
      <c r="C849" s="145">
        <v>2813</v>
      </c>
      <c r="D849" s="104">
        <v>20</v>
      </c>
      <c r="E849" s="106">
        <v>0.00710984713828653</v>
      </c>
      <c r="F849" s="107">
        <v>5</v>
      </c>
      <c r="G849" s="106">
        <v>0.25</v>
      </c>
      <c r="H849" s="108">
        <v>683</v>
      </c>
      <c r="I849" s="108">
        <v>1771</v>
      </c>
      <c r="J849" s="108">
        <v>2084</v>
      </c>
      <c r="K849" s="108">
        <v>2226.42857142857</v>
      </c>
      <c r="L849" s="115">
        <v>15</v>
      </c>
      <c r="M849" s="115">
        <v>16.3333333333333</v>
      </c>
      <c r="N849" s="117">
        <v>17</v>
      </c>
      <c r="O849" s="117">
        <v>17.7142857142857</v>
      </c>
      <c r="P849" s="115">
        <v>4</v>
      </c>
      <c r="Q849" s="115">
        <v>4.66666666666667</v>
      </c>
      <c r="R849" s="115">
        <v>4.6</v>
      </c>
      <c r="S849" s="115">
        <v>4.57142857142857</v>
      </c>
    </row>
    <row r="850" spans="1:19">
      <c r="A850" s="143">
        <v>45048</v>
      </c>
      <c r="B850" s="104" t="s">
        <v>25</v>
      </c>
      <c r="C850" s="145">
        <v>9398</v>
      </c>
      <c r="D850" s="104">
        <v>52</v>
      </c>
      <c r="E850" s="106">
        <v>0.00553309214726538</v>
      </c>
      <c r="F850" s="107">
        <v>23</v>
      </c>
      <c r="G850" s="106">
        <v>0.442307692307692</v>
      </c>
      <c r="H850" s="108">
        <v>-2794</v>
      </c>
      <c r="I850" s="108">
        <v>-3486</v>
      </c>
      <c r="J850" s="108">
        <v>-4629.2</v>
      </c>
      <c r="K850" s="108">
        <v>-5187.71428571429</v>
      </c>
      <c r="L850" s="116">
        <v>16</v>
      </c>
      <c r="M850" s="115">
        <v>8</v>
      </c>
      <c r="N850" s="115">
        <v>-3.2</v>
      </c>
      <c r="O850" s="115">
        <v>0.714285714285715</v>
      </c>
      <c r="P850" s="108">
        <v>2</v>
      </c>
      <c r="Q850" s="108">
        <v>4.66666666666667</v>
      </c>
      <c r="R850" s="108">
        <v>1.6</v>
      </c>
      <c r="S850" s="108">
        <v>2.14285714285714</v>
      </c>
    </row>
    <row r="851" spans="1:19">
      <c r="A851" s="143">
        <v>45048</v>
      </c>
      <c r="B851" s="104" t="s">
        <v>26</v>
      </c>
      <c r="C851" s="145">
        <v>2720</v>
      </c>
      <c r="D851" s="104">
        <v>21</v>
      </c>
      <c r="E851" s="106">
        <v>0.00772058823529412</v>
      </c>
      <c r="F851" s="107">
        <v>7</v>
      </c>
      <c r="G851" s="106">
        <v>0.333333333333333</v>
      </c>
      <c r="H851" s="108">
        <v>124</v>
      </c>
      <c r="I851" s="108">
        <v>127.333333333333</v>
      </c>
      <c r="J851" s="108">
        <v>171.6</v>
      </c>
      <c r="K851" s="108">
        <v>133.142857142857</v>
      </c>
      <c r="L851" s="108">
        <v>5</v>
      </c>
      <c r="M851" s="108">
        <v>1.33333333333333</v>
      </c>
      <c r="N851" s="108">
        <v>2.4</v>
      </c>
      <c r="O851" s="108">
        <v>3</v>
      </c>
      <c r="P851" s="108">
        <v>2</v>
      </c>
      <c r="Q851" s="108">
        <v>1.33333333333333</v>
      </c>
      <c r="R851" s="108">
        <v>0.8</v>
      </c>
      <c r="S851" s="108">
        <v>0.857142857142857</v>
      </c>
    </row>
    <row r="852" spans="1:19">
      <c r="A852" s="143">
        <v>45048</v>
      </c>
      <c r="B852" s="104" t="s">
        <v>27</v>
      </c>
      <c r="C852" s="145">
        <v>2888</v>
      </c>
      <c r="D852" s="104">
        <v>26</v>
      </c>
      <c r="E852" s="106">
        <v>0.00900277008310249</v>
      </c>
      <c r="F852" s="107">
        <v>5</v>
      </c>
      <c r="G852" s="106">
        <v>0.192307692307692</v>
      </c>
      <c r="H852" s="108">
        <v>222</v>
      </c>
      <c r="I852" s="108">
        <v>1010.66666666667</v>
      </c>
      <c r="J852" s="108">
        <v>1324.4</v>
      </c>
      <c r="K852" s="108">
        <v>1625.14285714286</v>
      </c>
      <c r="L852" s="108">
        <v>-1</v>
      </c>
      <c r="M852" s="108">
        <v>8.33333333333333</v>
      </c>
      <c r="N852" s="108">
        <v>11.4</v>
      </c>
      <c r="O852" s="108">
        <v>13.4285714285714</v>
      </c>
      <c r="P852" s="108">
        <v>-7</v>
      </c>
      <c r="Q852" s="108">
        <v>-1.66666666666667</v>
      </c>
      <c r="R852" s="108">
        <v>0</v>
      </c>
      <c r="S852" s="108">
        <v>1</v>
      </c>
    </row>
    <row r="853" hidden="1" spans="1:19">
      <c r="A853" s="143">
        <v>45048</v>
      </c>
      <c r="B853" s="104" t="s">
        <v>28</v>
      </c>
      <c r="C853" s="145">
        <v>0</v>
      </c>
      <c r="D853" s="104">
        <v>0</v>
      </c>
      <c r="E853" s="106">
        <v>0</v>
      </c>
      <c r="F853" s="107">
        <v>0</v>
      </c>
      <c r="G853" s="106">
        <v>0</v>
      </c>
      <c r="H853" s="108">
        <v>0</v>
      </c>
      <c r="I853" s="108">
        <v>0</v>
      </c>
      <c r="J853" s="108">
        <v>0</v>
      </c>
      <c r="K853" s="108">
        <v>0</v>
      </c>
      <c r="L853" s="108">
        <v>0</v>
      </c>
      <c r="M853" s="108">
        <v>0</v>
      </c>
      <c r="N853" s="108">
        <v>0</v>
      </c>
      <c r="O853" s="108">
        <v>-0.142857142857143</v>
      </c>
      <c r="P853" s="108">
        <v>0</v>
      </c>
      <c r="Q853" s="108">
        <v>0</v>
      </c>
      <c r="R853" s="108">
        <v>0</v>
      </c>
      <c r="S853" s="108">
        <v>0</v>
      </c>
    </row>
    <row r="854" hidden="1" spans="1:19">
      <c r="A854" s="143">
        <v>45048</v>
      </c>
      <c r="B854" s="104" t="s">
        <v>29</v>
      </c>
      <c r="C854" s="145">
        <v>1</v>
      </c>
      <c r="D854" s="104">
        <v>0</v>
      </c>
      <c r="E854" s="106">
        <v>0</v>
      </c>
      <c r="F854" s="107">
        <v>0</v>
      </c>
      <c r="G854" s="106">
        <v>0</v>
      </c>
      <c r="H854" s="108">
        <v>1</v>
      </c>
      <c r="I854" s="108">
        <v>1</v>
      </c>
      <c r="J854" s="108">
        <v>0.8</v>
      </c>
      <c r="K854" s="108">
        <v>0.857142857142857</v>
      </c>
      <c r="L854" s="108">
        <v>0</v>
      </c>
      <c r="M854" s="108">
        <v>0</v>
      </c>
      <c r="N854" s="108">
        <v>0</v>
      </c>
      <c r="O854" s="108">
        <v>0</v>
      </c>
      <c r="P854" s="108">
        <v>0</v>
      </c>
      <c r="Q854" s="108">
        <v>0</v>
      </c>
      <c r="R854" s="108">
        <v>0</v>
      </c>
      <c r="S854" s="108">
        <v>0</v>
      </c>
    </row>
    <row r="855" hidden="1" spans="1:19">
      <c r="A855" s="143">
        <v>45048</v>
      </c>
      <c r="B855" s="104" t="s">
        <v>30</v>
      </c>
      <c r="C855" s="145">
        <v>0</v>
      </c>
      <c r="D855" s="104">
        <v>0</v>
      </c>
      <c r="E855" s="106">
        <v>0</v>
      </c>
      <c r="F855" s="107">
        <v>0</v>
      </c>
      <c r="G855" s="106">
        <v>0</v>
      </c>
      <c r="H855" s="108">
        <v>0</v>
      </c>
      <c r="I855" s="108">
        <v>0</v>
      </c>
      <c r="J855" s="108">
        <v>0</v>
      </c>
      <c r="K855" s="108">
        <v>0</v>
      </c>
      <c r="L855" s="108">
        <v>0</v>
      </c>
      <c r="M855" s="108">
        <v>0</v>
      </c>
      <c r="N855" s="108">
        <v>0</v>
      </c>
      <c r="O855" s="108">
        <v>0</v>
      </c>
      <c r="P855" s="108">
        <v>0</v>
      </c>
      <c r="Q855" s="108">
        <v>0</v>
      </c>
      <c r="R855" s="108">
        <v>0</v>
      </c>
      <c r="S855" s="108">
        <v>0</v>
      </c>
    </row>
    <row r="856" hidden="1" spans="1:19">
      <c r="A856" s="143">
        <v>45048</v>
      </c>
      <c r="B856" s="104" t="s">
        <v>31</v>
      </c>
      <c r="C856" s="145">
        <v>0</v>
      </c>
      <c r="D856" s="104">
        <v>0</v>
      </c>
      <c r="E856" s="106">
        <v>0</v>
      </c>
      <c r="F856" s="107">
        <v>0</v>
      </c>
      <c r="G856" s="106">
        <v>0</v>
      </c>
      <c r="H856" s="108">
        <v>0</v>
      </c>
      <c r="I856" s="108">
        <v>0</v>
      </c>
      <c r="J856" s="108">
        <v>0</v>
      </c>
      <c r="K856" s="108">
        <v>0</v>
      </c>
      <c r="L856" s="108">
        <v>0</v>
      </c>
      <c r="M856" s="108">
        <v>0</v>
      </c>
      <c r="N856" s="108">
        <v>-0.2</v>
      </c>
      <c r="O856" s="108">
        <v>-0.142857142857143</v>
      </c>
      <c r="P856" s="108">
        <v>0</v>
      </c>
      <c r="Q856" s="108">
        <v>0</v>
      </c>
      <c r="R856" s="108">
        <v>0</v>
      </c>
      <c r="S856" s="108">
        <v>0</v>
      </c>
    </row>
    <row r="857" hidden="1" spans="1:19">
      <c r="A857" s="143">
        <v>45048</v>
      </c>
      <c r="B857" s="104" t="s">
        <v>32</v>
      </c>
      <c r="C857" s="145">
        <v>0</v>
      </c>
      <c r="D857" s="104">
        <v>0</v>
      </c>
      <c r="E857" s="106">
        <v>0</v>
      </c>
      <c r="F857" s="107">
        <v>0</v>
      </c>
      <c r="G857" s="106">
        <v>0</v>
      </c>
      <c r="H857" s="108">
        <v>0</v>
      </c>
      <c r="I857" s="108">
        <v>0</v>
      </c>
      <c r="J857" s="108">
        <v>0</v>
      </c>
      <c r="K857" s="108">
        <v>0</v>
      </c>
      <c r="L857" s="108">
        <v>0</v>
      </c>
      <c r="M857" s="108">
        <v>0</v>
      </c>
      <c r="N857" s="108">
        <v>0</v>
      </c>
      <c r="O857" s="108">
        <v>0</v>
      </c>
      <c r="P857" s="108">
        <v>0</v>
      </c>
      <c r="Q857" s="108">
        <v>0</v>
      </c>
      <c r="R857" s="108">
        <v>0</v>
      </c>
      <c r="S857" s="108">
        <v>0</v>
      </c>
    </row>
    <row r="858" hidden="1" spans="1:19">
      <c r="A858" s="143">
        <v>45048</v>
      </c>
      <c r="B858" s="104" t="s">
        <v>33</v>
      </c>
      <c r="C858" s="145">
        <v>0</v>
      </c>
      <c r="D858" s="104">
        <v>0</v>
      </c>
      <c r="E858" s="106">
        <v>0</v>
      </c>
      <c r="F858" s="107">
        <v>0</v>
      </c>
      <c r="G858" s="106">
        <v>0</v>
      </c>
      <c r="H858" s="108">
        <v>0</v>
      </c>
      <c r="I858" s="108">
        <v>0</v>
      </c>
      <c r="J858" s="108">
        <v>0</v>
      </c>
      <c r="K858" s="108">
        <v>0</v>
      </c>
      <c r="L858" s="108">
        <v>0</v>
      </c>
      <c r="M858" s="108">
        <v>-0.333333333333333</v>
      </c>
      <c r="N858" s="108">
        <v>-0.4</v>
      </c>
      <c r="O858" s="108">
        <v>-0.285714285714286</v>
      </c>
      <c r="P858" s="108">
        <v>0</v>
      </c>
      <c r="Q858" s="108">
        <v>0</v>
      </c>
      <c r="R858" s="108">
        <v>0</v>
      </c>
      <c r="S858" s="108">
        <v>0</v>
      </c>
    </row>
    <row r="859" hidden="1" spans="1:19">
      <c r="A859" s="143">
        <v>45048</v>
      </c>
      <c r="B859" s="104" t="s">
        <v>34</v>
      </c>
      <c r="C859" s="145">
        <v>0</v>
      </c>
      <c r="D859" s="104">
        <v>0</v>
      </c>
      <c r="E859" s="106">
        <v>0</v>
      </c>
      <c r="F859" s="107">
        <v>0</v>
      </c>
      <c r="G859" s="106">
        <v>0</v>
      </c>
      <c r="H859" s="108">
        <v>0</v>
      </c>
      <c r="I859" s="108">
        <v>0</v>
      </c>
      <c r="J859" s="108">
        <v>0</v>
      </c>
      <c r="K859" s="108">
        <v>0</v>
      </c>
      <c r="L859" s="108">
        <v>0</v>
      </c>
      <c r="M859" s="108">
        <v>0</v>
      </c>
      <c r="N859" s="108">
        <v>0</v>
      </c>
      <c r="O859" s="108">
        <v>0</v>
      </c>
      <c r="P859" s="108">
        <v>0</v>
      </c>
      <c r="Q859" s="108">
        <v>0</v>
      </c>
      <c r="R859" s="108">
        <v>0</v>
      </c>
      <c r="S859" s="108">
        <v>0</v>
      </c>
    </row>
    <row r="860" hidden="1" spans="1:19">
      <c r="A860" s="143">
        <v>45048</v>
      </c>
      <c r="B860" s="104" t="s">
        <v>35</v>
      </c>
      <c r="C860" s="145">
        <v>0</v>
      </c>
      <c r="D860" s="104">
        <v>0</v>
      </c>
      <c r="E860" s="106">
        <v>0</v>
      </c>
      <c r="F860" s="107">
        <v>0</v>
      </c>
      <c r="G860" s="106">
        <v>0</v>
      </c>
      <c r="H860" s="108">
        <v>0</v>
      </c>
      <c r="I860" s="108">
        <v>0</v>
      </c>
      <c r="J860" s="108">
        <v>0</v>
      </c>
      <c r="K860" s="108">
        <v>0</v>
      </c>
      <c r="L860" s="108">
        <v>0</v>
      </c>
      <c r="M860" s="108">
        <v>0</v>
      </c>
      <c r="N860" s="108">
        <v>0</v>
      </c>
      <c r="O860" s="108">
        <v>0</v>
      </c>
      <c r="P860" s="108">
        <v>0</v>
      </c>
      <c r="Q860" s="108">
        <v>0</v>
      </c>
      <c r="R860" s="108">
        <v>0</v>
      </c>
      <c r="S860" s="108">
        <v>0</v>
      </c>
    </row>
    <row r="861" hidden="1" spans="1:19">
      <c r="A861" s="143">
        <v>45048</v>
      </c>
      <c r="B861" s="104" t="s">
        <v>36</v>
      </c>
      <c r="C861" s="145">
        <v>0</v>
      </c>
      <c r="D861" s="104">
        <v>0</v>
      </c>
      <c r="E861" s="106">
        <v>0</v>
      </c>
      <c r="F861" s="107">
        <v>0</v>
      </c>
      <c r="G861" s="106">
        <v>0</v>
      </c>
      <c r="H861" s="108">
        <v>0</v>
      </c>
      <c r="I861" s="108">
        <v>0</v>
      </c>
      <c r="J861" s="108">
        <v>0</v>
      </c>
      <c r="K861" s="108">
        <v>0</v>
      </c>
      <c r="L861" s="108">
        <v>0</v>
      </c>
      <c r="M861" s="108">
        <v>0</v>
      </c>
      <c r="N861" s="108">
        <v>0</v>
      </c>
      <c r="O861" s="108">
        <v>0</v>
      </c>
      <c r="P861" s="108">
        <v>0</v>
      </c>
      <c r="Q861" s="108">
        <v>0</v>
      </c>
      <c r="R861" s="108">
        <v>0</v>
      </c>
      <c r="S861" s="108">
        <v>0</v>
      </c>
    </row>
    <row r="862" hidden="1" spans="1:19">
      <c r="A862" s="143">
        <v>45048</v>
      </c>
      <c r="B862" s="104" t="s">
        <v>37</v>
      </c>
      <c r="C862" s="145">
        <v>0</v>
      </c>
      <c r="D862" s="104">
        <v>0</v>
      </c>
      <c r="E862" s="106">
        <v>0</v>
      </c>
      <c r="F862" s="107">
        <v>0</v>
      </c>
      <c r="G862" s="106">
        <v>0</v>
      </c>
      <c r="H862" s="108">
        <v>0</v>
      </c>
      <c r="I862" s="108">
        <v>0</v>
      </c>
      <c r="J862" s="108">
        <v>0</v>
      </c>
      <c r="K862" s="108">
        <v>0</v>
      </c>
      <c r="L862" s="108">
        <v>-1</v>
      </c>
      <c r="M862" s="108">
        <v>-0.333333333333333</v>
      </c>
      <c r="N862" s="108">
        <v>-0.2</v>
      </c>
      <c r="O862" s="108">
        <v>-0.142857142857143</v>
      </c>
      <c r="P862" s="108">
        <v>0</v>
      </c>
      <c r="Q862" s="108">
        <v>0</v>
      </c>
      <c r="R862" s="108">
        <v>0</v>
      </c>
      <c r="S862" s="108">
        <v>0</v>
      </c>
    </row>
    <row r="863" hidden="1" spans="1:19">
      <c r="A863" s="143">
        <v>45048</v>
      </c>
      <c r="B863" s="104" t="s">
        <v>38</v>
      </c>
      <c r="C863" s="145">
        <v>0</v>
      </c>
      <c r="D863" s="104">
        <v>0</v>
      </c>
      <c r="E863" s="106">
        <v>0</v>
      </c>
      <c r="F863" s="107">
        <v>0</v>
      </c>
      <c r="G863" s="106">
        <v>0</v>
      </c>
      <c r="H863" s="108">
        <v>0</v>
      </c>
      <c r="I863" s="108">
        <v>0</v>
      </c>
      <c r="J863" s="108">
        <v>0</v>
      </c>
      <c r="K863" s="108">
        <v>0</v>
      </c>
      <c r="L863" s="108">
        <v>0</v>
      </c>
      <c r="M863" s="108">
        <v>0</v>
      </c>
      <c r="N863" s="108">
        <v>0</v>
      </c>
      <c r="O863" s="108">
        <v>0</v>
      </c>
      <c r="P863" s="108">
        <v>0</v>
      </c>
      <c r="Q863" s="108">
        <v>0</v>
      </c>
      <c r="R863" s="108">
        <v>0</v>
      </c>
      <c r="S863" s="108">
        <v>0</v>
      </c>
    </row>
    <row r="864" spans="1:19">
      <c r="A864" s="143">
        <v>45048</v>
      </c>
      <c r="B864" s="111" t="s">
        <v>39</v>
      </c>
      <c r="C864" s="112">
        <v>24114</v>
      </c>
      <c r="D864" s="112">
        <v>247</v>
      </c>
      <c r="E864" s="113">
        <v>0.0102430123579663</v>
      </c>
      <c r="F864" s="112">
        <v>81</v>
      </c>
      <c r="G864" s="113">
        <v>0.327935222672065</v>
      </c>
      <c r="H864" s="108"/>
      <c r="I864" s="108"/>
      <c r="J864" s="108"/>
      <c r="K864" s="108"/>
      <c r="L864" s="108"/>
      <c r="M864" s="108"/>
      <c r="N864" s="108"/>
      <c r="O864" s="108"/>
      <c r="P864" s="108"/>
      <c r="Q864" s="108"/>
      <c r="R864" s="108"/>
      <c r="S864" s="108"/>
    </row>
    <row r="865" spans="1:19">
      <c r="A865" s="143">
        <v>45049</v>
      </c>
      <c r="B865" s="104" t="s">
        <v>17</v>
      </c>
      <c r="C865" s="105">
        <v>668</v>
      </c>
      <c r="D865" s="104">
        <v>44</v>
      </c>
      <c r="E865" s="106">
        <v>0.0658682634730539</v>
      </c>
      <c r="F865" s="107">
        <v>4</v>
      </c>
      <c r="G865" s="106">
        <v>0.0909090909090909</v>
      </c>
      <c r="H865" s="108">
        <v>129</v>
      </c>
      <c r="I865" s="108">
        <v>52.6666666666666</v>
      </c>
      <c r="J865" s="108">
        <v>47.2</v>
      </c>
      <c r="K865" s="108">
        <v>38.4285714285714</v>
      </c>
      <c r="L865" s="108">
        <v>13</v>
      </c>
      <c r="M865" s="108">
        <v>6.33333333333334</v>
      </c>
      <c r="N865" s="108">
        <v>3.2</v>
      </c>
      <c r="O865" s="108">
        <v>2.14285714285715</v>
      </c>
      <c r="P865" s="108">
        <v>-7</v>
      </c>
      <c r="Q865" s="108">
        <v>-5.66666666666667</v>
      </c>
      <c r="R865" s="108">
        <v>-3.8</v>
      </c>
      <c r="S865" s="108">
        <v>-4.14285714285714</v>
      </c>
    </row>
    <row r="866" spans="1:19">
      <c r="A866" s="143">
        <v>45049</v>
      </c>
      <c r="B866" s="104" t="s">
        <v>19</v>
      </c>
      <c r="C866" s="107">
        <v>1104</v>
      </c>
      <c r="D866" s="104">
        <v>21</v>
      </c>
      <c r="E866" s="106">
        <v>0.0190217391304348</v>
      </c>
      <c r="F866" s="107">
        <v>9</v>
      </c>
      <c r="G866" s="106">
        <v>0.428571428571429</v>
      </c>
      <c r="H866" s="108">
        <v>-2</v>
      </c>
      <c r="I866" s="108">
        <v>-73.3333333333333</v>
      </c>
      <c r="J866" s="108">
        <v>94</v>
      </c>
      <c r="K866" s="108">
        <v>132.285714285714</v>
      </c>
      <c r="L866" s="108">
        <v>11</v>
      </c>
      <c r="M866" s="108">
        <v>0.666666666666668</v>
      </c>
      <c r="N866" s="108">
        <v>1.8</v>
      </c>
      <c r="O866" s="108">
        <v>2.28571428571428</v>
      </c>
      <c r="P866" s="108">
        <v>4</v>
      </c>
      <c r="Q866" s="108">
        <v>1</v>
      </c>
      <c r="R866" s="108">
        <v>1.6</v>
      </c>
      <c r="S866" s="115">
        <v>0.857142857142858</v>
      </c>
    </row>
    <row r="867" spans="1:19">
      <c r="A867" s="143">
        <v>45049</v>
      </c>
      <c r="B867" s="104" t="s">
        <v>21</v>
      </c>
      <c r="C867" s="145">
        <v>506</v>
      </c>
      <c r="D867" s="104">
        <v>26</v>
      </c>
      <c r="E867" s="106">
        <v>0.0513833992094862</v>
      </c>
      <c r="F867" s="107">
        <v>12</v>
      </c>
      <c r="G867" s="106">
        <v>0.461538461538462</v>
      </c>
      <c r="H867" s="108">
        <v>-55</v>
      </c>
      <c r="I867" s="108">
        <v>-31.6666666666666</v>
      </c>
      <c r="J867" s="108">
        <v>-52</v>
      </c>
      <c r="K867" s="108">
        <v>-67.4285714285714</v>
      </c>
      <c r="L867" s="108">
        <v>-2</v>
      </c>
      <c r="M867" s="108">
        <v>-1.66666666666667</v>
      </c>
      <c r="N867" s="108">
        <v>-2.8</v>
      </c>
      <c r="O867" s="108">
        <v>-3.85714285714286</v>
      </c>
      <c r="P867" s="108">
        <v>5</v>
      </c>
      <c r="Q867" s="108">
        <v>4.33333333333333</v>
      </c>
      <c r="R867" s="108">
        <v>3.8</v>
      </c>
      <c r="S867" s="108">
        <v>3.57142857142857</v>
      </c>
    </row>
    <row r="868" spans="1:19">
      <c r="A868" s="143">
        <v>45049</v>
      </c>
      <c r="B868" s="104" t="s">
        <v>22</v>
      </c>
      <c r="C868" s="145">
        <v>1583</v>
      </c>
      <c r="D868" s="104">
        <v>45</v>
      </c>
      <c r="E868" s="106">
        <v>0.0284270372710044</v>
      </c>
      <c r="F868" s="107">
        <v>9</v>
      </c>
      <c r="G868" s="106">
        <v>0.2</v>
      </c>
      <c r="H868" s="108">
        <v>-33</v>
      </c>
      <c r="I868" s="108">
        <v>-829</v>
      </c>
      <c r="J868" s="108">
        <v>-1117.6</v>
      </c>
      <c r="K868" s="108">
        <v>-1375.28571428571</v>
      </c>
      <c r="L868" s="108">
        <v>5</v>
      </c>
      <c r="M868" s="108">
        <v>5.66666666666666</v>
      </c>
      <c r="N868" s="108">
        <v>0.200000000000003</v>
      </c>
      <c r="O868" s="115">
        <v>-7.14285714285715</v>
      </c>
      <c r="P868" s="108">
        <v>-2</v>
      </c>
      <c r="Q868" s="108">
        <v>-1.33333333333333</v>
      </c>
      <c r="R868" s="108">
        <v>-5.8</v>
      </c>
      <c r="S868" s="117">
        <v>-9.14285714285714</v>
      </c>
    </row>
    <row r="869" spans="1:19">
      <c r="A869" s="143">
        <v>45049</v>
      </c>
      <c r="B869" s="104" t="s">
        <v>23</v>
      </c>
      <c r="C869" s="145">
        <v>2416</v>
      </c>
      <c r="D869" s="104">
        <v>18</v>
      </c>
      <c r="E869" s="106">
        <v>0.00745033112582781</v>
      </c>
      <c r="F869" s="107">
        <v>7</v>
      </c>
      <c r="G869" s="106">
        <v>0.388888888888889</v>
      </c>
      <c r="H869" s="108">
        <v>-56</v>
      </c>
      <c r="I869" s="108">
        <v>-178.666666666667</v>
      </c>
      <c r="J869" s="108">
        <v>-206</v>
      </c>
      <c r="K869" s="108">
        <v>-227.142857142857</v>
      </c>
      <c r="L869" s="108">
        <v>-1</v>
      </c>
      <c r="M869" s="108">
        <v>-2</v>
      </c>
      <c r="N869" s="108">
        <v>-1</v>
      </c>
      <c r="O869" s="108">
        <v>-4.42857142857143</v>
      </c>
      <c r="P869" s="108">
        <v>0</v>
      </c>
      <c r="Q869" s="116">
        <v>0.333333333333333</v>
      </c>
      <c r="R869" s="108">
        <v>0</v>
      </c>
      <c r="S869" s="108">
        <v>0.285714285714286</v>
      </c>
    </row>
    <row r="870" spans="1:19">
      <c r="A870" s="143">
        <v>45049</v>
      </c>
      <c r="B870" s="104" t="s">
        <v>24</v>
      </c>
      <c r="C870" s="145">
        <v>3933</v>
      </c>
      <c r="D870" s="104">
        <v>49</v>
      </c>
      <c r="E870" s="106">
        <v>0.0124586829392321</v>
      </c>
      <c r="F870" s="107">
        <v>10</v>
      </c>
      <c r="G870" s="106">
        <v>0.204081632653061</v>
      </c>
      <c r="H870" s="108">
        <v>1120</v>
      </c>
      <c r="I870" s="108">
        <v>2136.66666666667</v>
      </c>
      <c r="J870" s="108">
        <v>2685.4</v>
      </c>
      <c r="K870" s="108">
        <v>2982.85714285714</v>
      </c>
      <c r="L870" s="115">
        <v>29</v>
      </c>
      <c r="M870" s="115">
        <v>39.3333333333333</v>
      </c>
      <c r="N870" s="115">
        <v>42.6</v>
      </c>
      <c r="O870" s="115">
        <v>44</v>
      </c>
      <c r="P870" s="115">
        <v>5</v>
      </c>
      <c r="Q870" s="115">
        <v>8</v>
      </c>
      <c r="R870" s="115">
        <v>8.6</v>
      </c>
      <c r="S870" s="115">
        <v>8.85714285714286</v>
      </c>
    </row>
    <row r="871" spans="1:19">
      <c r="A871" s="143">
        <v>45049</v>
      </c>
      <c r="B871" s="104" t="s">
        <v>25</v>
      </c>
      <c r="C871" s="145">
        <v>13990</v>
      </c>
      <c r="D871" s="104">
        <v>54</v>
      </c>
      <c r="E871" s="106">
        <v>0.00385989992852037</v>
      </c>
      <c r="F871" s="107">
        <v>19</v>
      </c>
      <c r="G871" s="106">
        <v>0.351851851851852</v>
      </c>
      <c r="H871" s="108">
        <v>4592</v>
      </c>
      <c r="I871" s="108">
        <v>3243.33333333333</v>
      </c>
      <c r="J871" s="108">
        <v>1072.8</v>
      </c>
      <c r="K871" s="108">
        <v>260.571428571429</v>
      </c>
      <c r="L871" s="116">
        <v>2</v>
      </c>
      <c r="M871" s="115">
        <v>8</v>
      </c>
      <c r="N871" s="115">
        <v>1.4</v>
      </c>
      <c r="O871" s="115">
        <v>-0.428571428571431</v>
      </c>
      <c r="P871" s="108">
        <v>-4</v>
      </c>
      <c r="Q871" s="108">
        <v>-1.33333333333333</v>
      </c>
      <c r="R871" s="108">
        <v>-3.2</v>
      </c>
      <c r="S871" s="108">
        <v>-3.28571428571428</v>
      </c>
    </row>
    <row r="872" spans="1:19">
      <c r="A872" s="143">
        <v>45049</v>
      </c>
      <c r="B872" s="104" t="s">
        <v>26</v>
      </c>
      <c r="C872" s="145">
        <v>2470</v>
      </c>
      <c r="D872" s="104">
        <v>19</v>
      </c>
      <c r="E872" s="106">
        <v>0.00769230769230769</v>
      </c>
      <c r="F872" s="107">
        <v>1</v>
      </c>
      <c r="G872" s="106">
        <v>0.0526315789473684</v>
      </c>
      <c r="H872" s="108">
        <v>-250</v>
      </c>
      <c r="I872" s="108">
        <v>-172.666666666667</v>
      </c>
      <c r="J872" s="108">
        <v>-104.8</v>
      </c>
      <c r="K872" s="108">
        <v>-162.285714285714</v>
      </c>
      <c r="L872" s="108">
        <v>-2</v>
      </c>
      <c r="M872" s="108">
        <v>-0.333333333333332</v>
      </c>
      <c r="N872" s="108">
        <v>-0.600000000000001</v>
      </c>
      <c r="O872" s="108">
        <v>0.857142857142858</v>
      </c>
      <c r="P872" s="108">
        <v>-6</v>
      </c>
      <c r="Q872" s="108">
        <v>-4.66666666666667</v>
      </c>
      <c r="R872" s="108">
        <v>-5</v>
      </c>
      <c r="S872" s="108">
        <v>-4.85714285714286</v>
      </c>
    </row>
    <row r="873" spans="1:19">
      <c r="A873" s="143">
        <v>45049</v>
      </c>
      <c r="B873" s="104" t="s">
        <v>27</v>
      </c>
      <c r="C873" s="145">
        <v>3026</v>
      </c>
      <c r="D873" s="104">
        <v>26</v>
      </c>
      <c r="E873" s="106">
        <v>0.00859220092531395</v>
      </c>
      <c r="F873" s="107">
        <v>11</v>
      </c>
      <c r="G873" s="106">
        <v>0.423076923076923</v>
      </c>
      <c r="H873" s="108">
        <v>138</v>
      </c>
      <c r="I873" s="108">
        <v>598.666666666667</v>
      </c>
      <c r="J873" s="108">
        <v>1090.4</v>
      </c>
      <c r="K873" s="108">
        <v>1410.85714285714</v>
      </c>
      <c r="L873" s="108">
        <v>0</v>
      </c>
      <c r="M873" s="108">
        <v>5.33333333333333</v>
      </c>
      <c r="N873" s="108">
        <v>8.4</v>
      </c>
      <c r="O873" s="108">
        <v>10.4285714285714</v>
      </c>
      <c r="P873" s="108">
        <v>6</v>
      </c>
      <c r="Q873" s="108">
        <v>4.33333333333333</v>
      </c>
      <c r="R873" s="108">
        <v>6</v>
      </c>
      <c r="S873" s="108">
        <v>6.42857142857143</v>
      </c>
    </row>
    <row r="874" hidden="1" spans="1:19">
      <c r="A874" s="143">
        <v>45049</v>
      </c>
      <c r="B874" s="104" t="s">
        <v>28</v>
      </c>
      <c r="C874" s="145">
        <v>0</v>
      </c>
      <c r="D874" s="104">
        <v>0</v>
      </c>
      <c r="E874" s="106">
        <v>0</v>
      </c>
      <c r="F874" s="107">
        <v>0</v>
      </c>
      <c r="G874" s="106">
        <v>0</v>
      </c>
      <c r="H874" s="108">
        <v>0</v>
      </c>
      <c r="I874" s="108">
        <v>0</v>
      </c>
      <c r="J874" s="108">
        <v>0</v>
      </c>
      <c r="K874" s="108">
        <v>0</v>
      </c>
      <c r="L874" s="108">
        <v>0</v>
      </c>
      <c r="M874" s="108">
        <v>0</v>
      </c>
      <c r="N874" s="108">
        <v>0</v>
      </c>
      <c r="O874" s="108">
        <v>0</v>
      </c>
      <c r="P874" s="108">
        <v>0</v>
      </c>
      <c r="Q874" s="108">
        <v>0</v>
      </c>
      <c r="R874" s="108">
        <v>0</v>
      </c>
      <c r="S874" s="108">
        <v>0</v>
      </c>
    </row>
    <row r="875" hidden="1" spans="1:19">
      <c r="A875" s="143">
        <v>45049</v>
      </c>
      <c r="B875" s="104" t="s">
        <v>29</v>
      </c>
      <c r="C875" s="145">
        <v>0</v>
      </c>
      <c r="D875" s="104">
        <v>1</v>
      </c>
      <c r="E875" s="106">
        <v>1</v>
      </c>
      <c r="F875" s="107">
        <v>0</v>
      </c>
      <c r="G875" s="106">
        <v>0</v>
      </c>
      <c r="H875" s="108">
        <v>-1</v>
      </c>
      <c r="I875" s="108">
        <v>-0.333333333333333</v>
      </c>
      <c r="J875" s="108">
        <v>-0.2</v>
      </c>
      <c r="K875" s="108">
        <v>-0.285714285714286</v>
      </c>
      <c r="L875" s="108">
        <v>1</v>
      </c>
      <c r="M875" s="108">
        <v>1</v>
      </c>
      <c r="N875" s="108">
        <v>1</v>
      </c>
      <c r="O875" s="108">
        <v>1</v>
      </c>
      <c r="P875" s="108">
        <v>0</v>
      </c>
      <c r="Q875" s="108">
        <v>0</v>
      </c>
      <c r="R875" s="108">
        <v>0</v>
      </c>
      <c r="S875" s="108">
        <v>0</v>
      </c>
    </row>
    <row r="876" hidden="1" spans="1:19">
      <c r="A876" s="143">
        <v>45049</v>
      </c>
      <c r="B876" s="104" t="s">
        <v>30</v>
      </c>
      <c r="C876" s="145">
        <v>0</v>
      </c>
      <c r="D876" s="104">
        <v>0</v>
      </c>
      <c r="E876" s="106">
        <v>0</v>
      </c>
      <c r="F876" s="107">
        <v>0</v>
      </c>
      <c r="G876" s="106">
        <v>0</v>
      </c>
      <c r="H876" s="108">
        <v>0</v>
      </c>
      <c r="I876" s="108">
        <v>0</v>
      </c>
      <c r="J876" s="108">
        <v>0</v>
      </c>
      <c r="K876" s="108">
        <v>0</v>
      </c>
      <c r="L876" s="108">
        <v>0</v>
      </c>
      <c r="M876" s="108">
        <v>0</v>
      </c>
      <c r="N876" s="108">
        <v>0</v>
      </c>
      <c r="O876" s="108">
        <v>0</v>
      </c>
      <c r="P876" s="108">
        <v>0</v>
      </c>
      <c r="Q876" s="108">
        <v>0</v>
      </c>
      <c r="R876" s="108">
        <v>0</v>
      </c>
      <c r="S876" s="108">
        <v>0</v>
      </c>
    </row>
    <row r="877" hidden="1" spans="1:19">
      <c r="A877" s="143">
        <v>45049</v>
      </c>
      <c r="B877" s="104" t="s">
        <v>31</v>
      </c>
      <c r="C877" s="145">
        <v>0</v>
      </c>
      <c r="D877" s="104">
        <v>0</v>
      </c>
      <c r="E877" s="106">
        <v>0</v>
      </c>
      <c r="F877" s="107">
        <v>0</v>
      </c>
      <c r="G877" s="106">
        <v>0</v>
      </c>
      <c r="H877" s="108">
        <v>0</v>
      </c>
      <c r="I877" s="108">
        <v>0</v>
      </c>
      <c r="J877" s="108">
        <v>0</v>
      </c>
      <c r="K877" s="108">
        <v>0</v>
      </c>
      <c r="L877" s="108">
        <v>0</v>
      </c>
      <c r="M877" s="108">
        <v>0</v>
      </c>
      <c r="N877" s="108">
        <v>-0.2</v>
      </c>
      <c r="O877" s="108">
        <v>-0.142857142857143</v>
      </c>
      <c r="P877" s="108">
        <v>0</v>
      </c>
      <c r="Q877" s="108">
        <v>0</v>
      </c>
      <c r="R877" s="108">
        <v>0</v>
      </c>
      <c r="S877" s="108">
        <v>0</v>
      </c>
    </row>
    <row r="878" hidden="1" spans="1:19">
      <c r="A878" s="143">
        <v>45049</v>
      </c>
      <c r="B878" s="104" t="s">
        <v>32</v>
      </c>
      <c r="C878" s="145">
        <v>0</v>
      </c>
      <c r="D878" s="104">
        <v>0</v>
      </c>
      <c r="E878" s="106">
        <v>0</v>
      </c>
      <c r="F878" s="107">
        <v>0</v>
      </c>
      <c r="G878" s="106">
        <v>0</v>
      </c>
      <c r="H878" s="108">
        <v>0</v>
      </c>
      <c r="I878" s="108">
        <v>0</v>
      </c>
      <c r="J878" s="108">
        <v>0</v>
      </c>
      <c r="K878" s="108">
        <v>0</v>
      </c>
      <c r="L878" s="108">
        <v>0</v>
      </c>
      <c r="M878" s="108">
        <v>0</v>
      </c>
      <c r="N878" s="108">
        <v>0</v>
      </c>
      <c r="O878" s="108">
        <v>0</v>
      </c>
      <c r="P878" s="108">
        <v>0</v>
      </c>
      <c r="Q878" s="108">
        <v>0</v>
      </c>
      <c r="R878" s="108">
        <v>0</v>
      </c>
      <c r="S878" s="108">
        <v>0</v>
      </c>
    </row>
    <row r="879" hidden="1" spans="1:19">
      <c r="A879" s="143">
        <v>45049</v>
      </c>
      <c r="B879" s="104" t="s">
        <v>33</v>
      </c>
      <c r="C879" s="145">
        <v>0</v>
      </c>
      <c r="D879" s="104">
        <v>0</v>
      </c>
      <c r="E879" s="106">
        <v>0</v>
      </c>
      <c r="F879" s="107">
        <v>0</v>
      </c>
      <c r="G879" s="106">
        <v>0</v>
      </c>
      <c r="H879" s="108">
        <v>0</v>
      </c>
      <c r="I879" s="108">
        <v>0</v>
      </c>
      <c r="J879" s="108">
        <v>0</v>
      </c>
      <c r="K879" s="108">
        <v>0</v>
      </c>
      <c r="L879" s="108">
        <v>0</v>
      </c>
      <c r="M879" s="108">
        <v>-0.333333333333333</v>
      </c>
      <c r="N879" s="108">
        <v>-0.4</v>
      </c>
      <c r="O879" s="108">
        <v>-0.285714285714286</v>
      </c>
      <c r="P879" s="108">
        <v>0</v>
      </c>
      <c r="Q879" s="108">
        <v>0</v>
      </c>
      <c r="R879" s="108">
        <v>0</v>
      </c>
      <c r="S879" s="108">
        <v>0</v>
      </c>
    </row>
    <row r="880" hidden="1" spans="1:19">
      <c r="A880" s="143">
        <v>45049</v>
      </c>
      <c r="B880" s="104" t="s">
        <v>34</v>
      </c>
      <c r="C880" s="145">
        <v>0</v>
      </c>
      <c r="D880" s="104">
        <v>0</v>
      </c>
      <c r="E880" s="106">
        <v>0</v>
      </c>
      <c r="F880" s="107">
        <v>0</v>
      </c>
      <c r="G880" s="106">
        <v>0</v>
      </c>
      <c r="H880" s="108">
        <v>0</v>
      </c>
      <c r="I880" s="108">
        <v>0</v>
      </c>
      <c r="J880" s="108">
        <v>0</v>
      </c>
      <c r="K880" s="108">
        <v>0</v>
      </c>
      <c r="L880" s="108">
        <v>0</v>
      </c>
      <c r="M880" s="108">
        <v>0</v>
      </c>
      <c r="N880" s="108">
        <v>0</v>
      </c>
      <c r="O880" s="108">
        <v>0</v>
      </c>
      <c r="P880" s="108">
        <v>0</v>
      </c>
      <c r="Q880" s="108">
        <v>0</v>
      </c>
      <c r="R880" s="108">
        <v>0</v>
      </c>
      <c r="S880" s="108">
        <v>0</v>
      </c>
    </row>
    <row r="881" hidden="1" spans="1:19">
      <c r="A881" s="143">
        <v>45049</v>
      </c>
      <c r="B881" s="104" t="s">
        <v>35</v>
      </c>
      <c r="C881" s="145">
        <v>0</v>
      </c>
      <c r="D881" s="104">
        <v>0</v>
      </c>
      <c r="E881" s="106">
        <v>0</v>
      </c>
      <c r="F881" s="107">
        <v>0</v>
      </c>
      <c r="G881" s="106">
        <v>0</v>
      </c>
      <c r="H881" s="108">
        <v>0</v>
      </c>
      <c r="I881" s="108">
        <v>0</v>
      </c>
      <c r="J881" s="108">
        <v>0</v>
      </c>
      <c r="K881" s="108">
        <v>0</v>
      </c>
      <c r="L881" s="108">
        <v>0</v>
      </c>
      <c r="M881" s="108">
        <v>0</v>
      </c>
      <c r="N881" s="108">
        <v>0</v>
      </c>
      <c r="O881" s="108">
        <v>0</v>
      </c>
      <c r="P881" s="108">
        <v>0</v>
      </c>
      <c r="Q881" s="108">
        <v>0</v>
      </c>
      <c r="R881" s="108">
        <v>0</v>
      </c>
      <c r="S881" s="108">
        <v>0</v>
      </c>
    </row>
    <row r="882" hidden="1" spans="1:19">
      <c r="A882" s="143">
        <v>45049</v>
      </c>
      <c r="B882" s="104" t="s">
        <v>36</v>
      </c>
      <c r="C882" s="145">
        <v>0</v>
      </c>
      <c r="D882" s="104">
        <v>0</v>
      </c>
      <c r="E882" s="106">
        <v>0</v>
      </c>
      <c r="F882" s="107">
        <v>0</v>
      </c>
      <c r="G882" s="106">
        <v>0</v>
      </c>
      <c r="H882" s="108">
        <v>0</v>
      </c>
      <c r="I882" s="108">
        <v>0</v>
      </c>
      <c r="J882" s="108">
        <v>0</v>
      </c>
      <c r="K882" s="108">
        <v>0</v>
      </c>
      <c r="L882" s="108">
        <v>0</v>
      </c>
      <c r="M882" s="108">
        <v>0</v>
      </c>
      <c r="N882" s="108">
        <v>0</v>
      </c>
      <c r="O882" s="108">
        <v>0</v>
      </c>
      <c r="P882" s="108">
        <v>0</v>
      </c>
      <c r="Q882" s="108">
        <v>0</v>
      </c>
      <c r="R882" s="108">
        <v>0</v>
      </c>
      <c r="S882" s="108">
        <v>0</v>
      </c>
    </row>
    <row r="883" hidden="1" spans="1:19">
      <c r="A883" s="143">
        <v>45049</v>
      </c>
      <c r="B883" s="104" t="s">
        <v>37</v>
      </c>
      <c r="C883" s="145">
        <v>0</v>
      </c>
      <c r="D883" s="104">
        <v>0</v>
      </c>
      <c r="E883" s="106">
        <v>0</v>
      </c>
      <c r="F883" s="107">
        <v>0</v>
      </c>
      <c r="G883" s="106">
        <v>0</v>
      </c>
      <c r="H883" s="108">
        <v>0</v>
      </c>
      <c r="I883" s="108">
        <v>0</v>
      </c>
      <c r="J883" s="108">
        <v>0</v>
      </c>
      <c r="K883" s="108">
        <v>0</v>
      </c>
      <c r="L883" s="108">
        <v>0</v>
      </c>
      <c r="M883" s="108">
        <v>-0.333333333333333</v>
      </c>
      <c r="N883" s="108">
        <v>-0.2</v>
      </c>
      <c r="O883" s="108">
        <v>-0.142857142857143</v>
      </c>
      <c r="P883" s="108">
        <v>0</v>
      </c>
      <c r="Q883" s="108">
        <v>0</v>
      </c>
      <c r="R883" s="108">
        <v>0</v>
      </c>
      <c r="S883" s="108">
        <v>0</v>
      </c>
    </row>
    <row r="884" hidden="1" spans="1:19">
      <c r="A884" s="143">
        <v>45049</v>
      </c>
      <c r="B884" s="104" t="s">
        <v>38</v>
      </c>
      <c r="C884" s="145">
        <v>0</v>
      </c>
      <c r="D884" s="104">
        <v>0</v>
      </c>
      <c r="E884" s="106">
        <v>0</v>
      </c>
      <c r="F884" s="107">
        <v>0</v>
      </c>
      <c r="G884" s="106">
        <v>0</v>
      </c>
      <c r="H884" s="108">
        <v>0</v>
      </c>
      <c r="I884" s="108">
        <v>0</v>
      </c>
      <c r="J884" s="108">
        <v>0</v>
      </c>
      <c r="K884" s="108">
        <v>0</v>
      </c>
      <c r="L884" s="108">
        <v>0</v>
      </c>
      <c r="M884" s="108">
        <v>0</v>
      </c>
      <c r="N884" s="108">
        <v>0</v>
      </c>
      <c r="O884" s="108">
        <v>0</v>
      </c>
      <c r="P884" s="108">
        <v>0</v>
      </c>
      <c r="Q884" s="108">
        <v>0</v>
      </c>
      <c r="R884" s="108">
        <v>0</v>
      </c>
      <c r="S884" s="108">
        <v>0</v>
      </c>
    </row>
    <row r="885" spans="1:19">
      <c r="A885" s="143">
        <v>45049</v>
      </c>
      <c r="B885" s="111" t="s">
        <v>39</v>
      </c>
      <c r="C885" s="112">
        <v>29696</v>
      </c>
      <c r="D885" s="112">
        <v>303</v>
      </c>
      <c r="E885" s="113">
        <v>0.0102033943965517</v>
      </c>
      <c r="F885" s="112">
        <v>82</v>
      </c>
      <c r="G885" s="113">
        <v>0.270627062706271</v>
      </c>
      <c r="H885" s="108"/>
      <c r="I885" s="108"/>
      <c r="J885" s="108"/>
      <c r="K885" s="108"/>
      <c r="L885" s="108"/>
      <c r="M885" s="108"/>
      <c r="N885" s="108"/>
      <c r="O885" s="108"/>
      <c r="P885" s="108"/>
      <c r="Q885" s="108"/>
      <c r="R885" s="108"/>
      <c r="S885" s="108"/>
    </row>
    <row r="886" spans="1:19">
      <c r="A886" s="143">
        <v>45050</v>
      </c>
      <c r="B886" s="104" t="s">
        <v>17</v>
      </c>
      <c r="C886" s="105">
        <v>522</v>
      </c>
      <c r="D886" s="104">
        <v>41</v>
      </c>
      <c r="E886" s="106">
        <v>0.078544061302682</v>
      </c>
      <c r="F886" s="107">
        <v>13</v>
      </c>
      <c r="G886" s="106">
        <v>0.317073170731707</v>
      </c>
      <c r="H886" s="108">
        <v>-146</v>
      </c>
      <c r="I886" s="108">
        <v>-93.3333333333334</v>
      </c>
      <c r="J886" s="108">
        <v>-118.4</v>
      </c>
      <c r="K886" s="108">
        <v>-115</v>
      </c>
      <c r="L886" s="108">
        <v>-3</v>
      </c>
      <c r="M886" s="108">
        <v>3.33333333333334</v>
      </c>
      <c r="N886" s="108">
        <v>-0.799999999999997</v>
      </c>
      <c r="O886" s="108">
        <v>-2</v>
      </c>
      <c r="P886" s="108">
        <v>9</v>
      </c>
      <c r="Q886" s="108">
        <v>5.66666666666667</v>
      </c>
      <c r="R886" s="108">
        <v>5.2</v>
      </c>
      <c r="S886" s="108">
        <v>5.85714285714286</v>
      </c>
    </row>
    <row r="887" spans="1:19">
      <c r="A887" s="143">
        <v>45050</v>
      </c>
      <c r="B887" s="104" t="s">
        <v>19</v>
      </c>
      <c r="C887" s="107">
        <v>746</v>
      </c>
      <c r="D887" s="104">
        <v>20</v>
      </c>
      <c r="E887" s="106">
        <v>0.0268096514745308</v>
      </c>
      <c r="F887" s="107">
        <v>4</v>
      </c>
      <c r="G887" s="106">
        <v>0.2</v>
      </c>
      <c r="H887" s="108">
        <v>-358</v>
      </c>
      <c r="I887" s="108">
        <v>-406</v>
      </c>
      <c r="J887" s="108">
        <v>-374.4</v>
      </c>
      <c r="K887" s="108">
        <v>-234.571428571429</v>
      </c>
      <c r="L887" s="108">
        <v>-1</v>
      </c>
      <c r="M887" s="108">
        <v>0.666666666666668</v>
      </c>
      <c r="N887" s="108">
        <v>-0.600000000000001</v>
      </c>
      <c r="O887" s="108">
        <v>1.71428571428572</v>
      </c>
      <c r="P887" s="108">
        <v>-5</v>
      </c>
      <c r="Q887" s="108">
        <v>-4.33333333333333</v>
      </c>
      <c r="R887" s="108">
        <v>-4.2</v>
      </c>
      <c r="S887" s="115">
        <v>-3.42857142857143</v>
      </c>
    </row>
    <row r="888" spans="1:19">
      <c r="A888" s="143">
        <v>45050</v>
      </c>
      <c r="B888" s="104" t="s">
        <v>21</v>
      </c>
      <c r="C888" s="145">
        <v>587</v>
      </c>
      <c r="D888" s="104">
        <v>22</v>
      </c>
      <c r="E888" s="106">
        <v>0.0374787052810903</v>
      </c>
      <c r="F888" s="107">
        <v>6</v>
      </c>
      <c r="G888" s="106">
        <v>0.272727272727273</v>
      </c>
      <c r="H888" s="108">
        <v>81</v>
      </c>
      <c r="I888" s="108">
        <v>63.3333333333334</v>
      </c>
      <c r="J888" s="108">
        <v>45</v>
      </c>
      <c r="K888" s="108">
        <v>30</v>
      </c>
      <c r="L888" s="108">
        <v>-4</v>
      </c>
      <c r="M888" s="108">
        <v>-5.66666666666667</v>
      </c>
      <c r="N888" s="108">
        <v>-6.6</v>
      </c>
      <c r="O888" s="108">
        <v>-7.57142857142857</v>
      </c>
      <c r="P888" s="108">
        <v>-6</v>
      </c>
      <c r="Q888" s="108">
        <v>-2</v>
      </c>
      <c r="R888" s="108">
        <v>-3.4</v>
      </c>
      <c r="S888" s="108">
        <v>-2.85714285714286</v>
      </c>
    </row>
    <row r="889" spans="1:19">
      <c r="A889" s="143">
        <v>45050</v>
      </c>
      <c r="B889" s="104" t="s">
        <v>22</v>
      </c>
      <c r="C889" s="145">
        <v>1475</v>
      </c>
      <c r="D889" s="104">
        <v>31</v>
      </c>
      <c r="E889" s="106">
        <v>0.0210169491525424</v>
      </c>
      <c r="F889" s="107">
        <v>14</v>
      </c>
      <c r="G889" s="106">
        <v>0.451612903225806</v>
      </c>
      <c r="H889" s="108">
        <v>-108</v>
      </c>
      <c r="I889" s="108">
        <v>-537.333333333333</v>
      </c>
      <c r="J889" s="108">
        <v>-869.4</v>
      </c>
      <c r="K889" s="108">
        <v>-1186.28571428571</v>
      </c>
      <c r="L889" s="108">
        <v>-14</v>
      </c>
      <c r="M889" s="108">
        <v>-7</v>
      </c>
      <c r="N889" s="108">
        <v>-10.6</v>
      </c>
      <c r="O889" s="115">
        <v>-16.8571428571429</v>
      </c>
      <c r="P889" s="108">
        <v>5</v>
      </c>
      <c r="Q889" s="108">
        <v>5</v>
      </c>
      <c r="R889" s="108">
        <v>2.6</v>
      </c>
      <c r="S889" s="117">
        <v>-1.14285714285714</v>
      </c>
    </row>
    <row r="890" spans="1:19">
      <c r="A890" s="143">
        <v>45050</v>
      </c>
      <c r="B890" s="104" t="s">
        <v>23</v>
      </c>
      <c r="C890" s="145">
        <v>2207</v>
      </c>
      <c r="D890" s="104">
        <v>17</v>
      </c>
      <c r="E890" s="106">
        <v>0.00770276393294064</v>
      </c>
      <c r="F890" s="107">
        <v>7</v>
      </c>
      <c r="G890" s="106">
        <v>0.411764705882353</v>
      </c>
      <c r="H890" s="108">
        <v>-209</v>
      </c>
      <c r="I890" s="108">
        <v>-302</v>
      </c>
      <c r="J890" s="108">
        <v>-372.2</v>
      </c>
      <c r="K890" s="108">
        <v>-391.571428571428</v>
      </c>
      <c r="L890" s="108">
        <v>-1</v>
      </c>
      <c r="M890" s="108">
        <v>-2.33333333333333</v>
      </c>
      <c r="N890" s="108">
        <v>-1.8</v>
      </c>
      <c r="O890" s="108">
        <v>-3.28571428571428</v>
      </c>
      <c r="P890" s="108">
        <v>0</v>
      </c>
      <c r="Q890" s="116">
        <v>-0.333333333333333</v>
      </c>
      <c r="R890" s="108">
        <v>0.6</v>
      </c>
      <c r="S890" s="108">
        <v>0.571428571428571</v>
      </c>
    </row>
    <row r="891" spans="1:19">
      <c r="A891" s="143">
        <v>45050</v>
      </c>
      <c r="B891" s="104" t="s">
        <v>24</v>
      </c>
      <c r="C891" s="145">
        <v>3261</v>
      </c>
      <c r="D891" s="104">
        <v>77</v>
      </c>
      <c r="E891" s="106">
        <v>0.0236123888377798</v>
      </c>
      <c r="F891" s="107">
        <v>13</v>
      </c>
      <c r="G891" s="106">
        <v>0.168831168831169</v>
      </c>
      <c r="H891" s="108">
        <v>-672</v>
      </c>
      <c r="I891" s="108">
        <v>302.333333333333</v>
      </c>
      <c r="J891" s="108">
        <v>1286.6</v>
      </c>
      <c r="K891" s="108">
        <v>1776.57142857143</v>
      </c>
      <c r="L891" s="115">
        <v>28</v>
      </c>
      <c r="M891" s="115">
        <v>52.3333333333333</v>
      </c>
      <c r="N891" s="115">
        <v>61</v>
      </c>
      <c r="O891" s="115">
        <v>65</v>
      </c>
      <c r="P891" s="115">
        <v>3</v>
      </c>
      <c r="Q891" s="115">
        <v>7.66666666666667</v>
      </c>
      <c r="R891" s="115">
        <v>9.8</v>
      </c>
      <c r="S891" s="115">
        <v>10.5714285714286</v>
      </c>
    </row>
    <row r="892" spans="1:19">
      <c r="A892" s="143">
        <v>45050</v>
      </c>
      <c r="B892" s="104" t="s">
        <v>25</v>
      </c>
      <c r="C892" s="145">
        <v>12024</v>
      </c>
      <c r="D892" s="104">
        <v>40</v>
      </c>
      <c r="E892" s="106">
        <v>0.00332667997338656</v>
      </c>
      <c r="F892" s="107">
        <v>10</v>
      </c>
      <c r="G892" s="106">
        <v>0.25</v>
      </c>
      <c r="H892" s="108">
        <v>-1966</v>
      </c>
      <c r="I892" s="108">
        <v>164</v>
      </c>
      <c r="J892" s="108">
        <v>-384</v>
      </c>
      <c r="K892" s="108">
        <v>-1336.57142857143</v>
      </c>
      <c r="L892" s="116">
        <v>-14</v>
      </c>
      <c r="M892" s="115">
        <v>-7.33333333333334</v>
      </c>
      <c r="N892" s="115">
        <v>-7.6</v>
      </c>
      <c r="O892" s="115">
        <v>-14.5714285714286</v>
      </c>
      <c r="P892" s="108">
        <v>-9</v>
      </c>
      <c r="Q892" s="108">
        <v>-11</v>
      </c>
      <c r="R892" s="108">
        <v>-9.4</v>
      </c>
      <c r="S892" s="108">
        <v>-11.2857142857143</v>
      </c>
    </row>
    <row r="893" spans="1:19">
      <c r="A893" s="143">
        <v>45050</v>
      </c>
      <c r="B893" s="104" t="s">
        <v>26</v>
      </c>
      <c r="C893" s="145">
        <v>2428</v>
      </c>
      <c r="D893" s="104">
        <v>17</v>
      </c>
      <c r="E893" s="106">
        <v>0.00700164744645799</v>
      </c>
      <c r="F893" s="107">
        <v>4</v>
      </c>
      <c r="G893" s="106">
        <v>0.235294117647059</v>
      </c>
      <c r="H893" s="108">
        <v>-42</v>
      </c>
      <c r="I893" s="108">
        <v>-167.333333333333</v>
      </c>
      <c r="J893" s="108">
        <v>-165.6</v>
      </c>
      <c r="K893" s="108">
        <v>-133.714285714286</v>
      </c>
      <c r="L893" s="108">
        <v>-2</v>
      </c>
      <c r="M893" s="108">
        <v>-1.66666666666667</v>
      </c>
      <c r="N893" s="108">
        <v>-2.8</v>
      </c>
      <c r="O893" s="108">
        <v>-2</v>
      </c>
      <c r="P893" s="108">
        <v>3</v>
      </c>
      <c r="Q893" s="108">
        <v>-0.333333333333333</v>
      </c>
      <c r="R893" s="108">
        <v>-1</v>
      </c>
      <c r="S893" s="108">
        <v>-1.57142857142857</v>
      </c>
    </row>
    <row r="894" spans="1:19">
      <c r="A894" s="143">
        <v>45050</v>
      </c>
      <c r="B894" s="104" t="s">
        <v>27</v>
      </c>
      <c r="C894" s="145">
        <v>3438</v>
      </c>
      <c r="D894" s="104">
        <v>34</v>
      </c>
      <c r="E894" s="106">
        <v>0.00988947062245491</v>
      </c>
      <c r="F894" s="107">
        <v>7</v>
      </c>
      <c r="G894" s="106">
        <v>0.205882352941176</v>
      </c>
      <c r="H894" s="108">
        <v>412</v>
      </c>
      <c r="I894" s="108">
        <v>578</v>
      </c>
      <c r="J894" s="108">
        <v>1128.8</v>
      </c>
      <c r="K894" s="108">
        <v>1476.28571428571</v>
      </c>
      <c r="L894" s="108">
        <v>8</v>
      </c>
      <c r="M894" s="108">
        <v>7.66666666666667</v>
      </c>
      <c r="N894" s="108">
        <v>13</v>
      </c>
      <c r="O894" s="108">
        <v>16.1428571428571</v>
      </c>
      <c r="P894" s="108">
        <v>-4</v>
      </c>
      <c r="Q894" s="108">
        <v>-2.33333333333333</v>
      </c>
      <c r="R894" s="108">
        <v>-0.2</v>
      </c>
      <c r="S894" s="108">
        <v>1.14285714285714</v>
      </c>
    </row>
    <row r="895" hidden="1" spans="1:19">
      <c r="A895" s="143">
        <v>45050</v>
      </c>
      <c r="B895" s="104" t="s">
        <v>28</v>
      </c>
      <c r="C895" s="145">
        <v>0</v>
      </c>
      <c r="D895" s="104">
        <v>0</v>
      </c>
      <c r="E895" s="106">
        <v>0</v>
      </c>
      <c r="F895" s="107">
        <v>0</v>
      </c>
      <c r="G895" s="106">
        <v>0</v>
      </c>
      <c r="H895" s="108">
        <v>0</v>
      </c>
      <c r="I895" s="108">
        <v>0</v>
      </c>
      <c r="J895" s="108">
        <v>0</v>
      </c>
      <c r="K895" s="108">
        <v>0</v>
      </c>
      <c r="L895" s="108">
        <v>0</v>
      </c>
      <c r="M895" s="108">
        <v>0</v>
      </c>
      <c r="N895" s="108">
        <v>0</v>
      </c>
      <c r="O895" s="108">
        <v>0</v>
      </c>
      <c r="P895" s="108">
        <v>0</v>
      </c>
      <c r="Q895" s="108">
        <v>0</v>
      </c>
      <c r="R895" s="108">
        <v>0</v>
      </c>
      <c r="S895" s="108">
        <v>0</v>
      </c>
    </row>
    <row r="896" hidden="1" spans="1:19">
      <c r="A896" s="143">
        <v>45050</v>
      </c>
      <c r="B896" s="104" t="s">
        <v>29</v>
      </c>
      <c r="C896" s="145">
        <v>0</v>
      </c>
      <c r="D896" s="104">
        <v>0</v>
      </c>
      <c r="E896" s="106">
        <v>0</v>
      </c>
      <c r="F896" s="107">
        <v>0</v>
      </c>
      <c r="G896" s="106">
        <v>0</v>
      </c>
      <c r="H896" s="108">
        <v>0</v>
      </c>
      <c r="I896" s="108">
        <v>-0.333333333333333</v>
      </c>
      <c r="J896" s="108">
        <v>-0.2</v>
      </c>
      <c r="K896" s="108">
        <v>-0.285714285714286</v>
      </c>
      <c r="L896" s="108">
        <v>-1</v>
      </c>
      <c r="M896" s="108">
        <v>-0.333333333333333</v>
      </c>
      <c r="N896" s="108">
        <v>-0.2</v>
      </c>
      <c r="O896" s="108">
        <v>-0.142857142857143</v>
      </c>
      <c r="P896" s="108">
        <v>0</v>
      </c>
      <c r="Q896" s="108">
        <v>0</v>
      </c>
      <c r="R896" s="108">
        <v>0</v>
      </c>
      <c r="S896" s="108">
        <v>0</v>
      </c>
    </row>
    <row r="897" hidden="1" spans="1:19">
      <c r="A897" s="143">
        <v>45050</v>
      </c>
      <c r="B897" s="104" t="s">
        <v>30</v>
      </c>
      <c r="C897" s="145">
        <v>0</v>
      </c>
      <c r="D897" s="104">
        <v>0</v>
      </c>
      <c r="E897" s="106">
        <v>0</v>
      </c>
      <c r="F897" s="107">
        <v>0</v>
      </c>
      <c r="G897" s="106">
        <v>0</v>
      </c>
      <c r="H897" s="108">
        <v>0</v>
      </c>
      <c r="I897" s="108">
        <v>0</v>
      </c>
      <c r="J897" s="108">
        <v>0</v>
      </c>
      <c r="K897" s="108">
        <v>0</v>
      </c>
      <c r="L897" s="108">
        <v>0</v>
      </c>
      <c r="M897" s="108">
        <v>0</v>
      </c>
      <c r="N897" s="108">
        <v>0</v>
      </c>
      <c r="O897" s="108">
        <v>0</v>
      </c>
      <c r="P897" s="108">
        <v>0</v>
      </c>
      <c r="Q897" s="108">
        <v>0</v>
      </c>
      <c r="R897" s="108">
        <v>0</v>
      </c>
      <c r="S897" s="108">
        <v>0</v>
      </c>
    </row>
    <row r="898" hidden="1" spans="1:19">
      <c r="A898" s="143">
        <v>45050</v>
      </c>
      <c r="B898" s="104" t="s">
        <v>31</v>
      </c>
      <c r="C898" s="145">
        <v>0</v>
      </c>
      <c r="D898" s="104">
        <v>0</v>
      </c>
      <c r="E898" s="106">
        <v>0</v>
      </c>
      <c r="F898" s="107">
        <v>0</v>
      </c>
      <c r="G898" s="106">
        <v>0</v>
      </c>
      <c r="H898" s="108">
        <v>0</v>
      </c>
      <c r="I898" s="108">
        <v>0</v>
      </c>
      <c r="J898" s="108">
        <v>0</v>
      </c>
      <c r="K898" s="108">
        <v>0</v>
      </c>
      <c r="L898" s="108">
        <v>0</v>
      </c>
      <c r="M898" s="108">
        <v>0</v>
      </c>
      <c r="N898" s="108">
        <v>0</v>
      </c>
      <c r="O898" s="108">
        <v>-0.142857142857143</v>
      </c>
      <c r="P898" s="108">
        <v>0</v>
      </c>
      <c r="Q898" s="108">
        <v>0</v>
      </c>
      <c r="R898" s="108">
        <v>0</v>
      </c>
      <c r="S898" s="108">
        <v>0</v>
      </c>
    </row>
    <row r="899" hidden="1" spans="1:19">
      <c r="A899" s="143">
        <v>45050</v>
      </c>
      <c r="B899" s="104" t="s">
        <v>32</v>
      </c>
      <c r="C899" s="145">
        <v>0</v>
      </c>
      <c r="D899" s="104">
        <v>0</v>
      </c>
      <c r="E899" s="106">
        <v>0</v>
      </c>
      <c r="F899" s="107">
        <v>0</v>
      </c>
      <c r="G899" s="106">
        <v>0</v>
      </c>
      <c r="H899" s="108">
        <v>0</v>
      </c>
      <c r="I899" s="108">
        <v>0</v>
      </c>
      <c r="J899" s="108">
        <v>0</v>
      </c>
      <c r="K899" s="108">
        <v>0</v>
      </c>
      <c r="L899" s="108">
        <v>0</v>
      </c>
      <c r="M899" s="108">
        <v>0</v>
      </c>
      <c r="N899" s="108">
        <v>0</v>
      </c>
      <c r="O899" s="108">
        <v>0</v>
      </c>
      <c r="P899" s="108">
        <v>0</v>
      </c>
      <c r="Q899" s="108">
        <v>0</v>
      </c>
      <c r="R899" s="108">
        <v>0</v>
      </c>
      <c r="S899" s="108">
        <v>0</v>
      </c>
    </row>
    <row r="900" hidden="1" spans="1:19">
      <c r="A900" s="143">
        <v>45050</v>
      </c>
      <c r="B900" s="104" t="s">
        <v>33</v>
      </c>
      <c r="C900" s="145">
        <v>0</v>
      </c>
      <c r="D900" s="104">
        <v>0</v>
      </c>
      <c r="E900" s="106">
        <v>0</v>
      </c>
      <c r="F900" s="107">
        <v>0</v>
      </c>
      <c r="G900" s="106">
        <v>0</v>
      </c>
      <c r="H900" s="108">
        <v>0</v>
      </c>
      <c r="I900" s="108">
        <v>0</v>
      </c>
      <c r="J900" s="108">
        <v>0</v>
      </c>
      <c r="K900" s="108">
        <v>0</v>
      </c>
      <c r="L900" s="108">
        <v>0</v>
      </c>
      <c r="M900" s="108">
        <v>0</v>
      </c>
      <c r="N900" s="108">
        <v>-0.2</v>
      </c>
      <c r="O900" s="108">
        <v>-0.285714285714286</v>
      </c>
      <c r="P900" s="108">
        <v>0</v>
      </c>
      <c r="Q900" s="108">
        <v>0</v>
      </c>
      <c r="R900" s="108">
        <v>0</v>
      </c>
      <c r="S900" s="108">
        <v>0</v>
      </c>
    </row>
    <row r="901" hidden="1" spans="1:19">
      <c r="A901" s="143">
        <v>45050</v>
      </c>
      <c r="B901" s="104" t="s">
        <v>34</v>
      </c>
      <c r="C901" s="145">
        <v>0</v>
      </c>
      <c r="D901" s="104">
        <v>0</v>
      </c>
      <c r="E901" s="106">
        <v>0</v>
      </c>
      <c r="F901" s="107">
        <v>0</v>
      </c>
      <c r="G901" s="106">
        <v>0</v>
      </c>
      <c r="H901" s="108">
        <v>0</v>
      </c>
      <c r="I901" s="108">
        <v>0</v>
      </c>
      <c r="J901" s="108">
        <v>0</v>
      </c>
      <c r="K901" s="108">
        <v>0</v>
      </c>
      <c r="L901" s="108">
        <v>0</v>
      </c>
      <c r="M901" s="108">
        <v>0</v>
      </c>
      <c r="N901" s="108">
        <v>0</v>
      </c>
      <c r="O901" s="108">
        <v>0</v>
      </c>
      <c r="P901" s="108">
        <v>0</v>
      </c>
      <c r="Q901" s="108">
        <v>0</v>
      </c>
      <c r="R901" s="108">
        <v>0</v>
      </c>
      <c r="S901" s="108">
        <v>0</v>
      </c>
    </row>
    <row r="902" hidden="1" spans="1:19">
      <c r="A902" s="143">
        <v>45050</v>
      </c>
      <c r="B902" s="104" t="s">
        <v>35</v>
      </c>
      <c r="C902" s="145">
        <v>0</v>
      </c>
      <c r="D902" s="104">
        <v>0</v>
      </c>
      <c r="E902" s="106">
        <v>0</v>
      </c>
      <c r="F902" s="107">
        <v>0</v>
      </c>
      <c r="G902" s="106">
        <v>0</v>
      </c>
      <c r="H902" s="108">
        <v>0</v>
      </c>
      <c r="I902" s="108">
        <v>0</v>
      </c>
      <c r="J902" s="108">
        <v>0</v>
      </c>
      <c r="K902" s="108">
        <v>0</v>
      </c>
      <c r="L902" s="108">
        <v>0</v>
      </c>
      <c r="M902" s="108">
        <v>0</v>
      </c>
      <c r="N902" s="108">
        <v>0</v>
      </c>
      <c r="O902" s="108">
        <v>0</v>
      </c>
      <c r="P902" s="108">
        <v>0</v>
      </c>
      <c r="Q902" s="108">
        <v>0</v>
      </c>
      <c r="R902" s="108">
        <v>0</v>
      </c>
      <c r="S902" s="108">
        <v>0</v>
      </c>
    </row>
    <row r="903" hidden="1" spans="1:19">
      <c r="A903" s="143">
        <v>45050</v>
      </c>
      <c r="B903" s="104" t="s">
        <v>36</v>
      </c>
      <c r="C903" s="145">
        <v>0</v>
      </c>
      <c r="D903" s="104">
        <v>0</v>
      </c>
      <c r="E903" s="106">
        <v>0</v>
      </c>
      <c r="F903" s="107">
        <v>0</v>
      </c>
      <c r="G903" s="106">
        <v>0</v>
      </c>
      <c r="H903" s="108">
        <v>0</v>
      </c>
      <c r="I903" s="108">
        <v>0</v>
      </c>
      <c r="J903" s="108">
        <v>0</v>
      </c>
      <c r="K903" s="108">
        <v>0</v>
      </c>
      <c r="L903" s="108">
        <v>0</v>
      </c>
      <c r="M903" s="108">
        <v>0</v>
      </c>
      <c r="N903" s="108">
        <v>0</v>
      </c>
      <c r="O903" s="108">
        <v>0</v>
      </c>
      <c r="P903" s="108">
        <v>0</v>
      </c>
      <c r="Q903" s="108">
        <v>0</v>
      </c>
      <c r="R903" s="108">
        <v>0</v>
      </c>
      <c r="S903" s="108">
        <v>0</v>
      </c>
    </row>
    <row r="904" hidden="1" spans="1:19">
      <c r="A904" s="143">
        <v>45050</v>
      </c>
      <c r="B904" s="104" t="s">
        <v>37</v>
      </c>
      <c r="C904" s="145">
        <v>0</v>
      </c>
      <c r="D904" s="104">
        <v>1</v>
      </c>
      <c r="E904" s="106">
        <v>1</v>
      </c>
      <c r="F904" s="107">
        <v>0</v>
      </c>
      <c r="G904" s="106">
        <v>0</v>
      </c>
      <c r="H904" s="108">
        <v>0</v>
      </c>
      <c r="I904" s="108">
        <v>0</v>
      </c>
      <c r="J904" s="108">
        <v>0</v>
      </c>
      <c r="K904" s="108">
        <v>0</v>
      </c>
      <c r="L904" s="108">
        <v>1</v>
      </c>
      <c r="M904" s="108">
        <v>0.666666666666667</v>
      </c>
      <c r="N904" s="108">
        <v>0.8</v>
      </c>
      <c r="O904" s="108">
        <v>0.857142857142857</v>
      </c>
      <c r="P904" s="108">
        <v>0</v>
      </c>
      <c r="Q904" s="108">
        <v>0</v>
      </c>
      <c r="R904" s="108">
        <v>0</v>
      </c>
      <c r="S904" s="108">
        <v>0</v>
      </c>
    </row>
    <row r="905" hidden="1" spans="1:19">
      <c r="A905" s="143">
        <v>45050</v>
      </c>
      <c r="B905" s="104" t="s">
        <v>38</v>
      </c>
      <c r="C905" s="145">
        <v>0</v>
      </c>
      <c r="D905" s="104">
        <v>0</v>
      </c>
      <c r="E905" s="106">
        <v>0</v>
      </c>
      <c r="F905" s="107">
        <v>0</v>
      </c>
      <c r="G905" s="106">
        <v>0</v>
      </c>
      <c r="H905" s="108">
        <v>0</v>
      </c>
      <c r="I905" s="108">
        <v>0</v>
      </c>
      <c r="J905" s="108">
        <v>0</v>
      </c>
      <c r="K905" s="108">
        <v>0</v>
      </c>
      <c r="L905" s="108">
        <v>0</v>
      </c>
      <c r="M905" s="108">
        <v>0</v>
      </c>
      <c r="N905" s="108">
        <v>0</v>
      </c>
      <c r="O905" s="108">
        <v>0</v>
      </c>
      <c r="P905" s="108">
        <v>0</v>
      </c>
      <c r="Q905" s="108">
        <v>0</v>
      </c>
      <c r="R905" s="108">
        <v>0</v>
      </c>
      <c r="S905" s="108">
        <v>0</v>
      </c>
    </row>
    <row r="906" spans="1:19">
      <c r="A906" s="143">
        <v>45050</v>
      </c>
      <c r="B906" s="111" t="s">
        <v>39</v>
      </c>
      <c r="C906" s="112">
        <v>26688</v>
      </c>
      <c r="D906" s="112">
        <v>300</v>
      </c>
      <c r="E906" s="113">
        <v>0.0112410071942446</v>
      </c>
      <c r="F906" s="112">
        <v>78</v>
      </c>
      <c r="G906" s="113">
        <v>0.26</v>
      </c>
      <c r="H906" s="108"/>
      <c r="I906" s="108"/>
      <c r="J906" s="108"/>
      <c r="K906" s="108"/>
      <c r="L906" s="108"/>
      <c r="M906" s="108"/>
      <c r="N906" s="108"/>
      <c r="O906" s="108"/>
      <c r="P906" s="108"/>
      <c r="Q906" s="108"/>
      <c r="R906" s="108"/>
      <c r="S906" s="108"/>
    </row>
    <row r="907" spans="1:19">
      <c r="A907" s="143">
        <v>45051</v>
      </c>
      <c r="B907" s="104" t="s">
        <v>17</v>
      </c>
      <c r="C907" s="105">
        <v>694</v>
      </c>
      <c r="D907" s="104">
        <v>54</v>
      </c>
      <c r="E907" s="106">
        <v>0.0778097982708934</v>
      </c>
      <c r="F907" s="107">
        <v>9</v>
      </c>
      <c r="G907" s="106">
        <v>0.166666666666667</v>
      </c>
      <c r="H907" s="108">
        <v>172</v>
      </c>
      <c r="I907" s="108">
        <v>117.666666666667</v>
      </c>
      <c r="J907" s="108">
        <v>86.8</v>
      </c>
      <c r="K907" s="108">
        <v>80.5714285714286</v>
      </c>
      <c r="L907" s="108">
        <v>13</v>
      </c>
      <c r="M907" s="108">
        <v>15.3333333333333</v>
      </c>
      <c r="N907" s="108">
        <v>14.4</v>
      </c>
      <c r="O907" s="108">
        <v>12.7142857142857</v>
      </c>
      <c r="P907" s="108">
        <v>-4</v>
      </c>
      <c r="Q907" s="108">
        <v>-0.333333333333334</v>
      </c>
      <c r="R907" s="108">
        <v>-0.199999999999999</v>
      </c>
      <c r="S907" s="108">
        <v>1</v>
      </c>
    </row>
    <row r="908" spans="1:19">
      <c r="A908" s="143">
        <v>45051</v>
      </c>
      <c r="B908" s="104" t="s">
        <v>19</v>
      </c>
      <c r="C908" s="107">
        <v>690</v>
      </c>
      <c r="D908" s="104">
        <v>37</v>
      </c>
      <c r="E908" s="106">
        <v>0.0536231884057971</v>
      </c>
      <c r="F908" s="107">
        <v>5</v>
      </c>
      <c r="G908" s="106">
        <v>0.135135135135135</v>
      </c>
      <c r="H908" s="108">
        <v>-56</v>
      </c>
      <c r="I908" s="108">
        <v>-295.333333333333</v>
      </c>
      <c r="J908" s="108">
        <v>-386.4</v>
      </c>
      <c r="K908" s="108">
        <v>-295.714285714286</v>
      </c>
      <c r="L908" s="108">
        <v>17</v>
      </c>
      <c r="M908" s="108">
        <v>20</v>
      </c>
      <c r="N908" s="108">
        <v>16.6</v>
      </c>
      <c r="O908" s="108">
        <v>17.4285714285714</v>
      </c>
      <c r="P908" s="108">
        <v>1</v>
      </c>
      <c r="Q908" s="108">
        <v>-1</v>
      </c>
      <c r="R908" s="108">
        <v>-2.4</v>
      </c>
      <c r="S908" s="115">
        <v>-2.14285714285714</v>
      </c>
    </row>
    <row r="909" spans="1:19">
      <c r="A909" s="143">
        <v>45051</v>
      </c>
      <c r="B909" s="104" t="s">
        <v>21</v>
      </c>
      <c r="C909" s="145">
        <v>535</v>
      </c>
      <c r="D909" s="104">
        <v>60</v>
      </c>
      <c r="E909" s="106">
        <v>0.11214953271028</v>
      </c>
      <c r="F909" s="107">
        <v>8</v>
      </c>
      <c r="G909" s="106">
        <v>0.133333333333333</v>
      </c>
      <c r="H909" s="108">
        <v>-52</v>
      </c>
      <c r="I909" s="108">
        <v>-16.3333333333334</v>
      </c>
      <c r="J909" s="108">
        <v>-6.20000000000005</v>
      </c>
      <c r="K909" s="108">
        <v>-19.7142857142857</v>
      </c>
      <c r="L909" s="108">
        <v>38</v>
      </c>
      <c r="M909" s="108">
        <v>34.6666666666667</v>
      </c>
      <c r="N909" s="108">
        <v>33.8</v>
      </c>
      <c r="O909" s="108">
        <v>32.5714285714286</v>
      </c>
      <c r="P909" s="108">
        <v>2</v>
      </c>
      <c r="Q909" s="108">
        <v>-0.333333333333334</v>
      </c>
      <c r="R909" s="108">
        <v>-0.199999999999999</v>
      </c>
      <c r="S909" s="108">
        <v>-0.428571428571429</v>
      </c>
    </row>
    <row r="910" spans="1:19">
      <c r="A910" s="143">
        <v>45051</v>
      </c>
      <c r="B910" s="104" t="s">
        <v>22</v>
      </c>
      <c r="C910" s="145">
        <v>1642</v>
      </c>
      <c r="D910" s="104">
        <v>55</v>
      </c>
      <c r="E910" s="106">
        <v>0.0334957369062119</v>
      </c>
      <c r="F910" s="107">
        <v>19</v>
      </c>
      <c r="G910" s="106">
        <v>0.345454545454545</v>
      </c>
      <c r="H910" s="108">
        <v>167</v>
      </c>
      <c r="I910" s="108">
        <v>84</v>
      </c>
      <c r="J910" s="108">
        <v>-416.8</v>
      </c>
      <c r="K910" s="108">
        <v>-723.857142857143</v>
      </c>
      <c r="L910" s="108">
        <v>24</v>
      </c>
      <c r="M910" s="108">
        <v>16.3333333333333</v>
      </c>
      <c r="N910" s="108">
        <v>16.2</v>
      </c>
      <c r="O910" s="115">
        <v>12.1428571428571</v>
      </c>
      <c r="P910" s="108">
        <v>5</v>
      </c>
      <c r="Q910" s="108">
        <v>7.66666666666667</v>
      </c>
      <c r="R910" s="108">
        <v>8.2</v>
      </c>
      <c r="S910" s="117">
        <v>5.14285714285714</v>
      </c>
    </row>
    <row r="911" spans="1:19">
      <c r="A911" s="143">
        <v>45051</v>
      </c>
      <c r="B911" s="104" t="s">
        <v>23</v>
      </c>
      <c r="C911" s="145">
        <v>2187</v>
      </c>
      <c r="D911" s="104">
        <v>35</v>
      </c>
      <c r="E911" s="106">
        <v>0.0160036579789666</v>
      </c>
      <c r="F911" s="107">
        <v>6</v>
      </c>
      <c r="G911" s="106">
        <v>0.171428571428571</v>
      </c>
      <c r="H911" s="108">
        <v>-20</v>
      </c>
      <c r="I911" s="108">
        <v>-178</v>
      </c>
      <c r="J911" s="108">
        <v>-294.4</v>
      </c>
      <c r="K911" s="108">
        <v>-346.285714285714</v>
      </c>
      <c r="L911" s="108">
        <v>18</v>
      </c>
      <c r="M911" s="108">
        <v>17</v>
      </c>
      <c r="N911" s="108">
        <v>16</v>
      </c>
      <c r="O911" s="108">
        <v>16.4285714285714</v>
      </c>
      <c r="P911" s="108">
        <v>-1</v>
      </c>
      <c r="Q911" s="116">
        <v>-1</v>
      </c>
      <c r="R911" s="108">
        <v>-0.8</v>
      </c>
      <c r="S911" s="108">
        <v>-1</v>
      </c>
    </row>
    <row r="912" spans="1:19">
      <c r="A912" s="143">
        <v>45051</v>
      </c>
      <c r="B912" s="104" t="s">
        <v>24</v>
      </c>
      <c r="C912" s="145">
        <v>3581</v>
      </c>
      <c r="D912" s="104">
        <v>92</v>
      </c>
      <c r="E912" s="106">
        <v>0.0256911477240994</v>
      </c>
      <c r="F912" s="107">
        <v>14</v>
      </c>
      <c r="G912" s="106">
        <v>0.152173913043478</v>
      </c>
      <c r="H912" s="108">
        <v>320</v>
      </c>
      <c r="I912" s="108">
        <v>245.333333333333</v>
      </c>
      <c r="J912" s="108">
        <v>1064.4</v>
      </c>
      <c r="K912" s="108">
        <v>1662.14285714286</v>
      </c>
      <c r="L912" s="115">
        <v>15</v>
      </c>
      <c r="M912" s="115">
        <v>43.3333333333333</v>
      </c>
      <c r="N912" s="115">
        <v>61</v>
      </c>
      <c r="O912" s="115">
        <v>69.4285714285714</v>
      </c>
      <c r="P912" s="115">
        <v>1</v>
      </c>
      <c r="Q912" s="115">
        <v>4.66666666666667</v>
      </c>
      <c r="R912" s="115">
        <v>8.2</v>
      </c>
      <c r="S912" s="115">
        <v>9.71428571428572</v>
      </c>
    </row>
    <row r="913" spans="1:19">
      <c r="A913" s="143">
        <v>45051</v>
      </c>
      <c r="B913" s="104" t="s">
        <v>25</v>
      </c>
      <c r="C913" s="145">
        <v>12616</v>
      </c>
      <c r="D913" s="104">
        <v>36</v>
      </c>
      <c r="E913" s="106">
        <v>0.00285351934051997</v>
      </c>
      <c r="F913" s="107">
        <v>11</v>
      </c>
      <c r="G913" s="106">
        <v>0.305555555555556</v>
      </c>
      <c r="H913" s="108">
        <v>592</v>
      </c>
      <c r="I913" s="108">
        <v>812</v>
      </c>
      <c r="J913" s="108">
        <v>965.200000000001</v>
      </c>
      <c r="K913" s="108">
        <v>-326.857142857143</v>
      </c>
      <c r="L913" s="116">
        <v>-4</v>
      </c>
      <c r="M913" s="115">
        <v>-12.6666666666667</v>
      </c>
      <c r="N913" s="115">
        <v>-10.4</v>
      </c>
      <c r="O913" s="115">
        <v>-15</v>
      </c>
      <c r="P913" s="108">
        <v>1</v>
      </c>
      <c r="Q913" s="108">
        <v>-6.33333333333333</v>
      </c>
      <c r="R913" s="108">
        <v>-7</v>
      </c>
      <c r="S913" s="108">
        <v>-9</v>
      </c>
    </row>
    <row r="914" spans="1:19">
      <c r="A914" s="143">
        <v>45051</v>
      </c>
      <c r="B914" s="104" t="s">
        <v>26</v>
      </c>
      <c r="C914" s="145">
        <v>3666</v>
      </c>
      <c r="D914" s="104">
        <v>40</v>
      </c>
      <c r="E914" s="106">
        <v>0.010911074740862</v>
      </c>
      <c r="F914" s="107">
        <v>7</v>
      </c>
      <c r="G914" s="106">
        <v>0.175</v>
      </c>
      <c r="H914" s="108">
        <v>1238</v>
      </c>
      <c r="I914" s="108">
        <v>1126.66666666667</v>
      </c>
      <c r="J914" s="108">
        <v>1100.8</v>
      </c>
      <c r="K914" s="108">
        <v>1127.14285714286</v>
      </c>
      <c r="L914" s="108">
        <v>23</v>
      </c>
      <c r="M914" s="108">
        <v>21</v>
      </c>
      <c r="N914" s="108">
        <v>21.2</v>
      </c>
      <c r="O914" s="108">
        <v>20.8571428571429</v>
      </c>
      <c r="P914" s="108">
        <v>3</v>
      </c>
      <c r="Q914" s="108">
        <v>3</v>
      </c>
      <c r="R914" s="108">
        <v>2.6</v>
      </c>
      <c r="S914" s="108">
        <v>2</v>
      </c>
    </row>
    <row r="915" spans="1:19">
      <c r="A915" s="143">
        <v>45051</v>
      </c>
      <c r="B915" s="104" t="s">
        <v>27</v>
      </c>
      <c r="C915" s="145">
        <v>3622</v>
      </c>
      <c r="D915" s="104">
        <v>104</v>
      </c>
      <c r="E915" s="106">
        <v>0.0287134180011044</v>
      </c>
      <c r="F915" s="107">
        <v>10</v>
      </c>
      <c r="G915" s="106">
        <v>0.0961538461538462</v>
      </c>
      <c r="H915" s="108">
        <v>184</v>
      </c>
      <c r="I915" s="108">
        <v>504.666666666667</v>
      </c>
      <c r="J915" s="108">
        <v>872.8</v>
      </c>
      <c r="K915" s="108">
        <v>1316</v>
      </c>
      <c r="L915" s="108">
        <v>70</v>
      </c>
      <c r="M915" s="108">
        <v>75.3333333333333</v>
      </c>
      <c r="N915" s="108">
        <v>79.6</v>
      </c>
      <c r="O915" s="108">
        <v>82.8571428571429</v>
      </c>
      <c r="P915" s="108">
        <v>3</v>
      </c>
      <c r="Q915" s="108">
        <v>2.33333333333333</v>
      </c>
      <c r="R915" s="108">
        <v>2.4</v>
      </c>
      <c r="S915" s="108">
        <v>3.85714285714286</v>
      </c>
    </row>
    <row r="916" hidden="1" spans="1:19">
      <c r="A916" s="143">
        <v>45051</v>
      </c>
      <c r="B916" s="104" t="s">
        <v>28</v>
      </c>
      <c r="C916" s="145">
        <v>0</v>
      </c>
      <c r="D916" s="104">
        <v>0</v>
      </c>
      <c r="E916" s="106">
        <v>0</v>
      </c>
      <c r="F916" s="107">
        <v>0</v>
      </c>
      <c r="G916" s="106">
        <v>0</v>
      </c>
      <c r="H916" s="108">
        <v>0</v>
      </c>
      <c r="I916" s="108">
        <v>0</v>
      </c>
      <c r="J916" s="108">
        <v>0</v>
      </c>
      <c r="K916" s="108">
        <v>0</v>
      </c>
      <c r="L916" s="108">
        <v>0</v>
      </c>
      <c r="M916" s="108">
        <v>0</v>
      </c>
      <c r="N916" s="108">
        <v>0</v>
      </c>
      <c r="O916" s="108">
        <v>0</v>
      </c>
      <c r="P916" s="108">
        <v>0</v>
      </c>
      <c r="Q916" s="108">
        <v>0</v>
      </c>
      <c r="R916" s="108">
        <v>0</v>
      </c>
      <c r="S916" s="108">
        <v>0</v>
      </c>
    </row>
    <row r="917" hidden="1" spans="1:19">
      <c r="A917" s="143">
        <v>45051</v>
      </c>
      <c r="B917" s="104" t="s">
        <v>29</v>
      </c>
      <c r="C917" s="145">
        <v>1</v>
      </c>
      <c r="D917" s="104">
        <v>0</v>
      </c>
      <c r="E917" s="106">
        <v>0</v>
      </c>
      <c r="F917" s="107">
        <v>0</v>
      </c>
      <c r="G917" s="106">
        <v>0</v>
      </c>
      <c r="H917" s="108">
        <v>1</v>
      </c>
      <c r="I917" s="108">
        <v>0.666666666666667</v>
      </c>
      <c r="J917" s="108">
        <v>0.8</v>
      </c>
      <c r="K917" s="108">
        <v>0.857142857142857</v>
      </c>
      <c r="L917" s="108">
        <v>0</v>
      </c>
      <c r="M917" s="108">
        <v>-0.333333333333333</v>
      </c>
      <c r="N917" s="108">
        <v>-0.2</v>
      </c>
      <c r="O917" s="108">
        <v>-0.142857142857143</v>
      </c>
      <c r="P917" s="108">
        <v>0</v>
      </c>
      <c r="Q917" s="108">
        <v>0</v>
      </c>
      <c r="R917" s="108">
        <v>0</v>
      </c>
      <c r="S917" s="108">
        <v>0</v>
      </c>
    </row>
    <row r="918" hidden="1" spans="1:19">
      <c r="A918" s="143">
        <v>45051</v>
      </c>
      <c r="B918" s="104" t="s">
        <v>30</v>
      </c>
      <c r="C918" s="145">
        <v>0</v>
      </c>
      <c r="D918" s="104">
        <v>0</v>
      </c>
      <c r="E918" s="106">
        <v>0</v>
      </c>
      <c r="F918" s="107">
        <v>0</v>
      </c>
      <c r="G918" s="106">
        <v>0</v>
      </c>
      <c r="H918" s="108">
        <v>0</v>
      </c>
      <c r="I918" s="108">
        <v>0</v>
      </c>
      <c r="J918" s="108">
        <v>0</v>
      </c>
      <c r="K918" s="108">
        <v>0</v>
      </c>
      <c r="L918" s="108">
        <v>0</v>
      </c>
      <c r="M918" s="108">
        <v>0</v>
      </c>
      <c r="N918" s="108">
        <v>0</v>
      </c>
      <c r="O918" s="108">
        <v>0</v>
      </c>
      <c r="P918" s="108">
        <v>0</v>
      </c>
      <c r="Q918" s="108">
        <v>0</v>
      </c>
      <c r="R918" s="108">
        <v>0</v>
      </c>
      <c r="S918" s="108">
        <v>0</v>
      </c>
    </row>
    <row r="919" hidden="1" spans="1:19">
      <c r="A919" s="143">
        <v>45051</v>
      </c>
      <c r="B919" s="104" t="s">
        <v>31</v>
      </c>
      <c r="C919" s="145">
        <v>0</v>
      </c>
      <c r="D919" s="104">
        <v>1</v>
      </c>
      <c r="E919" s="106">
        <v>1</v>
      </c>
      <c r="F919" s="107">
        <v>0</v>
      </c>
      <c r="G919" s="106">
        <v>0</v>
      </c>
      <c r="H919" s="108">
        <v>0</v>
      </c>
      <c r="I919" s="108">
        <v>0</v>
      </c>
      <c r="J919" s="108">
        <v>0</v>
      </c>
      <c r="K919" s="108">
        <v>0</v>
      </c>
      <c r="L919" s="108">
        <v>1</v>
      </c>
      <c r="M919" s="108">
        <v>1</v>
      </c>
      <c r="N919" s="108">
        <v>1</v>
      </c>
      <c r="O919" s="108">
        <v>0.857142857142857</v>
      </c>
      <c r="P919" s="108">
        <v>0</v>
      </c>
      <c r="Q919" s="108">
        <v>0</v>
      </c>
      <c r="R919" s="108">
        <v>0</v>
      </c>
      <c r="S919" s="108">
        <v>0</v>
      </c>
    </row>
    <row r="920" hidden="1" spans="1:19">
      <c r="A920" s="143">
        <v>45051</v>
      </c>
      <c r="B920" s="104" t="s">
        <v>32</v>
      </c>
      <c r="C920" s="145">
        <v>0</v>
      </c>
      <c r="D920" s="104">
        <v>0</v>
      </c>
      <c r="E920" s="106">
        <v>0</v>
      </c>
      <c r="F920" s="107">
        <v>0</v>
      </c>
      <c r="G920" s="106">
        <v>0</v>
      </c>
      <c r="H920" s="108">
        <v>0</v>
      </c>
      <c r="I920" s="108">
        <v>0</v>
      </c>
      <c r="J920" s="108">
        <v>0</v>
      </c>
      <c r="K920" s="108">
        <v>0</v>
      </c>
      <c r="L920" s="108">
        <v>0</v>
      </c>
      <c r="M920" s="108">
        <v>0</v>
      </c>
      <c r="N920" s="108">
        <v>0</v>
      </c>
      <c r="O920" s="108">
        <v>0</v>
      </c>
      <c r="P920" s="108">
        <v>0</v>
      </c>
      <c r="Q920" s="108">
        <v>0</v>
      </c>
      <c r="R920" s="108">
        <v>0</v>
      </c>
      <c r="S920" s="108">
        <v>0</v>
      </c>
    </row>
    <row r="921" hidden="1" spans="1:19">
      <c r="A921" s="143">
        <v>45051</v>
      </c>
      <c r="B921" s="104" t="s">
        <v>33</v>
      </c>
      <c r="C921" s="145">
        <v>0</v>
      </c>
      <c r="D921" s="104">
        <v>0</v>
      </c>
      <c r="E921" s="106">
        <v>0</v>
      </c>
      <c r="F921" s="107">
        <v>0</v>
      </c>
      <c r="G921" s="106">
        <v>0</v>
      </c>
      <c r="H921" s="108">
        <v>0</v>
      </c>
      <c r="I921" s="108">
        <v>0</v>
      </c>
      <c r="J921" s="108">
        <v>0</v>
      </c>
      <c r="K921" s="108">
        <v>0</v>
      </c>
      <c r="L921" s="108">
        <v>0</v>
      </c>
      <c r="M921" s="108">
        <v>0</v>
      </c>
      <c r="N921" s="108">
        <v>-0.2</v>
      </c>
      <c r="O921" s="108">
        <v>-0.285714285714286</v>
      </c>
      <c r="P921" s="108">
        <v>0</v>
      </c>
      <c r="Q921" s="108">
        <v>0</v>
      </c>
      <c r="R921" s="108">
        <v>0</v>
      </c>
      <c r="S921" s="108">
        <v>0</v>
      </c>
    </row>
    <row r="922" hidden="1" spans="1:19">
      <c r="A922" s="143">
        <v>45051</v>
      </c>
      <c r="B922" s="104" t="s">
        <v>34</v>
      </c>
      <c r="C922" s="145">
        <v>0</v>
      </c>
      <c r="D922" s="104">
        <v>0</v>
      </c>
      <c r="E922" s="106">
        <v>0</v>
      </c>
      <c r="F922" s="107">
        <v>0</v>
      </c>
      <c r="G922" s="106">
        <v>0</v>
      </c>
      <c r="H922" s="108">
        <v>0</v>
      </c>
      <c r="I922" s="108">
        <v>0</v>
      </c>
      <c r="J922" s="108">
        <v>0</v>
      </c>
      <c r="K922" s="108">
        <v>0</v>
      </c>
      <c r="L922" s="108">
        <v>0</v>
      </c>
      <c r="M922" s="108">
        <v>0</v>
      </c>
      <c r="N922" s="108">
        <v>0</v>
      </c>
      <c r="O922" s="108">
        <v>0</v>
      </c>
      <c r="P922" s="108">
        <v>0</v>
      </c>
      <c r="Q922" s="108">
        <v>0</v>
      </c>
      <c r="R922" s="108">
        <v>0</v>
      </c>
      <c r="S922" s="108">
        <v>0</v>
      </c>
    </row>
    <row r="923" hidden="1" spans="1:19">
      <c r="A923" s="143">
        <v>45051</v>
      </c>
      <c r="B923" s="104" t="s">
        <v>35</v>
      </c>
      <c r="C923" s="145">
        <v>0</v>
      </c>
      <c r="D923" s="104">
        <v>0</v>
      </c>
      <c r="E923" s="106">
        <v>0</v>
      </c>
      <c r="F923" s="107">
        <v>0</v>
      </c>
      <c r="G923" s="106">
        <v>0</v>
      </c>
      <c r="H923" s="108">
        <v>0</v>
      </c>
      <c r="I923" s="108">
        <v>0</v>
      </c>
      <c r="J923" s="108">
        <v>0</v>
      </c>
      <c r="K923" s="108">
        <v>0</v>
      </c>
      <c r="L923" s="108">
        <v>0</v>
      </c>
      <c r="M923" s="108">
        <v>0</v>
      </c>
      <c r="N923" s="108">
        <v>0</v>
      </c>
      <c r="O923" s="108">
        <v>0</v>
      </c>
      <c r="P923" s="108">
        <v>0</v>
      </c>
      <c r="Q923" s="108">
        <v>0</v>
      </c>
      <c r="R923" s="108">
        <v>0</v>
      </c>
      <c r="S923" s="108">
        <v>0</v>
      </c>
    </row>
    <row r="924" hidden="1" spans="1:19">
      <c r="A924" s="143">
        <v>45051</v>
      </c>
      <c r="B924" s="104" t="s">
        <v>36</v>
      </c>
      <c r="C924" s="145">
        <v>0</v>
      </c>
      <c r="D924" s="104">
        <v>0</v>
      </c>
      <c r="E924" s="106">
        <v>0</v>
      </c>
      <c r="F924" s="107">
        <v>0</v>
      </c>
      <c r="G924" s="106">
        <v>0</v>
      </c>
      <c r="H924" s="108">
        <v>0</v>
      </c>
      <c r="I924" s="108">
        <v>0</v>
      </c>
      <c r="J924" s="108">
        <v>0</v>
      </c>
      <c r="K924" s="108">
        <v>0</v>
      </c>
      <c r="L924" s="108">
        <v>0</v>
      </c>
      <c r="M924" s="108">
        <v>0</v>
      </c>
      <c r="N924" s="108">
        <v>0</v>
      </c>
      <c r="O924" s="108">
        <v>0</v>
      </c>
      <c r="P924" s="108">
        <v>0</v>
      </c>
      <c r="Q924" s="108">
        <v>0</v>
      </c>
      <c r="R924" s="108">
        <v>0</v>
      </c>
      <c r="S924" s="108">
        <v>0</v>
      </c>
    </row>
    <row r="925" hidden="1" spans="1:19">
      <c r="A925" s="143">
        <v>45051</v>
      </c>
      <c r="B925" s="104" t="s">
        <v>37</v>
      </c>
      <c r="C925" s="145">
        <v>0</v>
      </c>
      <c r="D925" s="104">
        <v>0</v>
      </c>
      <c r="E925" s="106">
        <v>0</v>
      </c>
      <c r="F925" s="107">
        <v>0</v>
      </c>
      <c r="G925" s="106">
        <v>0</v>
      </c>
      <c r="H925" s="108">
        <v>0</v>
      </c>
      <c r="I925" s="108">
        <v>0</v>
      </c>
      <c r="J925" s="108">
        <v>0</v>
      </c>
      <c r="K925" s="108">
        <v>0</v>
      </c>
      <c r="L925" s="108">
        <v>-1</v>
      </c>
      <c r="M925" s="108">
        <v>-0.333333333333333</v>
      </c>
      <c r="N925" s="108">
        <v>-0.4</v>
      </c>
      <c r="O925" s="108">
        <v>-0.285714285714286</v>
      </c>
      <c r="P925" s="108">
        <v>0</v>
      </c>
      <c r="Q925" s="108">
        <v>0</v>
      </c>
      <c r="R925" s="108">
        <v>0</v>
      </c>
      <c r="S925" s="108">
        <v>0</v>
      </c>
    </row>
    <row r="926" hidden="1" spans="1:19">
      <c r="A926" s="143">
        <v>45051</v>
      </c>
      <c r="B926" s="104" t="s">
        <v>38</v>
      </c>
      <c r="C926" s="145">
        <v>0</v>
      </c>
      <c r="D926" s="104">
        <v>0</v>
      </c>
      <c r="E926" s="106">
        <v>0</v>
      </c>
      <c r="F926" s="107">
        <v>0</v>
      </c>
      <c r="G926" s="106">
        <v>0</v>
      </c>
      <c r="H926" s="108">
        <v>0</v>
      </c>
      <c r="I926" s="108">
        <v>0</v>
      </c>
      <c r="J926" s="108">
        <v>0</v>
      </c>
      <c r="K926" s="108">
        <v>0</v>
      </c>
      <c r="L926" s="108">
        <v>0</v>
      </c>
      <c r="M926" s="108">
        <v>0</v>
      </c>
      <c r="N926" s="108">
        <v>0</v>
      </c>
      <c r="O926" s="108">
        <v>0</v>
      </c>
      <c r="P926" s="108">
        <v>0</v>
      </c>
      <c r="Q926" s="108">
        <v>0</v>
      </c>
      <c r="R926" s="108">
        <v>0</v>
      </c>
      <c r="S926" s="108">
        <v>0</v>
      </c>
    </row>
    <row r="927" spans="1:19">
      <c r="A927" s="143">
        <v>45051</v>
      </c>
      <c r="B927" s="111" t="s">
        <v>39</v>
      </c>
      <c r="C927" s="112">
        <v>29234</v>
      </c>
      <c r="D927" s="112">
        <v>514</v>
      </c>
      <c r="E927" s="113">
        <v>0.0175822672230964</v>
      </c>
      <c r="F927" s="112">
        <v>89</v>
      </c>
      <c r="G927" s="113">
        <v>0.173151750972763</v>
      </c>
      <c r="H927" s="108"/>
      <c r="I927" s="108"/>
      <c r="J927" s="108"/>
      <c r="K927" s="108"/>
      <c r="L927" s="108"/>
      <c r="M927" s="108"/>
      <c r="N927" s="108"/>
      <c r="O927" s="108"/>
      <c r="P927" s="108"/>
      <c r="Q927" s="108"/>
      <c r="R927" s="108"/>
      <c r="S927" s="108"/>
    </row>
    <row r="928" spans="1:19">
      <c r="A928" s="143">
        <v>45052</v>
      </c>
      <c r="B928" s="104" t="s">
        <v>17</v>
      </c>
      <c r="C928" s="105">
        <v>366</v>
      </c>
      <c r="D928" s="104">
        <v>35</v>
      </c>
      <c r="E928" s="106">
        <v>0.0956284153005464</v>
      </c>
      <c r="F928" s="107">
        <v>11</v>
      </c>
      <c r="G928" s="106">
        <v>0.314285714285714</v>
      </c>
      <c r="H928" s="108">
        <v>-328</v>
      </c>
      <c r="I928" s="108">
        <v>-262</v>
      </c>
      <c r="J928" s="108">
        <v>-246.4</v>
      </c>
      <c r="K928" s="108">
        <v>-265.142857142857</v>
      </c>
      <c r="L928" s="108">
        <v>-19</v>
      </c>
      <c r="M928" s="108">
        <v>-11.3333333333333</v>
      </c>
      <c r="N928" s="108">
        <v>-6.6</v>
      </c>
      <c r="O928" s="108">
        <v>-8.42857142857143</v>
      </c>
      <c r="P928" s="108">
        <v>2</v>
      </c>
      <c r="Q928" s="108">
        <v>2.33333333333333</v>
      </c>
      <c r="R928" s="108">
        <v>2.2</v>
      </c>
      <c r="S928" s="108">
        <v>2.28571428571429</v>
      </c>
    </row>
    <row r="929" spans="1:19">
      <c r="A929" s="143">
        <v>45052</v>
      </c>
      <c r="B929" s="104" t="s">
        <v>19</v>
      </c>
      <c r="C929" s="107">
        <v>434</v>
      </c>
      <c r="D929" s="104">
        <v>13</v>
      </c>
      <c r="E929" s="106">
        <v>0.0299539170506912</v>
      </c>
      <c r="F929" s="107">
        <v>4</v>
      </c>
      <c r="G929" s="106">
        <v>0.307692307692308</v>
      </c>
      <c r="H929" s="108">
        <v>-256</v>
      </c>
      <c r="I929" s="108">
        <v>-412.666666666667</v>
      </c>
      <c r="J929" s="108">
        <v>-544.4</v>
      </c>
      <c r="K929" s="108">
        <v>-571.428571428571</v>
      </c>
      <c r="L929" s="108">
        <v>-24</v>
      </c>
      <c r="M929" s="108">
        <v>-13</v>
      </c>
      <c r="N929" s="108">
        <v>-10</v>
      </c>
      <c r="O929" s="108">
        <v>-9.85714285714286</v>
      </c>
      <c r="P929" s="108">
        <v>-1</v>
      </c>
      <c r="Q929" s="108">
        <v>-2</v>
      </c>
      <c r="R929" s="108">
        <v>-2.8</v>
      </c>
      <c r="S929" s="115">
        <v>-3.14285714285714</v>
      </c>
    </row>
    <row r="930" spans="1:19">
      <c r="A930" s="143">
        <v>45052</v>
      </c>
      <c r="B930" s="104" t="s">
        <v>21</v>
      </c>
      <c r="C930" s="145">
        <v>531</v>
      </c>
      <c r="D930" s="104">
        <v>25</v>
      </c>
      <c r="E930" s="106">
        <v>0.0470809792843691</v>
      </c>
      <c r="F930" s="107">
        <v>12</v>
      </c>
      <c r="G930" s="106">
        <v>0.48</v>
      </c>
      <c r="H930" s="108">
        <v>-4</v>
      </c>
      <c r="I930" s="108">
        <v>-11.6666666666666</v>
      </c>
      <c r="J930" s="108">
        <v>-7.60000000000002</v>
      </c>
      <c r="K930" s="108">
        <v>-16.4285714285714</v>
      </c>
      <c r="L930" s="108">
        <v>-35</v>
      </c>
      <c r="M930" s="108">
        <v>-11</v>
      </c>
      <c r="N930" s="108">
        <v>-8</v>
      </c>
      <c r="O930" s="108">
        <v>-7.14285714285715</v>
      </c>
      <c r="P930" s="108">
        <v>4</v>
      </c>
      <c r="Q930" s="108">
        <v>3.33333333333333</v>
      </c>
      <c r="R930" s="108">
        <v>4.4</v>
      </c>
      <c r="S930" s="108">
        <v>3.28571428571429</v>
      </c>
    </row>
    <row r="931" spans="1:19">
      <c r="A931" s="143">
        <v>45052</v>
      </c>
      <c r="B931" s="104" t="s">
        <v>22</v>
      </c>
      <c r="C931" s="145">
        <v>1909</v>
      </c>
      <c r="D931" s="104">
        <v>58</v>
      </c>
      <c r="E931" s="106">
        <v>0.0303823991618649</v>
      </c>
      <c r="F931" s="107">
        <v>16</v>
      </c>
      <c r="G931" s="106">
        <v>0.275862068965517</v>
      </c>
      <c r="H931" s="108">
        <v>267</v>
      </c>
      <c r="I931" s="108">
        <v>342.333333333333</v>
      </c>
      <c r="J931" s="108">
        <v>78.2</v>
      </c>
      <c r="K931" s="108">
        <v>-210.857142857143</v>
      </c>
      <c r="L931" s="108">
        <v>3</v>
      </c>
      <c r="M931" s="108">
        <v>14.3333333333333</v>
      </c>
      <c r="N931" s="108">
        <v>18</v>
      </c>
      <c r="O931" s="115">
        <v>16</v>
      </c>
      <c r="P931" s="108">
        <v>-3</v>
      </c>
      <c r="Q931" s="108">
        <v>2</v>
      </c>
      <c r="R931" s="108">
        <v>4</v>
      </c>
      <c r="S931" s="117">
        <v>3.14285714285714</v>
      </c>
    </row>
    <row r="932" spans="1:19">
      <c r="A932" s="143">
        <v>45052</v>
      </c>
      <c r="B932" s="104" t="s">
        <v>23</v>
      </c>
      <c r="C932" s="145">
        <v>2358</v>
      </c>
      <c r="D932" s="104">
        <v>18</v>
      </c>
      <c r="E932" s="106">
        <v>0.00763358778625954</v>
      </c>
      <c r="F932" s="107">
        <v>4</v>
      </c>
      <c r="G932" s="106">
        <v>0.222222222222222</v>
      </c>
      <c r="H932" s="108">
        <v>171</v>
      </c>
      <c r="I932" s="108">
        <v>88</v>
      </c>
      <c r="J932" s="108">
        <v>-26.1999999999998</v>
      </c>
      <c r="K932" s="108">
        <v>-112</v>
      </c>
      <c r="L932" s="108">
        <v>-17</v>
      </c>
      <c r="M932" s="108">
        <v>-5.33333333333333</v>
      </c>
      <c r="N932" s="108">
        <v>-4</v>
      </c>
      <c r="O932" s="108">
        <v>-2.85714285714286</v>
      </c>
      <c r="P932" s="108">
        <v>-2</v>
      </c>
      <c r="Q932" s="116">
        <v>-2.66666666666667</v>
      </c>
      <c r="R932" s="108">
        <v>-3</v>
      </c>
      <c r="S932" s="108">
        <v>-2.42857142857143</v>
      </c>
    </row>
    <row r="933" spans="1:19">
      <c r="A933" s="143">
        <v>45052</v>
      </c>
      <c r="B933" s="104" t="s">
        <v>24</v>
      </c>
      <c r="C933" s="145">
        <v>2872</v>
      </c>
      <c r="D933" s="104">
        <v>67</v>
      </c>
      <c r="E933" s="106">
        <v>0.0233286908077994</v>
      </c>
      <c r="F933" s="107">
        <v>26</v>
      </c>
      <c r="G933" s="106">
        <v>0.388059701492537</v>
      </c>
      <c r="H933" s="108">
        <v>-709</v>
      </c>
      <c r="I933" s="108">
        <v>-719.666666666667</v>
      </c>
      <c r="J933" s="108">
        <v>-271.6</v>
      </c>
      <c r="K933" s="108">
        <v>484.285714285714</v>
      </c>
      <c r="L933" s="115">
        <v>-25</v>
      </c>
      <c r="M933" s="115">
        <v>-5.66666666666667</v>
      </c>
      <c r="N933" s="115">
        <v>18.4</v>
      </c>
      <c r="O933" s="115">
        <v>31.4285714285714</v>
      </c>
      <c r="P933" s="115">
        <v>12</v>
      </c>
      <c r="Q933" s="115">
        <v>13.6666666666667</v>
      </c>
      <c r="R933" s="115">
        <v>17.4</v>
      </c>
      <c r="S933" s="115">
        <v>19.8571428571429</v>
      </c>
    </row>
    <row r="934" spans="1:19">
      <c r="A934" s="143">
        <v>45052</v>
      </c>
      <c r="B934" s="104" t="s">
        <v>25</v>
      </c>
      <c r="C934" s="145">
        <v>10262</v>
      </c>
      <c r="D934" s="104">
        <v>26</v>
      </c>
      <c r="E934" s="106">
        <v>0.00253361917754824</v>
      </c>
      <c r="F934" s="107">
        <v>14</v>
      </c>
      <c r="G934" s="106">
        <v>0.538461538461538</v>
      </c>
      <c r="H934" s="108">
        <v>-2354</v>
      </c>
      <c r="I934" s="108">
        <v>-2614.66666666667</v>
      </c>
      <c r="J934" s="108">
        <v>-1782</v>
      </c>
      <c r="K934" s="108">
        <v>-2120.85714285714</v>
      </c>
      <c r="L934" s="116">
        <v>-10</v>
      </c>
      <c r="M934" s="115">
        <v>-17.3333333333333</v>
      </c>
      <c r="N934" s="115">
        <v>-17.6</v>
      </c>
      <c r="O934" s="115">
        <v>-18.8571428571429</v>
      </c>
      <c r="P934" s="108">
        <v>3</v>
      </c>
      <c r="Q934" s="108">
        <v>0.666666666666666</v>
      </c>
      <c r="R934" s="108">
        <v>-2.8</v>
      </c>
      <c r="S934" s="108">
        <v>-2.85714285714286</v>
      </c>
    </row>
    <row r="935" spans="1:19">
      <c r="A935" s="143">
        <v>45052</v>
      </c>
      <c r="B935" s="104" t="s">
        <v>26</v>
      </c>
      <c r="C935" s="145">
        <v>4156</v>
      </c>
      <c r="D935" s="104">
        <v>13</v>
      </c>
      <c r="E935" s="106">
        <v>0.00312800769971126</v>
      </c>
      <c r="F935" s="107">
        <v>3</v>
      </c>
      <c r="G935" s="106">
        <v>0.230769230769231</v>
      </c>
      <c r="H935" s="108">
        <v>490</v>
      </c>
      <c r="I935" s="108">
        <v>1301.33333333333</v>
      </c>
      <c r="J935" s="108">
        <v>1380</v>
      </c>
      <c r="K935" s="108">
        <v>1432.85714285714</v>
      </c>
      <c r="L935" s="108">
        <v>-27</v>
      </c>
      <c r="M935" s="108">
        <v>-12.3333333333333</v>
      </c>
      <c r="N935" s="108">
        <v>-9.6</v>
      </c>
      <c r="O935" s="108">
        <v>-9.28571428571428</v>
      </c>
      <c r="P935" s="108">
        <v>-4</v>
      </c>
      <c r="Q935" s="108">
        <v>-1</v>
      </c>
      <c r="R935" s="108">
        <v>-1.8</v>
      </c>
      <c r="S935" s="108">
        <v>-2.14285714285714</v>
      </c>
    </row>
    <row r="936" spans="1:19">
      <c r="A936" s="143">
        <v>45052</v>
      </c>
      <c r="B936" s="104" t="s">
        <v>27</v>
      </c>
      <c r="C936" s="145">
        <v>3928</v>
      </c>
      <c r="D936" s="104">
        <v>43</v>
      </c>
      <c r="E936" s="106">
        <v>0.0109470468431772</v>
      </c>
      <c r="F936" s="107">
        <v>12</v>
      </c>
      <c r="G936" s="106">
        <v>0.27906976744186</v>
      </c>
      <c r="H936" s="108">
        <v>306</v>
      </c>
      <c r="I936" s="108">
        <v>566</v>
      </c>
      <c r="J936" s="108">
        <v>800</v>
      </c>
      <c r="K936" s="108">
        <v>1270</v>
      </c>
      <c r="L936" s="108">
        <v>-61</v>
      </c>
      <c r="M936" s="108">
        <v>-11.6666666666667</v>
      </c>
      <c r="N936" s="108">
        <v>-0.399999999999999</v>
      </c>
      <c r="O936" s="108">
        <v>8.28571428571428</v>
      </c>
      <c r="P936" s="108">
        <v>2</v>
      </c>
      <c r="Q936" s="108">
        <v>2.66666666666667</v>
      </c>
      <c r="R936" s="108">
        <v>3</v>
      </c>
      <c r="S936" s="108">
        <v>4.42857142857143</v>
      </c>
    </row>
    <row r="937" hidden="1" spans="1:19">
      <c r="A937" s="143">
        <v>45052</v>
      </c>
      <c r="B937" s="104" t="s">
        <v>28</v>
      </c>
      <c r="C937" s="145">
        <v>0</v>
      </c>
      <c r="D937" s="104">
        <v>0</v>
      </c>
      <c r="E937" s="106">
        <v>0</v>
      </c>
      <c r="F937" s="107">
        <v>0</v>
      </c>
      <c r="G937" s="106">
        <v>0</v>
      </c>
      <c r="H937" s="108">
        <v>0</v>
      </c>
      <c r="I937" s="108">
        <v>0</v>
      </c>
      <c r="J937" s="108">
        <v>0</v>
      </c>
      <c r="K937" s="108">
        <v>0</v>
      </c>
      <c r="L937" s="108">
        <v>0</v>
      </c>
      <c r="M937" s="108">
        <v>0</v>
      </c>
      <c r="N937" s="108">
        <v>0</v>
      </c>
      <c r="O937" s="108">
        <v>0</v>
      </c>
      <c r="P937" s="108">
        <v>0</v>
      </c>
      <c r="Q937" s="108">
        <v>0</v>
      </c>
      <c r="R937" s="108">
        <v>0</v>
      </c>
      <c r="S937" s="108">
        <v>0</v>
      </c>
    </row>
    <row r="938" hidden="1" spans="1:19">
      <c r="A938" s="143">
        <v>45052</v>
      </c>
      <c r="B938" s="104" t="s">
        <v>29</v>
      </c>
      <c r="C938" s="145">
        <v>0</v>
      </c>
      <c r="D938" s="104">
        <v>0</v>
      </c>
      <c r="E938" s="106">
        <v>0</v>
      </c>
      <c r="F938" s="107">
        <v>0</v>
      </c>
      <c r="G938" s="106">
        <v>0</v>
      </c>
      <c r="H938" s="108">
        <v>-1</v>
      </c>
      <c r="I938" s="108">
        <v>-0.333333333333333</v>
      </c>
      <c r="J938" s="108">
        <v>-0.4</v>
      </c>
      <c r="K938" s="108">
        <v>-0.285714285714286</v>
      </c>
      <c r="L938" s="108">
        <v>0</v>
      </c>
      <c r="M938" s="108">
        <v>-0.333333333333333</v>
      </c>
      <c r="N938" s="108">
        <v>-0.2</v>
      </c>
      <c r="O938" s="108">
        <v>-0.142857142857143</v>
      </c>
      <c r="P938" s="108">
        <v>0</v>
      </c>
      <c r="Q938" s="108">
        <v>0</v>
      </c>
      <c r="R938" s="108">
        <v>0</v>
      </c>
      <c r="S938" s="108">
        <v>0</v>
      </c>
    </row>
    <row r="939" hidden="1" spans="1:19">
      <c r="A939" s="143">
        <v>45052</v>
      </c>
      <c r="B939" s="104" t="s">
        <v>30</v>
      </c>
      <c r="C939" s="145">
        <v>0</v>
      </c>
      <c r="D939" s="104">
        <v>0</v>
      </c>
      <c r="E939" s="106">
        <v>0</v>
      </c>
      <c r="F939" s="107">
        <v>0</v>
      </c>
      <c r="G939" s="106">
        <v>0</v>
      </c>
      <c r="H939" s="108">
        <v>0</v>
      </c>
      <c r="I939" s="108">
        <v>0</v>
      </c>
      <c r="J939" s="108">
        <v>0</v>
      </c>
      <c r="K939" s="108">
        <v>0</v>
      </c>
      <c r="L939" s="108">
        <v>0</v>
      </c>
      <c r="M939" s="108">
        <v>0</v>
      </c>
      <c r="N939" s="108">
        <v>0</v>
      </c>
      <c r="O939" s="108">
        <v>0</v>
      </c>
      <c r="P939" s="108">
        <v>0</v>
      </c>
      <c r="Q939" s="108">
        <v>0</v>
      </c>
      <c r="R939" s="108">
        <v>0</v>
      </c>
      <c r="S939" s="108">
        <v>0</v>
      </c>
    </row>
    <row r="940" hidden="1" spans="1:19">
      <c r="A940" s="143">
        <v>45052</v>
      </c>
      <c r="B940" s="104" t="s">
        <v>31</v>
      </c>
      <c r="C940" s="145">
        <v>0</v>
      </c>
      <c r="D940" s="104">
        <v>0</v>
      </c>
      <c r="E940" s="106">
        <v>0</v>
      </c>
      <c r="F940" s="107">
        <v>0</v>
      </c>
      <c r="G940" s="106">
        <v>0</v>
      </c>
      <c r="H940" s="108">
        <v>0</v>
      </c>
      <c r="I940" s="108">
        <v>0</v>
      </c>
      <c r="J940" s="108">
        <v>0</v>
      </c>
      <c r="K940" s="108">
        <v>0</v>
      </c>
      <c r="L940" s="108">
        <v>-1</v>
      </c>
      <c r="M940" s="108">
        <v>-0.333333333333333</v>
      </c>
      <c r="N940" s="108">
        <v>-0.2</v>
      </c>
      <c r="O940" s="108">
        <v>-0.142857142857143</v>
      </c>
      <c r="P940" s="108">
        <v>0</v>
      </c>
      <c r="Q940" s="108">
        <v>0</v>
      </c>
      <c r="R940" s="108">
        <v>0</v>
      </c>
      <c r="S940" s="108">
        <v>0</v>
      </c>
    </row>
    <row r="941" hidden="1" spans="1:19">
      <c r="A941" s="143">
        <v>45052</v>
      </c>
      <c r="B941" s="104" t="s">
        <v>32</v>
      </c>
      <c r="C941" s="145">
        <v>0</v>
      </c>
      <c r="D941" s="104">
        <v>0</v>
      </c>
      <c r="E941" s="106">
        <v>0</v>
      </c>
      <c r="F941" s="107">
        <v>0</v>
      </c>
      <c r="G941" s="106">
        <v>0</v>
      </c>
      <c r="H941" s="108">
        <v>0</v>
      </c>
      <c r="I941" s="108">
        <v>0</v>
      </c>
      <c r="J941" s="108">
        <v>0</v>
      </c>
      <c r="K941" s="108">
        <v>0</v>
      </c>
      <c r="L941" s="108">
        <v>0</v>
      </c>
      <c r="M941" s="108">
        <v>0</v>
      </c>
      <c r="N941" s="108">
        <v>0</v>
      </c>
      <c r="O941" s="108">
        <v>0</v>
      </c>
      <c r="P941" s="108">
        <v>0</v>
      </c>
      <c r="Q941" s="108">
        <v>0</v>
      </c>
      <c r="R941" s="108">
        <v>0</v>
      </c>
      <c r="S941" s="108">
        <v>0</v>
      </c>
    </row>
    <row r="942" hidden="1" spans="1:19">
      <c r="A942" s="143">
        <v>45052</v>
      </c>
      <c r="B942" s="104" t="s">
        <v>33</v>
      </c>
      <c r="C942" s="145">
        <v>0</v>
      </c>
      <c r="D942" s="104">
        <v>0</v>
      </c>
      <c r="E942" s="106">
        <v>0</v>
      </c>
      <c r="F942" s="107">
        <v>0</v>
      </c>
      <c r="G942" s="106">
        <v>0</v>
      </c>
      <c r="H942" s="108">
        <v>0</v>
      </c>
      <c r="I942" s="108">
        <v>0</v>
      </c>
      <c r="J942" s="108">
        <v>0</v>
      </c>
      <c r="K942" s="108">
        <v>0</v>
      </c>
      <c r="L942" s="108">
        <v>0</v>
      </c>
      <c r="M942" s="108">
        <v>0</v>
      </c>
      <c r="N942" s="108">
        <v>0</v>
      </c>
      <c r="O942" s="108">
        <v>-0.142857142857143</v>
      </c>
      <c r="P942" s="108">
        <v>0</v>
      </c>
      <c r="Q942" s="108">
        <v>0</v>
      </c>
      <c r="R942" s="108">
        <v>0</v>
      </c>
      <c r="S942" s="108">
        <v>0</v>
      </c>
    </row>
    <row r="943" hidden="1" spans="1:19">
      <c r="A943" s="143">
        <v>45052</v>
      </c>
      <c r="B943" s="104" t="s">
        <v>34</v>
      </c>
      <c r="C943" s="145">
        <v>0</v>
      </c>
      <c r="D943" s="104">
        <v>0</v>
      </c>
      <c r="E943" s="106">
        <v>0</v>
      </c>
      <c r="F943" s="107">
        <v>0</v>
      </c>
      <c r="G943" s="106">
        <v>0</v>
      </c>
      <c r="H943" s="108">
        <v>0</v>
      </c>
      <c r="I943" s="108">
        <v>0</v>
      </c>
      <c r="J943" s="108">
        <v>0</v>
      </c>
      <c r="K943" s="108">
        <v>0</v>
      </c>
      <c r="L943" s="108">
        <v>0</v>
      </c>
      <c r="M943" s="108">
        <v>0</v>
      </c>
      <c r="N943" s="108">
        <v>0</v>
      </c>
      <c r="O943" s="108">
        <v>0</v>
      </c>
      <c r="P943" s="108">
        <v>0</v>
      </c>
      <c r="Q943" s="108">
        <v>0</v>
      </c>
      <c r="R943" s="108">
        <v>0</v>
      </c>
      <c r="S943" s="108">
        <v>0</v>
      </c>
    </row>
    <row r="944" hidden="1" spans="1:19">
      <c r="A944" s="143">
        <v>45052</v>
      </c>
      <c r="B944" s="104" t="s">
        <v>35</v>
      </c>
      <c r="C944" s="145">
        <v>0</v>
      </c>
      <c r="D944" s="104">
        <v>0</v>
      </c>
      <c r="E944" s="106">
        <v>0</v>
      </c>
      <c r="F944" s="107">
        <v>0</v>
      </c>
      <c r="G944" s="106">
        <v>0</v>
      </c>
      <c r="H944" s="108">
        <v>0</v>
      </c>
      <c r="I944" s="108">
        <v>0</v>
      </c>
      <c r="J944" s="108">
        <v>0</v>
      </c>
      <c r="K944" s="108">
        <v>0</v>
      </c>
      <c r="L944" s="108">
        <v>0</v>
      </c>
      <c r="M944" s="108">
        <v>0</v>
      </c>
      <c r="N944" s="108">
        <v>0</v>
      </c>
      <c r="O944" s="108">
        <v>0</v>
      </c>
      <c r="P944" s="108">
        <v>0</v>
      </c>
      <c r="Q944" s="108">
        <v>0</v>
      </c>
      <c r="R944" s="108">
        <v>0</v>
      </c>
      <c r="S944" s="108">
        <v>0</v>
      </c>
    </row>
    <row r="945" hidden="1" spans="1:19">
      <c r="A945" s="143">
        <v>45052</v>
      </c>
      <c r="B945" s="104" t="s">
        <v>36</v>
      </c>
      <c r="C945" s="145">
        <v>0</v>
      </c>
      <c r="D945" s="104">
        <v>0</v>
      </c>
      <c r="E945" s="106">
        <v>0</v>
      </c>
      <c r="F945" s="107">
        <v>0</v>
      </c>
      <c r="G945" s="106">
        <v>0</v>
      </c>
      <c r="H945" s="108">
        <v>0</v>
      </c>
      <c r="I945" s="108">
        <v>0</v>
      </c>
      <c r="J945" s="108">
        <v>0</v>
      </c>
      <c r="K945" s="108">
        <v>0</v>
      </c>
      <c r="L945" s="108">
        <v>0</v>
      </c>
      <c r="M945" s="108">
        <v>0</v>
      </c>
      <c r="N945" s="108">
        <v>0</v>
      </c>
      <c r="O945" s="108">
        <v>0</v>
      </c>
      <c r="P945" s="108">
        <v>0</v>
      </c>
      <c r="Q945" s="108">
        <v>0</v>
      </c>
      <c r="R945" s="108">
        <v>0</v>
      </c>
      <c r="S945" s="108">
        <v>0</v>
      </c>
    </row>
    <row r="946" hidden="1" spans="1:19">
      <c r="A946" s="143">
        <v>45052</v>
      </c>
      <c r="B946" s="104" t="s">
        <v>37</v>
      </c>
      <c r="C946" s="145">
        <v>0</v>
      </c>
      <c r="D946" s="104">
        <v>1</v>
      </c>
      <c r="E946" s="106">
        <v>1</v>
      </c>
      <c r="F946" s="107">
        <v>0</v>
      </c>
      <c r="G946" s="106">
        <v>0</v>
      </c>
      <c r="H946" s="108">
        <v>0</v>
      </c>
      <c r="I946" s="108">
        <v>0</v>
      </c>
      <c r="J946" s="108">
        <v>0</v>
      </c>
      <c r="K946" s="108">
        <v>0</v>
      </c>
      <c r="L946" s="108">
        <v>1</v>
      </c>
      <c r="M946" s="108">
        <v>0.666666666666667</v>
      </c>
      <c r="N946" s="108">
        <v>0.6</v>
      </c>
      <c r="O946" s="108">
        <v>0.714285714285714</v>
      </c>
      <c r="P946" s="108">
        <v>0</v>
      </c>
      <c r="Q946" s="108">
        <v>0</v>
      </c>
      <c r="R946" s="108">
        <v>0</v>
      </c>
      <c r="S946" s="108">
        <v>0</v>
      </c>
    </row>
    <row r="947" hidden="1" spans="1:19">
      <c r="A947" s="143">
        <v>45052</v>
      </c>
      <c r="B947" s="104" t="s">
        <v>38</v>
      </c>
      <c r="C947" s="145">
        <v>0</v>
      </c>
      <c r="D947" s="104">
        <v>0</v>
      </c>
      <c r="E947" s="106">
        <v>0</v>
      </c>
      <c r="F947" s="107">
        <v>0</v>
      </c>
      <c r="G947" s="106">
        <v>0</v>
      </c>
      <c r="H947" s="108">
        <v>0</v>
      </c>
      <c r="I947" s="108">
        <v>0</v>
      </c>
      <c r="J947" s="108">
        <v>0</v>
      </c>
      <c r="K947" s="108">
        <v>0</v>
      </c>
      <c r="L947" s="108">
        <v>0</v>
      </c>
      <c r="M947" s="108">
        <v>0</v>
      </c>
      <c r="N947" s="108">
        <v>0</v>
      </c>
      <c r="O947" s="108">
        <v>0</v>
      </c>
      <c r="P947" s="108">
        <v>0</v>
      </c>
      <c r="Q947" s="108">
        <v>0</v>
      </c>
      <c r="R947" s="108">
        <v>0</v>
      </c>
      <c r="S947" s="108">
        <v>0</v>
      </c>
    </row>
    <row r="948" spans="1:19">
      <c r="A948" s="143">
        <v>45052</v>
      </c>
      <c r="B948" s="111" t="s">
        <v>39</v>
      </c>
      <c r="C948" s="112">
        <v>26816</v>
      </c>
      <c r="D948" s="112">
        <v>299</v>
      </c>
      <c r="E948" s="113">
        <v>0.0111500596658711</v>
      </c>
      <c r="F948" s="112">
        <v>102</v>
      </c>
      <c r="G948" s="113">
        <v>0.341137123745819</v>
      </c>
      <c r="H948" s="108"/>
      <c r="I948" s="108"/>
      <c r="J948" s="108"/>
      <c r="K948" s="108"/>
      <c r="L948" s="108"/>
      <c r="M948" s="108"/>
      <c r="N948" s="108"/>
      <c r="O948" s="108"/>
      <c r="P948" s="108"/>
      <c r="Q948" s="108"/>
      <c r="R948" s="108"/>
      <c r="S948" s="108"/>
    </row>
    <row r="949" spans="1:19">
      <c r="A949" s="143">
        <v>45053</v>
      </c>
      <c r="B949" s="104" t="s">
        <v>17</v>
      </c>
      <c r="C949" s="105">
        <v>1</v>
      </c>
      <c r="D949" s="104">
        <v>47</v>
      </c>
      <c r="E949" s="106">
        <v>47</v>
      </c>
      <c r="F949" s="107">
        <v>15</v>
      </c>
      <c r="G949" s="106">
        <v>0.319148936170213</v>
      </c>
      <c r="H949" s="108">
        <v>-365</v>
      </c>
      <c r="I949" s="108">
        <v>-526.333333333333</v>
      </c>
      <c r="J949" s="108">
        <v>-556.8</v>
      </c>
      <c r="K949" s="108">
        <v>-584.142857142857</v>
      </c>
      <c r="L949" s="108">
        <v>12</v>
      </c>
      <c r="M949" s="108">
        <v>3.66666666666666</v>
      </c>
      <c r="N949" s="108">
        <v>6</v>
      </c>
      <c r="O949" s="108">
        <v>6</v>
      </c>
      <c r="P949" s="108">
        <v>4</v>
      </c>
      <c r="Q949" s="108">
        <v>4</v>
      </c>
      <c r="R949" s="108">
        <v>5.4</v>
      </c>
      <c r="S949" s="108">
        <v>5.57142857142857</v>
      </c>
    </row>
    <row r="950" spans="1:19">
      <c r="A950" s="143">
        <v>45053</v>
      </c>
      <c r="B950" s="104" t="s">
        <v>19</v>
      </c>
      <c r="C950" s="107">
        <v>446</v>
      </c>
      <c r="D950" s="104">
        <v>8</v>
      </c>
      <c r="E950" s="106">
        <v>0.0179372197309417</v>
      </c>
      <c r="F950" s="107">
        <v>12</v>
      </c>
      <c r="G950" s="106">
        <v>1.5</v>
      </c>
      <c r="H950" s="108">
        <v>12</v>
      </c>
      <c r="I950" s="108">
        <v>-177.333333333333</v>
      </c>
      <c r="J950" s="108">
        <v>-370</v>
      </c>
      <c r="K950" s="108">
        <v>-483.428571428571</v>
      </c>
      <c r="L950" s="108">
        <v>-5</v>
      </c>
      <c r="M950" s="108">
        <v>-15.3333333333333</v>
      </c>
      <c r="N950" s="108">
        <v>-12.2</v>
      </c>
      <c r="O950" s="108">
        <v>-13.7142857142857</v>
      </c>
      <c r="P950" s="108">
        <v>8</v>
      </c>
      <c r="Q950" s="108">
        <v>7.66666666666667</v>
      </c>
      <c r="R950" s="108">
        <v>6.6</v>
      </c>
      <c r="S950" s="115">
        <v>5.42857142857143</v>
      </c>
    </row>
    <row r="951" spans="1:19">
      <c r="A951" s="143">
        <v>45053</v>
      </c>
      <c r="B951" s="104" t="s">
        <v>21</v>
      </c>
      <c r="C951" s="145">
        <v>567</v>
      </c>
      <c r="D951" s="104">
        <v>27</v>
      </c>
      <c r="E951" s="106">
        <v>0.0476190476190476</v>
      </c>
      <c r="F951" s="107">
        <v>9</v>
      </c>
      <c r="G951" s="106">
        <v>0.333333333333333</v>
      </c>
      <c r="H951" s="108">
        <v>36</v>
      </c>
      <c r="I951" s="108">
        <v>16</v>
      </c>
      <c r="J951" s="108">
        <v>23</v>
      </c>
      <c r="K951" s="108">
        <v>28.1428571428571</v>
      </c>
      <c r="L951" s="108">
        <v>2</v>
      </c>
      <c r="M951" s="108">
        <v>-8.66666666666666</v>
      </c>
      <c r="N951" s="108">
        <v>-5.2</v>
      </c>
      <c r="O951" s="108">
        <v>-3.85714285714286</v>
      </c>
      <c r="P951" s="108">
        <v>-3</v>
      </c>
      <c r="Q951" s="108">
        <v>0.333333333333334</v>
      </c>
      <c r="R951" s="108">
        <v>0</v>
      </c>
      <c r="S951" s="108">
        <v>0.285714285714286</v>
      </c>
    </row>
    <row r="952" spans="1:19">
      <c r="A952" s="143">
        <v>45053</v>
      </c>
      <c r="B952" s="104" t="s">
        <v>22</v>
      </c>
      <c r="C952" s="145">
        <v>2073</v>
      </c>
      <c r="D952" s="104">
        <v>60</v>
      </c>
      <c r="E952" s="106">
        <v>0.0289435600578871</v>
      </c>
      <c r="F952" s="107">
        <v>25</v>
      </c>
      <c r="G952" s="106">
        <v>0.416666666666667</v>
      </c>
      <c r="H952" s="108">
        <v>164</v>
      </c>
      <c r="I952" s="108">
        <v>397.666666666667</v>
      </c>
      <c r="J952" s="108">
        <v>428</v>
      </c>
      <c r="K952" s="108">
        <v>95.1428571428571</v>
      </c>
      <c r="L952" s="108">
        <v>2</v>
      </c>
      <c r="M952" s="108">
        <v>12</v>
      </c>
      <c r="N952" s="108">
        <v>14.2</v>
      </c>
      <c r="O952" s="115">
        <v>16.1428571428571</v>
      </c>
      <c r="P952" s="108">
        <v>9</v>
      </c>
      <c r="Q952" s="108">
        <v>8.66666666666667</v>
      </c>
      <c r="R952" s="108">
        <v>11.2</v>
      </c>
      <c r="S952" s="117">
        <v>12.2857142857143</v>
      </c>
    </row>
    <row r="953" spans="1:19">
      <c r="A953" s="143">
        <v>45053</v>
      </c>
      <c r="B953" s="104" t="s">
        <v>23</v>
      </c>
      <c r="C953" s="145">
        <v>2151</v>
      </c>
      <c r="D953" s="104">
        <v>12</v>
      </c>
      <c r="E953" s="106">
        <v>0.00557880055788006</v>
      </c>
      <c r="F953" s="107">
        <v>3</v>
      </c>
      <c r="G953" s="106">
        <v>0.25</v>
      </c>
      <c r="H953" s="108">
        <v>-207</v>
      </c>
      <c r="I953" s="108">
        <v>-99.6666666666665</v>
      </c>
      <c r="J953" s="108">
        <v>-177</v>
      </c>
      <c r="K953" s="108">
        <v>-270.714285714286</v>
      </c>
      <c r="L953" s="108">
        <v>-6</v>
      </c>
      <c r="M953" s="108">
        <v>-11.3333333333333</v>
      </c>
      <c r="N953" s="108">
        <v>-9.4</v>
      </c>
      <c r="O953" s="108">
        <v>-9.14285714285714</v>
      </c>
      <c r="P953" s="108">
        <v>-1</v>
      </c>
      <c r="Q953" s="116">
        <v>-2.66666666666667</v>
      </c>
      <c r="R953" s="108">
        <v>-3.2</v>
      </c>
      <c r="S953" s="108">
        <v>-3.28571428571429</v>
      </c>
    </row>
    <row r="954" spans="1:19">
      <c r="A954" s="143">
        <v>45053</v>
      </c>
      <c r="B954" s="104" t="s">
        <v>24</v>
      </c>
      <c r="C954" s="145">
        <v>3024</v>
      </c>
      <c r="D954" s="104">
        <v>96</v>
      </c>
      <c r="E954" s="106">
        <v>0.0317460317460317</v>
      </c>
      <c r="F954" s="107">
        <v>28</v>
      </c>
      <c r="G954" s="106">
        <v>0.291666666666667</v>
      </c>
      <c r="H954" s="108">
        <v>152</v>
      </c>
      <c r="I954" s="108">
        <v>-214</v>
      </c>
      <c r="J954" s="108">
        <v>-268</v>
      </c>
      <c r="K954" s="108">
        <v>304.571428571428</v>
      </c>
      <c r="L954" s="115">
        <v>29</v>
      </c>
      <c r="M954" s="115">
        <v>17.3333333333333</v>
      </c>
      <c r="N954" s="115">
        <v>35</v>
      </c>
      <c r="O954" s="115">
        <v>51.1428571428571</v>
      </c>
      <c r="P954" s="115">
        <v>2</v>
      </c>
      <c r="Q954" s="115">
        <v>10.3333333333333</v>
      </c>
      <c r="R954" s="115">
        <v>14.4</v>
      </c>
      <c r="S954" s="115">
        <v>18.1428571428571</v>
      </c>
    </row>
    <row r="955" spans="1:19">
      <c r="A955" s="143">
        <v>45053</v>
      </c>
      <c r="B955" s="104" t="s">
        <v>25</v>
      </c>
      <c r="C955" s="145">
        <v>6610</v>
      </c>
      <c r="D955" s="104">
        <v>25</v>
      </c>
      <c r="E955" s="106">
        <v>0.0037821482602118</v>
      </c>
      <c r="F955" s="107">
        <v>13</v>
      </c>
      <c r="G955" s="106">
        <v>0.52</v>
      </c>
      <c r="H955" s="108">
        <v>-3652</v>
      </c>
      <c r="I955" s="108">
        <v>-5024</v>
      </c>
      <c r="J955" s="108">
        <v>-5048</v>
      </c>
      <c r="K955" s="108">
        <v>-4980.28571428571</v>
      </c>
      <c r="L955" s="116">
        <v>-1</v>
      </c>
      <c r="M955" s="115">
        <v>-9</v>
      </c>
      <c r="N955" s="115">
        <v>-16.6</v>
      </c>
      <c r="O955" s="115">
        <v>-17</v>
      </c>
      <c r="P955" s="108">
        <v>-1</v>
      </c>
      <c r="Q955" s="108">
        <v>1.33333333333333</v>
      </c>
      <c r="R955" s="108">
        <v>-2.4</v>
      </c>
      <c r="S955" s="108">
        <v>-3.42857142857143</v>
      </c>
    </row>
    <row r="956" spans="1:19">
      <c r="A956" s="143">
        <v>45053</v>
      </c>
      <c r="B956" s="104" t="s">
        <v>26</v>
      </c>
      <c r="C956" s="145">
        <v>4306</v>
      </c>
      <c r="D956" s="104">
        <v>24</v>
      </c>
      <c r="E956" s="106">
        <v>0.00557361820715281</v>
      </c>
      <c r="F956" s="107">
        <v>8</v>
      </c>
      <c r="G956" s="106">
        <v>0.333333333333333</v>
      </c>
      <c r="H956" s="108">
        <v>150</v>
      </c>
      <c r="I956" s="108">
        <v>889.333333333333</v>
      </c>
      <c r="J956" s="108">
        <v>1218</v>
      </c>
      <c r="K956" s="108">
        <v>1356.28571428571</v>
      </c>
      <c r="L956" s="108">
        <v>11</v>
      </c>
      <c r="M956" s="108">
        <v>0.666666666666668</v>
      </c>
      <c r="N956" s="108">
        <v>2</v>
      </c>
      <c r="O956" s="108">
        <v>3</v>
      </c>
      <c r="P956" s="108">
        <v>5</v>
      </c>
      <c r="Q956" s="108">
        <v>3.33333333333333</v>
      </c>
      <c r="R956" s="108">
        <v>3.6</v>
      </c>
      <c r="S956" s="108">
        <v>3.42857142857143</v>
      </c>
    </row>
    <row r="957" spans="1:19">
      <c r="A957" s="143">
        <v>45053</v>
      </c>
      <c r="B957" s="104" t="s">
        <v>27</v>
      </c>
      <c r="C957" s="145">
        <v>4398</v>
      </c>
      <c r="D957" s="104">
        <v>49</v>
      </c>
      <c r="E957" s="106">
        <v>0.0111414279217826</v>
      </c>
      <c r="F957" s="107">
        <v>16</v>
      </c>
      <c r="G957" s="106">
        <v>0.326530612244898</v>
      </c>
      <c r="H957" s="108">
        <v>470</v>
      </c>
      <c r="I957" s="108">
        <v>735.333333333333</v>
      </c>
      <c r="J957" s="108">
        <v>1017.6</v>
      </c>
      <c r="K957" s="108">
        <v>1355.71428571429</v>
      </c>
      <c r="L957" s="108">
        <v>6</v>
      </c>
      <c r="M957" s="108">
        <v>-11.3333333333333</v>
      </c>
      <c r="N957" s="108">
        <v>2.4</v>
      </c>
      <c r="O957" s="108">
        <v>10.5714285714286</v>
      </c>
      <c r="P957" s="108">
        <v>4</v>
      </c>
      <c r="Q957" s="108">
        <v>6.33333333333333</v>
      </c>
      <c r="R957" s="108">
        <v>7</v>
      </c>
      <c r="S957" s="108">
        <v>7.42857142857143</v>
      </c>
    </row>
    <row r="958" hidden="1" spans="1:19">
      <c r="A958" s="143">
        <v>45053</v>
      </c>
      <c r="B958" s="104" t="s">
        <v>28</v>
      </c>
      <c r="C958" s="145">
        <v>0</v>
      </c>
      <c r="D958" s="104">
        <v>0</v>
      </c>
      <c r="E958" s="106">
        <v>0</v>
      </c>
      <c r="F958" s="107">
        <v>0</v>
      </c>
      <c r="G958" s="106">
        <v>0</v>
      </c>
      <c r="H958" s="108">
        <v>0</v>
      </c>
      <c r="I958" s="108">
        <v>0</v>
      </c>
      <c r="J958" s="108">
        <v>0</v>
      </c>
      <c r="K958" s="108">
        <v>0</v>
      </c>
      <c r="L958" s="108">
        <v>0</v>
      </c>
      <c r="M958" s="108">
        <v>0</v>
      </c>
      <c r="N958" s="108">
        <v>0</v>
      </c>
      <c r="O958" s="108">
        <v>0</v>
      </c>
      <c r="P958" s="108">
        <v>0</v>
      </c>
      <c r="Q958" s="108">
        <v>0</v>
      </c>
      <c r="R958" s="108">
        <v>0</v>
      </c>
      <c r="S958" s="108">
        <v>0</v>
      </c>
    </row>
    <row r="959" hidden="1" spans="1:19">
      <c r="A959" s="143">
        <v>45053</v>
      </c>
      <c r="B959" s="104" t="s">
        <v>29</v>
      </c>
      <c r="C959" s="145">
        <v>0</v>
      </c>
      <c r="D959" s="104">
        <v>0</v>
      </c>
      <c r="E959" s="106">
        <v>0</v>
      </c>
      <c r="F959" s="107">
        <v>0</v>
      </c>
      <c r="G959" s="106">
        <v>0</v>
      </c>
      <c r="H959" s="108">
        <v>0</v>
      </c>
      <c r="I959" s="108">
        <v>-0.333333333333333</v>
      </c>
      <c r="J959" s="108">
        <v>-0.4</v>
      </c>
      <c r="K959" s="108">
        <v>-0.285714285714286</v>
      </c>
      <c r="L959" s="108">
        <v>0</v>
      </c>
      <c r="M959" s="108">
        <v>0</v>
      </c>
      <c r="N959" s="108">
        <v>-0.2</v>
      </c>
      <c r="O959" s="108">
        <v>-0.142857142857143</v>
      </c>
      <c r="P959" s="108">
        <v>0</v>
      </c>
      <c r="Q959" s="108">
        <v>0</v>
      </c>
      <c r="R959" s="108">
        <v>0</v>
      </c>
      <c r="S959" s="108">
        <v>0</v>
      </c>
    </row>
    <row r="960" hidden="1" spans="1:19">
      <c r="A960" s="143">
        <v>45053</v>
      </c>
      <c r="B960" s="104" t="s">
        <v>30</v>
      </c>
      <c r="C960" s="145">
        <v>0</v>
      </c>
      <c r="D960" s="104">
        <v>0</v>
      </c>
      <c r="E960" s="106">
        <v>0</v>
      </c>
      <c r="F960" s="107">
        <v>0</v>
      </c>
      <c r="G960" s="106">
        <v>0</v>
      </c>
      <c r="H960" s="108">
        <v>0</v>
      </c>
      <c r="I960" s="108">
        <v>0</v>
      </c>
      <c r="J960" s="108">
        <v>0</v>
      </c>
      <c r="K960" s="108">
        <v>0</v>
      </c>
      <c r="L960" s="108">
        <v>0</v>
      </c>
      <c r="M960" s="108">
        <v>0</v>
      </c>
      <c r="N960" s="108">
        <v>0</v>
      </c>
      <c r="O960" s="108">
        <v>0</v>
      </c>
      <c r="P960" s="108">
        <v>0</v>
      </c>
      <c r="Q960" s="108">
        <v>0</v>
      </c>
      <c r="R960" s="108">
        <v>0</v>
      </c>
      <c r="S960" s="108">
        <v>0</v>
      </c>
    </row>
    <row r="961" hidden="1" spans="1:19">
      <c r="A961" s="143">
        <v>45053</v>
      </c>
      <c r="B961" s="104" t="s">
        <v>31</v>
      </c>
      <c r="C961" s="145">
        <v>0</v>
      </c>
      <c r="D961" s="104">
        <v>0</v>
      </c>
      <c r="E961" s="106">
        <v>0</v>
      </c>
      <c r="F961" s="107">
        <v>0</v>
      </c>
      <c r="G961" s="106">
        <v>0</v>
      </c>
      <c r="H961" s="108">
        <v>0</v>
      </c>
      <c r="I961" s="108">
        <v>0</v>
      </c>
      <c r="J961" s="108">
        <v>0</v>
      </c>
      <c r="K961" s="108">
        <v>0</v>
      </c>
      <c r="L961" s="108">
        <v>0</v>
      </c>
      <c r="M961" s="108">
        <v>-0.333333333333333</v>
      </c>
      <c r="N961" s="108">
        <v>-0.2</v>
      </c>
      <c r="O961" s="108">
        <v>-0.142857142857143</v>
      </c>
      <c r="P961" s="108">
        <v>0</v>
      </c>
      <c r="Q961" s="108">
        <v>0</v>
      </c>
      <c r="R961" s="108">
        <v>0</v>
      </c>
      <c r="S961" s="108">
        <v>0</v>
      </c>
    </row>
    <row r="962" hidden="1" spans="1:19">
      <c r="A962" s="143">
        <v>45053</v>
      </c>
      <c r="B962" s="104" t="s">
        <v>32</v>
      </c>
      <c r="C962" s="145">
        <v>0</v>
      </c>
      <c r="D962" s="104">
        <v>0</v>
      </c>
      <c r="E962" s="106">
        <v>0</v>
      </c>
      <c r="F962" s="107">
        <v>0</v>
      </c>
      <c r="G962" s="106">
        <v>0</v>
      </c>
      <c r="H962" s="108">
        <v>0</v>
      </c>
      <c r="I962" s="108">
        <v>0</v>
      </c>
      <c r="J962" s="108">
        <v>0</v>
      </c>
      <c r="K962" s="108">
        <v>0</v>
      </c>
      <c r="L962" s="108">
        <v>0</v>
      </c>
      <c r="M962" s="108">
        <v>0</v>
      </c>
      <c r="N962" s="108">
        <v>0</v>
      </c>
      <c r="O962" s="108">
        <v>0</v>
      </c>
      <c r="P962" s="108">
        <v>0</v>
      </c>
      <c r="Q962" s="108">
        <v>0</v>
      </c>
      <c r="R962" s="108">
        <v>0</v>
      </c>
      <c r="S962" s="108">
        <v>0</v>
      </c>
    </row>
    <row r="963" hidden="1" spans="1:19">
      <c r="A963" s="143">
        <v>45053</v>
      </c>
      <c r="B963" s="104" t="s">
        <v>33</v>
      </c>
      <c r="C963" s="145">
        <v>0</v>
      </c>
      <c r="D963" s="104">
        <v>0</v>
      </c>
      <c r="E963" s="106">
        <v>0</v>
      </c>
      <c r="F963" s="107">
        <v>0</v>
      </c>
      <c r="G963" s="106">
        <v>0</v>
      </c>
      <c r="H963" s="108">
        <v>0</v>
      </c>
      <c r="I963" s="108">
        <v>0</v>
      </c>
      <c r="J963" s="108">
        <v>0</v>
      </c>
      <c r="K963" s="108">
        <v>0</v>
      </c>
      <c r="L963" s="108">
        <v>0</v>
      </c>
      <c r="M963" s="108">
        <v>0</v>
      </c>
      <c r="N963" s="108">
        <v>0</v>
      </c>
      <c r="O963" s="108">
        <v>-0.142857142857143</v>
      </c>
      <c r="P963" s="108">
        <v>0</v>
      </c>
      <c r="Q963" s="108">
        <v>0</v>
      </c>
      <c r="R963" s="108">
        <v>0</v>
      </c>
      <c r="S963" s="108">
        <v>0</v>
      </c>
    </row>
    <row r="964" hidden="1" spans="1:19">
      <c r="A964" s="143">
        <v>45053</v>
      </c>
      <c r="B964" s="104" t="s">
        <v>34</v>
      </c>
      <c r="C964" s="145">
        <v>0</v>
      </c>
      <c r="D964" s="104">
        <v>0</v>
      </c>
      <c r="E964" s="106">
        <v>0</v>
      </c>
      <c r="F964" s="107">
        <v>0</v>
      </c>
      <c r="G964" s="106">
        <v>0</v>
      </c>
      <c r="H964" s="108">
        <v>0</v>
      </c>
      <c r="I964" s="108">
        <v>0</v>
      </c>
      <c r="J964" s="108">
        <v>0</v>
      </c>
      <c r="K964" s="108">
        <v>0</v>
      </c>
      <c r="L964" s="108">
        <v>0</v>
      </c>
      <c r="M964" s="108">
        <v>0</v>
      </c>
      <c r="N964" s="108">
        <v>0</v>
      </c>
      <c r="O964" s="108">
        <v>0</v>
      </c>
      <c r="P964" s="108">
        <v>0</v>
      </c>
      <c r="Q964" s="108">
        <v>0</v>
      </c>
      <c r="R964" s="108">
        <v>0</v>
      </c>
      <c r="S964" s="108">
        <v>0</v>
      </c>
    </row>
    <row r="965" hidden="1" spans="1:19">
      <c r="A965" s="143">
        <v>45053</v>
      </c>
      <c r="B965" s="104" t="s">
        <v>35</v>
      </c>
      <c r="C965" s="145">
        <v>0</v>
      </c>
      <c r="D965" s="104">
        <v>0</v>
      </c>
      <c r="E965" s="106">
        <v>0</v>
      </c>
      <c r="F965" s="107">
        <v>0</v>
      </c>
      <c r="G965" s="106">
        <v>0</v>
      </c>
      <c r="H965" s="108">
        <v>0</v>
      </c>
      <c r="I965" s="108">
        <v>0</v>
      </c>
      <c r="J965" s="108">
        <v>0</v>
      </c>
      <c r="K965" s="108">
        <v>0</v>
      </c>
      <c r="L965" s="108">
        <v>0</v>
      </c>
      <c r="M965" s="108">
        <v>0</v>
      </c>
      <c r="N965" s="108">
        <v>0</v>
      </c>
      <c r="O965" s="108">
        <v>0</v>
      </c>
      <c r="P965" s="108">
        <v>0</v>
      </c>
      <c r="Q965" s="108">
        <v>0</v>
      </c>
      <c r="R965" s="108">
        <v>0</v>
      </c>
      <c r="S965" s="108">
        <v>0</v>
      </c>
    </row>
    <row r="966" hidden="1" spans="1:19">
      <c r="A966" s="143">
        <v>45053</v>
      </c>
      <c r="B966" s="104" t="s">
        <v>36</v>
      </c>
      <c r="C966" s="145">
        <v>0</v>
      </c>
      <c r="D966" s="104">
        <v>0</v>
      </c>
      <c r="E966" s="106">
        <v>0</v>
      </c>
      <c r="F966" s="107">
        <v>0</v>
      </c>
      <c r="G966" s="106">
        <v>0</v>
      </c>
      <c r="H966" s="108">
        <v>0</v>
      </c>
      <c r="I966" s="108">
        <v>0</v>
      </c>
      <c r="J966" s="108">
        <v>0</v>
      </c>
      <c r="K966" s="108">
        <v>0</v>
      </c>
      <c r="L966" s="108">
        <v>0</v>
      </c>
      <c r="M966" s="108">
        <v>0</v>
      </c>
      <c r="N966" s="108">
        <v>0</v>
      </c>
      <c r="O966" s="108">
        <v>0</v>
      </c>
      <c r="P966" s="108">
        <v>0</v>
      </c>
      <c r="Q966" s="108">
        <v>0</v>
      </c>
      <c r="R966" s="108">
        <v>0</v>
      </c>
      <c r="S966" s="108">
        <v>0</v>
      </c>
    </row>
    <row r="967" hidden="1" spans="1:19">
      <c r="A967" s="143">
        <v>45053</v>
      </c>
      <c r="B967" s="104" t="s">
        <v>37</v>
      </c>
      <c r="C967" s="145">
        <v>0</v>
      </c>
      <c r="D967" s="104">
        <v>2</v>
      </c>
      <c r="E967" s="106">
        <v>2</v>
      </c>
      <c r="F967" s="107">
        <v>0</v>
      </c>
      <c r="G967" s="106">
        <v>0</v>
      </c>
      <c r="H967" s="108">
        <v>0</v>
      </c>
      <c r="I967" s="108">
        <v>0</v>
      </c>
      <c r="J967" s="108">
        <v>0</v>
      </c>
      <c r="K967" s="108">
        <v>0</v>
      </c>
      <c r="L967" s="108">
        <v>1</v>
      </c>
      <c r="M967" s="108">
        <v>1.33333333333333</v>
      </c>
      <c r="N967" s="108">
        <v>1.6</v>
      </c>
      <c r="O967" s="108">
        <v>1.57142857142857</v>
      </c>
      <c r="P967" s="108">
        <v>0</v>
      </c>
      <c r="Q967" s="108">
        <v>0</v>
      </c>
      <c r="R967" s="108">
        <v>0</v>
      </c>
      <c r="S967" s="108">
        <v>0</v>
      </c>
    </row>
    <row r="968" hidden="1" spans="1:19">
      <c r="A968" s="143">
        <v>45053</v>
      </c>
      <c r="B968" s="104" t="s">
        <v>38</v>
      </c>
      <c r="C968" s="145">
        <v>0</v>
      </c>
      <c r="D968" s="104">
        <v>0</v>
      </c>
      <c r="E968" s="106">
        <v>0</v>
      </c>
      <c r="F968" s="107">
        <v>0</v>
      </c>
      <c r="G968" s="106">
        <v>0</v>
      </c>
      <c r="H968" s="108">
        <v>0</v>
      </c>
      <c r="I968" s="108">
        <v>0</v>
      </c>
      <c r="J968" s="108">
        <v>0</v>
      </c>
      <c r="K968" s="108">
        <v>0</v>
      </c>
      <c r="L968" s="108">
        <v>0</v>
      </c>
      <c r="M968" s="108">
        <v>0</v>
      </c>
      <c r="N968" s="108">
        <v>0</v>
      </c>
      <c r="O968" s="108">
        <v>0</v>
      </c>
      <c r="P968" s="108">
        <v>0</v>
      </c>
      <c r="Q968" s="108">
        <v>0</v>
      </c>
      <c r="R968" s="108">
        <v>0</v>
      </c>
      <c r="S968" s="108">
        <v>0</v>
      </c>
    </row>
    <row r="969" spans="1:19">
      <c r="A969" s="143">
        <v>45053</v>
      </c>
      <c r="B969" s="111" t="s">
        <v>39</v>
      </c>
      <c r="C969" s="112">
        <v>23576</v>
      </c>
      <c r="D969" s="112">
        <v>350</v>
      </c>
      <c r="E969" s="113">
        <v>0.0148456057007126</v>
      </c>
      <c r="F969" s="112">
        <v>129</v>
      </c>
      <c r="G969" s="113">
        <v>0.368571428571429</v>
      </c>
      <c r="H969" s="108"/>
      <c r="I969" s="108"/>
      <c r="J969" s="108"/>
      <c r="K969" s="108"/>
      <c r="L969" s="108"/>
      <c r="M969" s="108"/>
      <c r="N969" s="108"/>
      <c r="O969" s="108"/>
      <c r="P969" s="108"/>
      <c r="Q969" s="108"/>
      <c r="R969" s="108"/>
      <c r="S969" s="108"/>
    </row>
    <row r="970" spans="1:19">
      <c r="A970" s="143">
        <v>45054</v>
      </c>
      <c r="B970" s="104" t="s">
        <v>17</v>
      </c>
      <c r="C970" s="105">
        <v>2</v>
      </c>
      <c r="D970" s="104">
        <v>34</v>
      </c>
      <c r="E970" s="106">
        <v>17</v>
      </c>
      <c r="F970" s="107">
        <v>7</v>
      </c>
      <c r="G970" s="106">
        <v>0.205882352941176</v>
      </c>
      <c r="H970" s="108">
        <v>1</v>
      </c>
      <c r="I970" s="108">
        <v>-351.666666666667</v>
      </c>
      <c r="J970" s="108">
        <v>-448.2</v>
      </c>
      <c r="K970" s="108">
        <v>-487.857142857143</v>
      </c>
      <c r="L970" s="108">
        <v>-13</v>
      </c>
      <c r="M970" s="108">
        <v>-11.3333333333333</v>
      </c>
      <c r="N970" s="108">
        <v>-10.2</v>
      </c>
      <c r="O970" s="108">
        <v>-7.42857142857143</v>
      </c>
      <c r="P970" s="108">
        <v>-8</v>
      </c>
      <c r="Q970" s="108">
        <v>-4.66666666666667</v>
      </c>
      <c r="R970" s="108">
        <v>-3.4</v>
      </c>
      <c r="S970" s="108">
        <v>-3</v>
      </c>
    </row>
    <row r="971" spans="1:19">
      <c r="A971" s="143">
        <v>45054</v>
      </c>
      <c r="B971" s="104" t="s">
        <v>19</v>
      </c>
      <c r="C971" s="107">
        <v>340</v>
      </c>
      <c r="D971" s="104">
        <v>8</v>
      </c>
      <c r="E971" s="106">
        <v>0.0235294117647059</v>
      </c>
      <c r="F971" s="107">
        <v>4</v>
      </c>
      <c r="G971" s="106">
        <v>0.5</v>
      </c>
      <c r="H971" s="108">
        <v>-106</v>
      </c>
      <c r="I971" s="108">
        <v>-183.333333333333</v>
      </c>
      <c r="J971" s="108">
        <v>-344</v>
      </c>
      <c r="K971" s="108">
        <v>-484.571428571429</v>
      </c>
      <c r="L971" s="108">
        <v>0</v>
      </c>
      <c r="M971" s="108">
        <v>-11.3333333333333</v>
      </c>
      <c r="N971" s="108">
        <v>-11.8</v>
      </c>
      <c r="O971" s="108">
        <v>-11.4285714285714</v>
      </c>
      <c r="P971" s="108">
        <v>-8</v>
      </c>
      <c r="Q971" s="108">
        <v>-3</v>
      </c>
      <c r="R971" s="108">
        <v>-2.8</v>
      </c>
      <c r="S971" s="115">
        <v>-3.14285714285714</v>
      </c>
    </row>
    <row r="972" spans="1:19">
      <c r="A972" s="143">
        <v>45054</v>
      </c>
      <c r="B972" s="104" t="s">
        <v>21</v>
      </c>
      <c r="C972" s="145">
        <v>551</v>
      </c>
      <c r="D972" s="104">
        <v>25</v>
      </c>
      <c r="E972" s="106">
        <v>0.0453720508166969</v>
      </c>
      <c r="F972" s="107">
        <v>6</v>
      </c>
      <c r="G972" s="106">
        <v>0.24</v>
      </c>
      <c r="H972" s="108">
        <v>-16</v>
      </c>
      <c r="I972" s="108">
        <v>6.66666666666663</v>
      </c>
      <c r="J972" s="108">
        <v>5.79999999999995</v>
      </c>
      <c r="K972" s="108">
        <v>9.42857142857144</v>
      </c>
      <c r="L972" s="108">
        <v>-2</v>
      </c>
      <c r="M972" s="108">
        <v>-12.3333333333333</v>
      </c>
      <c r="N972" s="108">
        <v>-7</v>
      </c>
      <c r="O972" s="108">
        <v>-6</v>
      </c>
      <c r="P972" s="108">
        <v>-3</v>
      </c>
      <c r="Q972" s="108">
        <v>-3.66666666666667</v>
      </c>
      <c r="R972" s="108">
        <v>-3.4</v>
      </c>
      <c r="S972" s="108">
        <v>-2.42857142857143</v>
      </c>
    </row>
    <row r="973" spans="1:19">
      <c r="A973" s="143">
        <v>45054</v>
      </c>
      <c r="B973" s="104" t="s">
        <v>22</v>
      </c>
      <c r="C973" s="145">
        <v>2049</v>
      </c>
      <c r="D973" s="104">
        <v>60</v>
      </c>
      <c r="E973" s="106">
        <v>0.0292825768667643</v>
      </c>
      <c r="F973" s="107">
        <v>20</v>
      </c>
      <c r="G973" s="106">
        <v>0.333333333333333</v>
      </c>
      <c r="H973" s="108">
        <v>-24</v>
      </c>
      <c r="I973" s="108">
        <v>174.333333333333</v>
      </c>
      <c r="J973" s="108">
        <v>312.6</v>
      </c>
      <c r="K973" s="108">
        <v>172.428571428571</v>
      </c>
      <c r="L973" s="108">
        <v>0</v>
      </c>
      <c r="M973" s="108">
        <v>2.33333333333334</v>
      </c>
      <c r="N973" s="108">
        <v>10.2</v>
      </c>
      <c r="O973" s="115">
        <v>14.5714285714286</v>
      </c>
      <c r="P973" s="108">
        <v>-5</v>
      </c>
      <c r="Q973" s="108">
        <v>0</v>
      </c>
      <c r="R973" s="108">
        <v>3.4</v>
      </c>
      <c r="S973" s="117">
        <v>5.57142857142857</v>
      </c>
    </row>
    <row r="974" spans="1:19">
      <c r="A974" s="143">
        <v>45054</v>
      </c>
      <c r="B974" s="104" t="s">
        <v>23</v>
      </c>
      <c r="C974" s="145">
        <v>2192</v>
      </c>
      <c r="D974" s="104">
        <v>15</v>
      </c>
      <c r="E974" s="106">
        <v>0.00684306569343066</v>
      </c>
      <c r="F974" s="107">
        <v>2</v>
      </c>
      <c r="G974" s="106">
        <v>0.133333333333333</v>
      </c>
      <c r="H974" s="108">
        <v>41</v>
      </c>
      <c r="I974" s="108">
        <v>-40</v>
      </c>
      <c r="J974" s="108">
        <v>-71.8000000000002</v>
      </c>
      <c r="K974" s="108">
        <v>-155.142857142857</v>
      </c>
      <c r="L974" s="108">
        <v>3</v>
      </c>
      <c r="M974" s="108">
        <v>-6.66666666666667</v>
      </c>
      <c r="N974" s="108">
        <v>-5</v>
      </c>
      <c r="O974" s="108">
        <v>-5</v>
      </c>
      <c r="P974" s="108">
        <v>-1</v>
      </c>
      <c r="Q974" s="116">
        <v>-2.33333333333333</v>
      </c>
      <c r="R974" s="108">
        <v>-3.4</v>
      </c>
      <c r="S974" s="108">
        <v>-4</v>
      </c>
    </row>
    <row r="975" spans="1:19">
      <c r="A975" s="143">
        <v>45054</v>
      </c>
      <c r="B975" s="104" t="s">
        <v>24</v>
      </c>
      <c r="C975" s="145">
        <v>2785</v>
      </c>
      <c r="D975" s="104">
        <v>78</v>
      </c>
      <c r="E975" s="106">
        <v>0.0280071813285458</v>
      </c>
      <c r="F975" s="107">
        <v>24</v>
      </c>
      <c r="G975" s="106">
        <v>0.307692307692308</v>
      </c>
      <c r="H975" s="108">
        <v>-239</v>
      </c>
      <c r="I975" s="108">
        <v>-374</v>
      </c>
      <c r="J975" s="108">
        <v>-549.2</v>
      </c>
      <c r="K975" s="108">
        <v>-302.714285714286</v>
      </c>
      <c r="L975" s="115">
        <v>-18</v>
      </c>
      <c r="M975" s="115">
        <v>-7</v>
      </c>
      <c r="N975" s="115">
        <v>1.8</v>
      </c>
      <c r="O975" s="115">
        <v>20</v>
      </c>
      <c r="P975" s="115">
        <v>-4</v>
      </c>
      <c r="Q975" s="115">
        <v>1.33333333333333</v>
      </c>
      <c r="R975" s="115">
        <v>5.8</v>
      </c>
      <c r="S975" s="115">
        <v>10.1428571428571</v>
      </c>
    </row>
    <row r="976" spans="1:19">
      <c r="A976" s="143">
        <v>45054</v>
      </c>
      <c r="B976" s="104" t="s">
        <v>25</v>
      </c>
      <c r="C976" s="145">
        <v>7328</v>
      </c>
      <c r="D976" s="104">
        <v>15</v>
      </c>
      <c r="E976" s="106">
        <v>0.00204694323144105</v>
      </c>
      <c r="F976" s="107">
        <v>6</v>
      </c>
      <c r="G976" s="106">
        <v>0.4</v>
      </c>
      <c r="H976" s="108">
        <v>718</v>
      </c>
      <c r="I976" s="108">
        <v>-2501.33333333333</v>
      </c>
      <c r="J976" s="108">
        <v>-3772.4</v>
      </c>
      <c r="K976" s="108">
        <v>-3685.14285714286</v>
      </c>
      <c r="L976" s="116">
        <v>-10</v>
      </c>
      <c r="M976" s="115">
        <v>-14</v>
      </c>
      <c r="N976" s="115">
        <v>-21.2</v>
      </c>
      <c r="O976" s="115">
        <v>-23.4285714285714</v>
      </c>
      <c r="P976" s="108">
        <v>-7</v>
      </c>
      <c r="Q976" s="108">
        <v>-6.66666666666667</v>
      </c>
      <c r="R976" s="108">
        <v>-7.4</v>
      </c>
      <c r="S976" s="108">
        <v>-9.85714285714286</v>
      </c>
    </row>
    <row r="977" spans="1:19">
      <c r="A977" s="143">
        <v>45054</v>
      </c>
      <c r="B977" s="104" t="s">
        <v>26</v>
      </c>
      <c r="C977" s="145">
        <v>4174</v>
      </c>
      <c r="D977" s="104">
        <v>15</v>
      </c>
      <c r="E977" s="106">
        <v>0.00359367513176809</v>
      </c>
      <c r="F977" s="107">
        <v>5</v>
      </c>
      <c r="G977" s="106">
        <v>0.333333333333333</v>
      </c>
      <c r="H977" s="108">
        <v>-132</v>
      </c>
      <c r="I977" s="108">
        <v>131.333333333333</v>
      </c>
      <c r="J977" s="108">
        <v>768.8</v>
      </c>
      <c r="K977" s="108">
        <v>982.285714285714</v>
      </c>
      <c r="L977" s="108">
        <v>-9</v>
      </c>
      <c r="M977" s="108">
        <v>-10.6666666666667</v>
      </c>
      <c r="N977" s="108">
        <v>-7.6</v>
      </c>
      <c r="O977" s="108">
        <v>-6.42857142857143</v>
      </c>
      <c r="P977" s="108">
        <v>-3</v>
      </c>
      <c r="Q977" s="108">
        <v>-1</v>
      </c>
      <c r="R977" s="108">
        <v>0.4</v>
      </c>
      <c r="S977" s="108">
        <v>0</v>
      </c>
    </row>
    <row r="978" spans="1:19">
      <c r="A978" s="143">
        <v>45054</v>
      </c>
      <c r="B978" s="104" t="s">
        <v>27</v>
      </c>
      <c r="C978" s="145">
        <v>4496</v>
      </c>
      <c r="D978" s="104">
        <v>43</v>
      </c>
      <c r="E978" s="106">
        <v>0.00956405693950178</v>
      </c>
      <c r="F978" s="107">
        <v>13</v>
      </c>
      <c r="G978" s="106">
        <v>0.302325581395349</v>
      </c>
      <c r="H978" s="108">
        <v>98</v>
      </c>
      <c r="I978" s="108">
        <v>513.333333333333</v>
      </c>
      <c r="J978" s="108">
        <v>813.6</v>
      </c>
      <c r="K978" s="108">
        <v>1072.28571428571</v>
      </c>
      <c r="L978" s="108">
        <v>-6</v>
      </c>
      <c r="M978" s="108">
        <v>-22.3333333333333</v>
      </c>
      <c r="N978" s="108">
        <v>-8.2</v>
      </c>
      <c r="O978" s="108">
        <v>-1.14285714285715</v>
      </c>
      <c r="P978" s="108">
        <v>-3</v>
      </c>
      <c r="Q978" s="108">
        <v>0.333333333333334</v>
      </c>
      <c r="R978" s="108">
        <v>1.8</v>
      </c>
      <c r="S978" s="108">
        <v>2.57142857142857</v>
      </c>
    </row>
    <row r="979" hidden="1" spans="1:19">
      <c r="A979" s="143">
        <v>45054</v>
      </c>
      <c r="B979" s="104" t="s">
        <v>28</v>
      </c>
      <c r="C979" s="145">
        <v>0</v>
      </c>
      <c r="D979" s="104">
        <v>0</v>
      </c>
      <c r="E979" s="106">
        <v>0</v>
      </c>
      <c r="F979" s="107">
        <v>0</v>
      </c>
      <c r="G979" s="106">
        <v>0</v>
      </c>
      <c r="H979" s="108">
        <v>0</v>
      </c>
      <c r="I979" s="108">
        <v>0</v>
      </c>
      <c r="J979" s="108">
        <v>0</v>
      </c>
      <c r="K979" s="108">
        <v>0</v>
      </c>
      <c r="L979" s="108">
        <v>0</v>
      </c>
      <c r="M979" s="108">
        <v>0</v>
      </c>
      <c r="N979" s="108">
        <v>0</v>
      </c>
      <c r="O979" s="108">
        <v>0</v>
      </c>
      <c r="P979" s="108">
        <v>0</v>
      </c>
      <c r="Q979" s="108">
        <v>0</v>
      </c>
      <c r="R979" s="108">
        <v>0</v>
      </c>
      <c r="S979" s="108">
        <v>0</v>
      </c>
    </row>
    <row r="980" hidden="1" spans="1:19">
      <c r="A980" s="143">
        <v>45054</v>
      </c>
      <c r="B980" s="104" t="s">
        <v>29</v>
      </c>
      <c r="C980" s="145">
        <v>1</v>
      </c>
      <c r="D980" s="104">
        <v>0</v>
      </c>
      <c r="E980" s="106">
        <v>0</v>
      </c>
      <c r="F980" s="107">
        <v>0</v>
      </c>
      <c r="G980" s="106">
        <v>0</v>
      </c>
      <c r="H980" s="108">
        <v>1</v>
      </c>
      <c r="I980" s="108">
        <v>0.666666666666667</v>
      </c>
      <c r="J980" s="108">
        <v>0.8</v>
      </c>
      <c r="K980" s="108">
        <v>0.714285714285714</v>
      </c>
      <c r="L980" s="108">
        <v>0</v>
      </c>
      <c r="M980" s="108">
        <v>0</v>
      </c>
      <c r="N980" s="108">
        <v>-0.2</v>
      </c>
      <c r="O980" s="108">
        <v>-0.142857142857143</v>
      </c>
      <c r="P980" s="108">
        <v>0</v>
      </c>
      <c r="Q980" s="108">
        <v>0</v>
      </c>
      <c r="R980" s="108">
        <v>0</v>
      </c>
      <c r="S980" s="108">
        <v>0</v>
      </c>
    </row>
    <row r="981" hidden="1" spans="1:19">
      <c r="A981" s="143">
        <v>45054</v>
      </c>
      <c r="B981" s="104" t="s">
        <v>30</v>
      </c>
      <c r="C981" s="145">
        <v>0</v>
      </c>
      <c r="D981" s="104">
        <v>0</v>
      </c>
      <c r="E981" s="106">
        <v>0</v>
      </c>
      <c r="F981" s="107">
        <v>0</v>
      </c>
      <c r="G981" s="106">
        <v>0</v>
      </c>
      <c r="H981" s="108">
        <v>0</v>
      </c>
      <c r="I981" s="108">
        <v>0</v>
      </c>
      <c r="J981" s="108">
        <v>0</v>
      </c>
      <c r="K981" s="108">
        <v>0</v>
      </c>
      <c r="L981" s="108">
        <v>0</v>
      </c>
      <c r="M981" s="108">
        <v>0</v>
      </c>
      <c r="N981" s="108">
        <v>0</v>
      </c>
      <c r="O981" s="108">
        <v>0</v>
      </c>
      <c r="P981" s="108">
        <v>0</v>
      </c>
      <c r="Q981" s="108">
        <v>0</v>
      </c>
      <c r="R981" s="108">
        <v>0</v>
      </c>
      <c r="S981" s="108">
        <v>0</v>
      </c>
    </row>
    <row r="982" hidden="1" spans="1:19">
      <c r="A982" s="143">
        <v>45054</v>
      </c>
      <c r="B982" s="104" t="s">
        <v>31</v>
      </c>
      <c r="C982" s="145">
        <v>0</v>
      </c>
      <c r="D982" s="104">
        <v>0</v>
      </c>
      <c r="E982" s="106">
        <v>0</v>
      </c>
      <c r="F982" s="107">
        <v>0</v>
      </c>
      <c r="G982" s="106">
        <v>0</v>
      </c>
      <c r="H982" s="108">
        <v>0</v>
      </c>
      <c r="I982" s="108">
        <v>0</v>
      </c>
      <c r="J982" s="108">
        <v>0</v>
      </c>
      <c r="K982" s="108">
        <v>0</v>
      </c>
      <c r="L982" s="108">
        <v>0</v>
      </c>
      <c r="M982" s="108">
        <v>-0.333333333333333</v>
      </c>
      <c r="N982" s="108">
        <v>-0.2</v>
      </c>
      <c r="O982" s="108">
        <v>-0.142857142857143</v>
      </c>
      <c r="P982" s="108">
        <v>0</v>
      </c>
      <c r="Q982" s="108">
        <v>0</v>
      </c>
      <c r="R982" s="108">
        <v>0</v>
      </c>
      <c r="S982" s="108">
        <v>0</v>
      </c>
    </row>
    <row r="983" hidden="1" spans="1:19">
      <c r="A983" s="143">
        <v>45054</v>
      </c>
      <c r="B983" s="104" t="s">
        <v>32</v>
      </c>
      <c r="C983" s="145">
        <v>0</v>
      </c>
      <c r="D983" s="104">
        <v>0</v>
      </c>
      <c r="E983" s="106">
        <v>0</v>
      </c>
      <c r="F983" s="107">
        <v>0</v>
      </c>
      <c r="G983" s="106">
        <v>0</v>
      </c>
      <c r="H983" s="108">
        <v>0</v>
      </c>
      <c r="I983" s="108">
        <v>0</v>
      </c>
      <c r="J983" s="108">
        <v>0</v>
      </c>
      <c r="K983" s="108">
        <v>0</v>
      </c>
      <c r="L983" s="108">
        <v>0</v>
      </c>
      <c r="M983" s="108">
        <v>0</v>
      </c>
      <c r="N983" s="108">
        <v>0</v>
      </c>
      <c r="O983" s="108">
        <v>0</v>
      </c>
      <c r="P983" s="108">
        <v>0</v>
      </c>
      <c r="Q983" s="108">
        <v>0</v>
      </c>
      <c r="R983" s="108">
        <v>0</v>
      </c>
      <c r="S983" s="108">
        <v>0</v>
      </c>
    </row>
    <row r="984" hidden="1" spans="1:19">
      <c r="A984" s="143">
        <v>45054</v>
      </c>
      <c r="B984" s="104" t="s">
        <v>33</v>
      </c>
      <c r="C984" s="145">
        <v>0</v>
      </c>
      <c r="D984" s="104">
        <v>1</v>
      </c>
      <c r="E984" s="106">
        <v>1</v>
      </c>
      <c r="F984" s="107">
        <v>0</v>
      </c>
      <c r="G984" s="106">
        <v>0</v>
      </c>
      <c r="H984" s="108">
        <v>0</v>
      </c>
      <c r="I984" s="108">
        <v>0</v>
      </c>
      <c r="J984" s="108">
        <v>0</v>
      </c>
      <c r="K984" s="108">
        <v>0</v>
      </c>
      <c r="L984" s="108">
        <v>1</v>
      </c>
      <c r="M984" s="108">
        <v>1</v>
      </c>
      <c r="N984" s="108">
        <v>1</v>
      </c>
      <c r="O984" s="108">
        <v>1</v>
      </c>
      <c r="P984" s="108">
        <v>0</v>
      </c>
      <c r="Q984" s="108">
        <v>0</v>
      </c>
      <c r="R984" s="108">
        <v>0</v>
      </c>
      <c r="S984" s="108">
        <v>0</v>
      </c>
    </row>
    <row r="985" hidden="1" spans="1:19">
      <c r="A985" s="143">
        <v>45054</v>
      </c>
      <c r="B985" s="104" t="s">
        <v>34</v>
      </c>
      <c r="C985" s="145">
        <v>0</v>
      </c>
      <c r="D985" s="104">
        <v>0</v>
      </c>
      <c r="E985" s="106">
        <v>0</v>
      </c>
      <c r="F985" s="107">
        <v>0</v>
      </c>
      <c r="G985" s="106">
        <v>0</v>
      </c>
      <c r="H985" s="108">
        <v>0</v>
      </c>
      <c r="I985" s="108">
        <v>0</v>
      </c>
      <c r="J985" s="108">
        <v>0</v>
      </c>
      <c r="K985" s="108">
        <v>0</v>
      </c>
      <c r="L985" s="108">
        <v>0</v>
      </c>
      <c r="M985" s="108">
        <v>0</v>
      </c>
      <c r="N985" s="108">
        <v>0</v>
      </c>
      <c r="O985" s="108">
        <v>0</v>
      </c>
      <c r="P985" s="108">
        <v>0</v>
      </c>
      <c r="Q985" s="108">
        <v>0</v>
      </c>
      <c r="R985" s="108">
        <v>0</v>
      </c>
      <c r="S985" s="108">
        <v>0</v>
      </c>
    </row>
    <row r="986" hidden="1" spans="1:19">
      <c r="A986" s="143">
        <v>45054</v>
      </c>
      <c r="B986" s="104" t="s">
        <v>35</v>
      </c>
      <c r="C986" s="145">
        <v>0</v>
      </c>
      <c r="D986" s="104">
        <v>0</v>
      </c>
      <c r="E986" s="106">
        <v>0</v>
      </c>
      <c r="F986" s="107">
        <v>0</v>
      </c>
      <c r="G986" s="106">
        <v>0</v>
      </c>
      <c r="H986" s="108">
        <v>0</v>
      </c>
      <c r="I986" s="108">
        <v>0</v>
      </c>
      <c r="J986" s="108">
        <v>0</v>
      </c>
      <c r="K986" s="108">
        <v>0</v>
      </c>
      <c r="L986" s="108">
        <v>0</v>
      </c>
      <c r="M986" s="108">
        <v>0</v>
      </c>
      <c r="N986" s="108">
        <v>0</v>
      </c>
      <c r="O986" s="108">
        <v>0</v>
      </c>
      <c r="P986" s="108">
        <v>0</v>
      </c>
      <c r="Q986" s="108">
        <v>0</v>
      </c>
      <c r="R986" s="108">
        <v>0</v>
      </c>
      <c r="S986" s="108">
        <v>0</v>
      </c>
    </row>
    <row r="987" hidden="1" spans="1:19">
      <c r="A987" s="143">
        <v>45054</v>
      </c>
      <c r="B987" s="104" t="s">
        <v>36</v>
      </c>
      <c r="C987" s="145">
        <v>0</v>
      </c>
      <c r="D987" s="104">
        <v>0</v>
      </c>
      <c r="E987" s="106">
        <v>0</v>
      </c>
      <c r="F987" s="107">
        <v>0</v>
      </c>
      <c r="G987" s="106">
        <v>0</v>
      </c>
      <c r="H987" s="108">
        <v>0</v>
      </c>
      <c r="I987" s="108">
        <v>0</v>
      </c>
      <c r="J987" s="108">
        <v>0</v>
      </c>
      <c r="K987" s="108">
        <v>0</v>
      </c>
      <c r="L987" s="108">
        <v>0</v>
      </c>
      <c r="M987" s="108">
        <v>0</v>
      </c>
      <c r="N987" s="108">
        <v>0</v>
      </c>
      <c r="O987" s="108">
        <v>0</v>
      </c>
      <c r="P987" s="108">
        <v>0</v>
      </c>
      <c r="Q987" s="108">
        <v>0</v>
      </c>
      <c r="R987" s="108">
        <v>0</v>
      </c>
      <c r="S987" s="108">
        <v>0</v>
      </c>
    </row>
    <row r="988" hidden="1" spans="1:19">
      <c r="A988" s="143">
        <v>45054</v>
      </c>
      <c r="B988" s="104" t="s">
        <v>37</v>
      </c>
      <c r="C988" s="145">
        <v>0</v>
      </c>
      <c r="D988" s="104">
        <v>0</v>
      </c>
      <c r="E988" s="106">
        <v>0</v>
      </c>
      <c r="F988" s="107">
        <v>0</v>
      </c>
      <c r="G988" s="106">
        <v>0</v>
      </c>
      <c r="H988" s="108">
        <v>0</v>
      </c>
      <c r="I988" s="108">
        <v>0</v>
      </c>
      <c r="J988" s="108">
        <v>0</v>
      </c>
      <c r="K988" s="108">
        <v>0</v>
      </c>
      <c r="L988" s="108">
        <v>-2</v>
      </c>
      <c r="M988" s="108">
        <v>-1</v>
      </c>
      <c r="N988" s="108">
        <v>-0.8</v>
      </c>
      <c r="O988" s="108">
        <v>-0.714285714285714</v>
      </c>
      <c r="P988" s="108">
        <v>0</v>
      </c>
      <c r="Q988" s="108">
        <v>0</v>
      </c>
      <c r="R988" s="108">
        <v>0</v>
      </c>
      <c r="S988" s="108">
        <v>0</v>
      </c>
    </row>
    <row r="989" hidden="1" spans="1:19">
      <c r="A989" s="143">
        <v>45054</v>
      </c>
      <c r="B989" s="104" t="s">
        <v>38</v>
      </c>
      <c r="C989" s="145">
        <v>0</v>
      </c>
      <c r="D989" s="104">
        <v>0</v>
      </c>
      <c r="E989" s="106">
        <v>0</v>
      </c>
      <c r="F989" s="107">
        <v>0</v>
      </c>
      <c r="G989" s="106">
        <v>0</v>
      </c>
      <c r="H989" s="108">
        <v>0</v>
      </c>
      <c r="I989" s="108">
        <v>0</v>
      </c>
      <c r="J989" s="108">
        <v>0</v>
      </c>
      <c r="K989" s="108">
        <v>0</v>
      </c>
      <c r="L989" s="108">
        <v>0</v>
      </c>
      <c r="M989" s="108">
        <v>0</v>
      </c>
      <c r="N989" s="108">
        <v>0</v>
      </c>
      <c r="O989" s="108">
        <v>0</v>
      </c>
      <c r="P989" s="108">
        <v>0</v>
      </c>
      <c r="Q989" s="108">
        <v>0</v>
      </c>
      <c r="R989" s="108">
        <v>0</v>
      </c>
      <c r="S989" s="108">
        <v>0</v>
      </c>
    </row>
    <row r="990" spans="1:19">
      <c r="A990" s="143">
        <v>45054</v>
      </c>
      <c r="B990" s="111" t="s">
        <v>39</v>
      </c>
      <c r="C990" s="112">
        <v>23918</v>
      </c>
      <c r="D990" s="112">
        <v>294</v>
      </c>
      <c r="E990" s="113">
        <v>0.0122919976586671</v>
      </c>
      <c r="F990" s="112">
        <v>87</v>
      </c>
      <c r="G990" s="113">
        <v>0.295918367346939</v>
      </c>
      <c r="H990" s="108"/>
      <c r="I990" s="108"/>
      <c r="J990" s="108"/>
      <c r="K990" s="108"/>
      <c r="L990" s="108"/>
      <c r="M990" s="108"/>
      <c r="N990" s="108"/>
      <c r="O990" s="108"/>
      <c r="P990" s="108"/>
      <c r="Q990" s="108"/>
      <c r="R990" s="108"/>
      <c r="S990" s="108"/>
    </row>
  </sheetData>
  <mergeCells count="16">
    <mergeCell ref="L1:O1"/>
    <mergeCell ref="P1:S1"/>
    <mergeCell ref="T1:W1"/>
    <mergeCell ref="L149:O149"/>
    <mergeCell ref="P149:S149"/>
    <mergeCell ref="T149:W149"/>
    <mergeCell ref="L166:W166"/>
    <mergeCell ref="L167:W167"/>
    <mergeCell ref="L168:W168"/>
    <mergeCell ref="L169:W169"/>
    <mergeCell ref="L170:W170"/>
    <mergeCell ref="L171:W171"/>
    <mergeCell ref="L189:W189"/>
    <mergeCell ref="L190:W190"/>
    <mergeCell ref="L191:W191"/>
    <mergeCell ref="L192:W192"/>
  </mergeCells>
  <conditionalFormatting sqref="T1:W1">
    <cfRule type="cellIs" dxfId="2" priority="342" operator="lessThan">
      <formula>-5</formula>
    </cfRule>
  </conditionalFormatting>
  <conditionalFormatting sqref="C2">
    <cfRule type="expression" dxfId="0" priority="455">
      <formula>$C$413-$C$345&gt;=0</formula>
    </cfRule>
  </conditionalFormatting>
  <conditionalFormatting sqref="C17">
    <cfRule type="expression" dxfId="0" priority="454">
      <formula>$C$368-$C$345&gt;=0</formula>
    </cfRule>
  </conditionalFormatting>
  <conditionalFormatting sqref="C32">
    <cfRule type="expression" dxfId="0" priority="453">
      <formula>$C$368-$C$345&gt;=0</formula>
    </cfRule>
  </conditionalFormatting>
  <conditionalFormatting sqref="C47">
    <cfRule type="expression" dxfId="0" priority="452">
      <formula>$C$368-$C$345&gt;=0</formula>
    </cfRule>
  </conditionalFormatting>
  <conditionalFormatting sqref="C62">
    <cfRule type="expression" dxfId="0" priority="451">
      <formula>$C$368-$C$345&gt;=0</formula>
    </cfRule>
  </conditionalFormatting>
  <conditionalFormatting sqref="C77">
    <cfRule type="expression" dxfId="0" priority="450">
      <formula>$C$368-$C$345&gt;=0</formula>
    </cfRule>
  </conditionalFormatting>
  <conditionalFormatting sqref="C92">
    <cfRule type="expression" dxfId="0" priority="449">
      <formula>$C$368-$C$345&gt;=0</formula>
    </cfRule>
  </conditionalFormatting>
  <conditionalFormatting sqref="C107">
    <cfRule type="expression" dxfId="0" priority="448">
      <formula>$C$368-$C$345&gt;=0</formula>
    </cfRule>
  </conditionalFormatting>
  <conditionalFormatting sqref="C122">
    <cfRule type="expression" dxfId="0" priority="447">
      <formula>$C$368-$C$345&gt;=0</formula>
    </cfRule>
  </conditionalFormatting>
  <conditionalFormatting sqref="C151">
    <cfRule type="expression" dxfId="0" priority="445">
      <formula>$C$439-$C$416&gt;=0</formula>
    </cfRule>
  </conditionalFormatting>
  <conditionalFormatting sqref="B163">
    <cfRule type="duplicateValues" dxfId="1" priority="438"/>
  </conditionalFormatting>
  <conditionalFormatting sqref="B164">
    <cfRule type="duplicateValues" dxfId="1" priority="444"/>
  </conditionalFormatting>
  <conditionalFormatting sqref="B165">
    <cfRule type="duplicateValues" dxfId="1" priority="443"/>
  </conditionalFormatting>
  <conditionalFormatting sqref="B166">
    <cfRule type="duplicateValues" dxfId="1" priority="442"/>
  </conditionalFormatting>
  <conditionalFormatting sqref="B167">
    <cfRule type="duplicateValues" dxfId="1" priority="441"/>
  </conditionalFormatting>
  <conditionalFormatting sqref="B168">
    <cfRule type="duplicateValues" dxfId="1" priority="440"/>
  </conditionalFormatting>
  <conditionalFormatting sqref="B169">
    <cfRule type="duplicateValues" dxfId="1" priority="439"/>
  </conditionalFormatting>
  <conditionalFormatting sqref="B170">
    <cfRule type="duplicateValues" dxfId="1" priority="437"/>
  </conditionalFormatting>
  <conditionalFormatting sqref="C172">
    <cfRule type="expression" dxfId="0" priority="431">
      <formula>$C$460-$C$437&gt;=0</formula>
    </cfRule>
  </conditionalFormatting>
  <conditionalFormatting sqref="B184">
    <cfRule type="duplicateValues" dxfId="1" priority="424"/>
  </conditionalFormatting>
  <conditionalFormatting sqref="B185">
    <cfRule type="duplicateValues" dxfId="1" priority="430"/>
  </conditionalFormatting>
  <conditionalFormatting sqref="B186">
    <cfRule type="duplicateValues" dxfId="1" priority="429"/>
  </conditionalFormatting>
  <conditionalFormatting sqref="B187">
    <cfRule type="duplicateValues" dxfId="1" priority="428"/>
  </conditionalFormatting>
  <conditionalFormatting sqref="B188">
    <cfRule type="duplicateValues" dxfId="1" priority="427"/>
  </conditionalFormatting>
  <conditionalFormatting sqref="B189">
    <cfRule type="duplicateValues" dxfId="1" priority="426"/>
  </conditionalFormatting>
  <conditionalFormatting sqref="B190">
    <cfRule type="duplicateValues" dxfId="1" priority="425"/>
  </conditionalFormatting>
  <conditionalFormatting sqref="B191">
    <cfRule type="duplicateValues" dxfId="1" priority="423"/>
  </conditionalFormatting>
  <conditionalFormatting sqref="C193">
    <cfRule type="expression" dxfId="0" priority="418">
      <formula>$C$460-$C$437&gt;=0</formula>
    </cfRule>
  </conditionalFormatting>
  <conditionalFormatting sqref="B205">
    <cfRule type="duplicateValues" dxfId="1" priority="411"/>
  </conditionalFormatting>
  <conditionalFormatting sqref="B206">
    <cfRule type="duplicateValues" dxfId="1" priority="417"/>
  </conditionalFormatting>
  <conditionalFormatting sqref="B207">
    <cfRule type="duplicateValues" dxfId="1" priority="416"/>
  </conditionalFormatting>
  <conditionalFormatting sqref="B208">
    <cfRule type="duplicateValues" dxfId="1" priority="415"/>
  </conditionalFormatting>
  <conditionalFormatting sqref="B209">
    <cfRule type="duplicateValues" dxfId="1" priority="414"/>
  </conditionalFormatting>
  <conditionalFormatting sqref="B210">
    <cfRule type="duplicateValues" dxfId="1" priority="413"/>
  </conditionalFormatting>
  <conditionalFormatting sqref="B211">
    <cfRule type="duplicateValues" dxfId="1" priority="412"/>
  </conditionalFormatting>
  <conditionalFormatting sqref="B212">
    <cfRule type="duplicateValues" dxfId="1" priority="410"/>
  </conditionalFormatting>
  <conditionalFormatting sqref="C214">
    <cfRule type="expression" dxfId="0" priority="407">
      <formula>$C$461-$C$438&gt;=0</formula>
    </cfRule>
  </conditionalFormatting>
  <conditionalFormatting sqref="B226">
    <cfRule type="duplicateValues" dxfId="1" priority="400"/>
  </conditionalFormatting>
  <conditionalFormatting sqref="B227">
    <cfRule type="duplicateValues" dxfId="1" priority="406"/>
  </conditionalFormatting>
  <conditionalFormatting sqref="B228">
    <cfRule type="duplicateValues" dxfId="1" priority="405"/>
  </conditionalFormatting>
  <conditionalFormatting sqref="B229">
    <cfRule type="duplicateValues" dxfId="1" priority="404"/>
  </conditionalFormatting>
  <conditionalFormatting sqref="B230">
    <cfRule type="duplicateValues" dxfId="1" priority="403"/>
  </conditionalFormatting>
  <conditionalFormatting sqref="B231">
    <cfRule type="duplicateValues" dxfId="1" priority="402"/>
  </conditionalFormatting>
  <conditionalFormatting sqref="B232">
    <cfRule type="duplicateValues" dxfId="1" priority="401"/>
  </conditionalFormatting>
  <conditionalFormatting sqref="B233">
    <cfRule type="duplicateValues" dxfId="1" priority="399"/>
  </conditionalFormatting>
  <conditionalFormatting sqref="C235">
    <cfRule type="expression" dxfId="0" priority="396">
      <formula>$C$466-$C$443&gt;=0</formula>
    </cfRule>
  </conditionalFormatting>
  <conditionalFormatting sqref="B247">
    <cfRule type="duplicateValues" dxfId="1" priority="389"/>
  </conditionalFormatting>
  <conditionalFormatting sqref="B248">
    <cfRule type="duplicateValues" dxfId="1" priority="395"/>
  </conditionalFormatting>
  <conditionalFormatting sqref="B249">
    <cfRule type="duplicateValues" dxfId="1" priority="394"/>
  </conditionalFormatting>
  <conditionalFormatting sqref="B250">
    <cfRule type="duplicateValues" dxfId="1" priority="393"/>
  </conditionalFormatting>
  <conditionalFormatting sqref="B251">
    <cfRule type="duplicateValues" dxfId="1" priority="392"/>
  </conditionalFormatting>
  <conditionalFormatting sqref="B252">
    <cfRule type="duplicateValues" dxfId="1" priority="391"/>
  </conditionalFormatting>
  <conditionalFormatting sqref="B253">
    <cfRule type="duplicateValues" dxfId="1" priority="390"/>
  </conditionalFormatting>
  <conditionalFormatting sqref="B254">
    <cfRule type="duplicateValues" dxfId="1" priority="388"/>
  </conditionalFormatting>
  <conditionalFormatting sqref="C256">
    <cfRule type="expression" dxfId="0" priority="385">
      <formula>$C$466-$C$443&gt;=0</formula>
    </cfRule>
  </conditionalFormatting>
  <conditionalFormatting sqref="B268">
    <cfRule type="duplicateValues" dxfId="1" priority="378"/>
  </conditionalFormatting>
  <conditionalFormatting sqref="B269">
    <cfRule type="duplicateValues" dxfId="1" priority="384"/>
  </conditionalFormatting>
  <conditionalFormatting sqref="B270">
    <cfRule type="duplicateValues" dxfId="1" priority="383"/>
  </conditionalFormatting>
  <conditionalFormatting sqref="B271">
    <cfRule type="duplicateValues" dxfId="1" priority="382"/>
  </conditionalFormatting>
  <conditionalFormatting sqref="B272">
    <cfRule type="duplicateValues" dxfId="1" priority="381"/>
  </conditionalFormatting>
  <conditionalFormatting sqref="B273">
    <cfRule type="duplicateValues" dxfId="1" priority="380"/>
  </conditionalFormatting>
  <conditionalFormatting sqref="B274">
    <cfRule type="duplicateValues" dxfId="1" priority="379"/>
  </conditionalFormatting>
  <conditionalFormatting sqref="B275">
    <cfRule type="duplicateValues" dxfId="1" priority="377"/>
  </conditionalFormatting>
  <conditionalFormatting sqref="C277">
    <cfRule type="expression" dxfId="0" priority="374">
      <formula>$C$462-$C$439&gt;=0</formula>
    </cfRule>
  </conditionalFormatting>
  <conditionalFormatting sqref="B289">
    <cfRule type="duplicateValues" dxfId="1" priority="367"/>
  </conditionalFormatting>
  <conditionalFormatting sqref="B290">
    <cfRule type="duplicateValues" dxfId="1" priority="373"/>
  </conditionalFormatting>
  <conditionalFormatting sqref="B291">
    <cfRule type="duplicateValues" dxfId="1" priority="372"/>
  </conditionalFormatting>
  <conditionalFormatting sqref="B292">
    <cfRule type="duplicateValues" dxfId="1" priority="371"/>
  </conditionalFormatting>
  <conditionalFormatting sqref="B293">
    <cfRule type="duplicateValues" dxfId="1" priority="370"/>
  </conditionalFormatting>
  <conditionalFormatting sqref="B294">
    <cfRule type="duplicateValues" dxfId="1" priority="369"/>
  </conditionalFormatting>
  <conditionalFormatting sqref="B295">
    <cfRule type="duplicateValues" dxfId="1" priority="368"/>
  </conditionalFormatting>
  <conditionalFormatting sqref="B296">
    <cfRule type="duplicateValues" dxfId="1" priority="366"/>
  </conditionalFormatting>
  <conditionalFormatting sqref="C298">
    <cfRule type="expression" dxfId="0" priority="363">
      <formula>$C$462-$C$439&gt;=0</formula>
    </cfRule>
  </conditionalFormatting>
  <conditionalFormatting sqref="B310">
    <cfRule type="duplicateValues" dxfId="1" priority="356"/>
  </conditionalFormatting>
  <conditionalFormatting sqref="B311">
    <cfRule type="duplicateValues" dxfId="1" priority="362"/>
  </conditionalFormatting>
  <conditionalFormatting sqref="B312">
    <cfRule type="duplicateValues" dxfId="1" priority="361"/>
  </conditionalFormatting>
  <conditionalFormatting sqref="B313">
    <cfRule type="duplicateValues" dxfId="1" priority="360"/>
  </conditionalFormatting>
  <conditionalFormatting sqref="B314">
    <cfRule type="duplicateValues" dxfId="1" priority="359"/>
  </conditionalFormatting>
  <conditionalFormatting sqref="B315">
    <cfRule type="duplicateValues" dxfId="1" priority="358"/>
  </conditionalFormatting>
  <conditionalFormatting sqref="B316">
    <cfRule type="duplicateValues" dxfId="1" priority="357"/>
  </conditionalFormatting>
  <conditionalFormatting sqref="B317">
    <cfRule type="duplicateValues" dxfId="1" priority="355"/>
  </conditionalFormatting>
  <conditionalFormatting sqref="C319">
    <cfRule type="expression" dxfId="0" priority="352">
      <formula>$C$469-$C$446&gt;=0</formula>
    </cfRule>
  </conditionalFormatting>
  <conditionalFormatting sqref="B331">
    <cfRule type="duplicateValues" dxfId="1" priority="345"/>
  </conditionalFormatting>
  <conditionalFormatting sqref="B332">
    <cfRule type="duplicateValues" dxfId="1" priority="351"/>
  </conditionalFormatting>
  <conditionalFormatting sqref="B333">
    <cfRule type="duplicateValues" dxfId="1" priority="350"/>
  </conditionalFormatting>
  <conditionalFormatting sqref="B334">
    <cfRule type="duplicateValues" dxfId="1" priority="349"/>
  </conditionalFormatting>
  <conditionalFormatting sqref="B335">
    <cfRule type="duplicateValues" dxfId="1" priority="348"/>
  </conditionalFormatting>
  <conditionalFormatting sqref="B336">
    <cfRule type="duplicateValues" dxfId="1" priority="347"/>
  </conditionalFormatting>
  <conditionalFormatting sqref="B337">
    <cfRule type="duplicateValues" dxfId="1" priority="346"/>
  </conditionalFormatting>
  <conditionalFormatting sqref="B338">
    <cfRule type="duplicateValues" dxfId="1" priority="344"/>
  </conditionalFormatting>
  <conditionalFormatting sqref="C340">
    <cfRule type="expression" dxfId="0" priority="340">
      <formula>$C$469-$C$446&gt;=0</formula>
    </cfRule>
  </conditionalFormatting>
  <conditionalFormatting sqref="B352">
    <cfRule type="duplicateValues" dxfId="1" priority="333"/>
  </conditionalFormatting>
  <conditionalFormatting sqref="B353">
    <cfRule type="duplicateValues" dxfId="1" priority="339"/>
  </conditionalFormatting>
  <conditionalFormatting sqref="B354">
    <cfRule type="duplicateValues" dxfId="1" priority="338"/>
  </conditionalFormatting>
  <conditionalFormatting sqref="B355">
    <cfRule type="duplicateValues" dxfId="1" priority="337"/>
  </conditionalFormatting>
  <conditionalFormatting sqref="B356">
    <cfRule type="duplicateValues" dxfId="1" priority="336"/>
  </conditionalFormatting>
  <conditionalFormatting sqref="B357">
    <cfRule type="duplicateValues" dxfId="1" priority="335"/>
  </conditionalFormatting>
  <conditionalFormatting sqref="B358">
    <cfRule type="duplicateValues" dxfId="1" priority="334"/>
  </conditionalFormatting>
  <conditionalFormatting sqref="B359">
    <cfRule type="duplicateValues" dxfId="1" priority="332"/>
  </conditionalFormatting>
  <conditionalFormatting sqref="C361">
    <cfRule type="expression" dxfId="0" priority="329">
      <formula>$C$469-$C$446&gt;=0</formula>
    </cfRule>
  </conditionalFormatting>
  <conditionalFormatting sqref="B373">
    <cfRule type="duplicateValues" dxfId="1" priority="322"/>
  </conditionalFormatting>
  <conditionalFormatting sqref="B374">
    <cfRule type="duplicateValues" dxfId="1" priority="328"/>
  </conditionalFormatting>
  <conditionalFormatting sqref="B375">
    <cfRule type="duplicateValues" dxfId="1" priority="327"/>
  </conditionalFormatting>
  <conditionalFormatting sqref="B376">
    <cfRule type="duplicateValues" dxfId="1" priority="326"/>
  </conditionalFormatting>
  <conditionalFormatting sqref="B377">
    <cfRule type="duplicateValues" dxfId="1" priority="325"/>
  </conditionalFormatting>
  <conditionalFormatting sqref="B378">
    <cfRule type="duplicateValues" dxfId="1" priority="324"/>
  </conditionalFormatting>
  <conditionalFormatting sqref="B379">
    <cfRule type="duplicateValues" dxfId="1" priority="323"/>
  </conditionalFormatting>
  <conditionalFormatting sqref="B380">
    <cfRule type="duplicateValues" dxfId="1" priority="321"/>
  </conditionalFormatting>
  <conditionalFormatting sqref="C382">
    <cfRule type="expression" dxfId="0" priority="318">
      <formula>$C$469-$C$446&gt;=0</formula>
    </cfRule>
  </conditionalFormatting>
  <conditionalFormatting sqref="B394">
    <cfRule type="duplicateValues" dxfId="1" priority="311"/>
  </conditionalFormatting>
  <conditionalFormatting sqref="B395">
    <cfRule type="duplicateValues" dxfId="1" priority="317"/>
  </conditionalFormatting>
  <conditionalFormatting sqref="B396">
    <cfRule type="duplicateValues" dxfId="1" priority="316"/>
  </conditionalFormatting>
  <conditionalFormatting sqref="B397">
    <cfRule type="duplicateValues" dxfId="1" priority="315"/>
  </conditionalFormatting>
  <conditionalFormatting sqref="B398">
    <cfRule type="duplicateValues" dxfId="1" priority="314"/>
  </conditionalFormatting>
  <conditionalFormatting sqref="B399">
    <cfRule type="duplicateValues" dxfId="1" priority="313"/>
  </conditionalFormatting>
  <conditionalFormatting sqref="B400">
    <cfRule type="duplicateValues" dxfId="1" priority="312"/>
  </conditionalFormatting>
  <conditionalFormatting sqref="B401">
    <cfRule type="duplicateValues" dxfId="1" priority="310"/>
  </conditionalFormatting>
  <conditionalFormatting sqref="C403">
    <cfRule type="expression" dxfId="0" priority="307">
      <formula>$C$469-$C$446&gt;=0</formula>
    </cfRule>
  </conditionalFormatting>
  <conditionalFormatting sqref="B415">
    <cfRule type="duplicateValues" dxfId="1" priority="300"/>
  </conditionalFormatting>
  <conditionalFormatting sqref="B416">
    <cfRule type="duplicateValues" dxfId="1" priority="306"/>
  </conditionalFormatting>
  <conditionalFormatting sqref="B417">
    <cfRule type="duplicateValues" dxfId="1" priority="305"/>
  </conditionalFormatting>
  <conditionalFormatting sqref="B418">
    <cfRule type="duplicateValues" dxfId="1" priority="304"/>
  </conditionalFormatting>
  <conditionalFormatting sqref="B419">
    <cfRule type="duplicateValues" dxfId="1" priority="303"/>
  </conditionalFormatting>
  <conditionalFormatting sqref="B420">
    <cfRule type="duplicateValues" dxfId="1" priority="302"/>
  </conditionalFormatting>
  <conditionalFormatting sqref="B421">
    <cfRule type="duplicateValues" dxfId="1" priority="301"/>
  </conditionalFormatting>
  <conditionalFormatting sqref="B422">
    <cfRule type="duplicateValues" dxfId="1" priority="299"/>
  </conditionalFormatting>
  <conditionalFormatting sqref="C424">
    <cfRule type="expression" dxfId="0" priority="296">
      <formula>$C$469-$C$446&gt;=0</formula>
    </cfRule>
  </conditionalFormatting>
  <conditionalFormatting sqref="B436">
    <cfRule type="duplicateValues" dxfId="1" priority="289"/>
  </conditionalFormatting>
  <conditionalFormatting sqref="B437">
    <cfRule type="duplicateValues" dxfId="1" priority="295"/>
  </conditionalFormatting>
  <conditionalFormatting sqref="B438">
    <cfRule type="duplicateValues" dxfId="1" priority="294"/>
  </conditionalFormatting>
  <conditionalFormatting sqref="B439">
    <cfRule type="duplicateValues" dxfId="1" priority="293"/>
  </conditionalFormatting>
  <conditionalFormatting sqref="B440">
    <cfRule type="duplicateValues" dxfId="1" priority="292"/>
  </conditionalFormatting>
  <conditionalFormatting sqref="B441">
    <cfRule type="duplicateValues" dxfId="1" priority="291"/>
  </conditionalFormatting>
  <conditionalFormatting sqref="B442">
    <cfRule type="duplicateValues" dxfId="1" priority="290"/>
  </conditionalFormatting>
  <conditionalFormatting sqref="B443">
    <cfRule type="duplicateValues" dxfId="1" priority="288"/>
  </conditionalFormatting>
  <conditionalFormatting sqref="C445">
    <cfRule type="expression" dxfId="0" priority="285">
      <formula>$C$469-$C$446&gt;=0</formula>
    </cfRule>
  </conditionalFormatting>
  <conditionalFormatting sqref="B457">
    <cfRule type="duplicateValues" dxfId="1" priority="278"/>
  </conditionalFormatting>
  <conditionalFormatting sqref="B458">
    <cfRule type="duplicateValues" dxfId="1" priority="284"/>
  </conditionalFormatting>
  <conditionalFormatting sqref="B459">
    <cfRule type="duplicateValues" dxfId="1" priority="283"/>
  </conditionalFormatting>
  <conditionalFormatting sqref="B460">
    <cfRule type="duplicateValues" dxfId="1" priority="282"/>
  </conditionalFormatting>
  <conditionalFormatting sqref="B461">
    <cfRule type="duplicateValues" dxfId="1" priority="281"/>
  </conditionalFormatting>
  <conditionalFormatting sqref="B462">
    <cfRule type="duplicateValues" dxfId="1" priority="280"/>
  </conditionalFormatting>
  <conditionalFormatting sqref="B463">
    <cfRule type="duplicateValues" dxfId="1" priority="279"/>
  </conditionalFormatting>
  <conditionalFormatting sqref="B464">
    <cfRule type="duplicateValues" dxfId="1" priority="277"/>
  </conditionalFormatting>
  <conditionalFormatting sqref="C466">
    <cfRule type="expression" dxfId="0" priority="274">
      <formula>$C$470-$C$447&gt;=0</formula>
    </cfRule>
  </conditionalFormatting>
  <conditionalFormatting sqref="B478">
    <cfRule type="duplicateValues" dxfId="1" priority="267"/>
  </conditionalFormatting>
  <conditionalFormatting sqref="B479">
    <cfRule type="duplicateValues" dxfId="1" priority="273"/>
  </conditionalFormatting>
  <conditionalFormatting sqref="B480">
    <cfRule type="duplicateValues" dxfId="1" priority="272"/>
  </conditionalFormatting>
  <conditionalFormatting sqref="B481">
    <cfRule type="duplicateValues" dxfId="1" priority="271"/>
  </conditionalFormatting>
  <conditionalFormatting sqref="B482">
    <cfRule type="duplicateValues" dxfId="1" priority="270"/>
  </conditionalFormatting>
  <conditionalFormatting sqref="B483">
    <cfRule type="duplicateValues" dxfId="1" priority="269"/>
  </conditionalFormatting>
  <conditionalFormatting sqref="B484">
    <cfRule type="duplicateValues" dxfId="1" priority="268"/>
  </conditionalFormatting>
  <conditionalFormatting sqref="B485">
    <cfRule type="duplicateValues" dxfId="1" priority="266"/>
  </conditionalFormatting>
  <conditionalFormatting sqref="C487">
    <cfRule type="expression" dxfId="0" priority="263">
      <formula>$C$470-$C$447&gt;=0</formula>
    </cfRule>
  </conditionalFormatting>
  <conditionalFormatting sqref="B499">
    <cfRule type="duplicateValues" dxfId="1" priority="256"/>
  </conditionalFormatting>
  <conditionalFormatting sqref="B500">
    <cfRule type="duplicateValues" dxfId="1" priority="262"/>
  </conditionalFormatting>
  <conditionalFormatting sqref="B501">
    <cfRule type="duplicateValues" dxfId="1" priority="261"/>
  </conditionalFormatting>
  <conditionalFormatting sqref="B502">
    <cfRule type="duplicateValues" dxfId="1" priority="260"/>
  </conditionalFormatting>
  <conditionalFormatting sqref="B503">
    <cfRule type="duplicateValues" dxfId="1" priority="259"/>
  </conditionalFormatting>
  <conditionalFormatting sqref="B504">
    <cfRule type="duplicateValues" dxfId="1" priority="258"/>
  </conditionalFormatting>
  <conditionalFormatting sqref="B505">
    <cfRule type="duplicateValues" dxfId="1" priority="257"/>
  </conditionalFormatting>
  <conditionalFormatting sqref="B506">
    <cfRule type="duplicateValues" dxfId="1" priority="255"/>
  </conditionalFormatting>
  <conditionalFormatting sqref="C508">
    <cfRule type="expression" dxfId="0" priority="252">
      <formula>$C$470-$C$447&gt;=0</formula>
    </cfRule>
  </conditionalFormatting>
  <conditionalFormatting sqref="B520">
    <cfRule type="duplicateValues" dxfId="1" priority="245"/>
  </conditionalFormatting>
  <conditionalFormatting sqref="B521">
    <cfRule type="duplicateValues" dxfId="1" priority="251"/>
  </conditionalFormatting>
  <conditionalFormatting sqref="B522">
    <cfRule type="duplicateValues" dxfId="1" priority="250"/>
  </conditionalFormatting>
  <conditionalFormatting sqref="B523">
    <cfRule type="duplicateValues" dxfId="1" priority="249"/>
  </conditionalFormatting>
  <conditionalFormatting sqref="B524">
    <cfRule type="duplicateValues" dxfId="1" priority="248"/>
  </conditionalFormatting>
  <conditionalFormatting sqref="B525">
    <cfRule type="duplicateValues" dxfId="1" priority="247"/>
  </conditionalFormatting>
  <conditionalFormatting sqref="B526">
    <cfRule type="duplicateValues" dxfId="1" priority="246"/>
  </conditionalFormatting>
  <conditionalFormatting sqref="B527">
    <cfRule type="duplicateValues" dxfId="1" priority="244"/>
  </conditionalFormatting>
  <conditionalFormatting sqref="C529">
    <cfRule type="expression" dxfId="0" priority="241">
      <formula>$C$457-$C$434&gt;=0</formula>
    </cfRule>
  </conditionalFormatting>
  <conditionalFormatting sqref="B541">
    <cfRule type="duplicateValues" dxfId="1" priority="234"/>
  </conditionalFormatting>
  <conditionalFormatting sqref="B542">
    <cfRule type="duplicateValues" dxfId="1" priority="240"/>
  </conditionalFormatting>
  <conditionalFormatting sqref="B543">
    <cfRule type="duplicateValues" dxfId="1" priority="239"/>
  </conditionalFormatting>
  <conditionalFormatting sqref="B544">
    <cfRule type="duplicateValues" dxfId="1" priority="238"/>
  </conditionalFormatting>
  <conditionalFormatting sqref="B545">
    <cfRule type="duplicateValues" dxfId="1" priority="237"/>
  </conditionalFormatting>
  <conditionalFormatting sqref="B546">
    <cfRule type="duplicateValues" dxfId="1" priority="236"/>
  </conditionalFormatting>
  <conditionalFormatting sqref="B547">
    <cfRule type="duplicateValues" dxfId="1" priority="235"/>
  </conditionalFormatting>
  <conditionalFormatting sqref="B548">
    <cfRule type="duplicateValues" dxfId="1" priority="233"/>
  </conditionalFormatting>
  <conditionalFormatting sqref="C550">
    <cfRule type="expression" dxfId="0" priority="230">
      <formula>$C$457-$C$434&gt;=0</formula>
    </cfRule>
  </conditionalFormatting>
  <conditionalFormatting sqref="B562">
    <cfRule type="duplicateValues" dxfId="1" priority="223"/>
  </conditionalFormatting>
  <conditionalFormatting sqref="B563">
    <cfRule type="duplicateValues" dxfId="1" priority="229"/>
  </conditionalFormatting>
  <conditionalFormatting sqref="B564">
    <cfRule type="duplicateValues" dxfId="1" priority="228"/>
  </conditionalFormatting>
  <conditionalFormatting sqref="B565">
    <cfRule type="duplicateValues" dxfId="1" priority="227"/>
  </conditionalFormatting>
  <conditionalFormatting sqref="B566">
    <cfRule type="duplicateValues" dxfId="1" priority="226"/>
  </conditionalFormatting>
  <conditionalFormatting sqref="B567">
    <cfRule type="duplicateValues" dxfId="1" priority="225"/>
  </conditionalFormatting>
  <conditionalFormatting sqref="B568">
    <cfRule type="duplicateValues" dxfId="1" priority="224"/>
  </conditionalFormatting>
  <conditionalFormatting sqref="B569">
    <cfRule type="duplicateValues" dxfId="1" priority="222"/>
  </conditionalFormatting>
  <conditionalFormatting sqref="C571">
    <cfRule type="expression" dxfId="0" priority="219">
      <formula>$C$457-$C$434&gt;=0</formula>
    </cfRule>
  </conditionalFormatting>
  <conditionalFormatting sqref="B583">
    <cfRule type="duplicateValues" dxfId="1" priority="212"/>
  </conditionalFormatting>
  <conditionalFormatting sqref="B584">
    <cfRule type="duplicateValues" dxfId="1" priority="218"/>
  </conditionalFormatting>
  <conditionalFormatting sqref="B585">
    <cfRule type="duplicateValues" dxfId="1" priority="217"/>
  </conditionalFormatting>
  <conditionalFormatting sqref="B586">
    <cfRule type="duplicateValues" dxfId="1" priority="216"/>
  </conditionalFormatting>
  <conditionalFormatting sqref="B587">
    <cfRule type="duplicateValues" dxfId="1" priority="215"/>
  </conditionalFormatting>
  <conditionalFormatting sqref="B588">
    <cfRule type="duplicateValues" dxfId="1" priority="214"/>
  </conditionalFormatting>
  <conditionalFormatting sqref="B589">
    <cfRule type="duplicateValues" dxfId="1" priority="213"/>
  </conditionalFormatting>
  <conditionalFormatting sqref="B590">
    <cfRule type="duplicateValues" dxfId="1" priority="211"/>
  </conditionalFormatting>
  <conditionalFormatting sqref="C592">
    <cfRule type="expression" dxfId="0" priority="208">
      <formula>$C$457-$C$434&gt;=0</formula>
    </cfRule>
  </conditionalFormatting>
  <conditionalFormatting sqref="B604">
    <cfRule type="duplicateValues" dxfId="1" priority="201"/>
  </conditionalFormatting>
  <conditionalFormatting sqref="B605">
    <cfRule type="duplicateValues" dxfId="1" priority="207"/>
  </conditionalFormatting>
  <conditionalFormatting sqref="B606">
    <cfRule type="duplicateValues" dxfId="1" priority="206"/>
  </conditionalFormatting>
  <conditionalFormatting sqref="B607">
    <cfRule type="duplicateValues" dxfId="1" priority="205"/>
  </conditionalFormatting>
  <conditionalFormatting sqref="B608">
    <cfRule type="duplicateValues" dxfId="1" priority="204"/>
  </conditionalFormatting>
  <conditionalFormatting sqref="B609">
    <cfRule type="duplicateValues" dxfId="1" priority="203"/>
  </conditionalFormatting>
  <conditionalFormatting sqref="B610">
    <cfRule type="duplicateValues" dxfId="1" priority="202"/>
  </conditionalFormatting>
  <conditionalFormatting sqref="B611">
    <cfRule type="duplicateValues" dxfId="1" priority="200"/>
  </conditionalFormatting>
  <conditionalFormatting sqref="C613">
    <cfRule type="expression" dxfId="0" priority="197">
      <formula>$C$457-$C$434&gt;=0</formula>
    </cfRule>
  </conditionalFormatting>
  <conditionalFormatting sqref="B625">
    <cfRule type="duplicateValues" dxfId="1" priority="190"/>
  </conditionalFormatting>
  <conditionalFormatting sqref="B626">
    <cfRule type="duplicateValues" dxfId="1" priority="196"/>
  </conditionalFormatting>
  <conditionalFormatting sqref="B627">
    <cfRule type="duplicateValues" dxfId="1" priority="195"/>
  </conditionalFormatting>
  <conditionalFormatting sqref="B628">
    <cfRule type="duplicateValues" dxfId="1" priority="194"/>
  </conditionalFormatting>
  <conditionalFormatting sqref="B629">
    <cfRule type="duplicateValues" dxfId="1" priority="193"/>
  </conditionalFormatting>
  <conditionalFormatting sqref="B630">
    <cfRule type="duplicateValues" dxfId="1" priority="192"/>
  </conditionalFormatting>
  <conditionalFormatting sqref="B631">
    <cfRule type="duplicateValues" dxfId="1" priority="191"/>
  </conditionalFormatting>
  <conditionalFormatting sqref="B632">
    <cfRule type="duplicateValues" dxfId="1" priority="189"/>
  </conditionalFormatting>
  <conditionalFormatting sqref="C634">
    <cfRule type="expression" dxfId="0" priority="186">
      <formula>$C$457-$C$434&gt;=0</formula>
    </cfRule>
  </conditionalFormatting>
  <conditionalFormatting sqref="B646">
    <cfRule type="duplicateValues" dxfId="1" priority="179"/>
  </conditionalFormatting>
  <conditionalFormatting sqref="B647">
    <cfRule type="duplicateValues" dxfId="1" priority="185"/>
  </conditionalFormatting>
  <conditionalFormatting sqref="B648">
    <cfRule type="duplicateValues" dxfId="1" priority="184"/>
  </conditionalFormatting>
  <conditionalFormatting sqref="B649">
    <cfRule type="duplicateValues" dxfId="1" priority="183"/>
  </conditionalFormatting>
  <conditionalFormatting sqref="B650">
    <cfRule type="duplicateValues" dxfId="1" priority="182"/>
  </conditionalFormatting>
  <conditionalFormatting sqref="B651">
    <cfRule type="duplicateValues" dxfId="1" priority="181"/>
  </conditionalFormatting>
  <conditionalFormatting sqref="B652">
    <cfRule type="duplicateValues" dxfId="1" priority="180"/>
  </conditionalFormatting>
  <conditionalFormatting sqref="B653">
    <cfRule type="duplicateValues" dxfId="1" priority="178"/>
  </conditionalFormatting>
  <conditionalFormatting sqref="C655">
    <cfRule type="expression" dxfId="0" priority="175">
      <formula>$C$457-$C$434&gt;=0</formula>
    </cfRule>
  </conditionalFormatting>
  <conditionalFormatting sqref="B667">
    <cfRule type="duplicateValues" dxfId="1" priority="168"/>
  </conditionalFormatting>
  <conditionalFormatting sqref="B668">
    <cfRule type="duplicateValues" dxfId="1" priority="174"/>
  </conditionalFormatting>
  <conditionalFormatting sqref="B669">
    <cfRule type="duplicateValues" dxfId="1" priority="173"/>
  </conditionalFormatting>
  <conditionalFormatting sqref="B670">
    <cfRule type="duplicateValues" dxfId="1" priority="172"/>
  </conditionalFormatting>
  <conditionalFormatting sqref="B671">
    <cfRule type="duplicateValues" dxfId="1" priority="171"/>
  </conditionalFormatting>
  <conditionalFormatting sqref="B672">
    <cfRule type="duplicateValues" dxfId="1" priority="170"/>
  </conditionalFormatting>
  <conditionalFormatting sqref="B673">
    <cfRule type="duplicateValues" dxfId="1" priority="169"/>
  </conditionalFormatting>
  <conditionalFormatting sqref="B674">
    <cfRule type="duplicateValues" dxfId="1" priority="167"/>
  </conditionalFormatting>
  <conditionalFormatting sqref="C676">
    <cfRule type="expression" dxfId="0" priority="164">
      <formula>$C$457-$C$434&gt;=0</formula>
    </cfRule>
  </conditionalFormatting>
  <conditionalFormatting sqref="B688">
    <cfRule type="duplicateValues" dxfId="1" priority="157"/>
  </conditionalFormatting>
  <conditionalFormatting sqref="B689">
    <cfRule type="duplicateValues" dxfId="1" priority="163"/>
  </conditionalFormatting>
  <conditionalFormatting sqref="B690">
    <cfRule type="duplicateValues" dxfId="1" priority="162"/>
  </conditionalFormatting>
  <conditionalFormatting sqref="B691">
    <cfRule type="duplicateValues" dxfId="1" priority="161"/>
  </conditionalFormatting>
  <conditionalFormatting sqref="B692">
    <cfRule type="duplicateValues" dxfId="1" priority="160"/>
  </conditionalFormatting>
  <conditionalFormatting sqref="B693">
    <cfRule type="duplicateValues" dxfId="1" priority="159"/>
  </conditionalFormatting>
  <conditionalFormatting sqref="B694">
    <cfRule type="duplicateValues" dxfId="1" priority="158"/>
  </conditionalFormatting>
  <conditionalFormatting sqref="B695">
    <cfRule type="duplicateValues" dxfId="1" priority="156"/>
  </conditionalFormatting>
  <conditionalFormatting sqref="C697">
    <cfRule type="expression" dxfId="0" priority="153">
      <formula>$C$457-$C$434&gt;=0</formula>
    </cfRule>
  </conditionalFormatting>
  <conditionalFormatting sqref="B709">
    <cfRule type="duplicateValues" dxfId="1" priority="146"/>
  </conditionalFormatting>
  <conditionalFormatting sqref="B710">
    <cfRule type="duplicateValues" dxfId="1" priority="152"/>
  </conditionalFormatting>
  <conditionalFormatting sqref="B711">
    <cfRule type="duplicateValues" dxfId="1" priority="151"/>
  </conditionalFormatting>
  <conditionalFormatting sqref="B712">
    <cfRule type="duplicateValues" dxfId="1" priority="150"/>
  </conditionalFormatting>
  <conditionalFormatting sqref="B713">
    <cfRule type="duplicateValues" dxfId="1" priority="149"/>
  </conditionalFormatting>
  <conditionalFormatting sqref="B714">
    <cfRule type="duplicateValues" dxfId="1" priority="148"/>
  </conditionalFormatting>
  <conditionalFormatting sqref="B715">
    <cfRule type="duplicateValues" dxfId="1" priority="147"/>
  </conditionalFormatting>
  <conditionalFormatting sqref="B716">
    <cfRule type="duplicateValues" dxfId="1" priority="145"/>
  </conditionalFormatting>
  <conditionalFormatting sqref="C718">
    <cfRule type="expression" dxfId="0" priority="142">
      <formula>$C$454-$C$431&gt;=0</formula>
    </cfRule>
  </conditionalFormatting>
  <conditionalFormatting sqref="B730">
    <cfRule type="duplicateValues" dxfId="1" priority="135"/>
  </conditionalFormatting>
  <conditionalFormatting sqref="B731">
    <cfRule type="duplicateValues" dxfId="1" priority="141"/>
  </conditionalFormatting>
  <conditionalFormatting sqref="B732">
    <cfRule type="duplicateValues" dxfId="1" priority="140"/>
  </conditionalFormatting>
  <conditionalFormatting sqref="B733">
    <cfRule type="duplicateValues" dxfId="1" priority="139"/>
  </conditionalFormatting>
  <conditionalFormatting sqref="B734">
    <cfRule type="duplicateValues" dxfId="1" priority="138"/>
  </conditionalFormatting>
  <conditionalFormatting sqref="B735">
    <cfRule type="duplicateValues" dxfId="1" priority="137"/>
  </conditionalFormatting>
  <conditionalFormatting sqref="B736">
    <cfRule type="duplicateValues" dxfId="1" priority="136"/>
  </conditionalFormatting>
  <conditionalFormatting sqref="B737">
    <cfRule type="duplicateValues" dxfId="1" priority="134"/>
  </conditionalFormatting>
  <conditionalFormatting sqref="C739">
    <cfRule type="expression" dxfId="0" priority="131">
      <formula>$C$454-$C$431&gt;=0</formula>
    </cfRule>
  </conditionalFormatting>
  <conditionalFormatting sqref="B751">
    <cfRule type="duplicateValues" dxfId="1" priority="124"/>
  </conditionalFormatting>
  <conditionalFormatting sqref="B752">
    <cfRule type="duplicateValues" dxfId="1" priority="130"/>
  </conditionalFormatting>
  <conditionalFormatting sqref="B753">
    <cfRule type="duplicateValues" dxfId="1" priority="129"/>
  </conditionalFormatting>
  <conditionalFormatting sqref="B754">
    <cfRule type="duplicateValues" dxfId="1" priority="128"/>
  </conditionalFormatting>
  <conditionalFormatting sqref="B755">
    <cfRule type="duplicateValues" dxfId="1" priority="127"/>
  </conditionalFormatting>
  <conditionalFormatting sqref="B756">
    <cfRule type="duplicateValues" dxfId="1" priority="126"/>
  </conditionalFormatting>
  <conditionalFormatting sqref="B757">
    <cfRule type="duplicateValues" dxfId="1" priority="125"/>
  </conditionalFormatting>
  <conditionalFormatting sqref="B758">
    <cfRule type="duplicateValues" dxfId="1" priority="123"/>
  </conditionalFormatting>
  <conditionalFormatting sqref="C760">
    <cfRule type="expression" dxfId="0" priority="120">
      <formula>$C$454-$C$431&gt;=0</formula>
    </cfRule>
  </conditionalFormatting>
  <conditionalFormatting sqref="B772">
    <cfRule type="duplicateValues" dxfId="1" priority="113"/>
  </conditionalFormatting>
  <conditionalFormatting sqref="B773">
    <cfRule type="duplicateValues" dxfId="1" priority="119"/>
  </conditionalFormatting>
  <conditionalFormatting sqref="B774">
    <cfRule type="duplicateValues" dxfId="1" priority="118"/>
  </conditionalFormatting>
  <conditionalFormatting sqref="B775">
    <cfRule type="duplicateValues" dxfId="1" priority="117"/>
  </conditionalFormatting>
  <conditionalFormatting sqref="B776">
    <cfRule type="duplicateValues" dxfId="1" priority="116"/>
  </conditionalFormatting>
  <conditionalFormatting sqref="B777">
    <cfRule type="duplicateValues" dxfId="1" priority="115"/>
  </conditionalFormatting>
  <conditionalFormatting sqref="B778">
    <cfRule type="duplicateValues" dxfId="1" priority="114"/>
  </conditionalFormatting>
  <conditionalFormatting sqref="B779">
    <cfRule type="duplicateValues" dxfId="1" priority="112"/>
  </conditionalFormatting>
  <conditionalFormatting sqref="C781">
    <cfRule type="expression" dxfId="0" priority="109">
      <formula>$C$454-$C$431&gt;=0</formula>
    </cfRule>
  </conditionalFormatting>
  <conditionalFormatting sqref="B793">
    <cfRule type="duplicateValues" dxfId="1" priority="102"/>
  </conditionalFormatting>
  <conditionalFormatting sqref="B794">
    <cfRule type="duplicateValues" dxfId="1" priority="108"/>
  </conditionalFormatting>
  <conditionalFormatting sqref="B795">
    <cfRule type="duplicateValues" dxfId="1" priority="107"/>
  </conditionalFormatting>
  <conditionalFormatting sqref="B796">
    <cfRule type="duplicateValues" dxfId="1" priority="106"/>
  </conditionalFormatting>
  <conditionalFormatting sqref="B797">
    <cfRule type="duplicateValues" dxfId="1" priority="105"/>
  </conditionalFormatting>
  <conditionalFormatting sqref="B798">
    <cfRule type="duplicateValues" dxfId="1" priority="104"/>
  </conditionalFormatting>
  <conditionalFormatting sqref="B799">
    <cfRule type="duplicateValues" dxfId="1" priority="103"/>
  </conditionalFormatting>
  <conditionalFormatting sqref="B800">
    <cfRule type="duplicateValues" dxfId="1" priority="101"/>
  </conditionalFormatting>
  <conditionalFormatting sqref="C802">
    <cfRule type="expression" dxfId="0" priority="98">
      <formula>$C$454-$C$431&gt;=0</formula>
    </cfRule>
  </conditionalFormatting>
  <conditionalFormatting sqref="B814">
    <cfRule type="duplicateValues" dxfId="1" priority="91"/>
  </conditionalFormatting>
  <conditionalFormatting sqref="B815">
    <cfRule type="duplicateValues" dxfId="1" priority="97"/>
  </conditionalFormatting>
  <conditionalFormatting sqref="B816">
    <cfRule type="duplicateValues" dxfId="1" priority="96"/>
  </conditionalFormatting>
  <conditionalFormatting sqref="B817">
    <cfRule type="duplicateValues" dxfId="1" priority="95"/>
  </conditionalFormatting>
  <conditionalFormatting sqref="B818">
    <cfRule type="duplicateValues" dxfId="1" priority="94"/>
  </conditionalFormatting>
  <conditionalFormatting sqref="B819">
    <cfRule type="duplicateValues" dxfId="1" priority="93"/>
  </conditionalFormatting>
  <conditionalFormatting sqref="B820">
    <cfRule type="duplicateValues" dxfId="1" priority="92"/>
  </conditionalFormatting>
  <conditionalFormatting sqref="B821">
    <cfRule type="duplicateValues" dxfId="1" priority="90"/>
  </conditionalFormatting>
  <conditionalFormatting sqref="C823">
    <cfRule type="expression" dxfId="0" priority="87">
      <formula>$C$454-$C$431&gt;=0</formula>
    </cfRule>
  </conditionalFormatting>
  <conditionalFormatting sqref="B835">
    <cfRule type="duplicateValues" dxfId="1" priority="80"/>
  </conditionalFormatting>
  <conditionalFormatting sqref="B836">
    <cfRule type="duplicateValues" dxfId="1" priority="86"/>
  </conditionalFormatting>
  <conditionalFormatting sqref="B837">
    <cfRule type="duplicateValues" dxfId="1" priority="85"/>
  </conditionalFormatting>
  <conditionalFormatting sqref="B838">
    <cfRule type="duplicateValues" dxfId="1" priority="84"/>
  </conditionalFormatting>
  <conditionalFormatting sqref="B839">
    <cfRule type="duplicateValues" dxfId="1" priority="83"/>
  </conditionalFormatting>
  <conditionalFormatting sqref="B840">
    <cfRule type="duplicateValues" dxfId="1" priority="82"/>
  </conditionalFormatting>
  <conditionalFormatting sqref="B841">
    <cfRule type="duplicateValues" dxfId="1" priority="81"/>
  </conditionalFormatting>
  <conditionalFormatting sqref="B842">
    <cfRule type="duplicateValues" dxfId="1" priority="79"/>
  </conditionalFormatting>
  <conditionalFormatting sqref="C844">
    <cfRule type="expression" dxfId="0" priority="76">
      <formula>$C$454-$C$431&gt;=0</formula>
    </cfRule>
  </conditionalFormatting>
  <conditionalFormatting sqref="B856">
    <cfRule type="duplicateValues" dxfId="1" priority="69"/>
  </conditionalFormatting>
  <conditionalFormatting sqref="B857">
    <cfRule type="duplicateValues" dxfId="1" priority="75"/>
  </conditionalFormatting>
  <conditionalFormatting sqref="B858">
    <cfRule type="duplicateValues" dxfId="1" priority="74"/>
  </conditionalFormatting>
  <conditionalFormatting sqref="B859">
    <cfRule type="duplicateValues" dxfId="1" priority="73"/>
  </conditionalFormatting>
  <conditionalFormatting sqref="B860">
    <cfRule type="duplicateValues" dxfId="1" priority="72"/>
  </conditionalFormatting>
  <conditionalFormatting sqref="B861">
    <cfRule type="duplicateValues" dxfId="1" priority="71"/>
  </conditionalFormatting>
  <conditionalFormatting sqref="B862">
    <cfRule type="duplicateValues" dxfId="1" priority="70"/>
  </conditionalFormatting>
  <conditionalFormatting sqref="B863">
    <cfRule type="duplicateValues" dxfId="1" priority="68"/>
  </conditionalFormatting>
  <conditionalFormatting sqref="C865">
    <cfRule type="expression" dxfId="0" priority="65">
      <formula>$C$454-$C$431&gt;=0</formula>
    </cfRule>
  </conditionalFormatting>
  <conditionalFormatting sqref="B877">
    <cfRule type="duplicateValues" dxfId="1" priority="58"/>
  </conditionalFormatting>
  <conditionalFormatting sqref="B878">
    <cfRule type="duplicateValues" dxfId="1" priority="64"/>
  </conditionalFormatting>
  <conditionalFormatting sqref="B879">
    <cfRule type="duplicateValues" dxfId="1" priority="63"/>
  </conditionalFormatting>
  <conditionalFormatting sqref="B880">
    <cfRule type="duplicateValues" dxfId="1" priority="62"/>
  </conditionalFormatting>
  <conditionalFormatting sqref="B881">
    <cfRule type="duplicateValues" dxfId="1" priority="61"/>
  </conditionalFormatting>
  <conditionalFormatting sqref="B882">
    <cfRule type="duplicateValues" dxfId="1" priority="60"/>
  </conditionalFormatting>
  <conditionalFormatting sqref="B883">
    <cfRule type="duplicateValues" dxfId="1" priority="59"/>
  </conditionalFormatting>
  <conditionalFormatting sqref="B884">
    <cfRule type="duplicateValues" dxfId="1" priority="57"/>
  </conditionalFormatting>
  <conditionalFormatting sqref="C886">
    <cfRule type="expression" dxfId="0" priority="54">
      <formula>$C$454-$C$431&gt;=0</formula>
    </cfRule>
  </conditionalFormatting>
  <conditionalFormatting sqref="B898">
    <cfRule type="duplicateValues" dxfId="1" priority="47"/>
  </conditionalFormatting>
  <conditionalFormatting sqref="B899">
    <cfRule type="duplicateValues" dxfId="1" priority="53"/>
  </conditionalFormatting>
  <conditionalFormatting sqref="B900">
    <cfRule type="duplicateValues" dxfId="1" priority="52"/>
  </conditionalFormatting>
  <conditionalFormatting sqref="B901">
    <cfRule type="duplicateValues" dxfId="1" priority="51"/>
  </conditionalFormatting>
  <conditionalFormatting sqref="B902">
    <cfRule type="duplicateValues" dxfId="1" priority="50"/>
  </conditionalFormatting>
  <conditionalFormatting sqref="B903">
    <cfRule type="duplicateValues" dxfId="1" priority="49"/>
  </conditionalFormatting>
  <conditionalFormatting sqref="B904">
    <cfRule type="duplicateValues" dxfId="1" priority="48"/>
  </conditionalFormatting>
  <conditionalFormatting sqref="B905">
    <cfRule type="duplicateValues" dxfId="1" priority="46"/>
  </conditionalFormatting>
  <conditionalFormatting sqref="C907">
    <cfRule type="expression" dxfId="0" priority="43">
      <formula>$C$454-$C$431&gt;=0</formula>
    </cfRule>
  </conditionalFormatting>
  <conditionalFormatting sqref="B919">
    <cfRule type="duplicateValues" dxfId="1" priority="36"/>
  </conditionalFormatting>
  <conditionalFormatting sqref="B920">
    <cfRule type="duplicateValues" dxfId="1" priority="42"/>
  </conditionalFormatting>
  <conditionalFormatting sqref="B921">
    <cfRule type="duplicateValues" dxfId="1" priority="41"/>
  </conditionalFormatting>
  <conditionalFormatting sqref="B922">
    <cfRule type="duplicateValues" dxfId="1" priority="40"/>
  </conditionalFormatting>
  <conditionalFormatting sqref="B923">
    <cfRule type="duplicateValues" dxfId="1" priority="39"/>
  </conditionalFormatting>
  <conditionalFormatting sqref="B924">
    <cfRule type="duplicateValues" dxfId="1" priority="38"/>
  </conditionalFormatting>
  <conditionalFormatting sqref="B925">
    <cfRule type="duplicateValues" dxfId="1" priority="37"/>
  </conditionalFormatting>
  <conditionalFormatting sqref="B926">
    <cfRule type="duplicateValues" dxfId="1" priority="35"/>
  </conditionalFormatting>
  <conditionalFormatting sqref="C928">
    <cfRule type="expression" dxfId="0" priority="32">
      <formula>$C$454-$C$431&gt;=0</formula>
    </cfRule>
  </conditionalFormatting>
  <conditionalFormatting sqref="B940">
    <cfRule type="duplicateValues" dxfId="1" priority="25"/>
  </conditionalFormatting>
  <conditionalFormatting sqref="B941">
    <cfRule type="duplicateValues" dxfId="1" priority="31"/>
  </conditionalFormatting>
  <conditionalFormatting sqref="B942">
    <cfRule type="duplicateValues" dxfId="1" priority="30"/>
  </conditionalFormatting>
  <conditionalFormatting sqref="B943">
    <cfRule type="duplicateValues" dxfId="1" priority="29"/>
  </conditionalFormatting>
  <conditionalFormatting sqref="B944">
    <cfRule type="duplicateValues" dxfId="1" priority="28"/>
  </conditionalFormatting>
  <conditionalFormatting sqref="B945">
    <cfRule type="duplicateValues" dxfId="1" priority="27"/>
  </conditionalFormatting>
  <conditionalFormatting sqref="B946">
    <cfRule type="duplicateValues" dxfId="1" priority="26"/>
  </conditionalFormatting>
  <conditionalFormatting sqref="B947">
    <cfRule type="duplicateValues" dxfId="1" priority="24"/>
  </conditionalFormatting>
  <conditionalFormatting sqref="C949">
    <cfRule type="expression" dxfId="0" priority="21">
      <formula>$C$454-$C$431&gt;=0</formula>
    </cfRule>
  </conditionalFormatting>
  <conditionalFormatting sqref="B961">
    <cfRule type="duplicateValues" dxfId="1" priority="14"/>
  </conditionalFormatting>
  <conditionalFormatting sqref="B962">
    <cfRule type="duplicateValues" dxfId="1" priority="20"/>
  </conditionalFormatting>
  <conditionalFormatting sqref="B963">
    <cfRule type="duplicateValues" dxfId="1" priority="19"/>
  </conditionalFormatting>
  <conditionalFormatting sqref="B964">
    <cfRule type="duplicateValues" dxfId="1" priority="18"/>
  </conditionalFormatting>
  <conditionalFormatting sqref="B965">
    <cfRule type="duplicateValues" dxfId="1" priority="17"/>
  </conditionalFormatting>
  <conditionalFormatting sqref="B966">
    <cfRule type="duplicateValues" dxfId="1" priority="16"/>
  </conditionalFormatting>
  <conditionalFormatting sqref="B967">
    <cfRule type="duplicateValues" dxfId="1" priority="15"/>
  </conditionalFormatting>
  <conditionalFormatting sqref="B968">
    <cfRule type="duplicateValues" dxfId="1" priority="13"/>
  </conditionalFormatting>
  <conditionalFormatting sqref="C970">
    <cfRule type="expression" dxfId="0" priority="10">
      <formula>$C$455-$C$432&gt;=0</formula>
    </cfRule>
  </conditionalFormatting>
  <conditionalFormatting sqref="B982">
    <cfRule type="duplicateValues" dxfId="1" priority="3"/>
  </conditionalFormatting>
  <conditionalFormatting sqref="B983">
    <cfRule type="duplicateValues" dxfId="1" priority="9"/>
  </conditionalFormatting>
  <conditionalFormatting sqref="B984">
    <cfRule type="duplicateValues" dxfId="1" priority="8"/>
  </conditionalFormatting>
  <conditionalFormatting sqref="B985">
    <cfRule type="duplicateValues" dxfId="1" priority="7"/>
  </conditionalFormatting>
  <conditionalFormatting sqref="B986">
    <cfRule type="duplicateValues" dxfId="1" priority="6"/>
  </conditionalFormatting>
  <conditionalFormatting sqref="B987">
    <cfRule type="duplicateValues" dxfId="1" priority="5"/>
  </conditionalFormatting>
  <conditionalFormatting sqref="B988">
    <cfRule type="duplicateValues" dxfId="1" priority="4"/>
  </conditionalFormatting>
  <conditionalFormatting sqref="B989">
    <cfRule type="duplicateValues" dxfId="1" priority="2"/>
  </conditionalFormatting>
  <conditionalFormatting sqref="T149:W162">
    <cfRule type="cellIs" dxfId="2" priority="435" operator="lessThan">
      <formula>-5</formula>
    </cfRule>
  </conditionalFormatting>
  <conditionalFormatting sqref="L150:O162">
    <cfRule type="cellIs" dxfId="2" priority="433" operator="lessThan">
      <formula>-50</formula>
    </cfRule>
  </conditionalFormatting>
  <conditionalFormatting sqref="P150:S162">
    <cfRule type="cellIs" dxfId="2" priority="434" operator="lessThan">
      <formula>-10</formula>
    </cfRule>
  </conditionalFormatting>
  <conditionalFormatting sqref="B151:B162 B171">
    <cfRule type="duplicateValues" dxfId="1" priority="446"/>
  </conditionalFormatting>
  <conditionalFormatting sqref="B172:B183 B192">
    <cfRule type="duplicateValues" dxfId="1" priority="432"/>
  </conditionalFormatting>
  <conditionalFormatting sqref="L172:O186">
    <cfRule type="cellIs" dxfId="2" priority="420" operator="lessThan">
      <formula>-50</formula>
    </cfRule>
  </conditionalFormatting>
  <conditionalFormatting sqref="P172:S186">
    <cfRule type="cellIs" dxfId="2" priority="421" operator="lessThan">
      <formula>-10</formula>
    </cfRule>
  </conditionalFormatting>
  <conditionalFormatting sqref="T172:W186">
    <cfRule type="cellIs" dxfId="2" priority="422" operator="lessThan">
      <formula>-5</formula>
    </cfRule>
  </conditionalFormatting>
  <conditionalFormatting sqref="B193:B204 B213">
    <cfRule type="duplicateValues" dxfId="1" priority="419"/>
  </conditionalFormatting>
  <conditionalFormatting sqref="L193:W255">
    <cfRule type="cellIs" dxfId="3" priority="387" operator="lessThan">
      <formula>0</formula>
    </cfRule>
  </conditionalFormatting>
  <conditionalFormatting sqref="B214:B225 B234">
    <cfRule type="duplicateValues" dxfId="1" priority="408"/>
  </conditionalFormatting>
  <conditionalFormatting sqref="B235:B246 B255">
    <cfRule type="duplicateValues" dxfId="1" priority="397"/>
  </conditionalFormatting>
  <conditionalFormatting sqref="B256:B267 B276">
    <cfRule type="duplicateValues" dxfId="1" priority="386"/>
  </conditionalFormatting>
  <conditionalFormatting sqref="H256:S990">
    <cfRule type="cellIs" dxfId="3" priority="1" operator="lessThan">
      <formula>0</formula>
    </cfRule>
  </conditionalFormatting>
  <conditionalFormatting sqref="B277:B288 B297">
    <cfRule type="duplicateValues" dxfId="1" priority="375"/>
  </conditionalFormatting>
  <conditionalFormatting sqref="B298:B309 B318">
    <cfRule type="duplicateValues" dxfId="1" priority="364"/>
  </conditionalFormatting>
  <conditionalFormatting sqref="B319:B330 B339">
    <cfRule type="duplicateValues" dxfId="1" priority="353"/>
  </conditionalFormatting>
  <conditionalFormatting sqref="B340:B351 B360">
    <cfRule type="duplicateValues" dxfId="1" priority="341"/>
  </conditionalFormatting>
  <conditionalFormatting sqref="B361:B372 B381">
    <cfRule type="duplicateValues" dxfId="1" priority="330"/>
  </conditionalFormatting>
  <conditionalFormatting sqref="B382:B393 B402">
    <cfRule type="duplicateValues" dxfId="1" priority="319"/>
  </conditionalFormatting>
  <conditionalFormatting sqref="B403:B414 B423">
    <cfRule type="duplicateValues" dxfId="1" priority="308"/>
  </conditionalFormatting>
  <conditionalFormatting sqref="B424:B435 B444">
    <cfRule type="duplicateValues" dxfId="1" priority="297"/>
  </conditionalFormatting>
  <conditionalFormatting sqref="B445:B456 B465">
    <cfRule type="duplicateValues" dxfId="1" priority="286"/>
  </conditionalFormatting>
  <conditionalFormatting sqref="B466:B477 B486">
    <cfRule type="duplicateValues" dxfId="1" priority="275"/>
  </conditionalFormatting>
  <conditionalFormatting sqref="B487:B498 B507">
    <cfRule type="duplicateValues" dxfId="1" priority="264"/>
  </conditionalFormatting>
  <conditionalFormatting sqref="B508:B519 B528">
    <cfRule type="duplicateValues" dxfId="1" priority="253"/>
  </conditionalFormatting>
  <conditionalFormatting sqref="B529:B540 B549">
    <cfRule type="duplicateValues" dxfId="1" priority="242"/>
  </conditionalFormatting>
  <conditionalFormatting sqref="B550:B561 B570">
    <cfRule type="duplicateValues" dxfId="1" priority="231"/>
  </conditionalFormatting>
  <conditionalFormatting sqref="B571:B582 B591">
    <cfRule type="duplicateValues" dxfId="1" priority="220"/>
  </conditionalFormatting>
  <conditionalFormatting sqref="B592:B603 B612">
    <cfRule type="duplicateValues" dxfId="1" priority="209"/>
  </conditionalFormatting>
  <conditionalFormatting sqref="B613:B624 B633">
    <cfRule type="duplicateValues" dxfId="1" priority="198"/>
  </conditionalFormatting>
  <conditionalFormatting sqref="B634:B645 B654">
    <cfRule type="duplicateValues" dxfId="1" priority="187"/>
  </conditionalFormatting>
  <conditionalFormatting sqref="B655:B666 B675">
    <cfRule type="duplicateValues" dxfId="1" priority="176"/>
  </conditionalFormatting>
  <conditionalFormatting sqref="B676:B687 B696">
    <cfRule type="duplicateValues" dxfId="1" priority="165"/>
  </conditionalFormatting>
  <conditionalFormatting sqref="B697:B708 B717">
    <cfRule type="duplicateValues" dxfId="1" priority="154"/>
  </conditionalFormatting>
  <conditionalFormatting sqref="B738 B718:B729">
    <cfRule type="duplicateValues" dxfId="1" priority="143"/>
  </conditionalFormatting>
  <conditionalFormatting sqref="B739:B750 B759">
    <cfRule type="duplicateValues" dxfId="1" priority="132"/>
  </conditionalFormatting>
  <conditionalFormatting sqref="B760:B771 B780">
    <cfRule type="duplicateValues" dxfId="1" priority="121"/>
  </conditionalFormatting>
  <conditionalFormatting sqref="B781:B792 B801">
    <cfRule type="duplicateValues" dxfId="1" priority="110"/>
  </conditionalFormatting>
  <conditionalFormatting sqref="B802:B813 B822">
    <cfRule type="duplicateValues" dxfId="1" priority="99"/>
  </conditionalFormatting>
  <conditionalFormatting sqref="B823:B834 B843">
    <cfRule type="duplicateValues" dxfId="1" priority="88"/>
  </conditionalFormatting>
  <conditionalFormatting sqref="B844:B855 B864">
    <cfRule type="duplicateValues" dxfId="1" priority="77"/>
  </conditionalFormatting>
  <conditionalFormatting sqref="B885 B865:B876">
    <cfRule type="duplicateValues" dxfId="1" priority="66"/>
  </conditionalFormatting>
  <conditionalFormatting sqref="B886:B897 B906">
    <cfRule type="duplicateValues" dxfId="1" priority="55"/>
  </conditionalFormatting>
  <conditionalFormatting sqref="B907:B918 B927">
    <cfRule type="duplicateValues" dxfId="1" priority="44"/>
  </conditionalFormatting>
  <conditionalFormatting sqref="B928:B939 B948">
    <cfRule type="duplicateValues" dxfId="1" priority="33"/>
  </conditionalFormatting>
  <conditionalFormatting sqref="B949:B960 B969">
    <cfRule type="duplicateValues" dxfId="1" priority="22"/>
  </conditionalFormatting>
  <conditionalFormatting sqref="B970:B981 B990">
    <cfRule type="duplicateValues" dxfId="1" priority="11"/>
  </conditionalFormatting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23"/>
  <sheetViews>
    <sheetView workbookViewId="0">
      <selection activeCell="L31" sqref="L31"/>
    </sheetView>
  </sheetViews>
  <sheetFormatPr defaultColWidth="9" defaultRowHeight="13.5"/>
  <sheetData>
    <row r="1" spans="1:19">
      <c r="A1" s="94" t="s">
        <v>0</v>
      </c>
      <c r="B1" s="94" t="s">
        <v>1</v>
      </c>
      <c r="C1" s="95" t="s">
        <v>7739</v>
      </c>
      <c r="D1" s="95" t="s">
        <v>4</v>
      </c>
      <c r="E1" s="96" t="s">
        <v>5</v>
      </c>
      <c r="F1" s="95" t="s">
        <v>6</v>
      </c>
      <c r="G1" s="96" t="s">
        <v>7</v>
      </c>
      <c r="H1" s="97" t="s">
        <v>7739</v>
      </c>
      <c r="I1" s="114"/>
      <c r="J1" s="114"/>
      <c r="K1" s="114"/>
      <c r="L1" s="97" t="s">
        <v>11</v>
      </c>
      <c r="M1" s="114"/>
      <c r="N1" s="114"/>
      <c r="O1" s="114"/>
      <c r="P1" s="97" t="s">
        <v>12</v>
      </c>
      <c r="Q1" s="114"/>
      <c r="R1" s="114"/>
      <c r="S1" s="114"/>
    </row>
    <row r="2" spans="1:19">
      <c r="A2" s="98"/>
      <c r="B2" s="99"/>
      <c r="C2" s="100"/>
      <c r="D2" s="100"/>
      <c r="E2" s="101"/>
      <c r="F2" s="100"/>
      <c r="G2" s="101"/>
      <c r="H2" s="102" t="s">
        <v>13</v>
      </c>
      <c r="I2" s="102" t="s">
        <v>14</v>
      </c>
      <c r="J2" s="102" t="s">
        <v>15</v>
      </c>
      <c r="K2" s="102" t="s">
        <v>16</v>
      </c>
      <c r="L2" s="102" t="s">
        <v>13</v>
      </c>
      <c r="M2" s="102" t="s">
        <v>14</v>
      </c>
      <c r="N2" s="102" t="s">
        <v>15</v>
      </c>
      <c r="O2" s="102" t="s">
        <v>16</v>
      </c>
      <c r="P2" s="102" t="s">
        <v>13</v>
      </c>
      <c r="Q2" s="102" t="s">
        <v>14</v>
      </c>
      <c r="R2" s="102" t="s">
        <v>15</v>
      </c>
      <c r="S2" s="102" t="s">
        <v>16</v>
      </c>
    </row>
    <row r="3" spans="1:19">
      <c r="A3" s="103">
        <f ca="1">TODAY()-1</f>
        <v>45145</v>
      </c>
      <c r="B3" s="104" t="s">
        <v>17</v>
      </c>
      <c r="C3" s="105">
        <f ca="1">SUMIFS(IP监控表!C:C,IP监控表!B:B,"接收IP数",IP监控表!A:A,B3)</f>
        <v>51</v>
      </c>
      <c r="D3" s="104">
        <f>COUNTIF(bty注册!X:X,B3)</f>
        <v>3</v>
      </c>
      <c r="E3" s="106">
        <f ca="1" t="shared" ref="E3:E9" si="0">IF(C3=0,D3,D3/C3)</f>
        <v>0.0588235294117647</v>
      </c>
      <c r="F3" s="107">
        <f>COUNTIF(bty首充!H:H,B3)</f>
        <v>2</v>
      </c>
      <c r="G3" s="106">
        <f t="shared" ref="G3:G22" si="1">IF(D3=0,F3,F3/D3)</f>
        <v>0.666666666666667</v>
      </c>
      <c r="H3" s="108">
        <f ca="1">C3-SUMIFS(历史数据!$C:$C,历史数据!$A:$A,$A$3-1,历史数据!$B:$B,$B3)</f>
        <v>51</v>
      </c>
      <c r="I3" s="108">
        <f ca="1">C3-(SUMIFS(历史数据!$C:$C,历史数据!$A:$A,$A$3-1,历史数据!$B:$B,$B3)+SUMIFS(历史数据!$C:$C,历史数据!$A:$A,$A$3-2,历史数据!$B:$B,$B3)+SUMIFS(历史数据!$C:$C,历史数据!$A:$A,$A$3-3,历史数据!$B:$B,$B3))/3</f>
        <v>51</v>
      </c>
      <c r="J3" s="108">
        <f ca="1">C3-(SUMIFS(历史数据!$C:$C,历史数据!$A:$A,$A$3-1,历史数据!$B:$B,$B3)+SUMIFS(历史数据!$C:$C,历史数据!$A:$A,$A$3-2,历史数据!$B:$B,$B3)+SUMIFS(历史数据!$C:$C,历史数据!$A:$A,$A$3-3,历史数据!$B:$B,$B3)+SUMIFS(历史数据!$C:$C,历史数据!$A:$A,$A$3-4,历史数据!$B:$B,$B3)+SUMIFS(历史数据!$C:$C,历史数据!$A:$A,$A$3-5,历史数据!$B:$B,$B3))/5</f>
        <v>50.8</v>
      </c>
      <c r="K3" s="108">
        <f ca="1">C3-(SUMIFS(历史数据!$C:$C,历史数据!$A:$A,$A$3-1,历史数据!$B:$B,$B3)+SUMIFS(历史数据!$C:$C,历史数据!$A:$A,$A$3-2,历史数据!$B:$B,$B3)+SUMIFS(历史数据!$C:$C,历史数据!$A:$A,$A$3-3,历史数据!$B:$B,$B3)+SUMIFS(历史数据!$C:$C,历史数据!$A:$A,$A$3-4,历史数据!$B:$B,$B3)+SUMIFS(历史数据!$C:$C,历史数据!$A:$A,$A$3-5,历史数据!$B:$B,$B3)+SUMIFS(历史数据!$C:$C,历史数据!$A:$A,$A$3-6,历史数据!$B:$B,$B3)+SUMIFS(历史数据!$C:$C,历史数据!$A:$A,$A$3-7,历史数据!$B:$B,$B3))/7</f>
        <v>-8.28571428571428</v>
      </c>
      <c r="L3" s="108">
        <f ca="1">D3-SUMIFS(历史数据!$E:$E,历史数据!$A:$A,$A$3-1,历史数据!$B:$B,$B3)</f>
        <v>2</v>
      </c>
      <c r="M3" s="108">
        <f ca="1">D3-(SUMIFS(历史数据!$E:$E,历史数据!$A:$A,$A$3-1,历史数据!$B:$B,$B3)+SUMIFS(历史数据!$E:$E,历史数据!$A:$A,$A$3-2,历史数据!$B:$B,$B3)+SUMIFS(历史数据!$E:$E,历史数据!$A:$A,$A$3-3,历史数据!$B:$B,$B3))/3</f>
        <v>1.66666666666667</v>
      </c>
      <c r="N3" s="108">
        <f ca="1">D3-(SUMIFS(历史数据!$E:$E,历史数据!$A:$A,$A$3-1,历史数据!$B:$B,$B3)+SUMIFS(历史数据!$E:$E,历史数据!$A:$A,$A$3-2,历史数据!$B:$B,$B3)+SUMIFS(历史数据!$E:$E,历史数据!$A:$A,$A$3-3,历史数据!$B:$B,$B3)+SUMIFS(历史数据!$E:$E,历史数据!$A:$A,$A$3-4,历史数据!$B:$B,$B3)+SUMIFS(历史数据!$E:$E,历史数据!$A:$A,$A$3-5,历史数据!$B:$B,$B3))/5</f>
        <v>1.8</v>
      </c>
      <c r="O3" s="108">
        <f ca="1">D3-(SUMIFS(历史数据!$E:$E,历史数据!$A:$A,$A$3-1,历史数据!$B:$B,$B3)+SUMIFS(历史数据!$E:$E,历史数据!$A:$A,$A$3-2,历史数据!$B:$B,$B3)+SUMIFS(历史数据!$E:$E,历史数据!$A:$A,$A$3-3,历史数据!$B:$B,$B3)+SUMIFS(历史数据!$E:$E,历史数据!$A:$A,$A$3-4,历史数据!$B:$B,$B3)+SUMIFS(历史数据!$E:$E,历史数据!$A:$A,$A$3-5,历史数据!$B:$B,$B3)+SUMIFS(历史数据!$E:$E,历史数据!$A:$A,$A$3-6,历史数据!$B:$B,$B3)+SUMIFS(历史数据!$E:$E,历史数据!$A:$A,$A$3-7,历史数据!$B:$B,$B3))/7</f>
        <v>2.14285714285714</v>
      </c>
      <c r="P3" s="108">
        <f ca="1">F3-SUMIFS(历史数据!$G:$G,历史数据!$A:$A,$A$3-1,历史数据!$B:$B,$B3)</f>
        <v>2</v>
      </c>
      <c r="Q3" s="108">
        <f ca="1">F3-(SUMIFS(历史数据!$G:$G,历史数据!$A:$A,$A$3-1,历史数据!$B:$B,$B3)+SUMIFS(历史数据!$G:$G,历史数据!$A:$A,$A$3-2,历史数据!$B:$B,$B3)+SUMIFS(历史数据!$G:$G,历史数据!$A:$A,$A$3-3,历史数据!$B:$B,$B3))/3</f>
        <v>2</v>
      </c>
      <c r="R3" s="108">
        <f ca="1">F3-(SUMIFS(历史数据!$G:$G,历史数据!$A:$A,$A$3-1,历史数据!$B:$B,$B3)+SUMIFS(历史数据!$G:$G,历史数据!$A:$A,$A$3-2,历史数据!$B:$B,$B3)+SUMIFS(历史数据!$G:$G,历史数据!$A:$A,$A$3-3,历史数据!$B:$B,$B3)+SUMIFS(历史数据!$G:$G,历史数据!$A:$A,$A$3-4,历史数据!$B:$B,$B3)+SUMIFS(历史数据!$G:$G,历史数据!$A:$A,$A$3-5,历史数据!$B:$B,$B3))/5</f>
        <v>1.8</v>
      </c>
      <c r="S3" s="108">
        <f ca="1">F3-(SUMIFS(历史数据!$G:$G,历史数据!$A:$A,$A$3-1,历史数据!$B:$B,$B3)+SUMIFS(历史数据!$G:$G,历史数据!$A:$A,$A$3-2,历史数据!$B:$B,$B3)+SUMIFS(历史数据!$G:$G,历史数据!$A:$A,$A$3-3,历史数据!$B:$B,$B3)+SUMIFS(历史数据!$G:$G,历史数据!$A:$A,$A$3-4,历史数据!$B:$B,$B3)+SUMIFS(历史数据!$G:$G,历史数据!$A:$A,$A$3-5,历史数据!$B:$B,$B3)+SUMIFS(历史数据!$G:$G,历史数据!$A:$A,$A$3-6,历史数据!$B:$B,$B3)+SUMIFS(历史数据!$G:$G,历史数据!$A:$A,$A$3-7,历史数据!$B:$B,$B3))/7</f>
        <v>1.71428571428571</v>
      </c>
    </row>
    <row r="4" spans="1:19">
      <c r="A4" s="109"/>
      <c r="B4" s="104" t="s">
        <v>19</v>
      </c>
      <c r="C4" s="105">
        <f ca="1">SUMIFS(IP监控表!C:C,IP监控表!B:B,"接收IP数",IP监控表!A:A,B4)</f>
        <v>427</v>
      </c>
      <c r="D4" s="104">
        <f>COUNTIF(bty注册!X:X,B4)</f>
        <v>12</v>
      </c>
      <c r="E4" s="106">
        <f ca="1" t="shared" si="0"/>
        <v>0.0281030444964871</v>
      </c>
      <c r="F4" s="107">
        <f>COUNTIF(bty首充!H:H,B4)</f>
        <v>3</v>
      </c>
      <c r="G4" s="106">
        <f t="shared" si="1"/>
        <v>0.25</v>
      </c>
      <c r="H4" s="108">
        <f ca="1">C4-SUMIFS(历史数据!$C:$C,历史数据!$A:$A,$A$3-1,历史数据!$B:$B,$B4)</f>
        <v>-164</v>
      </c>
      <c r="I4" s="108">
        <f ca="1">C4-(SUMIFS(历史数据!$C:$C,历史数据!$A:$A,$A$3-1,历史数据!$B:$B,$B4)+SUMIFS(历史数据!$C:$C,历史数据!$A:$A,$A$3-2,历史数据!$B:$B,$B4)+SUMIFS(历史数据!$C:$C,历史数据!$A:$A,$A$3-3,历史数据!$B:$B,$B4))/3</f>
        <v>-241</v>
      </c>
      <c r="J4" s="108">
        <f ca="1">C4-(SUMIFS(历史数据!$C:$C,历史数据!$A:$A,$A$3-1,历史数据!$B:$B,$B4)+SUMIFS(历史数据!$C:$C,历史数据!$A:$A,$A$3-2,历史数据!$B:$B,$B4)+SUMIFS(历史数据!$C:$C,历史数据!$A:$A,$A$3-3,历史数据!$B:$B,$B4)+SUMIFS(历史数据!$C:$C,历史数据!$A:$A,$A$3-4,历史数据!$B:$B,$B4)+SUMIFS(历史数据!$C:$C,历史数据!$A:$A,$A$3-5,历史数据!$B:$B,$B4))/5</f>
        <v>-225.6</v>
      </c>
      <c r="K4" s="108">
        <f ca="1">C4-(SUMIFS(历史数据!$C:$C,历史数据!$A:$A,$A$3-1,历史数据!$B:$B,$B4)+SUMIFS(历史数据!$C:$C,历史数据!$A:$A,$A$3-2,历史数据!$B:$B,$B4)+SUMIFS(历史数据!$C:$C,历史数据!$A:$A,$A$3-3,历史数据!$B:$B,$B4)+SUMIFS(历史数据!$C:$C,历史数据!$A:$A,$A$3-4,历史数据!$B:$B,$B4)+SUMIFS(历史数据!$C:$C,历史数据!$A:$A,$A$3-5,历史数据!$B:$B,$B4)+SUMIFS(历史数据!$C:$C,历史数据!$A:$A,$A$3-6,历史数据!$B:$B,$B4)+SUMIFS(历史数据!$C:$C,历史数据!$A:$A,$A$3-7,历史数据!$B:$B,$B4))/7</f>
        <v>-131.142857142857</v>
      </c>
      <c r="L4" s="108">
        <f ca="1">D4-SUMIFS(历史数据!$E:$E,历史数据!$A:$A,$A$3-1,历史数据!$B:$B,$B4)</f>
        <v>-5</v>
      </c>
      <c r="M4" s="108">
        <f ca="1">D4-(SUMIFS(历史数据!$E:$E,历史数据!$A:$A,$A$3-1,历史数据!$B:$B,$B4)+SUMIFS(历史数据!$E:$E,历史数据!$A:$A,$A$3-2,历史数据!$B:$B,$B4)+SUMIFS(历史数据!$E:$E,历史数据!$A:$A,$A$3-3,历史数据!$B:$B,$B4))/3</f>
        <v>-6.66666666666667</v>
      </c>
      <c r="N4" s="108">
        <f ca="1">D4-(SUMIFS(历史数据!$E:$E,历史数据!$A:$A,$A$3-1,历史数据!$B:$B,$B4)+SUMIFS(历史数据!$E:$E,历史数据!$A:$A,$A$3-2,历史数据!$B:$B,$B4)+SUMIFS(历史数据!$E:$E,历史数据!$A:$A,$A$3-3,历史数据!$B:$B,$B4)+SUMIFS(历史数据!$E:$E,历史数据!$A:$A,$A$3-4,历史数据!$B:$B,$B4)+SUMIFS(历史数据!$E:$E,历史数据!$A:$A,$A$3-5,历史数据!$B:$B,$B4))/5</f>
        <v>-2.4</v>
      </c>
      <c r="O4" s="108">
        <f ca="1">D4-(SUMIFS(历史数据!$E:$E,历史数据!$A:$A,$A$3-1,历史数据!$B:$B,$B4)+SUMIFS(历史数据!$E:$E,历史数据!$A:$A,$A$3-2,历史数据!$B:$B,$B4)+SUMIFS(历史数据!$E:$E,历史数据!$A:$A,$A$3-3,历史数据!$B:$B,$B4)+SUMIFS(历史数据!$E:$E,历史数据!$A:$A,$A$3-4,历史数据!$B:$B,$B4)+SUMIFS(历史数据!$E:$E,历史数据!$A:$A,$A$3-5,历史数据!$B:$B,$B4)+SUMIFS(历史数据!$E:$E,历史数据!$A:$A,$A$3-6,历史数据!$B:$B,$B4)+SUMIFS(历史数据!$E:$E,历史数据!$A:$A,$A$3-7,历史数据!$B:$B,$B4))/7</f>
        <v>0.571428571428571</v>
      </c>
      <c r="P4" s="108">
        <f ca="1">F4-SUMIFS(历史数据!$G:$G,历史数据!$A:$A,$A$3-1,历史数据!$B:$B,$B4)</f>
        <v>0</v>
      </c>
      <c r="Q4" s="108">
        <f ca="1">F4-(SUMIFS(历史数据!$G:$G,历史数据!$A:$A,$A$3-1,历史数据!$B:$B,$B4)+SUMIFS(历史数据!$G:$G,历史数据!$A:$A,$A$3-2,历史数据!$B:$B,$B4)+SUMIFS(历史数据!$G:$G,历史数据!$A:$A,$A$3-3,历史数据!$B:$B,$B4))/3</f>
        <v>-4.33333333333333</v>
      </c>
      <c r="R4" s="108">
        <f ca="1">F4-(SUMIFS(历史数据!$G:$G,历史数据!$A:$A,$A$3-1,历史数据!$B:$B,$B4)+SUMIFS(历史数据!$G:$G,历史数据!$A:$A,$A$3-2,历史数据!$B:$B,$B4)+SUMIFS(历史数据!$G:$G,历史数据!$A:$A,$A$3-3,历史数据!$B:$B,$B4)+SUMIFS(历史数据!$G:$G,历史数据!$A:$A,$A$3-4,历史数据!$B:$B,$B4)+SUMIFS(历史数据!$G:$G,历史数据!$A:$A,$A$3-5,历史数据!$B:$B,$B4))/5</f>
        <v>-2.6</v>
      </c>
      <c r="S4" s="115">
        <f ca="1">F4-(SUMIFS(历史数据!$G:$G,历史数据!$A:$A,$A$3-1,历史数据!$B:$B,$B4)+SUMIFS(历史数据!$G:$G,历史数据!$A:$A,$A$3-2,历史数据!$B:$B,$B4)+SUMIFS(历史数据!$G:$G,历史数据!$A:$A,$A$3-3,历史数据!$B:$B,$B4)+SUMIFS(历史数据!$G:$G,历史数据!$A:$A,$A$3-4,历史数据!$B:$B,$B4)+SUMIFS(历史数据!$G:$G,历史数据!$A:$A,$A$3-5,历史数据!$B:$B,$B4)+SUMIFS(历史数据!$G:$G,历史数据!$A:$A,$A$3-6,历史数据!$B:$B,$B4)+SUMIFS(历史数据!$G:$G,历史数据!$A:$A,$A$3-7,历史数据!$B:$B,$B4))/7</f>
        <v>-2.28571428571429</v>
      </c>
    </row>
    <row r="5" spans="1:19">
      <c r="A5" s="109"/>
      <c r="B5" s="104" t="s">
        <v>21</v>
      </c>
      <c r="C5" s="105">
        <f ca="1">SUMIFS(IP监控表!C:C,IP监控表!B:B,"接收IP数",IP监控表!A:A,B5)</f>
        <v>225</v>
      </c>
      <c r="D5" s="104">
        <f>COUNTIF(bty注册!X:X,B5)</f>
        <v>6</v>
      </c>
      <c r="E5" s="106">
        <f ca="1" t="shared" si="0"/>
        <v>0.0266666666666667</v>
      </c>
      <c r="F5" s="107">
        <f>COUNTIF(bty首充!H:H,B5)</f>
        <v>0</v>
      </c>
      <c r="G5" s="106">
        <f t="shared" si="1"/>
        <v>0</v>
      </c>
      <c r="H5" s="108">
        <f ca="1">C5-SUMIFS(历史数据!$C:$C,历史数据!$A:$A,$A$3-1,历史数据!$B:$B,$B5)</f>
        <v>-62</v>
      </c>
      <c r="I5" s="108">
        <f ca="1">C5-(SUMIFS(历史数据!$C:$C,历史数据!$A:$A,$A$3-1,历史数据!$B:$B,$B5)+SUMIFS(历史数据!$C:$C,历史数据!$A:$A,$A$3-2,历史数据!$B:$B,$B5)+SUMIFS(历史数据!$C:$C,历史数据!$A:$A,$A$3-3,历史数据!$B:$B,$B5))/3</f>
        <v>-59</v>
      </c>
      <c r="J5" s="108">
        <f ca="1">C5-(SUMIFS(历史数据!$C:$C,历史数据!$A:$A,$A$3-1,历史数据!$B:$B,$B5)+SUMIFS(历史数据!$C:$C,历史数据!$A:$A,$A$3-2,历史数据!$B:$B,$B5)+SUMIFS(历史数据!$C:$C,历史数据!$A:$A,$A$3-3,历史数据!$B:$B,$B5)+SUMIFS(历史数据!$C:$C,历史数据!$A:$A,$A$3-4,历史数据!$B:$B,$B5)+SUMIFS(历史数据!$C:$C,历史数据!$A:$A,$A$3-5,历史数据!$B:$B,$B5))/5</f>
        <v>-51.6</v>
      </c>
      <c r="K5" s="108">
        <f ca="1">C5-(SUMIFS(历史数据!$C:$C,历史数据!$A:$A,$A$3-1,历史数据!$B:$B,$B5)+SUMIFS(历史数据!$C:$C,历史数据!$A:$A,$A$3-2,历史数据!$B:$B,$B5)+SUMIFS(历史数据!$C:$C,历史数据!$A:$A,$A$3-3,历史数据!$B:$B,$B5)+SUMIFS(历史数据!$C:$C,历史数据!$A:$A,$A$3-4,历史数据!$B:$B,$B5)+SUMIFS(历史数据!$C:$C,历史数据!$A:$A,$A$3-5,历史数据!$B:$B,$B5)+SUMIFS(历史数据!$C:$C,历史数据!$A:$A,$A$3-6,历史数据!$B:$B,$B5)+SUMIFS(历史数据!$C:$C,历史数据!$A:$A,$A$3-7,历史数据!$B:$B,$B5))/7</f>
        <v>-14.4285714285714</v>
      </c>
      <c r="L5" s="108">
        <f ca="1">D5-SUMIFS(历史数据!$E:$E,历史数据!$A:$A,$A$3-1,历史数据!$B:$B,$B5)</f>
        <v>-2</v>
      </c>
      <c r="M5" s="108">
        <f ca="1">D5-(SUMIFS(历史数据!$E:$E,历史数据!$A:$A,$A$3-1,历史数据!$B:$B,$B5)+SUMIFS(历史数据!$E:$E,历史数据!$A:$A,$A$3-2,历史数据!$B:$B,$B5)+SUMIFS(历史数据!$E:$E,历史数据!$A:$A,$A$3-3,历史数据!$B:$B,$B5))/3</f>
        <v>0.666666666666667</v>
      </c>
      <c r="N5" s="108">
        <f ca="1">D5-(SUMIFS(历史数据!$E:$E,历史数据!$A:$A,$A$3-1,历史数据!$B:$B,$B5)+SUMIFS(历史数据!$E:$E,历史数据!$A:$A,$A$3-2,历史数据!$B:$B,$B5)+SUMIFS(历史数据!$E:$E,历史数据!$A:$A,$A$3-3,历史数据!$B:$B,$B5)+SUMIFS(历史数据!$E:$E,历史数据!$A:$A,$A$3-4,历史数据!$B:$B,$B5)+SUMIFS(历史数据!$E:$E,历史数据!$A:$A,$A$3-5,历史数据!$B:$B,$B5))/5</f>
        <v>0.6</v>
      </c>
      <c r="O5" s="108">
        <f ca="1">D5-(SUMIFS(历史数据!$E:$E,历史数据!$A:$A,$A$3-1,历史数据!$B:$B,$B5)+SUMIFS(历史数据!$E:$E,历史数据!$A:$A,$A$3-2,历史数据!$B:$B,$B5)+SUMIFS(历史数据!$E:$E,历史数据!$A:$A,$A$3-3,历史数据!$B:$B,$B5)+SUMIFS(历史数据!$E:$E,历史数据!$A:$A,$A$3-4,历史数据!$B:$B,$B5)+SUMIFS(历史数据!$E:$E,历史数据!$A:$A,$A$3-5,历史数据!$B:$B,$B5)+SUMIFS(历史数据!$E:$E,历史数据!$A:$A,$A$3-6,历史数据!$B:$B,$B5)+SUMIFS(历史数据!$E:$E,历史数据!$A:$A,$A$3-7,历史数据!$B:$B,$B5))/7</f>
        <v>1.42857142857143</v>
      </c>
      <c r="P5" s="108">
        <f ca="1">F5-SUMIFS(历史数据!$G:$G,历史数据!$A:$A,$A$3-1,历史数据!$B:$B,$B5)</f>
        <v>-3</v>
      </c>
      <c r="Q5" s="108">
        <f ca="1">F5-(SUMIFS(历史数据!$G:$G,历史数据!$A:$A,$A$3-1,历史数据!$B:$B,$B5)+SUMIFS(历史数据!$G:$G,历史数据!$A:$A,$A$3-2,历史数据!$B:$B,$B5)+SUMIFS(历史数据!$G:$G,历史数据!$A:$A,$A$3-3,历史数据!$B:$B,$B5))/3</f>
        <v>-3.33333333333333</v>
      </c>
      <c r="R5" s="108">
        <f ca="1">F5-(SUMIFS(历史数据!$G:$G,历史数据!$A:$A,$A$3-1,历史数据!$B:$B,$B5)+SUMIFS(历史数据!$G:$G,历史数据!$A:$A,$A$3-2,历史数据!$B:$B,$B5)+SUMIFS(历史数据!$G:$G,历史数据!$A:$A,$A$3-3,历史数据!$B:$B,$B5)+SUMIFS(历史数据!$G:$G,历史数据!$A:$A,$A$3-4,历史数据!$B:$B,$B5)+SUMIFS(历史数据!$G:$G,历史数据!$A:$A,$A$3-5,历史数据!$B:$B,$B5))/5</f>
        <v>-2.4</v>
      </c>
      <c r="S5" s="108">
        <f ca="1">F5-(SUMIFS(历史数据!$G:$G,历史数据!$A:$A,$A$3-1,历史数据!$B:$B,$B5)+SUMIFS(历史数据!$G:$G,历史数据!$A:$A,$A$3-2,历史数据!$B:$B,$B5)+SUMIFS(历史数据!$G:$G,历史数据!$A:$A,$A$3-3,历史数据!$B:$B,$B5)+SUMIFS(历史数据!$G:$G,历史数据!$A:$A,$A$3-4,历史数据!$B:$B,$B5)+SUMIFS(历史数据!$G:$G,历史数据!$A:$A,$A$3-5,历史数据!$B:$B,$B5)+SUMIFS(历史数据!$G:$G,历史数据!$A:$A,$A$3-6,历史数据!$B:$B,$B5)+SUMIFS(历史数据!$G:$G,历史数据!$A:$A,$A$3-7,历史数据!$B:$B,$B5))/7</f>
        <v>-2.42857142857143</v>
      </c>
    </row>
    <row r="6" spans="1:19">
      <c r="A6" s="109"/>
      <c r="B6" s="104" t="s">
        <v>22</v>
      </c>
      <c r="C6" s="105">
        <f ca="1">SUMIFS(IP监控表!C:C,IP监控表!B:B,"接收IP数",IP监控表!A:A,B6)</f>
        <v>1072</v>
      </c>
      <c r="D6" s="104">
        <f>COUNTIF(bty注册!X:X,B6)</f>
        <v>78</v>
      </c>
      <c r="E6" s="106">
        <f ca="1" t="shared" si="0"/>
        <v>0.0727611940298507</v>
      </c>
      <c r="F6" s="107">
        <f>COUNTIF(bty首充!H:H,B6)</f>
        <v>24</v>
      </c>
      <c r="G6" s="106">
        <f t="shared" si="1"/>
        <v>0.307692307692308</v>
      </c>
      <c r="H6" s="108">
        <f ca="1">C6-SUMIFS(历史数据!$C:$C,历史数据!$A:$A,$A$3-1,历史数据!$B:$B,$B6)</f>
        <v>-2180</v>
      </c>
      <c r="I6" s="108">
        <f ca="1">C6-(SUMIFS(历史数据!$C:$C,历史数据!$A:$A,$A$3-1,历史数据!$B:$B,$B6)+SUMIFS(历史数据!$C:$C,历史数据!$A:$A,$A$3-2,历史数据!$B:$B,$B6)+SUMIFS(历史数据!$C:$C,历史数据!$A:$A,$A$3-3,历史数据!$B:$B,$B6))/3</f>
        <v>-2079.33333333333</v>
      </c>
      <c r="J6" s="108">
        <f ca="1">C6-(SUMIFS(历史数据!$C:$C,历史数据!$A:$A,$A$3-1,历史数据!$B:$B,$B6)+SUMIFS(历史数据!$C:$C,历史数据!$A:$A,$A$3-2,历史数据!$B:$B,$B6)+SUMIFS(历史数据!$C:$C,历史数据!$A:$A,$A$3-3,历史数据!$B:$B,$B6)+SUMIFS(历史数据!$C:$C,历史数据!$A:$A,$A$3-4,历史数据!$B:$B,$B6)+SUMIFS(历史数据!$C:$C,历史数据!$A:$A,$A$3-5,历史数据!$B:$B,$B6))/5</f>
        <v>-1856.8</v>
      </c>
      <c r="K6" s="108">
        <f ca="1">C6-(SUMIFS(历史数据!$C:$C,历史数据!$A:$A,$A$3-1,历史数据!$B:$B,$B6)+SUMIFS(历史数据!$C:$C,历史数据!$A:$A,$A$3-2,历史数据!$B:$B,$B6)+SUMIFS(历史数据!$C:$C,历史数据!$A:$A,$A$3-3,历史数据!$B:$B,$B6)+SUMIFS(历史数据!$C:$C,历史数据!$A:$A,$A$3-4,历史数据!$B:$B,$B6)+SUMIFS(历史数据!$C:$C,历史数据!$A:$A,$A$3-5,历史数据!$B:$B,$B6)+SUMIFS(历史数据!$C:$C,历史数据!$A:$A,$A$3-6,历史数据!$B:$B,$B6)+SUMIFS(历史数据!$C:$C,历史数据!$A:$A,$A$3-7,历史数据!$B:$B,$B6))/7</f>
        <v>-1260.14285714286</v>
      </c>
      <c r="L6" s="108">
        <f ca="1">D6-SUMIFS(历史数据!$E:$E,历史数据!$A:$A,$A$3-1,历史数据!$B:$B,$B6)</f>
        <v>-5</v>
      </c>
      <c r="M6" s="108">
        <f ca="1">D6-(SUMIFS(历史数据!$E:$E,历史数据!$A:$A,$A$3-1,历史数据!$B:$B,$B6)+SUMIFS(历史数据!$E:$E,历史数据!$A:$A,$A$3-2,历史数据!$B:$B,$B6)+SUMIFS(历史数据!$E:$E,历史数据!$A:$A,$A$3-3,历史数据!$B:$B,$B6))/3</f>
        <v>17.6666666666667</v>
      </c>
      <c r="N6" s="108">
        <f ca="1">D6-(SUMIFS(历史数据!$E:$E,历史数据!$A:$A,$A$3-1,历史数据!$B:$B,$B6)+SUMIFS(历史数据!$E:$E,历史数据!$A:$A,$A$3-2,历史数据!$B:$B,$B6)+SUMIFS(历史数据!$E:$E,历史数据!$A:$A,$A$3-3,历史数据!$B:$B,$B6)+SUMIFS(历史数据!$E:$E,历史数据!$A:$A,$A$3-4,历史数据!$B:$B,$B6)+SUMIFS(历史数据!$E:$E,历史数据!$A:$A,$A$3-5,历史数据!$B:$B,$B6))/5</f>
        <v>26</v>
      </c>
      <c r="O6" s="115">
        <f ca="1">D6-(SUMIFS(历史数据!$E:$E,历史数据!$A:$A,$A$3-1,历史数据!$B:$B,$B6)+SUMIFS(历史数据!$E:$E,历史数据!$A:$A,$A$3-2,历史数据!$B:$B,$B6)+SUMIFS(历史数据!$E:$E,历史数据!$A:$A,$A$3-3,历史数据!$B:$B,$B6)+SUMIFS(历史数据!$E:$E,历史数据!$A:$A,$A$3-4,历史数据!$B:$B,$B6)+SUMIFS(历史数据!$E:$E,历史数据!$A:$A,$A$3-5,历史数据!$B:$B,$B6)+SUMIFS(历史数据!$E:$E,历史数据!$A:$A,$A$3-6,历史数据!$B:$B,$B6)+SUMIFS(历史数据!$E:$E,历史数据!$A:$A,$A$3-7,历史数据!$B:$B,$B6))/7</f>
        <v>35.8571428571429</v>
      </c>
      <c r="P6" s="108">
        <f ca="1">F6-SUMIFS(历史数据!$G:$G,历史数据!$A:$A,$A$3-1,历史数据!$B:$B,$B6)</f>
        <v>3</v>
      </c>
      <c r="Q6" s="108">
        <f ca="1">F6-(SUMIFS(历史数据!$G:$G,历史数据!$A:$A,$A$3-1,历史数据!$B:$B,$B6)+SUMIFS(历史数据!$G:$G,历史数据!$A:$A,$A$3-2,历史数据!$B:$B,$B6)+SUMIFS(历史数据!$G:$G,历史数据!$A:$A,$A$3-3,历史数据!$B:$B,$B6))/3</f>
        <v>6.33333333333333</v>
      </c>
      <c r="R6" s="108">
        <f ca="1">F6-(SUMIFS(历史数据!$G:$G,历史数据!$A:$A,$A$3-1,历史数据!$B:$B,$B6)+SUMIFS(历史数据!$G:$G,历史数据!$A:$A,$A$3-2,历史数据!$B:$B,$B6)+SUMIFS(历史数据!$G:$G,历史数据!$A:$A,$A$3-3,历史数据!$B:$B,$B6)+SUMIFS(历史数据!$G:$G,历史数据!$A:$A,$A$3-4,历史数据!$B:$B,$B6)+SUMIFS(历史数据!$G:$G,历史数据!$A:$A,$A$3-5,历史数据!$B:$B,$B6))/5</f>
        <v>8.6</v>
      </c>
      <c r="S6" s="117">
        <f ca="1">F6-(SUMIFS(历史数据!$G:$G,历史数据!$A:$A,$A$3-1,历史数据!$B:$B,$B6)+SUMIFS(历史数据!$G:$G,历史数据!$A:$A,$A$3-2,历史数据!$B:$B,$B6)+SUMIFS(历史数据!$G:$G,历史数据!$A:$A,$A$3-3,历史数据!$B:$B,$B6)+SUMIFS(历史数据!$G:$G,历史数据!$A:$A,$A$3-4,历史数据!$B:$B,$B6)+SUMIFS(历史数据!$G:$G,历史数据!$A:$A,$A$3-5,历史数据!$B:$B,$B6)+SUMIFS(历史数据!$G:$G,历史数据!$A:$A,$A$3-6,历史数据!$B:$B,$B6)+SUMIFS(历史数据!$G:$G,历史数据!$A:$A,$A$3-7,历史数据!$B:$B,$B6))/7</f>
        <v>12</v>
      </c>
    </row>
    <row r="7" spans="1:19">
      <c r="A7" s="109"/>
      <c r="B7" s="104" t="s">
        <v>23</v>
      </c>
      <c r="C7" s="105">
        <f ca="1">SUMIFS(IP监控表!C:C,IP监控表!B:B,"接收IP数",IP监控表!A:A,B7)</f>
        <v>329</v>
      </c>
      <c r="D7" s="104">
        <f>COUNTIF(bty注册!X:X,B7)</f>
        <v>19</v>
      </c>
      <c r="E7" s="106">
        <f ca="1" t="shared" si="0"/>
        <v>0.0577507598784195</v>
      </c>
      <c r="F7" s="107">
        <f>COUNTIF(bty首充!H:H,B7)</f>
        <v>8</v>
      </c>
      <c r="G7" s="106">
        <f t="shared" si="1"/>
        <v>0.421052631578947</v>
      </c>
      <c r="H7" s="108">
        <f ca="1">C7-SUMIFS(历史数据!$C:$C,历史数据!$A:$A,$A$3-1,历史数据!$B:$B,$B7)</f>
        <v>-4367</v>
      </c>
      <c r="I7" s="108">
        <f ca="1">C7-(SUMIFS(历史数据!$C:$C,历史数据!$A:$A,$A$3-1,历史数据!$B:$B,$B7)+SUMIFS(历史数据!$C:$C,历史数据!$A:$A,$A$3-2,历史数据!$B:$B,$B7)+SUMIFS(历史数据!$C:$C,历史数据!$A:$A,$A$3-3,历史数据!$B:$B,$B7))/3</f>
        <v>-4092.33333333333</v>
      </c>
      <c r="J7" s="108">
        <f ca="1">C7-(SUMIFS(历史数据!$C:$C,历史数据!$A:$A,$A$3-1,历史数据!$B:$B,$B7)+SUMIFS(历史数据!$C:$C,历史数据!$A:$A,$A$3-2,历史数据!$B:$B,$B7)+SUMIFS(历史数据!$C:$C,历史数据!$A:$A,$A$3-3,历史数据!$B:$B,$B7)+SUMIFS(历史数据!$C:$C,历史数据!$A:$A,$A$3-4,历史数据!$B:$B,$B7)+SUMIFS(历史数据!$C:$C,历史数据!$A:$A,$A$3-5,历史数据!$B:$B,$B7))/5</f>
        <v>-3924.8</v>
      </c>
      <c r="K7" s="108">
        <f ca="1">C7-(SUMIFS(历史数据!$C:$C,历史数据!$A:$A,$A$3-1,历史数据!$B:$B,$B7)+SUMIFS(历史数据!$C:$C,历史数据!$A:$A,$A$3-2,历史数据!$B:$B,$B7)+SUMIFS(历史数据!$C:$C,历史数据!$A:$A,$A$3-3,历史数据!$B:$B,$B7)+SUMIFS(历史数据!$C:$C,历史数据!$A:$A,$A$3-4,历史数据!$B:$B,$B7)+SUMIFS(历史数据!$C:$C,历史数据!$A:$A,$A$3-5,历史数据!$B:$B,$B7)+SUMIFS(历史数据!$C:$C,历史数据!$A:$A,$A$3-6,历史数据!$B:$B,$B7)+SUMIFS(历史数据!$C:$C,历史数据!$A:$A,$A$3-7,历史数据!$B:$B,$B7))/7</f>
        <v>-3219.85714285714</v>
      </c>
      <c r="L7" s="108">
        <f ca="1">D7-SUMIFS(历史数据!$E:$E,历史数据!$A:$A,$A$3-1,历史数据!$B:$B,$B7)</f>
        <v>9</v>
      </c>
      <c r="M7" s="108">
        <f ca="1">D7-(SUMIFS(历史数据!$E:$E,历史数据!$A:$A,$A$3-1,历史数据!$B:$B,$B7)+SUMIFS(历史数据!$E:$E,历史数据!$A:$A,$A$3-2,历史数据!$B:$B,$B7)+SUMIFS(历史数据!$E:$E,历史数据!$A:$A,$A$3-3,历史数据!$B:$B,$B7))/3</f>
        <v>11.3333333333333</v>
      </c>
      <c r="N7" s="108">
        <f ca="1">D7-(SUMIFS(历史数据!$E:$E,历史数据!$A:$A,$A$3-1,历史数据!$B:$B,$B7)+SUMIFS(历史数据!$E:$E,历史数据!$A:$A,$A$3-2,历史数据!$B:$B,$B7)+SUMIFS(历史数据!$E:$E,历史数据!$A:$A,$A$3-3,历史数据!$B:$B,$B7)+SUMIFS(历史数据!$E:$E,历史数据!$A:$A,$A$3-4,历史数据!$B:$B,$B7)+SUMIFS(历史数据!$E:$E,历史数据!$A:$A,$A$3-5,历史数据!$B:$B,$B7))/5</f>
        <v>11.2</v>
      </c>
      <c r="O7" s="108">
        <f ca="1">D7-(SUMIFS(历史数据!$E:$E,历史数据!$A:$A,$A$3-1,历史数据!$B:$B,$B7)+SUMIFS(历史数据!$E:$E,历史数据!$A:$A,$A$3-2,历史数据!$B:$B,$B7)+SUMIFS(历史数据!$E:$E,历史数据!$A:$A,$A$3-3,历史数据!$B:$B,$B7)+SUMIFS(历史数据!$E:$E,历史数据!$A:$A,$A$3-4,历史数据!$B:$B,$B7)+SUMIFS(历史数据!$E:$E,历史数据!$A:$A,$A$3-5,历史数据!$B:$B,$B7)+SUMIFS(历史数据!$E:$E,历史数据!$A:$A,$A$3-6,历史数据!$B:$B,$B7)+SUMIFS(历史数据!$E:$E,历史数据!$A:$A,$A$3-7,历史数据!$B:$B,$B7))/7</f>
        <v>12.7142857142857</v>
      </c>
      <c r="P7" s="108">
        <f ca="1">F7-SUMIFS(历史数据!$G:$G,历史数据!$A:$A,$A$3-1,历史数据!$B:$B,$B7)</f>
        <v>1</v>
      </c>
      <c r="Q7" s="116">
        <f ca="1">F7-(SUMIFS(历史数据!$G:$G,历史数据!$A:$A,$A$3-1,历史数据!$B:$B,$B7)+SUMIFS(历史数据!$G:$G,历史数据!$A:$A,$A$3-2,历史数据!$B:$B,$B7)+SUMIFS(历史数据!$G:$G,历史数据!$A:$A,$A$3-3,历史数据!$B:$B,$B7))/3</f>
        <v>3</v>
      </c>
      <c r="R7" s="108">
        <f ca="1">F7-(SUMIFS(历史数据!$G:$G,历史数据!$A:$A,$A$3-1,历史数据!$B:$B,$B7)+SUMIFS(历史数据!$G:$G,历史数据!$A:$A,$A$3-2,历史数据!$B:$B,$B7)+SUMIFS(历史数据!$G:$G,历史数据!$A:$A,$A$3-3,历史数据!$B:$B,$B7)+SUMIFS(历史数据!$G:$G,历史数据!$A:$A,$A$3-4,历史数据!$B:$B,$B7)+SUMIFS(历史数据!$G:$G,历史数据!$A:$A,$A$3-5,历史数据!$B:$B,$B7))/5</f>
        <v>4</v>
      </c>
      <c r="S7" s="108">
        <f ca="1">F7-(SUMIFS(历史数据!$G:$G,历史数据!$A:$A,$A$3-1,历史数据!$B:$B,$B7)+SUMIFS(历史数据!$G:$G,历史数据!$A:$A,$A$3-2,历史数据!$B:$B,$B7)+SUMIFS(历史数据!$G:$G,历史数据!$A:$A,$A$3-3,历史数据!$B:$B,$B7)+SUMIFS(历史数据!$G:$G,历史数据!$A:$A,$A$3-4,历史数据!$B:$B,$B7)+SUMIFS(历史数据!$G:$G,历史数据!$A:$A,$A$3-5,历史数据!$B:$B,$B7)+SUMIFS(历史数据!$G:$G,历史数据!$A:$A,$A$3-6,历史数据!$B:$B,$B7)+SUMIFS(历史数据!$G:$G,历史数据!$A:$A,$A$3-7,历史数据!$B:$B,$B7))/7</f>
        <v>4.85714285714286</v>
      </c>
    </row>
    <row r="8" spans="1:19">
      <c r="A8" s="109"/>
      <c r="B8" s="104" t="s">
        <v>24</v>
      </c>
      <c r="C8" s="105">
        <f ca="1">SUMIFS(IP监控表!C:C,IP监控表!B:B,"接收IP数",IP监控表!A:A,B8)</f>
        <v>0</v>
      </c>
      <c r="D8" s="104">
        <f>COUNTIF(bty注册!X:X,B8)</f>
        <v>14</v>
      </c>
      <c r="E8" s="106">
        <f ca="1" t="shared" si="0"/>
        <v>14</v>
      </c>
      <c r="F8" s="107">
        <f>COUNTIF(bty首充!H:H,B8)</f>
        <v>5</v>
      </c>
      <c r="G8" s="106">
        <f t="shared" si="1"/>
        <v>0.357142857142857</v>
      </c>
      <c r="H8" s="108">
        <f ca="1">C8-SUMIFS(历史数据!$C:$C,历史数据!$A:$A,$A$3-1,历史数据!$B:$B,$B8)</f>
        <v>-125</v>
      </c>
      <c r="I8" s="108">
        <f ca="1">C8-(SUMIFS(历史数据!$C:$C,历史数据!$A:$A,$A$3-1,历史数据!$B:$B,$B8)+SUMIFS(历史数据!$C:$C,历史数据!$A:$A,$A$3-2,历史数据!$B:$B,$B8)+SUMIFS(历史数据!$C:$C,历史数据!$A:$A,$A$3-3,历史数据!$B:$B,$B8))/3</f>
        <v>-170.333333333333</v>
      </c>
      <c r="J8" s="108">
        <f ca="1">C8-(SUMIFS(历史数据!$C:$C,历史数据!$A:$A,$A$3-1,历史数据!$B:$B,$B8)+SUMIFS(历史数据!$C:$C,历史数据!$A:$A,$A$3-2,历史数据!$B:$B,$B8)+SUMIFS(历史数据!$C:$C,历史数据!$A:$A,$A$3-3,历史数据!$B:$B,$B8)+SUMIFS(历史数据!$C:$C,历史数据!$A:$A,$A$3-4,历史数据!$B:$B,$B8)+SUMIFS(历史数据!$C:$C,历史数据!$A:$A,$A$3-5,历史数据!$B:$B,$B8))/5</f>
        <v>-527</v>
      </c>
      <c r="K8" s="108">
        <f ca="1">C8-(SUMIFS(历史数据!$C:$C,历史数据!$A:$A,$A$3-1,历史数据!$B:$B,$B8)+SUMIFS(历史数据!$C:$C,历史数据!$A:$A,$A$3-2,历史数据!$B:$B,$B8)+SUMIFS(历史数据!$C:$C,历史数据!$A:$A,$A$3-3,历史数据!$B:$B,$B8)+SUMIFS(历史数据!$C:$C,历史数据!$A:$A,$A$3-4,历史数据!$B:$B,$B8)+SUMIFS(历史数据!$C:$C,历史数据!$A:$A,$A$3-5,历史数据!$B:$B,$B8)+SUMIFS(历史数据!$C:$C,历史数据!$A:$A,$A$3-6,历史数据!$B:$B,$B8)+SUMIFS(历史数据!$C:$C,历史数据!$A:$A,$A$3-7,历史数据!$B:$B,$B8))/7</f>
        <v>-534.285714285714</v>
      </c>
      <c r="L8" s="115">
        <f ca="1">D8-SUMIFS(历史数据!$E:$E,历史数据!$A:$A,$A$3-1,历史数据!$B:$B,$B8)</f>
        <v>6</v>
      </c>
      <c r="M8" s="115">
        <f ca="1">D8-(SUMIFS(历史数据!$E:$E,历史数据!$A:$A,$A$3-1,历史数据!$B:$B,$B8)+SUMIFS(历史数据!$E:$E,历史数据!$A:$A,$A$3-2,历史数据!$B:$B,$B8)+SUMIFS(历史数据!$E:$E,历史数据!$A:$A,$A$3-3,历史数据!$B:$B,$B8))/3</f>
        <v>2.33333333333333</v>
      </c>
      <c r="N8" s="115">
        <f ca="1">D8-(SUMIFS(历史数据!$E:$E,历史数据!$A:$A,$A$3-1,历史数据!$B:$B,$B8)+SUMIFS(历史数据!$E:$E,历史数据!$A:$A,$A$3-2,历史数据!$B:$B,$B8)+SUMIFS(历史数据!$E:$E,历史数据!$A:$A,$A$3-3,历史数据!$B:$B,$B8)+SUMIFS(历史数据!$E:$E,历史数据!$A:$A,$A$3-4,历史数据!$B:$B,$B8)+SUMIFS(历史数据!$E:$E,历史数据!$A:$A,$A$3-5,历史数据!$B:$B,$B8))/5</f>
        <v>-1.4</v>
      </c>
      <c r="O8" s="115">
        <f ca="1">D8-(SUMIFS(历史数据!$E:$E,历史数据!$A:$A,$A$3-1,历史数据!$B:$B,$B8)+SUMIFS(历史数据!$E:$E,历史数据!$A:$A,$A$3-2,历史数据!$B:$B,$B8)+SUMIFS(历史数据!$E:$E,历史数据!$A:$A,$A$3-3,历史数据!$B:$B,$B8)+SUMIFS(历史数据!$E:$E,历史数据!$A:$A,$A$3-4,历史数据!$B:$B,$B8)+SUMIFS(历史数据!$E:$E,历史数据!$A:$A,$A$3-5,历史数据!$B:$B,$B8)+SUMIFS(历史数据!$E:$E,历史数据!$A:$A,$A$3-6,历史数据!$B:$B,$B8)+SUMIFS(历史数据!$E:$E,历史数据!$A:$A,$A$3-7,历史数据!$B:$B,$B8))/7</f>
        <v>-0.285714285714286</v>
      </c>
      <c r="P8" s="115">
        <f ca="1">F8-SUMIFS(历史数据!$G:$G,历史数据!$A:$A,$A$3-1,历史数据!$B:$B,$B8)</f>
        <v>1</v>
      </c>
      <c r="Q8" s="115">
        <f ca="1">F8-(SUMIFS(历史数据!$G:$G,历史数据!$A:$A,$A$3-1,历史数据!$B:$B,$B8)+SUMIFS(历史数据!$G:$G,历史数据!$A:$A,$A$3-2,历史数据!$B:$B,$B8)+SUMIFS(历史数据!$G:$G,历史数据!$A:$A,$A$3-3,历史数据!$B:$B,$B8))/3</f>
        <v>-1</v>
      </c>
      <c r="R8" s="115">
        <f ca="1">F8-(SUMIFS(历史数据!$G:$G,历史数据!$A:$A,$A$3-1,历史数据!$B:$B,$B8)+SUMIFS(历史数据!$G:$G,历史数据!$A:$A,$A$3-2,历史数据!$B:$B,$B8)+SUMIFS(历史数据!$G:$G,历史数据!$A:$A,$A$3-3,历史数据!$B:$B,$B8)+SUMIFS(历史数据!$G:$G,历史数据!$A:$A,$A$3-4,历史数据!$B:$B,$B8)+SUMIFS(历史数据!$G:$G,历史数据!$A:$A,$A$3-5,历史数据!$B:$B,$B8))/5</f>
        <v>-2.4</v>
      </c>
      <c r="S8" s="115">
        <f ca="1">F8-(SUMIFS(历史数据!$G:$G,历史数据!$A:$A,$A$3-1,历史数据!$B:$B,$B8)+SUMIFS(历史数据!$G:$G,历史数据!$A:$A,$A$3-2,历史数据!$B:$B,$B8)+SUMIFS(历史数据!$G:$G,历史数据!$A:$A,$A$3-3,历史数据!$B:$B,$B8)+SUMIFS(历史数据!$G:$G,历史数据!$A:$A,$A$3-4,历史数据!$B:$B,$B8)+SUMIFS(历史数据!$G:$G,历史数据!$A:$A,$A$3-5,历史数据!$B:$B,$B8)+SUMIFS(历史数据!$G:$G,历史数据!$A:$A,$A$3-6,历史数据!$B:$B,$B8)+SUMIFS(历史数据!$G:$G,历史数据!$A:$A,$A$3-7,历史数据!$B:$B,$B8))/7</f>
        <v>-1</v>
      </c>
    </row>
    <row r="9" spans="1:19">
      <c r="A9" s="109"/>
      <c r="B9" s="104" t="s">
        <v>25</v>
      </c>
      <c r="C9" s="105">
        <f ca="1">SUMIFS(IP监控表!C:C,IP监控表!B:B,"接收IP数",IP监控表!A:A,B9)</f>
        <v>562</v>
      </c>
      <c r="D9" s="104">
        <f>COUNTIF(bty注册!X:X,B9)</f>
        <v>37</v>
      </c>
      <c r="E9" s="106">
        <f ca="1" t="shared" si="0"/>
        <v>0.0658362989323843</v>
      </c>
      <c r="F9" s="107">
        <f>COUNTIF(bty首充!H:H,B9)</f>
        <v>13</v>
      </c>
      <c r="G9" s="106">
        <f t="shared" si="1"/>
        <v>0.351351351351351</v>
      </c>
      <c r="H9" s="108">
        <f ca="1">C9-SUMIFS(历史数据!$C:$C,历史数据!$A:$A,$A$3-1,历史数据!$B:$B,$B9)</f>
        <v>-9122</v>
      </c>
      <c r="I9" s="108">
        <f ca="1">C9-(SUMIFS(历史数据!$C:$C,历史数据!$A:$A,$A$3-1,历史数据!$B:$B,$B9)+SUMIFS(历史数据!$C:$C,历史数据!$A:$A,$A$3-2,历史数据!$B:$B,$B9)+SUMIFS(历史数据!$C:$C,历史数据!$A:$A,$A$3-3,历史数据!$B:$B,$B9))/3</f>
        <v>-8723</v>
      </c>
      <c r="J9" s="108">
        <f ca="1">C9-(SUMIFS(历史数据!$C:$C,历史数据!$A:$A,$A$3-1,历史数据!$B:$B,$B9)+SUMIFS(历史数据!$C:$C,历史数据!$A:$A,$A$3-2,历史数据!$B:$B,$B9)+SUMIFS(历史数据!$C:$C,历史数据!$A:$A,$A$3-3,历史数据!$B:$B,$B9)+SUMIFS(历史数据!$C:$C,历史数据!$A:$A,$A$3-4,历史数据!$B:$B,$B9)+SUMIFS(历史数据!$C:$C,历史数据!$A:$A,$A$3-5,历史数据!$B:$B,$B9))/5</f>
        <v>-8606.6</v>
      </c>
      <c r="K9" s="108">
        <f ca="1">C9-(SUMIFS(历史数据!$C:$C,历史数据!$A:$A,$A$3-1,历史数据!$B:$B,$B9)+SUMIFS(历史数据!$C:$C,历史数据!$A:$A,$A$3-2,历史数据!$B:$B,$B9)+SUMIFS(历史数据!$C:$C,历史数据!$A:$A,$A$3-3,历史数据!$B:$B,$B9)+SUMIFS(历史数据!$C:$C,历史数据!$A:$A,$A$3-4,历史数据!$B:$B,$B9)+SUMIFS(历史数据!$C:$C,历史数据!$A:$A,$A$3-5,历史数据!$B:$B,$B9)+SUMIFS(历史数据!$C:$C,历史数据!$A:$A,$A$3-6,历史数据!$B:$B,$B9)+SUMIFS(历史数据!$C:$C,历史数据!$A:$A,$A$3-7,历史数据!$B:$B,$B9))/7</f>
        <v>-6484.71428571429</v>
      </c>
      <c r="L9" s="116">
        <f ca="1">D9-SUMIFS(历史数据!$E:$E,历史数据!$A:$A,$A$3-1,历史数据!$B:$B,$B9)</f>
        <v>-12</v>
      </c>
      <c r="M9" s="115">
        <f ca="1">D9-(SUMIFS(历史数据!$E:$E,历史数据!$A:$A,$A$3-1,历史数据!$B:$B,$B9)+SUMIFS(历史数据!$E:$E,历史数据!$A:$A,$A$3-2,历史数据!$B:$B,$B9)+SUMIFS(历史数据!$E:$E,历史数据!$A:$A,$A$3-3,历史数据!$B:$B,$B9))/3</f>
        <v>-5.66666666666666</v>
      </c>
      <c r="N9" s="115">
        <f ca="1">D9-(SUMIFS(历史数据!$E:$E,历史数据!$A:$A,$A$3-1,历史数据!$B:$B,$B9)+SUMIFS(历史数据!$E:$E,历史数据!$A:$A,$A$3-2,历史数据!$B:$B,$B9)+SUMIFS(历史数据!$E:$E,历史数据!$A:$A,$A$3-3,历史数据!$B:$B,$B9)+SUMIFS(历史数据!$E:$E,历史数据!$A:$A,$A$3-4,历史数据!$B:$B,$B9)+SUMIFS(历史数据!$E:$E,历史数据!$A:$A,$A$3-5,历史数据!$B:$B,$B9))/5</f>
        <v>-5</v>
      </c>
      <c r="O9" s="115">
        <f ca="1">D9-(SUMIFS(历史数据!$E:$E,历史数据!$A:$A,$A$3-1,历史数据!$B:$B,$B9)+SUMIFS(历史数据!$E:$E,历史数据!$A:$A,$A$3-2,历史数据!$B:$B,$B9)+SUMIFS(历史数据!$E:$E,历史数据!$A:$A,$A$3-3,历史数据!$B:$B,$B9)+SUMIFS(历史数据!$E:$E,历史数据!$A:$A,$A$3-4,历史数据!$B:$B,$B9)+SUMIFS(历史数据!$E:$E,历史数据!$A:$A,$A$3-5,历史数据!$B:$B,$B9)+SUMIFS(历史数据!$E:$E,历史数据!$A:$A,$A$3-6,历史数据!$B:$B,$B9)+SUMIFS(历史数据!$E:$E,历史数据!$A:$A,$A$3-7,历史数据!$B:$B,$B9))/7</f>
        <v>2.28571428571428</v>
      </c>
      <c r="P9" s="108">
        <f ca="1">F9-SUMIFS(历史数据!$G:$G,历史数据!$A:$A,$A$3-1,历史数据!$B:$B,$B9)</f>
        <v>-7</v>
      </c>
      <c r="Q9" s="108">
        <f ca="1">F9-(SUMIFS(历史数据!$G:$G,历史数据!$A:$A,$A$3-1,历史数据!$B:$B,$B9)+SUMIFS(历史数据!$G:$G,历史数据!$A:$A,$A$3-2,历史数据!$B:$B,$B9)+SUMIFS(历史数据!$G:$G,历史数据!$A:$A,$A$3-3,历史数据!$B:$B,$B9))/3</f>
        <v>-4.33333333333333</v>
      </c>
      <c r="R9" s="108">
        <f ca="1">F9-(SUMIFS(历史数据!$G:$G,历史数据!$A:$A,$A$3-1,历史数据!$B:$B,$B9)+SUMIFS(历史数据!$G:$G,历史数据!$A:$A,$A$3-2,历史数据!$B:$B,$B9)+SUMIFS(历史数据!$G:$G,历史数据!$A:$A,$A$3-3,历史数据!$B:$B,$B9)+SUMIFS(历史数据!$G:$G,历史数据!$A:$A,$A$3-4,历史数据!$B:$B,$B9)+SUMIFS(历史数据!$G:$G,历史数据!$A:$A,$A$3-5,历史数据!$B:$B,$B9))/5</f>
        <v>-1.6</v>
      </c>
      <c r="S9" s="108">
        <f ca="1">F9-(SUMIFS(历史数据!$G:$G,历史数据!$A:$A,$A$3-1,历史数据!$B:$B,$B9)+SUMIFS(历史数据!$G:$G,历史数据!$A:$A,$A$3-2,历史数据!$B:$B,$B9)+SUMIFS(历史数据!$G:$G,历史数据!$A:$A,$A$3-3,历史数据!$B:$B,$B9)+SUMIFS(历史数据!$G:$G,历史数据!$A:$A,$A$3-4,历史数据!$B:$B,$B9)+SUMIFS(历史数据!$G:$G,历史数据!$A:$A,$A$3-5,历史数据!$B:$B,$B9)+SUMIFS(历史数据!$G:$G,历史数据!$A:$A,$A$3-6,历史数据!$B:$B,$B9)+SUMIFS(历史数据!$G:$G,历史数据!$A:$A,$A$3-7,历史数据!$B:$B,$B9))/7</f>
        <v>1</v>
      </c>
    </row>
    <row r="10" spans="1:19">
      <c r="A10" s="109"/>
      <c r="B10" s="104" t="s">
        <v>26</v>
      </c>
      <c r="C10" s="105">
        <f ca="1">SUMIFS(IP监控表!C:C,IP监控表!B:B,"接收IP数",IP监控表!A:A,B10)</f>
        <v>2160</v>
      </c>
      <c r="D10" s="104">
        <f>COUNTIF(bty注册!X:X,B10)</f>
        <v>27</v>
      </c>
      <c r="E10" s="106">
        <f ca="1">D10/C10</f>
        <v>0.0125</v>
      </c>
      <c r="F10" s="107">
        <f>COUNTIF(bty首充!H:H,B10)</f>
        <v>5</v>
      </c>
      <c r="G10" s="106">
        <f t="shared" si="1"/>
        <v>0.185185185185185</v>
      </c>
      <c r="H10" s="108">
        <f ca="1">C10-SUMIFS(历史数据!$C:$C,历史数据!$A:$A,$A$3-1,历史数据!$B:$B,$B10)</f>
        <v>737</v>
      </c>
      <c r="I10" s="108">
        <f ca="1">C10-(SUMIFS(历史数据!$C:$C,历史数据!$A:$A,$A$3-1,历史数据!$B:$B,$B10)+SUMIFS(历史数据!$C:$C,历史数据!$A:$A,$A$3-2,历史数据!$B:$B,$B10)+SUMIFS(历史数据!$C:$C,历史数据!$A:$A,$A$3-3,历史数据!$B:$B,$B10))/3</f>
        <v>741.666666666667</v>
      </c>
      <c r="J10" s="108">
        <f ca="1">C10-(SUMIFS(历史数据!$C:$C,历史数据!$A:$A,$A$3-1,历史数据!$B:$B,$B10)+SUMIFS(历史数据!$C:$C,历史数据!$A:$A,$A$3-2,历史数据!$B:$B,$B10)+SUMIFS(历史数据!$C:$C,历史数据!$A:$A,$A$3-3,历史数据!$B:$B,$B10)+SUMIFS(历史数据!$C:$C,历史数据!$A:$A,$A$3-4,历史数据!$B:$B,$B10)+SUMIFS(历史数据!$C:$C,历史数据!$A:$A,$A$3-5,历史数据!$B:$B,$B10))/5</f>
        <v>684.4</v>
      </c>
      <c r="K10" s="108">
        <f ca="1">C10-(SUMIFS(历史数据!$C:$C,历史数据!$A:$A,$A$3-1,历史数据!$B:$B,$B10)+SUMIFS(历史数据!$C:$C,历史数据!$A:$A,$A$3-2,历史数据!$B:$B,$B10)+SUMIFS(历史数据!$C:$C,历史数据!$A:$A,$A$3-3,历史数据!$B:$B,$B10)+SUMIFS(历史数据!$C:$C,历史数据!$A:$A,$A$3-4,历史数据!$B:$B,$B10)+SUMIFS(历史数据!$C:$C,历史数据!$A:$A,$A$3-5,历史数据!$B:$B,$B10)+SUMIFS(历史数据!$C:$C,历史数据!$A:$A,$A$3-6,历史数据!$B:$B,$B10)+SUMIFS(历史数据!$C:$C,历史数据!$A:$A,$A$3-7,历史数据!$B:$B,$B10))/7</f>
        <v>900.714285714286</v>
      </c>
      <c r="L10" s="108">
        <f ca="1">D10-SUMIFS(历史数据!$E:$E,历史数据!$A:$A,$A$3-1,历史数据!$B:$B,$B10)</f>
        <v>3</v>
      </c>
      <c r="M10" s="108">
        <f ca="1">D10-(SUMIFS(历史数据!$E:$E,历史数据!$A:$A,$A$3-1,历史数据!$B:$B,$B10)+SUMIFS(历史数据!$E:$E,历史数据!$A:$A,$A$3-2,历史数据!$B:$B,$B10)+SUMIFS(历史数据!$E:$E,历史数据!$A:$A,$A$3-3,历史数据!$B:$B,$B10))/3</f>
        <v>-4.66666666666667</v>
      </c>
      <c r="N10" s="108">
        <f ca="1">D10-(SUMIFS(历史数据!$E:$E,历史数据!$A:$A,$A$3-1,历史数据!$B:$B,$B10)+SUMIFS(历史数据!$E:$E,历史数据!$A:$A,$A$3-2,历史数据!$B:$B,$B10)+SUMIFS(历史数据!$E:$E,历史数据!$A:$A,$A$3-3,历史数据!$B:$B,$B10)+SUMIFS(历史数据!$E:$E,历史数据!$A:$A,$A$3-4,历史数据!$B:$B,$B10)+SUMIFS(历史数据!$E:$E,历史数据!$A:$A,$A$3-5,历史数据!$B:$B,$B10))/5</f>
        <v>-4.4</v>
      </c>
      <c r="O10" s="108">
        <f ca="1">D10-(SUMIFS(历史数据!$E:$E,历史数据!$A:$A,$A$3-1,历史数据!$B:$B,$B10)+SUMIFS(历史数据!$E:$E,历史数据!$A:$A,$A$3-2,历史数据!$B:$B,$B10)+SUMIFS(历史数据!$E:$E,历史数据!$A:$A,$A$3-3,历史数据!$B:$B,$B10)+SUMIFS(历史数据!$E:$E,历史数据!$A:$A,$A$3-4,历史数据!$B:$B,$B10)+SUMIFS(历史数据!$E:$E,历史数据!$A:$A,$A$3-5,历史数据!$B:$B,$B10)+SUMIFS(历史数据!$E:$E,历史数据!$A:$A,$A$3-6,历史数据!$B:$B,$B10)+SUMIFS(历史数据!$E:$E,历史数据!$A:$A,$A$3-7,历史数据!$B:$B,$B10))/7</f>
        <v>-0.571428571428573</v>
      </c>
      <c r="P10" s="108">
        <f ca="1">F10-SUMIFS(历史数据!$G:$G,历史数据!$A:$A,$A$3-1,历史数据!$B:$B,$B10)</f>
        <v>-1</v>
      </c>
      <c r="Q10" s="108">
        <f ca="1">F10-(SUMIFS(历史数据!$G:$G,历史数据!$A:$A,$A$3-1,历史数据!$B:$B,$B10)+SUMIFS(历史数据!$G:$G,历史数据!$A:$A,$A$3-2,历史数据!$B:$B,$B10)+SUMIFS(历史数据!$G:$G,历史数据!$A:$A,$A$3-3,历史数据!$B:$B,$B10))/3</f>
        <v>-5.66666666666667</v>
      </c>
      <c r="R10" s="108">
        <f ca="1">F10-(SUMIFS(历史数据!$G:$G,历史数据!$A:$A,$A$3-1,历史数据!$B:$B,$B10)+SUMIFS(历史数据!$G:$G,历史数据!$A:$A,$A$3-2,历史数据!$B:$B,$B10)+SUMIFS(历史数据!$G:$G,历史数据!$A:$A,$A$3-3,历史数据!$B:$B,$B10)+SUMIFS(历史数据!$G:$G,历史数据!$A:$A,$A$3-4,历史数据!$B:$B,$B10)+SUMIFS(历史数据!$G:$G,历史数据!$A:$A,$A$3-5,历史数据!$B:$B,$B10))/5</f>
        <v>-5.8</v>
      </c>
      <c r="S10" s="108">
        <f ca="1">F10-(SUMIFS(历史数据!$G:$G,历史数据!$A:$A,$A$3-1,历史数据!$B:$B,$B10)+SUMIFS(历史数据!$G:$G,历史数据!$A:$A,$A$3-2,历史数据!$B:$B,$B10)+SUMIFS(历史数据!$G:$G,历史数据!$A:$A,$A$3-3,历史数据!$B:$B,$B10)+SUMIFS(历史数据!$G:$G,历史数据!$A:$A,$A$3-4,历史数据!$B:$B,$B10)+SUMIFS(历史数据!$G:$G,历史数据!$A:$A,$A$3-5,历史数据!$B:$B,$B10)+SUMIFS(历史数据!$G:$G,历史数据!$A:$A,$A$3-6,历史数据!$B:$B,$B10)+SUMIFS(历史数据!$G:$G,历史数据!$A:$A,$A$3-7,历史数据!$B:$B,$B10))/7</f>
        <v>-4</v>
      </c>
    </row>
    <row r="11" spans="1:19">
      <c r="A11" s="109"/>
      <c r="B11" s="104" t="s">
        <v>27</v>
      </c>
      <c r="C11" s="105">
        <f ca="1">SUMIFS(IP监控表!C:C,IP监控表!B:B,"接收IP数",IP监控表!A:A,B11)</f>
        <v>298</v>
      </c>
      <c r="D11" s="104">
        <f>COUNTIF(bty注册!X:X,B11)</f>
        <v>14</v>
      </c>
      <c r="E11" s="106">
        <f ca="1" t="shared" ref="E11:E22" si="2">IF(C11=0,D11,D11/C11)</f>
        <v>0.0469798657718121</v>
      </c>
      <c r="F11" s="107">
        <f>COUNTIF(bty首充!H:H,B11)</f>
        <v>6</v>
      </c>
      <c r="G11" s="106">
        <f t="shared" si="1"/>
        <v>0.428571428571429</v>
      </c>
      <c r="H11" s="108">
        <f ca="1">C11-SUMIFS(历史数据!$C:$C,历史数据!$A:$A,$A$3-1,历史数据!$B:$B,$B11)</f>
        <v>-2267</v>
      </c>
      <c r="I11" s="108">
        <f ca="1">C11-(SUMIFS(历史数据!$C:$C,历史数据!$A:$A,$A$3-1,历史数据!$B:$B,$B11)+SUMIFS(历史数据!$C:$C,历史数据!$A:$A,$A$3-2,历史数据!$B:$B,$B11)+SUMIFS(历史数据!$C:$C,历史数据!$A:$A,$A$3-3,历史数据!$B:$B,$B11))/3</f>
        <v>-2770.33333333333</v>
      </c>
      <c r="J11" s="108">
        <f ca="1">C11-(SUMIFS(历史数据!$C:$C,历史数据!$A:$A,$A$3-1,历史数据!$B:$B,$B11)+SUMIFS(历史数据!$C:$C,历史数据!$A:$A,$A$3-2,历史数据!$B:$B,$B11)+SUMIFS(历史数据!$C:$C,历史数据!$A:$A,$A$3-3,历史数据!$B:$B,$B11)+SUMIFS(历史数据!$C:$C,历史数据!$A:$A,$A$3-4,历史数据!$B:$B,$B11)+SUMIFS(历史数据!$C:$C,历史数据!$A:$A,$A$3-5,历史数据!$B:$B,$B11))/5</f>
        <v>-3705.8</v>
      </c>
      <c r="K11" s="108">
        <f ca="1">C11-(SUMIFS(历史数据!$C:$C,历史数据!$A:$A,$A$3-1,历史数据!$B:$B,$B11)+SUMIFS(历史数据!$C:$C,历史数据!$A:$A,$A$3-2,历史数据!$B:$B,$B11)+SUMIFS(历史数据!$C:$C,历史数据!$A:$A,$A$3-3,历史数据!$B:$B,$B11)+SUMIFS(历史数据!$C:$C,历史数据!$A:$A,$A$3-4,历史数据!$B:$B,$B11)+SUMIFS(历史数据!$C:$C,历史数据!$A:$A,$A$3-5,历史数据!$B:$B,$B11)+SUMIFS(历史数据!$C:$C,历史数据!$A:$A,$A$3-6,历史数据!$B:$B,$B11)+SUMIFS(历史数据!$C:$C,历史数据!$A:$A,$A$3-7,历史数据!$B:$B,$B11))/7</f>
        <v>-3964.28571428571</v>
      </c>
      <c r="L11" s="108">
        <f ca="1">D11-SUMIFS(历史数据!$E:$E,历史数据!$A:$A,$A$3-1,历史数据!$B:$B,$B11)</f>
        <v>7</v>
      </c>
      <c r="M11" s="108">
        <f ca="1">D11-(SUMIFS(历史数据!$E:$E,历史数据!$A:$A,$A$3-1,历史数据!$B:$B,$B11)+SUMIFS(历史数据!$E:$E,历史数据!$A:$A,$A$3-2,历史数据!$B:$B,$B11)+SUMIFS(历史数据!$E:$E,历史数据!$A:$A,$A$3-3,历史数据!$B:$B,$B11))/3</f>
        <v>5</v>
      </c>
      <c r="N11" s="108">
        <f ca="1">D11-(SUMIFS(历史数据!$E:$E,历史数据!$A:$A,$A$3-1,历史数据!$B:$B,$B11)+SUMIFS(历史数据!$E:$E,历史数据!$A:$A,$A$3-2,历史数据!$B:$B,$B11)+SUMIFS(历史数据!$E:$E,历史数据!$A:$A,$A$3-3,历史数据!$B:$B,$B11)+SUMIFS(历史数据!$E:$E,历史数据!$A:$A,$A$3-4,历史数据!$B:$B,$B11)+SUMIFS(历史数据!$E:$E,历史数据!$A:$A,$A$3-5,历史数据!$B:$B,$B11))/5</f>
        <v>3</v>
      </c>
      <c r="O11" s="108">
        <f ca="1">D11-(SUMIFS(历史数据!$E:$E,历史数据!$A:$A,$A$3-1,历史数据!$B:$B,$B11)+SUMIFS(历史数据!$E:$E,历史数据!$A:$A,$A$3-2,历史数据!$B:$B,$B11)+SUMIFS(历史数据!$E:$E,历史数据!$A:$A,$A$3-3,历史数据!$B:$B,$B11)+SUMIFS(历史数据!$E:$E,历史数据!$A:$A,$A$3-4,历史数据!$B:$B,$B11)+SUMIFS(历史数据!$E:$E,历史数据!$A:$A,$A$3-5,历史数据!$B:$B,$B11)+SUMIFS(历史数据!$E:$E,历史数据!$A:$A,$A$3-6,历史数据!$B:$B,$B11)+SUMIFS(历史数据!$E:$E,历史数据!$A:$A,$A$3-7,历史数据!$B:$B,$B11))/7</f>
        <v>3.28571428571429</v>
      </c>
      <c r="P11" s="108">
        <f ca="1">F11-SUMIFS(历史数据!$G:$G,历史数据!$A:$A,$A$3-1,历史数据!$B:$B,$B11)</f>
        <v>6</v>
      </c>
      <c r="Q11" s="108">
        <f ca="1">F11-(SUMIFS(历史数据!$G:$G,历史数据!$A:$A,$A$3-1,历史数据!$B:$B,$B11)+SUMIFS(历史数据!$G:$G,历史数据!$A:$A,$A$3-2,历史数据!$B:$B,$B11)+SUMIFS(历史数据!$G:$G,历史数据!$A:$A,$A$3-3,历史数据!$B:$B,$B11))/3</f>
        <v>4</v>
      </c>
      <c r="R11" s="108">
        <f ca="1">F11-(SUMIFS(历史数据!$G:$G,历史数据!$A:$A,$A$3-1,历史数据!$B:$B,$B11)+SUMIFS(历史数据!$G:$G,历史数据!$A:$A,$A$3-2,历史数据!$B:$B,$B11)+SUMIFS(历史数据!$G:$G,历史数据!$A:$A,$A$3-3,历史数据!$B:$B,$B11)+SUMIFS(历史数据!$G:$G,历史数据!$A:$A,$A$3-4,历史数据!$B:$B,$B11)+SUMIFS(历史数据!$G:$G,历史数据!$A:$A,$A$3-5,历史数据!$B:$B,$B11))/5</f>
        <v>3.8</v>
      </c>
      <c r="S11" s="108">
        <f ca="1">F11-(SUMIFS(历史数据!$G:$G,历史数据!$A:$A,$A$3-1,历史数据!$B:$B,$B11)+SUMIFS(历史数据!$G:$G,历史数据!$A:$A,$A$3-2,历史数据!$B:$B,$B11)+SUMIFS(历史数据!$G:$G,历史数据!$A:$A,$A$3-3,历史数据!$B:$B,$B11)+SUMIFS(历史数据!$G:$G,历史数据!$A:$A,$A$3-4,历史数据!$B:$B,$B11)+SUMIFS(历史数据!$G:$G,历史数据!$A:$A,$A$3-5,历史数据!$B:$B,$B11)+SUMIFS(历史数据!$G:$G,历史数据!$A:$A,$A$3-6,历史数据!$B:$B,$B11)+SUMIFS(历史数据!$G:$G,历史数据!$A:$A,$A$3-7,历史数据!$B:$B,$B11))/7</f>
        <v>4.14285714285714</v>
      </c>
    </row>
    <row r="12" spans="1:19">
      <c r="A12" s="109"/>
      <c r="B12" s="104" t="s">
        <v>28</v>
      </c>
      <c r="C12" s="105">
        <f ca="1">SUMIFS(IP监控表!C:C,IP监控表!B:B,"接收IP数",IP监控表!A:A,B12)</f>
        <v>0</v>
      </c>
      <c r="D12" s="104">
        <f>COUNTIF(bty注册!X:X,B12)</f>
        <v>0</v>
      </c>
      <c r="E12" s="106">
        <f ca="1" t="shared" si="2"/>
        <v>0</v>
      </c>
      <c r="F12" s="107">
        <f>COUNTIF(bty首充!H:H,B12)</f>
        <v>0</v>
      </c>
      <c r="G12" s="106">
        <f t="shared" si="1"/>
        <v>0</v>
      </c>
      <c r="H12" s="108">
        <f ca="1">C12-SUMIFS(历史数据!$C:$C,历史数据!$A:$A,$A$3-1,历史数据!$B:$B,$B12)</f>
        <v>0</v>
      </c>
      <c r="I12" s="108">
        <f ca="1">C12-(SUMIFS(历史数据!$C:$C,历史数据!$A:$A,$A$3-1,历史数据!$B:$B,$B12)+SUMIFS(历史数据!$C:$C,历史数据!$A:$A,$A$3-2,历史数据!$B:$B,$B12)+SUMIFS(历史数据!$C:$C,历史数据!$A:$A,$A$3-3,历史数据!$B:$B,$B12))/3</f>
        <v>0</v>
      </c>
      <c r="J12" s="108">
        <f ca="1">C12-(SUMIFS(历史数据!$C:$C,历史数据!$A:$A,$A$3-1,历史数据!$B:$B,$B12)+SUMIFS(历史数据!$C:$C,历史数据!$A:$A,$A$3-2,历史数据!$B:$B,$B12)+SUMIFS(历史数据!$C:$C,历史数据!$A:$A,$A$3-3,历史数据!$B:$B,$B12)+SUMIFS(历史数据!$C:$C,历史数据!$A:$A,$A$3-4,历史数据!$B:$B,$B12)+SUMIFS(历史数据!$C:$C,历史数据!$A:$A,$A$3-5,历史数据!$B:$B,$B12))/5</f>
        <v>0</v>
      </c>
      <c r="K12" s="108">
        <f ca="1">C12-(SUMIFS(历史数据!$C:$C,历史数据!$A:$A,$A$3-1,历史数据!$B:$B,$B12)+SUMIFS(历史数据!$C:$C,历史数据!$A:$A,$A$3-2,历史数据!$B:$B,$B12)+SUMIFS(历史数据!$C:$C,历史数据!$A:$A,$A$3-3,历史数据!$B:$B,$B12)+SUMIFS(历史数据!$C:$C,历史数据!$A:$A,$A$3-4,历史数据!$B:$B,$B12)+SUMIFS(历史数据!$C:$C,历史数据!$A:$A,$A$3-5,历史数据!$B:$B,$B12)+SUMIFS(历史数据!$C:$C,历史数据!$A:$A,$A$3-6,历史数据!$B:$B,$B12)+SUMIFS(历史数据!$C:$C,历史数据!$A:$A,$A$3-7,历史数据!$B:$B,$B12))/7</f>
        <v>0</v>
      </c>
      <c r="L12" s="108">
        <f ca="1">D12-SUMIFS(历史数据!$E:$E,历史数据!$A:$A,$A$3-1,历史数据!$B:$B,$B12)</f>
        <v>0</v>
      </c>
      <c r="M12" s="108">
        <f ca="1">D12-(SUMIFS(历史数据!$E:$E,历史数据!$A:$A,$A$3-1,历史数据!$B:$B,$B12)+SUMIFS(历史数据!$E:$E,历史数据!$A:$A,$A$3-2,历史数据!$B:$B,$B12)+SUMIFS(历史数据!$E:$E,历史数据!$A:$A,$A$3-3,历史数据!$B:$B,$B12))/3</f>
        <v>0</v>
      </c>
      <c r="N12" s="108">
        <f ca="1">D12-(SUMIFS(历史数据!$E:$E,历史数据!$A:$A,$A$3-1,历史数据!$B:$B,$B12)+SUMIFS(历史数据!$E:$E,历史数据!$A:$A,$A$3-2,历史数据!$B:$B,$B12)+SUMIFS(历史数据!$E:$E,历史数据!$A:$A,$A$3-3,历史数据!$B:$B,$B12)+SUMIFS(历史数据!$E:$E,历史数据!$A:$A,$A$3-4,历史数据!$B:$B,$B12)+SUMIFS(历史数据!$E:$E,历史数据!$A:$A,$A$3-5,历史数据!$B:$B,$B12))/5</f>
        <v>0</v>
      </c>
      <c r="O12" s="108">
        <f ca="1">D12-(SUMIFS(历史数据!$E:$E,历史数据!$A:$A,$A$3-1,历史数据!$B:$B,$B12)+SUMIFS(历史数据!$E:$E,历史数据!$A:$A,$A$3-2,历史数据!$B:$B,$B12)+SUMIFS(历史数据!$E:$E,历史数据!$A:$A,$A$3-3,历史数据!$B:$B,$B12)+SUMIFS(历史数据!$E:$E,历史数据!$A:$A,$A$3-4,历史数据!$B:$B,$B12)+SUMIFS(历史数据!$E:$E,历史数据!$A:$A,$A$3-5,历史数据!$B:$B,$B12)+SUMIFS(历史数据!$E:$E,历史数据!$A:$A,$A$3-6,历史数据!$B:$B,$B12)+SUMIFS(历史数据!$E:$E,历史数据!$A:$A,$A$3-7,历史数据!$B:$B,$B12))/7</f>
        <v>0</v>
      </c>
      <c r="P12" s="108">
        <f ca="1">F12-SUMIFS(历史数据!$G:$G,历史数据!$A:$A,$A$3-1,历史数据!$B:$B,$B12)</f>
        <v>0</v>
      </c>
      <c r="Q12" s="108">
        <f ca="1">F12-(SUMIFS(历史数据!$G:$G,历史数据!$A:$A,$A$3-1,历史数据!$B:$B,$B12)+SUMIFS(历史数据!$G:$G,历史数据!$A:$A,$A$3-2,历史数据!$B:$B,$B12)+SUMIFS(历史数据!$G:$G,历史数据!$A:$A,$A$3-3,历史数据!$B:$B,$B12))/3</f>
        <v>0</v>
      </c>
      <c r="R12" s="108">
        <f ca="1">F12-(SUMIFS(历史数据!$G:$G,历史数据!$A:$A,$A$3-1,历史数据!$B:$B,$B12)+SUMIFS(历史数据!$G:$G,历史数据!$A:$A,$A$3-2,历史数据!$B:$B,$B12)+SUMIFS(历史数据!$G:$G,历史数据!$A:$A,$A$3-3,历史数据!$B:$B,$B12)+SUMIFS(历史数据!$G:$G,历史数据!$A:$A,$A$3-4,历史数据!$B:$B,$B12)+SUMIFS(历史数据!$G:$G,历史数据!$A:$A,$A$3-5,历史数据!$B:$B,$B12))/5</f>
        <v>0</v>
      </c>
      <c r="S12" s="108">
        <f ca="1">F12-(SUMIFS(历史数据!$G:$G,历史数据!$A:$A,$A$3-1,历史数据!$B:$B,$B12)+SUMIFS(历史数据!$G:$G,历史数据!$A:$A,$A$3-2,历史数据!$B:$B,$B12)+SUMIFS(历史数据!$G:$G,历史数据!$A:$A,$A$3-3,历史数据!$B:$B,$B12)+SUMIFS(历史数据!$G:$G,历史数据!$A:$A,$A$3-4,历史数据!$B:$B,$B12)+SUMIFS(历史数据!$G:$G,历史数据!$A:$A,$A$3-5,历史数据!$B:$B,$B12)+SUMIFS(历史数据!$G:$G,历史数据!$A:$A,$A$3-6,历史数据!$B:$B,$B12)+SUMIFS(历史数据!$G:$G,历史数据!$A:$A,$A$3-7,历史数据!$B:$B,$B12))/7</f>
        <v>0</v>
      </c>
    </row>
    <row r="13" spans="1:19">
      <c r="A13" s="109"/>
      <c r="B13" s="104" t="s">
        <v>29</v>
      </c>
      <c r="C13" s="105">
        <f ca="1">SUMIFS(IP监控表!C:C,IP监控表!B:B,"接收IP数",IP监控表!A:A,B13)</f>
        <v>0</v>
      </c>
      <c r="D13" s="104">
        <f>COUNTIF(bty注册!X:X,B13)</f>
        <v>1</v>
      </c>
      <c r="E13" s="106">
        <f ca="1" t="shared" si="2"/>
        <v>1</v>
      </c>
      <c r="F13" s="107">
        <f>COUNTIF(bty首充!H:H,B13)</f>
        <v>1</v>
      </c>
      <c r="G13" s="106">
        <f t="shared" si="1"/>
        <v>1</v>
      </c>
      <c r="H13" s="108">
        <f ca="1">C13-SUMIFS(历史数据!$C:$C,历史数据!$A:$A,$A$3-1,历史数据!$B:$B,$B13)</f>
        <v>0</v>
      </c>
      <c r="I13" s="108">
        <f ca="1">C13-(SUMIFS(历史数据!$C:$C,历史数据!$A:$A,$A$3-1,历史数据!$B:$B,$B13)+SUMIFS(历史数据!$C:$C,历史数据!$A:$A,$A$3-2,历史数据!$B:$B,$B13)+SUMIFS(历史数据!$C:$C,历史数据!$A:$A,$A$3-3,历史数据!$B:$B,$B13))/3</f>
        <v>0</v>
      </c>
      <c r="J13" s="108">
        <f ca="1">C13-(SUMIFS(历史数据!$C:$C,历史数据!$A:$A,$A$3-1,历史数据!$B:$B,$B13)+SUMIFS(历史数据!$C:$C,历史数据!$A:$A,$A$3-2,历史数据!$B:$B,$B13)+SUMIFS(历史数据!$C:$C,历史数据!$A:$A,$A$3-3,历史数据!$B:$B,$B13)+SUMIFS(历史数据!$C:$C,历史数据!$A:$A,$A$3-4,历史数据!$B:$B,$B13)+SUMIFS(历史数据!$C:$C,历史数据!$A:$A,$A$3-5,历史数据!$B:$B,$B13))/5</f>
        <v>0</v>
      </c>
      <c r="K13" s="108">
        <f ca="1">C13-(SUMIFS(历史数据!$C:$C,历史数据!$A:$A,$A$3-1,历史数据!$B:$B,$B13)+SUMIFS(历史数据!$C:$C,历史数据!$A:$A,$A$3-2,历史数据!$B:$B,$B13)+SUMIFS(历史数据!$C:$C,历史数据!$A:$A,$A$3-3,历史数据!$B:$B,$B13)+SUMIFS(历史数据!$C:$C,历史数据!$A:$A,$A$3-4,历史数据!$B:$B,$B13)+SUMIFS(历史数据!$C:$C,历史数据!$A:$A,$A$3-5,历史数据!$B:$B,$B13)+SUMIFS(历史数据!$C:$C,历史数据!$A:$A,$A$3-6,历史数据!$B:$B,$B13)+SUMIFS(历史数据!$C:$C,历史数据!$A:$A,$A$3-7,历史数据!$B:$B,$B13))/7</f>
        <v>0</v>
      </c>
      <c r="L13" s="108">
        <f ca="1">D13-SUMIFS(历史数据!$E:$E,历史数据!$A:$A,$A$3-1,历史数据!$B:$B,$B13)</f>
        <v>1</v>
      </c>
      <c r="M13" s="108">
        <f ca="1">D13-(SUMIFS(历史数据!$E:$E,历史数据!$A:$A,$A$3-1,历史数据!$B:$B,$B13)+SUMIFS(历史数据!$E:$E,历史数据!$A:$A,$A$3-2,历史数据!$B:$B,$B13)+SUMIFS(历史数据!$E:$E,历史数据!$A:$A,$A$3-3,历史数据!$B:$B,$B13))/3</f>
        <v>1</v>
      </c>
      <c r="N13" s="108">
        <f ca="1">D13-(SUMIFS(历史数据!$E:$E,历史数据!$A:$A,$A$3-1,历史数据!$B:$B,$B13)+SUMIFS(历史数据!$E:$E,历史数据!$A:$A,$A$3-2,历史数据!$B:$B,$B13)+SUMIFS(历史数据!$E:$E,历史数据!$A:$A,$A$3-3,历史数据!$B:$B,$B13)+SUMIFS(历史数据!$E:$E,历史数据!$A:$A,$A$3-4,历史数据!$B:$B,$B13)+SUMIFS(历史数据!$E:$E,历史数据!$A:$A,$A$3-5,历史数据!$B:$B,$B13))/5</f>
        <v>0.8</v>
      </c>
      <c r="O13" s="108">
        <f ca="1">D13-(SUMIFS(历史数据!$E:$E,历史数据!$A:$A,$A$3-1,历史数据!$B:$B,$B13)+SUMIFS(历史数据!$E:$E,历史数据!$A:$A,$A$3-2,历史数据!$B:$B,$B13)+SUMIFS(历史数据!$E:$E,历史数据!$A:$A,$A$3-3,历史数据!$B:$B,$B13)+SUMIFS(历史数据!$E:$E,历史数据!$A:$A,$A$3-4,历史数据!$B:$B,$B13)+SUMIFS(历史数据!$E:$E,历史数据!$A:$A,$A$3-5,历史数据!$B:$B,$B13)+SUMIFS(历史数据!$E:$E,历史数据!$A:$A,$A$3-6,历史数据!$B:$B,$B13)+SUMIFS(历史数据!$E:$E,历史数据!$A:$A,$A$3-7,历史数据!$B:$B,$B13))/7</f>
        <v>0.857142857142857</v>
      </c>
      <c r="P13" s="108">
        <f ca="1">F13-SUMIFS(历史数据!$G:$G,历史数据!$A:$A,$A$3-1,历史数据!$B:$B,$B13)</f>
        <v>1</v>
      </c>
      <c r="Q13" s="108">
        <f ca="1">F13-(SUMIFS(历史数据!$G:$G,历史数据!$A:$A,$A$3-1,历史数据!$B:$B,$B13)+SUMIFS(历史数据!$G:$G,历史数据!$A:$A,$A$3-2,历史数据!$B:$B,$B13)+SUMIFS(历史数据!$G:$G,历史数据!$A:$A,$A$3-3,历史数据!$B:$B,$B13))/3</f>
        <v>1</v>
      </c>
      <c r="R13" s="108">
        <f ca="1">F13-(SUMIFS(历史数据!$G:$G,历史数据!$A:$A,$A$3-1,历史数据!$B:$B,$B13)+SUMIFS(历史数据!$G:$G,历史数据!$A:$A,$A$3-2,历史数据!$B:$B,$B13)+SUMIFS(历史数据!$G:$G,历史数据!$A:$A,$A$3-3,历史数据!$B:$B,$B13)+SUMIFS(历史数据!$G:$G,历史数据!$A:$A,$A$3-4,历史数据!$B:$B,$B13)+SUMIFS(历史数据!$G:$G,历史数据!$A:$A,$A$3-5,历史数据!$B:$B,$B13))/5</f>
        <v>1</v>
      </c>
      <c r="S13" s="108">
        <f ca="1">F13-(SUMIFS(历史数据!$G:$G,历史数据!$A:$A,$A$3-1,历史数据!$B:$B,$B13)+SUMIFS(历史数据!$G:$G,历史数据!$A:$A,$A$3-2,历史数据!$B:$B,$B13)+SUMIFS(历史数据!$G:$G,历史数据!$A:$A,$A$3-3,历史数据!$B:$B,$B13)+SUMIFS(历史数据!$G:$G,历史数据!$A:$A,$A$3-4,历史数据!$B:$B,$B13)+SUMIFS(历史数据!$G:$G,历史数据!$A:$A,$A$3-5,历史数据!$B:$B,$B13)+SUMIFS(历史数据!$G:$G,历史数据!$A:$A,$A$3-6,历史数据!$B:$B,$B13)+SUMIFS(历史数据!$G:$G,历史数据!$A:$A,$A$3-7,历史数据!$B:$B,$B13))/7</f>
        <v>1</v>
      </c>
    </row>
    <row r="14" spans="1:19">
      <c r="A14" s="109"/>
      <c r="B14" s="104" t="s">
        <v>30</v>
      </c>
      <c r="C14" s="105">
        <f ca="1">SUMIFS(IP监控表!C:C,IP监控表!B:B,"接收IP数",IP监控表!A:A,B14)</f>
        <v>0</v>
      </c>
      <c r="D14" s="104">
        <f>COUNTIF(bty注册!X:X,B14)</f>
        <v>0</v>
      </c>
      <c r="E14" s="106">
        <f ca="1" t="shared" si="2"/>
        <v>0</v>
      </c>
      <c r="F14" s="107">
        <f>COUNTIF(bty首充!H:H,B14)</f>
        <v>0</v>
      </c>
      <c r="G14" s="106">
        <f t="shared" si="1"/>
        <v>0</v>
      </c>
      <c r="H14" s="108">
        <f ca="1">C14-SUMIFS(历史数据!$C:$C,历史数据!$A:$A,$A$3-1,历史数据!$B:$B,$B14)</f>
        <v>0</v>
      </c>
      <c r="I14" s="108">
        <f ca="1">C14-(SUMIFS(历史数据!$C:$C,历史数据!$A:$A,$A$3-1,历史数据!$B:$B,$B14)+SUMIFS(历史数据!$C:$C,历史数据!$A:$A,$A$3-2,历史数据!$B:$B,$B14)+SUMIFS(历史数据!$C:$C,历史数据!$A:$A,$A$3-3,历史数据!$B:$B,$B14))/3</f>
        <v>0</v>
      </c>
      <c r="J14" s="108">
        <f ca="1">C14-(SUMIFS(历史数据!$C:$C,历史数据!$A:$A,$A$3-1,历史数据!$B:$B,$B14)+SUMIFS(历史数据!$C:$C,历史数据!$A:$A,$A$3-2,历史数据!$B:$B,$B14)+SUMIFS(历史数据!$C:$C,历史数据!$A:$A,$A$3-3,历史数据!$B:$B,$B14)+SUMIFS(历史数据!$C:$C,历史数据!$A:$A,$A$3-4,历史数据!$B:$B,$B14)+SUMIFS(历史数据!$C:$C,历史数据!$A:$A,$A$3-5,历史数据!$B:$B,$B14))/5</f>
        <v>0</v>
      </c>
      <c r="K14" s="108">
        <f ca="1">C14-(SUMIFS(历史数据!$C:$C,历史数据!$A:$A,$A$3-1,历史数据!$B:$B,$B14)+SUMIFS(历史数据!$C:$C,历史数据!$A:$A,$A$3-2,历史数据!$B:$B,$B14)+SUMIFS(历史数据!$C:$C,历史数据!$A:$A,$A$3-3,历史数据!$B:$B,$B14)+SUMIFS(历史数据!$C:$C,历史数据!$A:$A,$A$3-4,历史数据!$B:$B,$B14)+SUMIFS(历史数据!$C:$C,历史数据!$A:$A,$A$3-5,历史数据!$B:$B,$B14)+SUMIFS(历史数据!$C:$C,历史数据!$A:$A,$A$3-6,历史数据!$B:$B,$B14)+SUMIFS(历史数据!$C:$C,历史数据!$A:$A,$A$3-7,历史数据!$B:$B,$B14))/7</f>
        <v>0</v>
      </c>
      <c r="L14" s="108">
        <f ca="1">D14-SUMIFS(历史数据!$E:$E,历史数据!$A:$A,$A$3-1,历史数据!$B:$B,$B14)</f>
        <v>0</v>
      </c>
      <c r="M14" s="108">
        <f ca="1">D14-(SUMIFS(历史数据!$E:$E,历史数据!$A:$A,$A$3-1,历史数据!$B:$B,$B14)+SUMIFS(历史数据!$E:$E,历史数据!$A:$A,$A$3-2,历史数据!$B:$B,$B14)+SUMIFS(历史数据!$E:$E,历史数据!$A:$A,$A$3-3,历史数据!$B:$B,$B14))/3</f>
        <v>0</v>
      </c>
      <c r="N14" s="108">
        <f ca="1">D14-(SUMIFS(历史数据!$E:$E,历史数据!$A:$A,$A$3-1,历史数据!$B:$B,$B14)+SUMIFS(历史数据!$E:$E,历史数据!$A:$A,$A$3-2,历史数据!$B:$B,$B14)+SUMIFS(历史数据!$E:$E,历史数据!$A:$A,$A$3-3,历史数据!$B:$B,$B14)+SUMIFS(历史数据!$E:$E,历史数据!$A:$A,$A$3-4,历史数据!$B:$B,$B14)+SUMIFS(历史数据!$E:$E,历史数据!$A:$A,$A$3-5,历史数据!$B:$B,$B14))/5</f>
        <v>0</v>
      </c>
      <c r="O14" s="108">
        <f ca="1">D14-(SUMIFS(历史数据!$E:$E,历史数据!$A:$A,$A$3-1,历史数据!$B:$B,$B14)+SUMIFS(历史数据!$E:$E,历史数据!$A:$A,$A$3-2,历史数据!$B:$B,$B14)+SUMIFS(历史数据!$E:$E,历史数据!$A:$A,$A$3-3,历史数据!$B:$B,$B14)+SUMIFS(历史数据!$E:$E,历史数据!$A:$A,$A$3-4,历史数据!$B:$B,$B14)+SUMIFS(历史数据!$E:$E,历史数据!$A:$A,$A$3-5,历史数据!$B:$B,$B14)+SUMIFS(历史数据!$E:$E,历史数据!$A:$A,$A$3-6,历史数据!$B:$B,$B14)+SUMIFS(历史数据!$E:$E,历史数据!$A:$A,$A$3-7,历史数据!$B:$B,$B14))/7</f>
        <v>0</v>
      </c>
      <c r="P14" s="108">
        <f ca="1">F14-SUMIFS(历史数据!$G:$G,历史数据!$A:$A,$A$3-1,历史数据!$B:$B,$B14)</f>
        <v>0</v>
      </c>
      <c r="Q14" s="108">
        <f ca="1">F14-(SUMIFS(历史数据!$G:$G,历史数据!$A:$A,$A$3-1,历史数据!$B:$B,$B14)+SUMIFS(历史数据!$G:$G,历史数据!$A:$A,$A$3-2,历史数据!$B:$B,$B14)+SUMIFS(历史数据!$G:$G,历史数据!$A:$A,$A$3-3,历史数据!$B:$B,$B14))/3</f>
        <v>0</v>
      </c>
      <c r="R14" s="108">
        <f ca="1">F14-(SUMIFS(历史数据!$G:$G,历史数据!$A:$A,$A$3-1,历史数据!$B:$B,$B14)+SUMIFS(历史数据!$G:$G,历史数据!$A:$A,$A$3-2,历史数据!$B:$B,$B14)+SUMIFS(历史数据!$G:$G,历史数据!$A:$A,$A$3-3,历史数据!$B:$B,$B14)+SUMIFS(历史数据!$G:$G,历史数据!$A:$A,$A$3-4,历史数据!$B:$B,$B14)+SUMIFS(历史数据!$G:$G,历史数据!$A:$A,$A$3-5,历史数据!$B:$B,$B14))/5</f>
        <v>0</v>
      </c>
      <c r="S14" s="108">
        <f ca="1">F14-(SUMIFS(历史数据!$G:$G,历史数据!$A:$A,$A$3-1,历史数据!$B:$B,$B14)+SUMIFS(历史数据!$G:$G,历史数据!$A:$A,$A$3-2,历史数据!$B:$B,$B14)+SUMIFS(历史数据!$G:$G,历史数据!$A:$A,$A$3-3,历史数据!$B:$B,$B14)+SUMIFS(历史数据!$G:$G,历史数据!$A:$A,$A$3-4,历史数据!$B:$B,$B14)+SUMIFS(历史数据!$G:$G,历史数据!$A:$A,$A$3-5,历史数据!$B:$B,$B14)+SUMIFS(历史数据!$G:$G,历史数据!$A:$A,$A$3-6,历史数据!$B:$B,$B14)+SUMIFS(历史数据!$G:$G,历史数据!$A:$A,$A$3-7,历史数据!$B:$B,$B14))/7</f>
        <v>0</v>
      </c>
    </row>
    <row r="15" spans="1:19">
      <c r="A15" s="109"/>
      <c r="B15" s="104" t="s">
        <v>31</v>
      </c>
      <c r="C15" s="105">
        <f ca="1">SUMIFS(IP监控表!C:C,IP监控表!B:B,"接收IP数",IP监控表!A:A,B15)</f>
        <v>0</v>
      </c>
      <c r="D15" s="104">
        <f>COUNTIF(bty注册!X:X,B15)</f>
        <v>0</v>
      </c>
      <c r="E15" s="106">
        <f ca="1" t="shared" si="2"/>
        <v>0</v>
      </c>
      <c r="F15" s="107">
        <f>COUNTIF(bty首充!H:H,B15)</f>
        <v>0</v>
      </c>
      <c r="G15" s="106">
        <f t="shared" si="1"/>
        <v>0</v>
      </c>
      <c r="H15" s="108">
        <f ca="1">C15-SUMIFS(历史数据!$C:$C,历史数据!$A:$A,$A$3-1,历史数据!$B:$B,$B15)</f>
        <v>0</v>
      </c>
      <c r="I15" s="108">
        <f ca="1">C15-(SUMIFS(历史数据!$C:$C,历史数据!$A:$A,$A$3-1,历史数据!$B:$B,$B15)+SUMIFS(历史数据!$C:$C,历史数据!$A:$A,$A$3-2,历史数据!$B:$B,$B15)+SUMIFS(历史数据!$C:$C,历史数据!$A:$A,$A$3-3,历史数据!$B:$B,$B15))/3</f>
        <v>0</v>
      </c>
      <c r="J15" s="108">
        <f ca="1">C15-(SUMIFS(历史数据!$C:$C,历史数据!$A:$A,$A$3-1,历史数据!$B:$B,$B15)+SUMIFS(历史数据!$C:$C,历史数据!$A:$A,$A$3-2,历史数据!$B:$B,$B15)+SUMIFS(历史数据!$C:$C,历史数据!$A:$A,$A$3-3,历史数据!$B:$B,$B15)+SUMIFS(历史数据!$C:$C,历史数据!$A:$A,$A$3-4,历史数据!$B:$B,$B15)+SUMIFS(历史数据!$C:$C,历史数据!$A:$A,$A$3-5,历史数据!$B:$B,$B15))/5</f>
        <v>0</v>
      </c>
      <c r="K15" s="108">
        <f ca="1">C15-(SUMIFS(历史数据!$C:$C,历史数据!$A:$A,$A$3-1,历史数据!$B:$B,$B15)+SUMIFS(历史数据!$C:$C,历史数据!$A:$A,$A$3-2,历史数据!$B:$B,$B15)+SUMIFS(历史数据!$C:$C,历史数据!$A:$A,$A$3-3,历史数据!$B:$B,$B15)+SUMIFS(历史数据!$C:$C,历史数据!$A:$A,$A$3-4,历史数据!$B:$B,$B15)+SUMIFS(历史数据!$C:$C,历史数据!$A:$A,$A$3-5,历史数据!$B:$B,$B15)+SUMIFS(历史数据!$C:$C,历史数据!$A:$A,$A$3-6,历史数据!$B:$B,$B15)+SUMIFS(历史数据!$C:$C,历史数据!$A:$A,$A$3-7,历史数据!$B:$B,$B15))/7</f>
        <v>0</v>
      </c>
      <c r="L15" s="108">
        <f ca="1">D15-SUMIFS(历史数据!$E:$E,历史数据!$A:$A,$A$3-1,历史数据!$B:$B,$B15)</f>
        <v>0</v>
      </c>
      <c r="M15" s="108">
        <f ca="1">D15-(SUMIFS(历史数据!$E:$E,历史数据!$A:$A,$A$3-1,历史数据!$B:$B,$B15)+SUMIFS(历史数据!$E:$E,历史数据!$A:$A,$A$3-2,历史数据!$B:$B,$B15)+SUMIFS(历史数据!$E:$E,历史数据!$A:$A,$A$3-3,历史数据!$B:$B,$B15))/3</f>
        <v>0</v>
      </c>
      <c r="N15" s="108">
        <f ca="1">D15-(SUMIFS(历史数据!$E:$E,历史数据!$A:$A,$A$3-1,历史数据!$B:$B,$B15)+SUMIFS(历史数据!$E:$E,历史数据!$A:$A,$A$3-2,历史数据!$B:$B,$B15)+SUMIFS(历史数据!$E:$E,历史数据!$A:$A,$A$3-3,历史数据!$B:$B,$B15)+SUMIFS(历史数据!$E:$E,历史数据!$A:$A,$A$3-4,历史数据!$B:$B,$B15)+SUMIFS(历史数据!$E:$E,历史数据!$A:$A,$A$3-5,历史数据!$B:$B,$B15))/5</f>
        <v>0</v>
      </c>
      <c r="O15" s="108">
        <f ca="1">D15-(SUMIFS(历史数据!$E:$E,历史数据!$A:$A,$A$3-1,历史数据!$B:$B,$B15)+SUMIFS(历史数据!$E:$E,历史数据!$A:$A,$A$3-2,历史数据!$B:$B,$B15)+SUMIFS(历史数据!$E:$E,历史数据!$A:$A,$A$3-3,历史数据!$B:$B,$B15)+SUMIFS(历史数据!$E:$E,历史数据!$A:$A,$A$3-4,历史数据!$B:$B,$B15)+SUMIFS(历史数据!$E:$E,历史数据!$A:$A,$A$3-5,历史数据!$B:$B,$B15)+SUMIFS(历史数据!$E:$E,历史数据!$A:$A,$A$3-6,历史数据!$B:$B,$B15)+SUMIFS(历史数据!$E:$E,历史数据!$A:$A,$A$3-7,历史数据!$B:$B,$B15))/7</f>
        <v>0</v>
      </c>
      <c r="P15" s="108">
        <f ca="1">F15-SUMIFS(历史数据!$G:$G,历史数据!$A:$A,$A$3-1,历史数据!$B:$B,$B15)</f>
        <v>0</v>
      </c>
      <c r="Q15" s="108">
        <f ca="1">F15-(SUMIFS(历史数据!$G:$G,历史数据!$A:$A,$A$3-1,历史数据!$B:$B,$B15)+SUMIFS(历史数据!$G:$G,历史数据!$A:$A,$A$3-2,历史数据!$B:$B,$B15)+SUMIFS(历史数据!$G:$G,历史数据!$A:$A,$A$3-3,历史数据!$B:$B,$B15))/3</f>
        <v>0</v>
      </c>
      <c r="R15" s="108">
        <f ca="1">F15-(SUMIFS(历史数据!$G:$G,历史数据!$A:$A,$A$3-1,历史数据!$B:$B,$B15)+SUMIFS(历史数据!$G:$G,历史数据!$A:$A,$A$3-2,历史数据!$B:$B,$B15)+SUMIFS(历史数据!$G:$G,历史数据!$A:$A,$A$3-3,历史数据!$B:$B,$B15)+SUMIFS(历史数据!$G:$G,历史数据!$A:$A,$A$3-4,历史数据!$B:$B,$B15)+SUMIFS(历史数据!$G:$G,历史数据!$A:$A,$A$3-5,历史数据!$B:$B,$B15))/5</f>
        <v>0</v>
      </c>
      <c r="S15" s="108">
        <f ca="1">F15-(SUMIFS(历史数据!$G:$G,历史数据!$A:$A,$A$3-1,历史数据!$B:$B,$B15)+SUMIFS(历史数据!$G:$G,历史数据!$A:$A,$A$3-2,历史数据!$B:$B,$B15)+SUMIFS(历史数据!$G:$G,历史数据!$A:$A,$A$3-3,历史数据!$B:$B,$B15)+SUMIFS(历史数据!$G:$G,历史数据!$A:$A,$A$3-4,历史数据!$B:$B,$B15)+SUMIFS(历史数据!$G:$G,历史数据!$A:$A,$A$3-5,历史数据!$B:$B,$B15)+SUMIFS(历史数据!$G:$G,历史数据!$A:$A,$A$3-6,历史数据!$B:$B,$B15)+SUMIFS(历史数据!$G:$G,历史数据!$A:$A,$A$3-7,历史数据!$B:$B,$B15))/7</f>
        <v>0</v>
      </c>
    </row>
    <row r="16" spans="1:19">
      <c r="A16" s="109"/>
      <c r="B16" s="104" t="s">
        <v>32</v>
      </c>
      <c r="C16" s="105">
        <f ca="1">SUMIFS(IP监控表!C:C,IP监控表!B:B,"接收IP数",IP监控表!A:A,B16)</f>
        <v>0</v>
      </c>
      <c r="D16" s="104">
        <f>COUNTIF(bty注册!X:X,B16)</f>
        <v>0</v>
      </c>
      <c r="E16" s="106">
        <f ca="1" t="shared" si="2"/>
        <v>0</v>
      </c>
      <c r="F16" s="107">
        <f>COUNTIF(bty首充!H:H,B16)</f>
        <v>0</v>
      </c>
      <c r="G16" s="106">
        <f t="shared" si="1"/>
        <v>0</v>
      </c>
      <c r="H16" s="108">
        <f ca="1">C16-SUMIFS(历史数据!$C:$C,历史数据!$A:$A,$A$3-1,历史数据!$B:$B,$B16)</f>
        <v>0</v>
      </c>
      <c r="I16" s="108">
        <f ca="1">C16-(SUMIFS(历史数据!$C:$C,历史数据!$A:$A,$A$3-1,历史数据!$B:$B,$B16)+SUMIFS(历史数据!$C:$C,历史数据!$A:$A,$A$3-2,历史数据!$B:$B,$B16)+SUMIFS(历史数据!$C:$C,历史数据!$A:$A,$A$3-3,历史数据!$B:$B,$B16))/3</f>
        <v>0</v>
      </c>
      <c r="J16" s="108">
        <f ca="1">C16-(SUMIFS(历史数据!$C:$C,历史数据!$A:$A,$A$3-1,历史数据!$B:$B,$B16)+SUMIFS(历史数据!$C:$C,历史数据!$A:$A,$A$3-2,历史数据!$B:$B,$B16)+SUMIFS(历史数据!$C:$C,历史数据!$A:$A,$A$3-3,历史数据!$B:$B,$B16)+SUMIFS(历史数据!$C:$C,历史数据!$A:$A,$A$3-4,历史数据!$B:$B,$B16)+SUMIFS(历史数据!$C:$C,历史数据!$A:$A,$A$3-5,历史数据!$B:$B,$B16))/5</f>
        <v>0</v>
      </c>
      <c r="K16" s="108">
        <f ca="1">C16-(SUMIFS(历史数据!$C:$C,历史数据!$A:$A,$A$3-1,历史数据!$B:$B,$B16)+SUMIFS(历史数据!$C:$C,历史数据!$A:$A,$A$3-2,历史数据!$B:$B,$B16)+SUMIFS(历史数据!$C:$C,历史数据!$A:$A,$A$3-3,历史数据!$B:$B,$B16)+SUMIFS(历史数据!$C:$C,历史数据!$A:$A,$A$3-4,历史数据!$B:$B,$B16)+SUMIFS(历史数据!$C:$C,历史数据!$A:$A,$A$3-5,历史数据!$B:$B,$B16)+SUMIFS(历史数据!$C:$C,历史数据!$A:$A,$A$3-6,历史数据!$B:$B,$B16)+SUMIFS(历史数据!$C:$C,历史数据!$A:$A,$A$3-7,历史数据!$B:$B,$B16))/7</f>
        <v>0</v>
      </c>
      <c r="L16" s="108">
        <f ca="1">D16-SUMIFS(历史数据!$E:$E,历史数据!$A:$A,$A$3-1,历史数据!$B:$B,$B16)</f>
        <v>0</v>
      </c>
      <c r="M16" s="108">
        <f ca="1">D16-(SUMIFS(历史数据!$E:$E,历史数据!$A:$A,$A$3-1,历史数据!$B:$B,$B16)+SUMIFS(历史数据!$E:$E,历史数据!$A:$A,$A$3-2,历史数据!$B:$B,$B16)+SUMIFS(历史数据!$E:$E,历史数据!$A:$A,$A$3-3,历史数据!$B:$B,$B16))/3</f>
        <v>0</v>
      </c>
      <c r="N16" s="108">
        <f ca="1">D16-(SUMIFS(历史数据!$E:$E,历史数据!$A:$A,$A$3-1,历史数据!$B:$B,$B16)+SUMIFS(历史数据!$E:$E,历史数据!$A:$A,$A$3-2,历史数据!$B:$B,$B16)+SUMIFS(历史数据!$E:$E,历史数据!$A:$A,$A$3-3,历史数据!$B:$B,$B16)+SUMIFS(历史数据!$E:$E,历史数据!$A:$A,$A$3-4,历史数据!$B:$B,$B16)+SUMIFS(历史数据!$E:$E,历史数据!$A:$A,$A$3-5,历史数据!$B:$B,$B16))/5</f>
        <v>0</v>
      </c>
      <c r="O16" s="108">
        <f ca="1">D16-(SUMIFS(历史数据!$E:$E,历史数据!$A:$A,$A$3-1,历史数据!$B:$B,$B16)+SUMIFS(历史数据!$E:$E,历史数据!$A:$A,$A$3-2,历史数据!$B:$B,$B16)+SUMIFS(历史数据!$E:$E,历史数据!$A:$A,$A$3-3,历史数据!$B:$B,$B16)+SUMIFS(历史数据!$E:$E,历史数据!$A:$A,$A$3-4,历史数据!$B:$B,$B16)+SUMIFS(历史数据!$E:$E,历史数据!$A:$A,$A$3-5,历史数据!$B:$B,$B16)+SUMIFS(历史数据!$E:$E,历史数据!$A:$A,$A$3-6,历史数据!$B:$B,$B16)+SUMIFS(历史数据!$E:$E,历史数据!$A:$A,$A$3-7,历史数据!$B:$B,$B16))/7</f>
        <v>0</v>
      </c>
      <c r="P16" s="108">
        <f ca="1">F16-SUMIFS(历史数据!$G:$G,历史数据!$A:$A,$A$3-1,历史数据!$B:$B,$B16)</f>
        <v>0</v>
      </c>
      <c r="Q16" s="108">
        <f ca="1">F16-(SUMIFS(历史数据!$G:$G,历史数据!$A:$A,$A$3-1,历史数据!$B:$B,$B16)+SUMIFS(历史数据!$G:$G,历史数据!$A:$A,$A$3-2,历史数据!$B:$B,$B16)+SUMIFS(历史数据!$G:$G,历史数据!$A:$A,$A$3-3,历史数据!$B:$B,$B16))/3</f>
        <v>0</v>
      </c>
      <c r="R16" s="108">
        <f ca="1">F16-(SUMIFS(历史数据!$G:$G,历史数据!$A:$A,$A$3-1,历史数据!$B:$B,$B16)+SUMIFS(历史数据!$G:$G,历史数据!$A:$A,$A$3-2,历史数据!$B:$B,$B16)+SUMIFS(历史数据!$G:$G,历史数据!$A:$A,$A$3-3,历史数据!$B:$B,$B16)+SUMIFS(历史数据!$G:$G,历史数据!$A:$A,$A$3-4,历史数据!$B:$B,$B16)+SUMIFS(历史数据!$G:$G,历史数据!$A:$A,$A$3-5,历史数据!$B:$B,$B16))/5</f>
        <v>0</v>
      </c>
      <c r="S16" s="108">
        <f ca="1">F16-(SUMIFS(历史数据!$G:$G,历史数据!$A:$A,$A$3-1,历史数据!$B:$B,$B16)+SUMIFS(历史数据!$G:$G,历史数据!$A:$A,$A$3-2,历史数据!$B:$B,$B16)+SUMIFS(历史数据!$G:$G,历史数据!$A:$A,$A$3-3,历史数据!$B:$B,$B16)+SUMIFS(历史数据!$G:$G,历史数据!$A:$A,$A$3-4,历史数据!$B:$B,$B16)+SUMIFS(历史数据!$G:$G,历史数据!$A:$A,$A$3-5,历史数据!$B:$B,$B16)+SUMIFS(历史数据!$G:$G,历史数据!$A:$A,$A$3-6,历史数据!$B:$B,$B16)+SUMIFS(历史数据!$G:$G,历史数据!$A:$A,$A$3-7,历史数据!$B:$B,$B16))/7</f>
        <v>0</v>
      </c>
    </row>
    <row r="17" spans="1:19">
      <c r="A17" s="109"/>
      <c r="B17" s="104" t="s">
        <v>33</v>
      </c>
      <c r="C17" s="105">
        <f ca="1">SUMIFS(IP监控表!C:C,IP监控表!B:B,"接收IP数",IP监控表!A:A,B17)</f>
        <v>0</v>
      </c>
      <c r="D17" s="104">
        <f>COUNTIF(bty注册!X:X,B17)</f>
        <v>0</v>
      </c>
      <c r="E17" s="106">
        <f ca="1" t="shared" si="2"/>
        <v>0</v>
      </c>
      <c r="F17" s="107">
        <f>COUNTIF(bty首充!H:H,B17)</f>
        <v>0</v>
      </c>
      <c r="G17" s="106">
        <f t="shared" si="1"/>
        <v>0</v>
      </c>
      <c r="H17" s="108">
        <f ca="1">C17-SUMIFS(历史数据!$C:$C,历史数据!$A:$A,$A$3-1,历史数据!$B:$B,$B17)</f>
        <v>0</v>
      </c>
      <c r="I17" s="108">
        <f ca="1">C17-(SUMIFS(历史数据!$C:$C,历史数据!$A:$A,$A$3-1,历史数据!$B:$B,$B17)+SUMIFS(历史数据!$C:$C,历史数据!$A:$A,$A$3-2,历史数据!$B:$B,$B17)+SUMIFS(历史数据!$C:$C,历史数据!$A:$A,$A$3-3,历史数据!$B:$B,$B17))/3</f>
        <v>0</v>
      </c>
      <c r="J17" s="108">
        <f ca="1">C17-(SUMIFS(历史数据!$C:$C,历史数据!$A:$A,$A$3-1,历史数据!$B:$B,$B17)+SUMIFS(历史数据!$C:$C,历史数据!$A:$A,$A$3-2,历史数据!$B:$B,$B17)+SUMIFS(历史数据!$C:$C,历史数据!$A:$A,$A$3-3,历史数据!$B:$B,$B17)+SUMIFS(历史数据!$C:$C,历史数据!$A:$A,$A$3-4,历史数据!$B:$B,$B17)+SUMIFS(历史数据!$C:$C,历史数据!$A:$A,$A$3-5,历史数据!$B:$B,$B17))/5</f>
        <v>0</v>
      </c>
      <c r="K17" s="108">
        <f ca="1">C17-(SUMIFS(历史数据!$C:$C,历史数据!$A:$A,$A$3-1,历史数据!$B:$B,$B17)+SUMIFS(历史数据!$C:$C,历史数据!$A:$A,$A$3-2,历史数据!$B:$B,$B17)+SUMIFS(历史数据!$C:$C,历史数据!$A:$A,$A$3-3,历史数据!$B:$B,$B17)+SUMIFS(历史数据!$C:$C,历史数据!$A:$A,$A$3-4,历史数据!$B:$B,$B17)+SUMIFS(历史数据!$C:$C,历史数据!$A:$A,$A$3-5,历史数据!$B:$B,$B17)+SUMIFS(历史数据!$C:$C,历史数据!$A:$A,$A$3-6,历史数据!$B:$B,$B17)+SUMIFS(历史数据!$C:$C,历史数据!$A:$A,$A$3-7,历史数据!$B:$B,$B17))/7</f>
        <v>0</v>
      </c>
      <c r="L17" s="108">
        <f ca="1">D17-SUMIFS(历史数据!$E:$E,历史数据!$A:$A,$A$3-1,历史数据!$B:$B,$B17)</f>
        <v>0</v>
      </c>
      <c r="M17" s="108">
        <f ca="1">D17-(SUMIFS(历史数据!$E:$E,历史数据!$A:$A,$A$3-1,历史数据!$B:$B,$B17)+SUMIFS(历史数据!$E:$E,历史数据!$A:$A,$A$3-2,历史数据!$B:$B,$B17)+SUMIFS(历史数据!$E:$E,历史数据!$A:$A,$A$3-3,历史数据!$B:$B,$B17))/3</f>
        <v>0</v>
      </c>
      <c r="N17" s="108">
        <f ca="1">D17-(SUMIFS(历史数据!$E:$E,历史数据!$A:$A,$A$3-1,历史数据!$B:$B,$B17)+SUMIFS(历史数据!$E:$E,历史数据!$A:$A,$A$3-2,历史数据!$B:$B,$B17)+SUMIFS(历史数据!$E:$E,历史数据!$A:$A,$A$3-3,历史数据!$B:$B,$B17)+SUMIFS(历史数据!$E:$E,历史数据!$A:$A,$A$3-4,历史数据!$B:$B,$B17)+SUMIFS(历史数据!$E:$E,历史数据!$A:$A,$A$3-5,历史数据!$B:$B,$B17))/5</f>
        <v>0</v>
      </c>
      <c r="O17" s="108">
        <f ca="1">D17-(SUMIFS(历史数据!$E:$E,历史数据!$A:$A,$A$3-1,历史数据!$B:$B,$B17)+SUMIFS(历史数据!$E:$E,历史数据!$A:$A,$A$3-2,历史数据!$B:$B,$B17)+SUMIFS(历史数据!$E:$E,历史数据!$A:$A,$A$3-3,历史数据!$B:$B,$B17)+SUMIFS(历史数据!$E:$E,历史数据!$A:$A,$A$3-4,历史数据!$B:$B,$B17)+SUMIFS(历史数据!$E:$E,历史数据!$A:$A,$A$3-5,历史数据!$B:$B,$B17)+SUMIFS(历史数据!$E:$E,历史数据!$A:$A,$A$3-6,历史数据!$B:$B,$B17)+SUMIFS(历史数据!$E:$E,历史数据!$A:$A,$A$3-7,历史数据!$B:$B,$B17))/7</f>
        <v>0</v>
      </c>
      <c r="P17" s="108">
        <f ca="1">F17-SUMIFS(历史数据!$G:$G,历史数据!$A:$A,$A$3-1,历史数据!$B:$B,$B17)</f>
        <v>0</v>
      </c>
      <c r="Q17" s="108">
        <f ca="1">F17-(SUMIFS(历史数据!$G:$G,历史数据!$A:$A,$A$3-1,历史数据!$B:$B,$B17)+SUMIFS(历史数据!$G:$G,历史数据!$A:$A,$A$3-2,历史数据!$B:$B,$B17)+SUMIFS(历史数据!$G:$G,历史数据!$A:$A,$A$3-3,历史数据!$B:$B,$B17))/3</f>
        <v>0</v>
      </c>
      <c r="R17" s="108">
        <f ca="1">F17-(SUMIFS(历史数据!$G:$G,历史数据!$A:$A,$A$3-1,历史数据!$B:$B,$B17)+SUMIFS(历史数据!$G:$G,历史数据!$A:$A,$A$3-2,历史数据!$B:$B,$B17)+SUMIFS(历史数据!$G:$G,历史数据!$A:$A,$A$3-3,历史数据!$B:$B,$B17)+SUMIFS(历史数据!$G:$G,历史数据!$A:$A,$A$3-4,历史数据!$B:$B,$B17)+SUMIFS(历史数据!$G:$G,历史数据!$A:$A,$A$3-5,历史数据!$B:$B,$B17))/5</f>
        <v>0</v>
      </c>
      <c r="S17" s="108">
        <f ca="1">F17-(SUMIFS(历史数据!$G:$G,历史数据!$A:$A,$A$3-1,历史数据!$B:$B,$B17)+SUMIFS(历史数据!$G:$G,历史数据!$A:$A,$A$3-2,历史数据!$B:$B,$B17)+SUMIFS(历史数据!$G:$G,历史数据!$A:$A,$A$3-3,历史数据!$B:$B,$B17)+SUMIFS(历史数据!$G:$G,历史数据!$A:$A,$A$3-4,历史数据!$B:$B,$B17)+SUMIFS(历史数据!$G:$G,历史数据!$A:$A,$A$3-5,历史数据!$B:$B,$B17)+SUMIFS(历史数据!$G:$G,历史数据!$A:$A,$A$3-6,历史数据!$B:$B,$B17)+SUMIFS(历史数据!$G:$G,历史数据!$A:$A,$A$3-7,历史数据!$B:$B,$B17))/7</f>
        <v>0</v>
      </c>
    </row>
    <row r="18" spans="1:19">
      <c r="A18" s="109"/>
      <c r="B18" s="104" t="s">
        <v>34</v>
      </c>
      <c r="C18" s="105">
        <f ca="1">SUMIFS(IP监控表!C:C,IP监控表!B:B,"接收IP数",IP监控表!A:A,B18)</f>
        <v>0</v>
      </c>
      <c r="D18" s="104">
        <f>COUNTIF(bty注册!X:X,B18)</f>
        <v>0</v>
      </c>
      <c r="E18" s="106">
        <f ca="1" t="shared" si="2"/>
        <v>0</v>
      </c>
      <c r="F18" s="107">
        <f>COUNTIF(bty首充!H:H,B18)</f>
        <v>0</v>
      </c>
      <c r="G18" s="106">
        <f t="shared" si="1"/>
        <v>0</v>
      </c>
      <c r="H18" s="108">
        <f ca="1">C18-SUMIFS(历史数据!$C:$C,历史数据!$A:$A,$A$3-1,历史数据!$B:$B,$B18)</f>
        <v>0</v>
      </c>
      <c r="I18" s="108">
        <f ca="1">C18-(SUMIFS(历史数据!$C:$C,历史数据!$A:$A,$A$3-1,历史数据!$B:$B,$B18)+SUMIFS(历史数据!$C:$C,历史数据!$A:$A,$A$3-2,历史数据!$B:$B,$B18)+SUMIFS(历史数据!$C:$C,历史数据!$A:$A,$A$3-3,历史数据!$B:$B,$B18))/3</f>
        <v>0</v>
      </c>
      <c r="J18" s="108">
        <f ca="1">C18-(SUMIFS(历史数据!$C:$C,历史数据!$A:$A,$A$3-1,历史数据!$B:$B,$B18)+SUMIFS(历史数据!$C:$C,历史数据!$A:$A,$A$3-2,历史数据!$B:$B,$B18)+SUMIFS(历史数据!$C:$C,历史数据!$A:$A,$A$3-3,历史数据!$B:$B,$B18)+SUMIFS(历史数据!$C:$C,历史数据!$A:$A,$A$3-4,历史数据!$B:$B,$B18)+SUMIFS(历史数据!$C:$C,历史数据!$A:$A,$A$3-5,历史数据!$B:$B,$B18))/5</f>
        <v>0</v>
      </c>
      <c r="K18" s="108">
        <f ca="1">C18-(SUMIFS(历史数据!$C:$C,历史数据!$A:$A,$A$3-1,历史数据!$B:$B,$B18)+SUMIFS(历史数据!$C:$C,历史数据!$A:$A,$A$3-2,历史数据!$B:$B,$B18)+SUMIFS(历史数据!$C:$C,历史数据!$A:$A,$A$3-3,历史数据!$B:$B,$B18)+SUMIFS(历史数据!$C:$C,历史数据!$A:$A,$A$3-4,历史数据!$B:$B,$B18)+SUMIFS(历史数据!$C:$C,历史数据!$A:$A,$A$3-5,历史数据!$B:$B,$B18)+SUMIFS(历史数据!$C:$C,历史数据!$A:$A,$A$3-6,历史数据!$B:$B,$B18)+SUMIFS(历史数据!$C:$C,历史数据!$A:$A,$A$3-7,历史数据!$B:$B,$B18))/7</f>
        <v>0</v>
      </c>
      <c r="L18" s="108">
        <f ca="1">D18-SUMIFS(历史数据!$E:$E,历史数据!$A:$A,$A$3-1,历史数据!$B:$B,$B18)</f>
        <v>0</v>
      </c>
      <c r="M18" s="108">
        <f ca="1">D18-(SUMIFS(历史数据!$E:$E,历史数据!$A:$A,$A$3-1,历史数据!$B:$B,$B18)+SUMIFS(历史数据!$E:$E,历史数据!$A:$A,$A$3-2,历史数据!$B:$B,$B18)+SUMIFS(历史数据!$E:$E,历史数据!$A:$A,$A$3-3,历史数据!$B:$B,$B18))/3</f>
        <v>0</v>
      </c>
      <c r="N18" s="108">
        <f ca="1">D18-(SUMIFS(历史数据!$E:$E,历史数据!$A:$A,$A$3-1,历史数据!$B:$B,$B18)+SUMIFS(历史数据!$E:$E,历史数据!$A:$A,$A$3-2,历史数据!$B:$B,$B18)+SUMIFS(历史数据!$E:$E,历史数据!$A:$A,$A$3-3,历史数据!$B:$B,$B18)+SUMIFS(历史数据!$E:$E,历史数据!$A:$A,$A$3-4,历史数据!$B:$B,$B18)+SUMIFS(历史数据!$E:$E,历史数据!$A:$A,$A$3-5,历史数据!$B:$B,$B18))/5</f>
        <v>0</v>
      </c>
      <c r="O18" s="108">
        <f ca="1">D18-(SUMIFS(历史数据!$E:$E,历史数据!$A:$A,$A$3-1,历史数据!$B:$B,$B18)+SUMIFS(历史数据!$E:$E,历史数据!$A:$A,$A$3-2,历史数据!$B:$B,$B18)+SUMIFS(历史数据!$E:$E,历史数据!$A:$A,$A$3-3,历史数据!$B:$B,$B18)+SUMIFS(历史数据!$E:$E,历史数据!$A:$A,$A$3-4,历史数据!$B:$B,$B18)+SUMIFS(历史数据!$E:$E,历史数据!$A:$A,$A$3-5,历史数据!$B:$B,$B18)+SUMIFS(历史数据!$E:$E,历史数据!$A:$A,$A$3-6,历史数据!$B:$B,$B18)+SUMIFS(历史数据!$E:$E,历史数据!$A:$A,$A$3-7,历史数据!$B:$B,$B18))/7</f>
        <v>0</v>
      </c>
      <c r="P18" s="108">
        <f ca="1">F18-SUMIFS(历史数据!$G:$G,历史数据!$A:$A,$A$3-1,历史数据!$B:$B,$B18)</f>
        <v>0</v>
      </c>
      <c r="Q18" s="108">
        <f ca="1">F18-(SUMIFS(历史数据!$G:$G,历史数据!$A:$A,$A$3-1,历史数据!$B:$B,$B18)+SUMIFS(历史数据!$G:$G,历史数据!$A:$A,$A$3-2,历史数据!$B:$B,$B18)+SUMIFS(历史数据!$G:$G,历史数据!$A:$A,$A$3-3,历史数据!$B:$B,$B18))/3</f>
        <v>0</v>
      </c>
      <c r="R18" s="108">
        <f ca="1">F18-(SUMIFS(历史数据!$G:$G,历史数据!$A:$A,$A$3-1,历史数据!$B:$B,$B18)+SUMIFS(历史数据!$G:$G,历史数据!$A:$A,$A$3-2,历史数据!$B:$B,$B18)+SUMIFS(历史数据!$G:$G,历史数据!$A:$A,$A$3-3,历史数据!$B:$B,$B18)+SUMIFS(历史数据!$G:$G,历史数据!$A:$A,$A$3-4,历史数据!$B:$B,$B18)+SUMIFS(历史数据!$G:$G,历史数据!$A:$A,$A$3-5,历史数据!$B:$B,$B18))/5</f>
        <v>0</v>
      </c>
      <c r="S18" s="108">
        <f ca="1">F18-(SUMIFS(历史数据!$G:$G,历史数据!$A:$A,$A$3-1,历史数据!$B:$B,$B18)+SUMIFS(历史数据!$G:$G,历史数据!$A:$A,$A$3-2,历史数据!$B:$B,$B18)+SUMIFS(历史数据!$G:$G,历史数据!$A:$A,$A$3-3,历史数据!$B:$B,$B18)+SUMIFS(历史数据!$G:$G,历史数据!$A:$A,$A$3-4,历史数据!$B:$B,$B18)+SUMIFS(历史数据!$G:$G,历史数据!$A:$A,$A$3-5,历史数据!$B:$B,$B18)+SUMIFS(历史数据!$G:$G,历史数据!$A:$A,$A$3-6,历史数据!$B:$B,$B18)+SUMIFS(历史数据!$G:$G,历史数据!$A:$A,$A$3-7,历史数据!$B:$B,$B18))/7</f>
        <v>0</v>
      </c>
    </row>
    <row r="19" spans="1:19">
      <c r="A19" s="109"/>
      <c r="B19" s="104" t="s">
        <v>35</v>
      </c>
      <c r="C19" s="105">
        <f ca="1">SUMIFS(IP监控表!C:C,IP监控表!B:B,"接收IP数",IP监控表!A:A,B19)</f>
        <v>0</v>
      </c>
      <c r="D19" s="104">
        <f>COUNTIF(bty注册!X:X,B19)</f>
        <v>0</v>
      </c>
      <c r="E19" s="106">
        <f ca="1" t="shared" si="2"/>
        <v>0</v>
      </c>
      <c r="F19" s="107">
        <f>COUNTIF(bty首充!H:H,B19)</f>
        <v>0</v>
      </c>
      <c r="G19" s="106">
        <f t="shared" si="1"/>
        <v>0</v>
      </c>
      <c r="H19" s="108">
        <f ca="1">C19-SUMIFS(历史数据!$C:$C,历史数据!$A:$A,$A$3-1,历史数据!$B:$B,$B19)</f>
        <v>0</v>
      </c>
      <c r="I19" s="108">
        <f ca="1">C19-(SUMIFS(历史数据!$C:$C,历史数据!$A:$A,$A$3-1,历史数据!$B:$B,$B19)+SUMIFS(历史数据!$C:$C,历史数据!$A:$A,$A$3-2,历史数据!$B:$B,$B19)+SUMIFS(历史数据!$C:$C,历史数据!$A:$A,$A$3-3,历史数据!$B:$B,$B19))/3</f>
        <v>0</v>
      </c>
      <c r="J19" s="108">
        <f ca="1">C19-(SUMIFS(历史数据!$C:$C,历史数据!$A:$A,$A$3-1,历史数据!$B:$B,$B19)+SUMIFS(历史数据!$C:$C,历史数据!$A:$A,$A$3-2,历史数据!$B:$B,$B19)+SUMIFS(历史数据!$C:$C,历史数据!$A:$A,$A$3-3,历史数据!$B:$B,$B19)+SUMIFS(历史数据!$C:$C,历史数据!$A:$A,$A$3-4,历史数据!$B:$B,$B19)+SUMIFS(历史数据!$C:$C,历史数据!$A:$A,$A$3-5,历史数据!$B:$B,$B19))/5</f>
        <v>0</v>
      </c>
      <c r="K19" s="108">
        <f ca="1">C19-(SUMIFS(历史数据!$C:$C,历史数据!$A:$A,$A$3-1,历史数据!$B:$B,$B19)+SUMIFS(历史数据!$C:$C,历史数据!$A:$A,$A$3-2,历史数据!$B:$B,$B19)+SUMIFS(历史数据!$C:$C,历史数据!$A:$A,$A$3-3,历史数据!$B:$B,$B19)+SUMIFS(历史数据!$C:$C,历史数据!$A:$A,$A$3-4,历史数据!$B:$B,$B19)+SUMIFS(历史数据!$C:$C,历史数据!$A:$A,$A$3-5,历史数据!$B:$B,$B19)+SUMIFS(历史数据!$C:$C,历史数据!$A:$A,$A$3-6,历史数据!$B:$B,$B19)+SUMIFS(历史数据!$C:$C,历史数据!$A:$A,$A$3-7,历史数据!$B:$B,$B19))/7</f>
        <v>0</v>
      </c>
      <c r="L19" s="108">
        <f ca="1">D19-SUMIFS(历史数据!$E:$E,历史数据!$A:$A,$A$3-1,历史数据!$B:$B,$B19)</f>
        <v>0</v>
      </c>
      <c r="M19" s="108">
        <f ca="1">D19-(SUMIFS(历史数据!$E:$E,历史数据!$A:$A,$A$3-1,历史数据!$B:$B,$B19)+SUMIFS(历史数据!$E:$E,历史数据!$A:$A,$A$3-2,历史数据!$B:$B,$B19)+SUMIFS(历史数据!$E:$E,历史数据!$A:$A,$A$3-3,历史数据!$B:$B,$B19))/3</f>
        <v>0</v>
      </c>
      <c r="N19" s="108">
        <f ca="1">D19-(SUMIFS(历史数据!$E:$E,历史数据!$A:$A,$A$3-1,历史数据!$B:$B,$B19)+SUMIFS(历史数据!$E:$E,历史数据!$A:$A,$A$3-2,历史数据!$B:$B,$B19)+SUMIFS(历史数据!$E:$E,历史数据!$A:$A,$A$3-3,历史数据!$B:$B,$B19)+SUMIFS(历史数据!$E:$E,历史数据!$A:$A,$A$3-4,历史数据!$B:$B,$B19)+SUMIFS(历史数据!$E:$E,历史数据!$A:$A,$A$3-5,历史数据!$B:$B,$B19))/5</f>
        <v>0</v>
      </c>
      <c r="O19" s="108">
        <f ca="1">D19-(SUMIFS(历史数据!$E:$E,历史数据!$A:$A,$A$3-1,历史数据!$B:$B,$B19)+SUMIFS(历史数据!$E:$E,历史数据!$A:$A,$A$3-2,历史数据!$B:$B,$B19)+SUMIFS(历史数据!$E:$E,历史数据!$A:$A,$A$3-3,历史数据!$B:$B,$B19)+SUMIFS(历史数据!$E:$E,历史数据!$A:$A,$A$3-4,历史数据!$B:$B,$B19)+SUMIFS(历史数据!$E:$E,历史数据!$A:$A,$A$3-5,历史数据!$B:$B,$B19)+SUMIFS(历史数据!$E:$E,历史数据!$A:$A,$A$3-6,历史数据!$B:$B,$B19)+SUMIFS(历史数据!$E:$E,历史数据!$A:$A,$A$3-7,历史数据!$B:$B,$B19))/7</f>
        <v>0</v>
      </c>
      <c r="P19" s="108">
        <f ca="1">F19-SUMIFS(历史数据!$G:$G,历史数据!$A:$A,$A$3-1,历史数据!$B:$B,$B19)</f>
        <v>0</v>
      </c>
      <c r="Q19" s="108">
        <f ca="1">F19-(SUMIFS(历史数据!$G:$G,历史数据!$A:$A,$A$3-1,历史数据!$B:$B,$B19)+SUMIFS(历史数据!$G:$G,历史数据!$A:$A,$A$3-2,历史数据!$B:$B,$B19)+SUMIFS(历史数据!$G:$G,历史数据!$A:$A,$A$3-3,历史数据!$B:$B,$B19))/3</f>
        <v>0</v>
      </c>
      <c r="R19" s="108">
        <f ca="1">F19-(SUMIFS(历史数据!$G:$G,历史数据!$A:$A,$A$3-1,历史数据!$B:$B,$B19)+SUMIFS(历史数据!$G:$G,历史数据!$A:$A,$A$3-2,历史数据!$B:$B,$B19)+SUMIFS(历史数据!$G:$G,历史数据!$A:$A,$A$3-3,历史数据!$B:$B,$B19)+SUMIFS(历史数据!$G:$G,历史数据!$A:$A,$A$3-4,历史数据!$B:$B,$B19)+SUMIFS(历史数据!$G:$G,历史数据!$A:$A,$A$3-5,历史数据!$B:$B,$B19))/5</f>
        <v>0</v>
      </c>
      <c r="S19" s="108">
        <f ca="1">F19-(SUMIFS(历史数据!$G:$G,历史数据!$A:$A,$A$3-1,历史数据!$B:$B,$B19)+SUMIFS(历史数据!$G:$G,历史数据!$A:$A,$A$3-2,历史数据!$B:$B,$B19)+SUMIFS(历史数据!$G:$G,历史数据!$A:$A,$A$3-3,历史数据!$B:$B,$B19)+SUMIFS(历史数据!$G:$G,历史数据!$A:$A,$A$3-4,历史数据!$B:$B,$B19)+SUMIFS(历史数据!$G:$G,历史数据!$A:$A,$A$3-5,历史数据!$B:$B,$B19)+SUMIFS(历史数据!$G:$G,历史数据!$A:$A,$A$3-6,历史数据!$B:$B,$B19)+SUMIFS(历史数据!$G:$G,历史数据!$A:$A,$A$3-7,历史数据!$B:$B,$B19))/7</f>
        <v>0</v>
      </c>
    </row>
    <row r="20" spans="1:19">
      <c r="A20" s="109"/>
      <c r="B20" s="104" t="s">
        <v>36</v>
      </c>
      <c r="C20" s="105">
        <f ca="1">SUMIFS(IP监控表!C:C,IP监控表!B:B,"接收IP数",IP监控表!A:A,B20)</f>
        <v>0</v>
      </c>
      <c r="D20" s="104">
        <f>COUNTIF(bty注册!X:X,B20)</f>
        <v>0</v>
      </c>
      <c r="E20" s="106">
        <f ca="1" t="shared" si="2"/>
        <v>0</v>
      </c>
      <c r="F20" s="107">
        <f>COUNTIF(bty首充!H:H,B20)</f>
        <v>0</v>
      </c>
      <c r="G20" s="106">
        <f t="shared" si="1"/>
        <v>0</v>
      </c>
      <c r="H20" s="108">
        <f ca="1">C20-SUMIFS(历史数据!$C:$C,历史数据!$A:$A,$A$3-1,历史数据!$B:$B,$B20)</f>
        <v>0</v>
      </c>
      <c r="I20" s="108">
        <f ca="1">C20-(SUMIFS(历史数据!$C:$C,历史数据!$A:$A,$A$3-1,历史数据!$B:$B,$B20)+SUMIFS(历史数据!$C:$C,历史数据!$A:$A,$A$3-2,历史数据!$B:$B,$B20)+SUMIFS(历史数据!$C:$C,历史数据!$A:$A,$A$3-3,历史数据!$B:$B,$B20))/3</f>
        <v>0</v>
      </c>
      <c r="J20" s="108">
        <f ca="1">C20-(SUMIFS(历史数据!$C:$C,历史数据!$A:$A,$A$3-1,历史数据!$B:$B,$B20)+SUMIFS(历史数据!$C:$C,历史数据!$A:$A,$A$3-2,历史数据!$B:$B,$B20)+SUMIFS(历史数据!$C:$C,历史数据!$A:$A,$A$3-3,历史数据!$B:$B,$B20)+SUMIFS(历史数据!$C:$C,历史数据!$A:$A,$A$3-4,历史数据!$B:$B,$B20)+SUMIFS(历史数据!$C:$C,历史数据!$A:$A,$A$3-5,历史数据!$B:$B,$B20))/5</f>
        <v>0</v>
      </c>
      <c r="K20" s="108">
        <f ca="1">C20-(SUMIFS(历史数据!$C:$C,历史数据!$A:$A,$A$3-1,历史数据!$B:$B,$B20)+SUMIFS(历史数据!$C:$C,历史数据!$A:$A,$A$3-2,历史数据!$B:$B,$B20)+SUMIFS(历史数据!$C:$C,历史数据!$A:$A,$A$3-3,历史数据!$B:$B,$B20)+SUMIFS(历史数据!$C:$C,历史数据!$A:$A,$A$3-4,历史数据!$B:$B,$B20)+SUMIFS(历史数据!$C:$C,历史数据!$A:$A,$A$3-5,历史数据!$B:$B,$B20)+SUMIFS(历史数据!$C:$C,历史数据!$A:$A,$A$3-6,历史数据!$B:$B,$B20)+SUMIFS(历史数据!$C:$C,历史数据!$A:$A,$A$3-7,历史数据!$B:$B,$B20))/7</f>
        <v>0</v>
      </c>
      <c r="L20" s="108">
        <f ca="1">D20-SUMIFS(历史数据!$E:$E,历史数据!$A:$A,$A$3-1,历史数据!$B:$B,$B20)</f>
        <v>0</v>
      </c>
      <c r="M20" s="108">
        <f ca="1">D20-(SUMIFS(历史数据!$E:$E,历史数据!$A:$A,$A$3-1,历史数据!$B:$B,$B20)+SUMIFS(历史数据!$E:$E,历史数据!$A:$A,$A$3-2,历史数据!$B:$B,$B20)+SUMIFS(历史数据!$E:$E,历史数据!$A:$A,$A$3-3,历史数据!$B:$B,$B20))/3</f>
        <v>0</v>
      </c>
      <c r="N20" s="108">
        <f ca="1">D20-(SUMIFS(历史数据!$E:$E,历史数据!$A:$A,$A$3-1,历史数据!$B:$B,$B20)+SUMIFS(历史数据!$E:$E,历史数据!$A:$A,$A$3-2,历史数据!$B:$B,$B20)+SUMIFS(历史数据!$E:$E,历史数据!$A:$A,$A$3-3,历史数据!$B:$B,$B20)+SUMIFS(历史数据!$E:$E,历史数据!$A:$A,$A$3-4,历史数据!$B:$B,$B20)+SUMIFS(历史数据!$E:$E,历史数据!$A:$A,$A$3-5,历史数据!$B:$B,$B20))/5</f>
        <v>0</v>
      </c>
      <c r="O20" s="108">
        <f ca="1">D20-(SUMIFS(历史数据!$E:$E,历史数据!$A:$A,$A$3-1,历史数据!$B:$B,$B20)+SUMIFS(历史数据!$E:$E,历史数据!$A:$A,$A$3-2,历史数据!$B:$B,$B20)+SUMIFS(历史数据!$E:$E,历史数据!$A:$A,$A$3-3,历史数据!$B:$B,$B20)+SUMIFS(历史数据!$E:$E,历史数据!$A:$A,$A$3-4,历史数据!$B:$B,$B20)+SUMIFS(历史数据!$E:$E,历史数据!$A:$A,$A$3-5,历史数据!$B:$B,$B20)+SUMIFS(历史数据!$E:$E,历史数据!$A:$A,$A$3-6,历史数据!$B:$B,$B20)+SUMIFS(历史数据!$E:$E,历史数据!$A:$A,$A$3-7,历史数据!$B:$B,$B20))/7</f>
        <v>0</v>
      </c>
      <c r="P20" s="108">
        <f ca="1">F20-SUMIFS(历史数据!$G:$G,历史数据!$A:$A,$A$3-1,历史数据!$B:$B,$B20)</f>
        <v>0</v>
      </c>
      <c r="Q20" s="108">
        <f ca="1">F20-(SUMIFS(历史数据!$G:$G,历史数据!$A:$A,$A$3-1,历史数据!$B:$B,$B20)+SUMIFS(历史数据!$G:$G,历史数据!$A:$A,$A$3-2,历史数据!$B:$B,$B20)+SUMIFS(历史数据!$G:$G,历史数据!$A:$A,$A$3-3,历史数据!$B:$B,$B20))/3</f>
        <v>0</v>
      </c>
      <c r="R20" s="108">
        <f ca="1">F20-(SUMIFS(历史数据!$G:$G,历史数据!$A:$A,$A$3-1,历史数据!$B:$B,$B20)+SUMIFS(历史数据!$G:$G,历史数据!$A:$A,$A$3-2,历史数据!$B:$B,$B20)+SUMIFS(历史数据!$G:$G,历史数据!$A:$A,$A$3-3,历史数据!$B:$B,$B20)+SUMIFS(历史数据!$G:$G,历史数据!$A:$A,$A$3-4,历史数据!$B:$B,$B20)+SUMIFS(历史数据!$G:$G,历史数据!$A:$A,$A$3-5,历史数据!$B:$B,$B20))/5</f>
        <v>0</v>
      </c>
      <c r="S20" s="108">
        <f ca="1">F20-(SUMIFS(历史数据!$G:$G,历史数据!$A:$A,$A$3-1,历史数据!$B:$B,$B20)+SUMIFS(历史数据!$G:$G,历史数据!$A:$A,$A$3-2,历史数据!$B:$B,$B20)+SUMIFS(历史数据!$G:$G,历史数据!$A:$A,$A$3-3,历史数据!$B:$B,$B20)+SUMIFS(历史数据!$G:$G,历史数据!$A:$A,$A$3-4,历史数据!$B:$B,$B20)+SUMIFS(历史数据!$G:$G,历史数据!$A:$A,$A$3-5,历史数据!$B:$B,$B20)+SUMIFS(历史数据!$G:$G,历史数据!$A:$A,$A$3-6,历史数据!$B:$B,$B20)+SUMIFS(历史数据!$G:$G,历史数据!$A:$A,$A$3-7,历史数据!$B:$B,$B20))/7</f>
        <v>0</v>
      </c>
    </row>
    <row r="21" spans="1:19">
      <c r="A21" s="109"/>
      <c r="B21" s="104" t="s">
        <v>37</v>
      </c>
      <c r="C21" s="105">
        <f ca="1">SUMIFS(IP监控表!C:C,IP监控表!B:B,"接收IP数",IP监控表!A:A,B21)</f>
        <v>0</v>
      </c>
      <c r="D21" s="104">
        <f>COUNTIF(bty注册!X:X,B21)</f>
        <v>2</v>
      </c>
      <c r="E21" s="106">
        <f ca="1" t="shared" si="2"/>
        <v>2</v>
      </c>
      <c r="F21" s="107">
        <f>COUNTIF(bty首充!H:H,B21)</f>
        <v>1</v>
      </c>
      <c r="G21" s="106">
        <f t="shared" si="1"/>
        <v>0.5</v>
      </c>
      <c r="H21" s="108">
        <f ca="1">C21-SUMIFS(历史数据!$C:$C,历史数据!$A:$A,$A$3-1,历史数据!$B:$B,$B21)</f>
        <v>0</v>
      </c>
      <c r="I21" s="108">
        <f ca="1">C21-(SUMIFS(历史数据!$C:$C,历史数据!$A:$A,$A$3-1,历史数据!$B:$B,$B21)+SUMIFS(历史数据!$C:$C,历史数据!$A:$A,$A$3-2,历史数据!$B:$B,$B21)+SUMIFS(历史数据!$C:$C,历史数据!$A:$A,$A$3-3,历史数据!$B:$B,$B21))/3</f>
        <v>0</v>
      </c>
      <c r="J21" s="108">
        <f ca="1">C21-(SUMIFS(历史数据!$C:$C,历史数据!$A:$A,$A$3-1,历史数据!$B:$B,$B21)+SUMIFS(历史数据!$C:$C,历史数据!$A:$A,$A$3-2,历史数据!$B:$B,$B21)+SUMIFS(历史数据!$C:$C,历史数据!$A:$A,$A$3-3,历史数据!$B:$B,$B21)+SUMIFS(历史数据!$C:$C,历史数据!$A:$A,$A$3-4,历史数据!$B:$B,$B21)+SUMIFS(历史数据!$C:$C,历史数据!$A:$A,$A$3-5,历史数据!$B:$B,$B21))/5</f>
        <v>0</v>
      </c>
      <c r="K21" s="108">
        <f ca="1">C21-(SUMIFS(历史数据!$C:$C,历史数据!$A:$A,$A$3-1,历史数据!$B:$B,$B21)+SUMIFS(历史数据!$C:$C,历史数据!$A:$A,$A$3-2,历史数据!$B:$B,$B21)+SUMIFS(历史数据!$C:$C,历史数据!$A:$A,$A$3-3,历史数据!$B:$B,$B21)+SUMIFS(历史数据!$C:$C,历史数据!$A:$A,$A$3-4,历史数据!$B:$B,$B21)+SUMIFS(历史数据!$C:$C,历史数据!$A:$A,$A$3-5,历史数据!$B:$B,$B21)+SUMIFS(历史数据!$C:$C,历史数据!$A:$A,$A$3-6,历史数据!$B:$B,$B21)+SUMIFS(历史数据!$C:$C,历史数据!$A:$A,$A$3-7,历史数据!$B:$B,$B21))/7</f>
        <v>0</v>
      </c>
      <c r="L21" s="108">
        <f ca="1">D21-SUMIFS(历史数据!$E:$E,历史数据!$A:$A,$A$3-1,历史数据!$B:$B,$B21)</f>
        <v>1</v>
      </c>
      <c r="M21" s="108">
        <f ca="1">D21-(SUMIFS(历史数据!$E:$E,历史数据!$A:$A,$A$3-1,历史数据!$B:$B,$B21)+SUMIFS(历史数据!$E:$E,历史数据!$A:$A,$A$3-2,历史数据!$B:$B,$B21)+SUMIFS(历史数据!$E:$E,历史数据!$A:$A,$A$3-3,历史数据!$B:$B,$B21))/3</f>
        <v>1.66666666666667</v>
      </c>
      <c r="N21" s="108">
        <f ca="1">D21-(SUMIFS(历史数据!$E:$E,历史数据!$A:$A,$A$3-1,历史数据!$B:$B,$B21)+SUMIFS(历史数据!$E:$E,历史数据!$A:$A,$A$3-2,历史数据!$B:$B,$B21)+SUMIFS(历史数据!$E:$E,历史数据!$A:$A,$A$3-3,历史数据!$B:$B,$B21)+SUMIFS(历史数据!$E:$E,历史数据!$A:$A,$A$3-4,历史数据!$B:$B,$B21)+SUMIFS(历史数据!$E:$E,历史数据!$A:$A,$A$3-5,历史数据!$B:$B,$B21))/5</f>
        <v>1.4</v>
      </c>
      <c r="O21" s="108">
        <f ca="1">D21-(SUMIFS(历史数据!$E:$E,历史数据!$A:$A,$A$3-1,历史数据!$B:$B,$B21)+SUMIFS(历史数据!$E:$E,历史数据!$A:$A,$A$3-2,历史数据!$B:$B,$B21)+SUMIFS(历史数据!$E:$E,历史数据!$A:$A,$A$3-3,历史数据!$B:$B,$B21)+SUMIFS(历史数据!$E:$E,历史数据!$A:$A,$A$3-4,历史数据!$B:$B,$B21)+SUMIFS(历史数据!$E:$E,历史数据!$A:$A,$A$3-5,历史数据!$B:$B,$B21)+SUMIFS(历史数据!$E:$E,历史数据!$A:$A,$A$3-6,历史数据!$B:$B,$B21)+SUMIFS(历史数据!$E:$E,历史数据!$A:$A,$A$3-7,历史数据!$B:$B,$B21))/7</f>
        <v>1.14285714285714</v>
      </c>
      <c r="P21" s="108">
        <f ca="1">F21-SUMIFS(历史数据!$G:$G,历史数据!$A:$A,$A$3-1,历史数据!$B:$B,$B21)</f>
        <v>1</v>
      </c>
      <c r="Q21" s="108">
        <f ca="1">F21-(SUMIFS(历史数据!$G:$G,历史数据!$A:$A,$A$3-1,历史数据!$B:$B,$B21)+SUMIFS(历史数据!$G:$G,历史数据!$A:$A,$A$3-2,历史数据!$B:$B,$B21)+SUMIFS(历史数据!$G:$G,历史数据!$A:$A,$A$3-3,历史数据!$B:$B,$B21))/3</f>
        <v>1</v>
      </c>
      <c r="R21" s="108">
        <f ca="1">F21-(SUMIFS(历史数据!$G:$G,历史数据!$A:$A,$A$3-1,历史数据!$B:$B,$B21)+SUMIFS(历史数据!$G:$G,历史数据!$A:$A,$A$3-2,历史数据!$B:$B,$B21)+SUMIFS(历史数据!$G:$G,历史数据!$A:$A,$A$3-3,历史数据!$B:$B,$B21)+SUMIFS(历史数据!$G:$G,历史数据!$A:$A,$A$3-4,历史数据!$B:$B,$B21)+SUMIFS(历史数据!$G:$G,历史数据!$A:$A,$A$3-5,历史数据!$B:$B,$B21))/5</f>
        <v>1</v>
      </c>
      <c r="S21" s="108">
        <f ca="1">F21-(SUMIFS(历史数据!$G:$G,历史数据!$A:$A,$A$3-1,历史数据!$B:$B,$B21)+SUMIFS(历史数据!$G:$G,历史数据!$A:$A,$A$3-2,历史数据!$B:$B,$B21)+SUMIFS(历史数据!$G:$G,历史数据!$A:$A,$A$3-3,历史数据!$B:$B,$B21)+SUMIFS(历史数据!$G:$G,历史数据!$A:$A,$A$3-4,历史数据!$B:$B,$B21)+SUMIFS(历史数据!$G:$G,历史数据!$A:$A,$A$3-5,历史数据!$B:$B,$B21)+SUMIFS(历史数据!$G:$G,历史数据!$A:$A,$A$3-6,历史数据!$B:$B,$B21)+SUMIFS(历史数据!$G:$G,历史数据!$A:$A,$A$3-7,历史数据!$B:$B,$B21))/7</f>
        <v>1</v>
      </c>
    </row>
    <row r="22" spans="1:19">
      <c r="A22" s="109"/>
      <c r="B22" s="104" t="s">
        <v>38</v>
      </c>
      <c r="C22" s="105">
        <f ca="1">SUMIFS(IP监控表!C:C,IP监控表!B:B,"接收IP数",IP监控表!A:A,B22)</f>
        <v>0</v>
      </c>
      <c r="D22" s="104">
        <f>COUNTIF(bty注册!X:X,B22)</f>
        <v>0</v>
      </c>
      <c r="E22" s="106">
        <f ca="1" t="shared" si="2"/>
        <v>0</v>
      </c>
      <c r="F22" s="107">
        <f>COUNTIF(bty首充!H:H,B22)</f>
        <v>0</v>
      </c>
      <c r="G22" s="106">
        <f t="shared" si="1"/>
        <v>0</v>
      </c>
      <c r="H22" s="108">
        <f ca="1">C22-SUMIFS(历史数据!$C:$C,历史数据!$A:$A,$A$3-1,历史数据!$B:$B,$B22)</f>
        <v>0</v>
      </c>
      <c r="I22" s="108">
        <f ca="1">C22-(SUMIFS(历史数据!$C:$C,历史数据!$A:$A,$A$3-1,历史数据!$B:$B,$B22)+SUMIFS(历史数据!$C:$C,历史数据!$A:$A,$A$3-2,历史数据!$B:$B,$B22)+SUMIFS(历史数据!$C:$C,历史数据!$A:$A,$A$3-3,历史数据!$B:$B,$B22))/3</f>
        <v>0</v>
      </c>
      <c r="J22" s="108">
        <f ca="1">C22-(SUMIFS(历史数据!$C:$C,历史数据!$A:$A,$A$3-1,历史数据!$B:$B,$B22)+SUMIFS(历史数据!$C:$C,历史数据!$A:$A,$A$3-2,历史数据!$B:$B,$B22)+SUMIFS(历史数据!$C:$C,历史数据!$A:$A,$A$3-3,历史数据!$B:$B,$B22)+SUMIFS(历史数据!$C:$C,历史数据!$A:$A,$A$3-4,历史数据!$B:$B,$B22)+SUMIFS(历史数据!$C:$C,历史数据!$A:$A,$A$3-5,历史数据!$B:$B,$B22))/5</f>
        <v>0</v>
      </c>
      <c r="K22" s="108">
        <f ca="1">C22-(SUMIFS(历史数据!$C:$C,历史数据!$A:$A,$A$3-1,历史数据!$B:$B,$B22)+SUMIFS(历史数据!$C:$C,历史数据!$A:$A,$A$3-2,历史数据!$B:$B,$B22)+SUMIFS(历史数据!$C:$C,历史数据!$A:$A,$A$3-3,历史数据!$B:$B,$B22)+SUMIFS(历史数据!$C:$C,历史数据!$A:$A,$A$3-4,历史数据!$B:$B,$B22)+SUMIFS(历史数据!$C:$C,历史数据!$A:$A,$A$3-5,历史数据!$B:$B,$B22)+SUMIFS(历史数据!$C:$C,历史数据!$A:$A,$A$3-6,历史数据!$B:$B,$B22)+SUMIFS(历史数据!$C:$C,历史数据!$A:$A,$A$3-7,历史数据!$B:$B,$B22))/7</f>
        <v>0</v>
      </c>
      <c r="L22" s="108">
        <f ca="1">D22-SUMIFS(历史数据!$E:$E,历史数据!$A:$A,$A$3-1,历史数据!$B:$B,$B22)</f>
        <v>0</v>
      </c>
      <c r="M22" s="108">
        <f ca="1">D22-(SUMIFS(历史数据!$E:$E,历史数据!$A:$A,$A$3-1,历史数据!$B:$B,$B22)+SUMIFS(历史数据!$E:$E,历史数据!$A:$A,$A$3-2,历史数据!$B:$B,$B22)+SUMIFS(历史数据!$E:$E,历史数据!$A:$A,$A$3-3,历史数据!$B:$B,$B22))/3</f>
        <v>0</v>
      </c>
      <c r="N22" s="108">
        <f ca="1">D22-(SUMIFS(历史数据!$E:$E,历史数据!$A:$A,$A$3-1,历史数据!$B:$B,$B22)+SUMIFS(历史数据!$E:$E,历史数据!$A:$A,$A$3-2,历史数据!$B:$B,$B22)+SUMIFS(历史数据!$E:$E,历史数据!$A:$A,$A$3-3,历史数据!$B:$B,$B22)+SUMIFS(历史数据!$E:$E,历史数据!$A:$A,$A$3-4,历史数据!$B:$B,$B22)+SUMIFS(历史数据!$E:$E,历史数据!$A:$A,$A$3-5,历史数据!$B:$B,$B22))/5</f>
        <v>0</v>
      </c>
      <c r="O22" s="108">
        <f ca="1">D22-(SUMIFS(历史数据!$E:$E,历史数据!$A:$A,$A$3-1,历史数据!$B:$B,$B22)+SUMIFS(历史数据!$E:$E,历史数据!$A:$A,$A$3-2,历史数据!$B:$B,$B22)+SUMIFS(历史数据!$E:$E,历史数据!$A:$A,$A$3-3,历史数据!$B:$B,$B22)+SUMIFS(历史数据!$E:$E,历史数据!$A:$A,$A$3-4,历史数据!$B:$B,$B22)+SUMIFS(历史数据!$E:$E,历史数据!$A:$A,$A$3-5,历史数据!$B:$B,$B22)+SUMIFS(历史数据!$E:$E,历史数据!$A:$A,$A$3-6,历史数据!$B:$B,$B22)+SUMIFS(历史数据!$E:$E,历史数据!$A:$A,$A$3-7,历史数据!$B:$B,$B22))/7</f>
        <v>0</v>
      </c>
      <c r="P22" s="108">
        <f ca="1">F22-SUMIFS(历史数据!$G:$G,历史数据!$A:$A,$A$3-1,历史数据!$B:$B,$B22)</f>
        <v>0</v>
      </c>
      <c r="Q22" s="108">
        <f ca="1">F22-(SUMIFS(历史数据!$G:$G,历史数据!$A:$A,$A$3-1,历史数据!$B:$B,$B22)+SUMIFS(历史数据!$G:$G,历史数据!$A:$A,$A$3-2,历史数据!$B:$B,$B22)+SUMIFS(历史数据!$G:$G,历史数据!$A:$A,$A$3-3,历史数据!$B:$B,$B22))/3</f>
        <v>0</v>
      </c>
      <c r="R22" s="108">
        <f ca="1">F22-(SUMIFS(历史数据!$G:$G,历史数据!$A:$A,$A$3-1,历史数据!$B:$B,$B22)+SUMIFS(历史数据!$G:$G,历史数据!$A:$A,$A$3-2,历史数据!$B:$B,$B22)+SUMIFS(历史数据!$G:$G,历史数据!$A:$A,$A$3-3,历史数据!$B:$B,$B22)+SUMIFS(历史数据!$G:$G,历史数据!$A:$A,$A$3-4,历史数据!$B:$B,$B22)+SUMIFS(历史数据!$G:$G,历史数据!$A:$A,$A$3-5,历史数据!$B:$B,$B22))/5</f>
        <v>0</v>
      </c>
      <c r="S22" s="108">
        <f ca="1">F22-(SUMIFS(历史数据!$G:$G,历史数据!$A:$A,$A$3-1,历史数据!$B:$B,$B22)+SUMIFS(历史数据!$G:$G,历史数据!$A:$A,$A$3-2,历史数据!$B:$B,$B22)+SUMIFS(历史数据!$G:$G,历史数据!$A:$A,$A$3-3,历史数据!$B:$B,$B22)+SUMIFS(历史数据!$G:$G,历史数据!$A:$A,$A$3-4,历史数据!$B:$B,$B22)+SUMIFS(历史数据!$G:$G,历史数据!$A:$A,$A$3-5,历史数据!$B:$B,$B22)+SUMIFS(历史数据!$G:$G,历史数据!$A:$A,$A$3-6,历史数据!$B:$B,$B22)+SUMIFS(历史数据!$G:$G,历史数据!$A:$A,$A$3-7,历史数据!$B:$B,$B22))/7</f>
        <v>0</v>
      </c>
    </row>
    <row r="23" spans="1:19">
      <c r="A23" s="110"/>
      <c r="B23" s="111" t="s">
        <v>39</v>
      </c>
      <c r="C23" s="112">
        <f ca="1" t="shared" ref="C23:F23" si="3">SUM(C3:C22)</f>
        <v>5124</v>
      </c>
      <c r="D23" s="112">
        <f t="shared" si="3"/>
        <v>213</v>
      </c>
      <c r="E23" s="113">
        <f ca="1">D23/C23</f>
        <v>0.0415690866510539</v>
      </c>
      <c r="F23" s="112">
        <f t="shared" si="3"/>
        <v>68</v>
      </c>
      <c r="G23" s="113">
        <f>F23/D23</f>
        <v>0.31924882629108</v>
      </c>
      <c r="H23" s="108"/>
      <c r="I23" s="108"/>
      <c r="J23" s="108"/>
      <c r="K23" s="108"/>
      <c r="L23" s="108"/>
      <c r="M23" s="108"/>
      <c r="N23" s="108"/>
      <c r="O23" s="108"/>
      <c r="P23" s="108"/>
      <c r="Q23" s="108"/>
      <c r="R23" s="108"/>
      <c r="S23" s="108"/>
    </row>
  </sheetData>
  <mergeCells count="11">
    <mergeCell ref="H1:K1"/>
    <mergeCell ref="L1:O1"/>
    <mergeCell ref="P1:S1"/>
    <mergeCell ref="A1:A2"/>
    <mergeCell ref="A3:A23"/>
    <mergeCell ref="B1:B2"/>
    <mergeCell ref="C1:C2"/>
    <mergeCell ref="D1:D2"/>
    <mergeCell ref="E1:E2"/>
    <mergeCell ref="F1:F2"/>
    <mergeCell ref="G1:G2"/>
  </mergeCells>
  <conditionalFormatting sqref="B15">
    <cfRule type="duplicateValues" dxfId="1" priority="4"/>
  </conditionalFormatting>
  <conditionalFormatting sqref="B16">
    <cfRule type="duplicateValues" dxfId="1" priority="10"/>
  </conditionalFormatting>
  <conditionalFormatting sqref="B17">
    <cfRule type="duplicateValues" dxfId="1" priority="9"/>
  </conditionalFormatting>
  <conditionalFormatting sqref="B18">
    <cfRule type="duplicateValues" dxfId="1" priority="8"/>
  </conditionalFormatting>
  <conditionalFormatting sqref="B19">
    <cfRule type="duplicateValues" dxfId="1" priority="7"/>
  </conditionalFormatting>
  <conditionalFormatting sqref="B20">
    <cfRule type="duplicateValues" dxfId="1" priority="6"/>
  </conditionalFormatting>
  <conditionalFormatting sqref="B21">
    <cfRule type="duplicateValues" dxfId="1" priority="5"/>
  </conditionalFormatting>
  <conditionalFormatting sqref="B22">
    <cfRule type="duplicateValues" dxfId="1" priority="3"/>
  </conditionalFormatting>
  <conditionalFormatting sqref="C3:C22">
    <cfRule type="expression" dxfId="0" priority="11">
      <formula>$C$454-$C$431&gt;=0</formula>
    </cfRule>
  </conditionalFormatting>
  <conditionalFormatting sqref="B1 B3:B14 B23">
    <cfRule type="duplicateValues" dxfId="1" priority="12"/>
  </conditionalFormatting>
  <conditionalFormatting sqref="P1:S1 Q2:S2">
    <cfRule type="cellIs" dxfId="2" priority="2" operator="lessThan">
      <formula>-5</formula>
    </cfRule>
  </conditionalFormatting>
  <conditionalFormatting sqref="H3:S23">
    <cfRule type="cellIs" dxfId="3" priority="1" operator="lessThan">
      <formula>0</formula>
    </cfRule>
  </conditionalFormatting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workbookViewId="0">
      <selection activeCell="E75" sqref="E75"/>
    </sheetView>
  </sheetViews>
  <sheetFormatPr defaultColWidth="9" defaultRowHeight="13.5"/>
  <cols>
    <col min="1" max="1" width="9.375" style="29"/>
    <col min="2" max="2" width="13.625" style="30" customWidth="1"/>
    <col min="3" max="3" width="11.75" style="30" customWidth="1"/>
    <col min="4" max="4" width="17.125" style="30"/>
    <col min="5" max="16" width="13.75" style="30"/>
  </cols>
  <sheetData>
    <row r="1" ht="14.25" spans="1:16">
      <c r="A1" s="31" t="s">
        <v>0</v>
      </c>
      <c r="B1" s="32" t="s">
        <v>1</v>
      </c>
      <c r="C1" s="33"/>
      <c r="D1" s="34" t="s">
        <v>42</v>
      </c>
      <c r="E1" s="35" t="s">
        <v>43</v>
      </c>
      <c r="F1" s="35" t="s">
        <v>44</v>
      </c>
      <c r="G1" s="35" t="s">
        <v>45</v>
      </c>
      <c r="H1" s="35" t="s">
        <v>46</v>
      </c>
      <c r="I1" s="35" t="s">
        <v>47</v>
      </c>
      <c r="J1" s="35" t="s">
        <v>48</v>
      </c>
      <c r="K1" s="35" t="s">
        <v>49</v>
      </c>
      <c r="L1" s="35" t="s">
        <v>50</v>
      </c>
      <c r="M1" s="35" t="s">
        <v>51</v>
      </c>
      <c r="N1" s="35" t="s">
        <v>52</v>
      </c>
      <c r="O1" s="35" t="s">
        <v>53</v>
      </c>
      <c r="P1" s="78" t="s">
        <v>54</v>
      </c>
    </row>
    <row r="2" ht="14.25" hidden="1" spans="1:16">
      <c r="A2" s="36">
        <v>45017</v>
      </c>
      <c r="B2" s="37" t="s">
        <v>22</v>
      </c>
      <c r="C2" s="38" t="s">
        <v>55</v>
      </c>
      <c r="D2" s="39">
        <v>0.341875043769428</v>
      </c>
      <c r="E2" s="40">
        <v>0.27361963190184</v>
      </c>
      <c r="F2" s="40">
        <v>0.224299065420561</v>
      </c>
      <c r="G2" s="40">
        <v>0.231231231231231</v>
      </c>
      <c r="H2" s="40">
        <v>0.288828337874659</v>
      </c>
      <c r="I2" s="40">
        <v>0.372596153846154</v>
      </c>
      <c r="J2" s="40">
        <v>0.393203883495146</v>
      </c>
      <c r="K2" s="40">
        <v>0.345864661654135</v>
      </c>
      <c r="L2" s="40">
        <v>0.38412017167382</v>
      </c>
      <c r="M2" s="40">
        <v>0.414572864321608</v>
      </c>
      <c r="N2" s="40">
        <v>0.427860696517413</v>
      </c>
      <c r="O2" s="40">
        <v>0.36144578313253</v>
      </c>
      <c r="P2" s="79">
        <v>0.384858044164038</v>
      </c>
    </row>
    <row r="3" ht="14.25" hidden="1" spans="1:16">
      <c r="A3" s="41">
        <v>45017</v>
      </c>
      <c r="B3" s="42" t="s">
        <v>22</v>
      </c>
      <c r="C3" s="43" t="s">
        <v>57</v>
      </c>
      <c r="D3" s="44">
        <v>5758</v>
      </c>
      <c r="E3" s="45">
        <v>815</v>
      </c>
      <c r="F3" s="45">
        <v>535</v>
      </c>
      <c r="G3" s="45">
        <v>333</v>
      </c>
      <c r="H3" s="45">
        <v>367</v>
      </c>
      <c r="I3" s="45">
        <v>416</v>
      </c>
      <c r="J3" s="45">
        <v>412</v>
      </c>
      <c r="K3" s="45">
        <v>399</v>
      </c>
      <c r="L3" s="45">
        <v>466</v>
      </c>
      <c r="M3" s="45">
        <v>398</v>
      </c>
      <c r="N3" s="45">
        <v>402</v>
      </c>
      <c r="O3" s="45">
        <v>581</v>
      </c>
      <c r="P3" s="80">
        <v>634</v>
      </c>
    </row>
    <row r="4" ht="14.25" hidden="1" spans="1:16">
      <c r="A4" s="41">
        <v>45017</v>
      </c>
      <c r="B4" s="46" t="s">
        <v>22</v>
      </c>
      <c r="C4" s="47" t="s">
        <v>59</v>
      </c>
      <c r="D4" s="44">
        <v>1951</v>
      </c>
      <c r="E4" s="45">
        <v>223</v>
      </c>
      <c r="F4" s="45">
        <v>120</v>
      </c>
      <c r="G4" s="45">
        <v>77</v>
      </c>
      <c r="H4" s="45">
        <v>106</v>
      </c>
      <c r="I4" s="45">
        <v>155</v>
      </c>
      <c r="J4" s="45">
        <v>162</v>
      </c>
      <c r="K4" s="45">
        <v>138</v>
      </c>
      <c r="L4" s="45">
        <v>179</v>
      </c>
      <c r="M4" s="45">
        <v>165</v>
      </c>
      <c r="N4" s="45">
        <v>172</v>
      </c>
      <c r="O4" s="45">
        <v>210</v>
      </c>
      <c r="P4" s="80">
        <v>244</v>
      </c>
    </row>
    <row r="5" ht="14.25" hidden="1" spans="1:16">
      <c r="A5" s="41">
        <v>45017</v>
      </c>
      <c r="B5" s="42" t="s">
        <v>22</v>
      </c>
      <c r="C5" s="43" t="s">
        <v>4</v>
      </c>
      <c r="D5" s="44">
        <v>163</v>
      </c>
      <c r="E5" s="48">
        <v>21</v>
      </c>
      <c r="F5" s="48">
        <v>11</v>
      </c>
      <c r="G5" s="48">
        <v>10</v>
      </c>
      <c r="H5" s="48">
        <v>4</v>
      </c>
      <c r="I5" s="48">
        <v>6</v>
      </c>
      <c r="J5" s="48">
        <v>15</v>
      </c>
      <c r="K5" s="48">
        <v>12</v>
      </c>
      <c r="L5" s="48">
        <v>17</v>
      </c>
      <c r="M5" s="48">
        <v>10</v>
      </c>
      <c r="N5" s="48">
        <v>15</v>
      </c>
      <c r="O5" s="48">
        <v>23</v>
      </c>
      <c r="P5" s="81">
        <v>19</v>
      </c>
    </row>
    <row r="6" ht="14.25" hidden="1" spans="1:16">
      <c r="A6" s="41">
        <v>45017</v>
      </c>
      <c r="B6" s="46" t="s">
        <v>22</v>
      </c>
      <c r="C6" s="47" t="s">
        <v>5</v>
      </c>
      <c r="D6" s="49">
        <v>0.0834901610737913</v>
      </c>
      <c r="E6" s="50">
        <v>0.0941704035874439</v>
      </c>
      <c r="F6" s="50">
        <v>0.0916666666666667</v>
      </c>
      <c r="G6" s="50">
        <v>0.12987012987013</v>
      </c>
      <c r="H6" s="50">
        <v>0.0377358490566038</v>
      </c>
      <c r="I6" s="50">
        <v>0.0387096774193548</v>
      </c>
      <c r="J6" s="50">
        <v>0.0925925925925926</v>
      </c>
      <c r="K6" s="50">
        <v>0.0869565217391304</v>
      </c>
      <c r="L6" s="50">
        <v>0.0949720670391061</v>
      </c>
      <c r="M6" s="50">
        <v>0.0606060606060606</v>
      </c>
      <c r="N6" s="50">
        <v>0.0872093023255814</v>
      </c>
      <c r="O6" s="50">
        <v>0.10952380952381</v>
      </c>
      <c r="P6" s="82">
        <v>0.0778688524590164</v>
      </c>
    </row>
    <row r="7" ht="14.25" hidden="1" spans="1:16">
      <c r="A7" s="41">
        <v>45017</v>
      </c>
      <c r="B7" s="42" t="s">
        <v>22</v>
      </c>
      <c r="C7" s="43" t="s">
        <v>6</v>
      </c>
      <c r="D7" s="44">
        <v>68</v>
      </c>
      <c r="E7" s="48">
        <v>10</v>
      </c>
      <c r="F7" s="48">
        <v>0</v>
      </c>
      <c r="G7" s="48">
        <v>4</v>
      </c>
      <c r="H7" s="48">
        <v>3</v>
      </c>
      <c r="I7" s="48">
        <v>4</v>
      </c>
      <c r="J7" s="48">
        <v>4</v>
      </c>
      <c r="K7" s="48">
        <v>7</v>
      </c>
      <c r="L7" s="48">
        <v>8</v>
      </c>
      <c r="M7" s="48">
        <v>7</v>
      </c>
      <c r="N7" s="48">
        <v>5</v>
      </c>
      <c r="O7" s="48">
        <v>9</v>
      </c>
      <c r="P7" s="81">
        <v>7</v>
      </c>
    </row>
    <row r="8" ht="14.25" hidden="1" spans="1:16">
      <c r="A8" s="41">
        <v>45017</v>
      </c>
      <c r="B8" s="51" t="s">
        <v>22</v>
      </c>
      <c r="C8" s="52" t="s">
        <v>64</v>
      </c>
      <c r="D8" s="53">
        <v>0.417177914110429</v>
      </c>
      <c r="E8" s="54">
        <v>0.476190476190476</v>
      </c>
      <c r="F8" s="54">
        <v>0</v>
      </c>
      <c r="G8" s="54">
        <v>0.4</v>
      </c>
      <c r="H8" s="54">
        <v>0.75</v>
      </c>
      <c r="I8" s="54">
        <v>0.666666666666667</v>
      </c>
      <c r="J8" s="54">
        <v>0.266666666666667</v>
      </c>
      <c r="K8" s="54">
        <v>0.583333333333333</v>
      </c>
      <c r="L8" s="54">
        <v>0.470588235294118</v>
      </c>
      <c r="M8" s="54">
        <v>0.7</v>
      </c>
      <c r="N8" s="54">
        <v>0.333333333333333</v>
      </c>
      <c r="O8" s="54">
        <v>0.391304347826087</v>
      </c>
      <c r="P8" s="83">
        <v>0.368421052631579</v>
      </c>
    </row>
    <row r="9" ht="14.25" hidden="1" spans="1:16">
      <c r="A9" s="36">
        <v>45018</v>
      </c>
      <c r="B9" s="37" t="s">
        <v>22</v>
      </c>
      <c r="C9" s="38" t="s">
        <v>55</v>
      </c>
      <c r="D9" s="39">
        <v>0.350671363904076</v>
      </c>
      <c r="E9" s="40">
        <v>0.290465631929047</v>
      </c>
      <c r="F9" s="40">
        <v>0.211214953271028</v>
      </c>
      <c r="G9" s="40">
        <v>0.223495702005731</v>
      </c>
      <c r="H9" s="40">
        <v>0.247159090909091</v>
      </c>
      <c r="I9" s="40">
        <v>0.333333333333333</v>
      </c>
      <c r="J9" s="40">
        <v>0.403598971722365</v>
      </c>
      <c r="K9" s="40">
        <v>0.443349753694581</v>
      </c>
      <c r="L9" s="40">
        <v>0.405963302752294</v>
      </c>
      <c r="M9" s="40">
        <v>0.446700507614213</v>
      </c>
      <c r="N9" s="40">
        <v>0.390588235294118</v>
      </c>
      <c r="O9" s="40">
        <v>0.429411764705882</v>
      </c>
      <c r="P9" s="79">
        <v>0.382775119617225</v>
      </c>
    </row>
    <row r="10" ht="14.25" hidden="1" spans="1:16">
      <c r="A10" s="41">
        <v>45018</v>
      </c>
      <c r="B10" s="42" t="s">
        <v>22</v>
      </c>
      <c r="C10" s="43" t="s">
        <v>57</v>
      </c>
      <c r="D10" s="44">
        <v>5679</v>
      </c>
      <c r="E10" s="45">
        <v>902</v>
      </c>
      <c r="F10" s="45">
        <v>535</v>
      </c>
      <c r="G10" s="45">
        <v>349</v>
      </c>
      <c r="H10" s="45">
        <v>352</v>
      </c>
      <c r="I10" s="45">
        <v>354</v>
      </c>
      <c r="J10" s="45">
        <v>389</v>
      </c>
      <c r="K10" s="45">
        <v>406</v>
      </c>
      <c r="L10" s="45">
        <v>436</v>
      </c>
      <c r="M10" s="45">
        <v>394</v>
      </c>
      <c r="N10" s="45">
        <v>425</v>
      </c>
      <c r="O10" s="45">
        <v>510</v>
      </c>
      <c r="P10" s="80">
        <v>627</v>
      </c>
    </row>
    <row r="11" ht="14.25" hidden="1" spans="1:16">
      <c r="A11" s="41">
        <v>45018</v>
      </c>
      <c r="B11" s="46" t="s">
        <v>22</v>
      </c>
      <c r="C11" s="47" t="s">
        <v>59</v>
      </c>
      <c r="D11" s="44">
        <v>1973</v>
      </c>
      <c r="E11" s="45">
        <v>262</v>
      </c>
      <c r="F11" s="45">
        <v>113</v>
      </c>
      <c r="G11" s="45">
        <v>78</v>
      </c>
      <c r="H11" s="45">
        <v>87</v>
      </c>
      <c r="I11" s="45">
        <v>118</v>
      </c>
      <c r="J11" s="45">
        <v>157</v>
      </c>
      <c r="K11" s="45">
        <v>180</v>
      </c>
      <c r="L11" s="45">
        <v>177</v>
      </c>
      <c r="M11" s="45">
        <v>176</v>
      </c>
      <c r="N11" s="45">
        <v>166</v>
      </c>
      <c r="O11" s="45">
        <v>219</v>
      </c>
      <c r="P11" s="80">
        <v>240</v>
      </c>
    </row>
    <row r="12" ht="14.25" hidden="1" spans="1:16">
      <c r="A12" s="41">
        <v>45018</v>
      </c>
      <c r="B12" s="42" t="s">
        <v>22</v>
      </c>
      <c r="C12" s="43" t="s">
        <v>4</v>
      </c>
      <c r="D12" s="44">
        <v>156</v>
      </c>
      <c r="E12" s="48">
        <v>20</v>
      </c>
      <c r="F12" s="48">
        <v>11</v>
      </c>
      <c r="G12" s="48">
        <v>7</v>
      </c>
      <c r="H12" s="48">
        <v>8</v>
      </c>
      <c r="I12" s="48">
        <v>7</v>
      </c>
      <c r="J12" s="48">
        <v>14</v>
      </c>
      <c r="K12" s="48">
        <v>11</v>
      </c>
      <c r="L12" s="48">
        <v>18</v>
      </c>
      <c r="M12" s="48">
        <v>12</v>
      </c>
      <c r="N12" s="48">
        <v>11</v>
      </c>
      <c r="O12" s="48">
        <v>14</v>
      </c>
      <c r="P12" s="81">
        <v>23</v>
      </c>
    </row>
    <row r="13" ht="14.25" hidden="1" spans="1:16">
      <c r="A13" s="41">
        <v>45018</v>
      </c>
      <c r="B13" s="46" t="s">
        <v>22</v>
      </c>
      <c r="C13" s="47" t="s">
        <v>5</v>
      </c>
      <c r="D13" s="49">
        <v>0.0800738175432821</v>
      </c>
      <c r="E13" s="50">
        <v>0.0763358778625954</v>
      </c>
      <c r="F13" s="50">
        <v>0.0973451327433628</v>
      </c>
      <c r="G13" s="50">
        <v>0.0897435897435897</v>
      </c>
      <c r="H13" s="50">
        <v>0.0919540229885057</v>
      </c>
      <c r="I13" s="50">
        <v>0.0593220338983051</v>
      </c>
      <c r="J13" s="50">
        <v>0.089171974522293</v>
      </c>
      <c r="K13" s="50">
        <v>0.0611111111111111</v>
      </c>
      <c r="L13" s="50">
        <v>0.101694915254237</v>
      </c>
      <c r="M13" s="50">
        <v>0.0681818181818182</v>
      </c>
      <c r="N13" s="50">
        <v>0.0662650602409639</v>
      </c>
      <c r="O13" s="50">
        <v>0.0639269406392694</v>
      </c>
      <c r="P13" s="82">
        <v>0.0958333333333333</v>
      </c>
    </row>
    <row r="14" ht="14.25" hidden="1" spans="1:16">
      <c r="A14" s="41">
        <v>45018</v>
      </c>
      <c r="B14" s="42" t="s">
        <v>22</v>
      </c>
      <c r="C14" s="43" t="s">
        <v>6</v>
      </c>
      <c r="D14" s="44">
        <v>54</v>
      </c>
      <c r="E14" s="48">
        <v>9</v>
      </c>
      <c r="F14" s="48">
        <v>3</v>
      </c>
      <c r="G14" s="48">
        <v>3</v>
      </c>
      <c r="H14" s="48">
        <v>0</v>
      </c>
      <c r="I14" s="48">
        <v>6</v>
      </c>
      <c r="J14" s="48">
        <v>3</v>
      </c>
      <c r="K14" s="48">
        <v>3</v>
      </c>
      <c r="L14" s="48">
        <v>6</v>
      </c>
      <c r="M14" s="48">
        <v>3</v>
      </c>
      <c r="N14" s="48">
        <v>6</v>
      </c>
      <c r="O14" s="48">
        <v>8</v>
      </c>
      <c r="P14" s="81">
        <v>4</v>
      </c>
    </row>
    <row r="15" ht="14.25" hidden="1" spans="1:16">
      <c r="A15" s="41">
        <v>45018</v>
      </c>
      <c r="B15" s="51" t="s">
        <v>22</v>
      </c>
      <c r="C15" s="52" t="s">
        <v>64</v>
      </c>
      <c r="D15" s="53">
        <v>0.346153846153846</v>
      </c>
      <c r="E15" s="54">
        <v>0.45</v>
      </c>
      <c r="F15" s="54">
        <v>0.272727272727273</v>
      </c>
      <c r="G15" s="54">
        <v>0.428571428571429</v>
      </c>
      <c r="H15" s="54">
        <v>0</v>
      </c>
      <c r="I15" s="54">
        <v>0.857142857142857</v>
      </c>
      <c r="J15" s="54">
        <v>0.214285714285714</v>
      </c>
      <c r="K15" s="54">
        <v>0.272727272727273</v>
      </c>
      <c r="L15" s="54">
        <v>0.333333333333333</v>
      </c>
      <c r="M15" s="54">
        <v>0.25</v>
      </c>
      <c r="N15" s="54">
        <v>0.545454545454545</v>
      </c>
      <c r="O15" s="54">
        <v>0.571428571428571</v>
      </c>
      <c r="P15" s="83">
        <v>0.173913043478261</v>
      </c>
    </row>
    <row r="16" ht="14.25" hidden="1" spans="1:16">
      <c r="A16" s="36">
        <v>45019</v>
      </c>
      <c r="B16" s="37" t="s">
        <v>22</v>
      </c>
      <c r="C16" s="38" t="s">
        <v>55</v>
      </c>
      <c r="D16" s="39">
        <v>0.36310750192195</v>
      </c>
      <c r="E16" s="40">
        <v>0.318725099601594</v>
      </c>
      <c r="F16" s="40">
        <v>0.220802919708029</v>
      </c>
      <c r="G16" s="40">
        <v>0.214285714285714</v>
      </c>
      <c r="H16" s="40">
        <v>0.303405572755418</v>
      </c>
      <c r="I16" s="40">
        <v>0.360824742268041</v>
      </c>
      <c r="J16" s="40">
        <v>0.451612903225806</v>
      </c>
      <c r="K16" s="40">
        <v>0.333333333333333</v>
      </c>
      <c r="L16" s="40">
        <v>0.359090909090909</v>
      </c>
      <c r="M16" s="40">
        <v>0.430730478589421</v>
      </c>
      <c r="N16" s="40">
        <v>0.477572559366755</v>
      </c>
      <c r="O16" s="40">
        <v>0.429213483146067</v>
      </c>
      <c r="P16" s="79">
        <v>0.457692307692308</v>
      </c>
    </row>
    <row r="17" ht="14.25" hidden="1" spans="1:16">
      <c r="A17" s="41">
        <v>45019</v>
      </c>
      <c r="B17" s="42" t="s">
        <v>22</v>
      </c>
      <c r="C17" s="43" t="s">
        <v>57</v>
      </c>
      <c r="D17" s="44">
        <v>5275</v>
      </c>
      <c r="E17" s="45">
        <v>753</v>
      </c>
      <c r="F17" s="45">
        <v>548</v>
      </c>
      <c r="G17" s="45">
        <v>336</v>
      </c>
      <c r="H17" s="45">
        <v>323</v>
      </c>
      <c r="I17" s="45">
        <v>388</v>
      </c>
      <c r="J17" s="45">
        <v>341</v>
      </c>
      <c r="K17" s="45">
        <v>405</v>
      </c>
      <c r="L17" s="45">
        <v>440</v>
      </c>
      <c r="M17" s="45">
        <v>397</v>
      </c>
      <c r="N17" s="45">
        <v>379</v>
      </c>
      <c r="O17" s="45">
        <v>445</v>
      </c>
      <c r="P17" s="80">
        <v>520</v>
      </c>
    </row>
    <row r="18" ht="14.25" hidden="1" spans="1:16">
      <c r="A18" s="41">
        <v>45019</v>
      </c>
      <c r="B18" s="46" t="s">
        <v>22</v>
      </c>
      <c r="C18" s="47" t="s">
        <v>59</v>
      </c>
      <c r="D18" s="44">
        <v>1899</v>
      </c>
      <c r="E18" s="45">
        <v>240</v>
      </c>
      <c r="F18" s="45">
        <v>121</v>
      </c>
      <c r="G18" s="45">
        <v>72</v>
      </c>
      <c r="H18" s="45">
        <v>98</v>
      </c>
      <c r="I18" s="45">
        <v>140</v>
      </c>
      <c r="J18" s="45">
        <v>154</v>
      </c>
      <c r="K18" s="45">
        <v>135</v>
      </c>
      <c r="L18" s="45">
        <v>158</v>
      </c>
      <c r="M18" s="45">
        <v>171</v>
      </c>
      <c r="N18" s="45">
        <v>181</v>
      </c>
      <c r="O18" s="45">
        <v>191</v>
      </c>
      <c r="P18" s="80">
        <v>238</v>
      </c>
    </row>
    <row r="19" ht="14.25" hidden="1" spans="1:16">
      <c r="A19" s="41">
        <v>45019</v>
      </c>
      <c r="B19" s="42" t="s">
        <v>22</v>
      </c>
      <c r="C19" s="43" t="s">
        <v>4</v>
      </c>
      <c r="D19" s="44">
        <v>131</v>
      </c>
      <c r="E19" s="48">
        <v>18</v>
      </c>
      <c r="F19" s="48">
        <v>8</v>
      </c>
      <c r="G19" s="48">
        <v>8</v>
      </c>
      <c r="H19" s="48">
        <v>9</v>
      </c>
      <c r="I19" s="48">
        <v>9</v>
      </c>
      <c r="J19" s="48">
        <v>11</v>
      </c>
      <c r="K19" s="48">
        <v>11</v>
      </c>
      <c r="L19" s="48">
        <v>9</v>
      </c>
      <c r="M19" s="48">
        <v>11</v>
      </c>
      <c r="N19" s="48">
        <v>6</v>
      </c>
      <c r="O19" s="48">
        <v>15</v>
      </c>
      <c r="P19" s="81">
        <v>16</v>
      </c>
    </row>
    <row r="20" ht="14.25" hidden="1" spans="1:16">
      <c r="A20" s="41">
        <v>45019</v>
      </c>
      <c r="B20" s="46" t="s">
        <v>22</v>
      </c>
      <c r="C20" s="47" t="s">
        <v>5</v>
      </c>
      <c r="D20" s="49">
        <v>0.0717882433014417</v>
      </c>
      <c r="E20" s="50">
        <v>0.075</v>
      </c>
      <c r="F20" s="50">
        <v>0.0661157024793388</v>
      </c>
      <c r="G20" s="50">
        <v>0.111111111111111</v>
      </c>
      <c r="H20" s="50">
        <v>0.0918367346938776</v>
      </c>
      <c r="I20" s="50">
        <v>0.0642857142857143</v>
      </c>
      <c r="J20" s="50">
        <v>0.0714285714285714</v>
      </c>
      <c r="K20" s="50">
        <v>0.0814814814814815</v>
      </c>
      <c r="L20" s="50">
        <v>0.0569620253164557</v>
      </c>
      <c r="M20" s="50">
        <v>0.064327485380117</v>
      </c>
      <c r="N20" s="50">
        <v>0.0331491712707182</v>
      </c>
      <c r="O20" s="50">
        <v>0.0785340314136126</v>
      </c>
      <c r="P20" s="82">
        <v>0.0672268907563025</v>
      </c>
    </row>
    <row r="21" ht="14.25" hidden="1" spans="1:16">
      <c r="A21" s="41">
        <v>45019</v>
      </c>
      <c r="B21" s="42" t="s">
        <v>22</v>
      </c>
      <c r="C21" s="43" t="s">
        <v>6</v>
      </c>
      <c r="D21" s="44">
        <v>39</v>
      </c>
      <c r="E21" s="48">
        <v>8</v>
      </c>
      <c r="F21" s="48">
        <v>2</v>
      </c>
      <c r="G21" s="48">
        <v>3</v>
      </c>
      <c r="H21" s="48">
        <v>2</v>
      </c>
      <c r="I21" s="48">
        <v>1</v>
      </c>
      <c r="J21" s="48">
        <v>4</v>
      </c>
      <c r="K21" s="48">
        <v>3</v>
      </c>
      <c r="L21" s="48">
        <v>3</v>
      </c>
      <c r="M21" s="48">
        <v>1</v>
      </c>
      <c r="N21" s="48">
        <v>5</v>
      </c>
      <c r="O21" s="48">
        <v>4</v>
      </c>
      <c r="P21" s="81">
        <v>3</v>
      </c>
    </row>
    <row r="22" ht="14.25" hidden="1" spans="1:16">
      <c r="A22" s="41">
        <v>45019</v>
      </c>
      <c r="B22" s="51" t="s">
        <v>22</v>
      </c>
      <c r="C22" s="52" t="s">
        <v>64</v>
      </c>
      <c r="D22" s="53">
        <v>0.297709923664122</v>
      </c>
      <c r="E22" s="54">
        <v>0.444444444444444</v>
      </c>
      <c r="F22" s="54">
        <v>0.25</v>
      </c>
      <c r="G22" s="54">
        <v>0.375</v>
      </c>
      <c r="H22" s="54">
        <v>0.222222222222222</v>
      </c>
      <c r="I22" s="54">
        <v>0.111111111111111</v>
      </c>
      <c r="J22" s="54">
        <v>0.363636363636364</v>
      </c>
      <c r="K22" s="54">
        <v>0.272727272727273</v>
      </c>
      <c r="L22" s="54">
        <v>0.333333333333333</v>
      </c>
      <c r="M22" s="54">
        <v>0.0909090909090909</v>
      </c>
      <c r="N22" s="54">
        <v>0.833333333333333</v>
      </c>
      <c r="O22" s="54">
        <v>0.266666666666667</v>
      </c>
      <c r="P22" s="83">
        <v>0.1875</v>
      </c>
    </row>
    <row r="23" ht="14.25" hidden="1" spans="1:16">
      <c r="A23" s="36">
        <v>45020</v>
      </c>
      <c r="B23" s="37" t="s">
        <v>22</v>
      </c>
      <c r="C23" s="38" t="s">
        <v>55</v>
      </c>
      <c r="D23" s="39">
        <v>0.349009854781365</v>
      </c>
      <c r="E23" s="40">
        <v>0.24968152866242</v>
      </c>
      <c r="F23" s="40">
        <v>0.207142857142857</v>
      </c>
      <c r="G23" s="40">
        <v>0.237237237237237</v>
      </c>
      <c r="H23" s="40">
        <v>0.32183908045977</v>
      </c>
      <c r="I23" s="40">
        <v>0.339779005524862</v>
      </c>
      <c r="J23" s="40">
        <v>0.384831460674157</v>
      </c>
      <c r="K23" s="40">
        <v>0.343589743589744</v>
      </c>
      <c r="L23" s="40">
        <v>0.435013262599469</v>
      </c>
      <c r="M23" s="40">
        <v>0.400485436893204</v>
      </c>
      <c r="N23" s="40">
        <v>0.458579881656805</v>
      </c>
      <c r="O23" s="40">
        <v>0.421768707482993</v>
      </c>
      <c r="P23" s="79">
        <v>0.388170055452865</v>
      </c>
    </row>
    <row r="24" ht="14.25" hidden="1" spans="1:16">
      <c r="A24" s="41">
        <v>45020</v>
      </c>
      <c r="B24" s="42" t="s">
        <v>22</v>
      </c>
      <c r="C24" s="43" t="s">
        <v>57</v>
      </c>
      <c r="D24" s="44">
        <v>5156</v>
      </c>
      <c r="E24" s="45">
        <v>785</v>
      </c>
      <c r="F24" s="45">
        <v>560</v>
      </c>
      <c r="G24" s="45">
        <v>333</v>
      </c>
      <c r="H24" s="45">
        <v>261</v>
      </c>
      <c r="I24" s="45">
        <v>362</v>
      </c>
      <c r="J24" s="45">
        <v>356</v>
      </c>
      <c r="K24" s="45">
        <v>390</v>
      </c>
      <c r="L24" s="45">
        <v>377</v>
      </c>
      <c r="M24" s="45">
        <v>412</v>
      </c>
      <c r="N24" s="45">
        <v>338</v>
      </c>
      <c r="O24" s="45">
        <v>441</v>
      </c>
      <c r="P24" s="80">
        <v>541</v>
      </c>
    </row>
    <row r="25" ht="14.25" hidden="1" spans="1:16">
      <c r="A25" s="41">
        <v>45020</v>
      </c>
      <c r="B25" s="46" t="s">
        <v>22</v>
      </c>
      <c r="C25" s="47" t="s">
        <v>59</v>
      </c>
      <c r="D25" s="44">
        <v>1749</v>
      </c>
      <c r="E25" s="45">
        <v>196</v>
      </c>
      <c r="F25" s="45">
        <v>116</v>
      </c>
      <c r="G25" s="45">
        <v>79</v>
      </c>
      <c r="H25" s="45">
        <v>84</v>
      </c>
      <c r="I25" s="45">
        <v>123</v>
      </c>
      <c r="J25" s="45">
        <v>137</v>
      </c>
      <c r="K25" s="45">
        <v>134</v>
      </c>
      <c r="L25" s="45">
        <v>164</v>
      </c>
      <c r="M25" s="45">
        <v>165</v>
      </c>
      <c r="N25" s="45">
        <v>155</v>
      </c>
      <c r="O25" s="45">
        <v>186</v>
      </c>
      <c r="P25" s="80">
        <v>210</v>
      </c>
    </row>
    <row r="26" ht="14.25" hidden="1" spans="1:16">
      <c r="A26" s="41">
        <v>45020</v>
      </c>
      <c r="B26" s="42" t="s">
        <v>22</v>
      </c>
      <c r="C26" s="43" t="s">
        <v>4</v>
      </c>
      <c r="D26" s="44">
        <v>147</v>
      </c>
      <c r="E26" s="48">
        <v>7</v>
      </c>
      <c r="F26" s="48">
        <v>11</v>
      </c>
      <c r="G26" s="48">
        <v>7</v>
      </c>
      <c r="H26" s="48">
        <v>4</v>
      </c>
      <c r="I26" s="48">
        <v>10</v>
      </c>
      <c r="J26" s="48">
        <v>13</v>
      </c>
      <c r="K26" s="48">
        <v>5</v>
      </c>
      <c r="L26" s="48">
        <v>15</v>
      </c>
      <c r="M26" s="48">
        <v>13</v>
      </c>
      <c r="N26" s="48">
        <v>11</v>
      </c>
      <c r="O26" s="48">
        <v>15</v>
      </c>
      <c r="P26" s="81">
        <v>36</v>
      </c>
    </row>
    <row r="27" ht="14.25" hidden="1" spans="1:16">
      <c r="A27" s="41">
        <v>45020</v>
      </c>
      <c r="B27" s="46" t="s">
        <v>22</v>
      </c>
      <c r="C27" s="47" t="s">
        <v>5</v>
      </c>
      <c r="D27" s="49">
        <v>0.0811305032788498</v>
      </c>
      <c r="E27" s="50">
        <v>0.0357142857142857</v>
      </c>
      <c r="F27" s="50">
        <v>0.0948275862068965</v>
      </c>
      <c r="G27" s="50">
        <v>0.0886075949367089</v>
      </c>
      <c r="H27" s="50">
        <v>0.0476190476190476</v>
      </c>
      <c r="I27" s="50">
        <v>0.0813008130081301</v>
      </c>
      <c r="J27" s="50">
        <v>0.0948905109489051</v>
      </c>
      <c r="K27" s="50">
        <v>0.0373134328358209</v>
      </c>
      <c r="L27" s="50">
        <v>0.0914634146341463</v>
      </c>
      <c r="M27" s="50">
        <v>0.0787878787878788</v>
      </c>
      <c r="N27" s="50">
        <v>0.0709677419354839</v>
      </c>
      <c r="O27" s="50">
        <v>0.0806451612903226</v>
      </c>
      <c r="P27" s="82">
        <v>0.171428571428571</v>
      </c>
    </row>
    <row r="28" ht="14.25" hidden="1" spans="1:16">
      <c r="A28" s="41">
        <v>45020</v>
      </c>
      <c r="B28" s="42" t="s">
        <v>22</v>
      </c>
      <c r="C28" s="43" t="s">
        <v>6</v>
      </c>
      <c r="D28" s="44">
        <v>44</v>
      </c>
      <c r="E28" s="48">
        <v>2</v>
      </c>
      <c r="F28" s="48">
        <v>4</v>
      </c>
      <c r="G28" s="48">
        <v>0</v>
      </c>
      <c r="H28" s="48">
        <v>3</v>
      </c>
      <c r="I28" s="48">
        <v>6</v>
      </c>
      <c r="J28" s="48">
        <v>3</v>
      </c>
      <c r="K28" s="48">
        <v>1</v>
      </c>
      <c r="L28" s="48">
        <v>1</v>
      </c>
      <c r="M28" s="48">
        <v>5</v>
      </c>
      <c r="N28" s="48">
        <v>7</v>
      </c>
      <c r="O28" s="48">
        <v>5</v>
      </c>
      <c r="P28" s="81">
        <v>7</v>
      </c>
    </row>
    <row r="29" ht="14.25" hidden="1" spans="1:16">
      <c r="A29" s="41">
        <v>45020</v>
      </c>
      <c r="B29" s="51" t="s">
        <v>22</v>
      </c>
      <c r="C29" s="52" t="s">
        <v>64</v>
      </c>
      <c r="D29" s="53">
        <v>0.299319727891156</v>
      </c>
      <c r="E29" s="54">
        <v>0.285714285714286</v>
      </c>
      <c r="F29" s="54">
        <v>0.363636363636364</v>
      </c>
      <c r="G29" s="54">
        <v>0</v>
      </c>
      <c r="H29" s="54">
        <v>0.75</v>
      </c>
      <c r="I29" s="54">
        <v>0.6</v>
      </c>
      <c r="J29" s="54">
        <v>0.230769230769231</v>
      </c>
      <c r="K29" s="54">
        <v>0.2</v>
      </c>
      <c r="L29" s="54">
        <v>0.0666666666666667</v>
      </c>
      <c r="M29" s="54">
        <v>0.384615384615385</v>
      </c>
      <c r="N29" s="54">
        <v>0.636363636363636</v>
      </c>
      <c r="O29" s="54">
        <v>0.333333333333333</v>
      </c>
      <c r="P29" s="83">
        <v>0.194444444444444</v>
      </c>
    </row>
    <row r="30" ht="14.25" hidden="1" spans="1:16">
      <c r="A30" s="36">
        <v>45021</v>
      </c>
      <c r="B30" s="37" t="s">
        <v>22</v>
      </c>
      <c r="C30" s="38" t="s">
        <v>55</v>
      </c>
      <c r="D30" s="39">
        <v>0.345878096274684</v>
      </c>
      <c r="E30" s="40">
        <v>0.279266572637518</v>
      </c>
      <c r="F30" s="40">
        <v>0.172143974960876</v>
      </c>
      <c r="G30" s="40">
        <v>0.238562091503268</v>
      </c>
      <c r="H30" s="40">
        <v>0.321554770318021</v>
      </c>
      <c r="I30" s="40">
        <v>0.355742296918768</v>
      </c>
      <c r="J30" s="40">
        <v>0.405759162303665</v>
      </c>
      <c r="K30" s="40">
        <v>0.35264483627204</v>
      </c>
      <c r="L30" s="40">
        <v>0.371428571428571</v>
      </c>
      <c r="M30" s="40">
        <v>0.445161290322581</v>
      </c>
      <c r="N30" s="40">
        <v>0.412742382271468</v>
      </c>
      <c r="O30" s="40">
        <v>0.416091954022988</v>
      </c>
      <c r="P30" s="79">
        <v>0.379439252336449</v>
      </c>
    </row>
    <row r="31" ht="14.25" hidden="1" spans="1:16">
      <c r="A31" s="41">
        <v>45021</v>
      </c>
      <c r="B31" s="42" t="s">
        <v>22</v>
      </c>
      <c r="C31" s="43" t="s">
        <v>57</v>
      </c>
      <c r="D31" s="44">
        <v>5099</v>
      </c>
      <c r="E31" s="45">
        <v>709</v>
      </c>
      <c r="F31" s="45">
        <v>639</v>
      </c>
      <c r="G31" s="45">
        <v>306</v>
      </c>
      <c r="H31" s="45">
        <v>283</v>
      </c>
      <c r="I31" s="45">
        <v>357</v>
      </c>
      <c r="J31" s="45">
        <v>382</v>
      </c>
      <c r="K31" s="45">
        <v>397</v>
      </c>
      <c r="L31" s="45">
        <v>385</v>
      </c>
      <c r="M31" s="45">
        <v>310</v>
      </c>
      <c r="N31" s="45">
        <v>361</v>
      </c>
      <c r="O31" s="45">
        <v>435</v>
      </c>
      <c r="P31" s="80">
        <v>535</v>
      </c>
    </row>
    <row r="32" ht="14.25" hidden="1" spans="1:16">
      <c r="A32" s="41">
        <v>45021</v>
      </c>
      <c r="B32" s="46" t="s">
        <v>22</v>
      </c>
      <c r="C32" s="47" t="s">
        <v>59</v>
      </c>
      <c r="D32" s="44">
        <v>1708</v>
      </c>
      <c r="E32" s="45">
        <v>198</v>
      </c>
      <c r="F32" s="45">
        <v>110</v>
      </c>
      <c r="G32" s="45">
        <v>73</v>
      </c>
      <c r="H32" s="45">
        <v>91</v>
      </c>
      <c r="I32" s="45">
        <v>127</v>
      </c>
      <c r="J32" s="45">
        <v>155</v>
      </c>
      <c r="K32" s="45">
        <v>140</v>
      </c>
      <c r="L32" s="45">
        <v>143</v>
      </c>
      <c r="M32" s="45">
        <v>138</v>
      </c>
      <c r="N32" s="45">
        <v>149</v>
      </c>
      <c r="O32" s="45">
        <v>181</v>
      </c>
      <c r="P32" s="80">
        <v>203</v>
      </c>
    </row>
    <row r="33" ht="14.25" hidden="1" spans="1:16">
      <c r="A33" s="41">
        <v>45021</v>
      </c>
      <c r="B33" s="42" t="s">
        <v>22</v>
      </c>
      <c r="C33" s="43" t="s">
        <v>4</v>
      </c>
      <c r="D33" s="44">
        <v>128</v>
      </c>
      <c r="E33" s="48">
        <v>20</v>
      </c>
      <c r="F33" s="48">
        <v>9</v>
      </c>
      <c r="G33" s="48">
        <v>5</v>
      </c>
      <c r="H33" s="48">
        <v>7</v>
      </c>
      <c r="I33" s="48">
        <v>6</v>
      </c>
      <c r="J33" s="48">
        <v>10</v>
      </c>
      <c r="K33" s="48">
        <v>13</v>
      </c>
      <c r="L33" s="48">
        <v>6</v>
      </c>
      <c r="M33" s="48">
        <v>10</v>
      </c>
      <c r="N33" s="48">
        <v>10</v>
      </c>
      <c r="O33" s="48">
        <v>16</v>
      </c>
      <c r="P33" s="81">
        <v>16</v>
      </c>
    </row>
    <row r="34" ht="14.25" hidden="1" spans="1:16">
      <c r="A34" s="41">
        <v>45021</v>
      </c>
      <c r="B34" s="46" t="s">
        <v>22</v>
      </c>
      <c r="C34" s="47" t="s">
        <v>5</v>
      </c>
      <c r="D34" s="49">
        <v>0.0734677754077494</v>
      </c>
      <c r="E34" s="50">
        <v>0.101010101010101</v>
      </c>
      <c r="F34" s="50">
        <v>0.0818181818181818</v>
      </c>
      <c r="G34" s="50">
        <v>0.0684931506849315</v>
      </c>
      <c r="H34" s="50">
        <v>0.0769230769230769</v>
      </c>
      <c r="I34" s="50">
        <v>0.047244094488189</v>
      </c>
      <c r="J34" s="50">
        <v>0.0645161290322581</v>
      </c>
      <c r="K34" s="50">
        <v>0.0928571428571429</v>
      </c>
      <c r="L34" s="50">
        <v>0.041958041958042</v>
      </c>
      <c r="M34" s="50">
        <v>0.072463768115942</v>
      </c>
      <c r="N34" s="50">
        <v>0.0671140939597315</v>
      </c>
      <c r="O34" s="50">
        <v>0.0883977900552486</v>
      </c>
      <c r="P34" s="82">
        <v>0.0788177339901478</v>
      </c>
    </row>
    <row r="35" ht="14.25" hidden="1" spans="1:16">
      <c r="A35" s="41">
        <v>45021</v>
      </c>
      <c r="B35" s="42" t="s">
        <v>22</v>
      </c>
      <c r="C35" s="43" t="s">
        <v>6</v>
      </c>
      <c r="D35" s="44">
        <v>51</v>
      </c>
      <c r="E35" s="48">
        <v>7</v>
      </c>
      <c r="F35" s="48">
        <v>5</v>
      </c>
      <c r="G35" s="48">
        <v>2</v>
      </c>
      <c r="H35" s="48">
        <v>2</v>
      </c>
      <c r="I35" s="48">
        <v>2</v>
      </c>
      <c r="J35" s="48">
        <v>3</v>
      </c>
      <c r="K35" s="48">
        <v>4</v>
      </c>
      <c r="L35" s="48">
        <v>1</v>
      </c>
      <c r="M35" s="48">
        <v>7</v>
      </c>
      <c r="N35" s="48">
        <v>5</v>
      </c>
      <c r="O35" s="48">
        <v>7</v>
      </c>
      <c r="P35" s="81">
        <v>6</v>
      </c>
    </row>
    <row r="36" ht="14.25" hidden="1" spans="1:16">
      <c r="A36" s="41">
        <v>45021</v>
      </c>
      <c r="B36" s="51" t="s">
        <v>22</v>
      </c>
      <c r="C36" s="52" t="s">
        <v>64</v>
      </c>
      <c r="D36" s="53">
        <v>0.3984375</v>
      </c>
      <c r="E36" s="54">
        <v>0.35</v>
      </c>
      <c r="F36" s="54">
        <v>0.555555555555556</v>
      </c>
      <c r="G36" s="54">
        <v>0.4</v>
      </c>
      <c r="H36" s="54">
        <v>0.285714285714286</v>
      </c>
      <c r="I36" s="54">
        <v>0.333333333333333</v>
      </c>
      <c r="J36" s="54">
        <v>0.3</v>
      </c>
      <c r="K36" s="54">
        <v>0.307692307692308</v>
      </c>
      <c r="L36" s="54">
        <v>0.166666666666667</v>
      </c>
      <c r="M36" s="54">
        <v>0.7</v>
      </c>
      <c r="N36" s="54">
        <v>0.5</v>
      </c>
      <c r="O36" s="54">
        <v>0.4375</v>
      </c>
      <c r="P36" s="83">
        <v>0.375</v>
      </c>
    </row>
    <row r="37" ht="14.25" hidden="1" spans="1:16">
      <c r="A37" s="36">
        <v>45022</v>
      </c>
      <c r="B37" s="37" t="s">
        <v>22</v>
      </c>
      <c r="C37" s="38" t="s">
        <v>55</v>
      </c>
      <c r="D37" s="39">
        <v>0.345194542905791</v>
      </c>
      <c r="E37" s="40">
        <v>0.270748299319728</v>
      </c>
      <c r="F37" s="40">
        <v>0.193857965451056</v>
      </c>
      <c r="G37" s="40">
        <v>0.15</v>
      </c>
      <c r="H37" s="40">
        <v>0.301492537313433</v>
      </c>
      <c r="I37" s="40">
        <v>0.344827586206897</v>
      </c>
      <c r="J37" s="40">
        <v>0.429394812680115</v>
      </c>
      <c r="K37" s="40">
        <v>0.398826979472141</v>
      </c>
      <c r="L37" s="40">
        <v>0.393700787401575</v>
      </c>
      <c r="M37" s="40">
        <v>0.448028673835125</v>
      </c>
      <c r="N37" s="40">
        <v>0.444444444444444</v>
      </c>
      <c r="O37" s="40">
        <v>0.403794037940379</v>
      </c>
      <c r="P37" s="79">
        <v>0.363218390804598</v>
      </c>
    </row>
    <row r="38" ht="14.25" hidden="1" spans="1:16">
      <c r="A38" s="41">
        <v>45022</v>
      </c>
      <c r="B38" s="42" t="s">
        <v>22</v>
      </c>
      <c r="C38" s="43" t="s">
        <v>57</v>
      </c>
      <c r="D38" s="44">
        <v>4777</v>
      </c>
      <c r="E38" s="45">
        <v>735</v>
      </c>
      <c r="F38" s="45">
        <v>521</v>
      </c>
      <c r="G38" s="45">
        <v>360</v>
      </c>
      <c r="H38" s="45">
        <v>335</v>
      </c>
      <c r="I38" s="45">
        <v>377</v>
      </c>
      <c r="J38" s="45">
        <v>347</v>
      </c>
      <c r="K38" s="45">
        <v>341</v>
      </c>
      <c r="L38" s="45">
        <v>381</v>
      </c>
      <c r="M38" s="45">
        <v>279</v>
      </c>
      <c r="N38" s="45">
        <v>297</v>
      </c>
      <c r="O38" s="45">
        <v>369</v>
      </c>
      <c r="P38" s="80">
        <v>435</v>
      </c>
    </row>
    <row r="39" ht="14.25" hidden="1" spans="1:16">
      <c r="A39" s="41">
        <v>45022</v>
      </c>
      <c r="B39" s="46" t="s">
        <v>22</v>
      </c>
      <c r="C39" s="47" t="s">
        <v>59</v>
      </c>
      <c r="D39" s="44">
        <v>1584</v>
      </c>
      <c r="E39" s="45">
        <v>199</v>
      </c>
      <c r="F39" s="45">
        <v>101</v>
      </c>
      <c r="G39" s="45">
        <v>54</v>
      </c>
      <c r="H39" s="45">
        <v>101</v>
      </c>
      <c r="I39" s="45">
        <v>130</v>
      </c>
      <c r="J39" s="45">
        <v>149</v>
      </c>
      <c r="K39" s="45">
        <v>136</v>
      </c>
      <c r="L39" s="45">
        <v>150</v>
      </c>
      <c r="M39" s="45">
        <v>125</v>
      </c>
      <c r="N39" s="45">
        <v>132</v>
      </c>
      <c r="O39" s="45">
        <v>149</v>
      </c>
      <c r="P39" s="80">
        <v>158</v>
      </c>
    </row>
    <row r="40" ht="14.25" hidden="1" spans="1:16">
      <c r="A40" s="41">
        <v>45022</v>
      </c>
      <c r="B40" s="42" t="s">
        <v>22</v>
      </c>
      <c r="C40" s="43" t="s">
        <v>4</v>
      </c>
      <c r="D40" s="44">
        <v>116</v>
      </c>
      <c r="E40" s="48">
        <v>15</v>
      </c>
      <c r="F40" s="48">
        <v>8</v>
      </c>
      <c r="G40" s="48">
        <v>6</v>
      </c>
      <c r="H40" s="48">
        <v>4</v>
      </c>
      <c r="I40" s="48">
        <v>7</v>
      </c>
      <c r="J40" s="48">
        <v>15</v>
      </c>
      <c r="K40" s="48">
        <v>3</v>
      </c>
      <c r="L40" s="48">
        <v>12</v>
      </c>
      <c r="M40" s="48">
        <v>14</v>
      </c>
      <c r="N40" s="48">
        <v>9</v>
      </c>
      <c r="O40" s="48">
        <v>8</v>
      </c>
      <c r="P40" s="81">
        <v>15</v>
      </c>
    </row>
    <row r="41" ht="14.25" hidden="1" spans="1:16">
      <c r="A41" s="41">
        <v>45022</v>
      </c>
      <c r="B41" s="46" t="s">
        <v>22</v>
      </c>
      <c r="C41" s="47" t="s">
        <v>5</v>
      </c>
      <c r="D41" s="49">
        <v>0.0742238164372389</v>
      </c>
      <c r="E41" s="50">
        <v>0.0753768844221105</v>
      </c>
      <c r="F41" s="50">
        <v>0.0792079207920792</v>
      </c>
      <c r="G41" s="50">
        <v>0.111111111111111</v>
      </c>
      <c r="H41" s="50">
        <v>0.0396039603960396</v>
      </c>
      <c r="I41" s="50">
        <v>0.0538461538461538</v>
      </c>
      <c r="J41" s="50">
        <v>0.100671140939597</v>
      </c>
      <c r="K41" s="50">
        <v>0.0220588235294118</v>
      </c>
      <c r="L41" s="50">
        <v>0.08</v>
      </c>
      <c r="M41" s="50">
        <v>0.112</v>
      </c>
      <c r="N41" s="50">
        <v>0.0681818181818182</v>
      </c>
      <c r="O41" s="50">
        <v>0.0536912751677852</v>
      </c>
      <c r="P41" s="82">
        <v>0.0949367088607595</v>
      </c>
    </row>
    <row r="42" ht="14.25" hidden="1" spans="1:16">
      <c r="A42" s="41">
        <v>45022</v>
      </c>
      <c r="B42" s="42" t="s">
        <v>22</v>
      </c>
      <c r="C42" s="43" t="s">
        <v>6</v>
      </c>
      <c r="D42" s="44">
        <v>39</v>
      </c>
      <c r="E42" s="48">
        <v>8</v>
      </c>
      <c r="F42" s="48">
        <v>1</v>
      </c>
      <c r="G42" s="48">
        <v>1</v>
      </c>
      <c r="H42" s="48">
        <v>0</v>
      </c>
      <c r="I42" s="48">
        <v>6</v>
      </c>
      <c r="J42" s="48">
        <v>5</v>
      </c>
      <c r="K42" s="48">
        <v>2</v>
      </c>
      <c r="L42" s="48">
        <v>4</v>
      </c>
      <c r="M42" s="48">
        <v>2</v>
      </c>
      <c r="N42" s="48">
        <v>5</v>
      </c>
      <c r="O42" s="48">
        <v>3</v>
      </c>
      <c r="P42" s="81">
        <v>2</v>
      </c>
    </row>
    <row r="43" ht="14.25" hidden="1" spans="1:16">
      <c r="A43" s="41">
        <v>45022</v>
      </c>
      <c r="B43" s="51" t="s">
        <v>22</v>
      </c>
      <c r="C43" s="52" t="s">
        <v>64</v>
      </c>
      <c r="D43" s="53">
        <v>0.336206896551724</v>
      </c>
      <c r="E43" s="54">
        <v>0.533333333333333</v>
      </c>
      <c r="F43" s="54">
        <v>0.125</v>
      </c>
      <c r="G43" s="54">
        <v>0.166666666666667</v>
      </c>
      <c r="H43" s="54">
        <v>0</v>
      </c>
      <c r="I43" s="54">
        <v>0.857142857142857</v>
      </c>
      <c r="J43" s="54">
        <v>0.333333333333333</v>
      </c>
      <c r="K43" s="54">
        <v>0.666666666666667</v>
      </c>
      <c r="L43" s="54">
        <v>0.333333333333333</v>
      </c>
      <c r="M43" s="54">
        <v>0.142857142857143</v>
      </c>
      <c r="N43" s="54">
        <v>0.555555555555556</v>
      </c>
      <c r="O43" s="54">
        <v>0.375</v>
      </c>
      <c r="P43" s="83">
        <v>0.133333333333333</v>
      </c>
    </row>
    <row r="44" ht="14.25" spans="1:16">
      <c r="A44" s="36">
        <v>45023</v>
      </c>
      <c r="B44" s="37" t="s">
        <v>22</v>
      </c>
      <c r="C44" s="38" t="s">
        <v>55</v>
      </c>
      <c r="D44" s="39">
        <v>0.34549152234203</v>
      </c>
      <c r="E44" s="40">
        <v>0.339019189765458</v>
      </c>
      <c r="F44" s="40">
        <v>0.179545454545455</v>
      </c>
      <c r="G44" s="40">
        <v>0.153846153846154</v>
      </c>
      <c r="H44" s="40">
        <v>0.281786941580756</v>
      </c>
      <c r="I44" s="40">
        <v>0.324232081911263</v>
      </c>
      <c r="J44" s="40">
        <v>0.39</v>
      </c>
      <c r="K44" s="40">
        <v>0.406349206349206</v>
      </c>
      <c r="L44" s="40">
        <v>0.428571428571429</v>
      </c>
      <c r="M44" s="40">
        <v>0.428571428571429</v>
      </c>
      <c r="N44" s="40">
        <v>0.426056338028169</v>
      </c>
      <c r="O44" s="40">
        <v>0.410764872521246</v>
      </c>
      <c r="P44" s="79">
        <v>0.377155172413793</v>
      </c>
    </row>
    <row r="45" ht="14.25" spans="1:16">
      <c r="A45" s="41">
        <v>45023</v>
      </c>
      <c r="B45" s="42" t="s">
        <v>22</v>
      </c>
      <c r="C45" s="43" t="s">
        <v>57</v>
      </c>
      <c r="D45" s="44">
        <v>4202</v>
      </c>
      <c r="E45" s="45">
        <v>469</v>
      </c>
      <c r="F45" s="45">
        <v>440</v>
      </c>
      <c r="G45" s="45">
        <v>377</v>
      </c>
      <c r="H45" s="45">
        <v>291</v>
      </c>
      <c r="I45" s="45">
        <v>293</v>
      </c>
      <c r="J45" s="45">
        <v>300</v>
      </c>
      <c r="K45" s="45">
        <v>315</v>
      </c>
      <c r="L45" s="45">
        <v>322</v>
      </c>
      <c r="M45" s="45">
        <v>294</v>
      </c>
      <c r="N45" s="45">
        <v>284</v>
      </c>
      <c r="O45" s="45">
        <v>353</v>
      </c>
      <c r="P45" s="80">
        <v>464</v>
      </c>
    </row>
    <row r="46" ht="14.25" spans="1:16">
      <c r="A46" s="41">
        <v>45023</v>
      </c>
      <c r="B46" s="46" t="s">
        <v>22</v>
      </c>
      <c r="C46" s="47" t="s">
        <v>59</v>
      </c>
      <c r="D46" s="44">
        <v>1423</v>
      </c>
      <c r="E46" s="45">
        <v>159</v>
      </c>
      <c r="F46" s="45">
        <v>79</v>
      </c>
      <c r="G46" s="45">
        <v>58</v>
      </c>
      <c r="H46" s="45">
        <v>82</v>
      </c>
      <c r="I46" s="45">
        <v>95</v>
      </c>
      <c r="J46" s="45">
        <v>117</v>
      </c>
      <c r="K46" s="45">
        <v>128</v>
      </c>
      <c r="L46" s="45">
        <v>138</v>
      </c>
      <c r="M46" s="45">
        <v>126</v>
      </c>
      <c r="N46" s="45">
        <v>121</v>
      </c>
      <c r="O46" s="45">
        <v>145</v>
      </c>
      <c r="P46" s="80">
        <v>175</v>
      </c>
    </row>
    <row r="47" ht="14.25" spans="1:16">
      <c r="A47" s="41">
        <v>45023</v>
      </c>
      <c r="B47" s="42" t="s">
        <v>22</v>
      </c>
      <c r="C47" s="43" t="s">
        <v>4</v>
      </c>
      <c r="D47" s="44">
        <v>104</v>
      </c>
      <c r="E47" s="48">
        <v>15</v>
      </c>
      <c r="F47" s="48">
        <v>5</v>
      </c>
      <c r="G47" s="48">
        <v>4</v>
      </c>
      <c r="H47" s="48">
        <v>3</v>
      </c>
      <c r="I47" s="48">
        <v>3</v>
      </c>
      <c r="J47" s="48">
        <v>7</v>
      </c>
      <c r="K47" s="48">
        <v>4</v>
      </c>
      <c r="L47" s="48">
        <v>12</v>
      </c>
      <c r="M47" s="48">
        <v>13</v>
      </c>
      <c r="N47" s="48">
        <v>15</v>
      </c>
      <c r="O47" s="48">
        <v>4</v>
      </c>
      <c r="P47" s="81">
        <v>19</v>
      </c>
    </row>
    <row r="48" ht="14.25" spans="1:16">
      <c r="A48" s="41">
        <v>45023</v>
      </c>
      <c r="B48" s="46" t="s">
        <v>22</v>
      </c>
      <c r="C48" s="47" t="s">
        <v>5</v>
      </c>
      <c r="D48" s="49">
        <v>0.0696746128920841</v>
      </c>
      <c r="E48" s="50">
        <v>0.0943396226415094</v>
      </c>
      <c r="F48" s="50">
        <v>0.0632911392405063</v>
      </c>
      <c r="G48" s="50">
        <v>0.0689655172413793</v>
      </c>
      <c r="H48" s="50">
        <v>0.0365853658536585</v>
      </c>
      <c r="I48" s="50">
        <v>0.0315789473684211</v>
      </c>
      <c r="J48" s="50">
        <v>0.0598290598290598</v>
      </c>
      <c r="K48" s="50">
        <v>0.03125</v>
      </c>
      <c r="L48" s="50">
        <v>0.0869565217391304</v>
      </c>
      <c r="M48" s="50">
        <v>0.103174603174603</v>
      </c>
      <c r="N48" s="50">
        <v>0.12396694214876</v>
      </c>
      <c r="O48" s="50">
        <v>0.0275862068965517</v>
      </c>
      <c r="P48" s="82">
        <v>0.108571428571429</v>
      </c>
    </row>
    <row r="49" ht="14.25" spans="1:16">
      <c r="A49" s="41">
        <v>45023</v>
      </c>
      <c r="B49" s="42" t="s">
        <v>22</v>
      </c>
      <c r="C49" s="43" t="s">
        <v>6</v>
      </c>
      <c r="D49" s="44">
        <v>24</v>
      </c>
      <c r="E49" s="48">
        <v>5</v>
      </c>
      <c r="F49" s="48">
        <v>4</v>
      </c>
      <c r="G49" s="48">
        <v>0</v>
      </c>
      <c r="H49" s="48">
        <v>0</v>
      </c>
      <c r="I49" s="48">
        <v>0</v>
      </c>
      <c r="J49" s="48">
        <v>4</v>
      </c>
      <c r="K49" s="48">
        <v>0</v>
      </c>
      <c r="L49" s="48">
        <v>2</v>
      </c>
      <c r="M49" s="48">
        <v>1</v>
      </c>
      <c r="N49" s="48">
        <v>6</v>
      </c>
      <c r="O49" s="48">
        <v>1</v>
      </c>
      <c r="P49" s="81">
        <v>1</v>
      </c>
    </row>
    <row r="50" ht="14.25" spans="1:16">
      <c r="A50" s="41">
        <v>45023</v>
      </c>
      <c r="B50" s="51" t="s">
        <v>22</v>
      </c>
      <c r="C50" s="91" t="s">
        <v>64</v>
      </c>
      <c r="D50" s="49">
        <v>0.230769230769231</v>
      </c>
      <c r="E50" s="55">
        <v>0.333333333333333</v>
      </c>
      <c r="F50" s="55">
        <v>0.8</v>
      </c>
      <c r="G50" s="55">
        <v>0</v>
      </c>
      <c r="H50" s="55">
        <v>0</v>
      </c>
      <c r="I50" s="55">
        <v>0</v>
      </c>
      <c r="J50" s="55">
        <v>0.571428571428571</v>
      </c>
      <c r="K50" s="55">
        <v>0</v>
      </c>
      <c r="L50" s="55">
        <v>0.166666666666667</v>
      </c>
      <c r="M50" s="55">
        <v>0.0769230769230769</v>
      </c>
      <c r="N50" s="55">
        <v>0.4</v>
      </c>
      <c r="O50" s="55">
        <v>0.25</v>
      </c>
      <c r="P50" s="84">
        <v>0.0526315789473684</v>
      </c>
    </row>
    <row r="51" spans="1:16">
      <c r="A51" s="56" t="s">
        <v>7740</v>
      </c>
      <c r="B51" s="57"/>
      <c r="C51" s="56" t="s">
        <v>59</v>
      </c>
      <c r="D51" s="59">
        <f t="shared" ref="D51:P51" si="0">AVERAGEIF($C$2:$C$43,$C$51,D2:D43)</f>
        <v>1810.66666666667</v>
      </c>
      <c r="E51" s="59">
        <f t="shared" si="0"/>
        <v>219.666666666667</v>
      </c>
      <c r="F51" s="59">
        <f t="shared" si="0"/>
        <v>113.5</v>
      </c>
      <c r="G51" s="59">
        <f t="shared" si="0"/>
        <v>72.1666666666667</v>
      </c>
      <c r="H51" s="59">
        <f t="shared" si="0"/>
        <v>94.5</v>
      </c>
      <c r="I51" s="59">
        <f t="shared" si="0"/>
        <v>132.166666666667</v>
      </c>
      <c r="J51" s="59">
        <f t="shared" si="0"/>
        <v>152.333333333333</v>
      </c>
      <c r="K51" s="59">
        <f t="shared" si="0"/>
        <v>143.833333333333</v>
      </c>
      <c r="L51" s="59">
        <f t="shared" si="0"/>
        <v>161.833333333333</v>
      </c>
      <c r="M51" s="59">
        <f t="shared" si="0"/>
        <v>156.666666666667</v>
      </c>
      <c r="N51" s="59">
        <f t="shared" si="0"/>
        <v>159.166666666667</v>
      </c>
      <c r="O51" s="59">
        <f t="shared" si="0"/>
        <v>189.333333333333</v>
      </c>
      <c r="P51" s="85">
        <f t="shared" si="0"/>
        <v>215.5</v>
      </c>
    </row>
    <row r="52" spans="1:16">
      <c r="A52" s="60"/>
      <c r="B52" s="61"/>
      <c r="C52" s="62" t="s">
        <v>4</v>
      </c>
      <c r="D52" s="64">
        <f t="shared" ref="D52:P52" si="1">AVERAGEIF($C$2:$C$43,$C$52,D2:D43)</f>
        <v>140.166666666667</v>
      </c>
      <c r="E52" s="64">
        <f t="shared" si="1"/>
        <v>16.8333333333333</v>
      </c>
      <c r="F52" s="64">
        <f t="shared" si="1"/>
        <v>9.66666666666667</v>
      </c>
      <c r="G52" s="64">
        <f t="shared" si="1"/>
        <v>7.16666666666667</v>
      </c>
      <c r="H52" s="64">
        <f t="shared" si="1"/>
        <v>6</v>
      </c>
      <c r="I52" s="64">
        <f t="shared" si="1"/>
        <v>7.5</v>
      </c>
      <c r="J52" s="64">
        <f t="shared" si="1"/>
        <v>13</v>
      </c>
      <c r="K52" s="64">
        <f t="shared" si="1"/>
        <v>9.16666666666667</v>
      </c>
      <c r="L52" s="64">
        <f t="shared" si="1"/>
        <v>12.8333333333333</v>
      </c>
      <c r="M52" s="64">
        <f t="shared" si="1"/>
        <v>11.6666666666667</v>
      </c>
      <c r="N52" s="64">
        <f t="shared" si="1"/>
        <v>10.3333333333333</v>
      </c>
      <c r="O52" s="64">
        <f t="shared" si="1"/>
        <v>15.1666666666667</v>
      </c>
      <c r="P52" s="86">
        <f t="shared" si="1"/>
        <v>20.8333333333333</v>
      </c>
    </row>
    <row r="53" spans="1:16">
      <c r="A53" s="60"/>
      <c r="B53" s="61"/>
      <c r="C53" s="60" t="s">
        <v>5</v>
      </c>
      <c r="D53" s="66">
        <f t="shared" ref="D53:P53" si="2">D52/D51</f>
        <v>0.0774116347569956</v>
      </c>
      <c r="E53" s="66">
        <f t="shared" si="2"/>
        <v>0.0766312594840668</v>
      </c>
      <c r="F53" s="66">
        <f t="shared" si="2"/>
        <v>0.0851688693098385</v>
      </c>
      <c r="G53" s="66">
        <f t="shared" si="2"/>
        <v>0.0993071593533487</v>
      </c>
      <c r="H53" s="66">
        <f t="shared" si="2"/>
        <v>0.0634920634920635</v>
      </c>
      <c r="I53" s="66">
        <f t="shared" si="2"/>
        <v>0.0567465321563682</v>
      </c>
      <c r="J53" s="66">
        <f t="shared" si="2"/>
        <v>0.0853391684901532</v>
      </c>
      <c r="K53" s="66">
        <f t="shared" si="2"/>
        <v>0.0637311703360371</v>
      </c>
      <c r="L53" s="66">
        <f t="shared" si="2"/>
        <v>0.0792996910401648</v>
      </c>
      <c r="M53" s="66">
        <f t="shared" si="2"/>
        <v>0.074468085106383</v>
      </c>
      <c r="N53" s="66">
        <f t="shared" si="2"/>
        <v>0.0649214659685864</v>
      </c>
      <c r="O53" s="66">
        <f t="shared" si="2"/>
        <v>0.0801056338028169</v>
      </c>
      <c r="P53" s="87">
        <f t="shared" si="2"/>
        <v>0.0966744006187162</v>
      </c>
    </row>
    <row r="54" spans="1:16">
      <c r="A54" s="60"/>
      <c r="B54" s="61"/>
      <c r="C54" s="62" t="s">
        <v>6</v>
      </c>
      <c r="D54" s="64">
        <f t="shared" ref="D54:P54" si="3">AVERAGEIF($C$2:$C$43,$C$54,D2:D43)</f>
        <v>49.1666666666667</v>
      </c>
      <c r="E54" s="64">
        <f t="shared" si="3"/>
        <v>7.33333333333333</v>
      </c>
      <c r="F54" s="64">
        <f t="shared" si="3"/>
        <v>2.5</v>
      </c>
      <c r="G54" s="64">
        <f t="shared" si="3"/>
        <v>2.16666666666667</v>
      </c>
      <c r="H54" s="64">
        <f t="shared" si="3"/>
        <v>1.66666666666667</v>
      </c>
      <c r="I54" s="64">
        <f t="shared" si="3"/>
        <v>4.16666666666667</v>
      </c>
      <c r="J54" s="64">
        <f t="shared" si="3"/>
        <v>3.66666666666667</v>
      </c>
      <c r="K54" s="64">
        <f t="shared" si="3"/>
        <v>3.33333333333333</v>
      </c>
      <c r="L54" s="64">
        <f t="shared" si="3"/>
        <v>3.83333333333333</v>
      </c>
      <c r="M54" s="64">
        <f t="shared" si="3"/>
        <v>4.16666666666667</v>
      </c>
      <c r="N54" s="64">
        <f t="shared" si="3"/>
        <v>5.5</v>
      </c>
      <c r="O54" s="64">
        <f t="shared" si="3"/>
        <v>6</v>
      </c>
      <c r="P54" s="86">
        <f t="shared" si="3"/>
        <v>4.83333333333333</v>
      </c>
    </row>
    <row r="55" ht="14.25" spans="1:16">
      <c r="A55" s="60"/>
      <c r="B55" s="61"/>
      <c r="C55" s="92" t="s">
        <v>64</v>
      </c>
      <c r="D55" s="68">
        <f t="shared" ref="D55:P55" si="4">D54/D52</f>
        <v>0.35077288941736</v>
      </c>
      <c r="E55" s="68">
        <f t="shared" si="4"/>
        <v>0.435643564356436</v>
      </c>
      <c r="F55" s="68">
        <f t="shared" si="4"/>
        <v>0.258620689655172</v>
      </c>
      <c r="G55" s="68">
        <f t="shared" si="4"/>
        <v>0.302325581395349</v>
      </c>
      <c r="H55" s="68">
        <f t="shared" si="4"/>
        <v>0.277777777777778</v>
      </c>
      <c r="I55" s="68">
        <f t="shared" si="4"/>
        <v>0.555555555555556</v>
      </c>
      <c r="J55" s="68">
        <f t="shared" si="4"/>
        <v>0.282051282051282</v>
      </c>
      <c r="K55" s="68">
        <f t="shared" si="4"/>
        <v>0.363636363636364</v>
      </c>
      <c r="L55" s="68">
        <f t="shared" si="4"/>
        <v>0.298701298701299</v>
      </c>
      <c r="M55" s="68">
        <f t="shared" si="4"/>
        <v>0.357142857142857</v>
      </c>
      <c r="N55" s="68">
        <f t="shared" si="4"/>
        <v>0.532258064516129</v>
      </c>
      <c r="O55" s="68">
        <f t="shared" si="4"/>
        <v>0.395604395604396</v>
      </c>
      <c r="P55" s="88">
        <f t="shared" si="4"/>
        <v>0.232</v>
      </c>
    </row>
    <row r="56" spans="1:16">
      <c r="A56" s="69" t="s">
        <v>7741</v>
      </c>
      <c r="B56" s="70"/>
      <c r="C56" s="60" t="s">
        <v>59</v>
      </c>
      <c r="E56" s="71">
        <f t="shared" ref="E56:P56" si="5">(E46-E51)/E51</f>
        <v>-0.276176024279211</v>
      </c>
      <c r="F56" s="71">
        <f t="shared" si="5"/>
        <v>-0.303964757709251</v>
      </c>
      <c r="G56" s="71">
        <f t="shared" si="5"/>
        <v>-0.196304849884527</v>
      </c>
      <c r="H56" s="71">
        <f t="shared" si="5"/>
        <v>-0.132275132275132</v>
      </c>
      <c r="I56" s="71">
        <f t="shared" si="5"/>
        <v>-0.281210592686002</v>
      </c>
      <c r="J56" s="71">
        <f t="shared" si="5"/>
        <v>-0.231947483588621</v>
      </c>
      <c r="K56" s="71">
        <f t="shared" si="5"/>
        <v>-0.11008111239861</v>
      </c>
      <c r="L56" s="71">
        <f t="shared" si="5"/>
        <v>-0.147270854788877</v>
      </c>
      <c r="M56" s="71">
        <f t="shared" si="5"/>
        <v>-0.195744680851064</v>
      </c>
      <c r="N56" s="71">
        <f t="shared" si="5"/>
        <v>-0.23979057591623</v>
      </c>
      <c r="O56" s="71">
        <f t="shared" si="5"/>
        <v>-0.234154929577465</v>
      </c>
      <c r="P56" s="89">
        <f t="shared" si="5"/>
        <v>-0.187935034802784</v>
      </c>
    </row>
    <row r="57" spans="1:16">
      <c r="A57" s="72"/>
      <c r="B57" s="29"/>
      <c r="C57" s="62" t="s">
        <v>4</v>
      </c>
      <c r="E57" s="71">
        <f>(E47-E52)/E52</f>
        <v>-0.108910891089109</v>
      </c>
      <c r="F57" s="71">
        <f>(F47-F52)/F52</f>
        <v>-0.482758620689655</v>
      </c>
      <c r="G57" s="71">
        <f t="shared" ref="G57:P57" si="6">(G47-G52)/G52</f>
        <v>-0.441860465116279</v>
      </c>
      <c r="H57" s="71">
        <f t="shared" si="6"/>
        <v>-0.5</v>
      </c>
      <c r="I57" s="71">
        <f t="shared" si="6"/>
        <v>-0.6</v>
      </c>
      <c r="J57" s="71">
        <f t="shared" si="6"/>
        <v>-0.461538461538462</v>
      </c>
      <c r="K57" s="71">
        <f t="shared" si="6"/>
        <v>-0.563636363636364</v>
      </c>
      <c r="L57" s="71">
        <f t="shared" si="6"/>
        <v>-0.064935064935065</v>
      </c>
      <c r="M57" s="71">
        <f t="shared" si="6"/>
        <v>0.114285714285714</v>
      </c>
      <c r="N57" s="71">
        <f t="shared" si="6"/>
        <v>0.451612903225806</v>
      </c>
      <c r="O57" s="71">
        <f t="shared" si="6"/>
        <v>-0.736263736263736</v>
      </c>
      <c r="P57" s="89">
        <f t="shared" si="6"/>
        <v>-0.088</v>
      </c>
    </row>
    <row r="58" ht="14.25" spans="1:16">
      <c r="A58" s="73"/>
      <c r="B58" s="74"/>
      <c r="C58" s="75" t="s">
        <v>6</v>
      </c>
      <c r="D58" s="76"/>
      <c r="E58" s="77">
        <f t="shared" ref="E58:P58" si="7">(E49-E54)/E54</f>
        <v>-0.318181818181818</v>
      </c>
      <c r="F58" s="77">
        <f t="shared" si="7"/>
        <v>0.6</v>
      </c>
      <c r="G58" s="77">
        <f t="shared" si="7"/>
        <v>-1</v>
      </c>
      <c r="H58" s="77">
        <f t="shared" si="7"/>
        <v>-1</v>
      </c>
      <c r="I58" s="77">
        <f t="shared" si="7"/>
        <v>-1</v>
      </c>
      <c r="J58" s="77">
        <f t="shared" si="7"/>
        <v>0.090909090909091</v>
      </c>
      <c r="K58" s="77">
        <f t="shared" si="7"/>
        <v>-1</v>
      </c>
      <c r="L58" s="77">
        <f t="shared" si="7"/>
        <v>-0.478260869565217</v>
      </c>
      <c r="M58" s="77">
        <f t="shared" si="7"/>
        <v>-0.76</v>
      </c>
      <c r="N58" s="77">
        <f t="shared" si="7"/>
        <v>0.0909090909090909</v>
      </c>
      <c r="O58" s="77">
        <f t="shared" si="7"/>
        <v>-0.833333333333333</v>
      </c>
      <c r="P58" s="90">
        <f t="shared" si="7"/>
        <v>-0.793103448275862</v>
      </c>
    </row>
  </sheetData>
  <mergeCells count="3">
    <mergeCell ref="B1:C1"/>
    <mergeCell ref="A51:B55"/>
    <mergeCell ref="A56:B58"/>
  </mergeCells>
  <conditionalFormatting sqref="D1">
    <cfRule type="expression" dxfId="4" priority="630">
      <formula>D1&lt;T1</formula>
    </cfRule>
  </conditionalFormatting>
  <conditionalFormatting sqref="D50:D55">
    <cfRule type="expression" dxfId="4" priority="144">
      <formula>D50&lt;T50</formula>
    </cfRule>
  </conditionalFormatting>
  <conditionalFormatting sqref="D2:I49 E50:I50">
    <cfRule type="expression" dxfId="4" priority="170">
      <formula>D2&lt;T2</formula>
    </cfRule>
  </conditionalFormatting>
  <conditionalFormatting sqref="E2:P55">
    <cfRule type="expression" dxfId="4" priority="1">
      <formula>E2&lt;U2</formula>
    </cfRule>
  </conditionalFormatting>
  <conditionalFormatting sqref="C56:D57">
    <cfRule type="cellIs" dxfId="3" priority="559" operator="lessThan">
      <formula>0</formula>
    </cfRule>
  </conditionalFormatting>
  <conditionalFormatting sqref="E56:P58">
    <cfRule type="cellIs" dxfId="3" priority="38" operator="lessThan">
      <formula>0</formula>
    </cfRule>
  </conditionalFormatting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workbookViewId="0">
      <selection activeCell="P58" sqref="A1:P58"/>
    </sheetView>
  </sheetViews>
  <sheetFormatPr defaultColWidth="9" defaultRowHeight="13.5"/>
  <cols>
    <col min="1" max="1" width="9.375" style="29"/>
    <col min="2" max="2" width="13.625" style="30" customWidth="1"/>
    <col min="3" max="3" width="11.75" style="30" customWidth="1"/>
    <col min="4" max="4" width="17.125" style="30"/>
    <col min="5" max="5" width="16" style="30"/>
    <col min="6" max="16" width="13.75" style="30"/>
  </cols>
  <sheetData>
    <row r="1" ht="14.25" spans="1:16">
      <c r="A1" s="31" t="s">
        <v>0</v>
      </c>
      <c r="B1" s="32" t="s">
        <v>1</v>
      </c>
      <c r="C1" s="33"/>
      <c r="D1" s="34" t="s">
        <v>42</v>
      </c>
      <c r="E1" s="35" t="s">
        <v>43</v>
      </c>
      <c r="F1" s="35" t="s">
        <v>44</v>
      </c>
      <c r="G1" s="35" t="s">
        <v>45</v>
      </c>
      <c r="H1" s="35" t="s">
        <v>46</v>
      </c>
      <c r="I1" s="35" t="s">
        <v>47</v>
      </c>
      <c r="J1" s="35" t="s">
        <v>48</v>
      </c>
      <c r="K1" s="35" t="s">
        <v>49</v>
      </c>
      <c r="L1" s="35" t="s">
        <v>50</v>
      </c>
      <c r="M1" s="35" t="s">
        <v>51</v>
      </c>
      <c r="N1" s="35" t="s">
        <v>52</v>
      </c>
      <c r="O1" s="35" t="s">
        <v>53</v>
      </c>
      <c r="P1" s="78" t="s">
        <v>54</v>
      </c>
    </row>
    <row r="2" ht="14.25" hidden="1" spans="1:16">
      <c r="A2" s="36">
        <v>45017</v>
      </c>
      <c r="B2" s="37" t="s">
        <v>68</v>
      </c>
      <c r="C2" s="38" t="s">
        <v>55</v>
      </c>
      <c r="D2" s="39">
        <v>0.172332488044528</v>
      </c>
      <c r="E2" s="40">
        <v>0.291021671826625</v>
      </c>
      <c r="F2" s="40">
        <v>0.198863636363636</v>
      </c>
      <c r="G2" s="40">
        <v>0.25</v>
      </c>
      <c r="H2" s="40">
        <v>0.153172866520788</v>
      </c>
      <c r="I2" s="40">
        <v>0.179883945841393</v>
      </c>
      <c r="J2" s="40">
        <v>0.158762886597938</v>
      </c>
      <c r="K2" s="40">
        <v>0.161676646706587</v>
      </c>
      <c r="L2" s="40">
        <v>0.138996138996139</v>
      </c>
      <c r="M2" s="40">
        <v>0.11651728553137</v>
      </c>
      <c r="N2" s="40">
        <v>0.125412541254125</v>
      </c>
      <c r="O2" s="40">
        <v>0.153256704980843</v>
      </c>
      <c r="P2" s="79">
        <v>0.140425531914894</v>
      </c>
    </row>
    <row r="3" ht="14.25" hidden="1" spans="1:16">
      <c r="A3" s="41">
        <v>45017</v>
      </c>
      <c r="B3" s="42" t="s">
        <v>68</v>
      </c>
      <c r="C3" s="43" t="s">
        <v>57</v>
      </c>
      <c r="D3" s="44">
        <v>7261</v>
      </c>
      <c r="E3" s="45">
        <v>323</v>
      </c>
      <c r="F3" s="45">
        <v>176</v>
      </c>
      <c r="G3" s="45">
        <v>184</v>
      </c>
      <c r="H3" s="45">
        <v>457</v>
      </c>
      <c r="I3" s="45">
        <v>517</v>
      </c>
      <c r="J3" s="45">
        <v>485</v>
      </c>
      <c r="K3" s="45">
        <v>668</v>
      </c>
      <c r="L3" s="45">
        <v>777</v>
      </c>
      <c r="M3" s="45">
        <v>781</v>
      </c>
      <c r="N3" s="45">
        <v>909</v>
      </c>
      <c r="O3" s="45">
        <v>1044</v>
      </c>
      <c r="P3" s="80">
        <v>940</v>
      </c>
    </row>
    <row r="4" ht="14.25" hidden="1" spans="1:16">
      <c r="A4" s="41">
        <v>45017</v>
      </c>
      <c r="B4" s="46" t="s">
        <v>68</v>
      </c>
      <c r="C4" s="47" t="s">
        <v>59</v>
      </c>
      <c r="D4" s="44">
        <v>1128</v>
      </c>
      <c r="E4" s="45">
        <v>94</v>
      </c>
      <c r="F4" s="45">
        <v>35</v>
      </c>
      <c r="G4" s="45">
        <v>46</v>
      </c>
      <c r="H4" s="45">
        <v>70</v>
      </c>
      <c r="I4" s="45">
        <v>93</v>
      </c>
      <c r="J4" s="45">
        <v>77</v>
      </c>
      <c r="K4" s="45">
        <v>108</v>
      </c>
      <c r="L4" s="45">
        <v>108</v>
      </c>
      <c r="M4" s="45">
        <v>91</v>
      </c>
      <c r="N4" s="45">
        <v>114</v>
      </c>
      <c r="O4" s="45">
        <v>160</v>
      </c>
      <c r="P4" s="80">
        <v>132</v>
      </c>
    </row>
    <row r="5" ht="14.25" hidden="1" spans="1:16">
      <c r="A5" s="41">
        <v>45017</v>
      </c>
      <c r="B5" s="42" t="s">
        <v>68</v>
      </c>
      <c r="C5" s="43" t="s">
        <v>4</v>
      </c>
      <c r="D5" s="44">
        <v>37</v>
      </c>
      <c r="E5" s="48">
        <v>6</v>
      </c>
      <c r="F5" s="48">
        <v>1</v>
      </c>
      <c r="G5" s="48">
        <v>2</v>
      </c>
      <c r="H5" s="48">
        <v>2</v>
      </c>
      <c r="I5" s="48">
        <v>4</v>
      </c>
      <c r="J5" s="48">
        <v>4</v>
      </c>
      <c r="K5" s="48">
        <v>2</v>
      </c>
      <c r="L5" s="48">
        <v>3</v>
      </c>
      <c r="M5" s="48">
        <v>3</v>
      </c>
      <c r="N5" s="48">
        <v>5</v>
      </c>
      <c r="O5" s="48">
        <v>2</v>
      </c>
      <c r="P5" s="81">
        <v>3</v>
      </c>
    </row>
    <row r="6" ht="14.25" hidden="1" spans="1:16">
      <c r="A6" s="41">
        <v>45017</v>
      </c>
      <c r="B6" s="46" t="s">
        <v>68</v>
      </c>
      <c r="C6" s="47" t="s">
        <v>5</v>
      </c>
      <c r="D6" s="49">
        <v>0.0348133300830082</v>
      </c>
      <c r="E6" s="50">
        <v>0.0638297872340425</v>
      </c>
      <c r="F6" s="50">
        <v>0.0285714285714286</v>
      </c>
      <c r="G6" s="50">
        <v>0.0434782608695652</v>
      </c>
      <c r="H6" s="50">
        <v>0.0285714285714286</v>
      </c>
      <c r="I6" s="50">
        <v>0.043010752688172</v>
      </c>
      <c r="J6" s="50">
        <v>0.051948051948052</v>
      </c>
      <c r="K6" s="50">
        <v>0.0185185185185185</v>
      </c>
      <c r="L6" s="50">
        <v>0.0277777777777778</v>
      </c>
      <c r="M6" s="50">
        <v>0.032967032967033</v>
      </c>
      <c r="N6" s="50">
        <v>0.043859649122807</v>
      </c>
      <c r="O6" s="50">
        <v>0.0125</v>
      </c>
      <c r="P6" s="82">
        <v>0.0227272727272727</v>
      </c>
    </row>
    <row r="7" ht="14.25" hidden="1" spans="1:16">
      <c r="A7" s="41">
        <v>45017</v>
      </c>
      <c r="B7" s="42" t="s">
        <v>68</v>
      </c>
      <c r="C7" s="43" t="s">
        <v>6</v>
      </c>
      <c r="D7" s="44">
        <v>20</v>
      </c>
      <c r="E7" s="48">
        <v>1</v>
      </c>
      <c r="F7" s="48">
        <v>0</v>
      </c>
      <c r="G7" s="48">
        <v>0</v>
      </c>
      <c r="H7" s="48">
        <v>1</v>
      </c>
      <c r="I7" s="48">
        <v>3</v>
      </c>
      <c r="J7" s="48">
        <v>2</v>
      </c>
      <c r="K7" s="48">
        <v>4</v>
      </c>
      <c r="L7" s="48">
        <v>3</v>
      </c>
      <c r="M7" s="48">
        <v>0</v>
      </c>
      <c r="N7" s="48">
        <v>2</v>
      </c>
      <c r="O7" s="48">
        <v>1</v>
      </c>
      <c r="P7" s="81">
        <v>3</v>
      </c>
    </row>
    <row r="8" ht="14.25" hidden="1" spans="1:16">
      <c r="A8" s="41">
        <v>45017</v>
      </c>
      <c r="B8" s="51" t="s">
        <v>68</v>
      </c>
      <c r="C8" s="52" t="s">
        <v>64</v>
      </c>
      <c r="D8" s="53">
        <v>0.540540540540541</v>
      </c>
      <c r="E8" s="54">
        <v>0.166666666666667</v>
      </c>
      <c r="F8" s="54">
        <v>0</v>
      </c>
      <c r="G8" s="54">
        <v>0</v>
      </c>
      <c r="H8" s="54">
        <v>0.5</v>
      </c>
      <c r="I8" s="54">
        <v>0.75</v>
      </c>
      <c r="J8" s="54">
        <v>0.5</v>
      </c>
      <c r="K8" s="54">
        <v>2</v>
      </c>
      <c r="L8" s="54">
        <v>1</v>
      </c>
      <c r="M8" s="54">
        <v>0</v>
      </c>
      <c r="N8" s="54">
        <v>0.4</v>
      </c>
      <c r="O8" s="54">
        <v>0.5</v>
      </c>
      <c r="P8" s="83">
        <v>1</v>
      </c>
    </row>
    <row r="9" ht="14.25" hidden="1" spans="1:16">
      <c r="A9" s="36">
        <v>45018</v>
      </c>
      <c r="B9" s="37" t="s">
        <v>68</v>
      </c>
      <c r="C9" s="38" t="s">
        <v>55</v>
      </c>
      <c r="D9" s="39">
        <v>0.149341789765279</v>
      </c>
      <c r="E9" s="40">
        <v>0.276892430278884</v>
      </c>
      <c r="F9" s="40">
        <v>0.191176470588235</v>
      </c>
      <c r="G9" s="40">
        <v>0.213389121338912</v>
      </c>
      <c r="H9" s="40">
        <v>0.129411764705882</v>
      </c>
      <c r="I9" s="40">
        <v>0.161716171617162</v>
      </c>
      <c r="J9" s="40">
        <v>0.137878787878788</v>
      </c>
      <c r="K9" s="40">
        <v>0.131168831168831</v>
      </c>
      <c r="L9" s="40">
        <v>0.171830985915493</v>
      </c>
      <c r="M9" s="40">
        <v>0.145114942528736</v>
      </c>
      <c r="N9" s="40">
        <v>0.0785714285714286</v>
      </c>
      <c r="O9" s="40">
        <v>0.0780274656679151</v>
      </c>
      <c r="P9" s="79">
        <v>0.0769230769230769</v>
      </c>
    </row>
    <row r="10" ht="14.25" hidden="1" spans="1:16">
      <c r="A10" s="41">
        <v>45018</v>
      </c>
      <c r="B10" s="42" t="s">
        <v>68</v>
      </c>
      <c r="C10" s="43" t="s">
        <v>57</v>
      </c>
      <c r="D10" s="44">
        <v>9358</v>
      </c>
      <c r="E10" s="45">
        <v>502</v>
      </c>
      <c r="F10" s="45">
        <v>272</v>
      </c>
      <c r="G10" s="45">
        <v>239</v>
      </c>
      <c r="H10" s="45">
        <v>510</v>
      </c>
      <c r="I10" s="45">
        <v>606</v>
      </c>
      <c r="J10" s="45">
        <v>660</v>
      </c>
      <c r="K10" s="45">
        <v>770</v>
      </c>
      <c r="L10" s="45">
        <v>710</v>
      </c>
      <c r="M10" s="45">
        <v>696</v>
      </c>
      <c r="N10" s="45">
        <v>1400</v>
      </c>
      <c r="O10" s="45">
        <v>1602</v>
      </c>
      <c r="P10" s="80">
        <v>1391</v>
      </c>
    </row>
    <row r="11" ht="14.25" hidden="1" spans="1:16">
      <c r="A11" s="41">
        <v>45018</v>
      </c>
      <c r="B11" s="46" t="s">
        <v>68</v>
      </c>
      <c r="C11" s="47" t="s">
        <v>59</v>
      </c>
      <c r="D11" s="44">
        <v>1163</v>
      </c>
      <c r="E11" s="45">
        <v>139</v>
      </c>
      <c r="F11" s="45">
        <v>52</v>
      </c>
      <c r="G11" s="45">
        <v>51</v>
      </c>
      <c r="H11" s="45">
        <v>66</v>
      </c>
      <c r="I11" s="45">
        <v>98</v>
      </c>
      <c r="J11" s="45">
        <v>91</v>
      </c>
      <c r="K11" s="45">
        <v>101</v>
      </c>
      <c r="L11" s="45">
        <v>122</v>
      </c>
      <c r="M11" s="45">
        <v>101</v>
      </c>
      <c r="N11" s="45">
        <v>110</v>
      </c>
      <c r="O11" s="45">
        <v>125</v>
      </c>
      <c r="P11" s="80">
        <v>107</v>
      </c>
    </row>
    <row r="12" ht="14.25" hidden="1" spans="1:16">
      <c r="A12" s="41">
        <v>45018</v>
      </c>
      <c r="B12" s="42" t="s">
        <v>68</v>
      </c>
      <c r="C12" s="43" t="s">
        <v>4</v>
      </c>
      <c r="D12" s="44">
        <v>49</v>
      </c>
      <c r="E12" s="48">
        <v>8</v>
      </c>
      <c r="F12" s="48">
        <v>4</v>
      </c>
      <c r="G12" s="48">
        <v>1</v>
      </c>
      <c r="H12" s="48">
        <v>1</v>
      </c>
      <c r="I12" s="48">
        <v>2</v>
      </c>
      <c r="J12" s="48">
        <v>1</v>
      </c>
      <c r="K12" s="48">
        <v>4</v>
      </c>
      <c r="L12" s="48">
        <v>9</v>
      </c>
      <c r="M12" s="48">
        <v>5</v>
      </c>
      <c r="N12" s="48">
        <v>1</v>
      </c>
      <c r="O12" s="48">
        <v>5</v>
      </c>
      <c r="P12" s="81">
        <v>8</v>
      </c>
    </row>
    <row r="13" ht="14.25" hidden="1" spans="1:16">
      <c r="A13" s="41">
        <v>45018</v>
      </c>
      <c r="B13" s="46" t="s">
        <v>68</v>
      </c>
      <c r="C13" s="47" t="s">
        <v>5</v>
      </c>
      <c r="D13" s="49">
        <v>0.04061418610218</v>
      </c>
      <c r="E13" s="50">
        <v>0.0575539568345324</v>
      </c>
      <c r="F13" s="50">
        <v>0.0769230769230769</v>
      </c>
      <c r="G13" s="50">
        <v>0.0196078431372549</v>
      </c>
      <c r="H13" s="50">
        <v>0.0151515151515152</v>
      </c>
      <c r="I13" s="50">
        <v>0.0204081632653061</v>
      </c>
      <c r="J13" s="50">
        <v>0.010989010989011</v>
      </c>
      <c r="K13" s="50">
        <v>0.0396039603960396</v>
      </c>
      <c r="L13" s="50">
        <v>0.0737704918032787</v>
      </c>
      <c r="M13" s="50">
        <v>0.0495049504950495</v>
      </c>
      <c r="N13" s="50">
        <v>0.00909090909090909</v>
      </c>
      <c r="O13" s="50">
        <v>0.04</v>
      </c>
      <c r="P13" s="82">
        <v>0.0747663551401869</v>
      </c>
    </row>
    <row r="14" ht="14.25" hidden="1" spans="1:16">
      <c r="A14" s="41">
        <v>45018</v>
      </c>
      <c r="B14" s="42" t="s">
        <v>68</v>
      </c>
      <c r="C14" s="43" t="s">
        <v>6</v>
      </c>
      <c r="D14" s="44">
        <v>21</v>
      </c>
      <c r="E14" s="48">
        <v>3</v>
      </c>
      <c r="F14" s="48">
        <v>2</v>
      </c>
      <c r="G14" s="48">
        <v>0</v>
      </c>
      <c r="H14" s="48">
        <v>0</v>
      </c>
      <c r="I14" s="48">
        <v>3</v>
      </c>
      <c r="J14" s="48">
        <v>0</v>
      </c>
      <c r="K14" s="48">
        <v>0</v>
      </c>
      <c r="L14" s="48">
        <v>3</v>
      </c>
      <c r="M14" s="48">
        <v>2</v>
      </c>
      <c r="N14" s="48">
        <v>2</v>
      </c>
      <c r="O14" s="48">
        <v>4</v>
      </c>
      <c r="P14" s="81">
        <v>2</v>
      </c>
    </row>
    <row r="15" ht="14.25" hidden="1" spans="1:16">
      <c r="A15" s="41">
        <v>45018</v>
      </c>
      <c r="B15" s="51" t="s">
        <v>68</v>
      </c>
      <c r="C15" s="52" t="s">
        <v>64</v>
      </c>
      <c r="D15" s="53">
        <v>0.428571428571429</v>
      </c>
      <c r="E15" s="54">
        <v>0.375</v>
      </c>
      <c r="F15" s="54">
        <v>0.5</v>
      </c>
      <c r="G15" s="54">
        <v>0</v>
      </c>
      <c r="H15" s="54">
        <v>0</v>
      </c>
      <c r="I15" s="54">
        <v>1.5</v>
      </c>
      <c r="J15" s="54">
        <v>0</v>
      </c>
      <c r="K15" s="54">
        <v>0</v>
      </c>
      <c r="L15" s="54">
        <v>0.333333333333333</v>
      </c>
      <c r="M15" s="54">
        <v>0.4</v>
      </c>
      <c r="N15" s="54">
        <v>2</v>
      </c>
      <c r="O15" s="54">
        <v>0.8</v>
      </c>
      <c r="P15" s="83">
        <v>0.25</v>
      </c>
    </row>
    <row r="16" ht="14.25" hidden="1" spans="1:16">
      <c r="A16" s="36">
        <v>45019</v>
      </c>
      <c r="B16" s="37" t="s">
        <v>68</v>
      </c>
      <c r="C16" s="38" t="s">
        <v>55</v>
      </c>
      <c r="D16" s="39">
        <v>0.157553968801029</v>
      </c>
      <c r="E16" s="40">
        <v>0.310185185185185</v>
      </c>
      <c r="F16" s="40">
        <v>0.27027027027027</v>
      </c>
      <c r="G16" s="40">
        <v>0.225663716814159</v>
      </c>
      <c r="H16" s="40">
        <v>0.135658914728682</v>
      </c>
      <c r="I16" s="40">
        <v>0.161290322580645</v>
      </c>
      <c r="J16" s="40">
        <v>0.149359886201991</v>
      </c>
      <c r="K16" s="40">
        <v>0.158050221565731</v>
      </c>
      <c r="L16" s="40">
        <v>0.149321266968326</v>
      </c>
      <c r="M16" s="40">
        <v>0.148414985590778</v>
      </c>
      <c r="N16" s="40">
        <v>0.0607763023493361</v>
      </c>
      <c r="O16" s="40">
        <v>0.0642722117202268</v>
      </c>
      <c r="P16" s="79">
        <v>0.0573843416370107</v>
      </c>
    </row>
    <row r="17" ht="14.25" hidden="1" spans="1:16">
      <c r="A17" s="41">
        <v>45019</v>
      </c>
      <c r="B17" s="42" t="s">
        <v>68</v>
      </c>
      <c r="C17" s="43" t="s">
        <v>57</v>
      </c>
      <c r="D17" s="44">
        <v>11168</v>
      </c>
      <c r="E17" s="45">
        <v>432</v>
      </c>
      <c r="F17" s="45">
        <v>222</v>
      </c>
      <c r="G17" s="45">
        <v>226</v>
      </c>
      <c r="H17" s="45">
        <v>516</v>
      </c>
      <c r="I17" s="45">
        <v>713</v>
      </c>
      <c r="J17" s="45">
        <v>703</v>
      </c>
      <c r="K17" s="45">
        <v>677</v>
      </c>
      <c r="L17" s="45">
        <v>663</v>
      </c>
      <c r="M17" s="45">
        <v>694</v>
      </c>
      <c r="N17" s="45">
        <v>1958</v>
      </c>
      <c r="O17" s="45">
        <v>2116</v>
      </c>
      <c r="P17" s="80">
        <v>2248</v>
      </c>
    </row>
    <row r="18" ht="14.25" hidden="1" spans="1:16">
      <c r="A18" s="41">
        <v>45019</v>
      </c>
      <c r="B18" s="46" t="s">
        <v>68</v>
      </c>
      <c r="C18" s="47" t="s">
        <v>59</v>
      </c>
      <c r="D18" s="44">
        <v>1228</v>
      </c>
      <c r="E18" s="45">
        <v>134</v>
      </c>
      <c r="F18" s="45">
        <v>60</v>
      </c>
      <c r="G18" s="45">
        <v>51</v>
      </c>
      <c r="H18" s="45">
        <v>70</v>
      </c>
      <c r="I18" s="45">
        <v>115</v>
      </c>
      <c r="J18" s="45">
        <v>105</v>
      </c>
      <c r="K18" s="45">
        <v>107</v>
      </c>
      <c r="L18" s="45">
        <v>99</v>
      </c>
      <c r="M18" s="45">
        <v>103</v>
      </c>
      <c r="N18" s="45">
        <v>119</v>
      </c>
      <c r="O18" s="45">
        <v>136</v>
      </c>
      <c r="P18" s="80">
        <v>129</v>
      </c>
    </row>
    <row r="19" ht="14.25" hidden="1" spans="1:16">
      <c r="A19" s="41">
        <v>45019</v>
      </c>
      <c r="B19" s="42" t="s">
        <v>68</v>
      </c>
      <c r="C19" s="43" t="s">
        <v>4</v>
      </c>
      <c r="D19" s="44">
        <v>57</v>
      </c>
      <c r="E19" s="48">
        <v>5</v>
      </c>
      <c r="F19" s="48">
        <v>8</v>
      </c>
      <c r="G19" s="48">
        <v>3</v>
      </c>
      <c r="H19" s="48">
        <v>2</v>
      </c>
      <c r="I19" s="48">
        <v>4</v>
      </c>
      <c r="J19" s="48">
        <v>6</v>
      </c>
      <c r="K19" s="48">
        <v>6</v>
      </c>
      <c r="L19" s="48">
        <v>7</v>
      </c>
      <c r="M19" s="48">
        <v>3</v>
      </c>
      <c r="N19" s="48">
        <v>2</v>
      </c>
      <c r="O19" s="48">
        <v>4</v>
      </c>
      <c r="P19" s="81">
        <v>7</v>
      </c>
    </row>
    <row r="20" ht="14.25" hidden="1" spans="1:16">
      <c r="A20" s="41">
        <v>45019</v>
      </c>
      <c r="B20" s="46" t="s">
        <v>68</v>
      </c>
      <c r="C20" s="47" t="s">
        <v>5</v>
      </c>
      <c r="D20" s="49">
        <v>0.050529774494311</v>
      </c>
      <c r="E20" s="50">
        <v>0.0373134328358209</v>
      </c>
      <c r="F20" s="50">
        <v>0.133333333333333</v>
      </c>
      <c r="G20" s="50">
        <v>0.0588235294117647</v>
      </c>
      <c r="H20" s="50">
        <v>0.0285714285714286</v>
      </c>
      <c r="I20" s="50">
        <v>0.0347826086956522</v>
      </c>
      <c r="J20" s="50">
        <v>0.0571428571428571</v>
      </c>
      <c r="K20" s="50">
        <v>0.0560747663551402</v>
      </c>
      <c r="L20" s="50">
        <v>0.0707070707070707</v>
      </c>
      <c r="M20" s="50">
        <v>0.029126213592233</v>
      </c>
      <c r="N20" s="50">
        <v>0.0168067226890756</v>
      </c>
      <c r="O20" s="50">
        <v>0.0294117647058824</v>
      </c>
      <c r="P20" s="82">
        <v>0.0542635658914729</v>
      </c>
    </row>
    <row r="21" ht="14.25" hidden="1" spans="1:16">
      <c r="A21" s="41">
        <v>45019</v>
      </c>
      <c r="B21" s="42" t="s">
        <v>68</v>
      </c>
      <c r="C21" s="43" t="s">
        <v>6</v>
      </c>
      <c r="D21" s="44">
        <v>21</v>
      </c>
      <c r="E21" s="48">
        <v>4</v>
      </c>
      <c r="F21" s="48">
        <v>2</v>
      </c>
      <c r="G21" s="48">
        <v>1</v>
      </c>
      <c r="H21" s="48">
        <v>2</v>
      </c>
      <c r="I21" s="48">
        <v>1</v>
      </c>
      <c r="J21" s="48">
        <v>1</v>
      </c>
      <c r="K21" s="48">
        <v>2</v>
      </c>
      <c r="L21" s="48">
        <v>1</v>
      </c>
      <c r="M21" s="48">
        <v>1</v>
      </c>
      <c r="N21" s="48">
        <v>0</v>
      </c>
      <c r="O21" s="48">
        <v>4</v>
      </c>
      <c r="P21" s="81">
        <v>2</v>
      </c>
    </row>
    <row r="22" ht="14.25" hidden="1" spans="1:16">
      <c r="A22" s="41">
        <v>45019</v>
      </c>
      <c r="B22" s="51" t="s">
        <v>68</v>
      </c>
      <c r="C22" s="52" t="s">
        <v>64</v>
      </c>
      <c r="D22" s="53">
        <v>0.368421052631579</v>
      </c>
      <c r="E22" s="54">
        <v>0.8</v>
      </c>
      <c r="F22" s="54">
        <v>0.25</v>
      </c>
      <c r="G22" s="54">
        <v>0.333333333333333</v>
      </c>
      <c r="H22" s="54">
        <v>1</v>
      </c>
      <c r="I22" s="54">
        <v>0.25</v>
      </c>
      <c r="J22" s="54">
        <v>0.166666666666667</v>
      </c>
      <c r="K22" s="54">
        <v>0.333333333333333</v>
      </c>
      <c r="L22" s="54">
        <v>0.142857142857143</v>
      </c>
      <c r="M22" s="54">
        <v>0.333333333333333</v>
      </c>
      <c r="N22" s="54">
        <v>0</v>
      </c>
      <c r="O22" s="54">
        <v>1</v>
      </c>
      <c r="P22" s="83">
        <v>0.285714285714286</v>
      </c>
    </row>
    <row r="23" ht="14.25" hidden="1" spans="1:16">
      <c r="A23" s="36">
        <v>45020</v>
      </c>
      <c r="B23" s="37" t="s">
        <v>68</v>
      </c>
      <c r="C23" s="38" t="s">
        <v>55</v>
      </c>
      <c r="D23" s="39">
        <v>0.142636164065644</v>
      </c>
      <c r="E23" s="40">
        <v>0.186335403726708</v>
      </c>
      <c r="F23" s="40">
        <v>0.213541666666667</v>
      </c>
      <c r="G23" s="40">
        <v>0.219917012448133</v>
      </c>
      <c r="H23" s="40">
        <v>0.110891089108911</v>
      </c>
      <c r="I23" s="40">
        <v>0.15569823434992</v>
      </c>
      <c r="J23" s="40">
        <v>0.1344</v>
      </c>
      <c r="K23" s="40">
        <v>0.140819964349376</v>
      </c>
      <c r="L23" s="40">
        <v>0.149230769230769</v>
      </c>
      <c r="M23" s="40">
        <v>0.159398496240602</v>
      </c>
      <c r="N23" s="40">
        <v>0.076814658210007</v>
      </c>
      <c r="O23" s="40">
        <v>0.0794198895027624</v>
      </c>
      <c r="P23" s="79">
        <v>0.085166784953868</v>
      </c>
    </row>
    <row r="24" ht="14.25" hidden="1" spans="1:16">
      <c r="A24" s="41">
        <v>45020</v>
      </c>
      <c r="B24" s="42" t="s">
        <v>68</v>
      </c>
      <c r="C24" s="43" t="s">
        <v>57</v>
      </c>
      <c r="D24" s="44">
        <v>8821</v>
      </c>
      <c r="E24" s="45">
        <v>483</v>
      </c>
      <c r="F24" s="45">
        <v>192</v>
      </c>
      <c r="G24" s="45">
        <v>241</v>
      </c>
      <c r="H24" s="45">
        <v>505</v>
      </c>
      <c r="I24" s="45">
        <v>623</v>
      </c>
      <c r="J24" s="45">
        <v>625</v>
      </c>
      <c r="K24" s="45">
        <v>561</v>
      </c>
      <c r="L24" s="45">
        <v>650</v>
      </c>
      <c r="M24" s="45">
        <v>665</v>
      </c>
      <c r="N24" s="45">
        <v>1419</v>
      </c>
      <c r="O24" s="45">
        <v>1448</v>
      </c>
      <c r="P24" s="80">
        <v>1409</v>
      </c>
    </row>
    <row r="25" ht="14.25" hidden="1" spans="1:16">
      <c r="A25" s="41">
        <v>45020</v>
      </c>
      <c r="B25" s="46" t="s">
        <v>68</v>
      </c>
      <c r="C25" s="47" t="s">
        <v>59</v>
      </c>
      <c r="D25" s="44">
        <v>1047</v>
      </c>
      <c r="E25" s="45">
        <v>90</v>
      </c>
      <c r="F25" s="45">
        <v>41</v>
      </c>
      <c r="G25" s="45">
        <v>53</v>
      </c>
      <c r="H25" s="45">
        <v>56</v>
      </c>
      <c r="I25" s="45">
        <v>97</v>
      </c>
      <c r="J25" s="45">
        <v>84</v>
      </c>
      <c r="K25" s="45">
        <v>79</v>
      </c>
      <c r="L25" s="45">
        <v>97</v>
      </c>
      <c r="M25" s="45">
        <v>106</v>
      </c>
      <c r="N25" s="45">
        <v>109</v>
      </c>
      <c r="O25" s="45">
        <v>115</v>
      </c>
      <c r="P25" s="80">
        <v>120</v>
      </c>
    </row>
    <row r="26" ht="14.25" hidden="1" spans="1:16">
      <c r="A26" s="41">
        <v>45020</v>
      </c>
      <c r="B26" s="42" t="s">
        <v>68</v>
      </c>
      <c r="C26" s="43" t="s">
        <v>4</v>
      </c>
      <c r="D26" s="44">
        <v>43</v>
      </c>
      <c r="E26" s="48">
        <v>4</v>
      </c>
      <c r="F26" s="48">
        <v>3</v>
      </c>
      <c r="G26" s="48">
        <v>2</v>
      </c>
      <c r="H26" s="48">
        <v>0</v>
      </c>
      <c r="I26" s="48">
        <v>6</v>
      </c>
      <c r="J26" s="48">
        <v>4</v>
      </c>
      <c r="K26" s="48">
        <v>3</v>
      </c>
      <c r="L26" s="48">
        <v>4</v>
      </c>
      <c r="M26" s="48">
        <v>4</v>
      </c>
      <c r="N26" s="48">
        <v>5</v>
      </c>
      <c r="O26" s="48">
        <v>3</v>
      </c>
      <c r="P26" s="81">
        <v>5</v>
      </c>
    </row>
    <row r="27" ht="14.25" hidden="1" spans="1:16">
      <c r="A27" s="41">
        <v>45020</v>
      </c>
      <c r="B27" s="46" t="s">
        <v>68</v>
      </c>
      <c r="C27" s="47" t="s">
        <v>5</v>
      </c>
      <c r="D27" s="49">
        <v>0.041283214312909</v>
      </c>
      <c r="E27" s="50">
        <v>0.0444444444444444</v>
      </c>
      <c r="F27" s="50">
        <v>0.0731707317073171</v>
      </c>
      <c r="G27" s="50">
        <v>0.0377358490566038</v>
      </c>
      <c r="H27" s="50">
        <v>0</v>
      </c>
      <c r="I27" s="50">
        <v>0.0618556701030928</v>
      </c>
      <c r="J27" s="50">
        <v>0.0476190476190476</v>
      </c>
      <c r="K27" s="50">
        <v>0.0379746835443038</v>
      </c>
      <c r="L27" s="50">
        <v>0.0412371134020619</v>
      </c>
      <c r="M27" s="50">
        <v>0.0377358490566038</v>
      </c>
      <c r="N27" s="50">
        <v>0.0458715596330275</v>
      </c>
      <c r="O27" s="50">
        <v>0.0260869565217391</v>
      </c>
      <c r="P27" s="82">
        <v>0.0416666666666667</v>
      </c>
    </row>
    <row r="28" ht="14.25" hidden="1" spans="1:16">
      <c r="A28" s="41">
        <v>45020</v>
      </c>
      <c r="B28" s="42" t="s">
        <v>68</v>
      </c>
      <c r="C28" s="43" t="s">
        <v>6</v>
      </c>
      <c r="D28" s="44">
        <v>16</v>
      </c>
      <c r="E28" s="48">
        <v>3</v>
      </c>
      <c r="F28" s="48">
        <v>0</v>
      </c>
      <c r="G28" s="48">
        <v>1</v>
      </c>
      <c r="H28" s="48">
        <v>0</v>
      </c>
      <c r="I28" s="48">
        <v>3</v>
      </c>
      <c r="J28" s="48">
        <v>0</v>
      </c>
      <c r="K28" s="48">
        <v>1</v>
      </c>
      <c r="L28" s="48">
        <v>2</v>
      </c>
      <c r="M28" s="48">
        <v>2</v>
      </c>
      <c r="N28" s="48">
        <v>0</v>
      </c>
      <c r="O28" s="48">
        <v>2</v>
      </c>
      <c r="P28" s="81">
        <v>2</v>
      </c>
    </row>
    <row r="29" ht="14.25" hidden="1" spans="1:16">
      <c r="A29" s="41">
        <v>45020</v>
      </c>
      <c r="B29" s="51" t="s">
        <v>68</v>
      </c>
      <c r="C29" s="52" t="s">
        <v>64</v>
      </c>
      <c r="D29" s="53">
        <v>0.372093023255814</v>
      </c>
      <c r="E29" s="54">
        <v>0.75</v>
      </c>
      <c r="F29" s="54">
        <v>0</v>
      </c>
      <c r="G29" s="54">
        <v>0.5</v>
      </c>
      <c r="H29" s="54">
        <v>0</v>
      </c>
      <c r="I29" s="54">
        <v>0.5</v>
      </c>
      <c r="J29" s="54">
        <v>0</v>
      </c>
      <c r="K29" s="54">
        <v>0.333333333333333</v>
      </c>
      <c r="L29" s="54">
        <v>0.5</v>
      </c>
      <c r="M29" s="54">
        <v>0.5</v>
      </c>
      <c r="N29" s="54">
        <v>0</v>
      </c>
      <c r="O29" s="54">
        <v>0.666666666666667</v>
      </c>
      <c r="P29" s="83">
        <v>0.4</v>
      </c>
    </row>
    <row r="30" ht="14.25" hidden="1" spans="1:16">
      <c r="A30" s="36">
        <v>45021</v>
      </c>
      <c r="B30" s="37" t="s">
        <v>68</v>
      </c>
      <c r="C30" s="38" t="s">
        <v>55</v>
      </c>
      <c r="D30" s="39">
        <v>0.139867317085361</v>
      </c>
      <c r="E30" s="40">
        <v>0.2125</v>
      </c>
      <c r="F30" s="40">
        <v>0.263681592039801</v>
      </c>
      <c r="G30" s="40">
        <v>0.237837837837838</v>
      </c>
      <c r="H30" s="40">
        <v>0.121359223300971</v>
      </c>
      <c r="I30" s="40">
        <v>0.125912408759124</v>
      </c>
      <c r="J30" s="40">
        <v>0.127692307692308</v>
      </c>
      <c r="K30" s="40">
        <v>0.143631436314363</v>
      </c>
      <c r="L30" s="40">
        <v>0.172514619883041</v>
      </c>
      <c r="M30" s="40">
        <v>0.166083916083916</v>
      </c>
      <c r="N30" s="40">
        <v>0.0340632603406326</v>
      </c>
      <c r="O30" s="40">
        <v>0.0364056631031494</v>
      </c>
      <c r="P30" s="79">
        <v>0.0367255396691898</v>
      </c>
    </row>
    <row r="31" ht="14.25" hidden="1" spans="1:16">
      <c r="A31" s="41">
        <v>45021</v>
      </c>
      <c r="B31" s="42" t="s">
        <v>68</v>
      </c>
      <c r="C31" s="43" t="s">
        <v>57</v>
      </c>
      <c r="D31" s="44">
        <v>14786</v>
      </c>
      <c r="E31" s="45">
        <v>480</v>
      </c>
      <c r="F31" s="45">
        <v>201</v>
      </c>
      <c r="G31" s="45">
        <v>185</v>
      </c>
      <c r="H31" s="45">
        <v>412</v>
      </c>
      <c r="I31" s="45">
        <v>548</v>
      </c>
      <c r="J31" s="45">
        <v>650</v>
      </c>
      <c r="K31" s="45">
        <v>738</v>
      </c>
      <c r="L31" s="45">
        <v>684</v>
      </c>
      <c r="M31" s="45">
        <v>572</v>
      </c>
      <c r="N31" s="45">
        <v>3288</v>
      </c>
      <c r="O31" s="45">
        <v>3461</v>
      </c>
      <c r="P31" s="80">
        <v>3567</v>
      </c>
    </row>
    <row r="32" ht="14.25" hidden="1" spans="1:16">
      <c r="A32" s="41">
        <v>45021</v>
      </c>
      <c r="B32" s="46" t="s">
        <v>68</v>
      </c>
      <c r="C32" s="47" t="s">
        <v>59</v>
      </c>
      <c r="D32" s="44">
        <v>1089</v>
      </c>
      <c r="E32" s="45">
        <v>102</v>
      </c>
      <c r="F32" s="45">
        <v>53</v>
      </c>
      <c r="G32" s="45">
        <v>44</v>
      </c>
      <c r="H32" s="45">
        <v>50</v>
      </c>
      <c r="I32" s="45">
        <v>69</v>
      </c>
      <c r="J32" s="45">
        <v>83</v>
      </c>
      <c r="K32" s="45">
        <v>106</v>
      </c>
      <c r="L32" s="45">
        <v>118</v>
      </c>
      <c r="M32" s="45">
        <v>95</v>
      </c>
      <c r="N32" s="45">
        <v>112</v>
      </c>
      <c r="O32" s="45">
        <v>126</v>
      </c>
      <c r="P32" s="80">
        <v>131</v>
      </c>
    </row>
    <row r="33" ht="14.25" hidden="1" spans="1:16">
      <c r="A33" s="41">
        <v>45021</v>
      </c>
      <c r="B33" s="42" t="s">
        <v>68</v>
      </c>
      <c r="C33" s="43" t="s">
        <v>4</v>
      </c>
      <c r="D33" s="44">
        <v>48</v>
      </c>
      <c r="E33" s="48">
        <v>7</v>
      </c>
      <c r="F33" s="48">
        <v>3</v>
      </c>
      <c r="G33" s="48">
        <v>1</v>
      </c>
      <c r="H33" s="48">
        <v>0</v>
      </c>
      <c r="I33" s="48">
        <v>4</v>
      </c>
      <c r="J33" s="48">
        <v>1</v>
      </c>
      <c r="K33" s="48">
        <v>5</v>
      </c>
      <c r="L33" s="48">
        <v>5</v>
      </c>
      <c r="M33" s="48">
        <v>2</v>
      </c>
      <c r="N33" s="48">
        <v>4</v>
      </c>
      <c r="O33" s="48">
        <v>5</v>
      </c>
      <c r="P33" s="81">
        <v>11</v>
      </c>
    </row>
    <row r="34" ht="14.25" hidden="1" spans="1:16">
      <c r="A34" s="41">
        <v>45021</v>
      </c>
      <c r="B34" s="46" t="s">
        <v>68</v>
      </c>
      <c r="C34" s="47" t="s">
        <v>5</v>
      </c>
      <c r="D34" s="49">
        <v>0.0406616099881436</v>
      </c>
      <c r="E34" s="50">
        <v>0.0686274509803922</v>
      </c>
      <c r="F34" s="50">
        <v>0.0566037735849057</v>
      </c>
      <c r="G34" s="50">
        <v>0.0227272727272727</v>
      </c>
      <c r="H34" s="50">
        <v>0</v>
      </c>
      <c r="I34" s="50">
        <v>0.0579710144927536</v>
      </c>
      <c r="J34" s="50">
        <v>0.0120481927710843</v>
      </c>
      <c r="K34" s="50">
        <v>0.0471698113207547</v>
      </c>
      <c r="L34" s="50">
        <v>0.0423728813559322</v>
      </c>
      <c r="M34" s="50">
        <v>0.0210526315789474</v>
      </c>
      <c r="N34" s="50">
        <v>0.0357142857142857</v>
      </c>
      <c r="O34" s="50">
        <v>0.0396825396825397</v>
      </c>
      <c r="P34" s="82">
        <v>0.083969465648855</v>
      </c>
    </row>
    <row r="35" ht="14.25" hidden="1" spans="1:16">
      <c r="A35" s="41">
        <v>45021</v>
      </c>
      <c r="B35" s="42" t="s">
        <v>68</v>
      </c>
      <c r="C35" s="43" t="s">
        <v>6</v>
      </c>
      <c r="D35" s="44">
        <v>27</v>
      </c>
      <c r="E35" s="48">
        <v>3</v>
      </c>
      <c r="F35" s="48">
        <v>3</v>
      </c>
      <c r="G35" s="48">
        <v>0</v>
      </c>
      <c r="H35" s="48">
        <v>0</v>
      </c>
      <c r="I35" s="48">
        <v>2</v>
      </c>
      <c r="J35" s="48">
        <v>1</v>
      </c>
      <c r="K35" s="48">
        <v>3</v>
      </c>
      <c r="L35" s="48">
        <v>4</v>
      </c>
      <c r="M35" s="48">
        <v>1</v>
      </c>
      <c r="N35" s="48">
        <v>4</v>
      </c>
      <c r="O35" s="48">
        <v>1</v>
      </c>
      <c r="P35" s="81">
        <v>5</v>
      </c>
    </row>
    <row r="36" ht="14.25" hidden="1" spans="1:16">
      <c r="A36" s="41">
        <v>45021</v>
      </c>
      <c r="B36" s="51" t="s">
        <v>68</v>
      </c>
      <c r="C36" s="52" t="s">
        <v>64</v>
      </c>
      <c r="D36" s="53">
        <v>0.5625</v>
      </c>
      <c r="E36" s="54">
        <v>0.428571428571429</v>
      </c>
      <c r="F36" s="54">
        <v>1</v>
      </c>
      <c r="G36" s="54">
        <v>0</v>
      </c>
      <c r="H36" s="54">
        <v>0</v>
      </c>
      <c r="I36" s="54">
        <v>0.5</v>
      </c>
      <c r="J36" s="54">
        <v>1</v>
      </c>
      <c r="K36" s="54">
        <v>0.6</v>
      </c>
      <c r="L36" s="54">
        <v>0.8</v>
      </c>
      <c r="M36" s="54">
        <v>0.5</v>
      </c>
      <c r="N36" s="54">
        <v>1</v>
      </c>
      <c r="O36" s="54">
        <v>0.2</v>
      </c>
      <c r="P36" s="83">
        <v>0.454545454545455</v>
      </c>
    </row>
    <row r="37" ht="14.25" hidden="1" spans="1:16">
      <c r="A37" s="36">
        <v>45022</v>
      </c>
      <c r="B37" s="37" t="s">
        <v>68</v>
      </c>
      <c r="C37" s="38" t="s">
        <v>55</v>
      </c>
      <c r="D37" s="39">
        <v>0.137179528342855</v>
      </c>
      <c r="E37" s="40">
        <v>0.199017199017199</v>
      </c>
      <c r="F37" s="40">
        <v>0.273809523809524</v>
      </c>
      <c r="G37" s="40">
        <v>0.237373737373737</v>
      </c>
      <c r="H37" s="40">
        <v>0.105145413870246</v>
      </c>
      <c r="I37" s="40">
        <v>0.128964059196617</v>
      </c>
      <c r="J37" s="40">
        <v>0.174721189591078</v>
      </c>
      <c r="K37" s="40">
        <v>0.143968871595331</v>
      </c>
      <c r="L37" s="40">
        <v>0.168905950095969</v>
      </c>
      <c r="M37" s="40">
        <v>0.140767824497258</v>
      </c>
      <c r="N37" s="40">
        <v>0.0274044795783926</v>
      </c>
      <c r="O37" s="40">
        <v>0.0264584688787682</v>
      </c>
      <c r="P37" s="79">
        <v>0.0196176226101413</v>
      </c>
    </row>
    <row r="38" ht="14.25" hidden="1" spans="1:16">
      <c r="A38" s="41">
        <v>45022</v>
      </c>
      <c r="B38" s="42" t="s">
        <v>68</v>
      </c>
      <c r="C38" s="43" t="s">
        <v>57</v>
      </c>
      <c r="D38" s="44">
        <v>18234</v>
      </c>
      <c r="E38" s="45">
        <v>407</v>
      </c>
      <c r="F38" s="45">
        <v>168</v>
      </c>
      <c r="G38" s="45">
        <v>198</v>
      </c>
      <c r="H38" s="45">
        <v>447</v>
      </c>
      <c r="I38" s="45">
        <v>473</v>
      </c>
      <c r="J38" s="45">
        <v>538</v>
      </c>
      <c r="K38" s="45">
        <v>514</v>
      </c>
      <c r="L38" s="45">
        <v>521</v>
      </c>
      <c r="M38" s="45">
        <v>547</v>
      </c>
      <c r="N38" s="45">
        <v>3795</v>
      </c>
      <c r="O38" s="45">
        <v>4611</v>
      </c>
      <c r="P38" s="80">
        <v>6015</v>
      </c>
    </row>
    <row r="39" ht="14.25" hidden="1" spans="1:16">
      <c r="A39" s="41">
        <v>45022</v>
      </c>
      <c r="B39" s="46" t="s">
        <v>68</v>
      </c>
      <c r="C39" s="47" t="s">
        <v>59</v>
      </c>
      <c r="D39" s="44">
        <v>959</v>
      </c>
      <c r="E39" s="45">
        <v>81</v>
      </c>
      <c r="F39" s="45">
        <v>46</v>
      </c>
      <c r="G39" s="45">
        <v>47</v>
      </c>
      <c r="H39" s="45">
        <v>47</v>
      </c>
      <c r="I39" s="45">
        <v>61</v>
      </c>
      <c r="J39" s="45">
        <v>94</v>
      </c>
      <c r="K39" s="45">
        <v>74</v>
      </c>
      <c r="L39" s="45">
        <v>88</v>
      </c>
      <c r="M39" s="45">
        <v>77</v>
      </c>
      <c r="N39" s="45">
        <v>104</v>
      </c>
      <c r="O39" s="45">
        <v>122</v>
      </c>
      <c r="P39" s="80">
        <v>118</v>
      </c>
    </row>
    <row r="40" ht="14.25" hidden="1" spans="1:16">
      <c r="A40" s="41">
        <v>45022</v>
      </c>
      <c r="B40" s="42" t="s">
        <v>68</v>
      </c>
      <c r="C40" s="43" t="s">
        <v>4</v>
      </c>
      <c r="D40" s="44">
        <v>45</v>
      </c>
      <c r="E40" s="48">
        <v>6</v>
      </c>
      <c r="F40" s="48">
        <v>1</v>
      </c>
      <c r="G40" s="48">
        <v>2</v>
      </c>
      <c r="H40" s="48">
        <v>1</v>
      </c>
      <c r="I40" s="48">
        <v>3</v>
      </c>
      <c r="J40" s="48">
        <v>3</v>
      </c>
      <c r="K40" s="48">
        <v>3</v>
      </c>
      <c r="L40" s="48">
        <v>3</v>
      </c>
      <c r="M40" s="48">
        <v>6</v>
      </c>
      <c r="N40" s="48">
        <v>4</v>
      </c>
      <c r="O40" s="48">
        <v>1</v>
      </c>
      <c r="P40" s="81">
        <v>12</v>
      </c>
    </row>
    <row r="41" ht="14.25" hidden="1" spans="1:16">
      <c r="A41" s="41">
        <v>45022</v>
      </c>
      <c r="B41" s="46" t="s">
        <v>68</v>
      </c>
      <c r="C41" s="47" t="s">
        <v>5</v>
      </c>
      <c r="D41" s="49">
        <v>0.0451370763174626</v>
      </c>
      <c r="E41" s="50">
        <v>0.0740740740740741</v>
      </c>
      <c r="F41" s="50">
        <v>0.0217391304347826</v>
      </c>
      <c r="G41" s="50">
        <v>0.0425531914893617</v>
      </c>
      <c r="H41" s="50">
        <v>0.0212765957446809</v>
      </c>
      <c r="I41" s="50">
        <v>0.0491803278688525</v>
      </c>
      <c r="J41" s="50">
        <v>0.0319148936170213</v>
      </c>
      <c r="K41" s="50">
        <v>0.0405405405405405</v>
      </c>
      <c r="L41" s="50">
        <v>0.0340909090909091</v>
      </c>
      <c r="M41" s="50">
        <v>0.0779220779220779</v>
      </c>
      <c r="N41" s="50">
        <v>0.0384615384615385</v>
      </c>
      <c r="O41" s="50">
        <v>0.00819672131147541</v>
      </c>
      <c r="P41" s="82">
        <v>0.101694915254237</v>
      </c>
    </row>
    <row r="42" ht="14.25" hidden="1" spans="1:16">
      <c r="A42" s="41">
        <v>45022</v>
      </c>
      <c r="B42" s="42" t="s">
        <v>68</v>
      </c>
      <c r="C42" s="43" t="s">
        <v>6</v>
      </c>
      <c r="D42" s="44">
        <v>17</v>
      </c>
      <c r="E42" s="48">
        <v>2</v>
      </c>
      <c r="F42" s="48">
        <v>0</v>
      </c>
      <c r="G42" s="48">
        <v>0</v>
      </c>
      <c r="H42" s="48">
        <v>2</v>
      </c>
      <c r="I42" s="48">
        <v>1</v>
      </c>
      <c r="J42" s="48">
        <v>1</v>
      </c>
      <c r="K42" s="48">
        <v>2</v>
      </c>
      <c r="L42" s="48">
        <v>1</v>
      </c>
      <c r="M42" s="48">
        <v>4</v>
      </c>
      <c r="N42" s="48">
        <v>0</v>
      </c>
      <c r="O42" s="48">
        <v>1</v>
      </c>
      <c r="P42" s="81">
        <v>3</v>
      </c>
    </row>
    <row r="43" ht="14.25" hidden="1" spans="1:16">
      <c r="A43" s="41">
        <v>45022</v>
      </c>
      <c r="B43" s="51" t="s">
        <v>68</v>
      </c>
      <c r="C43" s="52" t="s">
        <v>64</v>
      </c>
      <c r="D43" s="53">
        <v>0.377777777777778</v>
      </c>
      <c r="E43" s="54">
        <v>0.333333333333333</v>
      </c>
      <c r="F43" s="54">
        <v>0</v>
      </c>
      <c r="G43" s="54">
        <v>0</v>
      </c>
      <c r="H43" s="54">
        <v>2</v>
      </c>
      <c r="I43" s="54">
        <v>0.333333333333333</v>
      </c>
      <c r="J43" s="54">
        <v>0.333333333333333</v>
      </c>
      <c r="K43" s="54">
        <v>0.666666666666667</v>
      </c>
      <c r="L43" s="54">
        <v>0.333333333333333</v>
      </c>
      <c r="M43" s="54">
        <v>0.666666666666667</v>
      </c>
      <c r="N43" s="54">
        <v>0</v>
      </c>
      <c r="O43" s="54">
        <v>1</v>
      </c>
      <c r="P43" s="83">
        <v>0.25</v>
      </c>
    </row>
    <row r="44" ht="14.25" spans="1:16">
      <c r="A44" s="36">
        <v>45023</v>
      </c>
      <c r="B44" s="37" t="s">
        <v>68</v>
      </c>
      <c r="C44" s="38" t="s">
        <v>55</v>
      </c>
      <c r="D44" s="39">
        <v>0.115074749094158</v>
      </c>
      <c r="E44" s="40">
        <v>0.215873015873016</v>
      </c>
      <c r="F44" s="40">
        <v>0.21301775147929</v>
      </c>
      <c r="G44" s="40">
        <v>0.238578680203046</v>
      </c>
      <c r="H44" s="40">
        <v>0.107305936073059</v>
      </c>
      <c r="I44" s="40">
        <v>0.124822695035461</v>
      </c>
      <c r="J44" s="40">
        <v>0.122853368560106</v>
      </c>
      <c r="K44" s="40">
        <v>0.0763779527559055</v>
      </c>
      <c r="L44" s="40">
        <v>0.075187969924812</v>
      </c>
      <c r="M44" s="40">
        <v>0.0783132530120482</v>
      </c>
      <c r="N44" s="40">
        <v>0.0628722700198544</v>
      </c>
      <c r="O44" s="40">
        <v>0.0390243902439024</v>
      </c>
      <c r="P44" s="79">
        <v>0.0266697059493959</v>
      </c>
    </row>
    <row r="45" ht="14.25" spans="1:16">
      <c r="A45" s="41">
        <v>45023</v>
      </c>
      <c r="B45" s="42" t="s">
        <v>68</v>
      </c>
      <c r="C45" s="43" t="s">
        <v>57</v>
      </c>
      <c r="D45" s="44">
        <v>15144</v>
      </c>
      <c r="E45" s="45">
        <v>315</v>
      </c>
      <c r="F45" s="45">
        <v>169</v>
      </c>
      <c r="G45" s="45">
        <v>197</v>
      </c>
      <c r="H45" s="45">
        <v>438</v>
      </c>
      <c r="I45" s="45">
        <v>705</v>
      </c>
      <c r="J45" s="45">
        <v>757</v>
      </c>
      <c r="K45" s="45">
        <v>1270</v>
      </c>
      <c r="L45" s="45">
        <v>1197</v>
      </c>
      <c r="M45" s="45">
        <v>1328</v>
      </c>
      <c r="N45" s="45">
        <v>1511</v>
      </c>
      <c r="O45" s="45">
        <v>2870</v>
      </c>
      <c r="P45" s="80">
        <v>4387</v>
      </c>
    </row>
    <row r="46" ht="14.25" spans="1:16">
      <c r="A46" s="41">
        <v>45023</v>
      </c>
      <c r="B46" s="46" t="s">
        <v>68</v>
      </c>
      <c r="C46" s="47" t="s">
        <v>59</v>
      </c>
      <c r="D46" s="44">
        <v>994</v>
      </c>
      <c r="E46" s="45">
        <v>68</v>
      </c>
      <c r="F46" s="45">
        <v>36</v>
      </c>
      <c r="G46" s="45">
        <v>47</v>
      </c>
      <c r="H46" s="45">
        <v>47</v>
      </c>
      <c r="I46" s="45">
        <v>88</v>
      </c>
      <c r="J46" s="45">
        <v>93</v>
      </c>
      <c r="K46" s="45">
        <v>97</v>
      </c>
      <c r="L46" s="45">
        <v>90</v>
      </c>
      <c r="M46" s="45">
        <v>104</v>
      </c>
      <c r="N46" s="45">
        <v>95</v>
      </c>
      <c r="O46" s="45">
        <v>112</v>
      </c>
      <c r="P46" s="80">
        <v>117</v>
      </c>
    </row>
    <row r="47" ht="14.25" spans="1:16">
      <c r="A47" s="41">
        <v>45023</v>
      </c>
      <c r="B47" s="42" t="s">
        <v>68</v>
      </c>
      <c r="C47" s="43" t="s">
        <v>4</v>
      </c>
      <c r="D47" s="44">
        <v>42</v>
      </c>
      <c r="E47" s="48">
        <v>4</v>
      </c>
      <c r="F47" s="48">
        <v>3</v>
      </c>
      <c r="G47" s="48">
        <v>2</v>
      </c>
      <c r="H47" s="48">
        <v>0</v>
      </c>
      <c r="I47" s="48">
        <v>3</v>
      </c>
      <c r="J47" s="48">
        <v>6</v>
      </c>
      <c r="K47" s="48">
        <v>2</v>
      </c>
      <c r="L47" s="48">
        <v>6</v>
      </c>
      <c r="M47" s="48">
        <v>5</v>
      </c>
      <c r="N47" s="48">
        <v>2</v>
      </c>
      <c r="O47" s="48">
        <v>2</v>
      </c>
      <c r="P47" s="81">
        <v>7</v>
      </c>
    </row>
    <row r="48" ht="14.25" spans="1:16">
      <c r="A48" s="41">
        <v>45023</v>
      </c>
      <c r="B48" s="46" t="s">
        <v>68</v>
      </c>
      <c r="C48" s="47" t="s">
        <v>5</v>
      </c>
      <c r="D48" s="49">
        <v>0.0431181727556165</v>
      </c>
      <c r="E48" s="50">
        <v>0.0588235294117647</v>
      </c>
      <c r="F48" s="50">
        <v>0.0833333333333333</v>
      </c>
      <c r="G48" s="50">
        <v>0.0425531914893617</v>
      </c>
      <c r="H48" s="50">
        <v>0</v>
      </c>
      <c r="I48" s="50">
        <v>0.0340909090909091</v>
      </c>
      <c r="J48" s="50">
        <v>0.0645161290322581</v>
      </c>
      <c r="K48" s="50">
        <v>0.0206185567010309</v>
      </c>
      <c r="L48" s="50">
        <v>0.0666666666666667</v>
      </c>
      <c r="M48" s="50">
        <v>0.0480769230769231</v>
      </c>
      <c r="N48" s="50">
        <v>0.0210526315789474</v>
      </c>
      <c r="O48" s="50">
        <v>0.0178571428571429</v>
      </c>
      <c r="P48" s="82">
        <v>0.0598290598290598</v>
      </c>
    </row>
    <row r="49" ht="14.25" spans="1:16">
      <c r="A49" s="41">
        <v>45023</v>
      </c>
      <c r="B49" s="42" t="s">
        <v>68</v>
      </c>
      <c r="C49" s="43" t="s">
        <v>6</v>
      </c>
      <c r="D49" s="44">
        <v>16</v>
      </c>
      <c r="E49" s="48">
        <v>3</v>
      </c>
      <c r="F49" s="48">
        <v>2</v>
      </c>
      <c r="G49" s="48">
        <v>0</v>
      </c>
      <c r="H49" s="48">
        <v>1</v>
      </c>
      <c r="I49" s="48">
        <v>1</v>
      </c>
      <c r="J49" s="48">
        <v>3</v>
      </c>
      <c r="K49" s="48">
        <v>0</v>
      </c>
      <c r="L49" s="48">
        <v>0</v>
      </c>
      <c r="M49" s="48">
        <v>3</v>
      </c>
      <c r="N49" s="48">
        <v>1</v>
      </c>
      <c r="O49" s="48">
        <v>1</v>
      </c>
      <c r="P49" s="81">
        <v>1</v>
      </c>
    </row>
    <row r="50" ht="14.25" spans="1:16">
      <c r="A50" s="41">
        <v>45023</v>
      </c>
      <c r="B50" s="51" t="s">
        <v>68</v>
      </c>
      <c r="C50" s="52" t="s">
        <v>64</v>
      </c>
      <c r="D50" s="49">
        <v>0.380952380952381</v>
      </c>
      <c r="E50" s="55">
        <v>0.75</v>
      </c>
      <c r="F50" s="55">
        <v>0.666666666666667</v>
      </c>
      <c r="G50" s="55">
        <v>0</v>
      </c>
      <c r="H50" s="55">
        <v>0</v>
      </c>
      <c r="I50" s="55">
        <v>0.333333333333333</v>
      </c>
      <c r="J50" s="55">
        <v>0.5</v>
      </c>
      <c r="K50" s="55">
        <v>0</v>
      </c>
      <c r="L50" s="55">
        <v>0</v>
      </c>
      <c r="M50" s="55">
        <v>0.6</v>
      </c>
      <c r="N50" s="55">
        <v>0.5</v>
      </c>
      <c r="O50" s="55">
        <v>0.5</v>
      </c>
      <c r="P50" s="84">
        <v>0.142857142857143</v>
      </c>
    </row>
    <row r="51" spans="1:16">
      <c r="A51" s="56" t="s">
        <v>7740</v>
      </c>
      <c r="B51" s="57"/>
      <c r="C51" s="56" t="s">
        <v>59</v>
      </c>
      <c r="D51" s="58">
        <f t="shared" ref="D51:P51" si="0">AVERAGEIF($C$2:$C$43,$C$51,D2:D43)</f>
        <v>1102.33333333333</v>
      </c>
      <c r="E51" s="59">
        <f t="shared" si="0"/>
        <v>106.666666666667</v>
      </c>
      <c r="F51" s="59">
        <f t="shared" si="0"/>
        <v>47.8333333333333</v>
      </c>
      <c r="G51" s="59">
        <f t="shared" si="0"/>
        <v>48.6666666666667</v>
      </c>
      <c r="H51" s="59">
        <f t="shared" si="0"/>
        <v>59.8333333333333</v>
      </c>
      <c r="I51" s="59">
        <f t="shared" si="0"/>
        <v>88.8333333333333</v>
      </c>
      <c r="J51" s="59">
        <f t="shared" si="0"/>
        <v>89</v>
      </c>
      <c r="K51" s="59">
        <f t="shared" si="0"/>
        <v>95.8333333333333</v>
      </c>
      <c r="L51" s="59">
        <f t="shared" si="0"/>
        <v>105.333333333333</v>
      </c>
      <c r="M51" s="59">
        <f t="shared" si="0"/>
        <v>95.5</v>
      </c>
      <c r="N51" s="59">
        <f t="shared" si="0"/>
        <v>111.333333333333</v>
      </c>
      <c r="O51" s="59">
        <f t="shared" si="0"/>
        <v>130.666666666667</v>
      </c>
      <c r="P51" s="85">
        <f t="shared" si="0"/>
        <v>122.833333333333</v>
      </c>
    </row>
    <row r="52" spans="1:16">
      <c r="A52" s="60"/>
      <c r="B52" s="61"/>
      <c r="C52" s="62" t="s">
        <v>4</v>
      </c>
      <c r="D52" s="63">
        <f t="shared" ref="D52:P52" si="1">AVERAGEIF($C$2:$C$43,$C$52,D2:D43)</f>
        <v>46.5</v>
      </c>
      <c r="E52" s="64">
        <f t="shared" si="1"/>
        <v>6</v>
      </c>
      <c r="F52" s="64">
        <f t="shared" si="1"/>
        <v>3.33333333333333</v>
      </c>
      <c r="G52" s="64">
        <f t="shared" si="1"/>
        <v>1.83333333333333</v>
      </c>
      <c r="H52" s="64">
        <f t="shared" si="1"/>
        <v>1</v>
      </c>
      <c r="I52" s="64">
        <f t="shared" si="1"/>
        <v>3.83333333333333</v>
      </c>
      <c r="J52" s="64">
        <f t="shared" si="1"/>
        <v>3.16666666666667</v>
      </c>
      <c r="K52" s="64">
        <f t="shared" si="1"/>
        <v>3.83333333333333</v>
      </c>
      <c r="L52" s="64">
        <f t="shared" si="1"/>
        <v>5.16666666666667</v>
      </c>
      <c r="M52" s="64">
        <f t="shared" si="1"/>
        <v>3.83333333333333</v>
      </c>
      <c r="N52" s="64">
        <f t="shared" si="1"/>
        <v>3.5</v>
      </c>
      <c r="O52" s="64">
        <f t="shared" si="1"/>
        <v>3.33333333333333</v>
      </c>
      <c r="P52" s="86">
        <f t="shared" si="1"/>
        <v>7.66666666666667</v>
      </c>
    </row>
    <row r="53" spans="1:16">
      <c r="A53" s="60"/>
      <c r="B53" s="61"/>
      <c r="C53" s="60" t="s">
        <v>5</v>
      </c>
      <c r="D53" s="65">
        <f t="shared" ref="D53:P53" si="2">D52/D51</f>
        <v>0.0421832476564862</v>
      </c>
      <c r="E53" s="66">
        <f t="shared" si="2"/>
        <v>0.05625</v>
      </c>
      <c r="F53" s="66">
        <f t="shared" si="2"/>
        <v>0.0696864111498258</v>
      </c>
      <c r="G53" s="66">
        <f t="shared" si="2"/>
        <v>0.0376712328767123</v>
      </c>
      <c r="H53" s="66">
        <f t="shared" si="2"/>
        <v>0.0167130919220056</v>
      </c>
      <c r="I53" s="66">
        <f t="shared" si="2"/>
        <v>0.0431519699812383</v>
      </c>
      <c r="J53" s="66">
        <f t="shared" si="2"/>
        <v>0.0355805243445693</v>
      </c>
      <c r="K53" s="66">
        <f t="shared" si="2"/>
        <v>0.04</v>
      </c>
      <c r="L53" s="66">
        <f t="shared" si="2"/>
        <v>0.0490506329113924</v>
      </c>
      <c r="M53" s="66">
        <f t="shared" si="2"/>
        <v>0.0401396160558464</v>
      </c>
      <c r="N53" s="66">
        <f t="shared" si="2"/>
        <v>0.031437125748503</v>
      </c>
      <c r="O53" s="66">
        <f t="shared" si="2"/>
        <v>0.0255102040816327</v>
      </c>
      <c r="P53" s="87">
        <f t="shared" si="2"/>
        <v>0.062415196743555</v>
      </c>
    </row>
    <row r="54" spans="1:16">
      <c r="A54" s="60"/>
      <c r="B54" s="61"/>
      <c r="C54" s="62" t="s">
        <v>6</v>
      </c>
      <c r="D54" s="63">
        <f t="shared" ref="D54:P54" si="3">AVERAGEIF($C$2:$C$43,$C$54,D2:D43)</f>
        <v>20.3333333333333</v>
      </c>
      <c r="E54" s="64">
        <f t="shared" si="3"/>
        <v>2.66666666666667</v>
      </c>
      <c r="F54" s="64">
        <f t="shared" si="3"/>
        <v>1.16666666666667</v>
      </c>
      <c r="G54" s="64">
        <f t="shared" si="3"/>
        <v>0.333333333333333</v>
      </c>
      <c r="H54" s="64">
        <f t="shared" si="3"/>
        <v>0.833333333333333</v>
      </c>
      <c r="I54" s="64">
        <f t="shared" si="3"/>
        <v>2.16666666666667</v>
      </c>
      <c r="J54" s="64">
        <f t="shared" si="3"/>
        <v>0.833333333333333</v>
      </c>
      <c r="K54" s="64">
        <f t="shared" si="3"/>
        <v>2</v>
      </c>
      <c r="L54" s="64">
        <f t="shared" si="3"/>
        <v>2.33333333333333</v>
      </c>
      <c r="M54" s="64">
        <f t="shared" si="3"/>
        <v>1.66666666666667</v>
      </c>
      <c r="N54" s="64">
        <f t="shared" si="3"/>
        <v>1.33333333333333</v>
      </c>
      <c r="O54" s="64">
        <f t="shared" si="3"/>
        <v>2.16666666666667</v>
      </c>
      <c r="P54" s="86">
        <f t="shared" si="3"/>
        <v>2.83333333333333</v>
      </c>
    </row>
    <row r="55" ht="14.25" spans="1:16">
      <c r="A55" s="60"/>
      <c r="B55" s="61"/>
      <c r="C55" s="60" t="s">
        <v>64</v>
      </c>
      <c r="D55" s="67">
        <f t="shared" ref="D55:P55" si="4">D54/D52</f>
        <v>0.437275985663082</v>
      </c>
      <c r="E55" s="68">
        <f t="shared" si="4"/>
        <v>0.444444444444444</v>
      </c>
      <c r="F55" s="68">
        <f t="shared" si="4"/>
        <v>0.35</v>
      </c>
      <c r="G55" s="68">
        <f t="shared" si="4"/>
        <v>0.181818181818182</v>
      </c>
      <c r="H55" s="68">
        <f t="shared" si="4"/>
        <v>0.833333333333333</v>
      </c>
      <c r="I55" s="68">
        <f t="shared" si="4"/>
        <v>0.565217391304348</v>
      </c>
      <c r="J55" s="68">
        <f t="shared" si="4"/>
        <v>0.263157894736842</v>
      </c>
      <c r="K55" s="68">
        <f t="shared" si="4"/>
        <v>0.521739130434783</v>
      </c>
      <c r="L55" s="68">
        <f t="shared" si="4"/>
        <v>0.451612903225806</v>
      </c>
      <c r="M55" s="68">
        <f t="shared" si="4"/>
        <v>0.434782608695652</v>
      </c>
      <c r="N55" s="68">
        <f t="shared" si="4"/>
        <v>0.380952380952381</v>
      </c>
      <c r="O55" s="68">
        <f t="shared" si="4"/>
        <v>0.65</v>
      </c>
      <c r="P55" s="88">
        <f t="shared" si="4"/>
        <v>0.369565217391304</v>
      </c>
    </row>
    <row r="56" spans="1:16">
      <c r="A56" s="69" t="s">
        <v>7741</v>
      </c>
      <c r="B56" s="70"/>
      <c r="C56" s="56" t="s">
        <v>59</v>
      </c>
      <c r="E56" s="71">
        <f t="shared" ref="E56:P56" si="5">(E46-E51)/E51</f>
        <v>-0.3625</v>
      </c>
      <c r="F56" s="71">
        <f t="shared" si="5"/>
        <v>-0.247386759581882</v>
      </c>
      <c r="G56" s="71">
        <f t="shared" si="5"/>
        <v>-0.0342465753424657</v>
      </c>
      <c r="H56" s="71">
        <f t="shared" si="5"/>
        <v>-0.214484679665738</v>
      </c>
      <c r="I56" s="71">
        <f t="shared" si="5"/>
        <v>-0.00938086303939957</v>
      </c>
      <c r="J56" s="71">
        <f t="shared" si="5"/>
        <v>0.0449438202247191</v>
      </c>
      <c r="K56" s="71">
        <f t="shared" si="5"/>
        <v>0.0121739130434783</v>
      </c>
      <c r="L56" s="71">
        <f t="shared" si="5"/>
        <v>-0.145569620253165</v>
      </c>
      <c r="M56" s="71">
        <f t="shared" si="5"/>
        <v>0.0890052356020942</v>
      </c>
      <c r="N56" s="71">
        <f t="shared" si="5"/>
        <v>-0.146706586826347</v>
      </c>
      <c r="O56" s="71">
        <f t="shared" si="5"/>
        <v>-0.142857142857143</v>
      </c>
      <c r="P56" s="89">
        <f t="shared" si="5"/>
        <v>-0.0474898236092266</v>
      </c>
    </row>
    <row r="57" spans="1:16">
      <c r="A57" s="72"/>
      <c r="B57" s="29"/>
      <c r="C57" s="62" t="s">
        <v>4</v>
      </c>
      <c r="E57" s="71">
        <f>(E47-E52)/E52</f>
        <v>-0.333333333333333</v>
      </c>
      <c r="F57" s="71">
        <f t="shared" ref="F57:P57" si="6">(F47-F52)/F52</f>
        <v>-0.1</v>
      </c>
      <c r="G57" s="71">
        <f t="shared" si="6"/>
        <v>0.090909090909091</v>
      </c>
      <c r="H57" s="71">
        <f t="shared" si="6"/>
        <v>-1</v>
      </c>
      <c r="I57" s="71">
        <f t="shared" si="6"/>
        <v>-0.217391304347826</v>
      </c>
      <c r="J57" s="71">
        <f t="shared" si="6"/>
        <v>0.894736842105263</v>
      </c>
      <c r="K57" s="71">
        <f t="shared" si="6"/>
        <v>-0.478260869565217</v>
      </c>
      <c r="L57" s="71">
        <f t="shared" si="6"/>
        <v>0.161290322580645</v>
      </c>
      <c r="M57" s="71">
        <f t="shared" si="6"/>
        <v>0.304347826086956</v>
      </c>
      <c r="N57" s="71">
        <f t="shared" si="6"/>
        <v>-0.428571428571429</v>
      </c>
      <c r="O57" s="71">
        <f t="shared" si="6"/>
        <v>-0.4</v>
      </c>
      <c r="P57" s="89">
        <f t="shared" si="6"/>
        <v>-0.0869565217391305</v>
      </c>
    </row>
    <row r="58" ht="14.25" spans="1:16">
      <c r="A58" s="73"/>
      <c r="B58" s="74"/>
      <c r="C58" s="75" t="s">
        <v>6</v>
      </c>
      <c r="D58" s="76"/>
      <c r="E58" s="77">
        <f t="shared" ref="E58:P58" si="7">(E49-E54)/E54</f>
        <v>0.125</v>
      </c>
      <c r="F58" s="77">
        <f t="shared" si="7"/>
        <v>0.714285714285714</v>
      </c>
      <c r="G58" s="77">
        <f t="shared" si="7"/>
        <v>-1</v>
      </c>
      <c r="H58" s="77">
        <f t="shared" si="7"/>
        <v>0.2</v>
      </c>
      <c r="I58" s="77">
        <f t="shared" si="7"/>
        <v>-0.538461538461538</v>
      </c>
      <c r="J58" s="77">
        <f t="shared" si="7"/>
        <v>2.6</v>
      </c>
      <c r="K58" s="77">
        <f t="shared" si="7"/>
        <v>-1</v>
      </c>
      <c r="L58" s="77">
        <f t="shared" si="7"/>
        <v>-1</v>
      </c>
      <c r="M58" s="77">
        <f t="shared" si="7"/>
        <v>0.8</v>
      </c>
      <c r="N58" s="77">
        <f t="shared" si="7"/>
        <v>-0.25</v>
      </c>
      <c r="O58" s="77">
        <f t="shared" si="7"/>
        <v>-0.538461538461538</v>
      </c>
      <c r="P58" s="90">
        <f t="shared" si="7"/>
        <v>-0.647058823529412</v>
      </c>
    </row>
  </sheetData>
  <mergeCells count="3">
    <mergeCell ref="B1:C1"/>
    <mergeCell ref="A51:B55"/>
    <mergeCell ref="A56:B58"/>
  </mergeCells>
  <conditionalFormatting sqref="D1">
    <cfRule type="expression" dxfId="4" priority="222">
      <formula>D1&lt;T1</formula>
    </cfRule>
  </conditionalFormatting>
  <conditionalFormatting sqref="D50:D55">
    <cfRule type="expression" dxfId="4" priority="113">
      <formula>D50&lt;T50</formula>
    </cfRule>
  </conditionalFormatting>
  <conditionalFormatting sqref="D2:I49 E50:I50">
    <cfRule type="expression" dxfId="4" priority="123">
      <formula>D2&lt;T2</formula>
    </cfRule>
  </conditionalFormatting>
  <conditionalFormatting sqref="E2:P55">
    <cfRule type="expression" dxfId="4" priority="1">
      <formula>E2&lt;U2</formula>
    </cfRule>
  </conditionalFormatting>
  <conditionalFormatting sqref="C56:D57">
    <cfRule type="cellIs" dxfId="3" priority="220" operator="lessThan">
      <formula>0</formula>
    </cfRule>
  </conditionalFormatting>
  <conditionalFormatting sqref="E56:P58">
    <cfRule type="cellIs" dxfId="3" priority="41" operator="lessThan">
      <formula>0</formula>
    </cfRule>
  </conditionalFormatting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workbookViewId="0">
      <selection activeCell="P58" sqref="A1:P58"/>
    </sheetView>
  </sheetViews>
  <sheetFormatPr defaultColWidth="9" defaultRowHeight="13.5"/>
  <cols>
    <col min="1" max="1" width="9.375" style="29"/>
    <col min="2" max="2" width="13.625" style="30" customWidth="1"/>
    <col min="3" max="3" width="11.75" style="30" customWidth="1"/>
    <col min="4" max="4" width="17.125" style="30"/>
    <col min="5" max="5" width="16" style="30"/>
    <col min="6" max="16" width="13.75" style="30"/>
  </cols>
  <sheetData>
    <row r="1" ht="14.25" spans="1:16">
      <c r="A1" s="31" t="s">
        <v>0</v>
      </c>
      <c r="B1" s="32" t="s">
        <v>1</v>
      </c>
      <c r="C1" s="33"/>
      <c r="D1" s="34" t="s">
        <v>42</v>
      </c>
      <c r="E1" s="35" t="s">
        <v>43</v>
      </c>
      <c r="F1" s="35" t="s">
        <v>44</v>
      </c>
      <c r="G1" s="35" t="s">
        <v>45</v>
      </c>
      <c r="H1" s="35" t="s">
        <v>46</v>
      </c>
      <c r="I1" s="35" t="s">
        <v>47</v>
      </c>
      <c r="J1" s="35" t="s">
        <v>48</v>
      </c>
      <c r="K1" s="35" t="s">
        <v>49</v>
      </c>
      <c r="L1" s="35" t="s">
        <v>50</v>
      </c>
      <c r="M1" s="35" t="s">
        <v>51</v>
      </c>
      <c r="N1" s="35" t="s">
        <v>52</v>
      </c>
      <c r="O1" s="35" t="s">
        <v>53</v>
      </c>
      <c r="P1" s="78" t="s">
        <v>54</v>
      </c>
    </row>
    <row r="2" ht="14.25" hidden="1" spans="1:16">
      <c r="A2" s="36">
        <v>45017</v>
      </c>
      <c r="B2" s="37" t="s">
        <v>26</v>
      </c>
      <c r="C2" s="38" t="s">
        <v>55</v>
      </c>
      <c r="D2" s="39">
        <v>6.31831039351146</v>
      </c>
      <c r="E2" s="40">
        <v>6.66666666666667</v>
      </c>
      <c r="F2" s="40">
        <v>4.8974358974359</v>
      </c>
      <c r="G2" s="40">
        <v>5.35483870967742</v>
      </c>
      <c r="H2" s="40">
        <v>6.03846153846154</v>
      </c>
      <c r="I2" s="40">
        <v>5.16326530612245</v>
      </c>
      <c r="J2" s="40">
        <v>10.04</v>
      </c>
      <c r="K2" s="40">
        <v>5.48076923076923</v>
      </c>
      <c r="L2" s="40">
        <v>5.84905660377358</v>
      </c>
      <c r="M2" s="40">
        <v>6.06</v>
      </c>
      <c r="N2" s="40">
        <v>6.88888888888889</v>
      </c>
      <c r="O2" s="40">
        <v>6.61111111111111</v>
      </c>
      <c r="P2" s="79">
        <v>6.76923076923077</v>
      </c>
    </row>
    <row r="3" ht="14.25" hidden="1" spans="1:16">
      <c r="A3" s="41">
        <v>45017</v>
      </c>
      <c r="B3" s="42" t="s">
        <v>26</v>
      </c>
      <c r="C3" s="43" t="s">
        <v>57</v>
      </c>
      <c r="D3" s="44">
        <v>537</v>
      </c>
      <c r="E3" s="45">
        <v>48</v>
      </c>
      <c r="F3" s="45">
        <v>39</v>
      </c>
      <c r="G3" s="45">
        <v>31</v>
      </c>
      <c r="H3" s="45">
        <v>26</v>
      </c>
      <c r="I3" s="45">
        <v>49</v>
      </c>
      <c r="J3" s="45">
        <v>25</v>
      </c>
      <c r="K3" s="45">
        <v>52</v>
      </c>
      <c r="L3" s="45">
        <v>53</v>
      </c>
      <c r="M3" s="45">
        <v>50</v>
      </c>
      <c r="N3" s="45">
        <v>45</v>
      </c>
      <c r="O3" s="45">
        <v>54</v>
      </c>
      <c r="P3" s="80">
        <v>65</v>
      </c>
    </row>
    <row r="4" ht="14.25" hidden="1" spans="1:16">
      <c r="A4" s="41">
        <v>45017</v>
      </c>
      <c r="B4" s="46" t="s">
        <v>26</v>
      </c>
      <c r="C4" s="47" t="s">
        <v>59</v>
      </c>
      <c r="D4" s="44">
        <v>3343</v>
      </c>
      <c r="E4" s="45">
        <v>320</v>
      </c>
      <c r="F4" s="45">
        <v>191</v>
      </c>
      <c r="G4" s="45">
        <v>166</v>
      </c>
      <c r="H4" s="45">
        <v>157</v>
      </c>
      <c r="I4" s="45">
        <v>253</v>
      </c>
      <c r="J4" s="45">
        <v>251</v>
      </c>
      <c r="K4" s="45">
        <v>285</v>
      </c>
      <c r="L4" s="45">
        <v>310</v>
      </c>
      <c r="M4" s="45">
        <v>303</v>
      </c>
      <c r="N4" s="45">
        <v>310</v>
      </c>
      <c r="O4" s="45">
        <v>357</v>
      </c>
      <c r="P4" s="80">
        <v>440</v>
      </c>
    </row>
    <row r="5" ht="14.25" hidden="1" spans="1:16">
      <c r="A5" s="41">
        <v>45017</v>
      </c>
      <c r="B5" s="42" t="s">
        <v>26</v>
      </c>
      <c r="C5" s="43" t="s">
        <v>4</v>
      </c>
      <c r="D5" s="44">
        <v>111</v>
      </c>
      <c r="E5" s="48">
        <v>9</v>
      </c>
      <c r="F5" s="48">
        <v>11</v>
      </c>
      <c r="G5" s="48">
        <v>6</v>
      </c>
      <c r="H5" s="48">
        <v>3</v>
      </c>
      <c r="I5" s="48">
        <v>4</v>
      </c>
      <c r="J5" s="48">
        <v>16</v>
      </c>
      <c r="K5" s="48">
        <v>13</v>
      </c>
      <c r="L5" s="48">
        <v>13</v>
      </c>
      <c r="M5" s="48">
        <v>6</v>
      </c>
      <c r="N5" s="48">
        <v>8</v>
      </c>
      <c r="O5" s="48">
        <v>6</v>
      </c>
      <c r="P5" s="81">
        <v>16</v>
      </c>
    </row>
    <row r="6" ht="14.25" hidden="1" spans="1:16">
      <c r="A6" s="41">
        <v>45017</v>
      </c>
      <c r="B6" s="46" t="s">
        <v>26</v>
      </c>
      <c r="C6" s="47" t="s">
        <v>5</v>
      </c>
      <c r="D6" s="49">
        <v>0.0339044240022635</v>
      </c>
      <c r="E6" s="50">
        <v>0.028125</v>
      </c>
      <c r="F6" s="50">
        <v>0.0575916230366492</v>
      </c>
      <c r="G6" s="50">
        <v>0.036144578313253</v>
      </c>
      <c r="H6" s="50">
        <v>0.0191082802547771</v>
      </c>
      <c r="I6" s="50">
        <v>0.0158102766798419</v>
      </c>
      <c r="J6" s="50">
        <v>0.0637450199203187</v>
      </c>
      <c r="K6" s="50">
        <v>0.0456140350877193</v>
      </c>
      <c r="L6" s="50">
        <v>0.0419354838709677</v>
      </c>
      <c r="M6" s="50">
        <v>0.0198019801980198</v>
      </c>
      <c r="N6" s="50">
        <v>0.0258064516129032</v>
      </c>
      <c r="O6" s="50">
        <v>0.0168067226890756</v>
      </c>
      <c r="P6" s="82">
        <v>0.0363636363636364</v>
      </c>
    </row>
    <row r="7" ht="14.25" hidden="1" spans="1:16">
      <c r="A7" s="41">
        <v>45017</v>
      </c>
      <c r="B7" s="42" t="s">
        <v>26</v>
      </c>
      <c r="C7" s="43" t="s">
        <v>6</v>
      </c>
      <c r="D7" s="44">
        <v>26</v>
      </c>
      <c r="E7" s="48">
        <v>2</v>
      </c>
      <c r="F7" s="48">
        <v>0</v>
      </c>
      <c r="G7" s="48">
        <v>0</v>
      </c>
      <c r="H7" s="48">
        <v>2</v>
      </c>
      <c r="I7" s="48">
        <v>1</v>
      </c>
      <c r="J7" s="48">
        <v>2</v>
      </c>
      <c r="K7" s="48">
        <v>3</v>
      </c>
      <c r="L7" s="48">
        <v>3</v>
      </c>
      <c r="M7" s="48">
        <v>4</v>
      </c>
      <c r="N7" s="48">
        <v>5</v>
      </c>
      <c r="O7" s="48">
        <v>2</v>
      </c>
      <c r="P7" s="81">
        <v>2</v>
      </c>
    </row>
    <row r="8" ht="14.25" hidden="1" spans="1:16">
      <c r="A8" s="41">
        <v>45017</v>
      </c>
      <c r="B8" s="51" t="s">
        <v>26</v>
      </c>
      <c r="C8" s="52" t="s">
        <v>64</v>
      </c>
      <c r="D8" s="53">
        <v>0.234234234234234</v>
      </c>
      <c r="E8" s="54">
        <v>2</v>
      </c>
      <c r="F8" s="54">
        <v>0</v>
      </c>
      <c r="G8" s="54">
        <v>0</v>
      </c>
      <c r="H8" s="54">
        <v>2</v>
      </c>
      <c r="I8" s="54">
        <v>1</v>
      </c>
      <c r="J8" s="54">
        <v>2</v>
      </c>
      <c r="K8" s="54">
        <v>3</v>
      </c>
      <c r="L8" s="54">
        <v>3</v>
      </c>
      <c r="M8" s="54">
        <v>4</v>
      </c>
      <c r="N8" s="54">
        <v>5</v>
      </c>
      <c r="O8" s="54">
        <v>2</v>
      </c>
      <c r="P8" s="83">
        <v>2</v>
      </c>
    </row>
    <row r="9" ht="14.25" hidden="1" spans="1:16">
      <c r="A9" s="36">
        <v>45018</v>
      </c>
      <c r="B9" s="37" t="s">
        <v>26</v>
      </c>
      <c r="C9" s="38" t="s">
        <v>55</v>
      </c>
      <c r="D9" s="39">
        <v>6.88254537537936</v>
      </c>
      <c r="E9" s="40">
        <v>8.48837209302326</v>
      </c>
      <c r="F9" s="40">
        <v>5.48571428571429</v>
      </c>
      <c r="G9" s="40">
        <v>6.36363636363636</v>
      </c>
      <c r="H9" s="40">
        <v>7.11764705882353</v>
      </c>
      <c r="I9" s="40">
        <v>12.2222222222222</v>
      </c>
      <c r="J9" s="40">
        <v>7.63333333333333</v>
      </c>
      <c r="K9" s="40">
        <v>8.3125</v>
      </c>
      <c r="L9" s="40">
        <v>6.45238095238095</v>
      </c>
      <c r="M9" s="40">
        <v>6.04166666666667</v>
      </c>
      <c r="N9" s="40">
        <v>5.7</v>
      </c>
      <c r="O9" s="40">
        <v>6.69565217391304</v>
      </c>
      <c r="P9" s="79">
        <v>2.07741935483871</v>
      </c>
    </row>
    <row r="10" ht="14.25" hidden="1" spans="1:16">
      <c r="A10" s="41">
        <v>45018</v>
      </c>
      <c r="B10" s="42" t="s">
        <v>26</v>
      </c>
      <c r="C10" s="43" t="s">
        <v>57</v>
      </c>
      <c r="D10" s="44">
        <v>528</v>
      </c>
      <c r="E10" s="45">
        <v>43</v>
      </c>
      <c r="F10" s="45">
        <v>35</v>
      </c>
      <c r="G10" s="45">
        <v>22</v>
      </c>
      <c r="H10" s="45">
        <v>17</v>
      </c>
      <c r="I10" s="45">
        <v>18</v>
      </c>
      <c r="J10" s="45">
        <v>30</v>
      </c>
      <c r="K10" s="45">
        <v>32</v>
      </c>
      <c r="L10" s="45">
        <v>42</v>
      </c>
      <c r="M10" s="45">
        <v>48</v>
      </c>
      <c r="N10" s="45">
        <v>40</v>
      </c>
      <c r="O10" s="45">
        <v>46</v>
      </c>
      <c r="P10" s="80">
        <v>155</v>
      </c>
    </row>
    <row r="11" ht="14.25" hidden="1" spans="1:16">
      <c r="A11" s="41">
        <v>45018</v>
      </c>
      <c r="B11" s="46" t="s">
        <v>26</v>
      </c>
      <c r="C11" s="47" t="s">
        <v>59</v>
      </c>
      <c r="D11" s="44">
        <v>2952</v>
      </c>
      <c r="E11" s="45">
        <v>365</v>
      </c>
      <c r="F11" s="45">
        <v>192</v>
      </c>
      <c r="G11" s="45">
        <v>140</v>
      </c>
      <c r="H11" s="45">
        <v>121</v>
      </c>
      <c r="I11" s="45">
        <v>220</v>
      </c>
      <c r="J11" s="45">
        <v>229</v>
      </c>
      <c r="K11" s="45">
        <v>266</v>
      </c>
      <c r="L11" s="45">
        <v>271</v>
      </c>
      <c r="M11" s="45">
        <v>290</v>
      </c>
      <c r="N11" s="45">
        <v>228</v>
      </c>
      <c r="O11" s="45">
        <v>308</v>
      </c>
      <c r="P11" s="80">
        <v>322</v>
      </c>
    </row>
    <row r="12" ht="14.25" hidden="1" spans="1:16">
      <c r="A12" s="41">
        <v>45018</v>
      </c>
      <c r="B12" s="42" t="s">
        <v>26</v>
      </c>
      <c r="C12" s="43" t="s">
        <v>4</v>
      </c>
      <c r="D12" s="44">
        <v>90</v>
      </c>
      <c r="E12" s="48">
        <v>12</v>
      </c>
      <c r="F12" s="48">
        <v>8</v>
      </c>
      <c r="G12" s="48">
        <v>1</v>
      </c>
      <c r="H12" s="48">
        <v>3</v>
      </c>
      <c r="I12" s="48">
        <v>3</v>
      </c>
      <c r="J12" s="48">
        <v>6</v>
      </c>
      <c r="K12" s="48">
        <v>13</v>
      </c>
      <c r="L12" s="48">
        <v>7</v>
      </c>
      <c r="M12" s="48">
        <v>10</v>
      </c>
      <c r="N12" s="48">
        <v>6</v>
      </c>
      <c r="O12" s="48">
        <v>9</v>
      </c>
      <c r="P12" s="81">
        <v>12</v>
      </c>
    </row>
    <row r="13" ht="14.25" hidden="1" spans="1:16">
      <c r="A13" s="41">
        <v>45018</v>
      </c>
      <c r="B13" s="46" t="s">
        <v>26</v>
      </c>
      <c r="C13" s="47" t="s">
        <v>5</v>
      </c>
      <c r="D13" s="49">
        <v>0.0290254756984215</v>
      </c>
      <c r="E13" s="50">
        <v>0.0328767123287671</v>
      </c>
      <c r="F13" s="50">
        <v>0.0416666666666667</v>
      </c>
      <c r="G13" s="50">
        <v>0.00714285714285714</v>
      </c>
      <c r="H13" s="50">
        <v>0.0247933884297521</v>
      </c>
      <c r="I13" s="50">
        <v>0.0136363636363636</v>
      </c>
      <c r="J13" s="50">
        <v>0.0262008733624454</v>
      </c>
      <c r="K13" s="50">
        <v>0.0488721804511278</v>
      </c>
      <c r="L13" s="50">
        <v>0.025830258302583</v>
      </c>
      <c r="M13" s="50">
        <v>0.0344827586206897</v>
      </c>
      <c r="N13" s="50">
        <v>0.0263157894736842</v>
      </c>
      <c r="O13" s="50">
        <v>0.0292207792207792</v>
      </c>
      <c r="P13" s="82">
        <v>0.0372670807453416</v>
      </c>
    </row>
    <row r="14" ht="14.25" hidden="1" spans="1:16">
      <c r="A14" s="41">
        <v>45018</v>
      </c>
      <c r="B14" s="42" t="s">
        <v>26</v>
      </c>
      <c r="C14" s="43" t="s">
        <v>6</v>
      </c>
      <c r="D14" s="44">
        <v>21</v>
      </c>
      <c r="E14" s="48">
        <v>5</v>
      </c>
      <c r="F14" s="48">
        <v>2</v>
      </c>
      <c r="G14" s="48">
        <v>0</v>
      </c>
      <c r="H14" s="48">
        <v>2</v>
      </c>
      <c r="I14" s="48">
        <v>0</v>
      </c>
      <c r="J14" s="48">
        <v>2</v>
      </c>
      <c r="K14" s="48">
        <v>1</v>
      </c>
      <c r="L14" s="48">
        <v>4</v>
      </c>
      <c r="M14" s="48">
        <v>2</v>
      </c>
      <c r="N14" s="48">
        <v>0</v>
      </c>
      <c r="O14" s="48">
        <v>1</v>
      </c>
      <c r="P14" s="81">
        <v>2</v>
      </c>
    </row>
    <row r="15" ht="14.25" hidden="1" spans="1:16">
      <c r="A15" s="41">
        <v>45018</v>
      </c>
      <c r="B15" s="51" t="s">
        <v>26</v>
      </c>
      <c r="C15" s="52" t="s">
        <v>64</v>
      </c>
      <c r="D15" s="53">
        <v>0.233333333333333</v>
      </c>
      <c r="E15" s="54">
        <v>5</v>
      </c>
      <c r="F15" s="54">
        <v>2</v>
      </c>
      <c r="G15" s="54">
        <v>0</v>
      </c>
      <c r="H15" s="54">
        <v>2</v>
      </c>
      <c r="I15" s="54">
        <v>0</v>
      </c>
      <c r="J15" s="54">
        <v>2</v>
      </c>
      <c r="K15" s="54">
        <v>1</v>
      </c>
      <c r="L15" s="54">
        <v>4</v>
      </c>
      <c r="M15" s="54">
        <v>2</v>
      </c>
      <c r="N15" s="54">
        <v>0</v>
      </c>
      <c r="O15" s="54">
        <v>1</v>
      </c>
      <c r="P15" s="83">
        <v>2</v>
      </c>
    </row>
    <row r="16" ht="14.25" hidden="1" spans="1:16">
      <c r="A16" s="36">
        <v>45019</v>
      </c>
      <c r="B16" s="37" t="s">
        <v>26</v>
      </c>
      <c r="C16" s="38" t="s">
        <v>55</v>
      </c>
      <c r="D16" s="39">
        <v>1.36713855237829</v>
      </c>
      <c r="E16" s="40">
        <v>2.22448979591837</v>
      </c>
      <c r="F16" s="40">
        <v>1.58095238095238</v>
      </c>
      <c r="G16" s="40">
        <v>1.27272727272727</v>
      </c>
      <c r="H16" s="40">
        <v>1.54639175257732</v>
      </c>
      <c r="I16" s="40">
        <v>1.50684931506849</v>
      </c>
      <c r="J16" s="40">
        <v>1.37857142857143</v>
      </c>
      <c r="K16" s="40">
        <v>1.55704697986577</v>
      </c>
      <c r="L16" s="40">
        <v>1.23222748815166</v>
      </c>
      <c r="M16" s="40">
        <v>1.1304347826087</v>
      </c>
      <c r="N16" s="40">
        <v>1.02390438247012</v>
      </c>
      <c r="O16" s="40">
        <v>0.979094076655052</v>
      </c>
      <c r="P16" s="79">
        <v>0.972972972972973</v>
      </c>
    </row>
    <row r="17" ht="14.25" hidden="1" spans="1:16">
      <c r="A17" s="41">
        <v>45019</v>
      </c>
      <c r="B17" s="42" t="s">
        <v>26</v>
      </c>
      <c r="C17" s="43" t="s">
        <v>57</v>
      </c>
      <c r="D17" s="44">
        <v>2113</v>
      </c>
      <c r="E17" s="45">
        <v>147</v>
      </c>
      <c r="F17" s="45">
        <v>105</v>
      </c>
      <c r="G17" s="45">
        <v>77</v>
      </c>
      <c r="H17" s="45">
        <v>97</v>
      </c>
      <c r="I17" s="45">
        <v>146</v>
      </c>
      <c r="J17" s="45">
        <v>140</v>
      </c>
      <c r="K17" s="45">
        <v>149</v>
      </c>
      <c r="L17" s="45">
        <v>211</v>
      </c>
      <c r="M17" s="45">
        <v>207</v>
      </c>
      <c r="N17" s="45">
        <v>251</v>
      </c>
      <c r="O17" s="45">
        <v>287</v>
      </c>
      <c r="P17" s="80">
        <v>296</v>
      </c>
    </row>
    <row r="18" ht="14.25" hidden="1" spans="1:16">
      <c r="A18" s="41">
        <v>45019</v>
      </c>
      <c r="B18" s="46" t="s">
        <v>26</v>
      </c>
      <c r="C18" s="47" t="s">
        <v>59</v>
      </c>
      <c r="D18" s="44">
        <v>2706</v>
      </c>
      <c r="E18" s="45">
        <v>327</v>
      </c>
      <c r="F18" s="45">
        <v>166</v>
      </c>
      <c r="G18" s="45">
        <v>98</v>
      </c>
      <c r="H18" s="45">
        <v>150</v>
      </c>
      <c r="I18" s="45">
        <v>220</v>
      </c>
      <c r="J18" s="45">
        <v>193</v>
      </c>
      <c r="K18" s="45">
        <v>232</v>
      </c>
      <c r="L18" s="45">
        <v>260</v>
      </c>
      <c r="M18" s="45">
        <v>234</v>
      </c>
      <c r="N18" s="45">
        <v>257</v>
      </c>
      <c r="O18" s="45">
        <v>281</v>
      </c>
      <c r="P18" s="80">
        <v>288</v>
      </c>
    </row>
    <row r="19" ht="14.25" hidden="1" spans="1:16">
      <c r="A19" s="41">
        <v>45019</v>
      </c>
      <c r="B19" s="42" t="s">
        <v>26</v>
      </c>
      <c r="C19" s="43" t="s">
        <v>4</v>
      </c>
      <c r="D19" s="44">
        <v>98</v>
      </c>
      <c r="E19" s="48">
        <v>11</v>
      </c>
      <c r="F19" s="48">
        <v>6</v>
      </c>
      <c r="G19" s="48">
        <v>4</v>
      </c>
      <c r="H19" s="48">
        <v>8</v>
      </c>
      <c r="I19" s="48">
        <v>4</v>
      </c>
      <c r="J19" s="48">
        <v>8</v>
      </c>
      <c r="K19" s="48">
        <v>7</v>
      </c>
      <c r="L19" s="48">
        <v>15</v>
      </c>
      <c r="M19" s="48">
        <v>2</v>
      </c>
      <c r="N19" s="48">
        <v>7</v>
      </c>
      <c r="O19" s="48">
        <v>11</v>
      </c>
      <c r="P19" s="81">
        <v>15</v>
      </c>
    </row>
    <row r="20" ht="14.25" hidden="1" spans="1:16">
      <c r="A20" s="41">
        <v>45019</v>
      </c>
      <c r="B20" s="46" t="s">
        <v>26</v>
      </c>
      <c r="C20" s="47" t="s">
        <v>5</v>
      </c>
      <c r="D20" s="49">
        <v>0.0365370251847202</v>
      </c>
      <c r="E20" s="50">
        <v>0.0336391437308868</v>
      </c>
      <c r="F20" s="50">
        <v>0.036144578313253</v>
      </c>
      <c r="G20" s="50">
        <v>0.0408163265306122</v>
      </c>
      <c r="H20" s="50">
        <v>0.0533333333333333</v>
      </c>
      <c r="I20" s="50">
        <v>0.0181818181818182</v>
      </c>
      <c r="J20" s="50">
        <v>0.0414507772020725</v>
      </c>
      <c r="K20" s="50">
        <v>0.0301724137931034</v>
      </c>
      <c r="L20" s="50">
        <v>0.0576923076923077</v>
      </c>
      <c r="M20" s="50">
        <v>0.00854700854700855</v>
      </c>
      <c r="N20" s="50">
        <v>0.0272373540856031</v>
      </c>
      <c r="O20" s="50">
        <v>0.0391459074733096</v>
      </c>
      <c r="P20" s="82">
        <v>0.0520833333333333</v>
      </c>
    </row>
    <row r="21" ht="14.25" hidden="1" spans="1:16">
      <c r="A21" s="41">
        <v>45019</v>
      </c>
      <c r="B21" s="42" t="s">
        <v>26</v>
      </c>
      <c r="C21" s="43" t="s">
        <v>6</v>
      </c>
      <c r="D21" s="44">
        <v>19</v>
      </c>
      <c r="E21" s="48">
        <v>4</v>
      </c>
      <c r="F21" s="48">
        <v>1</v>
      </c>
      <c r="G21" s="48">
        <v>2</v>
      </c>
      <c r="H21" s="48">
        <v>0</v>
      </c>
      <c r="I21" s="48">
        <v>1</v>
      </c>
      <c r="J21" s="48">
        <v>0</v>
      </c>
      <c r="K21" s="48">
        <v>1</v>
      </c>
      <c r="L21" s="48">
        <v>2</v>
      </c>
      <c r="M21" s="48">
        <v>1</v>
      </c>
      <c r="N21" s="48">
        <v>2</v>
      </c>
      <c r="O21" s="48">
        <v>2</v>
      </c>
      <c r="P21" s="81">
        <v>3</v>
      </c>
    </row>
    <row r="22" ht="14.25" hidden="1" spans="1:16">
      <c r="A22" s="41">
        <v>45019</v>
      </c>
      <c r="B22" s="51" t="s">
        <v>26</v>
      </c>
      <c r="C22" s="52" t="s">
        <v>64</v>
      </c>
      <c r="D22" s="53">
        <v>0.193877551020408</v>
      </c>
      <c r="E22" s="54">
        <v>4</v>
      </c>
      <c r="F22" s="54">
        <v>1</v>
      </c>
      <c r="G22" s="54">
        <v>2</v>
      </c>
      <c r="H22" s="54">
        <v>0</v>
      </c>
      <c r="I22" s="54">
        <v>1</v>
      </c>
      <c r="J22" s="54">
        <v>0</v>
      </c>
      <c r="K22" s="54">
        <v>1</v>
      </c>
      <c r="L22" s="54">
        <v>2</v>
      </c>
      <c r="M22" s="54">
        <v>1</v>
      </c>
      <c r="N22" s="54">
        <v>2</v>
      </c>
      <c r="O22" s="54">
        <v>2</v>
      </c>
      <c r="P22" s="83">
        <v>3</v>
      </c>
    </row>
    <row r="23" ht="14.25" hidden="1" spans="1:16">
      <c r="A23" s="36">
        <v>45020</v>
      </c>
      <c r="B23" s="37" t="s">
        <v>26</v>
      </c>
      <c r="C23" s="38" t="s">
        <v>55</v>
      </c>
      <c r="D23" s="39">
        <v>1.48871837771388</v>
      </c>
      <c r="E23" s="40">
        <v>1.23831775700935</v>
      </c>
      <c r="F23" s="40">
        <v>1.29807692307692</v>
      </c>
      <c r="G23" s="40">
        <v>1.67241379310345</v>
      </c>
      <c r="H23" s="40">
        <v>1.67164179104478</v>
      </c>
      <c r="I23" s="40">
        <v>1.32110091743119</v>
      </c>
      <c r="J23" s="40">
        <v>1.47142857142857</v>
      </c>
      <c r="K23" s="40">
        <v>1.575</v>
      </c>
      <c r="L23" s="40">
        <v>1.73381294964029</v>
      </c>
      <c r="M23" s="40">
        <v>1.59036144578313</v>
      </c>
      <c r="N23" s="40">
        <v>1.51807228915663</v>
      </c>
      <c r="O23" s="40">
        <v>1.41037735849057</v>
      </c>
      <c r="P23" s="79">
        <v>1.36401673640167</v>
      </c>
    </row>
    <row r="24" ht="14.25" hidden="1" spans="1:16">
      <c r="A24" s="41">
        <v>45020</v>
      </c>
      <c r="B24" s="42" t="s">
        <v>26</v>
      </c>
      <c r="C24" s="43" t="s">
        <v>57</v>
      </c>
      <c r="D24" s="44">
        <v>1774</v>
      </c>
      <c r="E24" s="45">
        <v>214</v>
      </c>
      <c r="F24" s="45">
        <v>104</v>
      </c>
      <c r="G24" s="45">
        <v>58</v>
      </c>
      <c r="H24" s="45">
        <v>67</v>
      </c>
      <c r="I24" s="45">
        <v>109</v>
      </c>
      <c r="J24" s="45">
        <v>140</v>
      </c>
      <c r="K24" s="45">
        <v>160</v>
      </c>
      <c r="L24" s="45">
        <v>139</v>
      </c>
      <c r="M24" s="45">
        <v>166</v>
      </c>
      <c r="N24" s="45">
        <v>166</v>
      </c>
      <c r="O24" s="45">
        <v>212</v>
      </c>
      <c r="P24" s="80">
        <v>239</v>
      </c>
    </row>
    <row r="25" ht="14.25" hidden="1" spans="1:16">
      <c r="A25" s="41">
        <v>45020</v>
      </c>
      <c r="B25" s="46" t="s">
        <v>26</v>
      </c>
      <c r="C25" s="47" t="s">
        <v>59</v>
      </c>
      <c r="D25" s="44">
        <v>2593</v>
      </c>
      <c r="E25" s="45">
        <v>265</v>
      </c>
      <c r="F25" s="45">
        <v>135</v>
      </c>
      <c r="G25" s="45">
        <v>97</v>
      </c>
      <c r="H25" s="45">
        <v>112</v>
      </c>
      <c r="I25" s="45">
        <v>144</v>
      </c>
      <c r="J25" s="45">
        <v>206</v>
      </c>
      <c r="K25" s="45">
        <v>252</v>
      </c>
      <c r="L25" s="45">
        <v>241</v>
      </c>
      <c r="M25" s="45">
        <v>264</v>
      </c>
      <c r="N25" s="45">
        <v>252</v>
      </c>
      <c r="O25" s="45">
        <v>299</v>
      </c>
      <c r="P25" s="80">
        <v>326</v>
      </c>
    </row>
    <row r="26" ht="14.25" hidden="1" spans="1:16">
      <c r="A26" s="41">
        <v>45020</v>
      </c>
      <c r="B26" s="42" t="s">
        <v>26</v>
      </c>
      <c r="C26" s="43" t="s">
        <v>4</v>
      </c>
      <c r="D26" s="44">
        <v>94</v>
      </c>
      <c r="E26" s="48">
        <v>12</v>
      </c>
      <c r="F26" s="48">
        <v>7</v>
      </c>
      <c r="G26" s="48">
        <v>4</v>
      </c>
      <c r="H26" s="48">
        <v>2</v>
      </c>
      <c r="I26" s="48">
        <v>7</v>
      </c>
      <c r="J26" s="48">
        <v>14</v>
      </c>
      <c r="K26" s="48">
        <v>7</v>
      </c>
      <c r="L26" s="48">
        <v>5</v>
      </c>
      <c r="M26" s="48">
        <v>6</v>
      </c>
      <c r="N26" s="48">
        <v>11</v>
      </c>
      <c r="O26" s="48">
        <v>10</v>
      </c>
      <c r="P26" s="81">
        <v>9</v>
      </c>
    </row>
    <row r="27" ht="14.25" hidden="1" spans="1:16">
      <c r="A27" s="41">
        <v>45020</v>
      </c>
      <c r="B27" s="46" t="s">
        <v>26</v>
      </c>
      <c r="C27" s="47" t="s">
        <v>5</v>
      </c>
      <c r="D27" s="49">
        <v>0.0373963594398322</v>
      </c>
      <c r="E27" s="50">
        <v>0.0452830188679245</v>
      </c>
      <c r="F27" s="50">
        <v>0.0518518518518519</v>
      </c>
      <c r="G27" s="50">
        <v>0.0412371134020619</v>
      </c>
      <c r="H27" s="50">
        <v>0.0178571428571429</v>
      </c>
      <c r="I27" s="50">
        <v>0.0486111111111111</v>
      </c>
      <c r="J27" s="50">
        <v>0.0679611650485437</v>
      </c>
      <c r="K27" s="50">
        <v>0.0277777777777778</v>
      </c>
      <c r="L27" s="50">
        <v>0.020746887966805</v>
      </c>
      <c r="M27" s="50">
        <v>0.0227272727272727</v>
      </c>
      <c r="N27" s="50">
        <v>0.0436507936507936</v>
      </c>
      <c r="O27" s="50">
        <v>0.0334448160535117</v>
      </c>
      <c r="P27" s="82">
        <v>0.0276073619631902</v>
      </c>
    </row>
    <row r="28" ht="14.25" hidden="1" spans="1:16">
      <c r="A28" s="41">
        <v>45020</v>
      </c>
      <c r="B28" s="42" t="s">
        <v>26</v>
      </c>
      <c r="C28" s="43" t="s">
        <v>6</v>
      </c>
      <c r="D28" s="44">
        <v>26</v>
      </c>
      <c r="E28" s="48">
        <v>3</v>
      </c>
      <c r="F28" s="48">
        <v>3</v>
      </c>
      <c r="G28" s="48">
        <v>1</v>
      </c>
      <c r="H28" s="48">
        <v>2</v>
      </c>
      <c r="I28" s="48">
        <v>2</v>
      </c>
      <c r="J28" s="48">
        <v>3</v>
      </c>
      <c r="K28" s="48">
        <v>1</v>
      </c>
      <c r="L28" s="48">
        <v>0</v>
      </c>
      <c r="M28" s="48">
        <v>1</v>
      </c>
      <c r="N28" s="48">
        <v>1</v>
      </c>
      <c r="O28" s="48">
        <v>6</v>
      </c>
      <c r="P28" s="81">
        <v>3</v>
      </c>
    </row>
    <row r="29" ht="14.25" hidden="1" spans="1:16">
      <c r="A29" s="41">
        <v>45020</v>
      </c>
      <c r="B29" s="51" t="s">
        <v>26</v>
      </c>
      <c r="C29" s="52" t="s">
        <v>64</v>
      </c>
      <c r="D29" s="53">
        <v>0.276595744680851</v>
      </c>
      <c r="E29" s="54">
        <v>3</v>
      </c>
      <c r="F29" s="54">
        <v>3</v>
      </c>
      <c r="G29" s="54">
        <v>1</v>
      </c>
      <c r="H29" s="54">
        <v>2</v>
      </c>
      <c r="I29" s="54">
        <v>2</v>
      </c>
      <c r="J29" s="54">
        <v>3</v>
      </c>
      <c r="K29" s="54">
        <v>1</v>
      </c>
      <c r="L29" s="54">
        <v>0</v>
      </c>
      <c r="M29" s="54">
        <v>1</v>
      </c>
      <c r="N29" s="54">
        <v>1</v>
      </c>
      <c r="O29" s="54">
        <v>6</v>
      </c>
      <c r="P29" s="83">
        <v>3</v>
      </c>
    </row>
    <row r="30" ht="14.25" hidden="1" spans="1:16">
      <c r="A30" s="36">
        <v>45021</v>
      </c>
      <c r="B30" s="37" t="s">
        <v>26</v>
      </c>
      <c r="C30" s="38" t="s">
        <v>55</v>
      </c>
      <c r="D30" s="39">
        <v>2.13830747537929</v>
      </c>
      <c r="E30" s="40">
        <v>1.465</v>
      </c>
      <c r="F30" s="40">
        <v>1.85555555555556</v>
      </c>
      <c r="G30" s="40">
        <v>1.95918367346939</v>
      </c>
      <c r="H30" s="40">
        <v>2.58333333333333</v>
      </c>
      <c r="I30" s="40">
        <v>2.40963855421687</v>
      </c>
      <c r="J30" s="40">
        <v>1.92452830188679</v>
      </c>
      <c r="K30" s="40">
        <v>2.23404255319149</v>
      </c>
      <c r="L30" s="40">
        <v>2.21848739495798</v>
      </c>
      <c r="M30" s="40">
        <v>2.24509803921569</v>
      </c>
      <c r="N30" s="40">
        <v>2.00980392156863</v>
      </c>
      <c r="O30" s="40">
        <v>2.64814814814815</v>
      </c>
      <c r="P30" s="79">
        <v>2.10687022900763</v>
      </c>
    </row>
    <row r="31" ht="14.25" hidden="1" spans="1:16">
      <c r="A31" s="41">
        <v>45021</v>
      </c>
      <c r="B31" s="42" t="s">
        <v>26</v>
      </c>
      <c r="C31" s="43" t="s">
        <v>57</v>
      </c>
      <c r="D31" s="44">
        <v>1232</v>
      </c>
      <c r="E31" s="45">
        <v>200</v>
      </c>
      <c r="F31" s="45">
        <v>90</v>
      </c>
      <c r="G31" s="45">
        <v>49</v>
      </c>
      <c r="H31" s="45">
        <v>48</v>
      </c>
      <c r="I31" s="45">
        <v>83</v>
      </c>
      <c r="J31" s="45">
        <v>106</v>
      </c>
      <c r="K31" s="45">
        <v>94</v>
      </c>
      <c r="L31" s="45">
        <v>119</v>
      </c>
      <c r="M31" s="45">
        <v>102</v>
      </c>
      <c r="N31" s="45">
        <v>102</v>
      </c>
      <c r="O31" s="45">
        <v>108</v>
      </c>
      <c r="P31" s="80">
        <v>131</v>
      </c>
    </row>
    <row r="32" ht="14.25" hidden="1" spans="1:16">
      <c r="A32" s="41">
        <v>45021</v>
      </c>
      <c r="B32" s="46" t="s">
        <v>26</v>
      </c>
      <c r="C32" s="47" t="s">
        <v>59</v>
      </c>
      <c r="D32" s="44">
        <v>2554</v>
      </c>
      <c r="E32" s="45">
        <v>293</v>
      </c>
      <c r="F32" s="45">
        <v>167</v>
      </c>
      <c r="G32" s="45">
        <v>96</v>
      </c>
      <c r="H32" s="45">
        <v>124</v>
      </c>
      <c r="I32" s="45">
        <v>200</v>
      </c>
      <c r="J32" s="45">
        <v>204</v>
      </c>
      <c r="K32" s="45">
        <v>210</v>
      </c>
      <c r="L32" s="45">
        <v>264</v>
      </c>
      <c r="M32" s="45">
        <v>229</v>
      </c>
      <c r="N32" s="45">
        <v>205</v>
      </c>
      <c r="O32" s="45">
        <v>286</v>
      </c>
      <c r="P32" s="80">
        <v>276</v>
      </c>
    </row>
    <row r="33" ht="14.25" hidden="1" spans="1:16">
      <c r="A33" s="41">
        <v>45021</v>
      </c>
      <c r="B33" s="42" t="s">
        <v>26</v>
      </c>
      <c r="C33" s="43" t="s">
        <v>4</v>
      </c>
      <c r="D33" s="44">
        <v>78</v>
      </c>
      <c r="E33" s="48">
        <v>10</v>
      </c>
      <c r="F33" s="48">
        <v>6</v>
      </c>
      <c r="G33" s="48">
        <v>2</v>
      </c>
      <c r="H33" s="48">
        <v>3</v>
      </c>
      <c r="I33" s="48">
        <v>2</v>
      </c>
      <c r="J33" s="48">
        <v>4</v>
      </c>
      <c r="K33" s="48">
        <v>8</v>
      </c>
      <c r="L33" s="48">
        <v>13</v>
      </c>
      <c r="M33" s="48">
        <v>9</v>
      </c>
      <c r="N33" s="48">
        <v>5</v>
      </c>
      <c r="O33" s="48">
        <v>6</v>
      </c>
      <c r="P33" s="81">
        <v>10</v>
      </c>
    </row>
    <row r="34" ht="14.25" hidden="1" spans="1:16">
      <c r="A34" s="41">
        <v>45021</v>
      </c>
      <c r="B34" s="46" t="s">
        <v>26</v>
      </c>
      <c r="C34" s="47" t="s">
        <v>5</v>
      </c>
      <c r="D34" s="49">
        <v>0.0294110568936488</v>
      </c>
      <c r="E34" s="50">
        <v>0.0341296928327645</v>
      </c>
      <c r="F34" s="50">
        <v>0.0359281437125748</v>
      </c>
      <c r="G34" s="50">
        <v>0.0208333333333333</v>
      </c>
      <c r="H34" s="50">
        <v>0.0241935483870968</v>
      </c>
      <c r="I34" s="50">
        <v>0.01</v>
      </c>
      <c r="J34" s="50">
        <v>0.0196078431372549</v>
      </c>
      <c r="K34" s="50">
        <v>0.0380952380952381</v>
      </c>
      <c r="L34" s="50">
        <v>0.0492424242424242</v>
      </c>
      <c r="M34" s="50">
        <v>0.0393013100436681</v>
      </c>
      <c r="N34" s="50">
        <v>0.024390243902439</v>
      </c>
      <c r="O34" s="50">
        <v>0.020979020979021</v>
      </c>
      <c r="P34" s="82">
        <v>0.036231884057971</v>
      </c>
    </row>
    <row r="35" ht="14.25" hidden="1" spans="1:16">
      <c r="A35" s="41">
        <v>45021</v>
      </c>
      <c r="B35" s="42" t="s">
        <v>26</v>
      </c>
      <c r="C35" s="43" t="s">
        <v>6</v>
      </c>
      <c r="D35" s="44">
        <v>19</v>
      </c>
      <c r="E35" s="48">
        <v>2</v>
      </c>
      <c r="F35" s="48">
        <v>3</v>
      </c>
      <c r="G35" s="48">
        <v>0</v>
      </c>
      <c r="H35" s="48">
        <v>1</v>
      </c>
      <c r="I35" s="48">
        <v>2</v>
      </c>
      <c r="J35" s="48">
        <v>1</v>
      </c>
      <c r="K35" s="48">
        <v>0</v>
      </c>
      <c r="L35" s="48">
        <v>5</v>
      </c>
      <c r="M35" s="48">
        <v>2</v>
      </c>
      <c r="N35" s="48">
        <v>0</v>
      </c>
      <c r="O35" s="48">
        <v>1</v>
      </c>
      <c r="P35" s="81">
        <v>2</v>
      </c>
    </row>
    <row r="36" ht="14.25" hidden="1" spans="1:16">
      <c r="A36" s="41">
        <v>45021</v>
      </c>
      <c r="B36" s="51" t="s">
        <v>26</v>
      </c>
      <c r="C36" s="52" t="s">
        <v>64</v>
      </c>
      <c r="D36" s="53">
        <v>0.243589743589744</v>
      </c>
      <c r="E36" s="54">
        <v>2</v>
      </c>
      <c r="F36" s="54">
        <v>3</v>
      </c>
      <c r="G36" s="54">
        <v>0</v>
      </c>
      <c r="H36" s="54">
        <v>1</v>
      </c>
      <c r="I36" s="54">
        <v>2</v>
      </c>
      <c r="J36" s="54">
        <v>1</v>
      </c>
      <c r="K36" s="54">
        <v>0</v>
      </c>
      <c r="L36" s="54">
        <v>5</v>
      </c>
      <c r="M36" s="54">
        <v>2</v>
      </c>
      <c r="N36" s="54">
        <v>0</v>
      </c>
      <c r="O36" s="54">
        <v>1</v>
      </c>
      <c r="P36" s="83">
        <v>2</v>
      </c>
    </row>
    <row r="37" ht="14.25" hidden="1" spans="1:16">
      <c r="A37" s="36">
        <v>45022</v>
      </c>
      <c r="B37" s="37" t="s">
        <v>26</v>
      </c>
      <c r="C37" s="38" t="s">
        <v>55</v>
      </c>
      <c r="D37" s="39">
        <v>1.4782169050629</v>
      </c>
      <c r="E37" s="40">
        <v>2.15833333333333</v>
      </c>
      <c r="F37" s="40">
        <v>1.42528735632184</v>
      </c>
      <c r="G37" s="40">
        <v>1.1304347826087</v>
      </c>
      <c r="H37" s="40">
        <v>1.12121212121212</v>
      </c>
      <c r="I37" s="40">
        <v>1.368</v>
      </c>
      <c r="J37" s="40">
        <v>1.32191780821918</v>
      </c>
      <c r="K37" s="40">
        <v>1.33727810650888</v>
      </c>
      <c r="L37" s="40">
        <v>1.30857142857143</v>
      </c>
      <c r="M37" s="40">
        <v>1.6056338028169</v>
      </c>
      <c r="N37" s="40">
        <v>1.58041958041958</v>
      </c>
      <c r="O37" s="40">
        <v>1.73913043478261</v>
      </c>
      <c r="P37" s="79">
        <v>1.64238410596026</v>
      </c>
    </row>
    <row r="38" ht="14.25" hidden="1" spans="1:16">
      <c r="A38" s="41">
        <v>45022</v>
      </c>
      <c r="B38" s="42" t="s">
        <v>26</v>
      </c>
      <c r="C38" s="43" t="s">
        <v>57</v>
      </c>
      <c r="D38" s="44">
        <v>1610</v>
      </c>
      <c r="E38" s="45">
        <v>120</v>
      </c>
      <c r="F38" s="45">
        <v>87</v>
      </c>
      <c r="G38" s="45">
        <v>92</v>
      </c>
      <c r="H38" s="45">
        <v>99</v>
      </c>
      <c r="I38" s="45">
        <v>125</v>
      </c>
      <c r="J38" s="45">
        <v>146</v>
      </c>
      <c r="K38" s="45">
        <v>169</v>
      </c>
      <c r="L38" s="45">
        <v>175</v>
      </c>
      <c r="M38" s="45">
        <v>142</v>
      </c>
      <c r="N38" s="45">
        <v>143</v>
      </c>
      <c r="O38" s="45">
        <v>161</v>
      </c>
      <c r="P38" s="80">
        <v>151</v>
      </c>
    </row>
    <row r="39" ht="14.25" hidden="1" spans="1:16">
      <c r="A39" s="41">
        <v>45022</v>
      </c>
      <c r="B39" s="46" t="s">
        <v>26</v>
      </c>
      <c r="C39" s="47" t="s">
        <v>59</v>
      </c>
      <c r="D39" s="44">
        <v>2399</v>
      </c>
      <c r="E39" s="45">
        <v>259</v>
      </c>
      <c r="F39" s="45">
        <v>124</v>
      </c>
      <c r="G39" s="45">
        <v>104</v>
      </c>
      <c r="H39" s="45">
        <v>111</v>
      </c>
      <c r="I39" s="45">
        <v>171</v>
      </c>
      <c r="J39" s="45">
        <v>193</v>
      </c>
      <c r="K39" s="45">
        <v>226</v>
      </c>
      <c r="L39" s="45">
        <v>229</v>
      </c>
      <c r="M39" s="45">
        <v>228</v>
      </c>
      <c r="N39" s="45">
        <v>226</v>
      </c>
      <c r="O39" s="45">
        <v>280</v>
      </c>
      <c r="P39" s="80">
        <v>248</v>
      </c>
    </row>
    <row r="40" ht="14.25" hidden="1" spans="1:16">
      <c r="A40" s="41">
        <v>45022</v>
      </c>
      <c r="B40" s="42" t="s">
        <v>26</v>
      </c>
      <c r="C40" s="43" t="s">
        <v>4</v>
      </c>
      <c r="D40" s="44">
        <v>78</v>
      </c>
      <c r="E40" s="48">
        <v>11</v>
      </c>
      <c r="F40" s="48">
        <v>4</v>
      </c>
      <c r="G40" s="48">
        <v>3</v>
      </c>
      <c r="H40" s="48">
        <v>4</v>
      </c>
      <c r="I40" s="48">
        <v>4</v>
      </c>
      <c r="J40" s="48">
        <v>14</v>
      </c>
      <c r="K40" s="48">
        <v>7</v>
      </c>
      <c r="L40" s="48">
        <v>6</v>
      </c>
      <c r="M40" s="48">
        <v>11</v>
      </c>
      <c r="N40" s="48">
        <v>5</v>
      </c>
      <c r="O40" s="48">
        <v>6</v>
      </c>
      <c r="P40" s="81">
        <v>3</v>
      </c>
    </row>
    <row r="41" ht="14.25" hidden="1" spans="1:16">
      <c r="A41" s="41">
        <v>45022</v>
      </c>
      <c r="B41" s="46" t="s">
        <v>26</v>
      </c>
      <c r="C41" s="47" t="s">
        <v>5</v>
      </c>
      <c r="D41" s="49">
        <v>0.0330509289992401</v>
      </c>
      <c r="E41" s="50">
        <v>0.0424710424710425</v>
      </c>
      <c r="F41" s="50">
        <v>0.032258064516129</v>
      </c>
      <c r="G41" s="50">
        <v>0.0288461538461538</v>
      </c>
      <c r="H41" s="50">
        <v>0.036036036036036</v>
      </c>
      <c r="I41" s="50">
        <v>0.0233918128654971</v>
      </c>
      <c r="J41" s="50">
        <v>0.0725388601036269</v>
      </c>
      <c r="K41" s="50">
        <v>0.0309734513274336</v>
      </c>
      <c r="L41" s="50">
        <v>0.0262008733624454</v>
      </c>
      <c r="M41" s="50">
        <v>0.0482456140350877</v>
      </c>
      <c r="N41" s="50">
        <v>0.0221238938053097</v>
      </c>
      <c r="O41" s="50">
        <v>0.0214285714285714</v>
      </c>
      <c r="P41" s="82">
        <v>0.0120967741935484</v>
      </c>
    </row>
    <row r="42" ht="14.25" hidden="1" spans="1:16">
      <c r="A42" s="41">
        <v>45022</v>
      </c>
      <c r="B42" s="42" t="s">
        <v>26</v>
      </c>
      <c r="C42" s="43" t="s">
        <v>6</v>
      </c>
      <c r="D42" s="44">
        <v>20</v>
      </c>
      <c r="E42" s="48">
        <v>2</v>
      </c>
      <c r="F42" s="48">
        <v>3</v>
      </c>
      <c r="G42" s="48">
        <v>1</v>
      </c>
      <c r="H42" s="48">
        <v>2</v>
      </c>
      <c r="I42" s="48">
        <v>4</v>
      </c>
      <c r="J42" s="48">
        <v>1</v>
      </c>
      <c r="K42" s="48">
        <v>1</v>
      </c>
      <c r="L42" s="48">
        <v>1</v>
      </c>
      <c r="M42" s="48">
        <v>2</v>
      </c>
      <c r="N42" s="48">
        <v>0</v>
      </c>
      <c r="O42" s="48">
        <v>1</v>
      </c>
      <c r="P42" s="81">
        <v>2</v>
      </c>
    </row>
    <row r="43" ht="14.25" hidden="1" spans="1:16">
      <c r="A43" s="41">
        <v>45022</v>
      </c>
      <c r="B43" s="51" t="s">
        <v>26</v>
      </c>
      <c r="C43" s="52" t="s">
        <v>64</v>
      </c>
      <c r="D43" s="53">
        <v>0.256410256410256</v>
      </c>
      <c r="E43" s="54">
        <v>2</v>
      </c>
      <c r="F43" s="54">
        <v>3</v>
      </c>
      <c r="G43" s="54">
        <v>1</v>
      </c>
      <c r="H43" s="54">
        <v>2</v>
      </c>
      <c r="I43" s="54">
        <v>4</v>
      </c>
      <c r="J43" s="54">
        <v>1</v>
      </c>
      <c r="K43" s="54">
        <v>1</v>
      </c>
      <c r="L43" s="54">
        <v>1</v>
      </c>
      <c r="M43" s="54">
        <v>2</v>
      </c>
      <c r="N43" s="54">
        <v>0</v>
      </c>
      <c r="O43" s="54">
        <v>1</v>
      </c>
      <c r="P43" s="83">
        <v>2</v>
      </c>
    </row>
    <row r="44" ht="14.25" spans="1:16">
      <c r="A44" s="36">
        <v>45023</v>
      </c>
      <c r="B44" s="37" t="s">
        <v>26</v>
      </c>
      <c r="C44" s="38" t="s">
        <v>55</v>
      </c>
      <c r="D44" s="39">
        <v>1.56617711176543</v>
      </c>
      <c r="E44" s="40">
        <v>1.84070796460177</v>
      </c>
      <c r="F44" s="40">
        <v>2.45454545454545</v>
      </c>
      <c r="G44" s="40">
        <v>1.75</v>
      </c>
      <c r="H44" s="40">
        <v>1.95652173913043</v>
      </c>
      <c r="I44" s="40">
        <v>1.57608695652174</v>
      </c>
      <c r="J44" s="40">
        <v>1.34</v>
      </c>
      <c r="K44" s="40">
        <v>1.52032520325203</v>
      </c>
      <c r="L44" s="40">
        <v>1.375</v>
      </c>
      <c r="M44" s="40">
        <v>1.29370629370629</v>
      </c>
      <c r="N44" s="40">
        <v>1.28947368421053</v>
      </c>
      <c r="O44" s="40">
        <v>1.17412935323383</v>
      </c>
      <c r="P44" s="79">
        <v>1.22362869198312</v>
      </c>
    </row>
    <row r="45" ht="14.25" spans="1:16">
      <c r="A45" s="41">
        <v>45023</v>
      </c>
      <c r="B45" s="42" t="s">
        <v>26</v>
      </c>
      <c r="C45" s="43" t="s">
        <v>57</v>
      </c>
      <c r="D45" s="44">
        <v>1435</v>
      </c>
      <c r="E45" s="45">
        <v>113</v>
      </c>
      <c r="F45" s="45">
        <v>44</v>
      </c>
      <c r="G45" s="45">
        <v>40</v>
      </c>
      <c r="H45" s="45">
        <v>46</v>
      </c>
      <c r="I45" s="45">
        <v>92</v>
      </c>
      <c r="J45" s="45">
        <v>100</v>
      </c>
      <c r="K45" s="45">
        <v>123</v>
      </c>
      <c r="L45" s="45">
        <v>144</v>
      </c>
      <c r="M45" s="45">
        <v>143</v>
      </c>
      <c r="N45" s="45">
        <v>152</v>
      </c>
      <c r="O45" s="45">
        <v>201</v>
      </c>
      <c r="P45" s="80">
        <v>237</v>
      </c>
    </row>
    <row r="46" ht="14.25" spans="1:16">
      <c r="A46" s="41">
        <v>45023</v>
      </c>
      <c r="B46" s="46" t="s">
        <v>26</v>
      </c>
      <c r="C46" s="47" t="s">
        <v>59</v>
      </c>
      <c r="D46" s="44">
        <v>2047</v>
      </c>
      <c r="E46" s="45">
        <v>208</v>
      </c>
      <c r="F46" s="45">
        <v>108</v>
      </c>
      <c r="G46" s="45">
        <v>70</v>
      </c>
      <c r="H46" s="45">
        <v>90</v>
      </c>
      <c r="I46" s="45">
        <v>145</v>
      </c>
      <c r="J46" s="45">
        <v>134</v>
      </c>
      <c r="K46" s="45">
        <v>187</v>
      </c>
      <c r="L46" s="45">
        <v>198</v>
      </c>
      <c r="M46" s="45">
        <v>185</v>
      </c>
      <c r="N46" s="45">
        <v>196</v>
      </c>
      <c r="O46" s="45">
        <v>236</v>
      </c>
      <c r="P46" s="80">
        <v>290</v>
      </c>
    </row>
    <row r="47" ht="14.25" spans="1:16">
      <c r="A47" s="41">
        <v>45023</v>
      </c>
      <c r="B47" s="42" t="s">
        <v>26</v>
      </c>
      <c r="C47" s="43" t="s">
        <v>4</v>
      </c>
      <c r="D47" s="44">
        <v>67</v>
      </c>
      <c r="E47" s="48">
        <v>5</v>
      </c>
      <c r="F47" s="48">
        <v>1</v>
      </c>
      <c r="G47" s="48">
        <v>5</v>
      </c>
      <c r="H47" s="48">
        <v>2</v>
      </c>
      <c r="I47" s="48">
        <v>4</v>
      </c>
      <c r="J47" s="48">
        <v>1</v>
      </c>
      <c r="K47" s="48">
        <v>8</v>
      </c>
      <c r="L47" s="48">
        <v>13</v>
      </c>
      <c r="M47" s="48">
        <v>7</v>
      </c>
      <c r="N47" s="48">
        <v>7</v>
      </c>
      <c r="O47" s="48">
        <v>3</v>
      </c>
      <c r="P47" s="81">
        <v>11</v>
      </c>
    </row>
    <row r="48" ht="14.25" spans="1:16">
      <c r="A48" s="41">
        <v>45023</v>
      </c>
      <c r="B48" s="46" t="s">
        <v>26</v>
      </c>
      <c r="C48" s="47" t="s">
        <v>5</v>
      </c>
      <c r="D48" s="49">
        <v>0.03288581205613</v>
      </c>
      <c r="E48" s="50">
        <v>0.0240384615384615</v>
      </c>
      <c r="F48" s="50">
        <v>0.00925925925925926</v>
      </c>
      <c r="G48" s="50">
        <v>0.0714285714285714</v>
      </c>
      <c r="H48" s="50">
        <v>0.0222222222222222</v>
      </c>
      <c r="I48" s="50">
        <v>0.0275862068965517</v>
      </c>
      <c r="J48" s="50">
        <v>0.00746268656716418</v>
      </c>
      <c r="K48" s="50">
        <v>0.0427807486631016</v>
      </c>
      <c r="L48" s="50">
        <v>0.0656565656565657</v>
      </c>
      <c r="M48" s="50">
        <v>0.0378378378378378</v>
      </c>
      <c r="N48" s="50">
        <v>0.0357142857142857</v>
      </c>
      <c r="O48" s="50">
        <v>0.0127118644067797</v>
      </c>
      <c r="P48" s="82">
        <v>0.0379310344827586</v>
      </c>
    </row>
    <row r="49" ht="14.25" spans="1:16">
      <c r="A49" s="41">
        <v>45023</v>
      </c>
      <c r="B49" s="42" t="s">
        <v>26</v>
      </c>
      <c r="C49" s="43" t="s">
        <v>6</v>
      </c>
      <c r="D49" s="44">
        <v>19</v>
      </c>
      <c r="E49" s="48">
        <v>1</v>
      </c>
      <c r="F49" s="48">
        <v>3</v>
      </c>
      <c r="G49" s="48">
        <v>0</v>
      </c>
      <c r="H49" s="48">
        <v>1</v>
      </c>
      <c r="I49" s="48">
        <v>2</v>
      </c>
      <c r="J49" s="48">
        <v>0</v>
      </c>
      <c r="K49" s="48">
        <v>0</v>
      </c>
      <c r="L49" s="48">
        <v>3</v>
      </c>
      <c r="M49" s="48">
        <v>2</v>
      </c>
      <c r="N49" s="48">
        <v>1</v>
      </c>
      <c r="O49" s="48">
        <v>5</v>
      </c>
      <c r="P49" s="81">
        <v>1</v>
      </c>
    </row>
    <row r="50" ht="14.25" spans="1:16">
      <c r="A50" s="41">
        <v>45023</v>
      </c>
      <c r="B50" s="51" t="s">
        <v>26</v>
      </c>
      <c r="C50" s="91" t="s">
        <v>64</v>
      </c>
      <c r="D50" s="49">
        <v>0.283582089552239</v>
      </c>
      <c r="E50" s="55">
        <v>1</v>
      </c>
      <c r="F50" s="55">
        <v>3</v>
      </c>
      <c r="G50" s="55">
        <v>0</v>
      </c>
      <c r="H50" s="55">
        <v>1</v>
      </c>
      <c r="I50" s="55">
        <v>2</v>
      </c>
      <c r="J50" s="55">
        <v>0</v>
      </c>
      <c r="K50" s="55">
        <v>0</v>
      </c>
      <c r="L50" s="55">
        <v>3</v>
      </c>
      <c r="M50" s="55">
        <v>2</v>
      </c>
      <c r="N50" s="55">
        <v>1</v>
      </c>
      <c r="O50" s="55">
        <v>5</v>
      </c>
      <c r="P50" s="84">
        <v>1</v>
      </c>
    </row>
    <row r="51" spans="1:16">
      <c r="A51" s="56" t="s">
        <v>7740</v>
      </c>
      <c r="B51" s="57"/>
      <c r="C51" s="56" t="s">
        <v>59</v>
      </c>
      <c r="D51" s="59">
        <f t="shared" ref="D51:P51" si="0">AVERAGEIF($C$2:$C$43,$C$51,D2:D43)</f>
        <v>2757.83333333333</v>
      </c>
      <c r="E51" s="59">
        <f t="shared" si="0"/>
        <v>304.833333333333</v>
      </c>
      <c r="F51" s="59">
        <f t="shared" si="0"/>
        <v>162.5</v>
      </c>
      <c r="G51" s="59">
        <f t="shared" si="0"/>
        <v>116.833333333333</v>
      </c>
      <c r="H51" s="59">
        <f t="shared" si="0"/>
        <v>129.166666666667</v>
      </c>
      <c r="I51" s="59">
        <f t="shared" si="0"/>
        <v>201.333333333333</v>
      </c>
      <c r="J51" s="59">
        <f t="shared" si="0"/>
        <v>212.666666666667</v>
      </c>
      <c r="K51" s="59">
        <f t="shared" si="0"/>
        <v>245.166666666667</v>
      </c>
      <c r="L51" s="59">
        <f t="shared" si="0"/>
        <v>262.5</v>
      </c>
      <c r="M51" s="59">
        <f t="shared" si="0"/>
        <v>258</v>
      </c>
      <c r="N51" s="59">
        <f t="shared" si="0"/>
        <v>246.333333333333</v>
      </c>
      <c r="O51" s="59">
        <f t="shared" si="0"/>
        <v>301.833333333333</v>
      </c>
      <c r="P51" s="85">
        <f t="shared" si="0"/>
        <v>316.666666666667</v>
      </c>
    </row>
    <row r="52" spans="1:16">
      <c r="A52" s="60"/>
      <c r="B52" s="61"/>
      <c r="C52" s="62" t="s">
        <v>4</v>
      </c>
      <c r="D52" s="30">
        <f t="shared" ref="D52:P52" si="1">AVERAGEIF($C$2:$C$43,$C$52,D2:D43)</f>
        <v>91.5</v>
      </c>
      <c r="E52" s="30">
        <f t="shared" si="1"/>
        <v>10.8333333333333</v>
      </c>
      <c r="F52" s="30">
        <f t="shared" si="1"/>
        <v>7</v>
      </c>
      <c r="G52" s="30">
        <f t="shared" si="1"/>
        <v>3.33333333333333</v>
      </c>
      <c r="H52" s="30">
        <f t="shared" si="1"/>
        <v>3.83333333333333</v>
      </c>
      <c r="I52" s="30">
        <f t="shared" si="1"/>
        <v>4</v>
      </c>
      <c r="J52" s="30">
        <f t="shared" si="1"/>
        <v>10.3333333333333</v>
      </c>
      <c r="K52" s="30">
        <f t="shared" si="1"/>
        <v>9.16666666666667</v>
      </c>
      <c r="L52" s="30">
        <f t="shared" si="1"/>
        <v>9.83333333333333</v>
      </c>
      <c r="M52" s="30">
        <f t="shared" si="1"/>
        <v>7.33333333333333</v>
      </c>
      <c r="N52" s="30">
        <f t="shared" si="1"/>
        <v>7</v>
      </c>
      <c r="O52" s="30">
        <f t="shared" si="1"/>
        <v>8</v>
      </c>
      <c r="P52" s="93">
        <f t="shared" si="1"/>
        <v>10.8333333333333</v>
      </c>
    </row>
    <row r="53" spans="1:16">
      <c r="A53" s="60"/>
      <c r="B53" s="61"/>
      <c r="C53" s="60" t="s">
        <v>5</v>
      </c>
      <c r="D53" s="66">
        <f t="shared" ref="D53:P53" si="2">D52/D51</f>
        <v>0.033178219616849</v>
      </c>
      <c r="E53" s="66">
        <f t="shared" si="2"/>
        <v>0.0355385456533625</v>
      </c>
      <c r="F53" s="66">
        <f t="shared" si="2"/>
        <v>0.0430769230769231</v>
      </c>
      <c r="G53" s="66">
        <f t="shared" si="2"/>
        <v>0.0285306704707561</v>
      </c>
      <c r="H53" s="66">
        <f t="shared" si="2"/>
        <v>0.0296774193548387</v>
      </c>
      <c r="I53" s="66">
        <f t="shared" si="2"/>
        <v>0.0198675496688742</v>
      </c>
      <c r="J53" s="66">
        <f t="shared" si="2"/>
        <v>0.04858934169279</v>
      </c>
      <c r="K53" s="66">
        <f t="shared" si="2"/>
        <v>0.0373895309313392</v>
      </c>
      <c r="L53" s="66">
        <f t="shared" si="2"/>
        <v>0.0374603174603175</v>
      </c>
      <c r="M53" s="66">
        <f t="shared" si="2"/>
        <v>0.0284237726098191</v>
      </c>
      <c r="N53" s="66">
        <f t="shared" si="2"/>
        <v>0.0284167794316644</v>
      </c>
      <c r="O53" s="66">
        <f t="shared" si="2"/>
        <v>0.026504693539481</v>
      </c>
      <c r="P53" s="87">
        <f t="shared" si="2"/>
        <v>0.0342105263157895</v>
      </c>
    </row>
    <row r="54" spans="1:16">
      <c r="A54" s="60"/>
      <c r="B54" s="61"/>
      <c r="C54" s="62" t="s">
        <v>6</v>
      </c>
      <c r="D54" s="64">
        <f t="shared" ref="D54:P54" si="3">AVERAGEIF($C$2:$C$43,$C$54,D2:D43)</f>
        <v>21.8333333333333</v>
      </c>
      <c r="E54" s="64">
        <f t="shared" si="3"/>
        <v>3</v>
      </c>
      <c r="F54" s="64">
        <f t="shared" si="3"/>
        <v>2</v>
      </c>
      <c r="G54" s="64">
        <f t="shared" si="3"/>
        <v>0.666666666666667</v>
      </c>
      <c r="H54" s="64">
        <f t="shared" si="3"/>
        <v>1.5</v>
      </c>
      <c r="I54" s="64">
        <f t="shared" si="3"/>
        <v>1.66666666666667</v>
      </c>
      <c r="J54" s="64">
        <f t="shared" si="3"/>
        <v>1.5</v>
      </c>
      <c r="K54" s="64">
        <f t="shared" si="3"/>
        <v>1.16666666666667</v>
      </c>
      <c r="L54" s="64">
        <f t="shared" si="3"/>
        <v>2.5</v>
      </c>
      <c r="M54" s="64">
        <f t="shared" si="3"/>
        <v>2</v>
      </c>
      <c r="N54" s="64">
        <f t="shared" si="3"/>
        <v>1.33333333333333</v>
      </c>
      <c r="O54" s="64">
        <f t="shared" si="3"/>
        <v>2.16666666666667</v>
      </c>
      <c r="P54" s="86">
        <f t="shared" si="3"/>
        <v>2.33333333333333</v>
      </c>
    </row>
    <row r="55" ht="14.25" spans="1:16">
      <c r="A55" s="60"/>
      <c r="B55" s="61"/>
      <c r="C55" s="92" t="s">
        <v>64</v>
      </c>
      <c r="D55" s="68">
        <f t="shared" ref="D55:P55" si="4">D54/D52</f>
        <v>0.238615664845173</v>
      </c>
      <c r="E55" s="68">
        <f t="shared" si="4"/>
        <v>0.276923076923077</v>
      </c>
      <c r="F55" s="68">
        <f t="shared" si="4"/>
        <v>0.285714285714286</v>
      </c>
      <c r="G55" s="68">
        <f t="shared" si="4"/>
        <v>0.2</v>
      </c>
      <c r="H55" s="68">
        <f t="shared" si="4"/>
        <v>0.391304347826087</v>
      </c>
      <c r="I55" s="68">
        <f t="shared" si="4"/>
        <v>0.416666666666667</v>
      </c>
      <c r="J55" s="68">
        <f t="shared" si="4"/>
        <v>0.145161290322581</v>
      </c>
      <c r="K55" s="68">
        <f t="shared" si="4"/>
        <v>0.127272727272727</v>
      </c>
      <c r="L55" s="68">
        <f t="shared" si="4"/>
        <v>0.254237288135593</v>
      </c>
      <c r="M55" s="68">
        <f t="shared" si="4"/>
        <v>0.272727272727273</v>
      </c>
      <c r="N55" s="68">
        <f t="shared" si="4"/>
        <v>0.19047619047619</v>
      </c>
      <c r="O55" s="68">
        <f t="shared" si="4"/>
        <v>0.270833333333333</v>
      </c>
      <c r="P55" s="88">
        <f t="shared" si="4"/>
        <v>0.215384615384615</v>
      </c>
    </row>
    <row r="56" spans="1:16">
      <c r="A56" s="69" t="s">
        <v>7741</v>
      </c>
      <c r="B56" s="70"/>
      <c r="C56" s="60" t="s">
        <v>59</v>
      </c>
      <c r="E56" s="71">
        <f t="shared" ref="E56:P56" si="5">(E46-E51)/E51</f>
        <v>-0.31765992345544</v>
      </c>
      <c r="F56" s="71">
        <f t="shared" si="5"/>
        <v>-0.335384615384615</v>
      </c>
      <c r="G56" s="71">
        <f t="shared" si="5"/>
        <v>-0.400855920114123</v>
      </c>
      <c r="H56" s="71">
        <f t="shared" si="5"/>
        <v>-0.303225806451613</v>
      </c>
      <c r="I56" s="71">
        <f t="shared" si="5"/>
        <v>-0.279801324503311</v>
      </c>
      <c r="J56" s="71">
        <f t="shared" si="5"/>
        <v>-0.369905956112853</v>
      </c>
      <c r="K56" s="71">
        <f t="shared" si="5"/>
        <v>-0.23725356900068</v>
      </c>
      <c r="L56" s="71">
        <f t="shared" si="5"/>
        <v>-0.245714285714286</v>
      </c>
      <c r="M56" s="71">
        <f t="shared" si="5"/>
        <v>-0.282945736434109</v>
      </c>
      <c r="N56" s="71">
        <f t="shared" si="5"/>
        <v>-0.204330175913397</v>
      </c>
      <c r="O56" s="71">
        <f t="shared" si="5"/>
        <v>-0.218111540585312</v>
      </c>
      <c r="P56" s="89">
        <f t="shared" si="5"/>
        <v>-0.0842105263157895</v>
      </c>
    </row>
    <row r="57" spans="1:16">
      <c r="A57" s="72"/>
      <c r="B57" s="29"/>
      <c r="C57" s="62" t="s">
        <v>4</v>
      </c>
      <c r="E57" s="71">
        <f t="shared" ref="E57:P57" si="6">(E47-E52)/E52</f>
        <v>-0.538461538461538</v>
      </c>
      <c r="F57" s="71">
        <f t="shared" si="6"/>
        <v>-0.857142857142857</v>
      </c>
      <c r="G57" s="71">
        <f t="shared" si="6"/>
        <v>0.5</v>
      </c>
      <c r="H57" s="71">
        <f t="shared" si="6"/>
        <v>-0.478260869565217</v>
      </c>
      <c r="I57" s="71">
        <f t="shared" si="6"/>
        <v>0</v>
      </c>
      <c r="J57" s="71">
        <f t="shared" si="6"/>
        <v>-0.903225806451613</v>
      </c>
      <c r="K57" s="71">
        <f t="shared" si="6"/>
        <v>-0.127272727272727</v>
      </c>
      <c r="L57" s="71">
        <f t="shared" si="6"/>
        <v>0.322033898305085</v>
      </c>
      <c r="M57" s="71">
        <f t="shared" si="6"/>
        <v>-0.0454545454545454</v>
      </c>
      <c r="N57" s="71">
        <f t="shared" si="6"/>
        <v>0</v>
      </c>
      <c r="O57" s="71">
        <f t="shared" si="6"/>
        <v>-0.625</v>
      </c>
      <c r="P57" s="89">
        <f t="shared" si="6"/>
        <v>0.0153846153846153</v>
      </c>
    </row>
    <row r="58" ht="14.25" spans="1:16">
      <c r="A58" s="73"/>
      <c r="B58" s="74"/>
      <c r="C58" s="75" t="s">
        <v>6</v>
      </c>
      <c r="D58" s="76"/>
      <c r="E58" s="77">
        <f>(E49-E54)/E54</f>
        <v>-0.666666666666667</v>
      </c>
      <c r="F58" s="77">
        <f t="shared" ref="F58:P58" si="7">(F49-F54)/F54</f>
        <v>0.5</v>
      </c>
      <c r="G58" s="77">
        <f t="shared" si="7"/>
        <v>-1</v>
      </c>
      <c r="H58" s="77">
        <f t="shared" si="7"/>
        <v>-0.333333333333333</v>
      </c>
      <c r="I58" s="77">
        <f t="shared" si="7"/>
        <v>0.2</v>
      </c>
      <c r="J58" s="77">
        <f t="shared" si="7"/>
        <v>-1</v>
      </c>
      <c r="K58" s="77">
        <f t="shared" si="7"/>
        <v>-1</v>
      </c>
      <c r="L58" s="77">
        <f t="shared" si="7"/>
        <v>0.2</v>
      </c>
      <c r="M58" s="77">
        <f t="shared" si="7"/>
        <v>0</v>
      </c>
      <c r="N58" s="77">
        <f t="shared" si="7"/>
        <v>-0.25</v>
      </c>
      <c r="O58" s="77">
        <f t="shared" si="7"/>
        <v>1.30769230769231</v>
      </c>
      <c r="P58" s="90">
        <f t="shared" si="7"/>
        <v>-0.571428571428572</v>
      </c>
    </row>
  </sheetData>
  <mergeCells count="3">
    <mergeCell ref="B1:C1"/>
    <mergeCell ref="A51:B55"/>
    <mergeCell ref="A56:B58"/>
  </mergeCells>
  <conditionalFormatting sqref="D1">
    <cfRule type="expression" dxfId="4" priority="222">
      <formula>D1&lt;T1</formula>
    </cfRule>
  </conditionalFormatting>
  <conditionalFormatting sqref="D2:P55">
    <cfRule type="expression" dxfId="4" priority="1">
      <formula>D2&lt;T2</formula>
    </cfRule>
  </conditionalFormatting>
  <conditionalFormatting sqref="C56:D57">
    <cfRule type="cellIs" dxfId="3" priority="220" operator="lessThan">
      <formula>0</formula>
    </cfRule>
  </conditionalFormatting>
  <conditionalFormatting sqref="E56:P58">
    <cfRule type="cellIs" dxfId="3" priority="42" operator="lessThan">
      <formula>0</formula>
    </cfRule>
  </conditionalFormatting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58"/>
  <sheetViews>
    <sheetView workbookViewId="0">
      <selection activeCell="P58" sqref="A1:P58"/>
    </sheetView>
  </sheetViews>
  <sheetFormatPr defaultColWidth="9" defaultRowHeight="13.5"/>
  <cols>
    <col min="1" max="1" width="9.375" style="29"/>
    <col min="2" max="2" width="13.625" style="30" customWidth="1"/>
    <col min="3" max="3" width="11.75" style="30" customWidth="1"/>
    <col min="4" max="4" width="17.125" style="30"/>
    <col min="5" max="5" width="16" style="30"/>
    <col min="6" max="16" width="13.75" style="30"/>
  </cols>
  <sheetData>
    <row r="1" ht="14.25" spans="1:16">
      <c r="A1" s="31" t="s">
        <v>0</v>
      </c>
      <c r="B1" s="32" t="s">
        <v>1</v>
      </c>
      <c r="C1" s="33"/>
      <c r="D1" s="34" t="s">
        <v>42</v>
      </c>
      <c r="E1" s="35" t="s">
        <v>43</v>
      </c>
      <c r="F1" s="35" t="s">
        <v>44</v>
      </c>
      <c r="G1" s="35" t="s">
        <v>45</v>
      </c>
      <c r="H1" s="35" t="s">
        <v>46</v>
      </c>
      <c r="I1" s="35" t="s">
        <v>47</v>
      </c>
      <c r="J1" s="35" t="s">
        <v>48</v>
      </c>
      <c r="K1" s="35" t="s">
        <v>49</v>
      </c>
      <c r="L1" s="35" t="s">
        <v>50</v>
      </c>
      <c r="M1" s="35" t="s">
        <v>51</v>
      </c>
      <c r="N1" s="35" t="s">
        <v>52</v>
      </c>
      <c r="O1" s="35" t="s">
        <v>53</v>
      </c>
      <c r="P1" s="78" t="s">
        <v>54</v>
      </c>
    </row>
    <row r="2" ht="14.25" hidden="1" spans="1:16">
      <c r="A2" s="36">
        <v>45017</v>
      </c>
      <c r="B2" s="37" t="s">
        <v>66</v>
      </c>
      <c r="C2" s="38" t="s">
        <v>55</v>
      </c>
      <c r="D2" s="39">
        <v>0.135368498586272</v>
      </c>
      <c r="E2" s="40">
        <v>0.0992</v>
      </c>
      <c r="F2" s="40">
        <v>0.0814249363867685</v>
      </c>
      <c r="G2" s="40">
        <v>0.0466926070038911</v>
      </c>
      <c r="H2" s="40">
        <v>0.0795454545454545</v>
      </c>
      <c r="I2" s="40">
        <v>0.105454545454545</v>
      </c>
      <c r="J2" s="40">
        <v>0.11522633744856</v>
      </c>
      <c r="K2" s="40">
        <v>0.168627450980392</v>
      </c>
      <c r="L2" s="40">
        <v>0.227642276422764</v>
      </c>
      <c r="M2" s="40">
        <v>0.201520912547529</v>
      </c>
      <c r="N2" s="40">
        <v>0.158974358974359</v>
      </c>
      <c r="O2" s="40">
        <v>0.169172932330827</v>
      </c>
      <c r="P2" s="79">
        <v>0.170940170940171</v>
      </c>
    </row>
    <row r="3" ht="14.25" hidden="1" spans="1:16">
      <c r="A3" s="41">
        <v>45017</v>
      </c>
      <c r="B3" s="42" t="s">
        <v>66</v>
      </c>
      <c r="C3" s="43" t="s">
        <v>57</v>
      </c>
      <c r="D3" s="44">
        <v>3633</v>
      </c>
      <c r="E3" s="45">
        <v>625</v>
      </c>
      <c r="F3" s="45">
        <v>393</v>
      </c>
      <c r="G3" s="45">
        <v>257</v>
      </c>
      <c r="H3" s="45">
        <v>264</v>
      </c>
      <c r="I3" s="45">
        <v>275</v>
      </c>
      <c r="J3" s="45">
        <v>243</v>
      </c>
      <c r="K3" s="45">
        <v>255</v>
      </c>
      <c r="L3" s="45">
        <v>246</v>
      </c>
      <c r="M3" s="45">
        <v>263</v>
      </c>
      <c r="N3" s="45">
        <v>195</v>
      </c>
      <c r="O3" s="45">
        <v>266</v>
      </c>
      <c r="P3" s="80">
        <v>351</v>
      </c>
    </row>
    <row r="4" ht="14.25" hidden="1" spans="1:16">
      <c r="A4" s="41">
        <v>45017</v>
      </c>
      <c r="B4" s="46" t="s">
        <v>66</v>
      </c>
      <c r="C4" s="47" t="s">
        <v>59</v>
      </c>
      <c r="D4" s="44">
        <v>472</v>
      </c>
      <c r="E4" s="45">
        <v>62</v>
      </c>
      <c r="F4" s="45">
        <v>32</v>
      </c>
      <c r="G4" s="45">
        <v>12</v>
      </c>
      <c r="H4" s="45">
        <v>21</v>
      </c>
      <c r="I4" s="45">
        <v>29</v>
      </c>
      <c r="J4" s="45">
        <v>28</v>
      </c>
      <c r="K4" s="45">
        <v>43</v>
      </c>
      <c r="L4" s="45">
        <v>56</v>
      </c>
      <c r="M4" s="45">
        <v>53</v>
      </c>
      <c r="N4" s="45">
        <v>31</v>
      </c>
      <c r="O4" s="45">
        <v>45</v>
      </c>
      <c r="P4" s="80">
        <v>60</v>
      </c>
    </row>
    <row r="5" ht="14.25" hidden="1" spans="1:16">
      <c r="A5" s="41">
        <v>45017</v>
      </c>
      <c r="B5" s="42" t="s">
        <v>66</v>
      </c>
      <c r="C5" s="43" t="s">
        <v>4</v>
      </c>
      <c r="D5" s="44">
        <v>50</v>
      </c>
      <c r="E5" s="48">
        <v>8</v>
      </c>
      <c r="F5" s="48">
        <v>6</v>
      </c>
      <c r="G5" s="48">
        <v>2</v>
      </c>
      <c r="H5" s="48">
        <v>3</v>
      </c>
      <c r="I5" s="48">
        <v>0</v>
      </c>
      <c r="J5" s="48">
        <v>3</v>
      </c>
      <c r="K5" s="48">
        <v>6</v>
      </c>
      <c r="L5" s="48">
        <v>5</v>
      </c>
      <c r="M5" s="48">
        <v>5</v>
      </c>
      <c r="N5" s="48">
        <v>3</v>
      </c>
      <c r="O5" s="48">
        <v>6</v>
      </c>
      <c r="P5" s="81">
        <v>3</v>
      </c>
    </row>
    <row r="6" ht="14.25" hidden="1" spans="1:16">
      <c r="A6" s="41">
        <v>45017</v>
      </c>
      <c r="B6" s="46" t="s">
        <v>66</v>
      </c>
      <c r="C6" s="47" t="s">
        <v>5</v>
      </c>
      <c r="D6" s="49">
        <v>0.111372222688421</v>
      </c>
      <c r="E6" s="50">
        <v>0.129032258064516</v>
      </c>
      <c r="F6" s="50">
        <v>0.1875</v>
      </c>
      <c r="G6" s="50">
        <v>0.166666666666667</v>
      </c>
      <c r="H6" s="50">
        <v>0.142857142857143</v>
      </c>
      <c r="I6" s="50">
        <v>0</v>
      </c>
      <c r="J6" s="50">
        <v>0.107142857142857</v>
      </c>
      <c r="K6" s="50">
        <v>0.13953488372093</v>
      </c>
      <c r="L6" s="50">
        <v>0.0892857142857143</v>
      </c>
      <c r="M6" s="50">
        <v>0.0943396226415094</v>
      </c>
      <c r="N6" s="50">
        <v>0.0967741935483871</v>
      </c>
      <c r="O6" s="50">
        <v>0.133333333333333</v>
      </c>
      <c r="P6" s="82">
        <v>0.05</v>
      </c>
    </row>
    <row r="7" ht="14.25" hidden="1" spans="1:16">
      <c r="A7" s="41">
        <v>45017</v>
      </c>
      <c r="B7" s="42" t="s">
        <v>66</v>
      </c>
      <c r="C7" s="43" t="s">
        <v>6</v>
      </c>
      <c r="D7" s="44">
        <v>25</v>
      </c>
      <c r="E7" s="48">
        <v>1</v>
      </c>
      <c r="F7" s="48">
        <v>4</v>
      </c>
      <c r="G7" s="48">
        <v>0</v>
      </c>
      <c r="H7" s="48">
        <v>0</v>
      </c>
      <c r="I7" s="48">
        <v>2</v>
      </c>
      <c r="J7" s="48">
        <v>0</v>
      </c>
      <c r="K7" s="48">
        <v>3</v>
      </c>
      <c r="L7" s="48">
        <v>4</v>
      </c>
      <c r="M7" s="48">
        <v>1</v>
      </c>
      <c r="N7" s="48">
        <v>3</v>
      </c>
      <c r="O7" s="48">
        <v>4</v>
      </c>
      <c r="P7" s="81">
        <v>3</v>
      </c>
    </row>
    <row r="8" ht="14.25" hidden="1" spans="1:16">
      <c r="A8" s="41">
        <v>45017</v>
      </c>
      <c r="B8" s="51" t="s">
        <v>66</v>
      </c>
      <c r="C8" s="52" t="s">
        <v>64</v>
      </c>
      <c r="D8" s="53">
        <v>0.5</v>
      </c>
      <c r="E8" s="54">
        <v>0.125</v>
      </c>
      <c r="F8" s="54">
        <v>0.666666666666667</v>
      </c>
      <c r="G8" s="54">
        <v>0</v>
      </c>
      <c r="H8" s="54">
        <v>0</v>
      </c>
      <c r="I8" s="54">
        <v>0</v>
      </c>
      <c r="J8" s="54">
        <v>0</v>
      </c>
      <c r="K8" s="54">
        <v>0.5</v>
      </c>
      <c r="L8" s="54">
        <v>0.8</v>
      </c>
      <c r="M8" s="54">
        <v>0.2</v>
      </c>
      <c r="N8" s="54">
        <v>1</v>
      </c>
      <c r="O8" s="54">
        <v>0.666666666666667</v>
      </c>
      <c r="P8" s="83">
        <v>1</v>
      </c>
    </row>
    <row r="9" ht="14.25" hidden="1" spans="1:16">
      <c r="A9" s="36">
        <v>45018</v>
      </c>
      <c r="B9" s="37" t="s">
        <v>66</v>
      </c>
      <c r="C9" s="38" t="s">
        <v>55</v>
      </c>
      <c r="D9" s="39">
        <v>0.127085769309159</v>
      </c>
      <c r="E9" s="40">
        <v>0.115789473684211</v>
      </c>
      <c r="F9" s="40">
        <v>0.0772532188841202</v>
      </c>
      <c r="G9" s="40">
        <v>0.0570469798657718</v>
      </c>
      <c r="H9" s="40">
        <v>0.0863787375415282</v>
      </c>
      <c r="I9" s="40">
        <v>0.1417004048583</v>
      </c>
      <c r="J9" s="40">
        <v>0.126530612244898</v>
      </c>
      <c r="K9" s="40">
        <v>0.137931034482759</v>
      </c>
      <c r="L9" s="40">
        <v>0.168582375478927</v>
      </c>
      <c r="M9" s="40">
        <v>0.195454545454545</v>
      </c>
      <c r="N9" s="40">
        <v>0.178947368421053</v>
      </c>
      <c r="O9" s="40">
        <v>0.122605363984674</v>
      </c>
      <c r="P9" s="79">
        <v>0.116809116809117</v>
      </c>
    </row>
    <row r="10" ht="14.25" hidden="1" spans="1:16">
      <c r="A10" s="41">
        <v>45018</v>
      </c>
      <c r="B10" s="42" t="s">
        <v>66</v>
      </c>
      <c r="C10" s="43" t="s">
        <v>57</v>
      </c>
      <c r="D10" s="44">
        <v>3642</v>
      </c>
      <c r="E10" s="45">
        <v>570</v>
      </c>
      <c r="F10" s="45">
        <v>466</v>
      </c>
      <c r="G10" s="45">
        <v>298</v>
      </c>
      <c r="H10" s="45">
        <v>301</v>
      </c>
      <c r="I10" s="45">
        <v>247</v>
      </c>
      <c r="J10" s="45">
        <v>245</v>
      </c>
      <c r="K10" s="45">
        <v>232</v>
      </c>
      <c r="L10" s="45">
        <v>261</v>
      </c>
      <c r="M10" s="45">
        <v>220</v>
      </c>
      <c r="N10" s="45">
        <v>190</v>
      </c>
      <c r="O10" s="45">
        <v>261</v>
      </c>
      <c r="P10" s="80">
        <v>351</v>
      </c>
    </row>
    <row r="11" ht="14.25" hidden="1" spans="1:16">
      <c r="A11" s="41">
        <v>45018</v>
      </c>
      <c r="B11" s="46" t="s">
        <v>66</v>
      </c>
      <c r="C11" s="47" t="s">
        <v>59</v>
      </c>
      <c r="D11" s="44">
        <v>437</v>
      </c>
      <c r="E11" s="45">
        <v>66</v>
      </c>
      <c r="F11" s="45">
        <v>36</v>
      </c>
      <c r="G11" s="45">
        <v>17</v>
      </c>
      <c r="H11" s="45">
        <v>26</v>
      </c>
      <c r="I11" s="45">
        <v>35</v>
      </c>
      <c r="J11" s="45">
        <v>31</v>
      </c>
      <c r="K11" s="45">
        <v>32</v>
      </c>
      <c r="L11" s="45">
        <v>44</v>
      </c>
      <c r="M11" s="45">
        <v>43</v>
      </c>
      <c r="N11" s="45">
        <v>34</v>
      </c>
      <c r="O11" s="45">
        <v>32</v>
      </c>
      <c r="P11" s="80">
        <v>41</v>
      </c>
    </row>
    <row r="12" ht="14.25" hidden="1" spans="1:16">
      <c r="A12" s="41">
        <v>45018</v>
      </c>
      <c r="B12" s="42" t="s">
        <v>66</v>
      </c>
      <c r="C12" s="43" t="s">
        <v>4</v>
      </c>
      <c r="D12" s="44">
        <v>45</v>
      </c>
      <c r="E12" s="48">
        <v>4</v>
      </c>
      <c r="F12" s="48">
        <v>7</v>
      </c>
      <c r="G12" s="48">
        <v>1</v>
      </c>
      <c r="H12" s="48">
        <v>3</v>
      </c>
      <c r="I12" s="48">
        <v>4</v>
      </c>
      <c r="J12" s="48">
        <v>1</v>
      </c>
      <c r="K12" s="48">
        <v>9</v>
      </c>
      <c r="L12" s="48">
        <v>3</v>
      </c>
      <c r="M12" s="48">
        <v>4</v>
      </c>
      <c r="N12" s="48">
        <v>2</v>
      </c>
      <c r="O12" s="48">
        <v>4</v>
      </c>
      <c r="P12" s="81">
        <v>3</v>
      </c>
    </row>
    <row r="13" ht="14.25" hidden="1" spans="1:16">
      <c r="A13" s="41">
        <v>45018</v>
      </c>
      <c r="B13" s="46" t="s">
        <v>66</v>
      </c>
      <c r="C13" s="47" t="s">
        <v>5</v>
      </c>
      <c r="D13" s="49">
        <v>0.106270980313632</v>
      </c>
      <c r="E13" s="50">
        <v>0.0606060606060606</v>
      </c>
      <c r="F13" s="50">
        <v>0.194444444444444</v>
      </c>
      <c r="G13" s="50">
        <v>0.0588235294117647</v>
      </c>
      <c r="H13" s="50">
        <v>0.115384615384615</v>
      </c>
      <c r="I13" s="50">
        <v>0.114285714285714</v>
      </c>
      <c r="J13" s="50">
        <v>0.032258064516129</v>
      </c>
      <c r="K13" s="50">
        <v>0.28125</v>
      </c>
      <c r="L13" s="50">
        <v>0.0681818181818182</v>
      </c>
      <c r="M13" s="50">
        <v>0.0930232558139535</v>
      </c>
      <c r="N13" s="50">
        <v>0.0588235294117647</v>
      </c>
      <c r="O13" s="50">
        <v>0.125</v>
      </c>
      <c r="P13" s="82">
        <v>0.0731707317073171</v>
      </c>
    </row>
    <row r="14" ht="14.25" hidden="1" spans="1:16">
      <c r="A14" s="41">
        <v>45018</v>
      </c>
      <c r="B14" s="42" t="s">
        <v>66</v>
      </c>
      <c r="C14" s="43" t="s">
        <v>6</v>
      </c>
      <c r="D14" s="44">
        <v>11</v>
      </c>
      <c r="E14" s="48">
        <v>1</v>
      </c>
      <c r="F14" s="48">
        <v>0</v>
      </c>
      <c r="G14" s="48">
        <v>0</v>
      </c>
      <c r="H14" s="48">
        <v>0</v>
      </c>
      <c r="I14" s="48">
        <v>0</v>
      </c>
      <c r="J14" s="48">
        <v>2</v>
      </c>
      <c r="K14" s="48">
        <v>2</v>
      </c>
      <c r="L14" s="48">
        <v>0</v>
      </c>
      <c r="M14" s="48">
        <v>1</v>
      </c>
      <c r="N14" s="48">
        <v>1</v>
      </c>
      <c r="O14" s="48">
        <v>1</v>
      </c>
      <c r="P14" s="81">
        <v>3</v>
      </c>
    </row>
    <row r="15" ht="14.25" hidden="1" spans="1:16">
      <c r="A15" s="41">
        <v>45018</v>
      </c>
      <c r="B15" s="51" t="s">
        <v>66</v>
      </c>
      <c r="C15" s="52" t="s">
        <v>64</v>
      </c>
      <c r="D15" s="53">
        <v>0.244444444444444</v>
      </c>
      <c r="E15" s="54">
        <v>0.25</v>
      </c>
      <c r="F15" s="54">
        <v>0</v>
      </c>
      <c r="G15" s="54">
        <v>0</v>
      </c>
      <c r="H15" s="54">
        <v>0</v>
      </c>
      <c r="I15" s="54">
        <v>0</v>
      </c>
      <c r="J15" s="54">
        <v>2</v>
      </c>
      <c r="K15" s="54">
        <v>0.222222222222222</v>
      </c>
      <c r="L15" s="54">
        <v>0</v>
      </c>
      <c r="M15" s="54">
        <v>0.25</v>
      </c>
      <c r="N15" s="54">
        <v>0.5</v>
      </c>
      <c r="O15" s="54">
        <v>0.25</v>
      </c>
      <c r="P15" s="83">
        <v>1</v>
      </c>
    </row>
    <row r="16" ht="14.25" hidden="1" spans="1:16">
      <c r="A16" s="36">
        <v>45019</v>
      </c>
      <c r="B16" s="37" t="s">
        <v>66</v>
      </c>
      <c r="C16" s="38" t="s">
        <v>55</v>
      </c>
      <c r="D16" s="39">
        <v>0.124767341524942</v>
      </c>
      <c r="E16" s="40">
        <v>0.106609808102345</v>
      </c>
      <c r="F16" s="40">
        <v>0.0629370629370629</v>
      </c>
      <c r="G16" s="40">
        <v>0.0481099656357388</v>
      </c>
      <c r="H16" s="40">
        <v>0.0956937799043062</v>
      </c>
      <c r="I16" s="40">
        <v>0.149797570850202</v>
      </c>
      <c r="J16" s="40">
        <v>0.108695652173913</v>
      </c>
      <c r="K16" s="40">
        <v>0.214611872146119</v>
      </c>
      <c r="L16" s="40">
        <v>0.146953405017921</v>
      </c>
      <c r="M16" s="40">
        <v>0.165938864628821</v>
      </c>
      <c r="N16" s="40">
        <v>0.157608695652174</v>
      </c>
      <c r="O16" s="40">
        <v>0.115942028985507</v>
      </c>
      <c r="P16" s="79">
        <v>0.124309392265193</v>
      </c>
    </row>
    <row r="17" ht="14.25" hidden="1" spans="1:16">
      <c r="A17" s="41">
        <v>45019</v>
      </c>
      <c r="B17" s="42" t="s">
        <v>66</v>
      </c>
      <c r="C17" s="43" t="s">
        <v>57</v>
      </c>
      <c r="D17" s="44">
        <v>3424</v>
      </c>
      <c r="E17" s="45">
        <v>469</v>
      </c>
      <c r="F17" s="45">
        <v>429</v>
      </c>
      <c r="G17" s="45">
        <v>291</v>
      </c>
      <c r="H17" s="45">
        <v>209</v>
      </c>
      <c r="I17" s="45">
        <v>247</v>
      </c>
      <c r="J17" s="45">
        <v>230</v>
      </c>
      <c r="K17" s="45">
        <v>219</v>
      </c>
      <c r="L17" s="45">
        <v>279</v>
      </c>
      <c r="M17" s="45">
        <v>229</v>
      </c>
      <c r="N17" s="45">
        <v>184</v>
      </c>
      <c r="O17" s="45">
        <v>276</v>
      </c>
      <c r="P17" s="80">
        <v>362</v>
      </c>
    </row>
    <row r="18" ht="14.25" hidden="1" spans="1:16">
      <c r="A18" s="41">
        <v>45019</v>
      </c>
      <c r="B18" s="46" t="s">
        <v>66</v>
      </c>
      <c r="C18" s="47" t="s">
        <v>59</v>
      </c>
      <c r="D18" s="44">
        <v>405</v>
      </c>
      <c r="E18" s="45">
        <v>50</v>
      </c>
      <c r="F18" s="45">
        <v>27</v>
      </c>
      <c r="G18" s="45">
        <v>14</v>
      </c>
      <c r="H18" s="45">
        <v>20</v>
      </c>
      <c r="I18" s="45">
        <v>37</v>
      </c>
      <c r="J18" s="45">
        <v>25</v>
      </c>
      <c r="K18" s="45">
        <v>47</v>
      </c>
      <c r="L18" s="45">
        <v>41</v>
      </c>
      <c r="M18" s="45">
        <v>38</v>
      </c>
      <c r="N18" s="45">
        <v>29</v>
      </c>
      <c r="O18" s="45">
        <v>32</v>
      </c>
      <c r="P18" s="80">
        <v>45</v>
      </c>
    </row>
    <row r="19" ht="14.25" hidden="1" spans="1:16">
      <c r="A19" s="41">
        <v>45019</v>
      </c>
      <c r="B19" s="42" t="s">
        <v>66</v>
      </c>
      <c r="C19" s="43" t="s">
        <v>4</v>
      </c>
      <c r="D19" s="44">
        <v>51</v>
      </c>
      <c r="E19" s="48">
        <v>10</v>
      </c>
      <c r="F19" s="48">
        <v>3</v>
      </c>
      <c r="G19" s="48">
        <v>2</v>
      </c>
      <c r="H19" s="48">
        <v>1</v>
      </c>
      <c r="I19" s="48">
        <v>6</v>
      </c>
      <c r="J19" s="48">
        <v>2</v>
      </c>
      <c r="K19" s="48">
        <v>4</v>
      </c>
      <c r="L19" s="48">
        <v>6</v>
      </c>
      <c r="M19" s="48">
        <v>7</v>
      </c>
      <c r="N19" s="48">
        <v>5</v>
      </c>
      <c r="O19" s="48">
        <v>3</v>
      </c>
      <c r="P19" s="81">
        <v>2</v>
      </c>
    </row>
    <row r="20" ht="14.25" hidden="1" spans="1:16">
      <c r="A20" s="41">
        <v>45019</v>
      </c>
      <c r="B20" s="46" t="s">
        <v>66</v>
      </c>
      <c r="C20" s="47" t="s">
        <v>5</v>
      </c>
      <c r="D20" s="49">
        <v>0.122699752198955</v>
      </c>
      <c r="E20" s="50">
        <v>0.2</v>
      </c>
      <c r="F20" s="50">
        <v>0.111111111111111</v>
      </c>
      <c r="G20" s="50">
        <v>0.142857142857143</v>
      </c>
      <c r="H20" s="50">
        <v>0.05</v>
      </c>
      <c r="I20" s="50">
        <v>0.162162162162162</v>
      </c>
      <c r="J20" s="50">
        <v>0.08</v>
      </c>
      <c r="K20" s="50">
        <v>0.0851063829787234</v>
      </c>
      <c r="L20" s="50">
        <v>0.146341463414634</v>
      </c>
      <c r="M20" s="50">
        <v>0.184210526315789</v>
      </c>
      <c r="N20" s="50">
        <v>0.172413793103448</v>
      </c>
      <c r="O20" s="50">
        <v>0.09375</v>
      </c>
      <c r="P20" s="82">
        <v>0.0444444444444444</v>
      </c>
    </row>
    <row r="21" ht="14.25" hidden="1" spans="1:16">
      <c r="A21" s="41">
        <v>45019</v>
      </c>
      <c r="B21" s="42" t="s">
        <v>66</v>
      </c>
      <c r="C21" s="43" t="s">
        <v>6</v>
      </c>
      <c r="D21" s="44">
        <v>23</v>
      </c>
      <c r="E21" s="48">
        <v>3</v>
      </c>
      <c r="F21" s="48">
        <v>2</v>
      </c>
      <c r="G21" s="48">
        <v>0</v>
      </c>
      <c r="H21" s="48">
        <v>0</v>
      </c>
      <c r="I21" s="48">
        <v>2</v>
      </c>
      <c r="J21" s="48">
        <v>1</v>
      </c>
      <c r="K21" s="48">
        <v>5</v>
      </c>
      <c r="L21" s="48">
        <v>2</v>
      </c>
      <c r="M21" s="48">
        <v>3</v>
      </c>
      <c r="N21" s="48">
        <v>4</v>
      </c>
      <c r="O21" s="48">
        <v>1</v>
      </c>
      <c r="P21" s="81">
        <v>0</v>
      </c>
    </row>
    <row r="22" ht="14.25" hidden="1" spans="1:16">
      <c r="A22" s="41">
        <v>45019</v>
      </c>
      <c r="B22" s="51" t="s">
        <v>66</v>
      </c>
      <c r="C22" s="52" t="s">
        <v>64</v>
      </c>
      <c r="D22" s="53">
        <v>0.450980392156863</v>
      </c>
      <c r="E22" s="54">
        <v>0.3</v>
      </c>
      <c r="F22" s="54">
        <v>0.666666666666667</v>
      </c>
      <c r="G22" s="54">
        <v>0</v>
      </c>
      <c r="H22" s="54">
        <v>0</v>
      </c>
      <c r="I22" s="54">
        <v>0.333333333333333</v>
      </c>
      <c r="J22" s="54">
        <v>0.5</v>
      </c>
      <c r="K22" s="54">
        <v>1.25</v>
      </c>
      <c r="L22" s="54">
        <v>0.333333333333333</v>
      </c>
      <c r="M22" s="54">
        <v>0.428571428571429</v>
      </c>
      <c r="N22" s="54">
        <v>0.8</v>
      </c>
      <c r="O22" s="54">
        <v>0.333333333333333</v>
      </c>
      <c r="P22" s="83">
        <v>0</v>
      </c>
    </row>
    <row r="23" ht="14.25" hidden="1" spans="1:16">
      <c r="A23" s="36">
        <v>45020</v>
      </c>
      <c r="B23" s="37" t="s">
        <v>66</v>
      </c>
      <c r="C23" s="38" t="s">
        <v>55</v>
      </c>
      <c r="D23" s="39">
        <v>0.119444934378035</v>
      </c>
      <c r="E23" s="40">
        <v>0.126491646778043</v>
      </c>
      <c r="F23" s="40">
        <v>0.0767123287671233</v>
      </c>
      <c r="G23" s="40">
        <v>0.0909090909090909</v>
      </c>
      <c r="H23" s="40">
        <v>0.0873015873015873</v>
      </c>
      <c r="I23" s="40">
        <v>0.0909090909090909</v>
      </c>
      <c r="J23" s="40">
        <v>0.114942528735632</v>
      </c>
      <c r="K23" s="40">
        <v>0.0902527075812274</v>
      </c>
      <c r="L23" s="40">
        <v>0.125954198473282</v>
      </c>
      <c r="M23" s="40">
        <v>0.160337552742616</v>
      </c>
      <c r="N23" s="40">
        <v>0.15609756097561</v>
      </c>
      <c r="O23" s="40">
        <v>0.143939393939394</v>
      </c>
      <c r="P23" s="79">
        <v>0.169491525423729</v>
      </c>
    </row>
    <row r="24" ht="14.25" hidden="1" spans="1:16">
      <c r="A24" s="41">
        <v>45020</v>
      </c>
      <c r="B24" s="42" t="s">
        <v>66</v>
      </c>
      <c r="C24" s="43" t="s">
        <v>57</v>
      </c>
      <c r="D24" s="44">
        <v>3424</v>
      </c>
      <c r="E24" s="45">
        <v>419</v>
      </c>
      <c r="F24" s="45">
        <v>365</v>
      </c>
      <c r="G24" s="45">
        <v>253</v>
      </c>
      <c r="H24" s="45">
        <v>252</v>
      </c>
      <c r="I24" s="45">
        <v>275</v>
      </c>
      <c r="J24" s="45">
        <v>261</v>
      </c>
      <c r="K24" s="45">
        <v>277</v>
      </c>
      <c r="L24" s="45">
        <v>262</v>
      </c>
      <c r="M24" s="45">
        <v>237</v>
      </c>
      <c r="N24" s="45">
        <v>205</v>
      </c>
      <c r="O24" s="45">
        <v>264</v>
      </c>
      <c r="P24" s="80">
        <v>354</v>
      </c>
    </row>
    <row r="25" ht="14.25" hidden="1" spans="1:16">
      <c r="A25" s="41">
        <v>45020</v>
      </c>
      <c r="B25" s="46" t="s">
        <v>66</v>
      </c>
      <c r="C25" s="47" t="s">
        <v>59</v>
      </c>
      <c r="D25" s="44">
        <v>407</v>
      </c>
      <c r="E25" s="45">
        <v>53</v>
      </c>
      <c r="F25" s="45">
        <v>28</v>
      </c>
      <c r="G25" s="45">
        <v>23</v>
      </c>
      <c r="H25" s="45">
        <v>22</v>
      </c>
      <c r="I25" s="45">
        <v>25</v>
      </c>
      <c r="J25" s="45">
        <v>30</v>
      </c>
      <c r="K25" s="45">
        <v>25</v>
      </c>
      <c r="L25" s="45">
        <v>33</v>
      </c>
      <c r="M25" s="45">
        <v>38</v>
      </c>
      <c r="N25" s="45">
        <v>32</v>
      </c>
      <c r="O25" s="45">
        <v>38</v>
      </c>
      <c r="P25" s="80">
        <v>60</v>
      </c>
    </row>
    <row r="26" ht="14.25" hidden="1" spans="1:16">
      <c r="A26" s="41">
        <v>45020</v>
      </c>
      <c r="B26" s="42" t="s">
        <v>66</v>
      </c>
      <c r="C26" s="43" t="s">
        <v>4</v>
      </c>
      <c r="D26" s="44">
        <v>44</v>
      </c>
      <c r="E26" s="48">
        <v>5</v>
      </c>
      <c r="F26" s="48">
        <v>1</v>
      </c>
      <c r="G26" s="48">
        <v>3</v>
      </c>
      <c r="H26" s="48">
        <v>2</v>
      </c>
      <c r="I26" s="48">
        <v>2</v>
      </c>
      <c r="J26" s="48">
        <v>9</v>
      </c>
      <c r="K26" s="48">
        <v>1</v>
      </c>
      <c r="L26" s="48">
        <v>3</v>
      </c>
      <c r="M26" s="48">
        <v>4</v>
      </c>
      <c r="N26" s="48">
        <v>3</v>
      </c>
      <c r="O26" s="48">
        <v>5</v>
      </c>
      <c r="P26" s="81">
        <v>6</v>
      </c>
    </row>
    <row r="27" ht="14.25" hidden="1" spans="1:16">
      <c r="A27" s="41">
        <v>45020</v>
      </c>
      <c r="B27" s="46" t="s">
        <v>66</v>
      </c>
      <c r="C27" s="47" t="s">
        <v>5</v>
      </c>
      <c r="D27" s="49">
        <v>0.107741581503819</v>
      </c>
      <c r="E27" s="50">
        <v>0.0943396226415094</v>
      </c>
      <c r="F27" s="50">
        <v>0.0357142857142857</v>
      </c>
      <c r="G27" s="50">
        <v>0.130434782608696</v>
      </c>
      <c r="H27" s="50">
        <v>0.0909090909090909</v>
      </c>
      <c r="I27" s="50">
        <v>0.08</v>
      </c>
      <c r="J27" s="50">
        <v>0.3</v>
      </c>
      <c r="K27" s="50">
        <v>0.04</v>
      </c>
      <c r="L27" s="50">
        <v>0.0909090909090909</v>
      </c>
      <c r="M27" s="50">
        <v>0.105263157894737</v>
      </c>
      <c r="N27" s="50">
        <v>0.09375</v>
      </c>
      <c r="O27" s="50">
        <v>0.131578947368421</v>
      </c>
      <c r="P27" s="82">
        <v>0.1</v>
      </c>
    </row>
    <row r="28" ht="14.25" hidden="1" spans="1:16">
      <c r="A28" s="41">
        <v>45020</v>
      </c>
      <c r="B28" s="42" t="s">
        <v>66</v>
      </c>
      <c r="C28" s="43" t="s">
        <v>6</v>
      </c>
      <c r="D28" s="44">
        <v>19</v>
      </c>
      <c r="E28" s="48">
        <v>4</v>
      </c>
      <c r="F28" s="48">
        <v>2</v>
      </c>
      <c r="G28" s="48">
        <v>1</v>
      </c>
      <c r="H28" s="48">
        <v>2</v>
      </c>
      <c r="I28" s="48">
        <v>0</v>
      </c>
      <c r="J28" s="48">
        <v>2</v>
      </c>
      <c r="K28" s="48">
        <v>2</v>
      </c>
      <c r="L28" s="48">
        <v>2</v>
      </c>
      <c r="M28" s="48">
        <v>0</v>
      </c>
      <c r="N28" s="48">
        <v>2</v>
      </c>
      <c r="O28" s="48">
        <v>1</v>
      </c>
      <c r="P28" s="81">
        <v>1</v>
      </c>
    </row>
    <row r="29" ht="14.25" hidden="1" spans="1:16">
      <c r="A29" s="41">
        <v>45020</v>
      </c>
      <c r="B29" s="51" t="s">
        <v>66</v>
      </c>
      <c r="C29" s="52" t="s">
        <v>64</v>
      </c>
      <c r="D29" s="53">
        <v>0.431818181818182</v>
      </c>
      <c r="E29" s="54">
        <v>0.8</v>
      </c>
      <c r="F29" s="54">
        <v>2</v>
      </c>
      <c r="G29" s="54">
        <v>0.333333333333333</v>
      </c>
      <c r="H29" s="54">
        <v>1</v>
      </c>
      <c r="I29" s="54">
        <v>0</v>
      </c>
      <c r="J29" s="54">
        <v>0.222222222222222</v>
      </c>
      <c r="K29" s="54">
        <v>2</v>
      </c>
      <c r="L29" s="54">
        <v>0.666666666666667</v>
      </c>
      <c r="M29" s="54">
        <v>0</v>
      </c>
      <c r="N29" s="54">
        <v>0.666666666666667</v>
      </c>
      <c r="O29" s="54">
        <v>0.2</v>
      </c>
      <c r="P29" s="83">
        <v>0.166666666666667</v>
      </c>
    </row>
    <row r="30" ht="14.25" hidden="1" spans="1:16">
      <c r="A30" s="36">
        <v>45021</v>
      </c>
      <c r="B30" s="37" t="s">
        <v>66</v>
      </c>
      <c r="C30" s="38" t="s">
        <v>55</v>
      </c>
      <c r="D30" s="39">
        <v>0.132626545263016</v>
      </c>
      <c r="E30" s="40">
        <v>0.131914893617021</v>
      </c>
      <c r="F30" s="40">
        <v>0.0874635568513119</v>
      </c>
      <c r="G30" s="40">
        <v>0.0546218487394958</v>
      </c>
      <c r="H30" s="40">
        <v>0.0819672131147541</v>
      </c>
      <c r="I30" s="40">
        <v>0.0905660377358491</v>
      </c>
      <c r="J30" s="40">
        <v>0.130111524163569</v>
      </c>
      <c r="K30" s="40">
        <v>0.147058823529412</v>
      </c>
      <c r="L30" s="40">
        <v>0.204152249134948</v>
      </c>
      <c r="M30" s="40">
        <v>0.134453781512605</v>
      </c>
      <c r="N30" s="40">
        <v>0.247368421052632</v>
      </c>
      <c r="O30" s="40">
        <v>0.142857142857143</v>
      </c>
      <c r="P30" s="79">
        <v>0.138983050847458</v>
      </c>
    </row>
    <row r="31" ht="14.25" hidden="1" spans="1:16">
      <c r="A31" s="41">
        <v>45021</v>
      </c>
      <c r="B31" s="42" t="s">
        <v>66</v>
      </c>
      <c r="C31" s="43" t="s">
        <v>57</v>
      </c>
      <c r="D31" s="44">
        <v>3352</v>
      </c>
      <c r="E31" s="45">
        <v>470</v>
      </c>
      <c r="F31" s="45">
        <v>343</v>
      </c>
      <c r="G31" s="45">
        <v>238</v>
      </c>
      <c r="H31" s="45">
        <v>244</v>
      </c>
      <c r="I31" s="45">
        <v>265</v>
      </c>
      <c r="J31" s="45">
        <v>269</v>
      </c>
      <c r="K31" s="45">
        <v>238</v>
      </c>
      <c r="L31" s="45">
        <v>289</v>
      </c>
      <c r="M31" s="45">
        <v>238</v>
      </c>
      <c r="N31" s="45">
        <v>190</v>
      </c>
      <c r="O31" s="45">
        <v>273</v>
      </c>
      <c r="P31" s="80">
        <v>295</v>
      </c>
    </row>
    <row r="32" ht="14.25" hidden="1" spans="1:16">
      <c r="A32" s="41">
        <v>45021</v>
      </c>
      <c r="B32" s="46" t="s">
        <v>66</v>
      </c>
      <c r="C32" s="47" t="s">
        <v>59</v>
      </c>
      <c r="D32" s="44">
        <v>437</v>
      </c>
      <c r="E32" s="45">
        <v>62</v>
      </c>
      <c r="F32" s="45">
        <v>30</v>
      </c>
      <c r="G32" s="45">
        <v>13</v>
      </c>
      <c r="H32" s="45">
        <v>20</v>
      </c>
      <c r="I32" s="45">
        <v>24</v>
      </c>
      <c r="J32" s="45">
        <v>35</v>
      </c>
      <c r="K32" s="45">
        <v>35</v>
      </c>
      <c r="L32" s="45">
        <v>59</v>
      </c>
      <c r="M32" s="45">
        <v>32</v>
      </c>
      <c r="N32" s="45">
        <v>47</v>
      </c>
      <c r="O32" s="45">
        <v>39</v>
      </c>
      <c r="P32" s="80">
        <v>41</v>
      </c>
    </row>
    <row r="33" ht="14.25" hidden="1" spans="1:16">
      <c r="A33" s="41">
        <v>45021</v>
      </c>
      <c r="B33" s="42" t="s">
        <v>66</v>
      </c>
      <c r="C33" s="43" t="s">
        <v>4</v>
      </c>
      <c r="D33" s="44">
        <v>34</v>
      </c>
      <c r="E33" s="48">
        <v>2</v>
      </c>
      <c r="F33" s="48">
        <v>5</v>
      </c>
      <c r="G33" s="48">
        <v>3</v>
      </c>
      <c r="H33" s="48">
        <v>2</v>
      </c>
      <c r="I33" s="48">
        <v>1</v>
      </c>
      <c r="J33" s="48">
        <v>1</v>
      </c>
      <c r="K33" s="48">
        <v>4</v>
      </c>
      <c r="L33" s="48">
        <v>3</v>
      </c>
      <c r="M33" s="48">
        <v>2</v>
      </c>
      <c r="N33" s="48">
        <v>2</v>
      </c>
      <c r="O33" s="48">
        <v>5</v>
      </c>
      <c r="P33" s="81">
        <v>4</v>
      </c>
    </row>
    <row r="34" ht="14.25" hidden="1" spans="1:16">
      <c r="A34" s="41">
        <v>45021</v>
      </c>
      <c r="B34" s="46" t="s">
        <v>66</v>
      </c>
      <c r="C34" s="47" t="s">
        <v>5</v>
      </c>
      <c r="D34" s="49">
        <v>0.0913237103672667</v>
      </c>
      <c r="E34" s="50">
        <v>0.032258064516129</v>
      </c>
      <c r="F34" s="50">
        <v>0.166666666666667</v>
      </c>
      <c r="G34" s="50">
        <v>0.230769230769231</v>
      </c>
      <c r="H34" s="50">
        <v>0.1</v>
      </c>
      <c r="I34" s="50">
        <v>0.0416666666666667</v>
      </c>
      <c r="J34" s="50">
        <v>0.0285714285714286</v>
      </c>
      <c r="K34" s="50">
        <v>0.114285714285714</v>
      </c>
      <c r="L34" s="50">
        <v>0.0508474576271186</v>
      </c>
      <c r="M34" s="50">
        <v>0.0625</v>
      </c>
      <c r="N34" s="50">
        <v>0.0425531914893617</v>
      </c>
      <c r="O34" s="50">
        <v>0.128205128205128</v>
      </c>
      <c r="P34" s="82">
        <v>0.0975609756097561</v>
      </c>
    </row>
    <row r="35" ht="14.25" hidden="1" spans="1:16">
      <c r="A35" s="41">
        <v>45021</v>
      </c>
      <c r="B35" s="42" t="s">
        <v>66</v>
      </c>
      <c r="C35" s="43" t="s">
        <v>6</v>
      </c>
      <c r="D35" s="44">
        <v>12</v>
      </c>
      <c r="E35" s="48">
        <v>1</v>
      </c>
      <c r="F35" s="48">
        <v>3</v>
      </c>
      <c r="G35" s="48">
        <v>0</v>
      </c>
      <c r="H35" s="48">
        <v>1</v>
      </c>
      <c r="I35" s="48">
        <v>1</v>
      </c>
      <c r="J35" s="48">
        <v>0</v>
      </c>
      <c r="K35" s="48">
        <v>1</v>
      </c>
      <c r="L35" s="48">
        <v>2</v>
      </c>
      <c r="M35" s="48">
        <v>0</v>
      </c>
      <c r="N35" s="48">
        <v>1</v>
      </c>
      <c r="O35" s="48">
        <v>2</v>
      </c>
      <c r="P35" s="81">
        <v>0</v>
      </c>
    </row>
    <row r="36" ht="14.25" hidden="1" spans="1:16">
      <c r="A36" s="41">
        <v>45021</v>
      </c>
      <c r="B36" s="51" t="s">
        <v>66</v>
      </c>
      <c r="C36" s="52" t="s">
        <v>64</v>
      </c>
      <c r="D36" s="53">
        <v>0.352941176470588</v>
      </c>
      <c r="E36" s="54">
        <v>0.5</v>
      </c>
      <c r="F36" s="54">
        <v>0.6</v>
      </c>
      <c r="G36" s="54">
        <v>0</v>
      </c>
      <c r="H36" s="54">
        <v>0.5</v>
      </c>
      <c r="I36" s="54">
        <v>1</v>
      </c>
      <c r="J36" s="54">
        <v>0</v>
      </c>
      <c r="K36" s="54">
        <v>0.25</v>
      </c>
      <c r="L36" s="54">
        <v>0.666666666666667</v>
      </c>
      <c r="M36" s="54">
        <v>0</v>
      </c>
      <c r="N36" s="54">
        <v>0.5</v>
      </c>
      <c r="O36" s="54">
        <v>0.4</v>
      </c>
      <c r="P36" s="83">
        <v>0</v>
      </c>
    </row>
    <row r="37" ht="14.25" hidden="1" spans="1:16">
      <c r="A37" s="36">
        <v>45022</v>
      </c>
      <c r="B37" s="37" t="s">
        <v>66</v>
      </c>
      <c r="C37" s="38" t="s">
        <v>55</v>
      </c>
      <c r="D37" s="39">
        <v>0.155331979827878</v>
      </c>
      <c r="E37" s="40">
        <v>0.138888888888889</v>
      </c>
      <c r="F37" s="40">
        <v>0.0516795865633075</v>
      </c>
      <c r="G37" s="40">
        <v>0.0647668393782383</v>
      </c>
      <c r="H37" s="40">
        <v>0.107758620689655</v>
      </c>
      <c r="I37" s="40">
        <v>0.224669603524229</v>
      </c>
      <c r="J37" s="40">
        <v>0.193548387096774</v>
      </c>
      <c r="K37" s="40">
        <v>0.239263803680982</v>
      </c>
      <c r="L37" s="40">
        <v>0.192825112107623</v>
      </c>
      <c r="M37" s="40">
        <v>0.185185185185185</v>
      </c>
      <c r="N37" s="40">
        <v>0.16875</v>
      </c>
      <c r="O37" s="40">
        <v>0.176165803108808</v>
      </c>
      <c r="P37" s="79">
        <v>0.120481927710843</v>
      </c>
    </row>
    <row r="38" ht="14.25" hidden="1" spans="1:16">
      <c r="A38" s="41">
        <v>45022</v>
      </c>
      <c r="B38" s="42" t="s">
        <v>66</v>
      </c>
      <c r="C38" s="43" t="s">
        <v>57</v>
      </c>
      <c r="D38" s="44">
        <v>3031</v>
      </c>
      <c r="E38" s="45">
        <v>432</v>
      </c>
      <c r="F38" s="45">
        <v>387</v>
      </c>
      <c r="G38" s="45">
        <v>386</v>
      </c>
      <c r="H38" s="45">
        <v>232</v>
      </c>
      <c r="I38" s="45">
        <v>227</v>
      </c>
      <c r="J38" s="45">
        <v>217</v>
      </c>
      <c r="K38" s="45">
        <v>163</v>
      </c>
      <c r="L38" s="45">
        <v>223</v>
      </c>
      <c r="M38" s="45">
        <v>162</v>
      </c>
      <c r="N38" s="45">
        <v>160</v>
      </c>
      <c r="O38" s="45">
        <v>193</v>
      </c>
      <c r="P38" s="80">
        <v>249</v>
      </c>
    </row>
    <row r="39" ht="14.25" hidden="1" spans="1:16">
      <c r="A39" s="41">
        <v>45022</v>
      </c>
      <c r="B39" s="46" t="s">
        <v>66</v>
      </c>
      <c r="C39" s="47" t="s">
        <v>59</v>
      </c>
      <c r="D39" s="44">
        <v>426</v>
      </c>
      <c r="E39" s="45">
        <v>60</v>
      </c>
      <c r="F39" s="45">
        <v>20</v>
      </c>
      <c r="G39" s="45">
        <v>25</v>
      </c>
      <c r="H39" s="45">
        <v>25</v>
      </c>
      <c r="I39" s="45">
        <v>51</v>
      </c>
      <c r="J39" s="45">
        <v>42</v>
      </c>
      <c r="K39" s="45">
        <v>39</v>
      </c>
      <c r="L39" s="45">
        <v>43</v>
      </c>
      <c r="M39" s="45">
        <v>30</v>
      </c>
      <c r="N39" s="45">
        <v>27</v>
      </c>
      <c r="O39" s="45">
        <v>34</v>
      </c>
      <c r="P39" s="80">
        <v>30</v>
      </c>
    </row>
    <row r="40" ht="14.25" hidden="1" spans="1:16">
      <c r="A40" s="41">
        <v>45022</v>
      </c>
      <c r="B40" s="42" t="s">
        <v>66</v>
      </c>
      <c r="C40" s="43" t="s">
        <v>4</v>
      </c>
      <c r="D40" s="44">
        <v>45</v>
      </c>
      <c r="E40" s="48">
        <v>5</v>
      </c>
      <c r="F40" s="48">
        <v>3</v>
      </c>
      <c r="G40" s="48">
        <v>0</v>
      </c>
      <c r="H40" s="48">
        <v>1</v>
      </c>
      <c r="I40" s="48">
        <v>3</v>
      </c>
      <c r="J40" s="48">
        <v>8</v>
      </c>
      <c r="K40" s="48">
        <v>5</v>
      </c>
      <c r="L40" s="48">
        <v>3</v>
      </c>
      <c r="M40" s="48">
        <v>4</v>
      </c>
      <c r="N40" s="48">
        <v>2</v>
      </c>
      <c r="O40" s="48">
        <v>5</v>
      </c>
      <c r="P40" s="81">
        <v>6</v>
      </c>
    </row>
    <row r="41" ht="14.25" hidden="1" spans="1:16">
      <c r="A41" s="41">
        <v>45022</v>
      </c>
      <c r="B41" s="46" t="s">
        <v>66</v>
      </c>
      <c r="C41" s="47" t="s">
        <v>5</v>
      </c>
      <c r="D41" s="49">
        <v>0.106255987851975</v>
      </c>
      <c r="E41" s="50">
        <v>0.0833333333333333</v>
      </c>
      <c r="F41" s="50">
        <v>0.15</v>
      </c>
      <c r="G41" s="50">
        <v>0</v>
      </c>
      <c r="H41" s="50">
        <v>0.04</v>
      </c>
      <c r="I41" s="50">
        <v>0.0588235294117647</v>
      </c>
      <c r="J41" s="50">
        <v>0.19047619047619</v>
      </c>
      <c r="K41" s="50">
        <v>0.128205128205128</v>
      </c>
      <c r="L41" s="50">
        <v>0.0697674418604651</v>
      </c>
      <c r="M41" s="50">
        <v>0.133333333333333</v>
      </c>
      <c r="N41" s="50">
        <v>0.0740740740740741</v>
      </c>
      <c r="O41" s="50">
        <v>0.147058823529412</v>
      </c>
      <c r="P41" s="82">
        <v>0.2</v>
      </c>
    </row>
    <row r="42" ht="14.25" hidden="1" spans="1:16">
      <c r="A42" s="41">
        <v>45022</v>
      </c>
      <c r="B42" s="42" t="s">
        <v>66</v>
      </c>
      <c r="C42" s="43" t="s">
        <v>6</v>
      </c>
      <c r="D42" s="44">
        <v>9</v>
      </c>
      <c r="E42" s="48">
        <v>0</v>
      </c>
      <c r="F42" s="48">
        <v>0</v>
      </c>
      <c r="G42" s="48">
        <v>1</v>
      </c>
      <c r="H42" s="48">
        <v>1</v>
      </c>
      <c r="I42" s="48">
        <v>0</v>
      </c>
      <c r="J42" s="48">
        <v>2</v>
      </c>
      <c r="K42" s="48">
        <v>1</v>
      </c>
      <c r="L42" s="48">
        <v>0</v>
      </c>
      <c r="M42" s="48">
        <v>1</v>
      </c>
      <c r="N42" s="48">
        <v>0</v>
      </c>
      <c r="O42" s="48">
        <v>2</v>
      </c>
      <c r="P42" s="81">
        <v>1</v>
      </c>
    </row>
    <row r="43" ht="14.25" hidden="1" spans="1:16">
      <c r="A43" s="41">
        <v>45022</v>
      </c>
      <c r="B43" s="51" t="s">
        <v>66</v>
      </c>
      <c r="C43" s="52" t="s">
        <v>64</v>
      </c>
      <c r="D43" s="53">
        <v>0.2</v>
      </c>
      <c r="E43" s="54">
        <v>0</v>
      </c>
      <c r="F43" s="54">
        <v>0</v>
      </c>
      <c r="G43" s="54">
        <v>0</v>
      </c>
      <c r="H43" s="54">
        <v>1</v>
      </c>
      <c r="I43" s="54">
        <v>0</v>
      </c>
      <c r="J43" s="54">
        <v>0.25</v>
      </c>
      <c r="K43" s="54">
        <v>0.2</v>
      </c>
      <c r="L43" s="54">
        <v>0</v>
      </c>
      <c r="M43" s="54">
        <v>0.25</v>
      </c>
      <c r="N43" s="54">
        <v>0</v>
      </c>
      <c r="O43" s="54">
        <v>0.4</v>
      </c>
      <c r="P43" s="83">
        <v>0.166666666666667</v>
      </c>
    </row>
    <row r="44" ht="14.25" spans="1:16">
      <c r="A44" s="36">
        <v>45023</v>
      </c>
      <c r="B44" s="37" t="s">
        <v>66</v>
      </c>
      <c r="C44" s="38" t="s">
        <v>55</v>
      </c>
      <c r="D44" s="39">
        <v>0.111743168328221</v>
      </c>
      <c r="E44" s="40">
        <v>0.0817610062893082</v>
      </c>
      <c r="F44" s="40">
        <v>0.0207852193995381</v>
      </c>
      <c r="G44" s="40">
        <v>0.0271186440677966</v>
      </c>
      <c r="H44" s="40">
        <v>0.0179372197309417</v>
      </c>
      <c r="I44" s="40">
        <v>0.085427135678392</v>
      </c>
      <c r="J44" s="40">
        <v>0.0962566844919786</v>
      </c>
      <c r="K44" s="40">
        <v>0.225806451612903</v>
      </c>
      <c r="L44" s="40">
        <v>0.150943396226415</v>
      </c>
      <c r="M44" s="40">
        <v>0.158469945355191</v>
      </c>
      <c r="N44" s="40">
        <v>0.149659863945578</v>
      </c>
      <c r="O44" s="40">
        <v>0.147540983606557</v>
      </c>
      <c r="P44" s="79">
        <v>0.17921146953405</v>
      </c>
    </row>
    <row r="45" ht="14.25" spans="1:16">
      <c r="A45" s="41">
        <v>45023</v>
      </c>
      <c r="B45" s="42" t="s">
        <v>66</v>
      </c>
      <c r="C45" s="43" t="s">
        <v>57</v>
      </c>
      <c r="D45" s="44">
        <v>2845</v>
      </c>
      <c r="E45" s="45">
        <v>318</v>
      </c>
      <c r="F45" s="45">
        <v>433</v>
      </c>
      <c r="G45" s="45">
        <v>295</v>
      </c>
      <c r="H45" s="45">
        <v>223</v>
      </c>
      <c r="I45" s="45">
        <v>199</v>
      </c>
      <c r="J45" s="45">
        <v>187</v>
      </c>
      <c r="K45" s="45">
        <v>186</v>
      </c>
      <c r="L45" s="45">
        <v>212</v>
      </c>
      <c r="M45" s="45">
        <v>183</v>
      </c>
      <c r="N45" s="45">
        <v>147</v>
      </c>
      <c r="O45" s="45">
        <v>183</v>
      </c>
      <c r="P45" s="80">
        <v>279</v>
      </c>
    </row>
    <row r="46" ht="14.25" spans="1:16">
      <c r="A46" s="41">
        <v>45023</v>
      </c>
      <c r="B46" s="46" t="s">
        <v>66</v>
      </c>
      <c r="C46" s="47" t="s">
        <v>59</v>
      </c>
      <c r="D46" s="44">
        <v>284</v>
      </c>
      <c r="E46" s="45">
        <v>26</v>
      </c>
      <c r="F46" s="45">
        <v>9</v>
      </c>
      <c r="G46" s="45">
        <v>8</v>
      </c>
      <c r="H46" s="45">
        <v>4</v>
      </c>
      <c r="I46" s="45">
        <v>17</v>
      </c>
      <c r="J46" s="45">
        <v>18</v>
      </c>
      <c r="K46" s="45">
        <v>42</v>
      </c>
      <c r="L46" s="45">
        <v>32</v>
      </c>
      <c r="M46" s="45">
        <v>29</v>
      </c>
      <c r="N46" s="45">
        <v>22</v>
      </c>
      <c r="O46" s="45">
        <v>27</v>
      </c>
      <c r="P46" s="80">
        <v>50</v>
      </c>
    </row>
    <row r="47" ht="14.25" spans="1:16">
      <c r="A47" s="41">
        <v>45023</v>
      </c>
      <c r="B47" s="42" t="s">
        <v>66</v>
      </c>
      <c r="C47" s="43" t="s">
        <v>4</v>
      </c>
      <c r="D47" s="44">
        <v>23</v>
      </c>
      <c r="E47" s="48">
        <v>5</v>
      </c>
      <c r="F47" s="48">
        <v>0</v>
      </c>
      <c r="G47" s="48">
        <v>1</v>
      </c>
      <c r="H47" s="48">
        <v>0</v>
      </c>
      <c r="I47" s="48">
        <v>1</v>
      </c>
      <c r="J47" s="48">
        <v>2</v>
      </c>
      <c r="K47" s="48">
        <v>5</v>
      </c>
      <c r="L47" s="48">
        <v>1</v>
      </c>
      <c r="M47" s="48">
        <v>4</v>
      </c>
      <c r="N47" s="48">
        <v>1</v>
      </c>
      <c r="O47" s="48">
        <v>1</v>
      </c>
      <c r="P47" s="81">
        <v>2</v>
      </c>
    </row>
    <row r="48" ht="14.25" spans="1:16">
      <c r="A48" s="41">
        <v>45023</v>
      </c>
      <c r="B48" s="46" t="s">
        <v>66</v>
      </c>
      <c r="C48" s="47" t="s">
        <v>5</v>
      </c>
      <c r="D48" s="49">
        <v>0.074830214071044</v>
      </c>
      <c r="E48" s="50">
        <v>0.192307692307692</v>
      </c>
      <c r="F48" s="50">
        <v>0</v>
      </c>
      <c r="G48" s="50">
        <v>0.125</v>
      </c>
      <c r="H48" s="50">
        <v>0</v>
      </c>
      <c r="I48" s="50">
        <v>0.0588235294117647</v>
      </c>
      <c r="J48" s="50">
        <v>0.111111111111111</v>
      </c>
      <c r="K48" s="50">
        <v>0.119047619047619</v>
      </c>
      <c r="L48" s="50">
        <v>0.03125</v>
      </c>
      <c r="M48" s="50">
        <v>0.137931034482759</v>
      </c>
      <c r="N48" s="50">
        <v>0.0454545454545455</v>
      </c>
      <c r="O48" s="50">
        <v>0.037037037037037</v>
      </c>
      <c r="P48" s="82">
        <v>0.04</v>
      </c>
    </row>
    <row r="49" ht="14.25" spans="1:16">
      <c r="A49" s="41">
        <v>45023</v>
      </c>
      <c r="B49" s="42" t="s">
        <v>66</v>
      </c>
      <c r="C49" s="43" t="s">
        <v>6</v>
      </c>
      <c r="D49" s="44">
        <v>12</v>
      </c>
      <c r="E49" s="48">
        <v>3</v>
      </c>
      <c r="F49" s="48">
        <v>0</v>
      </c>
      <c r="G49" s="48">
        <v>1</v>
      </c>
      <c r="H49" s="48">
        <v>0</v>
      </c>
      <c r="I49" s="48">
        <v>1</v>
      </c>
      <c r="J49" s="48">
        <v>0</v>
      </c>
      <c r="K49" s="48">
        <v>2</v>
      </c>
      <c r="L49" s="48">
        <v>0</v>
      </c>
      <c r="M49" s="48">
        <v>1</v>
      </c>
      <c r="N49" s="48">
        <v>2</v>
      </c>
      <c r="O49" s="48">
        <v>0</v>
      </c>
      <c r="P49" s="81">
        <v>2</v>
      </c>
    </row>
    <row r="50" ht="14.25" spans="1:16">
      <c r="A50" s="41">
        <v>45023</v>
      </c>
      <c r="B50" s="51" t="s">
        <v>66</v>
      </c>
      <c r="C50" s="52" t="s">
        <v>64</v>
      </c>
      <c r="D50" s="49">
        <v>0.521739130434783</v>
      </c>
      <c r="E50" s="55">
        <v>0.6</v>
      </c>
      <c r="F50" s="55">
        <v>0</v>
      </c>
      <c r="G50" s="55">
        <v>1</v>
      </c>
      <c r="H50" s="55">
        <v>0</v>
      </c>
      <c r="I50" s="55">
        <v>1</v>
      </c>
      <c r="J50" s="55">
        <v>0</v>
      </c>
      <c r="K50" s="55">
        <v>0.4</v>
      </c>
      <c r="L50" s="55">
        <v>0</v>
      </c>
      <c r="M50" s="55">
        <v>0.25</v>
      </c>
      <c r="N50" s="55">
        <v>2</v>
      </c>
      <c r="O50" s="55">
        <v>0</v>
      </c>
      <c r="P50" s="84">
        <v>1</v>
      </c>
    </row>
    <row r="51" spans="1:16">
      <c r="A51" s="56" t="s">
        <v>7740</v>
      </c>
      <c r="B51" s="57"/>
      <c r="C51" s="56" t="s">
        <v>59</v>
      </c>
      <c r="D51" s="58">
        <f t="shared" ref="D51:P51" si="0">AVERAGEIF($C$2:$C$43,$C$51,D2:D43)</f>
        <v>430.666666666667</v>
      </c>
      <c r="E51" s="59">
        <f t="shared" si="0"/>
        <v>58.8333333333333</v>
      </c>
      <c r="F51" s="59">
        <f t="shared" si="0"/>
        <v>28.8333333333333</v>
      </c>
      <c r="G51" s="59">
        <f t="shared" si="0"/>
        <v>17.3333333333333</v>
      </c>
      <c r="H51" s="59">
        <f t="shared" si="0"/>
        <v>22.3333333333333</v>
      </c>
      <c r="I51" s="59">
        <f t="shared" si="0"/>
        <v>33.5</v>
      </c>
      <c r="J51" s="59">
        <f t="shared" si="0"/>
        <v>31.8333333333333</v>
      </c>
      <c r="K51" s="59">
        <f t="shared" si="0"/>
        <v>36.8333333333333</v>
      </c>
      <c r="L51" s="59">
        <f t="shared" si="0"/>
        <v>46</v>
      </c>
      <c r="M51" s="59">
        <f t="shared" si="0"/>
        <v>39</v>
      </c>
      <c r="N51" s="59">
        <f t="shared" si="0"/>
        <v>33.3333333333333</v>
      </c>
      <c r="O51" s="59">
        <f t="shared" si="0"/>
        <v>36.6666666666667</v>
      </c>
      <c r="P51" s="85">
        <f t="shared" si="0"/>
        <v>46.1666666666667</v>
      </c>
    </row>
    <row r="52" spans="1:16">
      <c r="A52" s="60"/>
      <c r="B52" s="61"/>
      <c r="C52" s="62" t="s">
        <v>4</v>
      </c>
      <c r="D52" s="63">
        <f t="shared" ref="D52:P52" si="1">AVERAGEIF($C$2:$C$43,$C$52,D2:D43)</f>
        <v>44.8333333333333</v>
      </c>
      <c r="E52" s="64">
        <f t="shared" si="1"/>
        <v>5.66666666666667</v>
      </c>
      <c r="F52" s="64">
        <f t="shared" si="1"/>
        <v>4.16666666666667</v>
      </c>
      <c r="G52" s="64">
        <f t="shared" si="1"/>
        <v>1.83333333333333</v>
      </c>
      <c r="H52" s="64">
        <f t="shared" si="1"/>
        <v>2</v>
      </c>
      <c r="I52" s="64">
        <f t="shared" si="1"/>
        <v>2.66666666666667</v>
      </c>
      <c r="J52" s="64">
        <f t="shared" si="1"/>
        <v>4</v>
      </c>
      <c r="K52" s="64">
        <f t="shared" si="1"/>
        <v>4.83333333333333</v>
      </c>
      <c r="L52" s="64">
        <f t="shared" si="1"/>
        <v>3.83333333333333</v>
      </c>
      <c r="M52" s="64">
        <f t="shared" si="1"/>
        <v>4.33333333333333</v>
      </c>
      <c r="N52" s="64">
        <f t="shared" si="1"/>
        <v>2.83333333333333</v>
      </c>
      <c r="O52" s="64">
        <f t="shared" si="1"/>
        <v>4.66666666666667</v>
      </c>
      <c r="P52" s="86">
        <f t="shared" si="1"/>
        <v>4</v>
      </c>
    </row>
    <row r="53" spans="1:16">
      <c r="A53" s="60"/>
      <c r="B53" s="61"/>
      <c r="C53" s="60" t="s">
        <v>5</v>
      </c>
      <c r="D53" s="65">
        <f t="shared" ref="D53:P53" si="2">D52/D51</f>
        <v>0.104102167182663</v>
      </c>
      <c r="E53" s="66">
        <f t="shared" si="2"/>
        <v>0.0963172804532578</v>
      </c>
      <c r="F53" s="66">
        <f t="shared" si="2"/>
        <v>0.144508670520231</v>
      </c>
      <c r="G53" s="66">
        <f t="shared" si="2"/>
        <v>0.105769230769231</v>
      </c>
      <c r="H53" s="66">
        <f t="shared" si="2"/>
        <v>0.0895522388059702</v>
      </c>
      <c r="I53" s="66">
        <f t="shared" si="2"/>
        <v>0.0796019900497512</v>
      </c>
      <c r="J53" s="66">
        <f t="shared" si="2"/>
        <v>0.12565445026178</v>
      </c>
      <c r="K53" s="66">
        <f t="shared" si="2"/>
        <v>0.131221719457014</v>
      </c>
      <c r="L53" s="66">
        <f t="shared" si="2"/>
        <v>0.0833333333333333</v>
      </c>
      <c r="M53" s="66">
        <f t="shared" si="2"/>
        <v>0.111111111111111</v>
      </c>
      <c r="N53" s="66">
        <f t="shared" si="2"/>
        <v>0.085</v>
      </c>
      <c r="O53" s="66">
        <f t="shared" si="2"/>
        <v>0.127272727272727</v>
      </c>
      <c r="P53" s="87">
        <f t="shared" si="2"/>
        <v>0.0866425992779783</v>
      </c>
    </row>
    <row r="54" spans="1:16">
      <c r="A54" s="60"/>
      <c r="B54" s="61"/>
      <c r="C54" s="62" t="s">
        <v>6</v>
      </c>
      <c r="D54" s="63">
        <f t="shared" ref="D54:P54" si="3">AVERAGEIF($C$2:$C$43,$C$54,D2:D43)</f>
        <v>16.5</v>
      </c>
      <c r="E54" s="64">
        <f t="shared" si="3"/>
        <v>1.66666666666667</v>
      </c>
      <c r="F54" s="64">
        <f t="shared" si="3"/>
        <v>1.83333333333333</v>
      </c>
      <c r="G54" s="64">
        <f t="shared" si="3"/>
        <v>0.333333333333333</v>
      </c>
      <c r="H54" s="64">
        <f t="shared" si="3"/>
        <v>0.666666666666667</v>
      </c>
      <c r="I54" s="64">
        <f t="shared" si="3"/>
        <v>0.833333333333333</v>
      </c>
      <c r="J54" s="64">
        <f t="shared" si="3"/>
        <v>1.16666666666667</v>
      </c>
      <c r="K54" s="64">
        <f t="shared" si="3"/>
        <v>2.33333333333333</v>
      </c>
      <c r="L54" s="64">
        <f t="shared" si="3"/>
        <v>1.66666666666667</v>
      </c>
      <c r="M54" s="64">
        <f t="shared" si="3"/>
        <v>1</v>
      </c>
      <c r="N54" s="64">
        <f t="shared" si="3"/>
        <v>1.83333333333333</v>
      </c>
      <c r="O54" s="64">
        <f t="shared" si="3"/>
        <v>1.83333333333333</v>
      </c>
      <c r="P54" s="86">
        <f t="shared" si="3"/>
        <v>1.33333333333333</v>
      </c>
    </row>
    <row r="55" ht="14.25" spans="1:16">
      <c r="A55" s="60"/>
      <c r="B55" s="61"/>
      <c r="C55" s="60" t="s">
        <v>64</v>
      </c>
      <c r="D55" s="67">
        <f t="shared" ref="D55:P55" si="4">D54/D52</f>
        <v>0.368029739776952</v>
      </c>
      <c r="E55" s="68">
        <f t="shared" si="4"/>
        <v>0.294117647058824</v>
      </c>
      <c r="F55" s="68">
        <f t="shared" si="4"/>
        <v>0.44</v>
      </c>
      <c r="G55" s="68">
        <f t="shared" si="4"/>
        <v>0.181818181818182</v>
      </c>
      <c r="H55" s="68">
        <f t="shared" si="4"/>
        <v>0.333333333333333</v>
      </c>
      <c r="I55" s="68">
        <f t="shared" si="4"/>
        <v>0.3125</v>
      </c>
      <c r="J55" s="68">
        <f t="shared" si="4"/>
        <v>0.291666666666667</v>
      </c>
      <c r="K55" s="68">
        <f t="shared" si="4"/>
        <v>0.482758620689655</v>
      </c>
      <c r="L55" s="68">
        <f t="shared" si="4"/>
        <v>0.434782608695652</v>
      </c>
      <c r="M55" s="68">
        <f t="shared" si="4"/>
        <v>0.230769230769231</v>
      </c>
      <c r="N55" s="68">
        <f t="shared" si="4"/>
        <v>0.647058823529412</v>
      </c>
      <c r="O55" s="68">
        <f t="shared" si="4"/>
        <v>0.392857142857143</v>
      </c>
      <c r="P55" s="88">
        <f t="shared" si="4"/>
        <v>0.333333333333333</v>
      </c>
    </row>
    <row r="56" spans="1:16">
      <c r="A56" s="69" t="s">
        <v>7741</v>
      </c>
      <c r="B56" s="70"/>
      <c r="C56" s="56" t="s">
        <v>59</v>
      </c>
      <c r="E56" s="71">
        <f t="shared" ref="E56:P56" si="5">(E46-E51)/E51</f>
        <v>-0.558073654390935</v>
      </c>
      <c r="F56" s="71">
        <f t="shared" si="5"/>
        <v>-0.687861271676301</v>
      </c>
      <c r="G56" s="71">
        <f t="shared" si="5"/>
        <v>-0.538461538461538</v>
      </c>
      <c r="H56" s="71">
        <f t="shared" si="5"/>
        <v>-0.82089552238806</v>
      </c>
      <c r="I56" s="71">
        <f t="shared" si="5"/>
        <v>-0.492537313432836</v>
      </c>
      <c r="J56" s="71">
        <f t="shared" si="5"/>
        <v>-0.434554973821989</v>
      </c>
      <c r="K56" s="71">
        <f t="shared" si="5"/>
        <v>0.14027149321267</v>
      </c>
      <c r="L56" s="71">
        <f t="shared" si="5"/>
        <v>-0.304347826086957</v>
      </c>
      <c r="M56" s="71">
        <f t="shared" si="5"/>
        <v>-0.256410256410256</v>
      </c>
      <c r="N56" s="71">
        <f t="shared" si="5"/>
        <v>-0.34</v>
      </c>
      <c r="O56" s="71">
        <f t="shared" si="5"/>
        <v>-0.263636363636364</v>
      </c>
      <c r="P56" s="89">
        <f t="shared" si="5"/>
        <v>0.0830324909747293</v>
      </c>
    </row>
    <row r="57" spans="1:16">
      <c r="A57" s="72"/>
      <c r="B57" s="29"/>
      <c r="C57" s="62" t="s">
        <v>4</v>
      </c>
      <c r="E57" s="71">
        <f t="shared" ref="E57:P57" si="6">(E47-E52)/E52</f>
        <v>-0.117647058823529</v>
      </c>
      <c r="F57" s="71">
        <f t="shared" si="6"/>
        <v>-1</v>
      </c>
      <c r="G57" s="71">
        <f t="shared" si="6"/>
        <v>-0.454545454545455</v>
      </c>
      <c r="H57" s="71">
        <f t="shared" si="6"/>
        <v>-1</v>
      </c>
      <c r="I57" s="71">
        <f t="shared" si="6"/>
        <v>-0.625</v>
      </c>
      <c r="J57" s="71">
        <f t="shared" si="6"/>
        <v>-0.5</v>
      </c>
      <c r="K57" s="71">
        <f t="shared" si="6"/>
        <v>0.0344827586206897</v>
      </c>
      <c r="L57" s="71">
        <f t="shared" si="6"/>
        <v>-0.739130434782609</v>
      </c>
      <c r="M57" s="71">
        <f t="shared" si="6"/>
        <v>-0.0769230769230769</v>
      </c>
      <c r="N57" s="71">
        <f t="shared" si="6"/>
        <v>-0.647058823529412</v>
      </c>
      <c r="O57" s="71">
        <f t="shared" si="6"/>
        <v>-0.785714285714286</v>
      </c>
      <c r="P57" s="89">
        <f t="shared" si="6"/>
        <v>-0.5</v>
      </c>
    </row>
    <row r="58" ht="14.25" spans="1:16">
      <c r="A58" s="73"/>
      <c r="B58" s="74"/>
      <c r="C58" s="75" t="s">
        <v>6</v>
      </c>
      <c r="D58" s="76"/>
      <c r="E58" s="77">
        <f>(E49-E54)/E54</f>
        <v>0.8</v>
      </c>
      <c r="F58" s="77">
        <f t="shared" ref="F58:P58" si="7">(F49-F54)/F54</f>
        <v>-1</v>
      </c>
      <c r="G58" s="77">
        <f t="shared" si="7"/>
        <v>2</v>
      </c>
      <c r="H58" s="77">
        <f t="shared" si="7"/>
        <v>-1</v>
      </c>
      <c r="I58" s="77">
        <f t="shared" si="7"/>
        <v>0.2</v>
      </c>
      <c r="J58" s="77">
        <f t="shared" si="7"/>
        <v>-1</v>
      </c>
      <c r="K58" s="77">
        <f t="shared" si="7"/>
        <v>-0.142857142857143</v>
      </c>
      <c r="L58" s="77">
        <f t="shared" si="7"/>
        <v>-1</v>
      </c>
      <c r="M58" s="77">
        <f t="shared" si="7"/>
        <v>0</v>
      </c>
      <c r="N58" s="77">
        <f t="shared" si="7"/>
        <v>0.090909090909091</v>
      </c>
      <c r="O58" s="77">
        <f t="shared" si="7"/>
        <v>-1</v>
      </c>
      <c r="P58" s="90">
        <f t="shared" si="7"/>
        <v>0.5</v>
      </c>
    </row>
  </sheetData>
  <mergeCells count="3">
    <mergeCell ref="B1:C1"/>
    <mergeCell ref="A51:B55"/>
    <mergeCell ref="A56:B58"/>
  </mergeCells>
  <conditionalFormatting sqref="D1">
    <cfRule type="expression" dxfId="4" priority="222">
      <formula>D1&lt;T1</formula>
    </cfRule>
  </conditionalFormatting>
  <conditionalFormatting sqref="D2:P55">
    <cfRule type="expression" dxfId="4" priority="1">
      <formula>D2&lt;T2</formula>
    </cfRule>
  </conditionalFormatting>
  <conditionalFormatting sqref="C56:D57">
    <cfRule type="cellIs" dxfId="3" priority="220" operator="lessThan">
      <formula>0</formula>
    </cfRule>
  </conditionalFormatting>
  <conditionalFormatting sqref="E56:P58">
    <cfRule type="cellIs" dxfId="3" priority="42" operator="lessThan">
      <formula>0</formula>
    </cfRule>
  </conditionalFormatting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7"/>
  <sheetViews>
    <sheetView workbookViewId="0">
      <pane xSplit="4" topLeftCell="R1" activePane="topRight" state="frozen"/>
      <selection/>
      <selection pane="topRight" activeCell="X27" sqref="X27"/>
    </sheetView>
  </sheetViews>
  <sheetFormatPr defaultColWidth="9" defaultRowHeight="15"/>
  <cols>
    <col min="1" max="1" width="7.625" style="23" customWidth="1"/>
    <col min="2" max="2" width="10.875" style="23" customWidth="1"/>
    <col min="3" max="3" width="9.25" style="23" customWidth="1"/>
    <col min="4" max="4" width="12.125" style="23" customWidth="1"/>
    <col min="5" max="12" width="8.25" style="23" customWidth="1"/>
    <col min="13" max="30" width="8.375" style="23" customWidth="1"/>
    <col min="31" max="31" width="9" style="23" customWidth="1"/>
    <col min="32" max="16384" width="9" style="23"/>
  </cols>
  <sheetData>
    <row r="1" ht="15.75" spans="1:31">
      <c r="A1" s="1" t="s">
        <v>1</v>
      </c>
      <c r="B1" s="1" t="s">
        <v>7742</v>
      </c>
      <c r="C1" s="2" t="s">
        <v>7743</v>
      </c>
      <c r="D1" s="3" t="s">
        <v>7744</v>
      </c>
      <c r="E1" s="2" t="s">
        <v>7745</v>
      </c>
      <c r="F1" s="2" t="s">
        <v>7746</v>
      </c>
      <c r="G1" s="2" t="s">
        <v>7747</v>
      </c>
      <c r="H1" s="2" t="s">
        <v>7748</v>
      </c>
      <c r="I1" s="2" t="s">
        <v>7749</v>
      </c>
      <c r="J1" s="2" t="s">
        <v>7750</v>
      </c>
      <c r="K1" s="2" t="s">
        <v>7751</v>
      </c>
      <c r="L1" s="2" t="s">
        <v>7752</v>
      </c>
      <c r="M1" s="2" t="s">
        <v>7753</v>
      </c>
      <c r="N1" s="2" t="s">
        <v>7754</v>
      </c>
      <c r="O1" s="2" t="s">
        <v>7755</v>
      </c>
      <c r="P1" s="2" t="s">
        <v>7756</v>
      </c>
      <c r="Q1" s="2" t="s">
        <v>7757</v>
      </c>
      <c r="R1" s="2" t="s">
        <v>7758</v>
      </c>
      <c r="S1" s="2" t="s">
        <v>7759</v>
      </c>
      <c r="T1" s="2" t="s">
        <v>7760</v>
      </c>
      <c r="U1" s="2" t="s">
        <v>7761</v>
      </c>
      <c r="V1" s="2" t="s">
        <v>7762</v>
      </c>
      <c r="W1" s="2" t="s">
        <v>7763</v>
      </c>
      <c r="X1" s="2" t="s">
        <v>7764</v>
      </c>
      <c r="Y1" s="2" t="s">
        <v>7765</v>
      </c>
      <c r="Z1" s="2" t="s">
        <v>7766</v>
      </c>
      <c r="AA1" s="2" t="s">
        <v>7767</v>
      </c>
      <c r="AB1" s="2" t="s">
        <v>7768</v>
      </c>
      <c r="AC1" s="2" t="s">
        <v>7769</v>
      </c>
      <c r="AD1" s="2" t="s">
        <v>7770</v>
      </c>
      <c r="AE1" s="21" t="s">
        <v>7771</v>
      </c>
    </row>
    <row r="2" ht="16.5" hidden="1" spans="1:31">
      <c r="A2" s="4" t="s">
        <v>22</v>
      </c>
      <c r="B2" s="5" t="s">
        <v>7772</v>
      </c>
      <c r="C2" s="6">
        <f>AVERAGE(E2:AD2)</f>
        <v>0.658976830905401</v>
      </c>
      <c r="D2" s="7">
        <f ca="1">AVERAGE(OFFSET(E2,0,COUNTA(E2:AG2)-1,1,1),OFFSET(E2,0,COUNTA(E2:AG2)-2,1,1),OFFSET(E2,0,COUNTA(E2:AG2)-3,1,1),OFFSET(E2,0,COUNTA(E2:AG2)-4,1,1),OFFSET(E2,0,COUNTA(E2:AG2)-5,1,1),OFFSET(E2,0,COUNTA(E2:AG2)-6,1,1),OFFSET(E2,0,COUNTA(E2:AG2)-7,1,1),)</f>
        <v>0.536656892731593</v>
      </c>
      <c r="E2" s="24">
        <v>0.529052501206884</v>
      </c>
      <c r="F2" s="25">
        <v>0.548906199339362</v>
      </c>
      <c r="G2" s="25">
        <v>0.566185982439365</v>
      </c>
      <c r="H2" s="25">
        <v>0.594953715268577</v>
      </c>
      <c r="I2" s="25">
        <v>0.605018073526728</v>
      </c>
      <c r="J2" s="25">
        <v>0.613920745343598</v>
      </c>
      <c r="K2" s="24">
        <v>0.593237252966197</v>
      </c>
      <c r="L2" s="24">
        <v>0.626617804765498</v>
      </c>
      <c r="M2" s="8">
        <v>0.636917024022068</v>
      </c>
      <c r="N2" s="8">
        <v>0.636600429564784</v>
      </c>
      <c r="O2" s="8">
        <v>0.654945693646436</v>
      </c>
      <c r="P2" s="8">
        <v>0.660949858297192</v>
      </c>
      <c r="Q2" s="8">
        <v>0.67122771784127</v>
      </c>
      <c r="R2" s="8">
        <v>0.678894186049547</v>
      </c>
      <c r="S2" s="8">
        <v>0.686538091714995</v>
      </c>
      <c r="T2" s="8">
        <v>0.693817800620139</v>
      </c>
      <c r="U2" s="8">
        <v>0.705875391753517</v>
      </c>
      <c r="V2" s="8">
        <v>0.709595493924803</v>
      </c>
      <c r="W2" s="8">
        <v>0.713991633533389</v>
      </c>
      <c r="X2" s="8">
        <v>0.713385578964048</v>
      </c>
      <c r="Y2" s="8">
        <v>0.708106819238022</v>
      </c>
      <c r="Z2" s="8">
        <v>0.708106819238022</v>
      </c>
      <c r="AA2" s="8">
        <v>0.715627580879168</v>
      </c>
      <c r="AB2" s="8">
        <v>0.716282981591978</v>
      </c>
      <c r="AC2" s="8">
        <v>0.722076757352068</v>
      </c>
      <c r="AD2" s="8">
        <v>0.722565470452778</v>
      </c>
      <c r="AE2" s="7">
        <f ca="1" t="shared" ref="AE2:AE8" si="0">LOOKUP(9E+307,E2:AD2)-OFFSET(E2,0,COUNTA(E2:AD2)-2,1,1)</f>
        <v>0.00048871310070997</v>
      </c>
    </row>
    <row r="3" ht="16.5" hidden="1" spans="1:31">
      <c r="A3" s="9" t="s">
        <v>22</v>
      </c>
      <c r="B3" s="10" t="s">
        <v>55</v>
      </c>
      <c r="C3" s="11">
        <f>C5/C4</f>
        <v>0.868427662424648</v>
      </c>
      <c r="D3" s="11">
        <f ca="1">D5/D4</f>
        <v>0.816722518720781</v>
      </c>
      <c r="E3" s="24">
        <v>0.944445234367046</v>
      </c>
      <c r="F3" s="25">
        <v>0.926126463856447</v>
      </c>
      <c r="G3" s="25">
        <v>0.911781644439426</v>
      </c>
      <c r="H3" s="25">
        <v>0.897014909975301</v>
      </c>
      <c r="I3" s="25">
        <v>0.866756611719758</v>
      </c>
      <c r="J3" s="25">
        <v>0.84717074033411</v>
      </c>
      <c r="K3" s="24">
        <v>0.877275593497931</v>
      </c>
      <c r="L3" s="24">
        <v>0.895607515323564</v>
      </c>
      <c r="M3" s="12">
        <v>0.900152120008223</v>
      </c>
      <c r="N3" s="12">
        <v>0.891604069661548</v>
      </c>
      <c r="O3" s="12">
        <v>0.902606758748738</v>
      </c>
      <c r="P3" s="12">
        <v>0.868838695958933</v>
      </c>
      <c r="Q3" s="12">
        <v>0.924201100061274</v>
      </c>
      <c r="R3" s="12">
        <v>0.920377900283692</v>
      </c>
      <c r="S3" s="12">
        <v>0.925760486646519</v>
      </c>
      <c r="T3" s="12">
        <v>0.929904340568201</v>
      </c>
      <c r="U3" s="12">
        <v>1.02286891542829</v>
      </c>
      <c r="V3" s="12">
        <v>0.931333992674045</v>
      </c>
      <c r="W3" s="12">
        <v>0.901793326058275</v>
      </c>
      <c r="X3" s="12">
        <v>0.796377442978351</v>
      </c>
      <c r="Y3" s="12">
        <v>0.651945696313692</v>
      </c>
      <c r="Z3" s="12">
        <v>0.651945696313692</v>
      </c>
      <c r="AA3" s="12">
        <v>0.830441490598767</v>
      </c>
      <c r="AB3" s="12">
        <v>0.856657519111173</v>
      </c>
      <c r="AC3" s="12">
        <v>0.837952272553858</v>
      </c>
      <c r="AD3" s="12">
        <v>0.85847822278368</v>
      </c>
      <c r="AE3" s="7">
        <f ca="1" t="shared" si="0"/>
        <v>0.0205259502298221</v>
      </c>
    </row>
    <row r="4" ht="16.5" hidden="1" spans="1:31">
      <c r="A4" s="9" t="s">
        <v>22</v>
      </c>
      <c r="B4" s="10" t="s">
        <v>57</v>
      </c>
      <c r="C4" s="13">
        <f>INT(AVERAGE(E4:AD4))</f>
        <v>23888</v>
      </c>
      <c r="D4" s="14">
        <f ca="1">INT(AVERAGE(OFFSET(E4,0,COUNTA(E4:AG4)-1,1,1),OFFSET(E4,0,COUNTA(E4:AG4)-2,1,1),OFFSET(E4,0,COUNTA(E4:AG4)-3,1,1),OFFSET(E4,0,COUNTA(E4:AG4)-4,1,1),OFFSET(E4,0,COUNTA(E4:AG4)-5,1,1),OFFSET(E4,0,COUNTA(E4:AG4)-6,1,1),OFFSET(E4,0,COUNTA(E4:AG4)-7,1,1),))</f>
        <v>24171</v>
      </c>
      <c r="E4" s="26">
        <v>12601</v>
      </c>
      <c r="F4" s="27">
        <v>14170</v>
      </c>
      <c r="G4" s="27">
        <v>16978</v>
      </c>
      <c r="H4" s="27">
        <v>21098</v>
      </c>
      <c r="I4" s="27">
        <v>21556</v>
      </c>
      <c r="J4" s="27">
        <v>24484</v>
      </c>
      <c r="K4" s="26">
        <v>25358</v>
      </c>
      <c r="L4" s="26">
        <v>22501</v>
      </c>
      <c r="M4" s="15">
        <v>19462</v>
      </c>
      <c r="N4" s="15">
        <v>16109</v>
      </c>
      <c r="O4" s="15">
        <v>16939</v>
      </c>
      <c r="P4" s="15">
        <v>18220</v>
      </c>
      <c r="Q4" s="15">
        <v>22532</v>
      </c>
      <c r="R4" s="15">
        <v>22332</v>
      </c>
      <c r="S4" s="15">
        <v>25223</v>
      </c>
      <c r="T4" s="15">
        <v>25279</v>
      </c>
      <c r="U4" s="15">
        <v>26464</v>
      </c>
      <c r="V4" s="15">
        <v>25400</v>
      </c>
      <c r="W4" s="15">
        <v>27501</v>
      </c>
      <c r="X4" s="15">
        <v>31970</v>
      </c>
      <c r="Y4" s="15">
        <v>28579</v>
      </c>
      <c r="Z4" s="15">
        <v>28579</v>
      </c>
      <c r="AA4" s="15">
        <v>28216</v>
      </c>
      <c r="AB4" s="15">
        <v>28953</v>
      </c>
      <c r="AC4" s="15">
        <v>31079</v>
      </c>
      <c r="AD4" s="15">
        <v>39522</v>
      </c>
      <c r="AE4" s="28">
        <f ca="1" t="shared" si="0"/>
        <v>8443</v>
      </c>
    </row>
    <row r="5" ht="16.5" hidden="1" spans="1:31">
      <c r="A5" s="9" t="s">
        <v>22</v>
      </c>
      <c r="B5" s="10" t="s">
        <v>59</v>
      </c>
      <c r="C5" s="13">
        <f>INT(AVERAGE(E5:AD5))</f>
        <v>20745</v>
      </c>
      <c r="D5" s="14">
        <f ca="1">INT(AVERAGE(OFFSET(E5,0,COUNTA(E5:AG5)-1,1,1),OFFSET(E5,0,COUNTA(E5:AG5)-2,1,1),OFFSET(E5,0,COUNTA(E5:AG5)-3,1,1),OFFSET(E5,0,COUNTA(E5:AG5)-4,1,1),OFFSET(E5,0,COUNTA(E5:AG5)-5,1,1),OFFSET(E5,0,COUNTA(E5:AG5)-6,1,1),OFFSET(E5,0,COUNTA(E5:AG5)-7,1,1),))</f>
        <v>19741</v>
      </c>
      <c r="E5" s="26">
        <v>11874</v>
      </c>
      <c r="F5" s="27">
        <v>12959</v>
      </c>
      <c r="G5" s="27">
        <v>15384</v>
      </c>
      <c r="H5" s="27">
        <v>18791</v>
      </c>
      <c r="I5" s="27">
        <v>18330</v>
      </c>
      <c r="J5" s="27">
        <v>20494</v>
      </c>
      <c r="K5" s="26">
        <v>22201</v>
      </c>
      <c r="L5" s="26">
        <v>20182</v>
      </c>
      <c r="M5" s="15">
        <v>17407</v>
      </c>
      <c r="N5" s="15">
        <v>14284</v>
      </c>
      <c r="O5" s="15">
        <v>15219</v>
      </c>
      <c r="P5" s="15">
        <v>15215</v>
      </c>
      <c r="Q5" s="15">
        <v>20768</v>
      </c>
      <c r="R5" s="15">
        <v>20521</v>
      </c>
      <c r="S5" s="15">
        <v>23243</v>
      </c>
      <c r="T5" s="15">
        <v>23451</v>
      </c>
      <c r="U5" s="15">
        <v>27150</v>
      </c>
      <c r="V5" s="15">
        <v>23251</v>
      </c>
      <c r="W5" s="15">
        <v>24700</v>
      </c>
      <c r="X5" s="15">
        <v>24261</v>
      </c>
      <c r="Y5" s="15">
        <v>20735</v>
      </c>
      <c r="Z5" s="15">
        <v>20735</v>
      </c>
      <c r="AA5" s="15">
        <v>23525</v>
      </c>
      <c r="AB5" s="15">
        <v>24872</v>
      </c>
      <c r="AC5" s="15">
        <v>25812</v>
      </c>
      <c r="AD5" s="15">
        <v>34031</v>
      </c>
      <c r="AE5" s="28">
        <f ca="1" t="shared" si="0"/>
        <v>8219</v>
      </c>
    </row>
    <row r="6" ht="16.5" hidden="1" spans="1:31">
      <c r="A6" s="9" t="s">
        <v>22</v>
      </c>
      <c r="B6" s="10" t="s">
        <v>4</v>
      </c>
      <c r="C6" s="13">
        <f>INT(AVERAGE(E6:AD6))</f>
        <v>464</v>
      </c>
      <c r="D6" s="14">
        <f ca="1">INT(AVERAGE(OFFSET(E6,0,COUNTA(E6:AG6)-1,1,1),OFFSET(E6,0,COUNTA(E6:AG6)-2,1,1),OFFSET(E6,0,COUNTA(E6:AG6)-3,1,1),OFFSET(E6,0,COUNTA(E6:AG6)-4,1,1),OFFSET(E6,0,COUNTA(E6:AG6)-5,1,1),OFFSET(E6,0,COUNTA(E6:AG6)-6,1,1),OFFSET(E6,0,COUNTA(E6:AG6)-7,1,1),))</f>
        <v>280</v>
      </c>
      <c r="E6" s="26">
        <v>310</v>
      </c>
      <c r="F6" s="27">
        <v>338</v>
      </c>
      <c r="G6" s="27">
        <v>336</v>
      </c>
      <c r="H6" s="27">
        <v>370</v>
      </c>
      <c r="I6" s="27">
        <v>371</v>
      </c>
      <c r="J6" s="27">
        <v>545</v>
      </c>
      <c r="K6" s="26">
        <v>642</v>
      </c>
      <c r="L6" s="26">
        <v>586</v>
      </c>
      <c r="M6" s="15">
        <v>571</v>
      </c>
      <c r="N6" s="15">
        <v>587</v>
      </c>
      <c r="O6" s="15">
        <v>605</v>
      </c>
      <c r="P6" s="15">
        <v>425</v>
      </c>
      <c r="Q6" s="15">
        <v>565</v>
      </c>
      <c r="R6" s="15">
        <v>621</v>
      </c>
      <c r="S6" s="15">
        <v>567</v>
      </c>
      <c r="T6" s="15">
        <v>549</v>
      </c>
      <c r="U6" s="15">
        <v>528</v>
      </c>
      <c r="V6" s="15">
        <v>469</v>
      </c>
      <c r="W6" s="15">
        <v>449</v>
      </c>
      <c r="X6" s="15">
        <v>402</v>
      </c>
      <c r="Y6" s="15">
        <v>290</v>
      </c>
      <c r="Z6" s="15">
        <v>290</v>
      </c>
      <c r="AA6" s="15">
        <v>343</v>
      </c>
      <c r="AB6" s="15">
        <v>367</v>
      </c>
      <c r="AC6" s="15">
        <v>473</v>
      </c>
      <c r="AD6" s="15">
        <v>477</v>
      </c>
      <c r="AE6" s="28">
        <f ca="1" t="shared" si="0"/>
        <v>4</v>
      </c>
    </row>
    <row r="7" ht="16.5" hidden="1" spans="1:31">
      <c r="A7" s="9" t="s">
        <v>22</v>
      </c>
      <c r="B7" s="10" t="s">
        <v>5</v>
      </c>
      <c r="C7" s="11">
        <f>C6/C5</f>
        <v>0.0223668353820198</v>
      </c>
      <c r="D7" s="11">
        <f ca="1">D6/D5</f>
        <v>0.0141836786383669</v>
      </c>
      <c r="E7" s="24">
        <v>0.0273812804649122</v>
      </c>
      <c r="F7" s="25">
        <v>0.0281748444877569</v>
      </c>
      <c r="G7" s="25">
        <v>0.0235876773212563</v>
      </c>
      <c r="H7" s="25">
        <v>0.0225641999652617</v>
      </c>
      <c r="I7" s="25">
        <v>0.0221407386531077</v>
      </c>
      <c r="J7" s="25">
        <v>0.0266356734340241</v>
      </c>
      <c r="K7" s="24">
        <v>0.0288105699254886</v>
      </c>
      <c r="L7" s="24">
        <v>0.0298915672548952</v>
      </c>
      <c r="M7" s="12">
        <v>0.033632829136951</v>
      </c>
      <c r="N7" s="12">
        <v>0.0407258444767635</v>
      </c>
      <c r="O7" s="12">
        <v>0.0404549051267172</v>
      </c>
      <c r="P7" s="12">
        <v>0.0298496764088005</v>
      </c>
      <c r="Q7" s="12">
        <v>0.026487428479297</v>
      </c>
      <c r="R7" s="12">
        <v>0.0307570798624768</v>
      </c>
      <c r="S7" s="12">
        <v>0.0274541853877572</v>
      </c>
      <c r="T7" s="12">
        <v>0.0256243872017504</v>
      </c>
      <c r="U7" s="12">
        <v>0.0230186098407714</v>
      </c>
      <c r="V7" s="12">
        <v>0.0233049158913321</v>
      </c>
      <c r="W7" s="12">
        <v>0.0180656303809946</v>
      </c>
      <c r="X7" s="12">
        <v>0.0191229843160734</v>
      </c>
      <c r="Y7" s="12">
        <v>0.0170043523647108</v>
      </c>
      <c r="Z7" s="12">
        <v>0.0170043523647108</v>
      </c>
      <c r="AA7" s="12">
        <v>0.0160976527385887</v>
      </c>
      <c r="AB7" s="12">
        <v>0.0167309749003937</v>
      </c>
      <c r="AC7" s="12">
        <v>0.0194262059104748</v>
      </c>
      <c r="AD7" s="12">
        <v>0.0167160969684012</v>
      </c>
      <c r="AE7" s="7">
        <f ca="1" t="shared" si="0"/>
        <v>-0.0027101089420736</v>
      </c>
    </row>
    <row r="8" ht="16.5" hidden="1" spans="1:31">
      <c r="A8" s="9" t="s">
        <v>22</v>
      </c>
      <c r="B8" s="10" t="s">
        <v>6</v>
      </c>
      <c r="C8" s="13">
        <f t="shared" ref="C8:C14" si="1">INT(AVERAGE(E8:AD8))</f>
        <v>138</v>
      </c>
      <c r="D8" s="14">
        <f ca="1">INT(AVERAGE(OFFSET(E8,0,COUNTA(E8:AG8)-1,1,1),OFFSET(E8,0,COUNTA(E8:AG8)-2,1,1),OFFSET(E8,0,COUNTA(E8:AG8)-3,1,1),OFFSET(E8,0,COUNTA(E8:AG8)-4,1,1),OFFSET(E8,0,COUNTA(E8:AG8)-5,1,1),OFFSET(E8,0,COUNTA(E8:AG8)-6,1,1),OFFSET(E8,0,COUNTA(E8:AG8)-7,1,1),))</f>
        <v>89</v>
      </c>
      <c r="E8" s="26">
        <v>84</v>
      </c>
      <c r="F8" s="27">
        <v>75</v>
      </c>
      <c r="G8" s="27">
        <v>116</v>
      </c>
      <c r="H8" s="27">
        <v>120</v>
      </c>
      <c r="I8" s="27">
        <v>124</v>
      </c>
      <c r="J8" s="27">
        <v>143</v>
      </c>
      <c r="K8" s="26">
        <v>159</v>
      </c>
      <c r="L8" s="26">
        <v>155</v>
      </c>
      <c r="M8" s="15">
        <v>146</v>
      </c>
      <c r="N8" s="15">
        <v>189</v>
      </c>
      <c r="O8" s="15">
        <v>204</v>
      </c>
      <c r="P8" s="15">
        <v>142</v>
      </c>
      <c r="Q8" s="15">
        <v>142</v>
      </c>
      <c r="R8" s="15">
        <v>186</v>
      </c>
      <c r="S8" s="15">
        <v>177</v>
      </c>
      <c r="T8" s="15">
        <v>156</v>
      </c>
      <c r="U8" s="15">
        <v>164</v>
      </c>
      <c r="V8" s="15">
        <v>136</v>
      </c>
      <c r="W8" s="15">
        <v>149</v>
      </c>
      <c r="X8" s="15">
        <v>144</v>
      </c>
      <c r="Y8" s="15">
        <v>81</v>
      </c>
      <c r="Z8" s="15">
        <v>81</v>
      </c>
      <c r="AA8" s="15">
        <v>109</v>
      </c>
      <c r="AB8" s="15">
        <v>126</v>
      </c>
      <c r="AC8" s="15">
        <v>124</v>
      </c>
      <c r="AD8" s="15">
        <v>161</v>
      </c>
      <c r="AE8" s="28">
        <f ca="1" t="shared" si="0"/>
        <v>37</v>
      </c>
    </row>
    <row r="9" ht="17.25" hidden="1" spans="1:31">
      <c r="A9" s="16" t="s">
        <v>22</v>
      </c>
      <c r="B9" s="17" t="s">
        <v>64</v>
      </c>
      <c r="C9" s="18">
        <f>C8/C6</f>
        <v>0.297413793103448</v>
      </c>
      <c r="D9" s="18">
        <f ca="1">D8/D6</f>
        <v>0.317857142857143</v>
      </c>
      <c r="E9" s="24">
        <v>0.313113545263329</v>
      </c>
      <c r="F9" s="25">
        <v>0.26856325597534</v>
      </c>
      <c r="G9" s="25">
        <v>0.339179882487024</v>
      </c>
      <c r="H9" s="25">
        <v>0.344342632590195</v>
      </c>
      <c r="I9" s="25">
        <v>0.341475116475116</v>
      </c>
      <c r="J9" s="25">
        <v>0.284242941887915</v>
      </c>
      <c r="K9" s="24">
        <v>0.246164667770069</v>
      </c>
      <c r="L9" s="24">
        <v>0.274841948081406</v>
      </c>
      <c r="M9" s="12">
        <v>0.249203797879014</v>
      </c>
      <c r="N9" s="12">
        <v>0.334782138302629</v>
      </c>
      <c r="O9" s="12">
        <v>0.349901263327556</v>
      </c>
      <c r="P9" s="12">
        <v>0.335509556406422</v>
      </c>
      <c r="Q9" s="12">
        <v>0.270257124276186</v>
      </c>
      <c r="R9" s="12">
        <v>0.317225564714899</v>
      </c>
      <c r="S9" s="12">
        <v>0.331341634445652</v>
      </c>
      <c r="T9" s="12">
        <v>0.293716516533434</v>
      </c>
      <c r="U9" s="12">
        <v>0.306176902739364</v>
      </c>
      <c r="V9" s="12">
        <v>0.281707730372725</v>
      </c>
      <c r="W9" s="12">
        <v>0.429926612121152</v>
      </c>
      <c r="X9" s="12">
        <v>0.360575188569451</v>
      </c>
      <c r="Y9" s="12">
        <v>0.269881294793575</v>
      </c>
      <c r="Z9" s="12">
        <v>0.269881294793575</v>
      </c>
      <c r="AA9" s="12">
        <v>0.333798739569632</v>
      </c>
      <c r="AB9" s="12">
        <v>0.344889200708166</v>
      </c>
      <c r="AC9" s="12">
        <v>0.284505968382548</v>
      </c>
      <c r="AD9" s="12">
        <v>0.542959201086848</v>
      </c>
      <c r="AE9" s="7">
        <f ca="1" t="shared" ref="AE9:AE57" si="2">LOOKUP(9E+307,E9:AD9)-OFFSET(E9,0,COUNTA(E9:AD9)-2,1,1)</f>
        <v>0.2584532327043</v>
      </c>
    </row>
    <row r="10" ht="16.5" hidden="1" spans="1:31">
      <c r="A10" s="4" t="s">
        <v>66</v>
      </c>
      <c r="B10" s="5" t="s">
        <v>7772</v>
      </c>
      <c r="C10" s="6">
        <f>AVERAGE(E10:AD10)</f>
        <v>0.514381139233191</v>
      </c>
      <c r="D10" s="7">
        <f ca="1">AVERAGE(OFFSET(E10,0,COUNTA(E10:AG10)-1,1,1),OFFSET(E10,0,COUNTA(E10:AG10)-2,1,1),OFFSET(E10,0,COUNTA(E10:AG10)-3,1,1),OFFSET(E10,0,COUNTA(E10:AG10)-4,1,1),OFFSET(E10,0,COUNTA(E10:AG10)-5,1,1),OFFSET(E10,0,COUNTA(E10:AG10)-6,1,1),OFFSET(E10,0,COUNTA(E10:AG10)-7,1,1),)</f>
        <v>0.459986341900129</v>
      </c>
      <c r="E10" s="24">
        <v>0.302898439657121</v>
      </c>
      <c r="F10" s="25">
        <v>0.333841246131503</v>
      </c>
      <c r="G10" s="25">
        <v>0.362150271997822</v>
      </c>
      <c r="H10" s="25">
        <v>0.409889729017229</v>
      </c>
      <c r="I10" s="25">
        <v>0.425960349471338</v>
      </c>
      <c r="J10" s="25">
        <v>0.443556466686361</v>
      </c>
      <c r="K10" s="24">
        <v>0.409139120928104</v>
      </c>
      <c r="L10" s="24">
        <v>0.463229283788239</v>
      </c>
      <c r="M10" s="8">
        <v>0.478095830486035</v>
      </c>
      <c r="N10" s="8">
        <v>0.478615725470655</v>
      </c>
      <c r="O10" s="8">
        <v>0.507697806827887</v>
      </c>
      <c r="P10" s="8">
        <v>0.518495544979002</v>
      </c>
      <c r="Q10" s="8">
        <v>0.533367867547608</v>
      </c>
      <c r="R10" s="8">
        <v>0.545764438296938</v>
      </c>
      <c r="S10" s="8">
        <v>0.55763525938494</v>
      </c>
      <c r="T10" s="8">
        <v>0.567229796263442</v>
      </c>
      <c r="U10" s="8">
        <v>0.578381372701352</v>
      </c>
      <c r="V10" s="8">
        <v>0.585935110303433</v>
      </c>
      <c r="W10" s="8">
        <v>0.592937578465453</v>
      </c>
      <c r="X10" s="8">
        <v>0.5989635747228</v>
      </c>
      <c r="Y10" s="8">
        <v>0.606315071389335</v>
      </c>
      <c r="Z10" s="8">
        <v>0.606315071389335</v>
      </c>
      <c r="AA10" s="8">
        <v>0.610908694808889</v>
      </c>
      <c r="AB10" s="8">
        <v>0.611497961963488</v>
      </c>
      <c r="AC10" s="8">
        <v>0.622661039559671</v>
      </c>
      <c r="AD10" s="8">
        <v>0.622426967824993</v>
      </c>
      <c r="AE10" s="7">
        <f ca="1" t="shared" si="2"/>
        <v>-0.000234071734678043</v>
      </c>
    </row>
    <row r="11" ht="16.5" hidden="1" spans="1:31">
      <c r="A11" s="9" t="s">
        <v>66</v>
      </c>
      <c r="B11" s="10" t="s">
        <v>55</v>
      </c>
      <c r="C11" s="11">
        <f>C13/C12</f>
        <v>0.879549114331723</v>
      </c>
      <c r="D11" s="11">
        <f ca="1">D13/D12</f>
        <v>0.842336407553799</v>
      </c>
      <c r="E11" s="24">
        <v>0.915471988499552</v>
      </c>
      <c r="F11" s="25">
        <v>0.921754569144757</v>
      </c>
      <c r="G11" s="25">
        <v>0.928330789324206</v>
      </c>
      <c r="H11" s="25">
        <v>0.911154027721012</v>
      </c>
      <c r="I11" s="25">
        <v>0.85336932381842</v>
      </c>
      <c r="J11" s="25">
        <v>0.859616301832667</v>
      </c>
      <c r="K11" s="24">
        <v>0.902522034696066</v>
      </c>
      <c r="L11" s="24">
        <v>0.907333006583927</v>
      </c>
      <c r="M11" s="12">
        <v>0.885979525606333</v>
      </c>
      <c r="N11" s="12">
        <v>0.900016690191058</v>
      </c>
      <c r="O11" s="12">
        <v>0.900305905150525</v>
      </c>
      <c r="P11" s="12">
        <v>0.865967928255937</v>
      </c>
      <c r="Q11" s="12">
        <v>0.922752736430851</v>
      </c>
      <c r="R11" s="12">
        <v>0.926405433978512</v>
      </c>
      <c r="S11" s="12">
        <v>0.931953484089761</v>
      </c>
      <c r="T11" s="12">
        <v>0.90790149867189</v>
      </c>
      <c r="U11" s="12">
        <v>0.932718235131079</v>
      </c>
      <c r="V11" s="12">
        <v>0.891517080753684</v>
      </c>
      <c r="W11" s="12">
        <v>0.868271756525915</v>
      </c>
      <c r="X11" s="12">
        <v>0.845098596385293</v>
      </c>
      <c r="Y11" s="12">
        <v>0.865385270551472</v>
      </c>
      <c r="Z11" s="12">
        <v>0.865385270551472</v>
      </c>
      <c r="AA11" s="12">
        <v>0.827722639361494</v>
      </c>
      <c r="AB11" s="12">
        <v>0.851293325545438</v>
      </c>
      <c r="AC11" s="12">
        <v>0.845922591483337</v>
      </c>
      <c r="AD11" s="12">
        <v>0.83609157862685</v>
      </c>
      <c r="AE11" s="7">
        <f ca="1" t="shared" si="2"/>
        <v>-0.00983101285648702</v>
      </c>
    </row>
    <row r="12" ht="16.5" hidden="1" spans="1:31">
      <c r="A12" s="9" t="s">
        <v>66</v>
      </c>
      <c r="B12" s="10" t="s">
        <v>57</v>
      </c>
      <c r="C12" s="13">
        <f t="shared" si="1"/>
        <v>3105</v>
      </c>
      <c r="D12" s="14">
        <f ca="1">INT(AVERAGE(OFFSET(E12,0,COUNTA(E12:AG12)-1,1,1),OFFSET(E12,0,COUNTA(E12:AG12)-2,1,1),OFFSET(E12,0,COUNTA(E12:AG12)-3,1,1),OFFSET(E12,0,COUNTA(E12:AG12)-4,1,1),OFFSET(E12,0,COUNTA(E12:AG12)-5,1,1),OFFSET(E12,0,COUNTA(E12:AG12)-6,1,1),OFFSET(E12,0,COUNTA(E12:AG12)-7,1,1),))</f>
        <v>2277</v>
      </c>
      <c r="E12" s="26">
        <v>3999</v>
      </c>
      <c r="F12" s="27">
        <v>4341</v>
      </c>
      <c r="G12" s="27">
        <v>3562</v>
      </c>
      <c r="H12" s="27">
        <v>2439</v>
      </c>
      <c r="I12" s="27">
        <v>2933</v>
      </c>
      <c r="J12" s="27">
        <v>3204</v>
      </c>
      <c r="K12" s="26">
        <v>3420</v>
      </c>
      <c r="L12" s="26">
        <v>3006</v>
      </c>
      <c r="M12" s="15">
        <v>2952</v>
      </c>
      <c r="N12" s="15">
        <v>3258</v>
      </c>
      <c r="O12" s="15">
        <v>2780</v>
      </c>
      <c r="P12" s="15">
        <v>2969</v>
      </c>
      <c r="Q12" s="15">
        <v>3276</v>
      </c>
      <c r="R12" s="15">
        <v>2995</v>
      </c>
      <c r="S12" s="15">
        <v>2792</v>
      </c>
      <c r="T12" s="15">
        <v>2889</v>
      </c>
      <c r="U12" s="15">
        <v>3308</v>
      </c>
      <c r="V12" s="15">
        <v>3155</v>
      </c>
      <c r="W12" s="15">
        <v>3104</v>
      </c>
      <c r="X12" s="15">
        <v>2991</v>
      </c>
      <c r="Y12" s="15">
        <v>2822</v>
      </c>
      <c r="Z12" s="15">
        <v>2822</v>
      </c>
      <c r="AA12" s="15">
        <v>2539</v>
      </c>
      <c r="AB12" s="15">
        <v>2776</v>
      </c>
      <c r="AC12" s="15">
        <v>2771</v>
      </c>
      <c r="AD12" s="15">
        <v>3629</v>
      </c>
      <c r="AE12" s="28">
        <f ca="1" t="shared" si="2"/>
        <v>858</v>
      </c>
    </row>
    <row r="13" ht="16.5" hidden="1" spans="1:31">
      <c r="A13" s="9" t="s">
        <v>66</v>
      </c>
      <c r="B13" s="10" t="s">
        <v>59</v>
      </c>
      <c r="C13" s="13">
        <f t="shared" si="1"/>
        <v>2731</v>
      </c>
      <c r="D13" s="14">
        <f ca="1">INT(AVERAGE(OFFSET(E13,0,COUNTA(E13:AG13)-1,1,1),OFFSET(E13,0,COUNTA(E13:AG13)-2,1,1),OFFSET(E13,0,COUNTA(E13:AG13)-3,1,1),OFFSET(E13,0,COUNTA(E13:AG13)-4,1,1),OFFSET(E13,0,COUNTA(E13:AG13)-5,1,1),OFFSET(E13,0,COUNTA(E13:AG13)-6,1,1),OFFSET(E13,0,COUNTA(E13:AG13)-7,1,1),))</f>
        <v>1918</v>
      </c>
      <c r="E13" s="26">
        <v>3632</v>
      </c>
      <c r="F13" s="27">
        <v>3977</v>
      </c>
      <c r="G13" s="27">
        <v>3291</v>
      </c>
      <c r="H13" s="27">
        <v>2213</v>
      </c>
      <c r="I13" s="27">
        <v>2424</v>
      </c>
      <c r="J13" s="27">
        <v>2709</v>
      </c>
      <c r="K13" s="26">
        <v>3069</v>
      </c>
      <c r="L13" s="26">
        <v>2711</v>
      </c>
      <c r="M13" s="15">
        <v>2581</v>
      </c>
      <c r="N13" s="15">
        <v>2899</v>
      </c>
      <c r="O13" s="15">
        <v>2486</v>
      </c>
      <c r="P13" s="15">
        <v>2415</v>
      </c>
      <c r="Q13" s="15">
        <v>3002</v>
      </c>
      <c r="R13" s="15">
        <v>2766</v>
      </c>
      <c r="S13" s="15">
        <v>2568</v>
      </c>
      <c r="T13" s="15">
        <v>2599</v>
      </c>
      <c r="U13" s="15">
        <v>3071</v>
      </c>
      <c r="V13" s="15">
        <v>2753</v>
      </c>
      <c r="W13" s="15">
        <v>2685</v>
      </c>
      <c r="X13" s="15">
        <v>2546</v>
      </c>
      <c r="Y13" s="15">
        <v>2428</v>
      </c>
      <c r="Z13" s="15">
        <v>2428</v>
      </c>
      <c r="AA13" s="15">
        <v>2091</v>
      </c>
      <c r="AB13" s="15">
        <v>2338</v>
      </c>
      <c r="AC13" s="15">
        <v>2313</v>
      </c>
      <c r="AD13" s="15">
        <v>3030</v>
      </c>
      <c r="AE13" s="28">
        <f ca="1" t="shared" si="2"/>
        <v>717</v>
      </c>
    </row>
    <row r="14" ht="16.5" hidden="1" spans="1:31">
      <c r="A14" s="9" t="s">
        <v>66</v>
      </c>
      <c r="B14" s="10" t="s">
        <v>4</v>
      </c>
      <c r="C14" s="13">
        <f t="shared" si="1"/>
        <v>76</v>
      </c>
      <c r="D14" s="14">
        <f ca="1">INT(AVERAGE(OFFSET(E14,0,COUNTA(E14:AG14)-1,1,1),OFFSET(E14,0,COUNTA(E14:AG14)-2,1,1),OFFSET(E14,0,COUNTA(E14:AG14)-3,1,1),OFFSET(E14,0,COUNTA(E14:AG14)-4,1,1),OFFSET(E14,0,COUNTA(E14:AG14)-5,1,1),OFFSET(E14,0,COUNTA(E14:AG14)-6,1,1),OFFSET(E14,0,COUNTA(E14:AG14)-7,1,1),))</f>
        <v>38</v>
      </c>
      <c r="E14" s="26">
        <v>94</v>
      </c>
      <c r="F14" s="27">
        <v>85</v>
      </c>
      <c r="G14" s="27">
        <v>75</v>
      </c>
      <c r="H14" s="27">
        <v>63</v>
      </c>
      <c r="I14" s="27">
        <v>49</v>
      </c>
      <c r="J14" s="27">
        <v>76</v>
      </c>
      <c r="K14" s="26">
        <v>100</v>
      </c>
      <c r="L14" s="26">
        <v>101</v>
      </c>
      <c r="M14" s="15">
        <v>81</v>
      </c>
      <c r="N14" s="15">
        <v>117</v>
      </c>
      <c r="O14" s="15">
        <v>98</v>
      </c>
      <c r="P14" s="15">
        <v>73</v>
      </c>
      <c r="Q14" s="15">
        <v>89</v>
      </c>
      <c r="R14" s="15">
        <v>97</v>
      </c>
      <c r="S14" s="15">
        <v>84</v>
      </c>
      <c r="T14" s="15">
        <v>78</v>
      </c>
      <c r="U14" s="15">
        <v>96</v>
      </c>
      <c r="V14" s="15">
        <v>65</v>
      </c>
      <c r="W14" s="15">
        <v>78</v>
      </c>
      <c r="X14" s="15">
        <v>61</v>
      </c>
      <c r="Y14" s="15">
        <v>50</v>
      </c>
      <c r="Z14" s="15">
        <v>50</v>
      </c>
      <c r="AA14" s="15">
        <v>62</v>
      </c>
      <c r="AB14" s="15">
        <v>48</v>
      </c>
      <c r="AC14" s="15">
        <v>69</v>
      </c>
      <c r="AD14" s="15">
        <v>47</v>
      </c>
      <c r="AE14" s="28">
        <f ca="1" t="shared" si="2"/>
        <v>-22</v>
      </c>
    </row>
    <row r="15" ht="16.5" hidden="1" spans="1:31">
      <c r="A15" s="9" t="s">
        <v>66</v>
      </c>
      <c r="B15" s="10" t="s">
        <v>5</v>
      </c>
      <c r="C15" s="11">
        <f>C14/C13</f>
        <v>0.0278286341999268</v>
      </c>
      <c r="D15" s="11">
        <f ca="1">D14/D13</f>
        <v>0.0198123044838373</v>
      </c>
      <c r="E15" s="24">
        <v>0.0257946467185394</v>
      </c>
      <c r="F15" s="25">
        <v>0.021520756232957</v>
      </c>
      <c r="G15" s="25">
        <v>0.0223773054784322</v>
      </c>
      <c r="H15" s="25">
        <v>0.029237163745074</v>
      </c>
      <c r="I15" s="25">
        <v>0.0237895803492186</v>
      </c>
      <c r="J15" s="25">
        <v>0.029226967313261</v>
      </c>
      <c r="K15" s="24">
        <v>0.0325809099223144</v>
      </c>
      <c r="L15" s="24">
        <v>0.0371493070838238</v>
      </c>
      <c r="M15" s="12">
        <v>0.0304162577029958</v>
      </c>
      <c r="N15" s="12">
        <v>0.0393289634020884</v>
      </c>
      <c r="O15" s="12">
        <v>0.0428837005222719</v>
      </c>
      <c r="P15" s="12">
        <v>0.0339456607603291</v>
      </c>
      <c r="Q15" s="12">
        <v>0.0280529498840415</v>
      </c>
      <c r="R15" s="12">
        <v>0.034796980320725</v>
      </c>
      <c r="S15" s="12">
        <v>0.0334392331710687</v>
      </c>
      <c r="T15" s="12">
        <v>0.029186337470973</v>
      </c>
      <c r="U15" s="12">
        <v>0.0329736262383282</v>
      </c>
      <c r="V15" s="12">
        <v>0.0238275449456352</v>
      </c>
      <c r="W15" s="12">
        <v>0.0321516059545529</v>
      </c>
      <c r="X15" s="12">
        <v>0.0225481534172551</v>
      </c>
      <c r="Y15" s="12">
        <v>0.0245962474232847</v>
      </c>
      <c r="Z15" s="12">
        <v>0.0245962474232847</v>
      </c>
      <c r="AA15" s="12">
        <v>0.0317491580835345</v>
      </c>
      <c r="AB15" s="12">
        <v>0.0198276702834042</v>
      </c>
      <c r="AC15" s="12">
        <v>0.0289800518680583</v>
      </c>
      <c r="AD15" s="12">
        <v>0.016725475783164</v>
      </c>
      <c r="AE15" s="7">
        <f ca="1" t="shared" si="2"/>
        <v>-0.0122545760848943</v>
      </c>
    </row>
    <row r="16" ht="16.5" hidden="1" spans="1:31">
      <c r="A16" s="9" t="s">
        <v>66</v>
      </c>
      <c r="B16" s="10" t="s">
        <v>6</v>
      </c>
      <c r="C16" s="13">
        <f t="shared" ref="C16:C22" si="3">INT(AVERAGE(E16:AD16))</f>
        <v>26</v>
      </c>
      <c r="D16" s="14">
        <f ca="1">INT(AVERAGE(OFFSET(E16,0,COUNTA(E16:AG16)-1,1,1),OFFSET(E16,0,COUNTA(E16:AG16)-2,1,1),OFFSET(E16,0,COUNTA(E16:AG16)-3,1,1),OFFSET(E16,0,COUNTA(E16:AG16)-4,1,1),OFFSET(E16,0,COUNTA(E16:AG16)-5,1,1),OFFSET(E16,0,COUNTA(E16:AG16)-6,1,1),OFFSET(E16,0,COUNTA(E16:AG16)-7,1,1),))</f>
        <v>14</v>
      </c>
      <c r="E16" s="26">
        <v>35</v>
      </c>
      <c r="F16" s="27">
        <v>29</v>
      </c>
      <c r="G16" s="27">
        <v>31</v>
      </c>
      <c r="H16" s="27">
        <v>24</v>
      </c>
      <c r="I16" s="27">
        <v>20</v>
      </c>
      <c r="J16" s="27">
        <v>26</v>
      </c>
      <c r="K16" s="26">
        <v>29</v>
      </c>
      <c r="L16" s="26">
        <v>36</v>
      </c>
      <c r="M16" s="15">
        <v>24</v>
      </c>
      <c r="N16" s="15">
        <v>48</v>
      </c>
      <c r="O16" s="15">
        <v>45</v>
      </c>
      <c r="P16" s="15">
        <v>22</v>
      </c>
      <c r="Q16" s="15">
        <v>22</v>
      </c>
      <c r="R16" s="15">
        <v>36</v>
      </c>
      <c r="S16" s="15">
        <v>28</v>
      </c>
      <c r="T16" s="15">
        <v>22</v>
      </c>
      <c r="U16" s="15">
        <v>36</v>
      </c>
      <c r="V16" s="15">
        <v>20</v>
      </c>
      <c r="W16" s="15">
        <v>21</v>
      </c>
      <c r="X16" s="15">
        <v>21</v>
      </c>
      <c r="Y16" s="15">
        <v>17</v>
      </c>
      <c r="Z16" s="15">
        <v>17</v>
      </c>
      <c r="AA16" s="15">
        <v>23</v>
      </c>
      <c r="AB16" s="15">
        <v>14</v>
      </c>
      <c r="AC16" s="15">
        <v>20</v>
      </c>
      <c r="AD16" s="15">
        <v>22</v>
      </c>
      <c r="AE16" s="28">
        <f ca="1" t="shared" si="2"/>
        <v>2</v>
      </c>
    </row>
    <row r="17" ht="17.25" hidden="1" spans="1:31">
      <c r="A17" s="16" t="s">
        <v>66</v>
      </c>
      <c r="B17" s="17" t="s">
        <v>64</v>
      </c>
      <c r="C17" s="18">
        <f>C16/C14</f>
        <v>0.342105263157895</v>
      </c>
      <c r="D17" s="18">
        <f ca="1">D16/D14</f>
        <v>0.368421052631579</v>
      </c>
      <c r="E17" s="24">
        <v>0.477290764790765</v>
      </c>
      <c r="F17" s="25">
        <v>0.312698412698413</v>
      </c>
      <c r="G17" s="25">
        <v>0.678125115625116</v>
      </c>
      <c r="H17" s="25">
        <v>0.438525132275132</v>
      </c>
      <c r="I17" s="25">
        <v>0.482936507936508</v>
      </c>
      <c r="J17" s="25">
        <v>0.341468253968254</v>
      </c>
      <c r="K17" s="24">
        <v>0.330423579688286</v>
      </c>
      <c r="L17" s="24">
        <v>0.353169515669516</v>
      </c>
      <c r="M17" s="19">
        <v>0.327777777777778</v>
      </c>
      <c r="N17" s="19">
        <v>0.394965341675868</v>
      </c>
      <c r="O17" s="19">
        <v>0.510110028860029</v>
      </c>
      <c r="P17" s="19">
        <v>0.286301892551893</v>
      </c>
      <c r="Q17" s="19">
        <v>0.221130952380952</v>
      </c>
      <c r="R17" s="19">
        <v>0.445983414733415</v>
      </c>
      <c r="S17" s="19">
        <v>0.419444444444444</v>
      </c>
      <c r="T17" s="19">
        <v>0.255702861952862</v>
      </c>
      <c r="U17" s="19">
        <v>0.382325082325082</v>
      </c>
      <c r="V17" s="19">
        <v>0.419949494949495</v>
      </c>
      <c r="W17" s="19">
        <v>0.50760582010582</v>
      </c>
      <c r="X17" s="19">
        <v>0.349074074074074</v>
      </c>
      <c r="Y17" s="19">
        <v>0.4125</v>
      </c>
      <c r="Z17" s="19">
        <v>0.4125</v>
      </c>
      <c r="AA17" s="19">
        <v>0.397321428571429</v>
      </c>
      <c r="AB17" s="19">
        <v>0.206150793650794</v>
      </c>
      <c r="AC17" s="19">
        <v>0.31547619047619</v>
      </c>
      <c r="AD17" s="19">
        <v>0.473881673881674</v>
      </c>
      <c r="AE17" s="7">
        <f ca="1" t="shared" si="2"/>
        <v>0.158405483405484</v>
      </c>
    </row>
    <row r="18" ht="16.5" hidden="1" spans="1:31">
      <c r="A18" s="4" t="s">
        <v>67</v>
      </c>
      <c r="B18" s="5" t="s">
        <v>7772</v>
      </c>
      <c r="C18" s="6">
        <f>AVERAGE(E18:AD18)</f>
        <v>1.02156062669034</v>
      </c>
      <c r="D18" s="7">
        <f ca="1">AVERAGE(OFFSET(E18,0,COUNTA(E18:AG18)-1,1,1),OFFSET(E18,0,COUNTA(E18:AG18)-2,1,1),OFFSET(E18,0,COUNTA(E18:AG18)-3,1,1),OFFSET(E18,0,COUNTA(E18:AG18)-4,1,1),OFFSET(E18,0,COUNTA(E18:AG18)-5,1,1),OFFSET(E18,0,COUNTA(E18:AG18)-6,1,1),OFFSET(E18,0,COUNTA(E18:AG18)-7,1,1),)</f>
        <v>0.692076018839259</v>
      </c>
      <c r="E18" s="24">
        <v>1.11120099537863</v>
      </c>
      <c r="F18" s="25">
        <v>1.10350804935053</v>
      </c>
      <c r="G18" s="25">
        <v>1.09676746165517</v>
      </c>
      <c r="H18" s="25">
        <v>1.08411873343563</v>
      </c>
      <c r="I18" s="25">
        <v>1.07311946830514</v>
      </c>
      <c r="J18" s="25">
        <v>1.07482748425514</v>
      </c>
      <c r="K18" s="24">
        <v>1.09115555105085</v>
      </c>
      <c r="L18" s="24">
        <v>1.08988082775986</v>
      </c>
      <c r="M18" s="8">
        <v>1.0850290607454</v>
      </c>
      <c r="N18" s="8">
        <v>1.07675746806593</v>
      </c>
      <c r="O18" s="8">
        <v>1.05735307857855</v>
      </c>
      <c r="P18" s="8">
        <v>1.04321304224829</v>
      </c>
      <c r="Q18" s="8">
        <v>1.03866624407673</v>
      </c>
      <c r="R18" s="8">
        <v>1.02989614894774</v>
      </c>
      <c r="S18" s="8">
        <v>1.02168868405521</v>
      </c>
      <c r="T18" s="8">
        <v>1.01321304858382</v>
      </c>
      <c r="U18" s="8">
        <v>1.00235750799006</v>
      </c>
      <c r="V18" s="8">
        <v>0.989779509441577</v>
      </c>
      <c r="W18" s="8">
        <v>0.976616471319481</v>
      </c>
      <c r="X18" s="8">
        <v>0.964002522144059</v>
      </c>
      <c r="Y18" s="8">
        <v>0.942510656674385</v>
      </c>
      <c r="Z18" s="8">
        <v>0.942510656674385</v>
      </c>
      <c r="AA18" s="8">
        <v>0.927113292939038</v>
      </c>
      <c r="AB18" s="8">
        <v>0.927113450560267</v>
      </c>
      <c r="AC18" s="8">
        <v>0.899496832780061</v>
      </c>
      <c r="AD18" s="8">
        <v>0.898680046932997</v>
      </c>
      <c r="AE18" s="7">
        <f ca="1" t="shared" si="2"/>
        <v>-0.000816785847064017</v>
      </c>
    </row>
    <row r="19" ht="16.5" hidden="1" spans="1:31">
      <c r="A19" s="9" t="s">
        <v>67</v>
      </c>
      <c r="B19" s="10" t="s">
        <v>55</v>
      </c>
      <c r="C19" s="11">
        <f>C21/C20</f>
        <v>0.803004043905257</v>
      </c>
      <c r="D19" s="11">
        <f ca="1">D21/D20</f>
        <v>0.320053715308863</v>
      </c>
      <c r="E19" s="24">
        <v>0.955006634277961</v>
      </c>
      <c r="F19" s="25">
        <v>0.957342074816552</v>
      </c>
      <c r="G19" s="25">
        <v>0.961955707747934</v>
      </c>
      <c r="H19" s="25">
        <v>0.951307087130476</v>
      </c>
      <c r="I19" s="25">
        <v>0.885721728717256</v>
      </c>
      <c r="J19" s="25">
        <v>1.00077079788615</v>
      </c>
      <c r="K19" s="24">
        <v>1.0322304897055</v>
      </c>
      <c r="L19" s="24">
        <v>1.23349260663202</v>
      </c>
      <c r="M19" s="12">
        <v>1.09618786250072</v>
      </c>
      <c r="N19" s="12">
        <v>0.872854860154996</v>
      </c>
      <c r="O19" s="12">
        <v>0.795393820498963</v>
      </c>
      <c r="P19" s="12">
        <v>0.714272904584749</v>
      </c>
      <c r="Q19" s="12">
        <v>0.808267601757367</v>
      </c>
      <c r="R19" s="12">
        <v>0.78314540085327</v>
      </c>
      <c r="S19" s="12">
        <v>0.771097604173674</v>
      </c>
      <c r="T19" s="12">
        <v>0.752307341100887</v>
      </c>
      <c r="U19" s="12">
        <v>0.692788234451581</v>
      </c>
      <c r="V19" s="12">
        <v>0.621168897348101</v>
      </c>
      <c r="W19" s="12">
        <v>0.561957998136059</v>
      </c>
      <c r="X19" s="12">
        <v>0.529622200394741</v>
      </c>
      <c r="Y19" s="12">
        <v>0.327720984610758</v>
      </c>
      <c r="Z19" s="12">
        <v>0.327720984610758</v>
      </c>
      <c r="AA19" s="12">
        <v>0.327168545935643</v>
      </c>
      <c r="AB19" s="12">
        <v>0.327174850784787</v>
      </c>
      <c r="AC19" s="12">
        <v>0.347164477175937</v>
      </c>
      <c r="AD19" s="12">
        <v>0.312859471599274</v>
      </c>
      <c r="AE19" s="7">
        <f ca="1" t="shared" si="2"/>
        <v>-0.034305005576663</v>
      </c>
    </row>
    <row r="20" ht="16.5" hidden="1" spans="1:31">
      <c r="A20" s="9" t="s">
        <v>67</v>
      </c>
      <c r="B20" s="10" t="s">
        <v>57</v>
      </c>
      <c r="C20" s="13">
        <f t="shared" si="3"/>
        <v>5193</v>
      </c>
      <c r="D20" s="14">
        <f ca="1">INT(AVERAGE(OFFSET(E20,0,COUNTA(E20:AG20)-1,1,1),OFFSET(E20,0,COUNTA(E20:AG20)-2,1,1),OFFSET(E20,0,COUNTA(E20:AG20)-3,1,1),OFFSET(E20,0,COUNTA(E20:AG20)-4,1,1),OFFSET(E20,0,COUNTA(E20:AG20)-5,1,1),OFFSET(E20,0,COUNTA(E20:AG20)-6,1,1),OFFSET(E20,0,COUNTA(E20:AG20)-7,1,1),))</f>
        <v>2234</v>
      </c>
      <c r="E20" s="26">
        <v>13260</v>
      </c>
      <c r="F20" s="27">
        <v>13996</v>
      </c>
      <c r="G20" s="27">
        <v>11952</v>
      </c>
      <c r="H20" s="27">
        <v>10192</v>
      </c>
      <c r="I20" s="27">
        <v>5737</v>
      </c>
      <c r="J20" s="27">
        <v>3236</v>
      </c>
      <c r="K20" s="26">
        <v>4250</v>
      </c>
      <c r="L20" s="26">
        <v>4003</v>
      </c>
      <c r="M20" s="15">
        <v>3666</v>
      </c>
      <c r="N20" s="15">
        <v>3670</v>
      </c>
      <c r="O20" s="15">
        <v>3568</v>
      </c>
      <c r="P20" s="15">
        <v>4237</v>
      </c>
      <c r="Q20" s="15">
        <v>4624</v>
      </c>
      <c r="R20" s="15">
        <v>4355</v>
      </c>
      <c r="S20" s="15">
        <v>4555</v>
      </c>
      <c r="T20" s="15">
        <v>4772</v>
      </c>
      <c r="U20" s="15">
        <v>4672</v>
      </c>
      <c r="V20" s="15">
        <v>4205</v>
      </c>
      <c r="W20" s="15">
        <v>4412</v>
      </c>
      <c r="X20" s="15">
        <v>3926</v>
      </c>
      <c r="Y20" s="15">
        <v>3179</v>
      </c>
      <c r="Z20" s="15">
        <v>3179</v>
      </c>
      <c r="AA20" s="15">
        <v>2293</v>
      </c>
      <c r="AB20" s="15">
        <v>2747</v>
      </c>
      <c r="AC20" s="15">
        <v>3095</v>
      </c>
      <c r="AD20" s="15">
        <v>3237</v>
      </c>
      <c r="AE20" s="28">
        <f ca="1" t="shared" si="2"/>
        <v>142</v>
      </c>
    </row>
    <row r="21" ht="16.5" hidden="1" spans="1:31">
      <c r="A21" s="9" t="s">
        <v>67</v>
      </c>
      <c r="B21" s="10" t="s">
        <v>59</v>
      </c>
      <c r="C21" s="13">
        <f t="shared" si="3"/>
        <v>4170</v>
      </c>
      <c r="D21" s="14">
        <f ca="1">INT(AVERAGE(OFFSET(E21,0,COUNTA(E21:AG21)-1,1,1),OFFSET(E21,0,COUNTA(E21:AG21)-2,1,1),OFFSET(E21,0,COUNTA(E21:AG21)-3,1,1),OFFSET(E21,0,COUNTA(E21:AG21)-4,1,1),OFFSET(E21,0,COUNTA(E21:AG21)-5,1,1),OFFSET(E21,0,COUNTA(E21:AG21)-6,1,1),OFFSET(E21,0,COUNTA(E21:AG21)-7,1,1),))</f>
        <v>715</v>
      </c>
      <c r="E21" s="26">
        <v>12649</v>
      </c>
      <c r="F21" s="27">
        <v>13417</v>
      </c>
      <c r="G21" s="27">
        <v>11447</v>
      </c>
      <c r="H21" s="27">
        <v>9691</v>
      </c>
      <c r="I21" s="27">
        <v>5170</v>
      </c>
      <c r="J21" s="27">
        <v>3030</v>
      </c>
      <c r="K21" s="26">
        <v>4357</v>
      </c>
      <c r="L21" s="26">
        <v>4997</v>
      </c>
      <c r="M21" s="15">
        <v>3867</v>
      </c>
      <c r="N21" s="15">
        <v>3197</v>
      </c>
      <c r="O21" s="15">
        <v>2855</v>
      </c>
      <c r="P21" s="15">
        <v>2910</v>
      </c>
      <c r="Q21" s="15">
        <v>3779</v>
      </c>
      <c r="R21" s="15">
        <v>3490</v>
      </c>
      <c r="S21" s="15">
        <v>3519</v>
      </c>
      <c r="T21" s="15">
        <v>3636</v>
      </c>
      <c r="U21" s="15">
        <v>3323</v>
      </c>
      <c r="V21" s="15">
        <v>2693</v>
      </c>
      <c r="W21" s="15">
        <v>2520</v>
      </c>
      <c r="X21" s="15">
        <v>2127</v>
      </c>
      <c r="Y21" s="15">
        <v>1037</v>
      </c>
      <c r="Z21" s="15">
        <v>1037</v>
      </c>
      <c r="AA21" s="15">
        <v>736</v>
      </c>
      <c r="AB21" s="15">
        <v>870</v>
      </c>
      <c r="AC21" s="15">
        <v>1062</v>
      </c>
      <c r="AD21" s="15">
        <v>1023</v>
      </c>
      <c r="AE21" s="28">
        <f ca="1" t="shared" si="2"/>
        <v>-39</v>
      </c>
    </row>
    <row r="22" ht="16.5" hidden="1" spans="1:31">
      <c r="A22" s="9" t="s">
        <v>67</v>
      </c>
      <c r="B22" s="10" t="s">
        <v>4</v>
      </c>
      <c r="C22" s="13">
        <f t="shared" si="3"/>
        <v>95</v>
      </c>
      <c r="D22" s="14">
        <f ca="1">INT(AVERAGE(OFFSET(E22,0,COUNTA(E22:AG22)-1,1,1),OFFSET(E22,0,COUNTA(E22:AG22)-2,1,1),OFFSET(E22,0,COUNTA(E22:AG22)-3,1,1),OFFSET(E22,0,COUNTA(E22:AG22)-4,1,1),OFFSET(E22,0,COUNTA(E22:AG22)-5,1,1),OFFSET(E22,0,COUNTA(E22:AG22)-6,1,1),OFFSET(E22,0,COUNTA(E22:AG22)-7,1,1),))</f>
        <v>30</v>
      </c>
      <c r="E22" s="26">
        <v>370</v>
      </c>
      <c r="F22" s="27">
        <v>413</v>
      </c>
      <c r="G22" s="27">
        <v>288</v>
      </c>
      <c r="H22" s="27">
        <v>259</v>
      </c>
      <c r="I22" s="27">
        <v>130</v>
      </c>
      <c r="J22" s="27">
        <v>81</v>
      </c>
      <c r="K22" s="26">
        <v>75</v>
      </c>
      <c r="L22" s="26">
        <v>59</v>
      </c>
      <c r="M22" s="15">
        <v>67</v>
      </c>
      <c r="N22" s="15">
        <v>53</v>
      </c>
      <c r="O22" s="15">
        <v>41</v>
      </c>
      <c r="P22" s="15">
        <v>34</v>
      </c>
      <c r="Q22" s="15">
        <v>50</v>
      </c>
      <c r="R22" s="15">
        <v>45</v>
      </c>
      <c r="S22" s="15">
        <v>61</v>
      </c>
      <c r="T22" s="15">
        <v>41</v>
      </c>
      <c r="U22" s="15">
        <v>44</v>
      </c>
      <c r="V22" s="15">
        <v>36</v>
      </c>
      <c r="W22" s="15">
        <v>26</v>
      </c>
      <c r="X22" s="15">
        <v>54</v>
      </c>
      <c r="Y22" s="15">
        <v>41</v>
      </c>
      <c r="Z22" s="15">
        <v>41</v>
      </c>
      <c r="AA22" s="15">
        <v>42</v>
      </c>
      <c r="AB22" s="15">
        <v>44</v>
      </c>
      <c r="AC22" s="15">
        <v>47</v>
      </c>
      <c r="AD22" s="15">
        <v>39</v>
      </c>
      <c r="AE22" s="28">
        <f ca="1" t="shared" si="2"/>
        <v>-8</v>
      </c>
    </row>
    <row r="23" ht="16.5" hidden="1" spans="1:31">
      <c r="A23" s="9" t="s">
        <v>67</v>
      </c>
      <c r="B23" s="10" t="s">
        <v>5</v>
      </c>
      <c r="C23" s="11">
        <f>C22/C21</f>
        <v>0.0227817745803357</v>
      </c>
      <c r="D23" s="11">
        <f ca="1">D22/D21</f>
        <v>0.041958041958042</v>
      </c>
      <c r="E23" s="24">
        <v>0.0267740795987313</v>
      </c>
      <c r="F23" s="25">
        <v>0.0296811923772284</v>
      </c>
      <c r="G23" s="25">
        <v>0.0246527244309615</v>
      </c>
      <c r="H23" s="25">
        <v>0.0269658594870408</v>
      </c>
      <c r="I23" s="25">
        <v>0.0248000780518602</v>
      </c>
      <c r="J23" s="25">
        <v>0.0303988704334998</v>
      </c>
      <c r="K23" s="24">
        <v>0.0186521805593343</v>
      </c>
      <c r="L23" s="24">
        <v>0.0127030875472943</v>
      </c>
      <c r="M23" s="12">
        <v>0.0181408486830149</v>
      </c>
      <c r="N23" s="12">
        <v>0.0170825665426567</v>
      </c>
      <c r="O23" s="12">
        <v>0.0135091651390467</v>
      </c>
      <c r="P23" s="12">
        <v>0.0121428618344244</v>
      </c>
      <c r="Q23" s="12">
        <v>0.0126624709781549</v>
      </c>
      <c r="R23" s="12">
        <v>0.0129951120185333</v>
      </c>
      <c r="S23" s="12">
        <v>0.0186296856967584</v>
      </c>
      <c r="T23" s="12">
        <v>0.0106646626734563</v>
      </c>
      <c r="U23" s="12">
        <v>0.0148055808643775</v>
      </c>
      <c r="V23" s="12">
        <v>0.0143013159248981</v>
      </c>
      <c r="W23" s="12">
        <v>0.0103709538172625</v>
      </c>
      <c r="X23" s="12">
        <v>0.0444614810438511</v>
      </c>
      <c r="Y23" s="12">
        <v>0.0428042276454992</v>
      </c>
      <c r="Z23" s="12">
        <v>0.0428042276454992</v>
      </c>
      <c r="AA23" s="12">
        <v>0.0566964242784839</v>
      </c>
      <c r="AB23" s="12">
        <v>0.0485304127350648</v>
      </c>
      <c r="AC23" s="12">
        <v>0.0454668195462794</v>
      </c>
      <c r="AD23" s="12">
        <v>0.0378893438330833</v>
      </c>
      <c r="AE23" s="7">
        <f ca="1" t="shared" si="2"/>
        <v>-0.0075774757131961</v>
      </c>
    </row>
    <row r="24" ht="16.5" hidden="1" spans="1:31">
      <c r="A24" s="9" t="s">
        <v>67</v>
      </c>
      <c r="B24" s="10" t="s">
        <v>6</v>
      </c>
      <c r="C24" s="13">
        <f t="shared" ref="C24:C30" si="4">INT(AVERAGE(E24:AD24))</f>
        <v>37</v>
      </c>
      <c r="D24" s="14">
        <f ca="1">INT(AVERAGE(OFFSET(E24,0,COUNTA(E24:AG24)-1,1,1),OFFSET(E24,0,COUNTA(E24:AG24)-2,1,1),OFFSET(E24,0,COUNTA(E24:AG24)-3,1,1),OFFSET(E24,0,COUNTA(E24:AG24)-4,1,1),OFFSET(E24,0,COUNTA(E24:AG24)-5,1,1),OFFSET(E24,0,COUNTA(E24:AG24)-6,1,1),OFFSET(E24,0,COUNTA(E24:AG24)-7,1,1),))</f>
        <v>13</v>
      </c>
      <c r="E24" s="26">
        <v>113</v>
      </c>
      <c r="F24" s="27">
        <v>90</v>
      </c>
      <c r="G24" s="27">
        <v>113</v>
      </c>
      <c r="H24" s="27">
        <v>102</v>
      </c>
      <c r="I24" s="27">
        <v>67</v>
      </c>
      <c r="J24" s="27">
        <v>52</v>
      </c>
      <c r="K24" s="26">
        <v>35</v>
      </c>
      <c r="L24" s="26">
        <v>27</v>
      </c>
      <c r="M24" s="15">
        <v>23</v>
      </c>
      <c r="N24" s="15">
        <v>32</v>
      </c>
      <c r="O24" s="15">
        <v>22</v>
      </c>
      <c r="P24" s="15">
        <v>30</v>
      </c>
      <c r="Q24" s="15">
        <v>21</v>
      </c>
      <c r="R24" s="15">
        <v>17</v>
      </c>
      <c r="S24" s="15">
        <v>23</v>
      </c>
      <c r="T24" s="15">
        <v>10</v>
      </c>
      <c r="U24" s="15">
        <v>29</v>
      </c>
      <c r="V24" s="15">
        <v>20</v>
      </c>
      <c r="W24" s="15">
        <v>18</v>
      </c>
      <c r="X24" s="15">
        <v>20</v>
      </c>
      <c r="Y24" s="15">
        <v>19</v>
      </c>
      <c r="Z24" s="15">
        <v>19</v>
      </c>
      <c r="AA24" s="15">
        <v>17</v>
      </c>
      <c r="AB24" s="15">
        <v>17</v>
      </c>
      <c r="AC24" s="15">
        <v>20</v>
      </c>
      <c r="AD24" s="15">
        <v>19</v>
      </c>
      <c r="AE24" s="28">
        <f ca="1" t="shared" si="2"/>
        <v>-1</v>
      </c>
    </row>
    <row r="25" ht="17.25" hidden="1" spans="1:31">
      <c r="A25" s="16" t="s">
        <v>67</v>
      </c>
      <c r="B25" s="17" t="s">
        <v>64</v>
      </c>
      <c r="C25" s="18">
        <f>C24/C22</f>
        <v>0.389473684210526</v>
      </c>
      <c r="D25" s="18">
        <f ca="1">D24/D22</f>
        <v>0.433333333333333</v>
      </c>
      <c r="E25" s="24">
        <v>0.370406592043179</v>
      </c>
      <c r="F25" s="25">
        <v>0.273153993696774</v>
      </c>
      <c r="G25" s="25">
        <v>0.410289836760425</v>
      </c>
      <c r="H25" s="25">
        <v>0.411704575841741</v>
      </c>
      <c r="I25" s="25">
        <v>0.618483946608947</v>
      </c>
      <c r="J25" s="25">
        <v>0.827020202020202</v>
      </c>
      <c r="K25" s="24">
        <v>0.452116402116402</v>
      </c>
      <c r="L25" s="24">
        <v>0.650595238095238</v>
      </c>
      <c r="M25" s="19">
        <v>0.30734126984127</v>
      </c>
      <c r="N25" s="19">
        <v>0.709656084656085</v>
      </c>
      <c r="O25" s="19">
        <v>0.552777777777778</v>
      </c>
      <c r="P25" s="19">
        <v>1.06388888888889</v>
      </c>
      <c r="Q25" s="19">
        <v>0.371626984126984</v>
      </c>
      <c r="R25" s="19">
        <v>0.373015873015873</v>
      </c>
      <c r="S25" s="19">
        <v>0.39502442002442</v>
      </c>
      <c r="T25" s="19">
        <v>0.291666666666667</v>
      </c>
      <c r="U25" s="19">
        <v>0.869444444444444</v>
      </c>
      <c r="V25" s="19">
        <v>0.630555555555556</v>
      </c>
      <c r="W25" s="19">
        <v>0.720833333333333</v>
      </c>
      <c r="X25" s="19">
        <v>0.745454545454545</v>
      </c>
      <c r="Y25" s="19">
        <v>0.55787037037037</v>
      </c>
      <c r="Z25" s="19">
        <v>0.55787037037037</v>
      </c>
      <c r="AA25" s="19">
        <v>0.381944444444444</v>
      </c>
      <c r="AB25" s="19">
        <v>0.32797619047619</v>
      </c>
      <c r="AC25" s="19">
        <v>0.513888888888889</v>
      </c>
      <c r="AD25" s="19">
        <v>0.611111111111111</v>
      </c>
      <c r="AE25" s="7">
        <f ca="1" t="shared" si="2"/>
        <v>0.0972222222222221</v>
      </c>
    </row>
    <row r="26" ht="16.5" spans="1:31">
      <c r="A26" s="4" t="s">
        <v>68</v>
      </c>
      <c r="B26" s="5" t="s">
        <v>7772</v>
      </c>
      <c r="C26" s="6">
        <f>AVERAGE(E26:AD26)</f>
        <v>0.220017859196258</v>
      </c>
      <c r="D26" s="7">
        <f ca="1">AVERAGE(OFFSET(E26,0,COUNTA(E26:AG26)-1,1,1),OFFSET(E26,0,COUNTA(E26:AG26)-2,1,1),OFFSET(E26,0,COUNTA(E26:AG26)-3,1,1),OFFSET(E26,0,COUNTA(E26:AG26)-4,1,1),OFFSET(E26,0,COUNTA(E26:AG26)-5,1,1),OFFSET(E26,0,COUNTA(E26:AG26)-6,1,1),OFFSET(E26,0,COUNTA(E26:AG26)-7,1,1),)</f>
        <v>0.168929469216627</v>
      </c>
      <c r="E26" s="24">
        <v>0.161542738021609</v>
      </c>
      <c r="F26" s="25">
        <v>0.165325330742098</v>
      </c>
      <c r="G26" s="25">
        <v>0.176527132683616</v>
      </c>
      <c r="H26" s="25">
        <v>0.194391039893513</v>
      </c>
      <c r="I26" s="25">
        <v>0.203194655792301</v>
      </c>
      <c r="J26" s="25">
        <v>0.215273563451163</v>
      </c>
      <c r="K26" s="24">
        <v>0.201605790922371</v>
      </c>
      <c r="L26" s="24">
        <v>0.225591472807566</v>
      </c>
      <c r="M26" s="8">
        <v>0.227907673846403</v>
      </c>
      <c r="N26" s="8">
        <v>0.227162528241247</v>
      </c>
      <c r="O26" s="8">
        <v>0.232433906429031</v>
      </c>
      <c r="P26" s="8">
        <v>0.233271890677151</v>
      </c>
      <c r="Q26" s="8">
        <v>0.239543084380228</v>
      </c>
      <c r="R26" s="8">
        <v>0.24327570764142</v>
      </c>
      <c r="S26" s="8">
        <v>0.24142284071398</v>
      </c>
      <c r="T26" s="8">
        <v>0.240372142821388</v>
      </c>
      <c r="U26" s="8">
        <v>0.239916236040392</v>
      </c>
      <c r="V26" s="8">
        <v>0.239057527554137</v>
      </c>
      <c r="W26" s="8">
        <v>0.235220770952762</v>
      </c>
      <c r="X26" s="8">
        <v>0.225743556481341</v>
      </c>
      <c r="Y26" s="8">
        <v>0.224376109772258</v>
      </c>
      <c r="Z26" s="8">
        <v>0.224376109772258</v>
      </c>
      <c r="AA26" s="8">
        <v>0.227005561866986</v>
      </c>
      <c r="AB26" s="8">
        <v>0.226557687856771</v>
      </c>
      <c r="AC26" s="8">
        <v>0.224809137508338</v>
      </c>
      <c r="AD26" s="8">
        <v>0.224560142232372</v>
      </c>
      <c r="AE26" s="7">
        <f ca="1" t="shared" si="2"/>
        <v>-0.000248995275966002</v>
      </c>
    </row>
    <row r="27" ht="16.5" spans="1:31">
      <c r="A27" s="9" t="s">
        <v>68</v>
      </c>
      <c r="B27" s="10" t="s">
        <v>55</v>
      </c>
      <c r="C27" s="11">
        <f>C29/C28</f>
        <v>0.232258064516129</v>
      </c>
      <c r="D27" s="11">
        <f ca="1">D29/D28</f>
        <v>0.159445037353255</v>
      </c>
      <c r="E27" s="24">
        <v>0.341549822489921</v>
      </c>
      <c r="F27" s="25">
        <v>0.237194592431385</v>
      </c>
      <c r="G27" s="25">
        <v>0.400563171513987</v>
      </c>
      <c r="H27" s="25">
        <v>0.381962065597426</v>
      </c>
      <c r="I27" s="25">
        <v>0.393819943530929</v>
      </c>
      <c r="J27" s="25">
        <v>0.449493645397392</v>
      </c>
      <c r="K27" s="24">
        <v>0.464931702429293</v>
      </c>
      <c r="L27" s="24">
        <v>0.466516426057512</v>
      </c>
      <c r="M27" s="12">
        <v>0.377322663456839</v>
      </c>
      <c r="N27" s="12">
        <v>0.357203732117625</v>
      </c>
      <c r="O27" s="12">
        <v>0.303597511964123</v>
      </c>
      <c r="P27" s="12">
        <v>0.280585472918368</v>
      </c>
      <c r="Q27" s="12">
        <v>0.354132184195456</v>
      </c>
      <c r="R27" s="12">
        <v>0.35655960646692</v>
      </c>
      <c r="S27" s="12">
        <v>0.269345352751408</v>
      </c>
      <c r="T27" s="12">
        <v>0.237522232558621</v>
      </c>
      <c r="U27" s="12">
        <v>0.230968819022578</v>
      </c>
      <c r="V27" s="12">
        <v>0.21998577477889</v>
      </c>
      <c r="W27" s="12">
        <v>0.15854165404108</v>
      </c>
      <c r="X27" s="12">
        <v>0.0168141375399318</v>
      </c>
      <c r="Y27" s="12">
        <v>0.0946136361835163</v>
      </c>
      <c r="Z27" s="12">
        <v>0.0946136361835163</v>
      </c>
      <c r="AA27" s="12">
        <v>0.212083914872439</v>
      </c>
      <c r="AB27" s="12">
        <v>0.194168954463839</v>
      </c>
      <c r="AC27" s="12">
        <v>0.189838130539677</v>
      </c>
      <c r="AD27" s="12">
        <v>0.179380328949098</v>
      </c>
      <c r="AE27" s="7">
        <f ca="1" t="shared" si="2"/>
        <v>-0.010457801590579</v>
      </c>
    </row>
    <row r="28" ht="16.5" spans="1:31">
      <c r="A28" s="9" t="s">
        <v>68</v>
      </c>
      <c r="B28" s="10" t="s">
        <v>57</v>
      </c>
      <c r="C28" s="13">
        <f t="shared" si="4"/>
        <v>12865</v>
      </c>
      <c r="D28" s="14">
        <f ca="1">INT(AVERAGE(OFFSET(E28,0,COUNTA(E28:AG28)-1,1,1),OFFSET(E28,0,COUNTA(E28:AG28)-2,1,1),OFFSET(E28,0,COUNTA(E28:AG28)-3,1,1),OFFSET(E28,0,COUNTA(E28:AG28)-4,1,1),OFFSET(E28,0,COUNTA(E28:AG28)-5,1,1),OFFSET(E28,0,COUNTA(E28:AG28)-6,1,1),OFFSET(E28,0,COUNTA(E28:AG28)-7,1,1),))</f>
        <v>14055</v>
      </c>
      <c r="E28" s="26">
        <v>9131</v>
      </c>
      <c r="F28" s="27">
        <v>14641</v>
      </c>
      <c r="G28" s="27">
        <v>7795</v>
      </c>
      <c r="H28" s="27">
        <v>7626</v>
      </c>
      <c r="I28" s="27">
        <v>7669</v>
      </c>
      <c r="J28" s="27">
        <v>7321</v>
      </c>
      <c r="K28" s="26">
        <v>7326</v>
      </c>
      <c r="L28" s="26">
        <v>6513</v>
      </c>
      <c r="M28" s="15">
        <v>7873</v>
      </c>
      <c r="N28" s="15">
        <v>9138</v>
      </c>
      <c r="O28" s="15">
        <v>10759</v>
      </c>
      <c r="P28" s="15">
        <v>12122</v>
      </c>
      <c r="Q28" s="15">
        <v>11121</v>
      </c>
      <c r="R28" s="15">
        <v>8979</v>
      </c>
      <c r="S28" s="15">
        <v>12398</v>
      </c>
      <c r="T28" s="15">
        <v>14068</v>
      </c>
      <c r="U28" s="15">
        <v>16099</v>
      </c>
      <c r="V28" s="15">
        <v>16917</v>
      </c>
      <c r="W28" s="15">
        <v>18113</v>
      </c>
      <c r="X28" s="15">
        <v>18381</v>
      </c>
      <c r="Y28" s="15">
        <v>19025</v>
      </c>
      <c r="Z28" s="15">
        <v>19025</v>
      </c>
      <c r="AA28" s="15">
        <v>15219</v>
      </c>
      <c r="AB28" s="15">
        <v>17341</v>
      </c>
      <c r="AC28" s="15">
        <v>18995</v>
      </c>
      <c r="AD28" s="15">
        <v>20917</v>
      </c>
      <c r="AE28" s="28">
        <f ca="1" t="shared" si="2"/>
        <v>1922</v>
      </c>
    </row>
    <row r="29" ht="16.5" spans="1:31">
      <c r="A29" s="9" t="s">
        <v>68</v>
      </c>
      <c r="B29" s="10" t="s">
        <v>59</v>
      </c>
      <c r="C29" s="13">
        <f t="shared" si="4"/>
        <v>2988</v>
      </c>
      <c r="D29" s="14">
        <f ca="1">INT(AVERAGE(OFFSET(E29,0,COUNTA(E29:AG29)-1,1,1),OFFSET(E29,0,COUNTA(E29:AG29)-2,1,1),OFFSET(E29,0,COUNTA(E29:AG29)-3,1,1),OFFSET(E29,0,COUNTA(E29:AG29)-4,1,1),OFFSET(E29,0,COUNTA(E29:AG29)-5,1,1),OFFSET(E29,0,COUNTA(E29:AG29)-6,1,1),OFFSET(E29,0,COUNTA(E29:AG29)-7,1,1),))</f>
        <v>2241</v>
      </c>
      <c r="E29" s="26">
        <v>2908</v>
      </c>
      <c r="F29" s="27">
        <v>3104</v>
      </c>
      <c r="G29" s="27">
        <v>3071</v>
      </c>
      <c r="H29" s="27">
        <v>2767</v>
      </c>
      <c r="I29" s="27">
        <v>2893</v>
      </c>
      <c r="J29" s="27">
        <v>3273</v>
      </c>
      <c r="K29" s="26">
        <v>3425</v>
      </c>
      <c r="L29" s="26">
        <v>3029</v>
      </c>
      <c r="M29" s="15">
        <v>2952</v>
      </c>
      <c r="N29" s="15">
        <v>3235</v>
      </c>
      <c r="O29" s="15">
        <v>3174</v>
      </c>
      <c r="P29" s="15">
        <v>3311</v>
      </c>
      <c r="Q29" s="15">
        <v>3907</v>
      </c>
      <c r="R29" s="15">
        <v>3208</v>
      </c>
      <c r="S29" s="15">
        <v>3147</v>
      </c>
      <c r="T29" s="15">
        <v>3190</v>
      </c>
      <c r="U29" s="15">
        <v>3585</v>
      </c>
      <c r="V29" s="15">
        <v>3475</v>
      </c>
      <c r="W29" s="15">
        <v>1916</v>
      </c>
      <c r="X29" s="15">
        <v>293</v>
      </c>
      <c r="Y29" s="15">
        <v>2216</v>
      </c>
      <c r="Z29" s="15">
        <v>2216</v>
      </c>
      <c r="AA29" s="15">
        <v>3140</v>
      </c>
      <c r="AB29" s="15">
        <v>3307</v>
      </c>
      <c r="AC29" s="15">
        <v>3439</v>
      </c>
      <c r="AD29" s="15">
        <v>3526</v>
      </c>
      <c r="AE29" s="28">
        <f ca="1" t="shared" si="2"/>
        <v>87</v>
      </c>
    </row>
    <row r="30" ht="16.5" spans="1:31">
      <c r="A30" s="9" t="s">
        <v>68</v>
      </c>
      <c r="B30" s="10" t="s">
        <v>4</v>
      </c>
      <c r="C30" s="13">
        <f t="shared" si="4"/>
        <v>307</v>
      </c>
      <c r="D30" s="14">
        <f ca="1">INT(AVERAGE(OFFSET(E30,0,COUNTA(E30:AG30)-1,1,1),OFFSET(E30,0,COUNTA(E30:AG30)-2,1,1),OFFSET(E30,0,COUNTA(E30:AG30)-3,1,1),OFFSET(E30,0,COUNTA(E30:AG30)-4,1,1),OFFSET(E30,0,COUNTA(E30:AG30)-5,1,1),OFFSET(E30,0,COUNTA(E30:AG30)-6,1,1),OFFSET(E30,0,COUNTA(E30:AG30)-7,1,1),))</f>
        <v>247</v>
      </c>
      <c r="E30" s="26">
        <v>314</v>
      </c>
      <c r="F30" s="27">
        <v>356</v>
      </c>
      <c r="G30" s="27">
        <v>301</v>
      </c>
      <c r="H30" s="27">
        <v>283</v>
      </c>
      <c r="I30" s="27">
        <v>290</v>
      </c>
      <c r="J30" s="27">
        <v>311</v>
      </c>
      <c r="K30" s="26">
        <v>402</v>
      </c>
      <c r="L30" s="26">
        <v>359</v>
      </c>
      <c r="M30" s="15">
        <v>322</v>
      </c>
      <c r="N30" s="15">
        <v>325</v>
      </c>
      <c r="O30" s="15">
        <v>292</v>
      </c>
      <c r="P30" s="15">
        <v>234</v>
      </c>
      <c r="Q30" s="15">
        <v>267</v>
      </c>
      <c r="R30" s="15">
        <v>295</v>
      </c>
      <c r="S30" s="15">
        <v>217</v>
      </c>
      <c r="T30" s="15">
        <v>251</v>
      </c>
      <c r="U30" s="15">
        <v>265</v>
      </c>
      <c r="V30" s="15">
        <v>283</v>
      </c>
      <c r="W30" s="15">
        <v>288</v>
      </c>
      <c r="X30" s="15">
        <v>307</v>
      </c>
      <c r="Y30" s="15">
        <v>313</v>
      </c>
      <c r="Z30" s="15">
        <v>313</v>
      </c>
      <c r="AA30" s="15">
        <v>344</v>
      </c>
      <c r="AB30" s="15">
        <v>344</v>
      </c>
      <c r="AC30" s="15">
        <v>389</v>
      </c>
      <c r="AD30" s="15">
        <v>333</v>
      </c>
      <c r="AE30" s="28">
        <f ca="1" t="shared" si="2"/>
        <v>-56</v>
      </c>
    </row>
    <row r="31" ht="16.5" spans="1:31">
      <c r="A31" s="9" t="s">
        <v>68</v>
      </c>
      <c r="B31" s="10" t="s">
        <v>5</v>
      </c>
      <c r="C31" s="11">
        <f>C30/C29</f>
        <v>0.102744310575636</v>
      </c>
      <c r="D31" s="11">
        <f ca="1">D30/D29</f>
        <v>0.110218652387327</v>
      </c>
      <c r="E31" s="24">
        <v>0.107123404055032</v>
      </c>
      <c r="F31" s="25">
        <v>0.109739465932819</v>
      </c>
      <c r="G31" s="25">
        <v>0.0997541557190482</v>
      </c>
      <c r="H31" s="25">
        <v>0.100831255745772</v>
      </c>
      <c r="I31" s="25">
        <v>0.103384034209238</v>
      </c>
      <c r="J31" s="25">
        <v>0.0979795356822647</v>
      </c>
      <c r="K31" s="24">
        <v>0.122042680633747</v>
      </c>
      <c r="L31" s="24">
        <v>0.115871155035848</v>
      </c>
      <c r="M31" s="12">
        <v>0.114621193032366</v>
      </c>
      <c r="N31" s="12">
        <v>0.101206132640709</v>
      </c>
      <c r="O31" s="12">
        <v>0.0961587032223544</v>
      </c>
      <c r="P31" s="12">
        <v>0.0766115360092542</v>
      </c>
      <c r="Q31" s="12">
        <v>0.0665625625165838</v>
      </c>
      <c r="R31" s="12">
        <v>0.0966390323994161</v>
      </c>
      <c r="S31" s="12">
        <v>0.0681684250851651</v>
      </c>
      <c r="T31" s="12">
        <v>0.0815213829995</v>
      </c>
      <c r="U31" s="12">
        <v>0.0775696058560017</v>
      </c>
      <c r="V31" s="12">
        <v>0.0805211106790851</v>
      </c>
      <c r="W31" s="12">
        <v>0.445816355684912</v>
      </c>
      <c r="X31" s="12">
        <v>1.14140982300625</v>
      </c>
      <c r="Y31" s="12">
        <v>1.02152149011792</v>
      </c>
      <c r="Z31" s="12">
        <v>1.02152149011792</v>
      </c>
      <c r="AA31" s="12">
        <v>0.109255593879779</v>
      </c>
      <c r="AB31" s="12">
        <v>0.105410158586646</v>
      </c>
      <c r="AC31" s="12">
        <v>0.110292613445006</v>
      </c>
      <c r="AD31" s="12">
        <v>0.0963190180913221</v>
      </c>
      <c r="AE31" s="7">
        <f ca="1" t="shared" si="2"/>
        <v>-0.0139735953536839</v>
      </c>
    </row>
    <row r="32" ht="16.5" spans="1:31">
      <c r="A32" s="9" t="s">
        <v>68</v>
      </c>
      <c r="B32" s="10" t="s">
        <v>6</v>
      </c>
      <c r="C32" s="13">
        <f t="shared" ref="C32:C38" si="5">INT(AVERAGE(E32:AD32))</f>
        <v>108</v>
      </c>
      <c r="D32" s="14">
        <f ca="1">INT(AVERAGE(OFFSET(E32,0,COUNTA(E32:AG32)-1,1,1),OFFSET(E32,0,COUNTA(E32:AG32)-2,1,1),OFFSET(E32,0,COUNTA(E32:AG32)-3,1,1),OFFSET(E32,0,COUNTA(E32:AG32)-4,1,1),OFFSET(E32,0,COUNTA(E32:AG32)-5,1,1),OFFSET(E32,0,COUNTA(E32:AG32)-6,1,1),OFFSET(E32,0,COUNTA(E32:AG32)-7,1,1),))</f>
        <v>84</v>
      </c>
      <c r="E32" s="26">
        <v>103</v>
      </c>
      <c r="F32" s="27">
        <v>112</v>
      </c>
      <c r="G32" s="27">
        <v>105</v>
      </c>
      <c r="H32" s="27">
        <v>113</v>
      </c>
      <c r="I32" s="27">
        <v>124</v>
      </c>
      <c r="J32" s="27">
        <v>119</v>
      </c>
      <c r="K32" s="26">
        <v>135</v>
      </c>
      <c r="L32" s="26">
        <v>125</v>
      </c>
      <c r="M32" s="15">
        <v>102</v>
      </c>
      <c r="N32" s="15">
        <v>132</v>
      </c>
      <c r="O32" s="15">
        <v>105</v>
      </c>
      <c r="P32" s="15">
        <v>96</v>
      </c>
      <c r="Q32" s="15">
        <v>106</v>
      </c>
      <c r="R32" s="15">
        <v>103</v>
      </c>
      <c r="S32" s="15">
        <v>91</v>
      </c>
      <c r="T32" s="15">
        <v>75</v>
      </c>
      <c r="U32" s="15">
        <v>81</v>
      </c>
      <c r="V32" s="15">
        <v>100</v>
      </c>
      <c r="W32" s="15">
        <v>121</v>
      </c>
      <c r="X32" s="15">
        <v>116</v>
      </c>
      <c r="Y32" s="15">
        <v>88</v>
      </c>
      <c r="Z32" s="15">
        <v>88</v>
      </c>
      <c r="AA32" s="15">
        <v>119</v>
      </c>
      <c r="AB32" s="15">
        <v>123</v>
      </c>
      <c r="AC32" s="15">
        <v>117</v>
      </c>
      <c r="AD32" s="15">
        <v>127</v>
      </c>
      <c r="AE32" s="28">
        <f ca="1" t="shared" si="2"/>
        <v>10</v>
      </c>
    </row>
    <row r="33" ht="17.25" spans="1:31">
      <c r="A33" s="16" t="s">
        <v>68</v>
      </c>
      <c r="B33" s="17" t="s">
        <v>64</v>
      </c>
      <c r="C33" s="18">
        <f>C32/C30</f>
        <v>0.351791530944625</v>
      </c>
      <c r="D33" s="18">
        <f ca="1">D32/D30</f>
        <v>0.340080971659919</v>
      </c>
      <c r="E33" s="24">
        <v>0.396149643899675</v>
      </c>
      <c r="F33" s="25">
        <v>0.328514247824435</v>
      </c>
      <c r="G33" s="25">
        <v>0.363221624054957</v>
      </c>
      <c r="H33" s="25">
        <v>0.400012722456007</v>
      </c>
      <c r="I33" s="25">
        <v>0.436085132784694</v>
      </c>
      <c r="J33" s="25">
        <v>0.3829669048748</v>
      </c>
      <c r="K33" s="24">
        <v>0.345682988348573</v>
      </c>
      <c r="L33" s="24">
        <v>0.361020465425227</v>
      </c>
      <c r="M33" s="19">
        <v>0.309464692528418</v>
      </c>
      <c r="N33" s="19">
        <v>0.400775398572111</v>
      </c>
      <c r="O33" s="19">
        <v>0.353077642470018</v>
      </c>
      <c r="P33" s="19">
        <v>0.434101451440525</v>
      </c>
      <c r="Q33" s="19">
        <v>0.424355580146435</v>
      </c>
      <c r="R33" s="19">
        <v>0.359921393822323</v>
      </c>
      <c r="S33" s="19">
        <v>0.4365355141883</v>
      </c>
      <c r="T33" s="19">
        <v>0.284530478271224</v>
      </c>
      <c r="U33" s="19">
        <v>0.302191882191882</v>
      </c>
      <c r="V33" s="19">
        <v>0.406787177562455</v>
      </c>
      <c r="W33" s="19">
        <v>0.536152029318645</v>
      </c>
      <c r="X33" s="19">
        <v>0.39611662846957</v>
      </c>
      <c r="Y33" s="19">
        <v>0.278776694256018</v>
      </c>
      <c r="Z33" s="19">
        <v>0.278776694256018</v>
      </c>
      <c r="AA33" s="19">
        <v>0.358466301779981</v>
      </c>
      <c r="AB33" s="19">
        <v>0.36046639473697</v>
      </c>
      <c r="AC33" s="19">
        <v>0.314575582313033</v>
      </c>
      <c r="AD33" s="19">
        <v>0.44117489078577</v>
      </c>
      <c r="AE33" s="7">
        <f ca="1" t="shared" si="2"/>
        <v>0.126599308472737</v>
      </c>
    </row>
    <row r="34" ht="16.5" spans="1:31">
      <c r="A34" s="4" t="s">
        <v>69</v>
      </c>
      <c r="B34" s="5" t="s">
        <v>7772</v>
      </c>
      <c r="C34" s="6">
        <f>AVERAGE(E34:AD34)</f>
        <v>0.582172857828661</v>
      </c>
      <c r="D34" s="7">
        <f ca="1">AVERAGE(OFFSET(E34,0,COUNTA(E34:AG34)-1,1,1),OFFSET(E34,0,COUNTA(E34:AG34)-2,1,1),OFFSET(E34,0,COUNTA(E34:AG34)-3,1,1),OFFSET(E34,0,COUNTA(E34:AG34)-4,1,1),OFFSET(E34,0,COUNTA(E34:AG34)-5,1,1),OFFSET(E34,0,COUNTA(E34:AG34)-6,1,1),OFFSET(E34,0,COUNTA(E34:AG34)-7,1,1),)</f>
        <v>0.501987257121105</v>
      </c>
      <c r="E34" s="24">
        <v>0.385015801858468</v>
      </c>
      <c r="F34" s="25">
        <v>0.418218015341555</v>
      </c>
      <c r="G34" s="25">
        <v>0.444767741358889</v>
      </c>
      <c r="H34" s="25">
        <v>0.491067322412153</v>
      </c>
      <c r="I34" s="25">
        <v>0.503763032815928</v>
      </c>
      <c r="J34" s="25">
        <v>0.518001845700529</v>
      </c>
      <c r="K34" s="24">
        <v>0.487867173281216</v>
      </c>
      <c r="L34" s="24">
        <v>0.537313895589775</v>
      </c>
      <c r="M34" s="8">
        <v>0.551973075263361</v>
      </c>
      <c r="N34" s="8">
        <v>0.552420681751362</v>
      </c>
      <c r="O34" s="8">
        <v>0.580729754913729</v>
      </c>
      <c r="P34" s="8">
        <v>0.588251289480676</v>
      </c>
      <c r="Q34" s="8">
        <v>0.600250325448727</v>
      </c>
      <c r="R34" s="8">
        <v>0.610994311126746</v>
      </c>
      <c r="S34" s="8">
        <v>0.620883561721621</v>
      </c>
      <c r="T34" s="8">
        <v>0.630894384390409</v>
      </c>
      <c r="U34" s="8">
        <v>0.641145576293569</v>
      </c>
      <c r="V34" s="8">
        <v>0.647023570675568</v>
      </c>
      <c r="W34" s="8">
        <v>0.652076398058773</v>
      </c>
      <c r="X34" s="8">
        <v>0.657786743046107</v>
      </c>
      <c r="Y34" s="8">
        <v>0.662990180366679</v>
      </c>
      <c r="Z34" s="8">
        <v>0.662990180366679</v>
      </c>
      <c r="AA34" s="8">
        <v>0.667933262529819</v>
      </c>
      <c r="AB34" s="8">
        <v>0.668297683967141</v>
      </c>
      <c r="AC34" s="8">
        <v>0.676995120916439</v>
      </c>
      <c r="AD34" s="8">
        <v>0.676843374869263</v>
      </c>
      <c r="AE34" s="7">
        <f ca="1" t="shared" si="2"/>
        <v>-0.000151746047175938</v>
      </c>
    </row>
    <row r="35" ht="16.5" spans="1:31">
      <c r="A35" s="9" t="s">
        <v>69</v>
      </c>
      <c r="B35" s="10" t="s">
        <v>55</v>
      </c>
      <c r="C35" s="11">
        <f>C37/C36</f>
        <v>0.89946497449297</v>
      </c>
      <c r="D35" s="11">
        <f ca="1">D37/D36</f>
        <v>0.854351687388988</v>
      </c>
      <c r="E35" s="24">
        <v>0.992391956159565</v>
      </c>
      <c r="F35" s="25">
        <v>1.04906007152021</v>
      </c>
      <c r="G35" s="25">
        <v>0.975762261705569</v>
      </c>
      <c r="H35" s="25">
        <v>0.977212923471425</v>
      </c>
      <c r="I35" s="25">
        <v>0.886488647787084</v>
      </c>
      <c r="J35" s="25">
        <v>0.873111001359018</v>
      </c>
      <c r="K35" s="24">
        <v>0.940411208465643</v>
      </c>
      <c r="L35" s="24">
        <v>0.946613072089973</v>
      </c>
      <c r="M35" s="12">
        <v>0.939862409433286</v>
      </c>
      <c r="N35" s="12">
        <v>0.951947784609326</v>
      </c>
      <c r="O35" s="12">
        <v>0.962902242605675</v>
      </c>
      <c r="P35" s="12">
        <v>0.8846390172639</v>
      </c>
      <c r="Q35" s="12">
        <v>0.922430210877086</v>
      </c>
      <c r="R35" s="12">
        <v>0.933244039011207</v>
      </c>
      <c r="S35" s="12">
        <v>0.935291809884414</v>
      </c>
      <c r="T35" s="12">
        <v>0.948271671172427</v>
      </c>
      <c r="U35" s="12">
        <v>0.968978886086718</v>
      </c>
      <c r="V35" s="12">
        <v>0.910866130066114</v>
      </c>
      <c r="W35" s="12">
        <v>0.872422156960143</v>
      </c>
      <c r="X35" s="12">
        <v>0.8707458322688</v>
      </c>
      <c r="Y35" s="12">
        <v>0.865733315408601</v>
      </c>
      <c r="Z35" s="12">
        <v>0.865733315408601</v>
      </c>
      <c r="AA35" s="12">
        <v>0.863223391150434</v>
      </c>
      <c r="AB35" s="12">
        <v>0.877800248643331</v>
      </c>
      <c r="AC35" s="12">
        <v>0.8509438599024</v>
      </c>
      <c r="AD35" s="12">
        <v>0.844570525921021</v>
      </c>
      <c r="AE35" s="7">
        <f ca="1" t="shared" si="2"/>
        <v>-0.00637333398137896</v>
      </c>
    </row>
    <row r="36" ht="16.5" spans="1:31">
      <c r="A36" s="9" t="s">
        <v>69</v>
      </c>
      <c r="B36" s="10" t="s">
        <v>57</v>
      </c>
      <c r="C36" s="13">
        <f t="shared" si="5"/>
        <v>8037</v>
      </c>
      <c r="D36" s="14">
        <f ca="1">INT(AVERAGE(OFFSET(E36,0,COUNTA(E36:AG36)-1,1,1),OFFSET(E36,0,COUNTA(E36:AG36)-2,1,1),OFFSET(E36,0,COUNTA(E36:AG36)-3,1,1),OFFSET(E36,0,COUNTA(E36:AG36)-4,1,1),OFFSET(E36,0,COUNTA(E36:AG36)-5,1,1),OFFSET(E36,0,COUNTA(E36:AG36)-6,1,1),OFFSET(E36,0,COUNTA(E36:AG36)-7,1,1),))</f>
        <v>8445</v>
      </c>
      <c r="E36" s="26">
        <v>6718</v>
      </c>
      <c r="F36" s="27">
        <v>5457</v>
      </c>
      <c r="G36" s="27">
        <v>5979</v>
      </c>
      <c r="H36" s="27">
        <v>4874</v>
      </c>
      <c r="I36" s="27">
        <v>5639</v>
      </c>
      <c r="J36" s="27">
        <v>5951</v>
      </c>
      <c r="K36" s="26">
        <v>5957</v>
      </c>
      <c r="L36" s="26">
        <v>5767</v>
      </c>
      <c r="M36" s="15">
        <v>5390</v>
      </c>
      <c r="N36" s="15">
        <v>5771</v>
      </c>
      <c r="O36" s="15">
        <v>5453</v>
      </c>
      <c r="P36" s="15">
        <v>7348</v>
      </c>
      <c r="Q36" s="15">
        <v>10307</v>
      </c>
      <c r="R36" s="15">
        <v>8588</v>
      </c>
      <c r="S36" s="15">
        <v>8053</v>
      </c>
      <c r="T36" s="15">
        <v>7893</v>
      </c>
      <c r="U36" s="15">
        <v>8381</v>
      </c>
      <c r="V36" s="15">
        <v>9654</v>
      </c>
      <c r="W36" s="15">
        <v>10607</v>
      </c>
      <c r="X36" s="15">
        <v>9967</v>
      </c>
      <c r="Y36" s="15">
        <v>8446</v>
      </c>
      <c r="Z36" s="15">
        <v>8446</v>
      </c>
      <c r="AA36" s="15">
        <v>9366</v>
      </c>
      <c r="AB36" s="15">
        <v>11039</v>
      </c>
      <c r="AC36" s="15">
        <v>12783</v>
      </c>
      <c r="AD36" s="15">
        <v>15134</v>
      </c>
      <c r="AE36" s="28">
        <f ca="1" t="shared" si="2"/>
        <v>2351</v>
      </c>
    </row>
    <row r="37" ht="16.5" spans="1:31">
      <c r="A37" s="9" t="s">
        <v>69</v>
      </c>
      <c r="B37" s="10" t="s">
        <v>59</v>
      </c>
      <c r="C37" s="13">
        <f t="shared" si="5"/>
        <v>7229</v>
      </c>
      <c r="D37" s="14">
        <f ca="1">INT(AVERAGE(OFFSET(E37,0,COUNTA(E37:AG37)-1,1,1),OFFSET(E37,0,COUNTA(E37:AG37)-2,1,1),OFFSET(E37,0,COUNTA(E37:AG37)-3,1,1),OFFSET(E37,0,COUNTA(E37:AG37)-4,1,1),OFFSET(E37,0,COUNTA(E37:AG37)-5,1,1),OFFSET(E37,0,COUNTA(E37:AG37)-6,1,1),OFFSET(E37,0,COUNTA(E37:AG37)-7,1,1),))</f>
        <v>7215</v>
      </c>
      <c r="E37" s="26">
        <v>6616</v>
      </c>
      <c r="F37" s="27">
        <v>5460</v>
      </c>
      <c r="G37" s="27">
        <v>5797</v>
      </c>
      <c r="H37" s="27">
        <v>4638</v>
      </c>
      <c r="I37" s="27">
        <v>4859</v>
      </c>
      <c r="J37" s="27">
        <v>5144</v>
      </c>
      <c r="K37" s="26">
        <v>5568</v>
      </c>
      <c r="L37" s="26">
        <v>5440</v>
      </c>
      <c r="M37" s="15">
        <v>5019</v>
      </c>
      <c r="N37" s="15">
        <v>5469</v>
      </c>
      <c r="O37" s="15">
        <v>5218</v>
      </c>
      <c r="P37" s="15">
        <v>6018</v>
      </c>
      <c r="Q37" s="15">
        <v>9471</v>
      </c>
      <c r="R37" s="15">
        <v>7997</v>
      </c>
      <c r="S37" s="15">
        <v>7513</v>
      </c>
      <c r="T37" s="15">
        <v>7480</v>
      </c>
      <c r="U37" s="15">
        <v>8064</v>
      </c>
      <c r="V37" s="15">
        <v>8633</v>
      </c>
      <c r="W37" s="15">
        <v>9215</v>
      </c>
      <c r="X37" s="15">
        <v>8626</v>
      </c>
      <c r="Y37" s="15">
        <v>7259</v>
      </c>
      <c r="Z37" s="15">
        <v>7259</v>
      </c>
      <c r="AA37" s="15">
        <v>8103</v>
      </c>
      <c r="AB37" s="15">
        <v>9619</v>
      </c>
      <c r="AC37" s="15">
        <v>10734</v>
      </c>
      <c r="AD37" s="15">
        <v>12743</v>
      </c>
      <c r="AE37" s="28">
        <f ca="1" t="shared" si="2"/>
        <v>2009</v>
      </c>
    </row>
    <row r="38" ht="16.5" spans="1:31">
      <c r="A38" s="9" t="s">
        <v>69</v>
      </c>
      <c r="B38" s="10" t="s">
        <v>4</v>
      </c>
      <c r="C38" s="13">
        <f t="shared" si="5"/>
        <v>147</v>
      </c>
      <c r="D38" s="14">
        <f ca="1">INT(AVERAGE(OFFSET(E38,0,COUNTA(E38:AG38)-1,1,1),OFFSET(E38,0,COUNTA(E38:AG38)-2,1,1),OFFSET(E38,0,COUNTA(E38:AG38)-3,1,1),OFFSET(E38,0,COUNTA(E38:AG38)-4,1,1),OFFSET(E38,0,COUNTA(E38:AG38)-5,1,1),OFFSET(E38,0,COUNTA(E38:AG38)-6,1,1),OFFSET(E38,0,COUNTA(E38:AG38)-7,1,1),))</f>
        <v>144</v>
      </c>
      <c r="E38" s="26">
        <v>175</v>
      </c>
      <c r="F38" s="27">
        <v>190</v>
      </c>
      <c r="G38" s="27">
        <v>140</v>
      </c>
      <c r="H38" s="27">
        <v>87</v>
      </c>
      <c r="I38" s="27">
        <v>103</v>
      </c>
      <c r="J38" s="27">
        <v>102</v>
      </c>
      <c r="K38" s="26">
        <v>139</v>
      </c>
      <c r="L38" s="26">
        <v>115</v>
      </c>
      <c r="M38" s="15">
        <v>128</v>
      </c>
      <c r="N38" s="15">
        <v>150</v>
      </c>
      <c r="O38" s="15">
        <v>113</v>
      </c>
      <c r="P38" s="15">
        <v>98</v>
      </c>
      <c r="Q38" s="15">
        <v>140</v>
      </c>
      <c r="R38" s="15">
        <v>131</v>
      </c>
      <c r="S38" s="15">
        <v>113</v>
      </c>
      <c r="T38" s="15">
        <v>120</v>
      </c>
      <c r="U38" s="15">
        <v>107</v>
      </c>
      <c r="V38" s="15">
        <v>191</v>
      </c>
      <c r="W38" s="15">
        <v>213</v>
      </c>
      <c r="X38" s="15">
        <v>172</v>
      </c>
      <c r="Y38" s="15">
        <v>164</v>
      </c>
      <c r="Z38" s="15">
        <v>164</v>
      </c>
      <c r="AA38" s="15">
        <v>207</v>
      </c>
      <c r="AB38" s="15">
        <v>200</v>
      </c>
      <c r="AC38" s="15">
        <v>168</v>
      </c>
      <c r="AD38" s="15">
        <v>212</v>
      </c>
      <c r="AE38" s="28">
        <f ca="1" t="shared" si="2"/>
        <v>44</v>
      </c>
    </row>
    <row r="39" ht="16.5" spans="1:31">
      <c r="A39" s="9" t="s">
        <v>69</v>
      </c>
      <c r="B39" s="10" t="s">
        <v>5</v>
      </c>
      <c r="C39" s="11">
        <f>C38/C37</f>
        <v>0.0203347627611011</v>
      </c>
      <c r="D39" s="11">
        <f ca="1">D38/D37</f>
        <v>0.01995841995842</v>
      </c>
      <c r="E39" s="24">
        <v>0.0253742992251868</v>
      </c>
      <c r="F39" s="25">
        <v>0.0388968329712373</v>
      </c>
      <c r="G39" s="25">
        <v>0.0248406210006967</v>
      </c>
      <c r="H39" s="25">
        <v>0.0192050951777475</v>
      </c>
      <c r="I39" s="25">
        <v>0.0207061130272513</v>
      </c>
      <c r="J39" s="25">
        <v>0.0196519768350197</v>
      </c>
      <c r="K39" s="24">
        <v>0.0247929648969905</v>
      </c>
      <c r="L39" s="24">
        <v>0.0217097508934003</v>
      </c>
      <c r="M39" s="12">
        <v>0.0266871439180839</v>
      </c>
      <c r="N39" s="12">
        <v>0.0287536009559337</v>
      </c>
      <c r="O39" s="12">
        <v>0.0240430145814669</v>
      </c>
      <c r="P39" s="12">
        <v>0.0161134267964651</v>
      </c>
      <c r="Q39" s="12">
        <v>0.0140506790851701</v>
      </c>
      <c r="R39" s="12">
        <v>0.0169317871521519</v>
      </c>
      <c r="S39" s="12">
        <v>0.0180200159246327</v>
      </c>
      <c r="T39" s="12">
        <v>0.0167631317915423</v>
      </c>
      <c r="U39" s="12">
        <v>0.0138074886225683</v>
      </c>
      <c r="V39" s="12">
        <v>0.023503031714127</v>
      </c>
      <c r="W39" s="12">
        <v>0.0238874034945063</v>
      </c>
      <c r="X39" s="12">
        <v>0.0199512613888566</v>
      </c>
      <c r="Y39" s="12">
        <v>0.0230322775950315</v>
      </c>
      <c r="Z39" s="12">
        <v>0.0230322775950315</v>
      </c>
      <c r="AA39" s="12">
        <v>0.0285675389863315</v>
      </c>
      <c r="AB39" s="12">
        <v>0.0220853784415839</v>
      </c>
      <c r="AC39" s="12">
        <v>0.0158461347683109</v>
      </c>
      <c r="AD39" s="12">
        <v>0.0186689294634846</v>
      </c>
      <c r="AE39" s="7">
        <f ca="1" t="shared" si="2"/>
        <v>0.0028227946951737</v>
      </c>
    </row>
    <row r="40" ht="16.5" spans="1:31">
      <c r="A40" s="9" t="s">
        <v>69</v>
      </c>
      <c r="B40" s="10" t="s">
        <v>6</v>
      </c>
      <c r="C40" s="13">
        <f t="shared" ref="C40:C46" si="6">INT(AVERAGE(E40:AD40))</f>
        <v>46</v>
      </c>
      <c r="D40" s="14">
        <f ca="1">INT(AVERAGE(OFFSET(E40,0,COUNTA(E40:AG40)-1,1,1),OFFSET(E40,0,COUNTA(E40:AG40)-2,1,1),OFFSET(E40,0,COUNTA(E40:AG40)-3,1,1),OFFSET(E40,0,COUNTA(E40:AG40)-4,1,1),OFFSET(E40,0,COUNTA(E40:AG40)-5,1,1),OFFSET(E40,0,COUNTA(E40:AG40)-6,1,1),OFFSET(E40,0,COUNTA(E40:AG40)-7,1,1),))</f>
        <v>41</v>
      </c>
      <c r="E40" s="26">
        <v>40</v>
      </c>
      <c r="F40" s="27">
        <v>62</v>
      </c>
      <c r="G40" s="27">
        <v>50</v>
      </c>
      <c r="H40" s="27">
        <v>21</v>
      </c>
      <c r="I40" s="27">
        <v>35</v>
      </c>
      <c r="J40" s="27">
        <v>32</v>
      </c>
      <c r="K40" s="26">
        <v>46</v>
      </c>
      <c r="L40" s="26">
        <v>30</v>
      </c>
      <c r="M40" s="15">
        <v>35</v>
      </c>
      <c r="N40" s="15">
        <v>53</v>
      </c>
      <c r="O40" s="15">
        <v>42</v>
      </c>
      <c r="P40" s="15">
        <v>33</v>
      </c>
      <c r="Q40" s="15">
        <v>38</v>
      </c>
      <c r="R40" s="15">
        <v>35</v>
      </c>
      <c r="S40" s="15">
        <v>33</v>
      </c>
      <c r="T40" s="15">
        <v>35</v>
      </c>
      <c r="U40" s="15">
        <v>40</v>
      </c>
      <c r="V40" s="15">
        <v>73</v>
      </c>
      <c r="W40" s="15">
        <v>87</v>
      </c>
      <c r="X40" s="15">
        <v>68</v>
      </c>
      <c r="Y40" s="15">
        <v>35</v>
      </c>
      <c r="Z40" s="15">
        <v>35</v>
      </c>
      <c r="AA40" s="15">
        <v>64</v>
      </c>
      <c r="AB40" s="15">
        <v>69</v>
      </c>
      <c r="AC40" s="15">
        <v>53</v>
      </c>
      <c r="AD40" s="15">
        <v>66</v>
      </c>
      <c r="AE40" s="28">
        <f ca="1" t="shared" si="2"/>
        <v>13</v>
      </c>
    </row>
    <row r="41" ht="17.25" spans="1:31">
      <c r="A41" s="16" t="s">
        <v>69</v>
      </c>
      <c r="B41" s="17" t="s">
        <v>64</v>
      </c>
      <c r="C41" s="18">
        <f>C40/C38</f>
        <v>0.312925170068027</v>
      </c>
      <c r="D41" s="18">
        <f ca="1">D40/D38</f>
        <v>0.284722222222222</v>
      </c>
      <c r="E41" s="24">
        <v>0.278064794209295</v>
      </c>
      <c r="F41" s="25">
        <v>0.380923392084106</v>
      </c>
      <c r="G41" s="25">
        <v>0.371190398771921</v>
      </c>
      <c r="H41" s="25">
        <v>0.277281746031746</v>
      </c>
      <c r="I41" s="25">
        <v>0.392445286195286</v>
      </c>
      <c r="J41" s="25">
        <v>0.3063721001221</v>
      </c>
      <c r="K41" s="24">
        <v>0.369012190151896</v>
      </c>
      <c r="L41" s="24">
        <v>0.263277116402116</v>
      </c>
      <c r="M41" s="19">
        <v>0.280638227513227</v>
      </c>
      <c r="N41" s="19">
        <v>0.418512063916476</v>
      </c>
      <c r="O41" s="19">
        <v>0.332532051282051</v>
      </c>
      <c r="P41" s="19">
        <v>0.297665732959851</v>
      </c>
      <c r="Q41" s="19">
        <v>0.331395687645688</v>
      </c>
      <c r="R41" s="19">
        <v>0.277703315203315</v>
      </c>
      <c r="S41" s="19">
        <v>0.321932234432234</v>
      </c>
      <c r="T41" s="19">
        <v>0.312142255892256</v>
      </c>
      <c r="U41" s="19">
        <v>0.367936597716009</v>
      </c>
      <c r="V41" s="19">
        <v>0.386256448936839</v>
      </c>
      <c r="W41" s="19">
        <v>0.477821007968067</v>
      </c>
      <c r="X41" s="19">
        <v>0.531361267244888</v>
      </c>
      <c r="Y41" s="19">
        <v>0.192918532992062</v>
      </c>
      <c r="Z41" s="19">
        <v>0.192918532992062</v>
      </c>
      <c r="AA41" s="19">
        <v>0.329990663702097</v>
      </c>
      <c r="AB41" s="19">
        <v>0.326858621989921</v>
      </c>
      <c r="AC41" s="19">
        <v>0.333212370489847</v>
      </c>
      <c r="AD41" s="19">
        <v>0.595954549209484</v>
      </c>
      <c r="AE41" s="7">
        <f ca="1" t="shared" si="2"/>
        <v>0.262742178719637</v>
      </c>
    </row>
    <row r="42" ht="16.5" spans="1:31">
      <c r="A42" s="4" t="s">
        <v>70</v>
      </c>
      <c r="B42" s="5" t="s">
        <v>7772</v>
      </c>
      <c r="C42" s="6">
        <f>AVERAGE(E42:AD42)</f>
        <v>0.807903179839025</v>
      </c>
      <c r="D42" s="7">
        <f ca="1">AVERAGE(OFFSET(E42,0,COUNTA(E42:AG42)-1,1,1),OFFSET(E42,0,COUNTA(E42:AG42)-2,1,1),OFFSET(E42,0,COUNTA(E42:AG42)-3,1,1),OFFSET(E42,0,COUNTA(E42:AG42)-4,1,1),OFFSET(E42,0,COUNTA(E42:AG42)-5,1,1),OFFSET(E42,0,COUNTA(E42:AG42)-6,1,1),OFFSET(E42,0,COUNTA(E42:AG42)-7,1,1),)</f>
        <v>0.653008701040931</v>
      </c>
      <c r="E42" s="24">
        <v>0.698822406096672</v>
      </c>
      <c r="F42" s="25">
        <v>0.710620219215126</v>
      </c>
      <c r="G42" s="25">
        <v>0.721232186443641</v>
      </c>
      <c r="H42" s="25">
        <v>0.733069629519787</v>
      </c>
      <c r="I42" s="25">
        <v>0.739452631856295</v>
      </c>
      <c r="J42" s="25">
        <v>0.735827926542419</v>
      </c>
      <c r="K42" s="24">
        <v>0.742633003053978</v>
      </c>
      <c r="L42" s="24">
        <v>0.766165591575728</v>
      </c>
      <c r="M42" s="8">
        <v>0.773020135218181</v>
      </c>
      <c r="N42" s="8">
        <v>0.771731088033409</v>
      </c>
      <c r="O42" s="8">
        <v>0.791629155515258</v>
      </c>
      <c r="P42" s="8">
        <v>0.797971385853754</v>
      </c>
      <c r="Q42" s="8">
        <v>0.81446250741104</v>
      </c>
      <c r="R42" s="8">
        <v>0.838043754779779</v>
      </c>
      <c r="S42" s="8">
        <v>0.843646740583614</v>
      </c>
      <c r="T42" s="8">
        <v>0.855963919390893</v>
      </c>
      <c r="U42" s="8">
        <v>0.853740379932394</v>
      </c>
      <c r="V42" s="8">
        <v>0.856312318860276</v>
      </c>
      <c r="W42" s="8">
        <v>0.861749225764159</v>
      </c>
      <c r="X42" s="8">
        <v>0.874901498042347</v>
      </c>
      <c r="Y42" s="8">
        <v>0.86979078672645</v>
      </c>
      <c r="Z42" s="8">
        <v>0.86979078672645</v>
      </c>
      <c r="AA42" s="8">
        <v>0.872254748827204</v>
      </c>
      <c r="AB42" s="8">
        <v>0.87215341753157</v>
      </c>
      <c r="AC42" s="8">
        <v>0.870457298056333</v>
      </c>
      <c r="AD42" s="8">
        <v>0.870039934257887</v>
      </c>
      <c r="AE42" s="7">
        <f ca="1" t="shared" si="2"/>
        <v>-0.000417363798446035</v>
      </c>
    </row>
    <row r="43" ht="16.5" spans="1:31">
      <c r="A43" s="9" t="s">
        <v>70</v>
      </c>
      <c r="B43" s="10" t="s">
        <v>55</v>
      </c>
      <c r="C43" s="11">
        <f>C45/C44</f>
        <v>0.959349593495935</v>
      </c>
      <c r="D43" s="11">
        <f ca="1">D45/D44</f>
        <v>0.88663967611336</v>
      </c>
      <c r="E43" s="24">
        <v>0.906565830120421</v>
      </c>
      <c r="F43" s="25">
        <v>0.934778668465755</v>
      </c>
      <c r="G43" s="25">
        <v>0.933471531013934</v>
      </c>
      <c r="H43" s="25">
        <v>0.85736278181933</v>
      </c>
      <c r="I43" s="25">
        <v>0.871812233707646</v>
      </c>
      <c r="J43" s="25">
        <v>0.760323616358523</v>
      </c>
      <c r="K43" s="24">
        <v>0.967341577462515</v>
      </c>
      <c r="L43" s="24">
        <v>1.14246541688348</v>
      </c>
      <c r="M43" s="12">
        <v>1.04685184340273</v>
      </c>
      <c r="N43" s="12">
        <v>1.01204756941387</v>
      </c>
      <c r="O43" s="12">
        <v>1.06025306652022</v>
      </c>
      <c r="P43" s="12">
        <v>1.02107456609518</v>
      </c>
      <c r="Q43" s="12">
        <v>1.1651353601124</v>
      </c>
      <c r="R43" s="12">
        <v>1.36709889166154</v>
      </c>
      <c r="S43" s="12">
        <v>1.19502058898393</v>
      </c>
      <c r="T43" s="12">
        <v>1.22872570450753</v>
      </c>
      <c r="U43" s="12">
        <v>1.00343287142548</v>
      </c>
      <c r="V43" s="12">
        <v>0.974881526380815</v>
      </c>
      <c r="W43" s="12">
        <v>1.01617970034236</v>
      </c>
      <c r="X43" s="12">
        <v>1.18885763633884</v>
      </c>
      <c r="Y43" s="12">
        <v>0.93222069653061</v>
      </c>
      <c r="Z43" s="12">
        <v>0.93222069653061</v>
      </c>
      <c r="AA43" s="12">
        <v>0.9502849836436</v>
      </c>
      <c r="AB43" s="12">
        <v>0.946231731818257</v>
      </c>
      <c r="AC43" s="12">
        <v>0.83653490855159</v>
      </c>
      <c r="AD43" s="12">
        <v>0.819005629016851</v>
      </c>
      <c r="AE43" s="7">
        <f ca="1" t="shared" si="2"/>
        <v>-0.0175292795347389</v>
      </c>
    </row>
    <row r="44" ht="16.5" spans="1:31">
      <c r="A44" s="9" t="s">
        <v>70</v>
      </c>
      <c r="B44" s="10" t="s">
        <v>57</v>
      </c>
      <c r="C44" s="13">
        <f t="shared" si="6"/>
        <v>861</v>
      </c>
      <c r="D44" s="14">
        <f ca="1">INT(AVERAGE(OFFSET(E44,0,COUNTA(E44:AG44)-1,1,1),OFFSET(E44,0,COUNTA(E44:AG44)-2,1,1),OFFSET(E44,0,COUNTA(E44:AG44)-3,1,1),OFFSET(E44,0,COUNTA(E44:AG44)-4,1,1),OFFSET(E44,0,COUNTA(E44:AG44)-5,1,1),OFFSET(E44,0,COUNTA(E44:AG44)-6,1,1),OFFSET(E44,0,COUNTA(E44:AG44)-7,1,1),))</f>
        <v>494</v>
      </c>
      <c r="E44" s="26">
        <v>1168</v>
      </c>
      <c r="F44" s="27">
        <v>1083</v>
      </c>
      <c r="G44" s="27">
        <v>1304</v>
      </c>
      <c r="H44" s="27">
        <v>1244</v>
      </c>
      <c r="I44" s="27">
        <v>1080</v>
      </c>
      <c r="J44" s="27">
        <v>1023</v>
      </c>
      <c r="K44" s="26">
        <v>980</v>
      </c>
      <c r="L44" s="26">
        <v>951</v>
      </c>
      <c r="M44" s="15">
        <v>1085</v>
      </c>
      <c r="N44" s="15">
        <v>1074</v>
      </c>
      <c r="O44" s="15">
        <v>780</v>
      </c>
      <c r="P44" s="15">
        <v>761</v>
      </c>
      <c r="Q44" s="15">
        <v>785</v>
      </c>
      <c r="R44" s="15">
        <v>679</v>
      </c>
      <c r="S44" s="15">
        <v>680</v>
      </c>
      <c r="T44" s="15">
        <v>708</v>
      </c>
      <c r="U44" s="15">
        <v>1134</v>
      </c>
      <c r="V44" s="15">
        <v>681</v>
      </c>
      <c r="W44" s="15">
        <v>543</v>
      </c>
      <c r="X44" s="15">
        <v>709</v>
      </c>
      <c r="Y44" s="15">
        <v>692</v>
      </c>
      <c r="Z44" s="15">
        <v>692</v>
      </c>
      <c r="AA44" s="15">
        <v>543</v>
      </c>
      <c r="AB44" s="15">
        <v>619</v>
      </c>
      <c r="AC44" s="15">
        <v>693</v>
      </c>
      <c r="AD44" s="15">
        <v>703</v>
      </c>
      <c r="AE44" s="28">
        <f ca="1" t="shared" si="2"/>
        <v>10</v>
      </c>
    </row>
    <row r="45" ht="16.5" spans="1:31">
      <c r="A45" s="9" t="s">
        <v>70</v>
      </c>
      <c r="B45" s="10" t="s">
        <v>59</v>
      </c>
      <c r="C45" s="13">
        <f t="shared" si="6"/>
        <v>826</v>
      </c>
      <c r="D45" s="14">
        <f ca="1">INT(AVERAGE(OFFSET(E45,0,COUNTA(E45:AG45)-1,1,1),OFFSET(E45,0,COUNTA(E45:AG45)-2,1,1),OFFSET(E45,0,COUNTA(E45:AG45)-3,1,1),OFFSET(E45,0,COUNTA(E45:AG45)-4,1,1),OFFSET(E45,0,COUNTA(E45:AG45)-5,1,1),OFFSET(E45,0,COUNTA(E45:AG45)-6,1,1),OFFSET(E45,0,COUNTA(E45:AG45)-7,1,1),))</f>
        <v>438</v>
      </c>
      <c r="E45" s="26">
        <v>1032</v>
      </c>
      <c r="F45" s="27">
        <v>997</v>
      </c>
      <c r="G45" s="27">
        <v>1140</v>
      </c>
      <c r="H45" s="27">
        <v>1044</v>
      </c>
      <c r="I45" s="27">
        <v>910</v>
      </c>
      <c r="J45" s="27">
        <v>768</v>
      </c>
      <c r="K45" s="26">
        <v>945</v>
      </c>
      <c r="L45" s="26">
        <v>1013</v>
      </c>
      <c r="M45" s="15">
        <v>1092</v>
      </c>
      <c r="N45" s="15">
        <v>1058</v>
      </c>
      <c r="O45" s="15">
        <v>818</v>
      </c>
      <c r="P45" s="15">
        <v>780</v>
      </c>
      <c r="Q45" s="15">
        <v>896</v>
      </c>
      <c r="R45" s="15">
        <v>819</v>
      </c>
      <c r="S45" s="15">
        <v>778</v>
      </c>
      <c r="T45" s="15">
        <v>808</v>
      </c>
      <c r="U45" s="15">
        <v>1100</v>
      </c>
      <c r="V45" s="15">
        <v>646</v>
      </c>
      <c r="W45" s="15">
        <v>540</v>
      </c>
      <c r="X45" s="15">
        <v>789</v>
      </c>
      <c r="Y45" s="15">
        <v>632</v>
      </c>
      <c r="Z45" s="15">
        <v>632</v>
      </c>
      <c r="AA45" s="15">
        <v>506</v>
      </c>
      <c r="AB45" s="15">
        <v>581</v>
      </c>
      <c r="AC45" s="15">
        <v>575</v>
      </c>
      <c r="AD45" s="15">
        <v>580</v>
      </c>
      <c r="AE45" s="28">
        <f ca="1" t="shared" si="2"/>
        <v>5</v>
      </c>
    </row>
    <row r="46" ht="16.5" spans="1:31">
      <c r="A46" s="9" t="s">
        <v>70</v>
      </c>
      <c r="B46" s="10" t="s">
        <v>4</v>
      </c>
      <c r="C46" s="13">
        <f t="shared" si="6"/>
        <v>7</v>
      </c>
      <c r="D46" s="14">
        <f ca="1">INT(AVERAGE(OFFSET(E46,0,COUNTA(E46:AG46)-1,1,1),OFFSET(E46,0,COUNTA(E46:AG46)-2,1,1),OFFSET(E46,0,COUNTA(E46:AG46)-3,1,1),OFFSET(E46,0,COUNTA(E46:AG46)-4,1,1),OFFSET(E46,0,COUNTA(E46:AG46)-5,1,1),OFFSET(E46,0,COUNTA(E46:AG46)-6,1,1),OFFSET(E46,0,COUNTA(E46:AG46)-7,1,1),))</f>
        <v>7</v>
      </c>
      <c r="E46" s="26">
        <v>3</v>
      </c>
      <c r="F46" s="27">
        <v>6</v>
      </c>
      <c r="G46" s="27">
        <v>7</v>
      </c>
      <c r="H46" s="27">
        <v>5</v>
      </c>
      <c r="I46" s="27">
        <v>11</v>
      </c>
      <c r="J46" s="27">
        <v>4</v>
      </c>
      <c r="K46" s="26">
        <v>3</v>
      </c>
      <c r="L46" s="26">
        <v>4</v>
      </c>
      <c r="M46" s="15">
        <v>5</v>
      </c>
      <c r="N46" s="15">
        <v>0</v>
      </c>
      <c r="O46" s="15">
        <v>4</v>
      </c>
      <c r="P46" s="15">
        <v>4</v>
      </c>
      <c r="Q46" s="15">
        <v>3</v>
      </c>
      <c r="R46" s="15">
        <v>12</v>
      </c>
      <c r="S46" s="15">
        <v>17</v>
      </c>
      <c r="T46" s="15">
        <v>10</v>
      </c>
      <c r="U46" s="15">
        <v>8</v>
      </c>
      <c r="V46" s="15">
        <v>4</v>
      </c>
      <c r="W46" s="15">
        <v>5</v>
      </c>
      <c r="X46" s="15">
        <v>25</v>
      </c>
      <c r="Y46" s="15">
        <v>15</v>
      </c>
      <c r="Z46" s="15">
        <v>15</v>
      </c>
      <c r="AA46" s="15">
        <v>3</v>
      </c>
      <c r="AB46" s="15">
        <v>7</v>
      </c>
      <c r="AC46" s="15">
        <v>4</v>
      </c>
      <c r="AD46" s="15">
        <v>9</v>
      </c>
      <c r="AE46" s="28">
        <f ca="1" t="shared" si="2"/>
        <v>5</v>
      </c>
    </row>
    <row r="47" ht="16.5" spans="1:31">
      <c r="A47" s="9" t="s">
        <v>70</v>
      </c>
      <c r="B47" s="10" t="s">
        <v>5</v>
      </c>
      <c r="C47" s="11">
        <f>C46/C45</f>
        <v>0.00847457627118644</v>
      </c>
      <c r="D47" s="11">
        <f ca="1">D46/D45</f>
        <v>0.0159817351598174</v>
      </c>
      <c r="E47" s="24">
        <v>0.00272272941796607</v>
      </c>
      <c r="F47" s="25">
        <v>0.00527703768643744</v>
      </c>
      <c r="G47" s="25">
        <v>0.00898256105918672</v>
      </c>
      <c r="H47" s="25">
        <v>0.00429196746041556</v>
      </c>
      <c r="I47" s="25">
        <v>0.0114875594042261</v>
      </c>
      <c r="J47" s="25">
        <v>0.00541190894451764</v>
      </c>
      <c r="K47" s="24">
        <v>0.00470691753688242</v>
      </c>
      <c r="L47" s="24">
        <v>0.00407116032116032</v>
      </c>
      <c r="M47" s="12">
        <v>0.0035385709122178</v>
      </c>
      <c r="N47" s="12">
        <v>0</v>
      </c>
      <c r="O47" s="12">
        <v>0.00516240446796002</v>
      </c>
      <c r="P47" s="12">
        <v>0.0062399000307497</v>
      </c>
      <c r="Q47" s="12">
        <v>0.00308691043985162</v>
      </c>
      <c r="R47" s="12">
        <v>0.016599197742325</v>
      </c>
      <c r="S47" s="12">
        <v>0.0196256112100611</v>
      </c>
      <c r="T47" s="12">
        <v>0.0178271464622142</v>
      </c>
      <c r="U47" s="12">
        <v>0.00962287374898954</v>
      </c>
      <c r="V47" s="12">
        <v>0.00475826774371721</v>
      </c>
      <c r="W47" s="12">
        <v>0.00796963084197127</v>
      </c>
      <c r="X47" s="12">
        <v>0.0239681574820265</v>
      </c>
      <c r="Y47" s="12">
        <v>0.0258071130382958</v>
      </c>
      <c r="Z47" s="12">
        <v>0.0258071130382958</v>
      </c>
      <c r="AA47" s="12">
        <v>0.00791569541569542</v>
      </c>
      <c r="AB47" s="12">
        <v>0.0160263205211835</v>
      </c>
      <c r="AC47" s="12">
        <v>0.00468046171171171</v>
      </c>
      <c r="AD47" s="12">
        <v>0.0146113623717738</v>
      </c>
      <c r="AE47" s="7">
        <f ca="1" t="shared" si="2"/>
        <v>0.00993090066006209</v>
      </c>
    </row>
    <row r="48" ht="16.5" spans="1:31">
      <c r="A48" s="9" t="s">
        <v>70</v>
      </c>
      <c r="B48" s="10" t="s">
        <v>6</v>
      </c>
      <c r="C48" s="13">
        <f t="shared" ref="C48:C54" si="7">INT(AVERAGE(E48:AD48))</f>
        <v>3</v>
      </c>
      <c r="D48" s="14">
        <f ca="1">INT(AVERAGE(OFFSET(E48,0,COUNTA(E48:AG48)-1,1,1),OFFSET(E48,0,COUNTA(E48:AG48)-2,1,1),OFFSET(E48,0,COUNTA(E48:AG48)-3,1,1),OFFSET(E48,0,COUNTA(E48:AG48)-4,1,1),OFFSET(E48,0,COUNTA(E48:AG48)-5,1,1),OFFSET(E48,0,COUNTA(E48:AG48)-6,1,1),OFFSET(E48,0,COUNTA(E48:AG48)-7,1,1),))</f>
        <v>2</v>
      </c>
      <c r="E48" s="26">
        <v>1</v>
      </c>
      <c r="F48" s="27">
        <v>4</v>
      </c>
      <c r="G48" s="27">
        <v>5</v>
      </c>
      <c r="H48" s="27">
        <v>4</v>
      </c>
      <c r="I48" s="27">
        <v>3</v>
      </c>
      <c r="J48" s="27">
        <v>1</v>
      </c>
      <c r="K48" s="26">
        <v>2</v>
      </c>
      <c r="L48" s="26">
        <v>2</v>
      </c>
      <c r="M48" s="15">
        <v>1</v>
      </c>
      <c r="N48" s="15">
        <v>5</v>
      </c>
      <c r="O48" s="15">
        <v>2</v>
      </c>
      <c r="P48" s="15">
        <v>5</v>
      </c>
      <c r="Q48" s="15">
        <v>4</v>
      </c>
      <c r="R48" s="15">
        <v>8</v>
      </c>
      <c r="S48" s="15">
        <v>4</v>
      </c>
      <c r="T48" s="15">
        <v>7</v>
      </c>
      <c r="U48" s="15">
        <v>3</v>
      </c>
      <c r="V48" s="15">
        <v>4</v>
      </c>
      <c r="W48" s="15">
        <v>3</v>
      </c>
      <c r="X48" s="15">
        <v>2</v>
      </c>
      <c r="Y48" s="15">
        <v>2</v>
      </c>
      <c r="Z48" s="15">
        <v>2</v>
      </c>
      <c r="AA48" s="15">
        <v>4</v>
      </c>
      <c r="AB48" s="15">
        <v>4</v>
      </c>
      <c r="AC48" s="15">
        <v>5</v>
      </c>
      <c r="AD48" s="15">
        <v>3</v>
      </c>
      <c r="AE48" s="28">
        <f ca="1" t="shared" si="2"/>
        <v>-2</v>
      </c>
    </row>
    <row r="49" ht="17.25" spans="1:31">
      <c r="A49" s="16" t="s">
        <v>70</v>
      </c>
      <c r="B49" s="17" t="s">
        <v>64</v>
      </c>
      <c r="C49" s="18">
        <f>C48/C46</f>
        <v>0.428571428571429</v>
      </c>
      <c r="D49" s="18">
        <f ca="1">D48/D46</f>
        <v>0.285714285714286</v>
      </c>
      <c r="E49" s="24">
        <v>0</v>
      </c>
      <c r="F49" s="25">
        <v>0.0833333333333333</v>
      </c>
      <c r="G49" s="25">
        <v>0</v>
      </c>
      <c r="H49" s="25">
        <v>0.166666666666667</v>
      </c>
      <c r="I49" s="25">
        <v>0.166666666666667</v>
      </c>
      <c r="J49" s="25">
        <v>0</v>
      </c>
      <c r="K49" s="24">
        <v>0.0833333333333333</v>
      </c>
      <c r="L49" s="24">
        <v>0</v>
      </c>
      <c r="M49" s="19">
        <v>0.0833333333333333</v>
      </c>
      <c r="N49" s="19">
        <v>0</v>
      </c>
      <c r="O49" s="19">
        <v>0</v>
      </c>
      <c r="P49" s="19">
        <v>0.416666666666667</v>
      </c>
      <c r="Q49" s="19">
        <v>0.166666666666667</v>
      </c>
      <c r="R49" s="19">
        <v>0.527777777777778</v>
      </c>
      <c r="S49" s="19">
        <v>0.1</v>
      </c>
      <c r="T49" s="19">
        <v>0.375</v>
      </c>
      <c r="U49" s="19">
        <v>0.125</v>
      </c>
      <c r="V49" s="19">
        <v>0.166666666666667</v>
      </c>
      <c r="W49" s="19">
        <v>0.166666666666667</v>
      </c>
      <c r="X49" s="19">
        <v>0.0416666666666667</v>
      </c>
      <c r="Y49" s="19">
        <v>0.0833333333333333</v>
      </c>
      <c r="Z49" s="19">
        <v>0.0833333333333333</v>
      </c>
      <c r="AA49" s="19">
        <v>0.0833333333333333</v>
      </c>
      <c r="AB49" s="19">
        <v>0.25</v>
      </c>
      <c r="AC49" s="19">
        <v>0.138888888888889</v>
      </c>
      <c r="AD49" s="19">
        <v>0.0416666666666667</v>
      </c>
      <c r="AE49" s="7">
        <f ca="1" t="shared" si="2"/>
        <v>-0.0972222222222223</v>
      </c>
    </row>
    <row r="50" ht="16.5" spans="1:31">
      <c r="A50" s="4" t="s">
        <v>26</v>
      </c>
      <c r="B50" s="5" t="s">
        <v>7772</v>
      </c>
      <c r="C50" s="6">
        <f>AVERAGE(E50:AD50)</f>
        <v>0.738079688158908</v>
      </c>
      <c r="D50" s="7">
        <f ca="1">AVERAGE(OFFSET(E50,0,COUNTA(E50:AG50)-1,1,1),OFFSET(E50,0,COUNTA(E50:AG50)-2,1,1),OFFSET(E50,0,COUNTA(E50:AG50)-3,1,1),OFFSET(E50,0,COUNTA(E50:AG50)-4,1,1),OFFSET(E50,0,COUNTA(E50:AG50)-5,1,1),OFFSET(E50,0,COUNTA(E50:AG50)-6,1,1),OFFSET(E50,0,COUNTA(E50:AG50)-7,1,1),)</f>
        <v>0.908510747785839</v>
      </c>
      <c r="E50" s="24">
        <v>0.345453240342756</v>
      </c>
      <c r="F50" s="25">
        <v>0.382676312788459</v>
      </c>
      <c r="G50" s="25">
        <v>0.416076784161595</v>
      </c>
      <c r="H50" s="25">
        <v>0.475884513139508</v>
      </c>
      <c r="I50" s="25">
        <v>0.499176787337666</v>
      </c>
      <c r="J50" s="25">
        <v>0.522753356621026</v>
      </c>
      <c r="K50" s="24">
        <v>0.412908934866015</v>
      </c>
      <c r="L50" s="24">
        <v>0.491050881205984</v>
      </c>
      <c r="M50" s="8">
        <v>0.500066070026859</v>
      </c>
      <c r="N50" s="8">
        <v>0.503039746072682</v>
      </c>
      <c r="O50" s="8">
        <v>0.529615814254998</v>
      </c>
      <c r="P50" s="8">
        <v>0.53467256200989</v>
      </c>
      <c r="Q50" s="8">
        <v>0.549730865640256</v>
      </c>
      <c r="R50" s="8">
        <v>0.560772230459408</v>
      </c>
      <c r="S50" s="8">
        <v>0.618677381830731</v>
      </c>
      <c r="T50" s="8">
        <v>0.706277518296462</v>
      </c>
      <c r="U50" s="8">
        <v>0.842773778005569</v>
      </c>
      <c r="V50" s="8">
        <v>0.933178656785706</v>
      </c>
      <c r="W50" s="8">
        <v>1.01755532640952</v>
      </c>
      <c r="X50" s="8">
        <v>1.07074372554654</v>
      </c>
      <c r="Y50" s="8">
        <v>1.11126766986108</v>
      </c>
      <c r="Z50" s="8">
        <v>1.11126766986108</v>
      </c>
      <c r="AA50" s="8">
        <v>1.31942964463639</v>
      </c>
      <c r="AB50" s="8">
        <v>1.2356080463479</v>
      </c>
      <c r="AC50" s="8">
        <v>1.2541578998334</v>
      </c>
      <c r="AD50" s="8">
        <v>1.24525647579013</v>
      </c>
      <c r="AE50" s="7">
        <f ca="1" t="shared" si="2"/>
        <v>-0.00890142404326988</v>
      </c>
    </row>
    <row r="51" ht="16.5" spans="1:31">
      <c r="A51" s="9" t="s">
        <v>26</v>
      </c>
      <c r="B51" s="10" t="s">
        <v>55</v>
      </c>
      <c r="C51" s="11">
        <f>C53/C52</f>
        <v>1.41014492753623</v>
      </c>
      <c r="D51" s="11">
        <f ca="1">D53/D52</f>
        <v>2.78609625668449</v>
      </c>
      <c r="E51" s="24">
        <v>1.07956750134724</v>
      </c>
      <c r="F51" s="25">
        <v>1.08991468925683</v>
      </c>
      <c r="G51" s="25">
        <v>1.08408621162432</v>
      </c>
      <c r="H51" s="25">
        <v>1.10386566740759</v>
      </c>
      <c r="I51" s="25">
        <v>1.06938238065145</v>
      </c>
      <c r="J51" s="25">
        <v>1.07898670003655</v>
      </c>
      <c r="K51" s="24">
        <v>0.379646517262426</v>
      </c>
      <c r="L51" s="24">
        <v>0.38873784793325</v>
      </c>
      <c r="M51" s="12">
        <v>0.561599413651419</v>
      </c>
      <c r="N51" s="12">
        <v>0.641888666888667</v>
      </c>
      <c r="O51" s="12">
        <v>0.888392734716264</v>
      </c>
      <c r="P51" s="12">
        <v>0.784855490809001</v>
      </c>
      <c r="Q51" s="12">
        <v>0.893167732680117</v>
      </c>
      <c r="R51" s="12">
        <v>0.898111136266624</v>
      </c>
      <c r="S51" s="12">
        <v>1.68487668098985</v>
      </c>
      <c r="T51" s="12">
        <v>2.64097935132771</v>
      </c>
      <c r="U51" s="12">
        <v>4.06231297972147</v>
      </c>
      <c r="V51" s="12">
        <v>4.07983119690598</v>
      </c>
      <c r="W51" s="12">
        <v>4.06747331488646</v>
      </c>
      <c r="X51" s="12">
        <v>3.55309390425123</v>
      </c>
      <c r="Y51" s="12">
        <v>3.10213572903245</v>
      </c>
      <c r="Z51" s="12">
        <v>3.10213572903245</v>
      </c>
      <c r="AA51" s="12">
        <v>6.26994119495306</v>
      </c>
      <c r="AB51" s="12">
        <v>2.91707726341347</v>
      </c>
      <c r="AC51" s="12">
        <v>1.62515496954327</v>
      </c>
      <c r="AD51" s="12">
        <v>1.25129515972601</v>
      </c>
      <c r="AE51" s="7">
        <f ca="1" t="shared" si="2"/>
        <v>-0.37385980981726</v>
      </c>
    </row>
    <row r="52" ht="16.5" spans="1:31">
      <c r="A52" s="9" t="s">
        <v>26</v>
      </c>
      <c r="B52" s="10" t="s">
        <v>57</v>
      </c>
      <c r="C52" s="13">
        <f t="shared" si="7"/>
        <v>690</v>
      </c>
      <c r="D52" s="14">
        <f ca="1">INT(AVERAGE(OFFSET(E52,0,COUNTA(E52:AG52)-1,1,1),OFFSET(E52,0,COUNTA(E52:AG52)-2,1,1),OFFSET(E52,0,COUNTA(E52:AG52)-3,1,1),OFFSET(E52,0,COUNTA(E52:AG52)-4,1,1),OFFSET(E52,0,COUNTA(E52:AG52)-5,1,1),OFFSET(E52,0,COUNTA(E52:AG52)-6,1,1),OFFSET(E52,0,COUNTA(E52:AG52)-7,1,1),))</f>
        <v>187</v>
      </c>
      <c r="E52" s="26">
        <v>3520</v>
      </c>
      <c r="F52" s="27">
        <v>3371</v>
      </c>
      <c r="G52" s="27">
        <v>2301</v>
      </c>
      <c r="H52" s="27">
        <v>1355</v>
      </c>
      <c r="I52" s="27">
        <v>827</v>
      </c>
      <c r="J52" s="27">
        <v>602</v>
      </c>
      <c r="K52" s="26">
        <v>417</v>
      </c>
      <c r="L52" s="26">
        <v>335</v>
      </c>
      <c r="M52" s="15">
        <v>260</v>
      </c>
      <c r="N52" s="15">
        <v>212</v>
      </c>
      <c r="O52" s="15">
        <v>179</v>
      </c>
      <c r="P52" s="15">
        <v>228</v>
      </c>
      <c r="Q52" s="15">
        <v>262</v>
      </c>
      <c r="R52" s="15">
        <v>200</v>
      </c>
      <c r="S52" s="15">
        <v>472</v>
      </c>
      <c r="T52" s="15">
        <v>525</v>
      </c>
      <c r="U52" s="15">
        <v>469</v>
      </c>
      <c r="V52" s="15">
        <v>354</v>
      </c>
      <c r="W52" s="15">
        <v>223</v>
      </c>
      <c r="X52" s="15">
        <v>293</v>
      </c>
      <c r="Y52" s="15">
        <v>231</v>
      </c>
      <c r="Z52" s="15">
        <v>231</v>
      </c>
      <c r="AA52" s="15">
        <v>234</v>
      </c>
      <c r="AB52" s="15">
        <v>263</v>
      </c>
      <c r="AC52" s="15">
        <v>310</v>
      </c>
      <c r="AD52" s="15">
        <v>270</v>
      </c>
      <c r="AE52" s="28">
        <f ca="1" t="shared" si="2"/>
        <v>-40</v>
      </c>
    </row>
    <row r="53" ht="16.5" spans="1:31">
      <c r="A53" s="9" t="s">
        <v>26</v>
      </c>
      <c r="B53" s="10" t="s">
        <v>59</v>
      </c>
      <c r="C53" s="13">
        <f t="shared" si="7"/>
        <v>973</v>
      </c>
      <c r="D53" s="14">
        <f ca="1">INT(AVERAGE(OFFSET(E53,0,COUNTA(E53:AG53)-1,1,1),OFFSET(E53,0,COUNTA(E53:AG53)-2,1,1),OFFSET(E53,0,COUNTA(E53:AG53)-3,1,1),OFFSET(E53,0,COUNTA(E53:AG53)-4,1,1),OFFSET(E53,0,COUNTA(E53:AG53)-5,1,1),OFFSET(E53,0,COUNTA(E53:AG53)-6,1,1),OFFSET(E53,0,COUNTA(E53:AG53)-7,1,1),))</f>
        <v>521</v>
      </c>
      <c r="E53" s="26">
        <v>3726</v>
      </c>
      <c r="F53" s="27">
        <v>3609</v>
      </c>
      <c r="G53" s="27">
        <v>2418</v>
      </c>
      <c r="H53" s="27">
        <v>1496</v>
      </c>
      <c r="I53" s="27">
        <v>845</v>
      </c>
      <c r="J53" s="27">
        <v>625</v>
      </c>
      <c r="K53" s="26">
        <v>143</v>
      </c>
      <c r="L53" s="26">
        <v>108</v>
      </c>
      <c r="M53" s="15">
        <v>119</v>
      </c>
      <c r="N53" s="15">
        <v>131</v>
      </c>
      <c r="O53" s="15">
        <v>149</v>
      </c>
      <c r="P53" s="15">
        <v>154</v>
      </c>
      <c r="Q53" s="15">
        <v>226</v>
      </c>
      <c r="R53" s="15">
        <v>164</v>
      </c>
      <c r="S53" s="15">
        <v>667</v>
      </c>
      <c r="T53" s="15">
        <v>1487</v>
      </c>
      <c r="U53" s="15">
        <v>1779</v>
      </c>
      <c r="V53" s="15">
        <v>1515</v>
      </c>
      <c r="W53" s="15">
        <v>839</v>
      </c>
      <c r="X53" s="15">
        <v>848</v>
      </c>
      <c r="Y53" s="15">
        <v>705</v>
      </c>
      <c r="Z53" s="15">
        <v>705</v>
      </c>
      <c r="AA53" s="15">
        <v>1757</v>
      </c>
      <c r="AB53" s="15">
        <v>523</v>
      </c>
      <c r="AC53" s="15">
        <v>343</v>
      </c>
      <c r="AD53" s="15">
        <v>240</v>
      </c>
      <c r="AE53" s="28">
        <f ca="1" t="shared" si="2"/>
        <v>-103</v>
      </c>
    </row>
    <row r="54" ht="16.5" spans="1:31">
      <c r="A54" s="9" t="s">
        <v>26</v>
      </c>
      <c r="B54" s="10" t="s">
        <v>4</v>
      </c>
      <c r="C54" s="13">
        <f t="shared" si="7"/>
        <v>5</v>
      </c>
      <c r="D54" s="14">
        <f ca="1">INT(AVERAGE(OFFSET(E54,0,COUNTA(E54:AG54)-1,1,1),OFFSET(E54,0,COUNTA(E54:AG54)-2,1,1),OFFSET(E54,0,COUNTA(E54:AG54)-3,1,1),OFFSET(E54,0,COUNTA(E54:AG54)-4,1,1),OFFSET(E54,0,COUNTA(E54:AG54)-5,1,1),OFFSET(E54,0,COUNTA(E54:AG54)-6,1,1),OFFSET(E54,0,COUNTA(E54:AG54)-7,1,1),))</f>
        <v>6</v>
      </c>
      <c r="E54" s="26">
        <v>17</v>
      </c>
      <c r="F54" s="27">
        <v>20</v>
      </c>
      <c r="G54" s="27">
        <v>12</v>
      </c>
      <c r="H54" s="27">
        <v>8</v>
      </c>
      <c r="I54" s="27">
        <v>3</v>
      </c>
      <c r="J54" s="27">
        <v>4</v>
      </c>
      <c r="K54" s="26">
        <v>0</v>
      </c>
      <c r="L54" s="26">
        <v>2</v>
      </c>
      <c r="M54" s="15">
        <v>2</v>
      </c>
      <c r="N54" s="15">
        <v>0</v>
      </c>
      <c r="O54" s="15">
        <v>1</v>
      </c>
      <c r="P54" s="15">
        <v>0</v>
      </c>
      <c r="Q54" s="15">
        <v>3</v>
      </c>
      <c r="R54" s="15">
        <v>1</v>
      </c>
      <c r="S54" s="15">
        <v>3</v>
      </c>
      <c r="T54" s="15">
        <v>3</v>
      </c>
      <c r="U54" s="15">
        <v>0</v>
      </c>
      <c r="V54" s="15">
        <v>2</v>
      </c>
      <c r="W54" s="15">
        <v>6</v>
      </c>
      <c r="X54" s="15">
        <v>2</v>
      </c>
      <c r="Y54" s="15">
        <v>20</v>
      </c>
      <c r="Z54" s="15">
        <v>20</v>
      </c>
      <c r="AA54" s="15">
        <v>6</v>
      </c>
      <c r="AB54" s="15">
        <v>1</v>
      </c>
      <c r="AC54" s="15">
        <v>2</v>
      </c>
      <c r="AD54" s="15">
        <v>3</v>
      </c>
      <c r="AE54" s="28">
        <f ca="1" t="shared" si="2"/>
        <v>1</v>
      </c>
    </row>
    <row r="55" ht="16.5" spans="1:31">
      <c r="A55" s="9" t="s">
        <v>26</v>
      </c>
      <c r="B55" s="10" t="s">
        <v>5</v>
      </c>
      <c r="C55" s="11">
        <f>C54/C53</f>
        <v>0.00513874614594039</v>
      </c>
      <c r="D55" s="11">
        <f ca="1">D54/D53</f>
        <v>0.0115163147792706</v>
      </c>
      <c r="E55" s="24">
        <v>0.00960323881614881</v>
      </c>
      <c r="F55" s="25">
        <v>0.00762969044006158</v>
      </c>
      <c r="G55" s="25">
        <v>0.00472193571709883</v>
      </c>
      <c r="H55" s="25">
        <v>0.00681615754079522</v>
      </c>
      <c r="I55" s="25">
        <v>0.00422213563651319</v>
      </c>
      <c r="J55" s="25">
        <v>0.00877684407096172</v>
      </c>
      <c r="K55" s="24">
        <v>0</v>
      </c>
      <c r="L55" s="24">
        <v>0.0270833333333333</v>
      </c>
      <c r="M55" s="12">
        <v>0.013986013986014</v>
      </c>
      <c r="N55" s="12">
        <v>0</v>
      </c>
      <c r="O55" s="12">
        <v>0.00396825396825397</v>
      </c>
      <c r="P55" s="12">
        <v>0</v>
      </c>
      <c r="Q55" s="12">
        <v>0.0128019323671498</v>
      </c>
      <c r="R55" s="12">
        <v>0.00833333333333333</v>
      </c>
      <c r="S55" s="12">
        <v>0.00892198693636747</v>
      </c>
      <c r="T55" s="12">
        <v>0.00248817115726269</v>
      </c>
      <c r="U55" s="12">
        <v>0</v>
      </c>
      <c r="V55" s="12">
        <v>0.000978003500223053</v>
      </c>
      <c r="W55" s="12">
        <v>0.00735990680820768</v>
      </c>
      <c r="X55" s="12">
        <v>0.00428391053391053</v>
      </c>
      <c r="Y55" s="12">
        <v>0.0247715247715248</v>
      </c>
      <c r="Z55" s="12">
        <v>0.0247715247715248</v>
      </c>
      <c r="AA55" s="12">
        <v>0.00691821179050281</v>
      </c>
      <c r="AB55" s="12">
        <v>0.00213675213675214</v>
      </c>
      <c r="AC55" s="12">
        <v>0.00616883116883117</v>
      </c>
      <c r="AD55" s="12">
        <v>0.0113122171945701</v>
      </c>
      <c r="AE55" s="7">
        <f ca="1" t="shared" si="2"/>
        <v>0.00514338602573893</v>
      </c>
    </row>
    <row r="56" ht="16.5" spans="1:31">
      <c r="A56" s="9" t="s">
        <v>26</v>
      </c>
      <c r="B56" s="10" t="s">
        <v>6</v>
      </c>
      <c r="C56" s="13">
        <f>INT(AVERAGE(E56:AD56))</f>
        <v>1</v>
      </c>
      <c r="D56" s="14">
        <f ca="1">INT(AVERAGE(OFFSET(E56,0,COUNTA(E56:AG56)-1,1,1),OFFSET(E56,0,COUNTA(E56:AG56)-2,1,1),OFFSET(E56,0,COUNTA(E56:AG56)-3,1,1),OFFSET(E56,0,COUNTA(E56:AG56)-4,1,1),OFFSET(E56,0,COUNTA(E56:AG56)-5,1,1),OFFSET(E56,0,COUNTA(E56:AG56)-6,1,1),OFFSET(E56,0,COUNTA(E56:AG56)-7,1,1),))</f>
        <v>1</v>
      </c>
      <c r="E56" s="26">
        <v>5</v>
      </c>
      <c r="F56" s="27">
        <v>5</v>
      </c>
      <c r="G56" s="27">
        <v>1</v>
      </c>
      <c r="H56" s="27">
        <v>2</v>
      </c>
      <c r="I56" s="27">
        <v>3</v>
      </c>
      <c r="J56" s="27">
        <v>1</v>
      </c>
      <c r="K56" s="26">
        <v>0</v>
      </c>
      <c r="L56" s="26">
        <v>2</v>
      </c>
      <c r="M56" s="15">
        <v>0</v>
      </c>
      <c r="N56" s="15">
        <v>1</v>
      </c>
      <c r="O56" s="15">
        <v>1</v>
      </c>
      <c r="P56" s="15">
        <v>0</v>
      </c>
      <c r="Q56" s="15">
        <v>1</v>
      </c>
      <c r="R56" s="15">
        <v>0</v>
      </c>
      <c r="S56" s="15">
        <v>0</v>
      </c>
      <c r="T56" s="15">
        <v>3</v>
      </c>
      <c r="U56" s="15">
        <v>0</v>
      </c>
      <c r="V56" s="15">
        <v>0</v>
      </c>
      <c r="W56" s="15">
        <v>1</v>
      </c>
      <c r="X56" s="15">
        <v>0</v>
      </c>
      <c r="Y56" s="15">
        <v>1</v>
      </c>
      <c r="Z56" s="15">
        <v>1</v>
      </c>
      <c r="AA56" s="15">
        <v>0</v>
      </c>
      <c r="AB56" s="15">
        <v>2</v>
      </c>
      <c r="AC56" s="15">
        <v>4</v>
      </c>
      <c r="AD56" s="15">
        <v>2</v>
      </c>
      <c r="AE56" s="28">
        <f ca="1" t="shared" si="2"/>
        <v>-2</v>
      </c>
    </row>
    <row r="57" ht="17.25" spans="1:31">
      <c r="A57" s="16" t="s">
        <v>26</v>
      </c>
      <c r="B57" s="17" t="s">
        <v>64</v>
      </c>
      <c r="C57" s="18">
        <f>C56/C54</f>
        <v>0.2</v>
      </c>
      <c r="D57" s="18">
        <f ca="1">D56/D54</f>
        <v>0.166666666666667</v>
      </c>
      <c r="E57" s="24">
        <v>0.416666666666667</v>
      </c>
      <c r="F57" s="25">
        <v>0.416666666666667</v>
      </c>
      <c r="G57" s="25">
        <v>0.0833333333333333</v>
      </c>
      <c r="H57" s="25">
        <v>0.166666666666667</v>
      </c>
      <c r="I57" s="25">
        <v>0.25</v>
      </c>
      <c r="J57" s="25">
        <v>0.0833333333333333</v>
      </c>
      <c r="K57" s="24">
        <v>0</v>
      </c>
      <c r="L57" s="24">
        <v>0.166666666666667</v>
      </c>
      <c r="M57" s="19">
        <v>0</v>
      </c>
      <c r="N57" s="19">
        <v>0.0833333333333333</v>
      </c>
      <c r="O57" s="19">
        <v>0.0833333333333333</v>
      </c>
      <c r="P57" s="19">
        <v>0</v>
      </c>
      <c r="Q57" s="19">
        <v>0.0833333333333333</v>
      </c>
      <c r="R57" s="19">
        <v>0</v>
      </c>
      <c r="S57" s="19">
        <v>0</v>
      </c>
      <c r="T57" s="19">
        <v>0.25</v>
      </c>
      <c r="U57" s="19">
        <v>0</v>
      </c>
      <c r="V57" s="19">
        <v>0</v>
      </c>
      <c r="W57" s="19">
        <v>0.0833333333333333</v>
      </c>
      <c r="X57" s="19">
        <v>0</v>
      </c>
      <c r="Y57" s="19">
        <v>0.0833333333333333</v>
      </c>
      <c r="Z57" s="19">
        <v>0.0833333333333333</v>
      </c>
      <c r="AA57" s="19">
        <v>0</v>
      </c>
      <c r="AB57" s="19">
        <v>0.166666666666667</v>
      </c>
      <c r="AC57" s="19">
        <v>0.333333333333333</v>
      </c>
      <c r="AD57" s="19">
        <v>0.166666666666667</v>
      </c>
      <c r="AE57" s="7">
        <f ca="1" t="shared" si="2"/>
        <v>-0.166666666666666</v>
      </c>
    </row>
  </sheetData>
  <conditionalFormatting sqref="D2:D57">
    <cfRule type="expression" dxfId="37" priority="155">
      <formula>D2&lt;C2</formula>
    </cfRule>
    <cfRule type="expression" dxfId="38" priority="156">
      <formula>D2&gt;C2</formula>
    </cfRule>
  </conditionalFormatting>
  <conditionalFormatting sqref="E2:E57">
    <cfRule type="expression" dxfId="4" priority="249">
      <formula>E2&lt;U2</formula>
    </cfRule>
  </conditionalFormatting>
  <conditionalFormatting sqref="K2:K57">
    <cfRule type="expression" dxfId="4" priority="250">
      <formula>K2&lt;AA2</formula>
    </cfRule>
  </conditionalFormatting>
  <conditionalFormatting sqref="L2:L57">
    <cfRule type="expression" dxfId="4" priority="21">
      <formula>L2&lt;AB2</formula>
    </cfRule>
  </conditionalFormatting>
  <conditionalFormatting sqref="M2:M57">
    <cfRule type="expression" dxfId="4" priority="19">
      <formula>M2&lt;AC2</formula>
    </cfRule>
  </conditionalFormatting>
  <conditionalFormatting sqref="N2:N57">
    <cfRule type="expression" dxfId="4" priority="18">
      <formula>N2&lt;AD2</formula>
    </cfRule>
  </conditionalFormatting>
  <conditionalFormatting sqref="O2:O57">
    <cfRule type="expression" dxfId="4" priority="13">
      <formula>O2&lt;AE2</formula>
    </cfRule>
  </conditionalFormatting>
  <conditionalFormatting sqref="P2:P57">
    <cfRule type="expression" dxfId="4" priority="16">
      <formula>P2&lt;AF2</formula>
    </cfRule>
  </conditionalFormatting>
  <conditionalFormatting sqref="Q2:Q57">
    <cfRule type="expression" dxfId="4" priority="15">
      <formula>Q2&lt;AG2</formula>
    </cfRule>
  </conditionalFormatting>
  <conditionalFormatting sqref="R2:R57">
    <cfRule type="expression" dxfId="4" priority="14">
      <formula>R2&lt;AH2</formula>
    </cfRule>
  </conditionalFormatting>
  <conditionalFormatting sqref="S2:S57">
    <cfRule type="expression" dxfId="4" priority="12">
      <formula>S2&lt;AI2</formula>
    </cfRule>
  </conditionalFormatting>
  <conditionalFormatting sqref="T2:T57">
    <cfRule type="expression" dxfId="4" priority="11">
      <formula>T2&lt;AJ2</formula>
    </cfRule>
  </conditionalFormatting>
  <conditionalFormatting sqref="U2:U57">
    <cfRule type="expression" dxfId="4" priority="10">
      <formula>U2&lt;AK2</formula>
    </cfRule>
  </conditionalFormatting>
  <conditionalFormatting sqref="V2:V57">
    <cfRule type="expression" dxfId="4" priority="9">
      <formula>V2&lt;AL2</formula>
    </cfRule>
  </conditionalFormatting>
  <conditionalFormatting sqref="W2:W57">
    <cfRule type="expression" dxfId="4" priority="8">
      <formula>W2&lt;AM2</formula>
    </cfRule>
  </conditionalFormatting>
  <conditionalFormatting sqref="X2:X57">
    <cfRule type="expression" dxfId="4" priority="7">
      <formula>X2&lt;AN2</formula>
    </cfRule>
  </conditionalFormatting>
  <conditionalFormatting sqref="Y2:Y57">
    <cfRule type="expression" dxfId="4" priority="5">
      <formula>Y2&lt;AO2</formula>
    </cfRule>
  </conditionalFormatting>
  <conditionalFormatting sqref="Z2:Z57">
    <cfRule type="expression" dxfId="4" priority="6">
      <formula>Z2&lt;AP2</formula>
    </cfRule>
  </conditionalFormatting>
  <conditionalFormatting sqref="AA2:AA57">
    <cfRule type="expression" dxfId="4" priority="4">
      <formula>AA2&lt;AQ2</formula>
    </cfRule>
  </conditionalFormatting>
  <conditionalFormatting sqref="AB2:AB57">
    <cfRule type="expression" dxfId="4" priority="3">
      <formula>AB2&lt;AR2</formula>
    </cfRule>
  </conditionalFormatting>
  <conditionalFormatting sqref="AC2:AC57">
    <cfRule type="expression" dxfId="4" priority="2">
      <formula>AC2&lt;AS2</formula>
    </cfRule>
  </conditionalFormatting>
  <conditionalFormatting sqref="AD2:AD57">
    <cfRule type="expression" dxfId="4" priority="1">
      <formula>AD2&lt;AT2</formula>
    </cfRule>
  </conditionalFormatting>
  <conditionalFormatting sqref="AE2:AE57">
    <cfRule type="expression" dxfId="38" priority="24">
      <formula>AE2&gt;AD2</formula>
    </cfRule>
    <cfRule type="expression" dxfId="37" priority="23">
      <formula>AE2&lt;AD2</formula>
    </cfRule>
  </conditionalFormatting>
  <pageMargins left="0.75" right="0.75" top="1" bottom="1" header="0.5" footer="0.5"/>
  <pageSetup paperSize="9" orientation="portrait"/>
  <headerFooter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57"/>
  <sheetViews>
    <sheetView topLeftCell="A35" workbookViewId="0">
      <selection activeCell="A1" sqref="A1:AJ57"/>
    </sheetView>
  </sheetViews>
  <sheetFormatPr defaultColWidth="9" defaultRowHeight="13.5"/>
  <cols>
    <col min="5" max="8" width="9" hidden="1" customWidth="1"/>
    <col min="9" max="13" width="8.375" hidden="1" customWidth="1"/>
    <col min="14" max="19" width="7.375" hidden="1" customWidth="1"/>
    <col min="20" max="35" width="7.375" customWidth="1"/>
    <col min="36" max="36" width="15" customWidth="1"/>
  </cols>
  <sheetData>
    <row r="1" ht="15.75" spans="1:36">
      <c r="A1" s="1" t="s">
        <v>1</v>
      </c>
      <c r="B1" s="1" t="s">
        <v>7742</v>
      </c>
      <c r="C1" s="2" t="s">
        <v>7773</v>
      </c>
      <c r="D1" s="3" t="s">
        <v>7744</v>
      </c>
      <c r="E1" s="2" t="s">
        <v>7774</v>
      </c>
      <c r="F1" s="2" t="s">
        <v>7775</v>
      </c>
      <c r="G1" s="2" t="s">
        <v>7776</v>
      </c>
      <c r="H1" s="2" t="s">
        <v>7777</v>
      </c>
      <c r="I1" s="2" t="s">
        <v>7778</v>
      </c>
      <c r="J1" s="2" t="s">
        <v>7779</v>
      </c>
      <c r="K1" s="2" t="s">
        <v>7780</v>
      </c>
      <c r="L1" s="2" t="s">
        <v>7781</v>
      </c>
      <c r="M1" s="2" t="s">
        <v>7782</v>
      </c>
      <c r="N1" s="2" t="s">
        <v>7783</v>
      </c>
      <c r="O1" s="2" t="s">
        <v>7784</v>
      </c>
      <c r="P1" s="2" t="s">
        <v>7785</v>
      </c>
      <c r="Q1" s="2" t="s">
        <v>7786</v>
      </c>
      <c r="R1" s="2" t="s">
        <v>7787</v>
      </c>
      <c r="S1" s="2" t="s">
        <v>7788</v>
      </c>
      <c r="T1" s="2" t="s">
        <v>7789</v>
      </c>
      <c r="U1" s="2" t="s">
        <v>7790</v>
      </c>
      <c r="V1" s="2" t="s">
        <v>7791</v>
      </c>
      <c r="W1" s="2" t="s">
        <v>7792</v>
      </c>
      <c r="X1" s="2" t="s">
        <v>7793</v>
      </c>
      <c r="Y1" s="2" t="s">
        <v>7794</v>
      </c>
      <c r="Z1" s="2" t="s">
        <v>7795</v>
      </c>
      <c r="AA1" s="2" t="s">
        <v>7796</v>
      </c>
      <c r="AB1" s="2" t="s">
        <v>7797</v>
      </c>
      <c r="AC1" s="2" t="s">
        <v>7798</v>
      </c>
      <c r="AD1" s="2" t="s">
        <v>7799</v>
      </c>
      <c r="AE1" s="2" t="s">
        <v>7800</v>
      </c>
      <c r="AF1" s="2" t="s">
        <v>7801</v>
      </c>
      <c r="AG1" s="2" t="s">
        <v>7802</v>
      </c>
      <c r="AH1" s="2" t="s">
        <v>7803</v>
      </c>
      <c r="AI1" s="2" t="s">
        <v>7804</v>
      </c>
      <c r="AJ1" s="21" t="s">
        <v>7771</v>
      </c>
    </row>
    <row r="2" ht="16.5" spans="1:36">
      <c r="A2" s="4" t="s">
        <v>22</v>
      </c>
      <c r="B2" s="5" t="s">
        <v>7772</v>
      </c>
      <c r="C2" s="6">
        <f>AVERAGE(E2:AD2)</f>
        <v>0.735095072206929</v>
      </c>
      <c r="D2" s="7">
        <f ca="1" t="array" ref="D2">AVERAGE(OFFSET(E2,0,COUNTA(E2:AQ2)-1,1,1),OFFSET(E2,0,COUNTA(E2:AQ2)-2,1,1),OFFSET(E2,0,COUNTA(E2:AQ2)-3,1,1),OFFSET(E2,0,COUNTA(E2:AQ2)-4,1,1),OFFSET(E2,0,COUNTA(E2:AQ2)-5,1,1),OFFSET(E2,0,COUNTA(E2:AQ2)-6,1,1),OFFSET(E2,0,COUNTA(E2:AQ2)-7,1,1),)</f>
        <v>0.555136989125714</v>
      </c>
      <c r="E2" s="8">
        <v>0.722547726719336</v>
      </c>
      <c r="F2" s="8">
        <v>0.72833033841864</v>
      </c>
      <c r="G2" s="8">
        <v>0.728173885491437</v>
      </c>
      <c r="H2" s="8">
        <v>0.731643060155002</v>
      </c>
      <c r="I2" s="8">
        <v>0.733242583937936</v>
      </c>
      <c r="J2" s="8">
        <v>0.73310959805106</v>
      </c>
      <c r="K2" s="8">
        <v>0.736877635054673</v>
      </c>
      <c r="L2" s="8">
        <v>0.736877635054673</v>
      </c>
      <c r="M2" s="8">
        <v>0.736323014439821</v>
      </c>
      <c r="N2" s="8">
        <v>0.736003783618702</v>
      </c>
      <c r="O2" s="8">
        <v>0.735795775351172</v>
      </c>
      <c r="P2" s="8">
        <v>0.735304880162294</v>
      </c>
      <c r="Q2" s="8">
        <v>0.736571786939547</v>
      </c>
      <c r="R2" s="8">
        <v>0.736571786939547</v>
      </c>
      <c r="S2" s="8">
        <v>0.736301114249169</v>
      </c>
      <c r="T2" s="8">
        <v>0.735455365794419</v>
      </c>
      <c r="U2" s="8">
        <v>0.736525043754966</v>
      </c>
      <c r="V2" s="8">
        <v>0.735159240239381</v>
      </c>
      <c r="W2" s="8">
        <v>0.734999777266998</v>
      </c>
      <c r="X2" s="8">
        <v>0.735787691295044</v>
      </c>
      <c r="Y2" s="8">
        <v>0.736728219574695</v>
      </c>
      <c r="Z2" s="8">
        <v>0.738146406379073</v>
      </c>
      <c r="AA2" s="8">
        <v>0.737703402562343</v>
      </c>
      <c r="AB2" s="8">
        <v>0.738982738772199</v>
      </c>
      <c r="AC2" s="8">
        <v>0.738985455864391</v>
      </c>
      <c r="AD2" s="8">
        <v>0.740323931293633</v>
      </c>
      <c r="AE2" s="20">
        <v>0.740147675394457</v>
      </c>
      <c r="AF2" s="20">
        <v>0.740055410478023</v>
      </c>
      <c r="AG2" s="8">
        <v>0.740006682346949</v>
      </c>
      <c r="AH2" s="20">
        <v>0.740348889306433</v>
      </c>
      <c r="AI2" s="20">
        <v>0.740281106746323</v>
      </c>
      <c r="AJ2" s="7">
        <f ca="1">LOOKUP(9E+307,E2:AI2)-OFFSET(E2,0,COUNTA(E2:AI2)-2,1,1)</f>
        <v>-6.77825601099746e-5</v>
      </c>
    </row>
    <row r="3" ht="16.5" spans="1:36">
      <c r="A3" s="9" t="s">
        <v>22</v>
      </c>
      <c r="B3" s="10" t="s">
        <v>55</v>
      </c>
      <c r="C3" s="11">
        <f>C5/C4</f>
        <v>0.765332526800417</v>
      </c>
      <c r="D3" s="11">
        <f ca="1">D5/D4</f>
        <v>0.754801716187497</v>
      </c>
      <c r="E3" s="12">
        <v>0.85773298597914</v>
      </c>
      <c r="F3" s="12">
        <v>0.849765184104018</v>
      </c>
      <c r="G3" s="12">
        <v>0.842881255307089</v>
      </c>
      <c r="H3" s="12">
        <v>0.807964902753429</v>
      </c>
      <c r="I3" s="12">
        <v>0.807392790353154</v>
      </c>
      <c r="J3" s="12">
        <v>0.801142453670043</v>
      </c>
      <c r="K3" s="12">
        <v>0.825426504639573</v>
      </c>
      <c r="L3" s="12">
        <v>0.825426504639573</v>
      </c>
      <c r="M3" s="12">
        <v>0.798250094511782</v>
      </c>
      <c r="N3" s="12">
        <v>0.72818262850129</v>
      </c>
      <c r="O3" s="12">
        <v>0.71757420685729</v>
      </c>
      <c r="P3" s="12">
        <v>0.721049437516372</v>
      </c>
      <c r="Q3" s="12">
        <v>0.754622467113567</v>
      </c>
      <c r="R3" s="12">
        <v>0.754622467113567</v>
      </c>
      <c r="S3" s="12">
        <v>0.737626347673945</v>
      </c>
      <c r="T3" s="12">
        <v>0.714368265168342</v>
      </c>
      <c r="U3" s="12">
        <v>0.748750213502783</v>
      </c>
      <c r="V3" s="12">
        <v>0.70982481330861</v>
      </c>
      <c r="W3" s="12">
        <v>0.72357832613893</v>
      </c>
      <c r="X3" s="12">
        <v>0.746821789966283</v>
      </c>
      <c r="Y3" s="12">
        <v>0.758589799205014</v>
      </c>
      <c r="Z3" s="12">
        <v>0.780611799952064</v>
      </c>
      <c r="AA3" s="12">
        <v>0.766878681633436</v>
      </c>
      <c r="AB3" s="12">
        <v>0.774721001396296</v>
      </c>
      <c r="AC3" s="12">
        <v>0.774807948346446</v>
      </c>
      <c r="AD3" s="12">
        <v>0.780372746135061</v>
      </c>
      <c r="AE3" s="20">
        <v>0.77455630146227</v>
      </c>
      <c r="AF3" s="20">
        <v>0.749525879311212</v>
      </c>
      <c r="AG3" s="12">
        <v>0.747869122854716</v>
      </c>
      <c r="AH3" s="20">
        <v>0.750612324904152</v>
      </c>
      <c r="AI3" s="20">
        <v>0.748239935300302</v>
      </c>
      <c r="AJ3" s="7">
        <f ca="1" t="shared" ref="AJ3:AJ8" si="0">LOOKUP(9E+307,E3:AI3)-OFFSET(E3,0,COUNTA(E3:AI3)-2,1,1)</f>
        <v>-0.00237238960385</v>
      </c>
    </row>
    <row r="4" ht="16.5" spans="1:36">
      <c r="A4" s="9" t="s">
        <v>22</v>
      </c>
      <c r="B4" s="10" t="s">
        <v>57</v>
      </c>
      <c r="C4" s="13">
        <f t="shared" ref="C4:C6" si="1">INT(AVERAGE(E4:AD4))</f>
        <v>29757</v>
      </c>
      <c r="D4" s="14">
        <f ca="1">INT(AVERAGE(OFFSET(E4,0,COUNTA(E4:AQ4)-1,1,1),OFFSET(E4,0,COUNTA(E4:AQ4)-2,1,1),OFFSET(E4,0,COUNTA(E4:AQ4)-3,1,1),OFFSET(E4,0,COUNTA(E4:AQ4)-4,1,1),OFFSET(E4,0,COUNTA(E4:AQ4)-5,1,1),OFFSET(E4,0,COUNTA(E4:AQ4)-6,1,1),OFFSET(E4,0,COUNTA(E4:AQ4)-7,1,1),))</f>
        <v>24939</v>
      </c>
      <c r="E4" s="15">
        <v>38944</v>
      </c>
      <c r="F4" s="15">
        <v>32000</v>
      </c>
      <c r="G4" s="15">
        <v>28453</v>
      </c>
      <c r="H4" s="15">
        <v>27630</v>
      </c>
      <c r="I4" s="15">
        <v>23913</v>
      </c>
      <c r="J4" s="15">
        <v>24227</v>
      </c>
      <c r="K4" s="15">
        <v>22318</v>
      </c>
      <c r="L4" s="15">
        <v>22318</v>
      </c>
      <c r="M4" s="15">
        <v>22839</v>
      </c>
      <c r="N4" s="15">
        <v>21688</v>
      </c>
      <c r="O4" s="15">
        <v>21846</v>
      </c>
      <c r="P4" s="15">
        <v>19298</v>
      </c>
      <c r="Q4" s="15">
        <v>20542</v>
      </c>
      <c r="R4" s="15">
        <v>20542</v>
      </c>
      <c r="S4" s="15">
        <v>23015</v>
      </c>
      <c r="T4" s="15">
        <v>20183</v>
      </c>
      <c r="U4" s="15">
        <v>21518</v>
      </c>
      <c r="V4" s="15">
        <v>31868</v>
      </c>
      <c r="W4" s="15">
        <v>39571</v>
      </c>
      <c r="X4" s="15">
        <v>38220</v>
      </c>
      <c r="Y4" s="15">
        <v>38983</v>
      </c>
      <c r="Z4" s="15">
        <v>42755</v>
      </c>
      <c r="AA4" s="15">
        <v>58968</v>
      </c>
      <c r="AB4" s="15">
        <v>45460</v>
      </c>
      <c r="AC4" s="15">
        <v>35444</v>
      </c>
      <c r="AD4" s="15">
        <v>31154</v>
      </c>
      <c r="AE4">
        <v>33753</v>
      </c>
      <c r="AF4">
        <v>32159</v>
      </c>
      <c r="AG4" s="15">
        <v>35864</v>
      </c>
      <c r="AH4">
        <v>39184</v>
      </c>
      <c r="AI4">
        <v>33293</v>
      </c>
      <c r="AJ4" s="22">
        <f ca="1" t="shared" si="0"/>
        <v>-5891</v>
      </c>
    </row>
    <row r="5" ht="16.5" spans="1:36">
      <c r="A5" s="9" t="s">
        <v>22</v>
      </c>
      <c r="B5" s="10" t="s">
        <v>59</v>
      </c>
      <c r="C5" s="13">
        <f t="shared" si="1"/>
        <v>22774</v>
      </c>
      <c r="D5" s="14">
        <f ca="1">INT(AVERAGE(OFFSET(E5,0,COUNTA(E5:AQ5)-1,1,1),OFFSET(E5,0,COUNTA(E5:AQ5)-2,1,1),OFFSET(E5,0,COUNTA(E5:AQ5)-3,1,1),OFFSET(E5,0,COUNTA(E5:AQ5)-4,1,1),OFFSET(E5,0,COUNTA(E5:AQ5)-5,1,1),OFFSET(E5,0,COUNTA(E5:AQ5)-6,1,1),OFFSET(E5,0,COUNTA(E5:AQ5)-7,1,1),))</f>
        <v>18824</v>
      </c>
      <c r="E5" s="15">
        <v>33358</v>
      </c>
      <c r="F5" s="15">
        <v>26967</v>
      </c>
      <c r="G5" s="15">
        <v>23858</v>
      </c>
      <c r="H5" s="15">
        <v>22127</v>
      </c>
      <c r="I5" s="15">
        <v>19204</v>
      </c>
      <c r="J5" s="15">
        <v>19314</v>
      </c>
      <c r="K5" s="15">
        <v>18259</v>
      </c>
      <c r="L5" s="15">
        <v>18259</v>
      </c>
      <c r="M5" s="15">
        <v>17560</v>
      </c>
      <c r="N5" s="15">
        <v>15539</v>
      </c>
      <c r="O5" s="15">
        <v>15311</v>
      </c>
      <c r="P5" s="15">
        <v>13691</v>
      </c>
      <c r="Q5" s="15">
        <v>15181</v>
      </c>
      <c r="R5" s="15">
        <v>15181</v>
      </c>
      <c r="S5" s="15">
        <v>16716</v>
      </c>
      <c r="T5" s="15">
        <v>13639</v>
      </c>
      <c r="U5" s="15">
        <v>15473</v>
      </c>
      <c r="V5" s="15">
        <v>22366</v>
      </c>
      <c r="W5" s="15">
        <v>28203</v>
      </c>
      <c r="X5" s="15">
        <v>28286</v>
      </c>
      <c r="Y5" s="15">
        <v>29540</v>
      </c>
      <c r="Z5" s="15">
        <v>33193</v>
      </c>
      <c r="AA5" s="15">
        <v>44813</v>
      </c>
      <c r="AB5" s="15">
        <v>34893</v>
      </c>
      <c r="AC5" s="15">
        <v>27040</v>
      </c>
      <c r="AD5" s="15">
        <v>24159</v>
      </c>
      <c r="AE5">
        <v>25991</v>
      </c>
      <c r="AF5">
        <v>23928</v>
      </c>
      <c r="AG5" s="15">
        <v>26814</v>
      </c>
      <c r="AH5">
        <v>29265</v>
      </c>
      <c r="AI5">
        <v>24852</v>
      </c>
      <c r="AJ5" s="22">
        <f ca="1" t="shared" si="0"/>
        <v>-4413</v>
      </c>
    </row>
    <row r="6" ht="16.5" spans="1:36">
      <c r="A6" s="9" t="s">
        <v>22</v>
      </c>
      <c r="B6" s="10" t="s">
        <v>4</v>
      </c>
      <c r="C6" s="13">
        <f t="shared" si="1"/>
        <v>437</v>
      </c>
      <c r="D6" s="14">
        <f ca="1">INT(AVERAGE(OFFSET(E6,0,COUNTA(E6:AQ6)-1,1,1),OFFSET(E6,0,COUNTA(E6:AQ6)-2,1,1),OFFSET(E6,0,COUNTA(E6:AQ6)-3,1,1),OFFSET(E6,0,COUNTA(E6:AQ6)-4,1,1),OFFSET(E6,0,COUNTA(E6:AQ6)-5,1,1),OFFSET(E6,0,COUNTA(E6:AQ6)-6,1,1),OFFSET(E6,0,COUNTA(E6:AQ6)-7,1,1),))</f>
        <v>360</v>
      </c>
      <c r="E6" s="15">
        <v>528</v>
      </c>
      <c r="F6" s="15">
        <v>450</v>
      </c>
      <c r="G6" s="15">
        <v>424</v>
      </c>
      <c r="H6" s="15">
        <v>418</v>
      </c>
      <c r="I6" s="15">
        <v>386</v>
      </c>
      <c r="J6" s="15">
        <v>380</v>
      </c>
      <c r="K6" s="15">
        <v>386</v>
      </c>
      <c r="L6" s="15">
        <v>386</v>
      </c>
      <c r="M6" s="15">
        <v>325</v>
      </c>
      <c r="N6" s="15">
        <v>377</v>
      </c>
      <c r="O6" s="15">
        <v>307</v>
      </c>
      <c r="P6" s="15">
        <v>326</v>
      </c>
      <c r="Q6" s="15">
        <v>327</v>
      </c>
      <c r="R6" s="15">
        <v>327</v>
      </c>
      <c r="S6" s="15">
        <v>325</v>
      </c>
      <c r="T6" s="15">
        <v>281</v>
      </c>
      <c r="U6" s="15">
        <v>359</v>
      </c>
      <c r="V6" s="15">
        <v>485</v>
      </c>
      <c r="W6" s="15">
        <v>591</v>
      </c>
      <c r="X6" s="15">
        <v>638</v>
      </c>
      <c r="Y6" s="15">
        <v>694</v>
      </c>
      <c r="Z6" s="15">
        <v>560</v>
      </c>
      <c r="AA6" s="15">
        <v>567</v>
      </c>
      <c r="AB6" s="15">
        <v>551</v>
      </c>
      <c r="AC6" s="15">
        <v>537</v>
      </c>
      <c r="AD6" s="15">
        <v>438</v>
      </c>
      <c r="AE6">
        <v>438</v>
      </c>
      <c r="AF6">
        <v>495</v>
      </c>
      <c r="AG6" s="15">
        <v>590</v>
      </c>
      <c r="AH6">
        <v>587</v>
      </c>
      <c r="AI6">
        <v>460</v>
      </c>
      <c r="AJ6" s="22">
        <f ca="1" t="shared" si="0"/>
        <v>-127</v>
      </c>
    </row>
    <row r="7" ht="16.5" spans="1:36">
      <c r="A7" s="9" t="s">
        <v>22</v>
      </c>
      <c r="B7" s="10" t="s">
        <v>5</v>
      </c>
      <c r="C7" s="11">
        <f>C6/C5</f>
        <v>0.0191885483446035</v>
      </c>
      <c r="D7" s="11">
        <f ca="1">D6/D5</f>
        <v>0.0191245218869528</v>
      </c>
      <c r="E7" s="12">
        <v>0.0171940811193899</v>
      </c>
      <c r="F7" s="12">
        <v>0.0174828784410084</v>
      </c>
      <c r="G7" s="12">
        <v>0.0205441285355776</v>
      </c>
      <c r="H7" s="12">
        <v>0.0193170394170483</v>
      </c>
      <c r="I7" s="12">
        <v>0.0230726415124141</v>
      </c>
      <c r="J7" s="12">
        <v>0.0206461664006782</v>
      </c>
      <c r="K7" s="12">
        <v>0.0195829083706118</v>
      </c>
      <c r="L7" s="12">
        <v>0.0195829083706118</v>
      </c>
      <c r="M7" s="12">
        <v>0.0172628470261151</v>
      </c>
      <c r="N7" s="12">
        <v>0.024129972404381</v>
      </c>
      <c r="O7" s="12">
        <v>0.0206365805329178</v>
      </c>
      <c r="P7" s="12">
        <v>0.023120146989716</v>
      </c>
      <c r="Q7" s="12">
        <v>0.0227777759761257</v>
      </c>
      <c r="R7" s="12">
        <v>0.0227777759761257</v>
      </c>
      <c r="S7" s="12">
        <v>0.0169533269147223</v>
      </c>
      <c r="T7" s="12">
        <v>0.0212872095479653</v>
      </c>
      <c r="U7" s="12">
        <v>0.0225082718600285</v>
      </c>
      <c r="V7" s="12">
        <v>0.018892810639375</v>
      </c>
      <c r="W7" s="12">
        <v>0.0205299015872773</v>
      </c>
      <c r="X7" s="12">
        <v>0.0220003152856595</v>
      </c>
      <c r="Y7" s="12">
        <v>0.0246027676735568</v>
      </c>
      <c r="Z7" s="12">
        <v>0.0177299509628389</v>
      </c>
      <c r="AA7" s="12">
        <v>0.0165939918367541</v>
      </c>
      <c r="AB7" s="12">
        <v>0.0160034438779361</v>
      </c>
      <c r="AC7" s="12">
        <v>0.0191098819949284</v>
      </c>
      <c r="AD7" s="12">
        <v>0.0168486372221207</v>
      </c>
      <c r="AE7" s="20">
        <v>0.0159790695459816</v>
      </c>
      <c r="AF7" s="20">
        <v>0.0186495721521904</v>
      </c>
      <c r="AG7" s="12">
        <v>0.0227734812782764</v>
      </c>
      <c r="AH7" s="20">
        <v>0.0224824262100181</v>
      </c>
      <c r="AI7" s="20">
        <v>0.0183034053233841</v>
      </c>
      <c r="AJ7" s="7">
        <f ca="1" t="shared" si="0"/>
        <v>-0.004179020886634</v>
      </c>
    </row>
    <row r="8" ht="16.5" spans="1:36">
      <c r="A8" s="9" t="s">
        <v>22</v>
      </c>
      <c r="B8" s="10" t="s">
        <v>6</v>
      </c>
      <c r="C8" s="13">
        <f t="shared" ref="C8:C14" si="2">INT(AVERAGE(E8:AD8))</f>
        <v>144</v>
      </c>
      <c r="D8" s="14">
        <f ca="1">INT(AVERAGE(OFFSET(E8,0,COUNTA(E8:AQ8)-1,1,1),OFFSET(E8,0,COUNTA(E8:AQ8)-2,1,1),OFFSET(E8,0,COUNTA(E8:AQ8)-3,1,1),OFFSET(E8,0,COUNTA(E8:AQ8)-4,1,1),OFFSET(E8,0,COUNTA(E8:AQ8)-5,1,1),OFFSET(E8,0,COUNTA(E8:AQ8)-6,1,1),OFFSET(E8,0,COUNTA(E8:AQ8)-7,1,1),))</f>
        <v>110</v>
      </c>
      <c r="E8" s="15">
        <v>206</v>
      </c>
      <c r="F8" s="15">
        <v>174</v>
      </c>
      <c r="G8" s="15">
        <v>139</v>
      </c>
      <c r="H8" s="15">
        <v>149</v>
      </c>
      <c r="I8" s="15">
        <v>131</v>
      </c>
      <c r="J8" s="15">
        <v>115</v>
      </c>
      <c r="K8" s="15">
        <v>148</v>
      </c>
      <c r="L8" s="15">
        <v>148</v>
      </c>
      <c r="M8" s="15">
        <v>122</v>
      </c>
      <c r="N8" s="15">
        <v>115</v>
      </c>
      <c r="O8" s="15">
        <v>119</v>
      </c>
      <c r="P8" s="15">
        <v>104</v>
      </c>
      <c r="Q8" s="15">
        <v>140</v>
      </c>
      <c r="R8" s="15">
        <v>140</v>
      </c>
      <c r="S8" s="15">
        <v>126</v>
      </c>
      <c r="T8" s="15">
        <v>96</v>
      </c>
      <c r="U8" s="15">
        <v>85</v>
      </c>
      <c r="V8" s="15">
        <v>142</v>
      </c>
      <c r="W8" s="15">
        <v>176</v>
      </c>
      <c r="X8" s="15">
        <v>159</v>
      </c>
      <c r="Y8" s="15">
        <v>198</v>
      </c>
      <c r="Z8" s="15">
        <v>181</v>
      </c>
      <c r="AA8" s="15">
        <v>159</v>
      </c>
      <c r="AB8" s="15">
        <v>167</v>
      </c>
      <c r="AC8" s="15">
        <v>168</v>
      </c>
      <c r="AD8" s="15">
        <v>159</v>
      </c>
      <c r="AE8">
        <v>127</v>
      </c>
      <c r="AF8">
        <v>149</v>
      </c>
      <c r="AG8" s="15">
        <v>192</v>
      </c>
      <c r="AH8">
        <v>196</v>
      </c>
      <c r="AI8">
        <v>129</v>
      </c>
      <c r="AJ8" s="22">
        <f ca="1" t="shared" si="0"/>
        <v>-67</v>
      </c>
    </row>
    <row r="9" ht="17.25" spans="1:36">
      <c r="A9" s="16" t="s">
        <v>22</v>
      </c>
      <c r="B9" s="17" t="s">
        <v>64</v>
      </c>
      <c r="C9" s="18">
        <f>C8/C6</f>
        <v>0.329519450800915</v>
      </c>
      <c r="D9" s="18">
        <f ca="1">D8/D6</f>
        <v>0.305555555555556</v>
      </c>
      <c r="E9" s="12">
        <v>0.422469895414391</v>
      </c>
      <c r="F9" s="12">
        <v>0.880568907613481</v>
      </c>
      <c r="G9" s="12">
        <v>0.325266963391963</v>
      </c>
      <c r="H9" s="12">
        <v>0.41245830985852</v>
      </c>
      <c r="I9" s="12">
        <v>0.429791404854923</v>
      </c>
      <c r="J9" s="12">
        <v>0.3615046049657</v>
      </c>
      <c r="K9" s="12">
        <v>0.641531924457316</v>
      </c>
      <c r="L9" s="12">
        <v>0.641531924457316</v>
      </c>
      <c r="M9" s="12">
        <v>0.678584385625476</v>
      </c>
      <c r="N9" s="12">
        <v>0.418419791673468</v>
      </c>
      <c r="O9" s="12">
        <v>0.856625998584711</v>
      </c>
      <c r="P9" s="12">
        <v>0.391968613734167</v>
      </c>
      <c r="Q9" s="12">
        <v>0.522398694726419</v>
      </c>
      <c r="R9" s="12">
        <v>0.522398694726419</v>
      </c>
      <c r="S9" s="12">
        <v>0.747076475889798</v>
      </c>
      <c r="T9" s="12">
        <v>0.450265719745125</v>
      </c>
      <c r="U9" s="12">
        <v>0.702109606580528</v>
      </c>
      <c r="V9" s="12">
        <v>0.79245488267582</v>
      </c>
      <c r="W9" s="12">
        <v>0.32529539725435</v>
      </c>
      <c r="X9" s="12">
        <v>0.362446372350931</v>
      </c>
      <c r="Y9" s="12">
        <v>0.417593194017205</v>
      </c>
      <c r="Z9" s="12">
        <v>0.276328662704779</v>
      </c>
      <c r="AA9" s="12">
        <v>0.515272738378548</v>
      </c>
      <c r="AB9" s="12">
        <v>0.540032022322872</v>
      </c>
      <c r="AC9" s="12">
        <v>0.686246624438627</v>
      </c>
      <c r="AD9" s="12">
        <v>1.07654324110883</v>
      </c>
      <c r="AE9" s="20">
        <v>0.932743772386691</v>
      </c>
      <c r="AF9" s="20">
        <v>0.693378640263175</v>
      </c>
      <c r="AG9" s="12">
        <v>0.424012892001214</v>
      </c>
      <c r="AH9" s="20">
        <v>0.40798075793568</v>
      </c>
      <c r="AI9" s="20">
        <v>0.741193546830802</v>
      </c>
      <c r="AJ9" s="7">
        <f ca="1">LOOKUP(9E+307,E9:AL9)-OFFSET(E9,0,COUNTA(E9:AL9)-2,1,1)</f>
        <v>0</v>
      </c>
    </row>
    <row r="10" ht="16.5" spans="1:36">
      <c r="A10" s="4" t="s">
        <v>66</v>
      </c>
      <c r="B10" s="5" t="s">
        <v>7772</v>
      </c>
      <c r="C10" s="6">
        <f>AVERAGE(E10:AD10)</f>
        <v>0.661779827544095</v>
      </c>
      <c r="D10" s="7">
        <f ca="1">AVERAGE(OFFSET(E10,0,COUNTA(E10:AQ10)-1,1,1),OFFSET(E10,0,COUNTA(E10:AQ10)-2,1,1),OFFSET(E10,0,COUNTA(E10:AQ10)-3,1,1),OFFSET(E10,0,COUNTA(E10:AQ10)-4,1,1),OFFSET(E10,0,COUNTA(E10:AQ10)-5,1,1),OFFSET(E10,0,COUNTA(E10:AQ10)-6,1,1),OFFSET(E10,0,COUNTA(E10:AQ10)-7,1,1),)</f>
        <v>0.520502213462853</v>
      </c>
      <c r="E10" s="8">
        <v>0.622739625455214</v>
      </c>
      <c r="F10" s="8">
        <v>0.631233276314528</v>
      </c>
      <c r="G10" s="8">
        <v>0.631188780982113</v>
      </c>
      <c r="H10" s="8">
        <v>0.637485463089566</v>
      </c>
      <c r="I10" s="8">
        <v>0.640796425216788</v>
      </c>
      <c r="J10" s="8">
        <v>0.640775627304924</v>
      </c>
      <c r="K10" s="8">
        <v>0.647586200632787</v>
      </c>
      <c r="L10" s="8">
        <v>0.647586200632787</v>
      </c>
      <c r="M10" s="8">
        <v>0.64757568820622</v>
      </c>
      <c r="N10" s="8">
        <v>0.654543718383634</v>
      </c>
      <c r="O10" s="8">
        <v>0.654409955831166</v>
      </c>
      <c r="P10" s="8">
        <v>0.663067515947425</v>
      </c>
      <c r="Q10" s="8">
        <v>0.662908528405123</v>
      </c>
      <c r="R10" s="8">
        <v>0.662908528405123</v>
      </c>
      <c r="S10" s="8">
        <v>0.668086598997163</v>
      </c>
      <c r="T10" s="8">
        <v>0.668417268652302</v>
      </c>
      <c r="U10" s="8">
        <v>0.673753314521597</v>
      </c>
      <c r="V10" s="8">
        <v>0.675992305857726</v>
      </c>
      <c r="W10" s="8">
        <v>0.678580224577771</v>
      </c>
      <c r="X10" s="8">
        <v>0.678606413739457</v>
      </c>
      <c r="Y10" s="8">
        <v>0.682706150409177</v>
      </c>
      <c r="Z10" s="8">
        <v>0.684565301572927</v>
      </c>
      <c r="AA10" s="8">
        <v>0.684219997970896</v>
      </c>
      <c r="AB10" s="8">
        <v>0.688138650212606</v>
      </c>
      <c r="AC10" s="8">
        <v>0.687370181119916</v>
      </c>
      <c r="AD10" s="8">
        <v>0.691033573707544</v>
      </c>
      <c r="AE10" s="20">
        <v>0.690884043973385</v>
      </c>
      <c r="AF10" s="20">
        <v>0.693997776417646</v>
      </c>
      <c r="AG10" s="8">
        <v>0.694047396843303</v>
      </c>
      <c r="AH10" s="20">
        <v>0.697209106088045</v>
      </c>
      <c r="AI10" s="20">
        <v>0.697027458380471</v>
      </c>
      <c r="AJ10" s="7">
        <f ca="1" t="shared" ref="AJ10:AJ16" si="3">LOOKUP(9E+307,E10:AI10)-OFFSET(E10,0,COUNTA(E10:AI10)-2,1,1)</f>
        <v>-0.000181647707574006</v>
      </c>
    </row>
    <row r="11" ht="16.5" spans="1:36">
      <c r="A11" s="9" t="s">
        <v>66</v>
      </c>
      <c r="B11" s="10" t="s">
        <v>55</v>
      </c>
      <c r="C11" s="11">
        <f>C13/C12</f>
        <v>0.816354190196521</v>
      </c>
      <c r="D11" s="11">
        <f ca="1">D13/D12</f>
        <v>0.793791574279379</v>
      </c>
      <c r="E11" s="12">
        <v>0.84922319909613</v>
      </c>
      <c r="F11" s="12">
        <v>0.809599944360108</v>
      </c>
      <c r="G11" s="12">
        <v>0.807642149733861</v>
      </c>
      <c r="H11" s="12">
        <v>0.776012469453525</v>
      </c>
      <c r="I11" s="12">
        <v>0.784556576261284</v>
      </c>
      <c r="J11" s="12">
        <v>0.783579074403636</v>
      </c>
      <c r="K11" s="12">
        <v>0.80763467383758</v>
      </c>
      <c r="L11" s="12">
        <v>0.80763467383758</v>
      </c>
      <c r="M11" s="12">
        <v>0.807119564935801</v>
      </c>
      <c r="N11" s="12">
        <v>0.825260457730272</v>
      </c>
      <c r="O11" s="12">
        <v>0.818438567554387</v>
      </c>
      <c r="P11" s="12">
        <v>0.862036388459494</v>
      </c>
      <c r="Q11" s="12">
        <v>0.857823218588482</v>
      </c>
      <c r="R11" s="12">
        <v>0.857823218588482</v>
      </c>
      <c r="S11" s="12">
        <v>0.822811385986978</v>
      </c>
      <c r="T11" s="12">
        <v>0.831904801503309</v>
      </c>
      <c r="U11" s="12">
        <v>0.824297984452573</v>
      </c>
      <c r="V11" s="12">
        <v>0.888109237532244</v>
      </c>
      <c r="W11" s="12">
        <v>0.797593684576788</v>
      </c>
      <c r="X11" s="12">
        <v>0.798366264846508</v>
      </c>
      <c r="Y11" s="12">
        <v>0.801887676392782</v>
      </c>
      <c r="Z11" s="12">
        <v>0.800582958449083</v>
      </c>
      <c r="AA11" s="12">
        <v>0.789878546786114</v>
      </c>
      <c r="AB11" s="12">
        <v>0.803037428732452</v>
      </c>
      <c r="AC11" s="12">
        <v>0.778446417766377</v>
      </c>
      <c r="AD11" s="12">
        <v>0.798323563596559</v>
      </c>
      <c r="AE11" s="20">
        <v>0.793389082369311</v>
      </c>
      <c r="AF11" s="20">
        <v>0.795630325508599</v>
      </c>
      <c r="AG11" s="12">
        <v>0.797317419980945</v>
      </c>
      <c r="AH11" s="20">
        <v>0.802243953599823</v>
      </c>
      <c r="AI11" s="20">
        <v>0.795886283834748</v>
      </c>
      <c r="AJ11" s="7">
        <f ca="1" t="shared" si="3"/>
        <v>-0.00635766976507501</v>
      </c>
    </row>
    <row r="12" ht="16.5" spans="1:36">
      <c r="A12" s="9" t="s">
        <v>66</v>
      </c>
      <c r="B12" s="10" t="s">
        <v>57</v>
      </c>
      <c r="C12" s="13">
        <f t="shared" si="2"/>
        <v>4427</v>
      </c>
      <c r="D12" s="14">
        <f ca="1">INT(AVERAGE(OFFSET(E12,0,COUNTA(E12:AQ12)-1,1,1),OFFSET(E12,0,COUNTA(E12:AQ12)-2,1,1),OFFSET(E12,0,COUNTA(E12:AQ12)-3,1,1),OFFSET(E12,0,COUNTA(E12:AQ12)-4,1,1),OFFSET(E12,0,COUNTA(E12:AQ12)-5,1,1),OFFSET(E12,0,COUNTA(E12:AQ12)-6,1,1),OFFSET(E12,0,COUNTA(E12:AQ12)-7,1,1),))</f>
        <v>2255</v>
      </c>
      <c r="E12" s="15">
        <v>4255</v>
      </c>
      <c r="F12" s="15">
        <v>3641</v>
      </c>
      <c r="G12" s="15">
        <v>3208</v>
      </c>
      <c r="H12" s="15">
        <v>3227</v>
      </c>
      <c r="I12" s="15">
        <v>2821</v>
      </c>
      <c r="J12" s="15">
        <v>2962</v>
      </c>
      <c r="K12" s="15">
        <v>2722</v>
      </c>
      <c r="L12" s="15">
        <v>2722</v>
      </c>
      <c r="M12" s="15">
        <v>2892</v>
      </c>
      <c r="N12" s="15">
        <v>3067</v>
      </c>
      <c r="O12" s="15">
        <v>2816</v>
      </c>
      <c r="P12" s="15">
        <v>3252</v>
      </c>
      <c r="Q12" s="15">
        <v>3650</v>
      </c>
      <c r="R12" s="15">
        <v>3650</v>
      </c>
      <c r="S12" s="15">
        <v>4264</v>
      </c>
      <c r="T12" s="15">
        <v>4508</v>
      </c>
      <c r="U12" s="15">
        <v>4418</v>
      </c>
      <c r="V12" s="15">
        <v>13385</v>
      </c>
      <c r="W12" s="15">
        <v>6283</v>
      </c>
      <c r="X12" s="15">
        <v>7121</v>
      </c>
      <c r="Y12" s="15">
        <v>6565</v>
      </c>
      <c r="Z12" s="15">
        <v>6262</v>
      </c>
      <c r="AA12" s="15">
        <v>5768</v>
      </c>
      <c r="AB12" s="15">
        <v>4560</v>
      </c>
      <c r="AC12" s="15">
        <v>3776</v>
      </c>
      <c r="AD12" s="15">
        <v>3330</v>
      </c>
      <c r="AE12">
        <v>3416</v>
      </c>
      <c r="AF12">
        <v>2768</v>
      </c>
      <c r="AG12" s="15">
        <v>2994</v>
      </c>
      <c r="AH12">
        <v>2762</v>
      </c>
      <c r="AI12">
        <v>2768</v>
      </c>
      <c r="AJ12" s="22">
        <f ca="1" t="shared" si="3"/>
        <v>6</v>
      </c>
    </row>
    <row r="13" ht="16.5" spans="1:36">
      <c r="A13" s="9" t="s">
        <v>66</v>
      </c>
      <c r="B13" s="10" t="s">
        <v>59</v>
      </c>
      <c r="C13" s="13">
        <f t="shared" si="2"/>
        <v>3614</v>
      </c>
      <c r="D13" s="14">
        <f ca="1">INT(AVERAGE(OFFSET(E13,0,COUNTA(E13:AQ13)-1,1,1),OFFSET(E13,0,COUNTA(E13:AQ13)-2,1,1),OFFSET(E13,0,COUNTA(E13:AQ13)-3,1,1),OFFSET(E13,0,COUNTA(E13:AQ13)-4,1,1),OFFSET(E13,0,COUNTA(E13:AQ13)-5,1,1),OFFSET(E13,0,COUNTA(E13:AQ13)-6,1,1),OFFSET(E13,0,COUNTA(E13:AQ13)-7,1,1),))</f>
        <v>1790</v>
      </c>
      <c r="E13" s="15">
        <v>3592</v>
      </c>
      <c r="F13" s="15">
        <v>2945</v>
      </c>
      <c r="G13" s="15">
        <v>2574</v>
      </c>
      <c r="H13" s="15">
        <v>2467</v>
      </c>
      <c r="I13" s="15">
        <v>2224</v>
      </c>
      <c r="J13" s="15">
        <v>2262</v>
      </c>
      <c r="K13" s="15">
        <v>2179</v>
      </c>
      <c r="L13" s="15">
        <v>2179</v>
      </c>
      <c r="M13" s="15">
        <v>2336</v>
      </c>
      <c r="N13" s="15">
        <v>2524</v>
      </c>
      <c r="O13" s="15">
        <v>2292</v>
      </c>
      <c r="P13" s="15">
        <v>2773</v>
      </c>
      <c r="Q13" s="15">
        <v>3088</v>
      </c>
      <c r="R13" s="15">
        <v>3088</v>
      </c>
      <c r="S13" s="15">
        <v>3495</v>
      </c>
      <c r="T13" s="15">
        <v>3730</v>
      </c>
      <c r="U13" s="15">
        <v>3638</v>
      </c>
      <c r="V13" s="15">
        <v>11901</v>
      </c>
      <c r="W13" s="15">
        <v>4993</v>
      </c>
      <c r="X13" s="15">
        <v>5674</v>
      </c>
      <c r="Y13" s="15">
        <v>5250</v>
      </c>
      <c r="Z13" s="15">
        <v>4993</v>
      </c>
      <c r="AA13" s="15">
        <v>4549</v>
      </c>
      <c r="AB13" s="15">
        <v>3639</v>
      </c>
      <c r="AC13" s="15">
        <v>2945</v>
      </c>
      <c r="AD13" s="15">
        <v>2648</v>
      </c>
      <c r="AE13">
        <v>2707</v>
      </c>
      <c r="AF13">
        <v>2184</v>
      </c>
      <c r="AG13" s="15">
        <v>2374</v>
      </c>
      <c r="AH13">
        <v>2213</v>
      </c>
      <c r="AI13">
        <v>2205</v>
      </c>
      <c r="AJ13" s="22">
        <f ca="1" t="shared" si="3"/>
        <v>-8</v>
      </c>
    </row>
    <row r="14" ht="16.5" spans="1:36">
      <c r="A14" s="9" t="s">
        <v>66</v>
      </c>
      <c r="B14" s="10" t="s">
        <v>4</v>
      </c>
      <c r="C14" s="13">
        <f t="shared" si="2"/>
        <v>66</v>
      </c>
      <c r="D14" s="14">
        <f ca="1">INT(AVERAGE(OFFSET(E14,0,COUNTA(E14:AQ14)-1,1,1),OFFSET(E14,0,COUNTA(E14:AQ14)-2,1,1),OFFSET(E14,0,COUNTA(E14:AQ14)-3,1,1),OFFSET(E14,0,COUNTA(E14:AQ14)-4,1,1),OFFSET(E14,0,COUNTA(E14:AQ14)-5,1,1),OFFSET(E14,0,COUNTA(E14:AQ14)-6,1,1),OFFSET(E14,0,COUNTA(E14:AQ14)-7,1,1),))</f>
        <v>25</v>
      </c>
      <c r="E14" s="15">
        <v>78</v>
      </c>
      <c r="F14" s="15">
        <v>67</v>
      </c>
      <c r="G14" s="15">
        <v>54</v>
      </c>
      <c r="H14" s="15">
        <v>56</v>
      </c>
      <c r="I14" s="15">
        <v>60</v>
      </c>
      <c r="J14" s="15">
        <v>55</v>
      </c>
      <c r="K14" s="15">
        <v>38</v>
      </c>
      <c r="L14" s="15">
        <v>38</v>
      </c>
      <c r="M14" s="15">
        <v>60</v>
      </c>
      <c r="N14" s="15">
        <v>88</v>
      </c>
      <c r="O14" s="15">
        <v>58</v>
      </c>
      <c r="P14" s="15">
        <v>53</v>
      </c>
      <c r="Q14" s="15">
        <v>62</v>
      </c>
      <c r="R14" s="15">
        <v>62</v>
      </c>
      <c r="S14" s="15">
        <v>63</v>
      </c>
      <c r="T14" s="15">
        <v>84</v>
      </c>
      <c r="U14" s="15">
        <v>101</v>
      </c>
      <c r="V14" s="15">
        <v>83</v>
      </c>
      <c r="W14" s="15">
        <v>93</v>
      </c>
      <c r="X14" s="15">
        <v>107</v>
      </c>
      <c r="Y14" s="15">
        <v>86</v>
      </c>
      <c r="Z14" s="15">
        <v>53</v>
      </c>
      <c r="AA14" s="15">
        <v>74</v>
      </c>
      <c r="AB14" s="15">
        <v>78</v>
      </c>
      <c r="AC14" s="15">
        <v>49</v>
      </c>
      <c r="AD14" s="15">
        <v>30</v>
      </c>
      <c r="AE14">
        <v>50</v>
      </c>
      <c r="AF14">
        <v>25</v>
      </c>
      <c r="AG14" s="15">
        <v>36</v>
      </c>
      <c r="AH14">
        <v>36</v>
      </c>
      <c r="AI14">
        <v>31</v>
      </c>
      <c r="AJ14" s="22">
        <f ca="1" t="shared" si="3"/>
        <v>-5</v>
      </c>
    </row>
    <row r="15" ht="16.5" spans="1:36">
      <c r="A15" s="9" t="s">
        <v>66</v>
      </c>
      <c r="B15" s="10" t="s">
        <v>5</v>
      </c>
      <c r="C15" s="11">
        <f>C14/C13</f>
        <v>0.018262313226342</v>
      </c>
      <c r="D15" s="11">
        <f ca="1">D14/D13</f>
        <v>0.0139664804469274</v>
      </c>
      <c r="E15" s="12">
        <v>0.0215820432036147</v>
      </c>
      <c r="F15" s="12">
        <v>0.0208593765213596</v>
      </c>
      <c r="G15" s="12">
        <v>0.0223371448562918</v>
      </c>
      <c r="H15" s="12">
        <v>0.0213146226860639</v>
      </c>
      <c r="I15" s="12">
        <v>0.0279964108377779</v>
      </c>
      <c r="J15" s="12">
        <v>0.024506250053191</v>
      </c>
      <c r="K15" s="12">
        <v>0.0156856510535169</v>
      </c>
      <c r="L15" s="12">
        <v>0.0156856510535169</v>
      </c>
      <c r="M15" s="12">
        <v>0.0206702305861531</v>
      </c>
      <c r="N15" s="12">
        <v>0.0314848025062616</v>
      </c>
      <c r="O15" s="12">
        <v>0.0258793958748198</v>
      </c>
      <c r="P15" s="12">
        <v>0.0201724274110208</v>
      </c>
      <c r="Q15" s="12">
        <v>0.0193100516677664</v>
      </c>
      <c r="R15" s="12">
        <v>0.0193100516677664</v>
      </c>
      <c r="S15" s="12">
        <v>0.0160036548456776</v>
      </c>
      <c r="T15" s="12">
        <v>0.0214584980259865</v>
      </c>
      <c r="U15" s="12">
        <v>0.0253130879821636</v>
      </c>
      <c r="V15" s="12">
        <v>0.00648920409212952</v>
      </c>
      <c r="W15" s="12">
        <v>0.0182442922128091</v>
      </c>
      <c r="X15" s="12">
        <v>0.0171830947900482</v>
      </c>
      <c r="Y15" s="12">
        <v>0.0160773425172981</v>
      </c>
      <c r="Z15" s="12">
        <v>0.0107608945965737</v>
      </c>
      <c r="AA15" s="12">
        <v>0.0159772646802432</v>
      </c>
      <c r="AB15" s="12">
        <v>0.0205698145988421</v>
      </c>
      <c r="AC15" s="12">
        <v>0.0148527737436323</v>
      </c>
      <c r="AD15" s="12">
        <v>0.0114375366281366</v>
      </c>
      <c r="AE15" s="20">
        <v>0.0171374115380558</v>
      </c>
      <c r="AF15" s="20">
        <v>0.0105774121513916</v>
      </c>
      <c r="AG15" s="12">
        <v>0.0137486302583464</v>
      </c>
      <c r="AH15" s="20">
        <v>0.0167545252450511</v>
      </c>
      <c r="AI15" s="20">
        <v>0.0130805006192462</v>
      </c>
      <c r="AJ15" s="7">
        <f ca="1" t="shared" si="3"/>
        <v>-0.0036740246258049</v>
      </c>
    </row>
    <row r="16" ht="16.5" spans="1:36">
      <c r="A16" s="9" t="s">
        <v>66</v>
      </c>
      <c r="B16" s="10" t="s">
        <v>6</v>
      </c>
      <c r="C16" s="13">
        <f t="shared" ref="C16:C22" si="4">INT(AVERAGE(E16:AD16))</f>
        <v>20</v>
      </c>
      <c r="D16" s="14">
        <f ca="1">INT(AVERAGE(OFFSET(E16,0,COUNTA(E16:AQ16)-1,1,1),OFFSET(E16,0,COUNTA(E16:AQ16)-2,1,1),OFFSET(E16,0,COUNTA(E16:AQ16)-3,1,1),OFFSET(E16,0,COUNTA(E16:AQ16)-4,1,1),OFFSET(E16,0,COUNTA(E16:AQ16)-5,1,1),OFFSET(E16,0,COUNTA(E16:AQ16)-6,1,1),OFFSET(E16,0,COUNTA(E16:AQ16)-7,1,1),))</f>
        <v>10</v>
      </c>
      <c r="E16" s="15">
        <v>28</v>
      </c>
      <c r="F16" s="15">
        <v>24</v>
      </c>
      <c r="G16" s="15">
        <v>11</v>
      </c>
      <c r="H16" s="15">
        <v>15</v>
      </c>
      <c r="I16" s="15">
        <v>12</v>
      </c>
      <c r="J16" s="15">
        <v>11</v>
      </c>
      <c r="K16" s="15">
        <v>17</v>
      </c>
      <c r="L16" s="15">
        <v>17</v>
      </c>
      <c r="M16" s="15">
        <v>18</v>
      </c>
      <c r="N16" s="15">
        <v>18</v>
      </c>
      <c r="O16" s="15">
        <v>17</v>
      </c>
      <c r="P16" s="15">
        <v>24</v>
      </c>
      <c r="Q16" s="15">
        <v>23</v>
      </c>
      <c r="R16" s="15">
        <v>23</v>
      </c>
      <c r="S16" s="15">
        <v>16</v>
      </c>
      <c r="T16" s="15">
        <v>20</v>
      </c>
      <c r="U16" s="15">
        <v>34</v>
      </c>
      <c r="V16" s="15">
        <v>28</v>
      </c>
      <c r="W16" s="15">
        <v>27</v>
      </c>
      <c r="X16" s="15">
        <v>20</v>
      </c>
      <c r="Y16" s="15">
        <v>13</v>
      </c>
      <c r="Z16" s="15">
        <v>18</v>
      </c>
      <c r="AA16" s="15">
        <v>34</v>
      </c>
      <c r="AB16" s="15">
        <v>25</v>
      </c>
      <c r="AC16" s="15">
        <v>29</v>
      </c>
      <c r="AD16" s="15">
        <v>17</v>
      </c>
      <c r="AE16">
        <v>14</v>
      </c>
      <c r="AF16">
        <v>16</v>
      </c>
      <c r="AG16" s="15">
        <v>17</v>
      </c>
      <c r="AH16">
        <v>22</v>
      </c>
      <c r="AI16">
        <v>10</v>
      </c>
      <c r="AJ16" s="22">
        <f ca="1" t="shared" si="3"/>
        <v>-12</v>
      </c>
    </row>
    <row r="17" ht="17.25" spans="1:36">
      <c r="A17" s="16" t="s">
        <v>66</v>
      </c>
      <c r="B17" s="17" t="s">
        <v>64</v>
      </c>
      <c r="C17" s="18">
        <f>C16/C14</f>
        <v>0.303030303030303</v>
      </c>
      <c r="D17" s="18">
        <f ca="1">D16/D14</f>
        <v>0.4</v>
      </c>
      <c r="E17" s="19">
        <v>0.336955636955637</v>
      </c>
      <c r="F17" s="19">
        <v>0.61377442002442</v>
      </c>
      <c r="G17" s="19">
        <v>0.174305555555556</v>
      </c>
      <c r="H17" s="19">
        <v>0.251709401709402</v>
      </c>
      <c r="I17" s="19">
        <v>0.321064814814815</v>
      </c>
      <c r="J17" s="19">
        <v>0.234722222222222</v>
      </c>
      <c r="K17" s="19">
        <v>0.194444444444444</v>
      </c>
      <c r="L17" s="19">
        <v>0.194444444444444</v>
      </c>
      <c r="M17" s="19">
        <v>0.539665032679739</v>
      </c>
      <c r="N17" s="19">
        <v>0.185648148148148</v>
      </c>
      <c r="O17" s="19">
        <v>0.312205387205387</v>
      </c>
      <c r="P17" s="19">
        <v>0.524404761904762</v>
      </c>
      <c r="Q17" s="19">
        <v>0.30734126984127</v>
      </c>
      <c r="R17" s="19">
        <v>0.30734126984127</v>
      </c>
      <c r="S17" s="19">
        <v>0.444301994301994</v>
      </c>
      <c r="T17" s="19">
        <v>0.217129745254745</v>
      </c>
      <c r="U17" s="19">
        <v>0.345294574706339</v>
      </c>
      <c r="V17" s="19">
        <v>0.411489898989899</v>
      </c>
      <c r="W17" s="19">
        <v>0.386637899137899</v>
      </c>
      <c r="X17" s="19">
        <v>0.186471560846561</v>
      </c>
      <c r="Y17" s="19">
        <v>0.155893874643875</v>
      </c>
      <c r="Z17" s="19">
        <v>0.301587301587302</v>
      </c>
      <c r="AA17" s="19">
        <v>0.637466931216931</v>
      </c>
      <c r="AB17" s="19">
        <v>0.308730158730159</v>
      </c>
      <c r="AC17" s="19">
        <v>0.59375</v>
      </c>
      <c r="AD17" s="19">
        <v>0.416666666666667</v>
      </c>
      <c r="AE17" s="20">
        <v>0.256349206349206</v>
      </c>
      <c r="AF17" s="20">
        <v>0.518055555555556</v>
      </c>
      <c r="AG17" s="19">
        <v>0.391369047619048</v>
      </c>
      <c r="AH17" s="20">
        <v>0.622222222222222</v>
      </c>
      <c r="AI17" s="20">
        <v>0.354166666666667</v>
      </c>
      <c r="AJ17" s="7">
        <f ca="1">LOOKUP(9E+307,E17:AL17)-OFFSET(E17,0,COUNTA(E17:AL17)-2,1,1)</f>
        <v>0</v>
      </c>
    </row>
    <row r="18" ht="16.5" spans="1:36">
      <c r="A18" s="4" t="s">
        <v>67</v>
      </c>
      <c r="B18" s="5" t="s">
        <v>7772</v>
      </c>
      <c r="C18" s="6">
        <f>AVERAGE(E18:AD18)</f>
        <v>0.81387846076584</v>
      </c>
      <c r="D18" s="7">
        <f ca="1">AVERAGE(OFFSET(E18,0,COUNTA(E18:AQ18)-1,1,1),OFFSET(E18,0,COUNTA(E18:AQ18)-2,1,1),OFFSET(E18,0,COUNTA(E18:AQ18)-3,1,1),OFFSET(E18,0,COUNTA(E18:AQ18)-4,1,1),OFFSET(E18,0,COUNTA(E18:AQ18)-5,1,1),OFFSET(E18,0,COUNTA(E18:AQ18)-6,1,1),OFFSET(E18,0,COUNTA(E18:AQ18)-7,1,1),)</f>
        <v>0.599799220286306</v>
      </c>
      <c r="E18" s="8">
        <v>0.899814935353583</v>
      </c>
      <c r="F18" s="8">
        <v>0.874866607213964</v>
      </c>
      <c r="G18" s="8">
        <v>0.87434539842712</v>
      </c>
      <c r="H18" s="8">
        <v>0.851769989058917</v>
      </c>
      <c r="I18" s="8">
        <v>0.839791274713389</v>
      </c>
      <c r="J18" s="8">
        <v>0.839840612383939</v>
      </c>
      <c r="K18" s="8">
        <v>0.821805380811994</v>
      </c>
      <c r="L18" s="8">
        <v>0.821805380811994</v>
      </c>
      <c r="M18" s="8">
        <v>0.82213629744605</v>
      </c>
      <c r="N18" s="8">
        <v>0.808075430581599</v>
      </c>
      <c r="O18" s="8">
        <v>0.809142682178118</v>
      </c>
      <c r="P18" s="8">
        <v>0.797866498562538</v>
      </c>
      <c r="Q18" s="8">
        <v>0.799855044670067</v>
      </c>
      <c r="R18" s="8">
        <v>0.799855044670067</v>
      </c>
      <c r="S18" s="8">
        <v>0.791841980270057</v>
      </c>
      <c r="T18" s="8">
        <v>0.79533799748925</v>
      </c>
      <c r="U18" s="8">
        <v>0.79490004428267</v>
      </c>
      <c r="V18" s="8">
        <v>0.794829848823599</v>
      </c>
      <c r="W18" s="8">
        <v>0.794154189287354</v>
      </c>
      <c r="X18" s="8">
        <v>0.794535802348321</v>
      </c>
      <c r="Y18" s="8">
        <v>0.789604642451492</v>
      </c>
      <c r="Z18" s="8">
        <v>0.789402132736544</v>
      </c>
      <c r="AA18" s="8">
        <v>0.789235679089708</v>
      </c>
      <c r="AB18" s="8">
        <v>0.788843283535</v>
      </c>
      <c r="AC18" s="8">
        <v>0.789773565295717</v>
      </c>
      <c r="AD18" s="8">
        <v>0.787410237418797</v>
      </c>
      <c r="AE18" s="20">
        <v>0.791054515785302</v>
      </c>
      <c r="AF18" s="20">
        <v>0.795455606225178</v>
      </c>
      <c r="AG18" s="8">
        <v>0.797613603487442</v>
      </c>
      <c r="AH18" s="20">
        <v>0.807526637979463</v>
      </c>
      <c r="AI18" s="20">
        <v>0.813429899686866</v>
      </c>
      <c r="AJ18" s="7">
        <f ca="1" t="shared" ref="AJ18:AJ24" si="5">LOOKUP(9E+307,E18:AI18)-OFFSET(E18,0,COUNTA(E18:AI18)-2,1,1)</f>
        <v>0.00590326170740296</v>
      </c>
    </row>
    <row r="19" ht="16.5" spans="1:36">
      <c r="A19" s="9" t="s">
        <v>67</v>
      </c>
      <c r="B19" s="10" t="s">
        <v>55</v>
      </c>
      <c r="C19" s="11">
        <f>C21/C20</f>
        <v>0.526187998612556</v>
      </c>
      <c r="D19" s="11">
        <f ca="1">D21/D20</f>
        <v>0.8907681465821</v>
      </c>
      <c r="E19" s="12">
        <v>0.360524785263882</v>
      </c>
      <c r="F19" s="12">
        <v>0.350951716281965</v>
      </c>
      <c r="G19" s="12">
        <v>0.328018529660815</v>
      </c>
      <c r="H19" s="12">
        <v>0.355110982958442</v>
      </c>
      <c r="I19" s="12">
        <v>0.321940698888787</v>
      </c>
      <c r="J19" s="12">
        <v>0.324259569404649</v>
      </c>
      <c r="K19" s="12">
        <v>0.397977438871276</v>
      </c>
      <c r="L19" s="12">
        <v>0.397977438871276</v>
      </c>
      <c r="M19" s="12">
        <v>0.414192353939995</v>
      </c>
      <c r="N19" s="12">
        <v>0.463584192402556</v>
      </c>
      <c r="O19" s="12">
        <v>0.518014023825056</v>
      </c>
      <c r="P19" s="12">
        <v>0.512887218851851</v>
      </c>
      <c r="Q19" s="12">
        <v>0.565583690701371</v>
      </c>
      <c r="R19" s="12">
        <v>0.565583690701371</v>
      </c>
      <c r="S19" s="12">
        <v>0.574858412680317</v>
      </c>
      <c r="T19" s="12">
        <v>0.670998886208104</v>
      </c>
      <c r="U19" s="12">
        <v>0.745570516137194</v>
      </c>
      <c r="V19" s="12">
        <v>0.743569945553647</v>
      </c>
      <c r="W19" s="12">
        <v>0.764455243520799</v>
      </c>
      <c r="X19" s="12">
        <v>0.775712828819329</v>
      </c>
      <c r="Y19" s="12">
        <v>0.687994559936478</v>
      </c>
      <c r="Z19" s="12">
        <v>0.71767938666588</v>
      </c>
      <c r="AA19" s="12">
        <v>0.712519323613981</v>
      </c>
      <c r="AB19" s="12">
        <v>0.755292455430697</v>
      </c>
      <c r="AC19" s="12">
        <v>0.785061471773619</v>
      </c>
      <c r="AD19" s="12">
        <v>0.73620965416278</v>
      </c>
      <c r="AE19" s="20">
        <v>0.856470840257463</v>
      </c>
      <c r="AF19" s="20">
        <v>0.912618007246544</v>
      </c>
      <c r="AG19" s="12">
        <v>0.985989914163512</v>
      </c>
      <c r="AH19" s="20">
        <v>1.09170984519328</v>
      </c>
      <c r="AI19" s="20">
        <v>1.2983240049524</v>
      </c>
      <c r="AJ19" s="7">
        <f ca="1" t="shared" si="5"/>
        <v>0.20661415975912</v>
      </c>
    </row>
    <row r="20" ht="16.5" spans="1:36">
      <c r="A20" s="9" t="s">
        <v>67</v>
      </c>
      <c r="B20" s="10" t="s">
        <v>57</v>
      </c>
      <c r="C20" s="13">
        <f t="shared" si="4"/>
        <v>2883</v>
      </c>
      <c r="D20" s="14">
        <f ca="1">INT(AVERAGE(OFFSET(E20,0,COUNTA(E20:AQ20)-1,1,1),OFFSET(E20,0,COUNTA(E20:AQ20)-2,1,1),OFFSET(E20,0,COUNTA(E20:AQ20)-3,1,1),OFFSET(E20,0,COUNTA(E20:AQ20)-4,1,1),OFFSET(E20,0,COUNTA(E20:AQ20)-5,1,1),OFFSET(E20,0,COUNTA(E20:AQ20)-6,1,1),OFFSET(E20,0,COUNTA(E20:AQ20)-7,1,1),))</f>
        <v>1419</v>
      </c>
      <c r="E20" s="15">
        <v>3543</v>
      </c>
      <c r="F20" s="15">
        <v>3185</v>
      </c>
      <c r="G20" s="15">
        <v>2862</v>
      </c>
      <c r="H20" s="15">
        <v>2542</v>
      </c>
      <c r="I20" s="15">
        <v>3668</v>
      </c>
      <c r="J20" s="15">
        <v>3692</v>
      </c>
      <c r="K20" s="15">
        <v>3688</v>
      </c>
      <c r="L20" s="15">
        <v>3688</v>
      </c>
      <c r="M20" s="15">
        <v>3035</v>
      </c>
      <c r="N20" s="15">
        <v>2516</v>
      </c>
      <c r="O20" s="15">
        <v>2342</v>
      </c>
      <c r="P20" s="15">
        <v>2427</v>
      </c>
      <c r="Q20" s="15">
        <v>2391</v>
      </c>
      <c r="R20" s="15">
        <v>2391</v>
      </c>
      <c r="S20" s="15">
        <v>2530</v>
      </c>
      <c r="T20" s="15">
        <v>2324</v>
      </c>
      <c r="U20" s="15">
        <v>2212</v>
      </c>
      <c r="V20" s="15">
        <v>3666</v>
      </c>
      <c r="W20" s="15">
        <v>3361</v>
      </c>
      <c r="X20" s="15">
        <v>3096</v>
      </c>
      <c r="Y20" s="15">
        <v>3098</v>
      </c>
      <c r="Z20" s="15">
        <v>2800</v>
      </c>
      <c r="AA20" s="15">
        <v>2580</v>
      </c>
      <c r="AB20" s="15">
        <v>2362</v>
      </c>
      <c r="AC20" s="15">
        <v>2549</v>
      </c>
      <c r="AD20" s="15">
        <v>2421</v>
      </c>
      <c r="AE20">
        <v>1967</v>
      </c>
      <c r="AF20">
        <v>1751</v>
      </c>
      <c r="AG20" s="15">
        <v>1782</v>
      </c>
      <c r="AH20">
        <v>1706</v>
      </c>
      <c r="AI20">
        <v>1718</v>
      </c>
      <c r="AJ20" s="22">
        <f ca="1" t="shared" si="5"/>
        <v>12</v>
      </c>
    </row>
    <row r="21" ht="16.5" spans="1:36">
      <c r="A21" s="9" t="s">
        <v>67</v>
      </c>
      <c r="B21" s="10" t="s">
        <v>59</v>
      </c>
      <c r="C21" s="13">
        <f t="shared" si="4"/>
        <v>1517</v>
      </c>
      <c r="D21" s="14">
        <f ca="1">INT(AVERAGE(OFFSET(E21,0,COUNTA(E21:AQ21)-1,1,1),OFFSET(E21,0,COUNTA(E21:AQ21)-2,1,1),OFFSET(E21,0,COUNTA(E21:AQ21)-3,1,1),OFFSET(E21,0,COUNTA(E21:AQ21)-4,1,1),OFFSET(E21,0,COUNTA(E21:AQ21)-5,1,1),OFFSET(E21,0,COUNTA(E21:AQ21)-6,1,1),OFFSET(E21,0,COUNTA(E21:AQ21)-7,1,1),))</f>
        <v>1264</v>
      </c>
      <c r="E21" s="15">
        <v>1267</v>
      </c>
      <c r="F21" s="15">
        <v>1126</v>
      </c>
      <c r="G21" s="15">
        <v>934</v>
      </c>
      <c r="H21" s="15">
        <v>876</v>
      </c>
      <c r="I21" s="15">
        <v>1189</v>
      </c>
      <c r="J21" s="15">
        <v>1221</v>
      </c>
      <c r="K21" s="15">
        <v>1441</v>
      </c>
      <c r="L21" s="15">
        <v>1441</v>
      </c>
      <c r="M21" s="15">
        <v>1200</v>
      </c>
      <c r="N21" s="15">
        <v>1108</v>
      </c>
      <c r="O21" s="15">
        <v>1121</v>
      </c>
      <c r="P21" s="15">
        <v>1195</v>
      </c>
      <c r="Q21" s="15">
        <v>1225</v>
      </c>
      <c r="R21" s="15">
        <v>1225</v>
      </c>
      <c r="S21" s="15">
        <v>1318</v>
      </c>
      <c r="T21" s="15">
        <v>1461</v>
      </c>
      <c r="U21" s="15">
        <v>1549</v>
      </c>
      <c r="V21" s="15">
        <v>2589</v>
      </c>
      <c r="W21" s="15">
        <v>2414</v>
      </c>
      <c r="X21" s="15">
        <v>2332</v>
      </c>
      <c r="Y21" s="15">
        <v>2111</v>
      </c>
      <c r="Z21" s="15">
        <v>1974</v>
      </c>
      <c r="AA21" s="15">
        <v>1752</v>
      </c>
      <c r="AB21" s="15">
        <v>1739</v>
      </c>
      <c r="AC21" s="15">
        <v>1890</v>
      </c>
      <c r="AD21" s="15">
        <v>1761</v>
      </c>
      <c r="AE21">
        <v>1485</v>
      </c>
      <c r="AF21">
        <v>1463</v>
      </c>
      <c r="AG21" s="15">
        <v>1503</v>
      </c>
      <c r="AH21">
        <v>1554</v>
      </c>
      <c r="AI21">
        <v>1953</v>
      </c>
      <c r="AJ21" s="22">
        <f ca="1" t="shared" si="5"/>
        <v>399</v>
      </c>
    </row>
    <row r="22" ht="16.5" spans="1:36">
      <c r="A22" s="9" t="s">
        <v>67</v>
      </c>
      <c r="B22" s="10" t="s">
        <v>4</v>
      </c>
      <c r="C22" s="13">
        <f t="shared" si="4"/>
        <v>25</v>
      </c>
      <c r="D22" s="14">
        <f ca="1">INT(AVERAGE(OFFSET(E22,0,COUNTA(E22:AQ22)-1,1,1),OFFSET(E22,0,COUNTA(E22:AQ22)-2,1,1),OFFSET(E22,0,COUNTA(E22:AQ22)-3,1,1),OFFSET(E22,0,COUNTA(E22:AQ22)-4,1,1),OFFSET(E22,0,COUNTA(E22:AQ22)-5,1,1),OFFSET(E22,0,COUNTA(E22:AQ22)-6,1,1),OFFSET(E22,0,COUNTA(E22:AQ22)-7,1,1),))</f>
        <v>11</v>
      </c>
      <c r="E22" s="15">
        <v>49</v>
      </c>
      <c r="F22" s="15">
        <v>34</v>
      </c>
      <c r="G22" s="15">
        <v>30</v>
      </c>
      <c r="H22" s="15">
        <v>27</v>
      </c>
      <c r="I22" s="15">
        <v>33</v>
      </c>
      <c r="J22" s="15">
        <v>37</v>
      </c>
      <c r="K22" s="15">
        <v>27</v>
      </c>
      <c r="L22" s="15">
        <v>27</v>
      </c>
      <c r="M22" s="15">
        <v>25</v>
      </c>
      <c r="N22" s="15">
        <v>26</v>
      </c>
      <c r="O22" s="15">
        <v>29</v>
      </c>
      <c r="P22" s="15">
        <v>33</v>
      </c>
      <c r="Q22" s="15">
        <v>18</v>
      </c>
      <c r="R22" s="15">
        <v>18</v>
      </c>
      <c r="S22" s="15">
        <v>22</v>
      </c>
      <c r="T22" s="15">
        <v>25</v>
      </c>
      <c r="U22" s="15">
        <v>35</v>
      </c>
      <c r="V22" s="15">
        <v>21</v>
      </c>
      <c r="W22" s="15">
        <v>22</v>
      </c>
      <c r="X22" s="15">
        <v>22</v>
      </c>
      <c r="Y22" s="15">
        <v>13</v>
      </c>
      <c r="Z22" s="15">
        <v>16</v>
      </c>
      <c r="AA22" s="15">
        <v>19</v>
      </c>
      <c r="AB22" s="15">
        <v>19</v>
      </c>
      <c r="AC22" s="15">
        <v>13</v>
      </c>
      <c r="AD22" s="15">
        <v>15</v>
      </c>
      <c r="AE22">
        <v>10</v>
      </c>
      <c r="AF22">
        <v>8</v>
      </c>
      <c r="AG22" s="15">
        <v>10</v>
      </c>
      <c r="AH22">
        <v>17</v>
      </c>
      <c r="AI22">
        <v>26</v>
      </c>
      <c r="AJ22" s="22">
        <f ca="1" t="shared" si="5"/>
        <v>9</v>
      </c>
    </row>
    <row r="23" ht="16.5" spans="1:36">
      <c r="A23" s="9" t="s">
        <v>67</v>
      </c>
      <c r="B23" s="10" t="s">
        <v>5</v>
      </c>
      <c r="C23" s="11">
        <f>C22/C21</f>
        <v>0.016479894528675</v>
      </c>
      <c r="D23" s="11">
        <f ca="1">D22/D21</f>
        <v>0.00870253164556962</v>
      </c>
      <c r="E23" s="12">
        <v>0.0350694977267283</v>
      </c>
      <c r="F23" s="12">
        <v>0.0307967703924642</v>
      </c>
      <c r="G23" s="12">
        <v>0.0339277038003771</v>
      </c>
      <c r="H23" s="12">
        <v>0.0305956278863669</v>
      </c>
      <c r="I23" s="12">
        <v>0.0281051238203266</v>
      </c>
      <c r="J23" s="12">
        <v>0.0367818547496542</v>
      </c>
      <c r="K23" s="12">
        <v>0.018077808720801</v>
      </c>
      <c r="L23" s="12">
        <v>0.018077808720801</v>
      </c>
      <c r="M23" s="12">
        <v>0.0177242159731697</v>
      </c>
      <c r="N23" s="12">
        <v>0.0239586436514709</v>
      </c>
      <c r="O23" s="12">
        <v>0.0244745613156868</v>
      </c>
      <c r="P23" s="12">
        <v>0.0273553385047042</v>
      </c>
      <c r="Q23" s="12">
        <v>0.014275910909044</v>
      </c>
      <c r="R23" s="12">
        <v>0.014275910909044</v>
      </c>
      <c r="S23" s="12">
        <v>0.0159694227902102</v>
      </c>
      <c r="T23" s="12">
        <v>0.0179026247797048</v>
      </c>
      <c r="U23" s="12">
        <v>0.0207042487073685</v>
      </c>
      <c r="V23" s="12">
        <v>0.00751773160376808</v>
      </c>
      <c r="W23" s="12">
        <v>0.00928217603313157</v>
      </c>
      <c r="X23" s="12">
        <v>0.00929291911267839</v>
      </c>
      <c r="Y23" s="12">
        <v>0.00599843886411714</v>
      </c>
      <c r="Z23" s="12">
        <v>0.00837472746304805</v>
      </c>
      <c r="AA23" s="12">
        <v>0.011994252489106</v>
      </c>
      <c r="AB23" s="12">
        <v>0.0103202719461929</v>
      </c>
      <c r="AC23" s="12">
        <v>0.0064214059081948</v>
      </c>
      <c r="AD23" s="12">
        <v>0.00718065527151415</v>
      </c>
      <c r="AE23" s="20">
        <v>0.00639189726230811</v>
      </c>
      <c r="AF23" s="20">
        <v>0.00524283256179486</v>
      </c>
      <c r="AG23" s="12">
        <v>0.00652981163892667</v>
      </c>
      <c r="AH23" s="20">
        <v>0.0104438851557956</v>
      </c>
      <c r="AI23" s="20">
        <v>0.0124582957964682</v>
      </c>
      <c r="AJ23" s="7">
        <f ca="1" t="shared" si="5"/>
        <v>0.0020144106406726</v>
      </c>
    </row>
    <row r="24" ht="16.5" spans="1:36">
      <c r="A24" s="9" t="s">
        <v>67</v>
      </c>
      <c r="B24" s="10" t="s">
        <v>6</v>
      </c>
      <c r="C24" s="13">
        <f t="shared" ref="C24:C30" si="6">INT(AVERAGE(E24:AD24))</f>
        <v>13</v>
      </c>
      <c r="D24" s="14">
        <f ca="1">INT(AVERAGE(OFFSET(E24,0,COUNTA(E24:AQ24)-1,1,1),OFFSET(E24,0,COUNTA(E24:AQ24)-2,1,1),OFFSET(E24,0,COUNTA(E24:AQ24)-3,1,1),OFFSET(E24,0,COUNTA(E24:AQ24)-4,1,1),OFFSET(E24,0,COUNTA(E24:AQ24)-5,1,1),OFFSET(E24,0,COUNTA(E24:AQ24)-6,1,1),OFFSET(E24,0,COUNTA(E24:AQ24)-7,1,1),))</f>
        <v>7</v>
      </c>
      <c r="E24" s="15">
        <v>27</v>
      </c>
      <c r="F24" s="15">
        <v>23</v>
      </c>
      <c r="G24" s="15">
        <v>15</v>
      </c>
      <c r="H24" s="15">
        <v>20</v>
      </c>
      <c r="I24" s="15">
        <v>12</v>
      </c>
      <c r="J24" s="15">
        <v>15</v>
      </c>
      <c r="K24" s="15">
        <v>10</v>
      </c>
      <c r="L24" s="15">
        <v>10</v>
      </c>
      <c r="M24" s="15">
        <v>18</v>
      </c>
      <c r="N24" s="15">
        <v>15</v>
      </c>
      <c r="O24" s="15">
        <v>12</v>
      </c>
      <c r="P24" s="15">
        <v>17</v>
      </c>
      <c r="Q24" s="15">
        <v>8</v>
      </c>
      <c r="R24" s="15">
        <v>8</v>
      </c>
      <c r="S24" s="15">
        <v>17</v>
      </c>
      <c r="T24" s="15">
        <v>13</v>
      </c>
      <c r="U24" s="15">
        <v>14</v>
      </c>
      <c r="V24" s="15">
        <v>12</v>
      </c>
      <c r="W24" s="15">
        <v>16</v>
      </c>
      <c r="X24" s="15">
        <v>15</v>
      </c>
      <c r="Y24" s="15">
        <v>9</v>
      </c>
      <c r="Z24" s="15">
        <v>9</v>
      </c>
      <c r="AA24" s="15">
        <v>10</v>
      </c>
      <c r="AB24" s="15">
        <v>13</v>
      </c>
      <c r="AC24" s="15">
        <v>13</v>
      </c>
      <c r="AD24" s="15">
        <v>12</v>
      </c>
      <c r="AE24">
        <v>7</v>
      </c>
      <c r="AF24">
        <v>9</v>
      </c>
      <c r="AG24" s="15">
        <v>6</v>
      </c>
      <c r="AH24">
        <v>13</v>
      </c>
      <c r="AI24">
        <v>11</v>
      </c>
      <c r="AJ24" s="22">
        <f ca="1" t="shared" si="5"/>
        <v>-2</v>
      </c>
    </row>
    <row r="25" ht="17.25" spans="1:36">
      <c r="A25" s="16" t="s">
        <v>67</v>
      </c>
      <c r="B25" s="17" t="s">
        <v>64</v>
      </c>
      <c r="C25" s="18">
        <f>C24/C22</f>
        <v>0.52</v>
      </c>
      <c r="D25" s="18">
        <f ca="1">D24/D22</f>
        <v>0.636363636363636</v>
      </c>
      <c r="E25" s="19">
        <v>0.534920634920635</v>
      </c>
      <c r="F25" s="19">
        <v>0.389087301587302</v>
      </c>
      <c r="G25" s="19">
        <v>0.391666666666667</v>
      </c>
      <c r="H25" s="19">
        <v>0.451388888888889</v>
      </c>
      <c r="I25" s="19">
        <v>0.359722222222222</v>
      </c>
      <c r="J25" s="19">
        <v>0.356944444444444</v>
      </c>
      <c r="K25" s="19">
        <v>0.352777777777778</v>
      </c>
      <c r="L25" s="19">
        <v>0.352777777777778</v>
      </c>
      <c r="M25" s="19">
        <v>0.354166666666667</v>
      </c>
      <c r="N25" s="19">
        <v>0.336111111111111</v>
      </c>
      <c r="O25" s="19">
        <v>0.448809523809524</v>
      </c>
      <c r="P25" s="19">
        <v>0.381481481481482</v>
      </c>
      <c r="Q25" s="19">
        <v>0.395833333333333</v>
      </c>
      <c r="R25" s="19">
        <v>0.395833333333333</v>
      </c>
      <c r="S25" s="19">
        <v>0.333333333333333</v>
      </c>
      <c r="T25" s="19">
        <v>0.236111111111111</v>
      </c>
      <c r="U25" s="19">
        <v>0.447420634920635</v>
      </c>
      <c r="V25" s="19">
        <v>0.291666666666667</v>
      </c>
      <c r="W25" s="19">
        <v>0.494444444444444</v>
      </c>
      <c r="X25" s="19">
        <v>0.541666666666667</v>
      </c>
      <c r="Y25" s="19">
        <v>0.375</v>
      </c>
      <c r="Z25" s="19">
        <v>0.388888888888889</v>
      </c>
      <c r="AA25" s="19">
        <v>0.465277777777778</v>
      </c>
      <c r="AB25" s="19">
        <v>0.381944444444444</v>
      </c>
      <c r="AC25" s="19">
        <v>0.472222222222222</v>
      </c>
      <c r="AD25" s="19">
        <v>0.638888888888889</v>
      </c>
      <c r="AE25" s="20">
        <v>0.444444444444444</v>
      </c>
      <c r="AF25" s="20">
        <v>0.291666666666667</v>
      </c>
      <c r="AG25" s="19">
        <v>0.125</v>
      </c>
      <c r="AH25" s="20">
        <v>0.558333333333333</v>
      </c>
      <c r="AI25" s="20">
        <v>0.248611111111111</v>
      </c>
      <c r="AJ25" s="7">
        <f ca="1">LOOKUP(9E+307,E25:AL25)-OFFSET(E25,0,COUNTA(E25:AL25)-2,1,1)</f>
        <v>0</v>
      </c>
    </row>
    <row r="26" ht="16.5" spans="1:36">
      <c r="A26" s="4" t="s">
        <v>68</v>
      </c>
      <c r="B26" s="5" t="s">
        <v>7772</v>
      </c>
      <c r="C26" s="6">
        <f>AVERAGE(E26:AD26)</f>
        <v>0.219461711090208</v>
      </c>
      <c r="D26" s="7">
        <f ca="1">AVERAGE(OFFSET(E26,0,COUNTA(E26:AQ26)-1,1,1),OFFSET(E26,0,COUNTA(E26:AQ26)-2,1,1),OFFSET(E26,0,COUNTA(E26:AQ26)-3,1,1),OFFSET(E26,0,COUNTA(E26:AQ26)-4,1,1),OFFSET(E26,0,COUNTA(E26:AQ26)-5,1,1),OFFSET(E26,0,COUNTA(E26:AQ26)-6,1,1),OFFSET(E26,0,COUNTA(E26:AQ26)-7,1,1),)</f>
        <v>0.160744280969863</v>
      </c>
      <c r="E26" s="8">
        <v>0.224522119436908</v>
      </c>
      <c r="F26" s="8">
        <v>0.222490100599394</v>
      </c>
      <c r="G26" s="8">
        <v>0.222921234323556</v>
      </c>
      <c r="H26" s="8">
        <v>0.221897896649018</v>
      </c>
      <c r="I26" s="8">
        <v>0.22120528942493</v>
      </c>
      <c r="J26" s="8">
        <v>0.221062468284961</v>
      </c>
      <c r="K26" s="8">
        <v>0.221953644635991</v>
      </c>
      <c r="L26" s="8">
        <v>0.221953644635991</v>
      </c>
      <c r="M26" s="8">
        <v>0.221255022705333</v>
      </c>
      <c r="N26" s="8">
        <v>0.221145541803101</v>
      </c>
      <c r="O26" s="8">
        <v>0.22116317080552</v>
      </c>
      <c r="P26" s="8">
        <v>0.219832589823361</v>
      </c>
      <c r="Q26" s="8">
        <v>0.219230136307562</v>
      </c>
      <c r="R26" s="8">
        <v>0.219230136307562</v>
      </c>
      <c r="S26" s="8">
        <v>0.217268699237586</v>
      </c>
      <c r="T26" s="8">
        <v>0.218201680902402</v>
      </c>
      <c r="U26" s="8">
        <v>0.217688069684193</v>
      </c>
      <c r="V26" s="8">
        <v>0.21910944798375</v>
      </c>
      <c r="W26" s="8">
        <v>0.21829828736736</v>
      </c>
      <c r="X26" s="8">
        <v>0.21888422307954</v>
      </c>
      <c r="Y26" s="8">
        <v>0.217606637046064</v>
      </c>
      <c r="Z26" s="8">
        <v>0.216970600375721</v>
      </c>
      <c r="AA26" s="8">
        <v>0.215845583749856</v>
      </c>
      <c r="AB26" s="8">
        <v>0.215522175314763</v>
      </c>
      <c r="AC26" s="8">
        <v>0.215912891069171</v>
      </c>
      <c r="AD26" s="8">
        <v>0.214833196791814</v>
      </c>
      <c r="AE26" s="20">
        <v>0.21515962574293</v>
      </c>
      <c r="AF26" s="20">
        <v>0.214654213240781</v>
      </c>
      <c r="AG26" s="8">
        <v>0.21498028152146</v>
      </c>
      <c r="AH26" s="20">
        <v>0.213644218203137</v>
      </c>
      <c r="AI26" s="20">
        <v>0.21316346523096</v>
      </c>
      <c r="AJ26" s="7">
        <f ca="1" t="shared" ref="AJ26:AJ32" si="7">LOOKUP(9E+307,E26:AI26)-OFFSET(E26,0,COUNTA(E26:AI26)-2,1,1)</f>
        <v>-0.000480752972177007</v>
      </c>
    </row>
    <row r="27" ht="16.5" spans="1:36">
      <c r="A27" s="9" t="s">
        <v>68</v>
      </c>
      <c r="B27" s="10" t="s">
        <v>55</v>
      </c>
      <c r="C27" s="11">
        <f>C29/C28</f>
        <v>0.19383909552679</v>
      </c>
      <c r="D27" s="11">
        <f ca="1">D29/D28</f>
        <v>0.185523541813071</v>
      </c>
      <c r="E27" s="12">
        <v>0.177783371539606</v>
      </c>
      <c r="F27" s="12">
        <v>0.179817705011602</v>
      </c>
      <c r="G27" s="12">
        <v>0.198787588874739</v>
      </c>
      <c r="H27" s="12">
        <v>0.19938446780919</v>
      </c>
      <c r="I27" s="12">
        <v>0.19436491246302</v>
      </c>
      <c r="J27" s="12">
        <v>0.187652318884501</v>
      </c>
      <c r="K27" s="12">
        <v>0.242896288885187</v>
      </c>
      <c r="L27" s="12">
        <v>0.242896288885187</v>
      </c>
      <c r="M27" s="12">
        <v>0.208663814282938</v>
      </c>
      <c r="N27" s="12">
        <v>0.218463259698431</v>
      </c>
      <c r="O27" s="12">
        <v>0.219362338821792</v>
      </c>
      <c r="P27" s="12">
        <v>0.197055962792804</v>
      </c>
      <c r="Q27" s="12">
        <v>0.181090944624127</v>
      </c>
      <c r="R27" s="12">
        <v>0.181090944624127</v>
      </c>
      <c r="S27" s="12">
        <v>0.170557392796862</v>
      </c>
      <c r="T27" s="12">
        <v>0.196214388579306</v>
      </c>
      <c r="U27" s="12">
        <v>0.201113970315394</v>
      </c>
      <c r="V27" s="12">
        <v>0.241623251852769</v>
      </c>
      <c r="W27" s="12">
        <v>0.210661223817752</v>
      </c>
      <c r="X27" s="12">
        <v>0.227946327327051</v>
      </c>
      <c r="Y27" s="12">
        <v>0.195927341814706</v>
      </c>
      <c r="Z27" s="12">
        <v>0.190009015704732</v>
      </c>
      <c r="AA27" s="12">
        <v>0.155133500302916</v>
      </c>
      <c r="AB27" s="12">
        <v>0.188708842652221</v>
      </c>
      <c r="AC27" s="12">
        <v>0.201211746793292</v>
      </c>
      <c r="AD27" s="12">
        <v>0.187259235542019</v>
      </c>
      <c r="AE27" s="20">
        <v>0.198031390928866</v>
      </c>
      <c r="AF27" s="20">
        <v>0.197994197422857</v>
      </c>
      <c r="AG27" s="12">
        <v>0.209080518965951</v>
      </c>
      <c r="AH27" s="20">
        <v>0.181838883242087</v>
      </c>
      <c r="AI27" s="20">
        <v>0.165012529215874</v>
      </c>
      <c r="AJ27" s="7">
        <f ca="1" t="shared" si="7"/>
        <v>-0.016826354026213</v>
      </c>
    </row>
    <row r="28" ht="16.5" spans="1:36">
      <c r="A28" s="9" t="s">
        <v>68</v>
      </c>
      <c r="B28" s="10" t="s">
        <v>57</v>
      </c>
      <c r="C28" s="13">
        <f t="shared" si="6"/>
        <v>12206</v>
      </c>
      <c r="D28" s="14">
        <f ca="1">INT(AVERAGE(OFFSET(E28,0,COUNTA(E28:AQ28)-1,1,1),OFFSET(E28,0,COUNTA(E28:AQ28)-2,1,1),OFFSET(E28,0,COUNTA(E28:AQ28)-3,1,1),OFFSET(E28,0,COUNTA(E28:AQ28)-4,1,1),OFFSET(E28,0,COUNTA(E28:AQ28)-5,1,1),OFFSET(E28,0,COUNTA(E28:AQ28)-6,1,1),OFFSET(E28,0,COUNTA(E28:AQ28)-7,1,1),))</f>
        <v>5692</v>
      </c>
      <c r="E28" s="15">
        <v>23573</v>
      </c>
      <c r="F28" s="15">
        <v>19620</v>
      </c>
      <c r="G28" s="15">
        <v>16273</v>
      </c>
      <c r="H28" s="15">
        <v>17279</v>
      </c>
      <c r="I28" s="15">
        <v>16289</v>
      </c>
      <c r="J28" s="15">
        <v>15808</v>
      </c>
      <c r="K28" s="15">
        <v>13760</v>
      </c>
      <c r="L28" s="15">
        <v>13760</v>
      </c>
      <c r="M28" s="15">
        <v>14186</v>
      </c>
      <c r="N28" s="15">
        <v>14406</v>
      </c>
      <c r="O28" s="15">
        <v>13400</v>
      </c>
      <c r="P28" s="15">
        <v>14462</v>
      </c>
      <c r="Q28" s="15">
        <v>12931</v>
      </c>
      <c r="R28" s="15">
        <v>12931</v>
      </c>
      <c r="S28" s="15">
        <v>13318</v>
      </c>
      <c r="T28" s="15">
        <v>11889</v>
      </c>
      <c r="U28" s="15">
        <v>8714</v>
      </c>
      <c r="V28" s="15">
        <v>6034</v>
      </c>
      <c r="W28" s="15">
        <v>6955</v>
      </c>
      <c r="X28" s="15">
        <v>5759</v>
      </c>
      <c r="Y28" s="15">
        <v>6421</v>
      </c>
      <c r="Z28" s="15">
        <v>7882</v>
      </c>
      <c r="AA28" s="15">
        <v>9624</v>
      </c>
      <c r="AB28" s="15">
        <v>7562</v>
      </c>
      <c r="AC28" s="15">
        <v>6683</v>
      </c>
      <c r="AD28" s="15">
        <v>7859</v>
      </c>
      <c r="AE28">
        <v>7563</v>
      </c>
      <c r="AF28">
        <v>6885</v>
      </c>
      <c r="AG28" s="15">
        <v>6726</v>
      </c>
      <c r="AH28">
        <v>7605</v>
      </c>
      <c r="AI28">
        <v>8252</v>
      </c>
      <c r="AJ28" s="22">
        <f ca="1" t="shared" si="7"/>
        <v>647</v>
      </c>
    </row>
    <row r="29" ht="16.5" spans="1:36">
      <c r="A29" s="9" t="s">
        <v>68</v>
      </c>
      <c r="B29" s="10" t="s">
        <v>59</v>
      </c>
      <c r="C29" s="13">
        <f t="shared" si="6"/>
        <v>2366</v>
      </c>
      <c r="D29" s="14">
        <f ca="1">INT(AVERAGE(OFFSET(E29,0,COUNTA(E29:AQ29)-1,1,1),OFFSET(E29,0,COUNTA(E29:AQ29)-2,1,1),OFFSET(E29,0,COUNTA(E29:AQ29)-3,1,1),OFFSET(E29,0,COUNTA(E29:AQ29)-4,1,1),OFFSET(E29,0,COUNTA(E29:AQ29)-5,1,1),OFFSET(E29,0,COUNTA(E29:AQ29)-6,1,1),OFFSET(E29,0,COUNTA(E29:AQ29)-7,1,1),))</f>
        <v>1056</v>
      </c>
      <c r="E29" s="15">
        <v>4042</v>
      </c>
      <c r="F29" s="15">
        <v>3451</v>
      </c>
      <c r="G29" s="15">
        <v>3132</v>
      </c>
      <c r="H29" s="15">
        <v>3373</v>
      </c>
      <c r="I29" s="15">
        <v>3091</v>
      </c>
      <c r="J29" s="15">
        <v>2882</v>
      </c>
      <c r="K29" s="15">
        <v>3215</v>
      </c>
      <c r="L29" s="15">
        <v>3215</v>
      </c>
      <c r="M29" s="15">
        <v>2948</v>
      </c>
      <c r="N29" s="15">
        <v>3105</v>
      </c>
      <c r="O29" s="15">
        <v>2873</v>
      </c>
      <c r="P29" s="15">
        <v>2727</v>
      </c>
      <c r="Q29" s="15">
        <v>2366</v>
      </c>
      <c r="R29" s="15">
        <v>2366</v>
      </c>
      <c r="S29" s="15">
        <v>2270</v>
      </c>
      <c r="T29" s="15">
        <v>2353</v>
      </c>
      <c r="U29" s="15">
        <v>1730</v>
      </c>
      <c r="V29" s="15">
        <v>1370</v>
      </c>
      <c r="W29" s="15">
        <v>1425</v>
      </c>
      <c r="X29" s="15">
        <v>1262</v>
      </c>
      <c r="Y29" s="15">
        <v>1238</v>
      </c>
      <c r="Z29" s="15">
        <v>1439</v>
      </c>
      <c r="AA29" s="15">
        <v>1507</v>
      </c>
      <c r="AB29" s="15">
        <v>1398</v>
      </c>
      <c r="AC29" s="15">
        <v>1314</v>
      </c>
      <c r="AD29" s="15">
        <v>1443</v>
      </c>
      <c r="AE29">
        <v>1478</v>
      </c>
      <c r="AF29">
        <v>1367</v>
      </c>
      <c r="AG29" s="15">
        <v>1433</v>
      </c>
      <c r="AH29">
        <v>1401</v>
      </c>
      <c r="AI29">
        <v>1367</v>
      </c>
      <c r="AJ29" s="22">
        <f ca="1" t="shared" si="7"/>
        <v>-34</v>
      </c>
    </row>
    <row r="30" ht="16.5" spans="1:36">
      <c r="A30" s="9" t="s">
        <v>68</v>
      </c>
      <c r="B30" s="10" t="s">
        <v>4</v>
      </c>
      <c r="C30" s="13">
        <f t="shared" si="6"/>
        <v>204</v>
      </c>
      <c r="D30" s="14">
        <f ca="1">INT(AVERAGE(OFFSET(E30,0,COUNTA(E30:AQ30)-1,1,1),OFFSET(E30,0,COUNTA(E30:AQ30)-2,1,1),OFFSET(E30,0,COUNTA(E30:AQ30)-3,1,1),OFFSET(E30,0,COUNTA(E30:AQ30)-4,1,1),OFFSET(E30,0,COUNTA(E30:AQ30)-5,1,1),OFFSET(E30,0,COUNTA(E30:AQ30)-6,1,1),OFFSET(E30,0,COUNTA(E30:AQ30)-7,1,1),))</f>
        <v>78</v>
      </c>
      <c r="E30" s="15">
        <v>416</v>
      </c>
      <c r="F30" s="15">
        <v>300</v>
      </c>
      <c r="G30" s="15">
        <v>282</v>
      </c>
      <c r="H30" s="15">
        <v>277</v>
      </c>
      <c r="I30" s="15">
        <v>296</v>
      </c>
      <c r="J30" s="15">
        <v>266</v>
      </c>
      <c r="K30" s="15">
        <v>252</v>
      </c>
      <c r="L30" s="15">
        <v>252</v>
      </c>
      <c r="M30" s="15">
        <v>284</v>
      </c>
      <c r="N30" s="15">
        <v>271</v>
      </c>
      <c r="O30" s="15">
        <v>269</v>
      </c>
      <c r="P30" s="15">
        <v>231</v>
      </c>
      <c r="Q30" s="15">
        <v>202</v>
      </c>
      <c r="R30" s="15">
        <v>202</v>
      </c>
      <c r="S30" s="15">
        <v>166</v>
      </c>
      <c r="T30" s="15">
        <v>216</v>
      </c>
      <c r="U30" s="15">
        <v>161</v>
      </c>
      <c r="V30" s="15">
        <v>111</v>
      </c>
      <c r="W30" s="15">
        <v>117</v>
      </c>
      <c r="X30" s="15">
        <v>84</v>
      </c>
      <c r="Y30" s="15">
        <v>110</v>
      </c>
      <c r="Z30" s="15">
        <v>114</v>
      </c>
      <c r="AA30" s="15">
        <v>102</v>
      </c>
      <c r="AB30" s="15">
        <v>119</v>
      </c>
      <c r="AC30" s="15">
        <v>105</v>
      </c>
      <c r="AD30" s="15">
        <v>116</v>
      </c>
      <c r="AE30">
        <v>131</v>
      </c>
      <c r="AF30">
        <v>97</v>
      </c>
      <c r="AG30" s="15">
        <v>111</v>
      </c>
      <c r="AH30">
        <v>96</v>
      </c>
      <c r="AI30">
        <v>88</v>
      </c>
      <c r="AJ30" s="22">
        <f ca="1" t="shared" si="7"/>
        <v>-8</v>
      </c>
    </row>
    <row r="31" ht="16.5" spans="1:36">
      <c r="A31" s="9" t="s">
        <v>68</v>
      </c>
      <c r="B31" s="10" t="s">
        <v>5</v>
      </c>
      <c r="C31" s="11">
        <f>C30/C29</f>
        <v>0.0862214708368555</v>
      </c>
      <c r="D31" s="11">
        <f ca="1">D30/D29</f>
        <v>0.0738636363636364</v>
      </c>
      <c r="E31" s="12">
        <v>0.101287321095741</v>
      </c>
      <c r="F31" s="12">
        <v>0.0824424925694443</v>
      </c>
      <c r="G31" s="12">
        <v>0.0911239993853244</v>
      </c>
      <c r="H31" s="12">
        <v>0.0810453157900475</v>
      </c>
      <c r="I31" s="12">
        <v>0.100203517095259</v>
      </c>
      <c r="J31" s="12">
        <v>0.0992495147451539</v>
      </c>
      <c r="K31" s="12">
        <v>0.0723120893375429</v>
      </c>
      <c r="L31" s="12">
        <v>0.0723120893375429</v>
      </c>
      <c r="M31" s="12">
        <v>0.0872210326102342</v>
      </c>
      <c r="N31" s="12">
        <v>0.0810058293677023</v>
      </c>
      <c r="O31" s="12">
        <v>0.0930984907799332</v>
      </c>
      <c r="P31" s="12">
        <v>0.0830680491672187</v>
      </c>
      <c r="Q31" s="12">
        <v>0.0838720717910645</v>
      </c>
      <c r="R31" s="12">
        <v>0.0838720717910645</v>
      </c>
      <c r="S31" s="12">
        <v>0.0658924320539191</v>
      </c>
      <c r="T31" s="12">
        <v>0.0915829513080469</v>
      </c>
      <c r="U31" s="12">
        <v>0.0842747767098306</v>
      </c>
      <c r="V31" s="12">
        <v>0.0702975662235481</v>
      </c>
      <c r="W31" s="12">
        <v>0.0807914703075702</v>
      </c>
      <c r="X31" s="12">
        <v>0.0642775241631679</v>
      </c>
      <c r="Y31" s="12">
        <v>0.0902581151079015</v>
      </c>
      <c r="Z31" s="12">
        <v>0.079813825504268</v>
      </c>
      <c r="AA31" s="12">
        <v>0.0637328975717495</v>
      </c>
      <c r="AB31" s="12">
        <v>0.0894153149971003</v>
      </c>
      <c r="AC31" s="12">
        <v>0.0760513343593847</v>
      </c>
      <c r="AD31" s="12">
        <v>0.0708035744044039</v>
      </c>
      <c r="AE31" s="20">
        <v>0.0815433474615696</v>
      </c>
      <c r="AF31" s="20">
        <v>0.0627324708648924</v>
      </c>
      <c r="AG31" s="12">
        <v>0.0762596244502859</v>
      </c>
      <c r="AH31" s="20">
        <v>0.0710028287618145</v>
      </c>
      <c r="AI31" s="20">
        <v>0.0623986630719766</v>
      </c>
      <c r="AJ31" s="7">
        <f ca="1" t="shared" si="7"/>
        <v>-0.00860416568983791</v>
      </c>
    </row>
    <row r="32" ht="16.5" spans="1:36">
      <c r="A32" s="9" t="s">
        <v>68</v>
      </c>
      <c r="B32" s="10" t="s">
        <v>6</v>
      </c>
      <c r="C32" s="13">
        <f t="shared" ref="C32:C38" si="8">INT(AVERAGE(E32:AD32))</f>
        <v>85</v>
      </c>
      <c r="D32" s="14">
        <f ca="1">INT(AVERAGE(OFFSET(E32,0,COUNTA(E32:AQ32)-1,1,1),OFFSET(E32,0,COUNTA(E32:AQ32)-2,1,1),OFFSET(E32,0,COUNTA(E32:AQ32)-3,1,1),OFFSET(E32,0,COUNTA(E32:AQ32)-4,1,1),OFFSET(E32,0,COUNTA(E32:AQ32)-5,1,1),OFFSET(E32,0,COUNTA(E32:AQ32)-6,1,1),OFFSET(E32,0,COUNTA(E32:AQ32)-7,1,1),))</f>
        <v>37</v>
      </c>
      <c r="E32" s="15">
        <v>165</v>
      </c>
      <c r="F32" s="15">
        <v>133</v>
      </c>
      <c r="G32" s="15">
        <v>88</v>
      </c>
      <c r="H32" s="15">
        <v>102</v>
      </c>
      <c r="I32" s="15">
        <v>116</v>
      </c>
      <c r="J32" s="15">
        <v>96</v>
      </c>
      <c r="K32" s="15">
        <v>114</v>
      </c>
      <c r="L32" s="15">
        <v>114</v>
      </c>
      <c r="M32" s="15">
        <v>101</v>
      </c>
      <c r="N32" s="15">
        <v>100</v>
      </c>
      <c r="O32" s="15">
        <v>120</v>
      </c>
      <c r="P32" s="15">
        <v>87</v>
      </c>
      <c r="Q32" s="15">
        <v>89</v>
      </c>
      <c r="R32" s="15">
        <v>89</v>
      </c>
      <c r="S32" s="15">
        <v>90</v>
      </c>
      <c r="T32" s="15">
        <v>82</v>
      </c>
      <c r="U32" s="15">
        <v>68</v>
      </c>
      <c r="V32" s="15">
        <v>55</v>
      </c>
      <c r="W32" s="15">
        <v>52</v>
      </c>
      <c r="X32" s="15">
        <v>41</v>
      </c>
      <c r="Y32" s="15">
        <v>41</v>
      </c>
      <c r="Z32" s="15">
        <v>56</v>
      </c>
      <c r="AA32" s="15">
        <v>56</v>
      </c>
      <c r="AB32" s="15">
        <v>50</v>
      </c>
      <c r="AC32" s="15">
        <v>42</v>
      </c>
      <c r="AD32" s="15">
        <v>64</v>
      </c>
      <c r="AE32">
        <v>57</v>
      </c>
      <c r="AF32">
        <v>51</v>
      </c>
      <c r="AG32" s="15">
        <v>42</v>
      </c>
      <c r="AH32">
        <v>57</v>
      </c>
      <c r="AI32">
        <v>41</v>
      </c>
      <c r="AJ32" s="22">
        <f ca="1" t="shared" si="7"/>
        <v>-16</v>
      </c>
    </row>
    <row r="33" ht="17.25" spans="1:36">
      <c r="A33" s="16" t="s">
        <v>68</v>
      </c>
      <c r="B33" s="17" t="s">
        <v>64</v>
      </c>
      <c r="C33" s="18">
        <f>C32/C30</f>
        <v>0.416666666666667</v>
      </c>
      <c r="D33" s="18">
        <f ca="1">D32/D30</f>
        <v>0.474358974358974</v>
      </c>
      <c r="E33" s="19">
        <v>0.457845610358192</v>
      </c>
      <c r="F33" s="19">
        <v>1.05107238878332</v>
      </c>
      <c r="G33" s="19">
        <v>0.334355616571137</v>
      </c>
      <c r="H33" s="19">
        <v>0.713921526421526</v>
      </c>
      <c r="I33" s="19">
        <v>0.5560504545106</v>
      </c>
      <c r="J33" s="19">
        <v>0.420134061342763</v>
      </c>
      <c r="K33" s="19">
        <v>0.813807888348118</v>
      </c>
      <c r="L33" s="19">
        <v>0.813807888348118</v>
      </c>
      <c r="M33" s="19">
        <v>0.584321643269012</v>
      </c>
      <c r="N33" s="19">
        <v>0.577905903722467</v>
      </c>
      <c r="O33" s="19">
        <v>0.835481301106301</v>
      </c>
      <c r="P33" s="19">
        <v>0.495331248635764</v>
      </c>
      <c r="Q33" s="19">
        <v>0.516903220236554</v>
      </c>
      <c r="R33" s="19">
        <v>0.516903220236554</v>
      </c>
      <c r="S33" s="19">
        <v>1.05609489049517</v>
      </c>
      <c r="T33" s="19">
        <v>0.373163664428877</v>
      </c>
      <c r="U33" s="19">
        <v>0.810246583481878</v>
      </c>
      <c r="V33" s="19">
        <v>0.37018781871723</v>
      </c>
      <c r="W33" s="19">
        <v>0.602415705782579</v>
      </c>
      <c r="X33" s="19">
        <v>0.383279220779221</v>
      </c>
      <c r="Y33" s="19">
        <v>0.640847000222</v>
      </c>
      <c r="Z33" s="19">
        <v>0.788365338365339</v>
      </c>
      <c r="AA33" s="19">
        <v>0.994310402920243</v>
      </c>
      <c r="AB33" s="19">
        <v>0.695915032679738</v>
      </c>
      <c r="AC33" s="19">
        <v>0.62530525030525</v>
      </c>
      <c r="AD33" s="19">
        <v>0.691346732687677</v>
      </c>
      <c r="AE33" s="20">
        <v>0.442553581684016</v>
      </c>
      <c r="AF33" s="20">
        <v>0.550260503385503</v>
      </c>
      <c r="AG33" s="19">
        <v>0.692999320940497</v>
      </c>
      <c r="AH33" s="20">
        <v>0.63573082010582</v>
      </c>
      <c r="AI33" s="20">
        <v>0.912533068783069</v>
      </c>
      <c r="AJ33" s="7">
        <f ca="1">LOOKUP(9E+307,E33:AL33)-OFFSET(E33,0,COUNTA(E33:AL33)-2,1,1)</f>
        <v>0</v>
      </c>
    </row>
    <row r="34" ht="16.5" spans="1:36">
      <c r="A34" s="4" t="s">
        <v>69</v>
      </c>
      <c r="B34" s="5" t="s">
        <v>7772</v>
      </c>
      <c r="C34" s="6">
        <f>AVERAGE(E34:AD34)</f>
        <v>0.718674413375677</v>
      </c>
      <c r="D34" s="7">
        <f ca="1">AVERAGE(OFFSET(E34,0,COUNTA(E34:AQ34)-1,1,1),OFFSET(E34,0,COUNTA(E34:AQ34)-2,1,1),OFFSET(E34,0,COUNTA(E34:AQ34)-3,1,1),OFFSET(E34,0,COUNTA(E34:AQ34)-4,1,1),OFFSET(E34,0,COUNTA(E34:AQ34)-5,1,1),OFFSET(E34,0,COUNTA(E34:AQ34)-6,1,1),OFFSET(E34,0,COUNTA(E34:AQ34)-7,1,1),)</f>
        <v>0.565224969393431</v>
      </c>
      <c r="E34" s="8">
        <v>0.676929524110582</v>
      </c>
      <c r="F34" s="8">
        <v>0.684926739002726</v>
      </c>
      <c r="G34" s="8">
        <v>0.684984436438532</v>
      </c>
      <c r="H34" s="8">
        <v>0.691954660982913</v>
      </c>
      <c r="I34" s="8">
        <v>0.694990852648928</v>
      </c>
      <c r="J34" s="8">
        <v>0.694860519045062</v>
      </c>
      <c r="K34" s="8">
        <v>0.700420805943703</v>
      </c>
      <c r="L34" s="8">
        <v>0.700420805943703</v>
      </c>
      <c r="M34" s="8">
        <v>0.700864780270692</v>
      </c>
      <c r="N34" s="8">
        <v>0.708098631668598</v>
      </c>
      <c r="O34" s="8">
        <v>0.708286866862469</v>
      </c>
      <c r="P34" s="8">
        <v>0.716258219954379</v>
      </c>
      <c r="Q34" s="8">
        <v>0.719055740282183</v>
      </c>
      <c r="R34" s="8">
        <v>0.719055740282183</v>
      </c>
      <c r="S34" s="8">
        <v>0.7274944679106</v>
      </c>
      <c r="T34" s="8">
        <v>0.726662035654435</v>
      </c>
      <c r="U34" s="8">
        <v>0.7344899303463</v>
      </c>
      <c r="V34" s="8">
        <v>0.733452039166798</v>
      </c>
      <c r="W34" s="8">
        <v>0.738823253480749</v>
      </c>
      <c r="X34" s="8">
        <v>0.738543992456371</v>
      </c>
      <c r="Y34" s="8">
        <v>0.743671176677051</v>
      </c>
      <c r="Z34" s="8">
        <v>0.745879863161057</v>
      </c>
      <c r="AA34" s="8">
        <v>0.745553213304211</v>
      </c>
      <c r="AB34" s="8">
        <v>0.750158795680451</v>
      </c>
      <c r="AC34" s="8">
        <v>0.74908657800398</v>
      </c>
      <c r="AD34" s="8">
        <v>0.750611078488939</v>
      </c>
      <c r="AE34" s="20">
        <v>0.751051080837406</v>
      </c>
      <c r="AF34" s="20">
        <v>0.753654285388413</v>
      </c>
      <c r="AG34" s="8">
        <v>0.753934445758178</v>
      </c>
      <c r="AH34" s="20">
        <v>0.75615240114857</v>
      </c>
      <c r="AI34" s="20">
        <v>0.756274432337256</v>
      </c>
      <c r="AJ34" s="7">
        <f ca="1" t="shared" ref="AJ34:AJ40" si="9">LOOKUP(9E+307,E34:AI34)-OFFSET(E34,0,COUNTA(E34:AI34)-2,1,1)</f>
        <v>0.000122031188686034</v>
      </c>
    </row>
    <row r="35" ht="16.5" spans="1:36">
      <c r="A35" s="9" t="s">
        <v>69</v>
      </c>
      <c r="B35" s="10" t="s">
        <v>55</v>
      </c>
      <c r="C35" s="11">
        <f>C37/C36</f>
        <v>0.875250784505376</v>
      </c>
      <c r="D35" s="11">
        <f ca="1">D37/D36</f>
        <v>0.829315332690453</v>
      </c>
      <c r="E35" s="12">
        <v>0.848188794056393</v>
      </c>
      <c r="F35" s="12">
        <v>0.852868251737758</v>
      </c>
      <c r="G35" s="12">
        <v>0.855406938913226</v>
      </c>
      <c r="H35" s="12">
        <v>0.845299600959301</v>
      </c>
      <c r="I35" s="12">
        <v>0.839977635122455</v>
      </c>
      <c r="J35" s="12">
        <v>0.833851955740746</v>
      </c>
      <c r="K35" s="12">
        <v>0.83108754806177</v>
      </c>
      <c r="L35" s="12">
        <v>0.83108754806177</v>
      </c>
      <c r="M35" s="12">
        <v>0.85284229008421</v>
      </c>
      <c r="N35" s="12">
        <v>0.885327990917303</v>
      </c>
      <c r="O35" s="12">
        <v>0.894927985804702</v>
      </c>
      <c r="P35" s="12">
        <v>0.911327811133621</v>
      </c>
      <c r="Q35" s="12">
        <v>0.985462099820425</v>
      </c>
      <c r="R35" s="12">
        <v>0.985462099820425</v>
      </c>
      <c r="S35" s="12">
        <v>0.962567866649243</v>
      </c>
      <c r="T35" s="12">
        <v>0.939675979604722</v>
      </c>
      <c r="U35" s="12">
        <v>0.946396682783297</v>
      </c>
      <c r="V35" s="12">
        <v>0.916816784167491</v>
      </c>
      <c r="W35" s="12">
        <v>0.900207502341401</v>
      </c>
      <c r="X35" s="12">
        <v>0.891969302122254</v>
      </c>
      <c r="Y35" s="12">
        <v>0.893938508165492</v>
      </c>
      <c r="Z35" s="12">
        <v>0.889495585005464</v>
      </c>
      <c r="AA35" s="12">
        <v>0.879369439443227</v>
      </c>
      <c r="AB35" s="12">
        <v>0.888411046043674</v>
      </c>
      <c r="AC35" s="12">
        <v>0.854100080396605</v>
      </c>
      <c r="AD35" s="12">
        <v>0.81763008947063</v>
      </c>
      <c r="AE35" s="20">
        <v>0.832150166970019</v>
      </c>
      <c r="AF35" s="20">
        <v>0.837090079371113</v>
      </c>
      <c r="AG35" s="12">
        <v>0.84661553194311</v>
      </c>
      <c r="AH35" s="20">
        <v>0.836580433595644</v>
      </c>
      <c r="AI35" s="20">
        <v>0.840851525199633</v>
      </c>
      <c r="AJ35" s="7">
        <f ca="1" t="shared" si="9"/>
        <v>0.00427109160398897</v>
      </c>
    </row>
    <row r="36" ht="16.5" spans="1:36">
      <c r="A36" s="9" t="s">
        <v>69</v>
      </c>
      <c r="B36" s="10" t="s">
        <v>57</v>
      </c>
      <c r="C36" s="13">
        <f t="shared" si="8"/>
        <v>19439</v>
      </c>
      <c r="D36" s="14">
        <f ca="1">INT(AVERAGE(OFFSET(E36,0,COUNTA(E36:AQ36)-1,1,1),OFFSET(E36,0,COUNTA(E36:AQ36)-2,1,1),OFFSET(E36,0,COUNTA(E36:AQ36)-3,1,1),OFFSET(E36,0,COUNTA(E36:AQ36)-4,1,1),OFFSET(E36,0,COUNTA(E36:AQ36)-5,1,1),OFFSET(E36,0,COUNTA(E36:AQ36)-6,1,1),OFFSET(E36,0,COUNTA(E36:AQ36)-7,1,1),))</f>
        <v>20740</v>
      </c>
      <c r="E36" s="15">
        <v>18743</v>
      </c>
      <c r="F36" s="15">
        <v>16702</v>
      </c>
      <c r="G36" s="15">
        <v>15689</v>
      </c>
      <c r="H36" s="15">
        <v>15003</v>
      </c>
      <c r="I36" s="15">
        <v>14888</v>
      </c>
      <c r="J36" s="15">
        <v>14274</v>
      </c>
      <c r="K36" s="15">
        <v>16099</v>
      </c>
      <c r="L36" s="15">
        <v>16099</v>
      </c>
      <c r="M36" s="15">
        <v>14674</v>
      </c>
      <c r="N36" s="15">
        <v>12951</v>
      </c>
      <c r="O36" s="15">
        <v>12702</v>
      </c>
      <c r="P36" s="15">
        <v>12698</v>
      </c>
      <c r="Q36" s="15">
        <v>15318</v>
      </c>
      <c r="R36" s="15">
        <v>15318</v>
      </c>
      <c r="S36" s="15">
        <v>17757</v>
      </c>
      <c r="T36" s="15">
        <v>19415</v>
      </c>
      <c r="U36" s="15">
        <v>18770</v>
      </c>
      <c r="V36" s="15">
        <v>20749</v>
      </c>
      <c r="W36" s="15">
        <v>25479</v>
      </c>
      <c r="X36" s="15">
        <v>25706</v>
      </c>
      <c r="Y36" s="15">
        <v>26799</v>
      </c>
      <c r="Z36" s="15">
        <v>27543</v>
      </c>
      <c r="AA36" s="15">
        <v>28625</v>
      </c>
      <c r="AB36" s="15">
        <v>27430</v>
      </c>
      <c r="AC36" s="15">
        <v>27238</v>
      </c>
      <c r="AD36" s="15">
        <v>28749</v>
      </c>
      <c r="AE36">
        <v>27748</v>
      </c>
      <c r="AF36">
        <v>23682</v>
      </c>
      <c r="AG36" s="15">
        <v>26541</v>
      </c>
      <c r="AH36">
        <v>31110</v>
      </c>
      <c r="AI36">
        <v>29603</v>
      </c>
      <c r="AJ36" s="22">
        <f ca="1" t="shared" si="9"/>
        <v>-1507</v>
      </c>
    </row>
    <row r="37" ht="16.5" spans="1:36">
      <c r="A37" s="9" t="s">
        <v>69</v>
      </c>
      <c r="B37" s="10" t="s">
        <v>59</v>
      </c>
      <c r="C37" s="13">
        <f t="shared" si="8"/>
        <v>17014</v>
      </c>
      <c r="D37" s="14">
        <f ca="1">INT(AVERAGE(OFFSET(E37,0,COUNTA(E37:AQ37)-1,1,1),OFFSET(E37,0,COUNTA(E37:AQ37)-2,1,1),OFFSET(E37,0,COUNTA(E37:AQ37)-3,1,1),OFFSET(E37,0,COUNTA(E37:AQ37)-4,1,1),OFFSET(E37,0,COUNTA(E37:AQ37)-5,1,1),OFFSET(E37,0,COUNTA(E37:AQ37)-6,1,1),OFFSET(E37,0,COUNTA(E37:AQ37)-7,1,1),))</f>
        <v>17200</v>
      </c>
      <c r="E37" s="15">
        <v>15919</v>
      </c>
      <c r="F37" s="15">
        <v>14202</v>
      </c>
      <c r="G37" s="15">
        <v>13340</v>
      </c>
      <c r="H37" s="15">
        <v>12655</v>
      </c>
      <c r="I37" s="15">
        <v>12454</v>
      </c>
      <c r="J37" s="15">
        <v>11862</v>
      </c>
      <c r="K37" s="15">
        <v>13340</v>
      </c>
      <c r="L37" s="15">
        <v>13340</v>
      </c>
      <c r="M37" s="15">
        <v>12508</v>
      </c>
      <c r="N37" s="15">
        <v>11384</v>
      </c>
      <c r="O37" s="15">
        <v>11314</v>
      </c>
      <c r="P37" s="15">
        <v>11603</v>
      </c>
      <c r="Q37" s="15">
        <v>14649</v>
      </c>
      <c r="R37" s="15">
        <v>14649</v>
      </c>
      <c r="S37" s="15">
        <v>16606</v>
      </c>
      <c r="T37" s="15">
        <v>17874</v>
      </c>
      <c r="U37" s="15">
        <v>17493</v>
      </c>
      <c r="V37" s="15">
        <v>18635</v>
      </c>
      <c r="W37" s="15">
        <v>22497</v>
      </c>
      <c r="X37" s="15">
        <v>22629</v>
      </c>
      <c r="Y37" s="15">
        <v>23650</v>
      </c>
      <c r="Z37" s="15">
        <v>24266</v>
      </c>
      <c r="AA37" s="15">
        <v>24878</v>
      </c>
      <c r="AB37" s="15">
        <v>24080</v>
      </c>
      <c r="AC37" s="15">
        <v>23160</v>
      </c>
      <c r="AD37" s="15">
        <v>23379</v>
      </c>
      <c r="AE37">
        <v>22920</v>
      </c>
      <c r="AF37">
        <v>19620</v>
      </c>
      <c r="AG37" s="15">
        <v>22316</v>
      </c>
      <c r="AH37">
        <v>25865</v>
      </c>
      <c r="AI37">
        <v>24685</v>
      </c>
      <c r="AJ37" s="22">
        <f ca="1" t="shared" si="9"/>
        <v>-1180</v>
      </c>
    </row>
    <row r="38" ht="16.5" spans="1:36">
      <c r="A38" s="9" t="s">
        <v>69</v>
      </c>
      <c r="B38" s="10" t="s">
        <v>4</v>
      </c>
      <c r="C38" s="13">
        <f t="shared" si="8"/>
        <v>469</v>
      </c>
      <c r="D38" s="14">
        <f ca="1">INT(AVERAGE(OFFSET(E38,0,COUNTA(E38:AQ38)-1,1,1),OFFSET(E38,0,COUNTA(E38:AQ38)-2,1,1),OFFSET(E38,0,COUNTA(E38:AQ38)-3,1,1),OFFSET(E38,0,COUNTA(E38:AQ38)-4,1,1),OFFSET(E38,0,COUNTA(E38:AQ38)-5,1,1),OFFSET(E38,0,COUNTA(E38:AQ38)-6,1,1),OFFSET(E38,0,COUNTA(E38:AQ38)-7,1,1),))</f>
        <v>479</v>
      </c>
      <c r="E38" s="15">
        <v>286</v>
      </c>
      <c r="F38" s="15">
        <v>240</v>
      </c>
      <c r="G38" s="15">
        <v>239</v>
      </c>
      <c r="H38" s="15">
        <v>238</v>
      </c>
      <c r="I38" s="15">
        <v>219</v>
      </c>
      <c r="J38" s="15">
        <v>200</v>
      </c>
      <c r="K38" s="15">
        <v>240</v>
      </c>
      <c r="L38" s="15">
        <v>240</v>
      </c>
      <c r="M38" s="15">
        <v>270</v>
      </c>
      <c r="N38" s="15">
        <v>350</v>
      </c>
      <c r="O38" s="15">
        <v>366</v>
      </c>
      <c r="P38" s="15">
        <v>397</v>
      </c>
      <c r="Q38" s="15">
        <v>483</v>
      </c>
      <c r="R38" s="15">
        <v>483</v>
      </c>
      <c r="S38" s="15">
        <v>497</v>
      </c>
      <c r="T38" s="15">
        <v>676</v>
      </c>
      <c r="U38" s="15">
        <v>634</v>
      </c>
      <c r="V38" s="15">
        <v>561</v>
      </c>
      <c r="W38" s="15">
        <v>706</v>
      </c>
      <c r="X38" s="15">
        <v>666</v>
      </c>
      <c r="Y38" s="15">
        <v>814</v>
      </c>
      <c r="Z38" s="15">
        <v>743</v>
      </c>
      <c r="AA38" s="15">
        <v>742</v>
      </c>
      <c r="AB38" s="15">
        <v>730</v>
      </c>
      <c r="AC38" s="15">
        <v>598</v>
      </c>
      <c r="AD38" s="15">
        <v>598</v>
      </c>
      <c r="AE38">
        <v>548</v>
      </c>
      <c r="AF38">
        <v>572</v>
      </c>
      <c r="AG38" s="15">
        <v>702</v>
      </c>
      <c r="AH38">
        <v>790</v>
      </c>
      <c r="AI38">
        <v>708</v>
      </c>
      <c r="AJ38" s="22">
        <f ca="1" t="shared" si="9"/>
        <v>-82</v>
      </c>
    </row>
    <row r="39" ht="16.5" spans="1:36">
      <c r="A39" s="9" t="s">
        <v>69</v>
      </c>
      <c r="B39" s="10" t="s">
        <v>5</v>
      </c>
      <c r="C39" s="11">
        <f>C38/C37</f>
        <v>0.0275655342658987</v>
      </c>
      <c r="D39" s="11">
        <f ca="1">D38/D37</f>
        <v>0.0278488372093023</v>
      </c>
      <c r="E39" s="12">
        <v>0.0176349143836682</v>
      </c>
      <c r="F39" s="12">
        <v>0.0155274235575243</v>
      </c>
      <c r="G39" s="12">
        <v>0.0186998238911174</v>
      </c>
      <c r="H39" s="12">
        <v>0.0191691587292444</v>
      </c>
      <c r="I39" s="12">
        <v>0.0190657441500096</v>
      </c>
      <c r="J39" s="12">
        <v>0.0180307711996278</v>
      </c>
      <c r="K39" s="12">
        <v>0.0172474188040015</v>
      </c>
      <c r="L39" s="12">
        <v>0.0172474188040015</v>
      </c>
      <c r="M39" s="12">
        <v>0.0190768956364062</v>
      </c>
      <c r="N39" s="12">
        <v>0.0282356356517154</v>
      </c>
      <c r="O39" s="12">
        <v>0.0335243263713446</v>
      </c>
      <c r="P39" s="12">
        <v>0.0343147810093349</v>
      </c>
      <c r="Q39" s="12">
        <v>0.0331100530360799</v>
      </c>
      <c r="R39" s="12">
        <v>0.0331100530360799</v>
      </c>
      <c r="S39" s="12">
        <v>0.0264912822723896</v>
      </c>
      <c r="T39" s="12">
        <v>0.0366041380940712</v>
      </c>
      <c r="U39" s="12">
        <v>0.0327411305100234</v>
      </c>
      <c r="V39" s="12">
        <v>0.0267196708906855</v>
      </c>
      <c r="W39" s="12">
        <v>0.0302210244927558</v>
      </c>
      <c r="X39" s="12">
        <v>0.029200213326261</v>
      </c>
      <c r="Y39" s="12">
        <v>0.0337919621357032</v>
      </c>
      <c r="Z39" s="12">
        <v>0.0320815148460105</v>
      </c>
      <c r="AA39" s="12">
        <v>0.0308877593742708</v>
      </c>
      <c r="AB39" s="12">
        <v>0.0305423264347348</v>
      </c>
      <c r="AC39" s="12">
        <v>0.0242271575349925</v>
      </c>
      <c r="AD39" s="12">
        <v>0.023404655003004</v>
      </c>
      <c r="AE39" s="20">
        <v>0.0215942123292495</v>
      </c>
      <c r="AF39" s="20">
        <v>0.0265024373109428</v>
      </c>
      <c r="AG39" s="12">
        <v>0.030505061451614</v>
      </c>
      <c r="AH39" s="20">
        <v>0.0334526574815199</v>
      </c>
      <c r="AI39" s="20">
        <v>0.0262908252320791</v>
      </c>
      <c r="AJ39" s="7">
        <f ca="1" t="shared" si="9"/>
        <v>-0.0071618322494408</v>
      </c>
    </row>
    <row r="40" ht="16.5" spans="1:36">
      <c r="A40" s="9" t="s">
        <v>69</v>
      </c>
      <c r="B40" s="10" t="s">
        <v>6</v>
      </c>
      <c r="C40" s="13">
        <f t="shared" ref="C40:C46" si="10">INT(AVERAGE(E40:AD40))</f>
        <v>166</v>
      </c>
      <c r="D40" s="14">
        <f ca="1">INT(AVERAGE(OFFSET(E40,0,COUNTA(E40:AQ40)-1,1,1),OFFSET(E40,0,COUNTA(E40:AQ40)-2,1,1),OFFSET(E40,0,COUNTA(E40:AQ40)-3,1,1),OFFSET(E40,0,COUNTA(E40:AQ40)-4,1,1),OFFSET(E40,0,COUNTA(E40:AQ40)-5,1,1),OFFSET(E40,0,COUNTA(E40:AQ40)-6,1,1),OFFSET(E40,0,COUNTA(E40:AQ40)-7,1,1),))</f>
        <v>171</v>
      </c>
      <c r="E40" s="15">
        <v>102</v>
      </c>
      <c r="F40" s="15">
        <v>95</v>
      </c>
      <c r="G40" s="15">
        <v>62</v>
      </c>
      <c r="H40" s="15">
        <v>80</v>
      </c>
      <c r="I40" s="15">
        <v>85</v>
      </c>
      <c r="J40" s="15">
        <v>63</v>
      </c>
      <c r="K40" s="15">
        <v>73</v>
      </c>
      <c r="L40" s="15">
        <v>73</v>
      </c>
      <c r="M40" s="15">
        <v>89</v>
      </c>
      <c r="N40" s="15">
        <v>119</v>
      </c>
      <c r="O40" s="15">
        <v>159</v>
      </c>
      <c r="P40" s="15">
        <v>123</v>
      </c>
      <c r="Q40" s="15">
        <v>182</v>
      </c>
      <c r="R40" s="15">
        <v>182</v>
      </c>
      <c r="S40" s="15">
        <v>196</v>
      </c>
      <c r="T40" s="15">
        <v>243</v>
      </c>
      <c r="U40" s="15">
        <v>199</v>
      </c>
      <c r="V40" s="15">
        <v>197</v>
      </c>
      <c r="W40" s="15">
        <v>250</v>
      </c>
      <c r="X40" s="15">
        <v>224</v>
      </c>
      <c r="Y40" s="15">
        <v>257</v>
      </c>
      <c r="Z40" s="15">
        <v>283</v>
      </c>
      <c r="AA40" s="15">
        <v>289</v>
      </c>
      <c r="AB40" s="15">
        <v>252</v>
      </c>
      <c r="AC40" s="15">
        <v>219</v>
      </c>
      <c r="AD40" s="15">
        <v>233</v>
      </c>
      <c r="AE40">
        <v>211</v>
      </c>
      <c r="AF40">
        <v>219</v>
      </c>
      <c r="AG40" s="15">
        <v>261</v>
      </c>
      <c r="AH40">
        <v>299</v>
      </c>
      <c r="AI40">
        <v>222</v>
      </c>
      <c r="AJ40" s="22">
        <f ca="1" t="shared" si="9"/>
        <v>-77</v>
      </c>
    </row>
    <row r="41" ht="17.25" spans="1:36">
      <c r="A41" s="16" t="s">
        <v>69</v>
      </c>
      <c r="B41" s="17" t="s">
        <v>64</v>
      </c>
      <c r="C41" s="18">
        <f>C40/C38</f>
        <v>0.353944562899787</v>
      </c>
      <c r="D41" s="18">
        <f ca="1">D40/D38</f>
        <v>0.356993736951983</v>
      </c>
      <c r="E41" s="19">
        <v>0.371482186547724</v>
      </c>
      <c r="F41" s="19">
        <v>0.80903700227384</v>
      </c>
      <c r="G41" s="19">
        <v>0.263279427072531</v>
      </c>
      <c r="H41" s="19">
        <v>0.570824416559444</v>
      </c>
      <c r="I41" s="19">
        <v>0.443545242039157</v>
      </c>
      <c r="J41" s="19">
        <v>0.513521385351095</v>
      </c>
      <c r="K41" s="19">
        <v>0.4834962355725</v>
      </c>
      <c r="L41" s="19">
        <v>0.4834962355725</v>
      </c>
      <c r="M41" s="19">
        <v>0.489122404337165</v>
      </c>
      <c r="N41" s="19">
        <v>0.60852580527081</v>
      </c>
      <c r="O41" s="19">
        <v>0.661896874182413</v>
      </c>
      <c r="P41" s="19">
        <v>0.345883433091442</v>
      </c>
      <c r="Q41" s="19">
        <v>0.50872081113012</v>
      </c>
      <c r="R41" s="19">
        <v>0.50872081113012</v>
      </c>
      <c r="S41" s="19">
        <v>0.591608416821149</v>
      </c>
      <c r="T41" s="19">
        <v>0.585036981085575</v>
      </c>
      <c r="U41" s="19">
        <v>0.764616201584763</v>
      </c>
      <c r="V41" s="19">
        <v>0.679885945441583</v>
      </c>
      <c r="W41" s="19">
        <v>0.413141477468256</v>
      </c>
      <c r="X41" s="19">
        <v>0.468555369953749</v>
      </c>
      <c r="Y41" s="19">
        <v>0.417913721606498</v>
      </c>
      <c r="Z41" s="19">
        <v>0.927144282868764</v>
      </c>
      <c r="AA41" s="19">
        <v>0.584323095191212</v>
      </c>
      <c r="AB41" s="19">
        <v>0.597561650912113</v>
      </c>
      <c r="AC41" s="19">
        <v>0.973923527330068</v>
      </c>
      <c r="AD41" s="19">
        <v>0.733217416203023</v>
      </c>
      <c r="AE41" s="20">
        <v>0.920639955046885</v>
      </c>
      <c r="AF41" s="20">
        <v>0.775432097430312</v>
      </c>
      <c r="AG41" s="19">
        <v>0.482936466845476</v>
      </c>
      <c r="AH41" s="20">
        <v>0.520572944490968</v>
      </c>
      <c r="AI41" s="20">
        <v>1.02747949724122</v>
      </c>
      <c r="AJ41" s="7">
        <f ca="1">LOOKUP(9E+307,E41:AL41)-OFFSET(E41,0,COUNTA(E41:AL41)-2,1,1)</f>
        <v>0</v>
      </c>
    </row>
    <row r="42" ht="16.5" spans="1:36">
      <c r="A42" s="4" t="s">
        <v>70</v>
      </c>
      <c r="B42" s="5" t="s">
        <v>7772</v>
      </c>
      <c r="C42" s="6">
        <f>AVERAGE(E42:AD42)</f>
        <v>0.88792288346278</v>
      </c>
      <c r="D42" s="7">
        <f ca="1">AVERAGE(OFFSET(E42,0,COUNTA(E42:AQ42)-1,1,1),OFFSET(E42,0,COUNTA(E42:AQ42)-2,1,1),OFFSET(E42,0,COUNTA(E42:AQ42)-3,1,1),OFFSET(E42,0,COUNTA(E42:AQ42)-4,1,1),OFFSET(E42,0,COUNTA(E42:AQ42)-5,1,1),OFFSET(E42,0,COUNTA(E42:AQ42)-6,1,1),OFFSET(E42,0,COUNTA(E42:AQ42)-7,1,1),)</f>
        <v>0.74930315548322</v>
      </c>
      <c r="E42" s="8">
        <v>0.871516487026022</v>
      </c>
      <c r="F42" s="8">
        <v>0.869999176401938</v>
      </c>
      <c r="G42" s="8">
        <v>0.869697355450011</v>
      </c>
      <c r="H42" s="8">
        <v>0.867707861524564</v>
      </c>
      <c r="I42" s="8">
        <v>0.868316146616718</v>
      </c>
      <c r="J42" s="8">
        <v>0.869331255378714</v>
      </c>
      <c r="K42" s="8">
        <v>0.872190074151022</v>
      </c>
      <c r="L42" s="8">
        <v>0.872190074151022</v>
      </c>
      <c r="M42" s="8">
        <v>0.871840907046009</v>
      </c>
      <c r="N42" s="8">
        <v>0.874689295652017</v>
      </c>
      <c r="O42" s="8">
        <v>0.874666252546105</v>
      </c>
      <c r="P42" s="8">
        <v>0.87814003515448</v>
      </c>
      <c r="Q42" s="8">
        <v>0.878130857778395</v>
      </c>
      <c r="R42" s="8">
        <v>0.878130857778395</v>
      </c>
      <c r="S42" s="8">
        <v>0.880663822140189</v>
      </c>
      <c r="T42" s="8">
        <v>0.880929685043753</v>
      </c>
      <c r="U42" s="8">
        <v>0.884437911629515</v>
      </c>
      <c r="V42" s="8">
        <v>0.882980233928373</v>
      </c>
      <c r="W42" s="8">
        <v>0.884301194140089</v>
      </c>
      <c r="X42" s="8">
        <v>0.885987988847771</v>
      </c>
      <c r="Y42" s="8">
        <v>0.892319091477555</v>
      </c>
      <c r="Z42" s="8">
        <v>0.908419723913445</v>
      </c>
      <c r="AA42" s="8">
        <v>0.915050613420217</v>
      </c>
      <c r="AB42" s="8">
        <v>0.945834849672536</v>
      </c>
      <c r="AC42" s="8">
        <v>0.943668157072302</v>
      </c>
      <c r="AD42" s="8">
        <v>0.964855062091112</v>
      </c>
      <c r="AE42" s="20">
        <v>0.973622801150995</v>
      </c>
      <c r="AF42" s="20">
        <v>1.00043724986163</v>
      </c>
      <c r="AG42" s="8">
        <v>0.998865388297245</v>
      </c>
      <c r="AH42" s="20">
        <v>1.02926840641263</v>
      </c>
      <c r="AI42" s="20">
        <v>1.02832237123239</v>
      </c>
      <c r="AJ42" s="7">
        <f ca="1" t="shared" ref="AJ42:AJ48" si="11">LOOKUP(9E+307,E42:AI42)-OFFSET(E42,0,COUNTA(E42:AI42)-2,1,1)</f>
        <v>-0.000946035180240168</v>
      </c>
    </row>
    <row r="43" ht="16.5" spans="1:36">
      <c r="A43" s="9" t="s">
        <v>70</v>
      </c>
      <c r="B43" s="10" t="s">
        <v>55</v>
      </c>
      <c r="C43" s="11">
        <f>C45/C44</f>
        <v>1.08234814512841</v>
      </c>
      <c r="D43" s="11">
        <f ca="1">D45/D44</f>
        <v>1.8524064171123</v>
      </c>
      <c r="E43" s="12">
        <v>0.881020845278531</v>
      </c>
      <c r="F43" s="12">
        <v>0.838135653296178</v>
      </c>
      <c r="G43" s="12">
        <v>0.824855531411399</v>
      </c>
      <c r="H43" s="12">
        <v>0.823938995164724</v>
      </c>
      <c r="I43" s="12">
        <v>0.860118128010256</v>
      </c>
      <c r="J43" s="12">
        <v>0.907828239824061</v>
      </c>
      <c r="K43" s="12">
        <v>0.939372315300267</v>
      </c>
      <c r="L43" s="12">
        <v>0.939372315300267</v>
      </c>
      <c r="M43" s="12">
        <v>0.92226312715462</v>
      </c>
      <c r="N43" s="12">
        <v>0.944474816499215</v>
      </c>
      <c r="O43" s="12">
        <v>0.943299618097697</v>
      </c>
      <c r="P43" s="12">
        <v>0.958914200477934</v>
      </c>
      <c r="Q43" s="12">
        <v>0.95867100001167</v>
      </c>
      <c r="R43" s="12">
        <v>0.95867100001167</v>
      </c>
      <c r="S43" s="12">
        <v>0.951415251822388</v>
      </c>
      <c r="T43" s="12">
        <v>0.958726481670377</v>
      </c>
      <c r="U43" s="12">
        <v>0.973518255715449</v>
      </c>
      <c r="V43" s="12">
        <v>0.931974441232897</v>
      </c>
      <c r="W43" s="12">
        <v>0.925290520526955</v>
      </c>
      <c r="X43" s="12">
        <v>0.975050964403577</v>
      </c>
      <c r="Y43" s="12">
        <v>1.04440806750533</v>
      </c>
      <c r="Z43" s="12">
        <v>1.32645814583779</v>
      </c>
      <c r="AA43" s="12">
        <v>1.53201572054772</v>
      </c>
      <c r="AB43" s="12">
        <v>1.77743602251219</v>
      </c>
      <c r="AC43" s="12">
        <v>1.7081018593047</v>
      </c>
      <c r="AD43" s="12">
        <v>1.6645913015636</v>
      </c>
      <c r="AE43" s="20">
        <v>1.95392669053972</v>
      </c>
      <c r="AF43" s="20">
        <v>1.90818493505504</v>
      </c>
      <c r="AG43" s="12">
        <v>1.85474164186585</v>
      </c>
      <c r="AH43" s="20">
        <v>1.99356122884579</v>
      </c>
      <c r="AI43" s="20">
        <v>1.96044999753727</v>
      </c>
      <c r="AJ43" s="7">
        <f ca="1" t="shared" si="11"/>
        <v>-0.03311123130852</v>
      </c>
    </row>
    <row r="44" ht="16.5" spans="1:36">
      <c r="A44" s="9" t="s">
        <v>70</v>
      </c>
      <c r="B44" s="10" t="s">
        <v>57</v>
      </c>
      <c r="C44" s="13">
        <f t="shared" si="10"/>
        <v>2453</v>
      </c>
      <c r="D44" s="14">
        <f ca="1">INT(AVERAGE(OFFSET(E44,0,COUNTA(E44:AQ44)-1,1,1),OFFSET(E44,0,COUNTA(E44:AQ44)-2,1,1),OFFSET(E44,0,COUNTA(E44:AQ44)-3,1,1),OFFSET(E44,0,COUNTA(E44:AQ44)-4,1,1),OFFSET(E44,0,COUNTA(E44:AQ44)-5,1,1),OFFSET(E44,0,COUNTA(E44:AQ44)-6,1,1),OFFSET(E44,0,COUNTA(E44:AQ44)-7,1,1),))</f>
        <v>1870</v>
      </c>
      <c r="E44" s="15">
        <v>997</v>
      </c>
      <c r="F44" s="15">
        <v>1021</v>
      </c>
      <c r="G44" s="15">
        <v>859</v>
      </c>
      <c r="H44" s="15">
        <v>861</v>
      </c>
      <c r="I44" s="15">
        <v>1013</v>
      </c>
      <c r="J44" s="15">
        <v>1788</v>
      </c>
      <c r="K44" s="15">
        <v>2036</v>
      </c>
      <c r="L44" s="15">
        <v>2036</v>
      </c>
      <c r="M44" s="15">
        <v>1777</v>
      </c>
      <c r="N44" s="15">
        <v>1643</v>
      </c>
      <c r="O44" s="15">
        <v>2198</v>
      </c>
      <c r="P44" s="15">
        <v>3027</v>
      </c>
      <c r="Q44" s="15">
        <v>3350</v>
      </c>
      <c r="R44" s="15">
        <v>3350</v>
      </c>
      <c r="S44" s="15">
        <v>3641</v>
      </c>
      <c r="T44" s="15">
        <v>3932</v>
      </c>
      <c r="U44" s="15">
        <v>2909</v>
      </c>
      <c r="V44" s="15">
        <v>3064</v>
      </c>
      <c r="W44" s="15">
        <v>3555</v>
      </c>
      <c r="X44" s="15">
        <v>3288</v>
      </c>
      <c r="Y44" s="15">
        <v>3447</v>
      </c>
      <c r="Z44" s="15">
        <v>2879</v>
      </c>
      <c r="AA44" s="15">
        <v>2985</v>
      </c>
      <c r="AB44" s="15">
        <v>2824</v>
      </c>
      <c r="AC44" s="15">
        <v>2723</v>
      </c>
      <c r="AD44" s="15">
        <v>2583</v>
      </c>
      <c r="AE44">
        <v>2445</v>
      </c>
      <c r="AF44">
        <v>2412</v>
      </c>
      <c r="AG44" s="15">
        <v>2588</v>
      </c>
      <c r="AH44">
        <v>2424</v>
      </c>
      <c r="AI44">
        <v>2466</v>
      </c>
      <c r="AJ44" s="22">
        <f ca="1" t="shared" si="11"/>
        <v>42</v>
      </c>
    </row>
    <row r="45" ht="16.5" spans="1:36">
      <c r="A45" s="9" t="s">
        <v>70</v>
      </c>
      <c r="B45" s="10" t="s">
        <v>59</v>
      </c>
      <c r="C45" s="13">
        <f t="shared" si="10"/>
        <v>2655</v>
      </c>
      <c r="D45" s="14">
        <f ca="1">INT(AVERAGE(OFFSET(E45,0,COUNTA(E45:AQ45)-1,1,1),OFFSET(E45,0,COUNTA(E45:AQ45)-2,1,1),OFFSET(E45,0,COUNTA(E45:AQ45)-3,1,1),OFFSET(E45,0,COUNTA(E45:AQ45)-4,1,1),OFFSET(E45,0,COUNTA(E45:AQ45)-5,1,1),OFFSET(E45,0,COUNTA(E45:AQ45)-6,1,1),OFFSET(E45,0,COUNTA(E45:AQ45)-7,1,1),))</f>
        <v>3464</v>
      </c>
      <c r="E45" s="15">
        <v>884</v>
      </c>
      <c r="F45" s="15">
        <v>848</v>
      </c>
      <c r="G45" s="15">
        <v>707</v>
      </c>
      <c r="H45" s="15">
        <v>704</v>
      </c>
      <c r="I45" s="15">
        <v>837</v>
      </c>
      <c r="J45" s="15">
        <v>1635</v>
      </c>
      <c r="K45" s="15">
        <v>1915</v>
      </c>
      <c r="L45" s="15">
        <v>1915</v>
      </c>
      <c r="M45" s="15">
        <v>1620</v>
      </c>
      <c r="N45" s="15">
        <v>1560</v>
      </c>
      <c r="O45" s="15">
        <v>2074</v>
      </c>
      <c r="P45" s="15">
        <v>2874</v>
      </c>
      <c r="Q45" s="15">
        <v>3209</v>
      </c>
      <c r="R45" s="15">
        <v>3209</v>
      </c>
      <c r="S45" s="15">
        <v>3460</v>
      </c>
      <c r="T45" s="15">
        <v>3755</v>
      </c>
      <c r="U45" s="15">
        <v>2812</v>
      </c>
      <c r="V45" s="15">
        <v>2832</v>
      </c>
      <c r="W45" s="15">
        <v>3281</v>
      </c>
      <c r="X45" s="15">
        <v>3179</v>
      </c>
      <c r="Y45" s="15">
        <v>3524</v>
      </c>
      <c r="Z45" s="15">
        <v>3788</v>
      </c>
      <c r="AA45" s="15">
        <v>4574</v>
      </c>
      <c r="AB45" s="15">
        <v>5022</v>
      </c>
      <c r="AC45" s="15">
        <v>4524</v>
      </c>
      <c r="AD45" s="15">
        <v>4295</v>
      </c>
      <c r="AE45">
        <v>4722</v>
      </c>
      <c r="AF45">
        <v>4411</v>
      </c>
      <c r="AG45" s="15">
        <v>4685</v>
      </c>
      <c r="AH45">
        <v>4712</v>
      </c>
      <c r="AI45">
        <v>4802</v>
      </c>
      <c r="AJ45" s="22">
        <f ca="1" t="shared" si="11"/>
        <v>90</v>
      </c>
    </row>
    <row r="46" ht="16.5" spans="1:36">
      <c r="A46" s="9" t="s">
        <v>70</v>
      </c>
      <c r="B46" s="10" t="s">
        <v>4</v>
      </c>
      <c r="C46" s="13">
        <f t="shared" si="10"/>
        <v>14</v>
      </c>
      <c r="D46" s="14">
        <f ca="1">INT(AVERAGE(OFFSET(E46,0,COUNTA(E46:AQ46)-1,1,1),OFFSET(E46,0,COUNTA(E46:AQ46)-2,1,1),OFFSET(E46,0,COUNTA(E46:AQ46)-3,1,1),OFFSET(E46,0,COUNTA(E46:AQ46)-4,1,1),OFFSET(E46,0,COUNTA(E46:AQ46)-5,1,1),OFFSET(E46,0,COUNTA(E46:AQ46)-6,1,1),OFFSET(E46,0,COUNTA(E46:AQ46)-7,1,1),))</f>
        <v>20</v>
      </c>
      <c r="E46" s="15">
        <v>6</v>
      </c>
      <c r="F46" s="15">
        <v>10</v>
      </c>
      <c r="G46" s="15">
        <v>8</v>
      </c>
      <c r="H46" s="15">
        <v>6</v>
      </c>
      <c r="I46" s="15">
        <v>4</v>
      </c>
      <c r="J46" s="15">
        <v>6</v>
      </c>
      <c r="K46" s="15">
        <v>9</v>
      </c>
      <c r="L46" s="15">
        <v>9</v>
      </c>
      <c r="M46" s="15">
        <v>5</v>
      </c>
      <c r="N46" s="15">
        <v>12</v>
      </c>
      <c r="O46" s="15">
        <v>12</v>
      </c>
      <c r="P46" s="15">
        <v>14</v>
      </c>
      <c r="Q46" s="15">
        <v>11</v>
      </c>
      <c r="R46" s="15">
        <v>11</v>
      </c>
      <c r="S46" s="15">
        <v>8</v>
      </c>
      <c r="T46" s="15">
        <v>13</v>
      </c>
      <c r="U46" s="15">
        <v>9</v>
      </c>
      <c r="V46" s="15">
        <v>10</v>
      </c>
      <c r="W46" s="15">
        <v>6</v>
      </c>
      <c r="X46" s="15">
        <v>18</v>
      </c>
      <c r="Y46" s="15">
        <v>18</v>
      </c>
      <c r="Z46" s="15">
        <v>23</v>
      </c>
      <c r="AA46" s="15">
        <v>53</v>
      </c>
      <c r="AB46" s="15">
        <v>33</v>
      </c>
      <c r="AC46" s="15">
        <v>32</v>
      </c>
      <c r="AD46" s="15">
        <v>35</v>
      </c>
      <c r="AE46">
        <v>36</v>
      </c>
      <c r="AF46">
        <v>23</v>
      </c>
      <c r="AG46" s="15">
        <v>34</v>
      </c>
      <c r="AH46">
        <v>25</v>
      </c>
      <c r="AI46">
        <v>17</v>
      </c>
      <c r="AJ46" s="22">
        <f ca="1" t="shared" si="11"/>
        <v>-8</v>
      </c>
    </row>
    <row r="47" ht="16.5" spans="1:36">
      <c r="A47" s="9" t="s">
        <v>70</v>
      </c>
      <c r="B47" s="10" t="s">
        <v>5</v>
      </c>
      <c r="C47" s="11">
        <f>C46/C45</f>
        <v>0.00527306967984934</v>
      </c>
      <c r="D47" s="11">
        <f ca="1">D46/D45</f>
        <v>0.00577367205542725</v>
      </c>
      <c r="E47" s="12">
        <v>0.0062861100411723</v>
      </c>
      <c r="F47" s="12">
        <v>0.0151853086506427</v>
      </c>
      <c r="G47" s="12">
        <v>0.0112874963706245</v>
      </c>
      <c r="H47" s="12">
        <v>0.0172003248047913</v>
      </c>
      <c r="I47" s="12">
        <v>0.00444991789819376</v>
      </c>
      <c r="J47" s="12">
        <v>0.00566431176357373</v>
      </c>
      <c r="K47" s="12">
        <v>0.0042183050026828</v>
      </c>
      <c r="L47" s="12">
        <v>0.0042183050026828</v>
      </c>
      <c r="M47" s="12">
        <v>0.00256453048509123</v>
      </c>
      <c r="N47" s="12">
        <v>0.00684938237129915</v>
      </c>
      <c r="O47" s="12">
        <v>0.00573559715931326</v>
      </c>
      <c r="P47" s="12">
        <v>0.00721669807214351</v>
      </c>
      <c r="Q47" s="12">
        <v>0.00374807886630671</v>
      </c>
      <c r="R47" s="12">
        <v>0.00374807886630671</v>
      </c>
      <c r="S47" s="12">
        <v>0.00241569175597043</v>
      </c>
      <c r="T47" s="12">
        <v>0.0032960474225004</v>
      </c>
      <c r="U47" s="12">
        <v>0.00307912845198612</v>
      </c>
      <c r="V47" s="12">
        <v>0.00335418169386167</v>
      </c>
      <c r="W47" s="12">
        <v>0.00196475442820909</v>
      </c>
      <c r="X47" s="12">
        <v>0.00500599426996874</v>
      </c>
      <c r="Y47" s="12">
        <v>0.00513067860668022</v>
      </c>
      <c r="Z47" s="12">
        <v>0.00675015447559279</v>
      </c>
      <c r="AA47" s="12">
        <v>0.0114353816136682</v>
      </c>
      <c r="AB47" s="12">
        <v>0.00654199610028441</v>
      </c>
      <c r="AC47" s="12">
        <v>0.0069566471312356</v>
      </c>
      <c r="AD47" s="12">
        <v>0.00726876058020949</v>
      </c>
      <c r="AE47" s="20">
        <v>0.00706929309539742</v>
      </c>
      <c r="AF47" s="20">
        <v>0.00543313004692547</v>
      </c>
      <c r="AG47" s="12">
        <v>0.00664844369854451</v>
      </c>
      <c r="AH47" s="20">
        <v>0.00504769568018373</v>
      </c>
      <c r="AI47" s="20">
        <v>0.00332909754114345</v>
      </c>
      <c r="AJ47" s="7">
        <f ca="1" t="shared" si="11"/>
        <v>-0.00171859813904028</v>
      </c>
    </row>
    <row r="48" ht="16.5" spans="1:36">
      <c r="A48" s="9" t="s">
        <v>70</v>
      </c>
      <c r="B48" s="10" t="s">
        <v>6</v>
      </c>
      <c r="C48" s="13">
        <f t="shared" ref="C48:C54" si="12">INT(AVERAGE(E48:AD48))</f>
        <v>5</v>
      </c>
      <c r="D48" s="14">
        <f ca="1">INT(AVERAGE(OFFSET(E48,0,COUNTA(E48:AQ48)-1,1,1),OFFSET(E48,0,COUNTA(E48:AQ48)-2,1,1),OFFSET(E48,0,COUNTA(E48:AQ48)-3,1,1),OFFSET(E48,0,COUNTA(E48:AQ48)-4,1,1),OFFSET(E48,0,COUNTA(E48:AQ48)-5,1,1),OFFSET(E48,0,COUNTA(E48:AQ48)-6,1,1),OFFSET(E48,0,COUNTA(E48:AQ48)-7,1,1),))</f>
        <v>5</v>
      </c>
      <c r="E48" s="15">
        <v>8</v>
      </c>
      <c r="F48" s="15">
        <v>5</v>
      </c>
      <c r="G48" s="15">
        <v>7</v>
      </c>
      <c r="H48" s="15">
        <v>1</v>
      </c>
      <c r="I48" s="15">
        <v>1</v>
      </c>
      <c r="J48" s="15">
        <v>1</v>
      </c>
      <c r="K48" s="15">
        <v>5</v>
      </c>
      <c r="L48" s="15">
        <v>5</v>
      </c>
      <c r="M48" s="15">
        <v>5</v>
      </c>
      <c r="N48" s="15">
        <v>4</v>
      </c>
      <c r="O48" s="15">
        <v>4</v>
      </c>
      <c r="P48" s="15">
        <v>6</v>
      </c>
      <c r="Q48" s="15">
        <v>8</v>
      </c>
      <c r="R48" s="15">
        <v>8</v>
      </c>
      <c r="S48" s="15">
        <v>1</v>
      </c>
      <c r="T48" s="15">
        <v>5</v>
      </c>
      <c r="U48" s="15">
        <v>7</v>
      </c>
      <c r="V48" s="15">
        <v>7</v>
      </c>
      <c r="W48" s="15">
        <v>1</v>
      </c>
      <c r="X48" s="15">
        <v>3</v>
      </c>
      <c r="Y48" s="15">
        <v>10</v>
      </c>
      <c r="Z48" s="15">
        <v>11</v>
      </c>
      <c r="AA48" s="15">
        <v>12</v>
      </c>
      <c r="AB48" s="15">
        <v>9</v>
      </c>
      <c r="AC48" s="15">
        <v>7</v>
      </c>
      <c r="AD48" s="15">
        <v>7</v>
      </c>
      <c r="AE48">
        <v>6</v>
      </c>
      <c r="AF48">
        <v>8</v>
      </c>
      <c r="AG48" s="15">
        <v>13</v>
      </c>
      <c r="AH48">
        <v>8</v>
      </c>
      <c r="AI48">
        <v>6</v>
      </c>
      <c r="AJ48" s="22">
        <f ca="1" t="shared" si="11"/>
        <v>-2</v>
      </c>
    </row>
    <row r="49" ht="17.25" spans="1:36">
      <c r="A49" s="16" t="s">
        <v>70</v>
      </c>
      <c r="B49" s="17" t="s">
        <v>64</v>
      </c>
      <c r="C49" s="18">
        <f>C48/C46</f>
        <v>0.357142857142857</v>
      </c>
      <c r="D49" s="18">
        <f ca="1">D48/D46</f>
        <v>0.25</v>
      </c>
      <c r="E49" s="19">
        <v>0.138888888888889</v>
      </c>
      <c r="F49" s="19">
        <v>0.125</v>
      </c>
      <c r="G49" s="19">
        <v>0.541666666666667</v>
      </c>
      <c r="H49" s="19">
        <v>0.0833333333333333</v>
      </c>
      <c r="I49" s="19">
        <v>0</v>
      </c>
      <c r="J49" s="19">
        <v>0.0416666666666667</v>
      </c>
      <c r="K49" s="19">
        <v>0.333333333333333</v>
      </c>
      <c r="L49" s="19">
        <v>0.333333333333333</v>
      </c>
      <c r="M49" s="19">
        <v>0.0416666666666667</v>
      </c>
      <c r="N49" s="19">
        <v>0.177083333333333</v>
      </c>
      <c r="O49" s="19">
        <v>0.0972222222222222</v>
      </c>
      <c r="P49" s="19">
        <v>0.25</v>
      </c>
      <c r="Q49" s="19">
        <v>0.520833333333333</v>
      </c>
      <c r="R49" s="19">
        <v>0.520833333333333</v>
      </c>
      <c r="S49" s="19">
        <v>0.0416666666666667</v>
      </c>
      <c r="T49" s="19">
        <v>0.305555555555556</v>
      </c>
      <c r="U49" s="19">
        <v>0.25</v>
      </c>
      <c r="V49" s="19">
        <v>0.277777777777778</v>
      </c>
      <c r="W49" s="19">
        <v>0.0833333333333333</v>
      </c>
      <c r="X49" s="19">
        <v>0</v>
      </c>
      <c r="Y49" s="19">
        <v>0.486111111111111</v>
      </c>
      <c r="Z49" s="19">
        <v>0.291666666666667</v>
      </c>
      <c r="AA49" s="19">
        <v>0.257638888888889</v>
      </c>
      <c r="AB49" s="19">
        <v>0.308333333333333</v>
      </c>
      <c r="AC49" s="19">
        <v>0.142361111111111</v>
      </c>
      <c r="AD49" s="19">
        <v>0.243055555555556</v>
      </c>
      <c r="AE49" s="20">
        <v>0.0972222222222222</v>
      </c>
      <c r="AF49" s="20">
        <v>0.361111111111111</v>
      </c>
      <c r="AG49" s="19">
        <v>0.25</v>
      </c>
      <c r="AH49" s="20">
        <v>0.231944444444444</v>
      </c>
      <c r="AI49" s="20">
        <v>0.395833333333333</v>
      </c>
      <c r="AJ49" s="7">
        <f ca="1">LOOKUP(9E+307,E49:AL49)-OFFSET(E49,0,COUNTA(E49:AL49)-2,1,1)</f>
        <v>0</v>
      </c>
    </row>
    <row r="50" ht="16.5" spans="1:36">
      <c r="A50" s="4" t="s">
        <v>26</v>
      </c>
      <c r="B50" s="5" t="s">
        <v>7772</v>
      </c>
      <c r="C50" s="6" t="e">
        <f>AVERAGE(E50:AD50)</f>
        <v>#DIV/0!</v>
      </c>
      <c r="D50" s="7">
        <f ca="1">AVERAGE(OFFSET(E50,0,COUNTA(E50:AQ50)-1,1,1),OFFSET(E50,0,COUNTA(E50:AQ50)-2,1,1),OFFSET(E50,0,COUNTA(E50:AQ50)-3,1,1),OFFSET(E50,0,COUNTA(E50:AQ50)-4,1,1),OFFSET(E50,0,COUNTA(E50:AQ50)-5,1,1),OFFSET(E50,0,COUNTA(E50:AQ50)-6,1,1),OFFSET(E50,0,COUNTA(E50:AQ50)-7,1,1),)</f>
        <v>0.739495826565611</v>
      </c>
      <c r="E50" s="8" t="e">
        <v>#DIV/0!</v>
      </c>
      <c r="F50" s="8" t="e">
        <v>#DIV/0!</v>
      </c>
      <c r="G50" s="8" t="e">
        <v>#DIV/0!</v>
      </c>
      <c r="H50" s="8" t="e">
        <v>#DIV/0!</v>
      </c>
      <c r="I50" s="8">
        <v>1.18718011384727</v>
      </c>
      <c r="J50" s="8">
        <v>1.18644099764438</v>
      </c>
      <c r="K50" s="8">
        <v>1.16155264585096</v>
      </c>
      <c r="L50" s="8">
        <v>1.16155264585096</v>
      </c>
      <c r="M50" s="8">
        <v>1.15564804609584</v>
      </c>
      <c r="N50" s="8">
        <v>1.11739807078394</v>
      </c>
      <c r="O50" s="8">
        <v>1.11891943814473</v>
      </c>
      <c r="P50" s="8">
        <v>1.09270175564892</v>
      </c>
      <c r="Q50" s="8">
        <v>1.09661218010005</v>
      </c>
      <c r="R50" s="8">
        <v>1.09661218010005</v>
      </c>
      <c r="S50" s="8">
        <v>1.06617956437652</v>
      </c>
      <c r="T50" s="8">
        <v>1.06162267277571</v>
      </c>
      <c r="U50" s="8">
        <v>1.03621241023501</v>
      </c>
      <c r="V50" s="8">
        <v>1.03499382567725</v>
      </c>
      <c r="W50" s="8">
        <v>1.00771630286178</v>
      </c>
      <c r="X50" s="8">
        <v>1.01459202683188</v>
      </c>
      <c r="Y50" s="8">
        <v>0.997893937564969</v>
      </c>
      <c r="Z50" s="8">
        <v>1.00567870732746</v>
      </c>
      <c r="AA50" s="8">
        <v>1.00483201274644</v>
      </c>
      <c r="AB50" s="8">
        <v>0.996595199560983</v>
      </c>
      <c r="AC50" s="8">
        <v>0.998650883645103</v>
      </c>
      <c r="AD50" s="8">
        <v>0.992553731843523</v>
      </c>
      <c r="AE50" s="20">
        <v>0.991733964324497</v>
      </c>
      <c r="AF50" s="20">
        <v>0.986869840220396</v>
      </c>
      <c r="AG50" s="8">
        <v>0.985600594351659</v>
      </c>
      <c r="AH50" s="20">
        <v>0.978279100688177</v>
      </c>
      <c r="AI50" s="20">
        <v>0.979604240892407</v>
      </c>
      <c r="AJ50" s="7">
        <f ca="1" t="shared" ref="AJ50:AJ56" si="13">LOOKUP(9E+307,E50:AI50)-OFFSET(E50,0,COUNTA(E50:AI50)-2,1,1)</f>
        <v>0.00132514020423002</v>
      </c>
    </row>
    <row r="51" ht="16.5" spans="1:36">
      <c r="A51" s="9" t="s">
        <v>26</v>
      </c>
      <c r="B51" s="10" t="s">
        <v>55</v>
      </c>
      <c r="C51" s="11">
        <f>C53/C52</f>
        <v>0.493069306930693</v>
      </c>
      <c r="D51" s="11">
        <f ca="1">D53/D52</f>
        <v>0.773714285714286</v>
      </c>
      <c r="E51" s="12" t="e">
        <v>#DIV/0!</v>
      </c>
      <c r="F51" s="12">
        <v>1.01605474521796</v>
      </c>
      <c r="G51" s="12">
        <v>0.834889535751605</v>
      </c>
      <c r="H51" s="12">
        <v>0.676617080268045</v>
      </c>
      <c r="I51" s="12">
        <v>0.542655333813222</v>
      </c>
      <c r="J51" s="12">
        <v>0.507916872277626</v>
      </c>
      <c r="K51" s="12">
        <v>0.576676378705364</v>
      </c>
      <c r="L51" s="12">
        <v>0.576676378705364</v>
      </c>
      <c r="M51" s="12">
        <v>0.28735099070469</v>
      </c>
      <c r="N51" s="12">
        <v>0.180273675642342</v>
      </c>
      <c r="O51" s="12">
        <v>0.257863411042675</v>
      </c>
      <c r="P51" s="12">
        <v>0.36872170501806</v>
      </c>
      <c r="Q51" s="12">
        <v>0.472347952972953</v>
      </c>
      <c r="R51" s="12">
        <v>0.472347952972953</v>
      </c>
      <c r="S51" s="12">
        <v>0.33059281612645</v>
      </c>
      <c r="T51" s="12">
        <v>0.205278297103927</v>
      </c>
      <c r="U51" s="12">
        <v>0.293379559278556</v>
      </c>
      <c r="V51" s="12">
        <v>0.258649899382432</v>
      </c>
      <c r="W51" s="12">
        <v>0.239754568208098</v>
      </c>
      <c r="X51" s="12">
        <v>0.442588425325839</v>
      </c>
      <c r="Y51" s="12">
        <v>0.484396344569442</v>
      </c>
      <c r="Z51" s="12">
        <v>0.816447450659449</v>
      </c>
      <c r="AA51" s="12">
        <v>0.790199918647934</v>
      </c>
      <c r="AB51" s="12">
        <v>0.757569300090427</v>
      </c>
      <c r="AC51" s="12">
        <v>0.823351190782268</v>
      </c>
      <c r="AD51" s="12">
        <v>0.806080313056062</v>
      </c>
      <c r="AE51" s="20">
        <v>0.77902798492821</v>
      </c>
      <c r="AF51" s="20">
        <v>0.810578491499457</v>
      </c>
      <c r="AG51" s="12">
        <v>0.767424131962389</v>
      </c>
      <c r="AH51" s="20">
        <v>0.74204025474066</v>
      </c>
      <c r="AI51" s="20">
        <v>0.7884201618887</v>
      </c>
      <c r="AJ51" s="7">
        <f ca="1" t="shared" si="13"/>
        <v>0.04637990714804</v>
      </c>
    </row>
    <row r="52" ht="16.5" spans="1:36">
      <c r="A52" s="9" t="s">
        <v>26</v>
      </c>
      <c r="B52" s="10" t="s">
        <v>57</v>
      </c>
      <c r="C52" s="13">
        <f t="shared" si="12"/>
        <v>505</v>
      </c>
      <c r="D52" s="14">
        <f ca="1">INT(AVERAGE(OFFSET(E52,0,COUNTA(E52:AQ52)-1,1,1),OFFSET(E52,0,COUNTA(E52:AQ52)-2,1,1),OFFSET(E52,0,COUNTA(E52:AQ52)-3,1,1),OFFSET(E52,0,COUNTA(E52:AQ52)-4,1,1),OFFSET(E52,0,COUNTA(E52:AQ52)-5,1,1),OFFSET(E52,0,COUNTA(E52:AQ52)-6,1,1),OFFSET(E52,0,COUNTA(E52:AQ52)-7,1,1),))</f>
        <v>875</v>
      </c>
      <c r="E52" s="15">
        <v>243</v>
      </c>
      <c r="F52" s="15">
        <v>293</v>
      </c>
      <c r="G52" s="15">
        <v>262</v>
      </c>
      <c r="H52" s="15">
        <v>434</v>
      </c>
      <c r="I52" s="15">
        <v>403</v>
      </c>
      <c r="J52" s="15">
        <v>442</v>
      </c>
      <c r="K52" s="15">
        <v>394</v>
      </c>
      <c r="L52" s="15">
        <v>394</v>
      </c>
      <c r="M52" s="15">
        <v>693</v>
      </c>
      <c r="N52" s="15">
        <v>814</v>
      </c>
      <c r="O52" s="15">
        <v>554</v>
      </c>
      <c r="P52" s="15">
        <v>374</v>
      </c>
      <c r="Q52" s="15">
        <v>324</v>
      </c>
      <c r="R52" s="15">
        <v>324</v>
      </c>
      <c r="S52" s="15">
        <v>403</v>
      </c>
      <c r="T52" s="15">
        <v>438</v>
      </c>
      <c r="U52" s="15">
        <v>392</v>
      </c>
      <c r="V52" s="15">
        <v>454</v>
      </c>
      <c r="W52" s="15">
        <v>438</v>
      </c>
      <c r="X52" s="15">
        <v>441</v>
      </c>
      <c r="Y52" s="15">
        <v>541</v>
      </c>
      <c r="Z52" s="15">
        <v>690</v>
      </c>
      <c r="AA52" s="15">
        <v>761</v>
      </c>
      <c r="AB52" s="15">
        <v>812</v>
      </c>
      <c r="AC52" s="15">
        <v>871</v>
      </c>
      <c r="AD52" s="15">
        <v>964</v>
      </c>
      <c r="AE52">
        <v>1219</v>
      </c>
      <c r="AF52">
        <v>943</v>
      </c>
      <c r="AG52" s="15">
        <v>1138</v>
      </c>
      <c r="AH52">
        <v>1507</v>
      </c>
      <c r="AI52">
        <v>1370</v>
      </c>
      <c r="AJ52" s="22">
        <f ca="1" t="shared" si="13"/>
        <v>-137</v>
      </c>
    </row>
    <row r="53" ht="16.5" spans="1:36">
      <c r="A53" s="9" t="s">
        <v>26</v>
      </c>
      <c r="B53" s="10" t="s">
        <v>59</v>
      </c>
      <c r="C53" s="13">
        <f t="shared" si="12"/>
        <v>249</v>
      </c>
      <c r="D53" s="14">
        <f ca="1">INT(AVERAGE(OFFSET(E53,0,COUNTA(E53:AQ53)-1,1,1),OFFSET(E53,0,COUNTA(E53:AQ53)-2,1,1),OFFSET(E53,0,COUNTA(E53:AQ53)-3,1,1),OFFSET(E53,0,COUNTA(E53:AQ53)-4,1,1),OFFSET(E53,0,COUNTA(E53:AQ53)-5,1,1),OFFSET(E53,0,COUNTA(E53:AQ53)-6,1,1),OFFSET(E53,0,COUNTA(E53:AQ53)-7,1,1),))</f>
        <v>677</v>
      </c>
      <c r="E53" s="15">
        <v>241</v>
      </c>
      <c r="F53" s="15">
        <v>228</v>
      </c>
      <c r="G53" s="15">
        <v>195</v>
      </c>
      <c r="H53" s="15">
        <v>230</v>
      </c>
      <c r="I53" s="15">
        <v>192</v>
      </c>
      <c r="J53" s="15">
        <v>211</v>
      </c>
      <c r="K53" s="15">
        <v>181</v>
      </c>
      <c r="L53" s="15">
        <v>181</v>
      </c>
      <c r="M53" s="15">
        <v>144</v>
      </c>
      <c r="N53" s="15">
        <v>113</v>
      </c>
      <c r="O53" s="15">
        <v>132</v>
      </c>
      <c r="P53" s="15">
        <v>123</v>
      </c>
      <c r="Q53" s="15">
        <v>114</v>
      </c>
      <c r="R53" s="15">
        <v>114</v>
      </c>
      <c r="S53" s="15">
        <v>97</v>
      </c>
      <c r="T53" s="15">
        <v>91</v>
      </c>
      <c r="U53" s="15">
        <v>100</v>
      </c>
      <c r="V53" s="15">
        <v>95</v>
      </c>
      <c r="W53" s="15">
        <v>95</v>
      </c>
      <c r="X53" s="15">
        <v>142</v>
      </c>
      <c r="Y53" s="15">
        <v>263</v>
      </c>
      <c r="Z53" s="15">
        <v>548</v>
      </c>
      <c r="AA53" s="15">
        <v>586</v>
      </c>
      <c r="AB53" s="15">
        <v>608</v>
      </c>
      <c r="AC53" s="15">
        <v>698</v>
      </c>
      <c r="AD53" s="15">
        <v>752</v>
      </c>
      <c r="AE53">
        <v>928</v>
      </c>
      <c r="AF53">
        <v>738</v>
      </c>
      <c r="AG53" s="15">
        <v>856</v>
      </c>
      <c r="AH53">
        <v>1140</v>
      </c>
      <c r="AI53">
        <v>1074</v>
      </c>
      <c r="AJ53" s="22">
        <f ca="1" t="shared" si="13"/>
        <v>-66</v>
      </c>
    </row>
    <row r="54" ht="16.5" spans="1:36">
      <c r="A54" s="9" t="s">
        <v>26</v>
      </c>
      <c r="B54" s="10" t="s">
        <v>4</v>
      </c>
      <c r="C54" s="13">
        <f t="shared" si="12"/>
        <v>4</v>
      </c>
      <c r="D54" s="14">
        <f ca="1">INT(AVERAGE(OFFSET(E54,0,COUNTA(E54:AQ54)-1,1,1),OFFSET(E54,0,COUNTA(E54:AQ54)-2,1,1),OFFSET(E54,0,COUNTA(E54:AQ54)-3,1,1),OFFSET(E54,0,COUNTA(E54:AQ54)-4,1,1),OFFSET(E54,0,COUNTA(E54:AQ54)-5,1,1),OFFSET(E54,0,COUNTA(E54:AQ54)-6,1,1),OFFSET(E54,0,COUNTA(E54:AQ54)-7,1,1),))</f>
        <v>3</v>
      </c>
      <c r="E54" s="15">
        <v>2</v>
      </c>
      <c r="F54" s="15">
        <v>4</v>
      </c>
      <c r="G54" s="15">
        <v>1</v>
      </c>
      <c r="H54" s="15">
        <v>4</v>
      </c>
      <c r="I54" s="15">
        <v>2</v>
      </c>
      <c r="J54" s="15">
        <v>4</v>
      </c>
      <c r="K54" s="15">
        <v>1</v>
      </c>
      <c r="L54" s="15">
        <v>1</v>
      </c>
      <c r="M54" s="15">
        <v>4</v>
      </c>
      <c r="N54" s="15">
        <v>0</v>
      </c>
      <c r="O54" s="15">
        <v>4</v>
      </c>
      <c r="P54" s="15">
        <v>4</v>
      </c>
      <c r="Q54" s="15">
        <v>1</v>
      </c>
      <c r="R54" s="15">
        <v>1</v>
      </c>
      <c r="S54" s="15">
        <v>3</v>
      </c>
      <c r="T54" s="15">
        <v>4</v>
      </c>
      <c r="U54" s="15">
        <v>9</v>
      </c>
      <c r="V54" s="15">
        <v>3</v>
      </c>
      <c r="W54" s="15">
        <v>8</v>
      </c>
      <c r="X54" s="15">
        <v>22</v>
      </c>
      <c r="Y54" s="15">
        <v>9</v>
      </c>
      <c r="Z54" s="15">
        <v>4</v>
      </c>
      <c r="AA54" s="15">
        <v>2</v>
      </c>
      <c r="AB54" s="15">
        <v>6</v>
      </c>
      <c r="AC54" s="15">
        <v>8</v>
      </c>
      <c r="AD54" s="15">
        <v>5</v>
      </c>
      <c r="AE54">
        <v>3</v>
      </c>
      <c r="AF54">
        <v>5</v>
      </c>
      <c r="AG54" s="15">
        <v>3</v>
      </c>
      <c r="AH54">
        <v>9</v>
      </c>
      <c r="AI54">
        <v>4</v>
      </c>
      <c r="AJ54" s="22">
        <f ca="1" t="shared" si="13"/>
        <v>-5</v>
      </c>
    </row>
    <row r="55" ht="16.5" spans="1:36">
      <c r="A55" s="9" t="s">
        <v>26</v>
      </c>
      <c r="B55" s="10" t="s">
        <v>5</v>
      </c>
      <c r="C55" s="11">
        <f>C54/C53</f>
        <v>0.0160642570281124</v>
      </c>
      <c r="D55" s="11">
        <f ca="1">D54/D53</f>
        <v>0.00443131462333826</v>
      </c>
      <c r="E55" s="12">
        <v>0.00481154771451484</v>
      </c>
      <c r="F55" s="12">
        <v>0.0170940170940171</v>
      </c>
      <c r="G55" s="12">
        <v>0.00396825396825397</v>
      </c>
      <c r="H55" s="12">
        <v>0.0145352755567809</v>
      </c>
      <c r="I55" s="12">
        <v>0.0113122171945701</v>
      </c>
      <c r="J55" s="12">
        <v>0.0271652689415847</v>
      </c>
      <c r="K55" s="12">
        <v>0.00378787878787879</v>
      </c>
      <c r="L55" s="12">
        <v>0.00378787878787879</v>
      </c>
      <c r="M55" s="12">
        <v>0.0228744209007367</v>
      </c>
      <c r="N55" s="12">
        <v>0</v>
      </c>
      <c r="O55" s="12">
        <v>0.0244973544973545</v>
      </c>
      <c r="P55" s="12">
        <v>0.0358164983164983</v>
      </c>
      <c r="Q55" s="12">
        <v>0.0138888888888889</v>
      </c>
      <c r="R55" s="12">
        <v>0.0138888888888889</v>
      </c>
      <c r="S55" s="12">
        <v>0.0226190476190476</v>
      </c>
      <c r="T55" s="12">
        <v>0.104554315080631</v>
      </c>
      <c r="U55" s="12">
        <v>0.0862066038536627</v>
      </c>
      <c r="V55" s="12">
        <v>0.0647435897435897</v>
      </c>
      <c r="W55" s="12">
        <v>0.0728021978021978</v>
      </c>
      <c r="X55" s="12">
        <v>0.158827283827284</v>
      </c>
      <c r="Y55" s="12">
        <v>0.0709196452900471</v>
      </c>
      <c r="Z55" s="12">
        <v>0.00620207679031208</v>
      </c>
      <c r="AA55" s="12">
        <v>0.00323655103066868</v>
      </c>
      <c r="AB55" s="12">
        <v>0.0102491258288891</v>
      </c>
      <c r="AC55" s="12">
        <v>0.00924100614261977</v>
      </c>
      <c r="AD55" s="12">
        <v>0.00686035363633631</v>
      </c>
      <c r="AE55" s="20">
        <v>0.00396118043176867</v>
      </c>
      <c r="AF55" s="20">
        <v>0.00597646210243277</v>
      </c>
      <c r="AG55" s="12">
        <v>0.00425517677689369</v>
      </c>
      <c r="AH55" s="20">
        <v>0.0103186479281833</v>
      </c>
      <c r="AI55" s="20">
        <v>0.0040873943035158</v>
      </c>
      <c r="AJ55" s="7">
        <f ca="1" t="shared" si="13"/>
        <v>-0.0062312536246675</v>
      </c>
    </row>
    <row r="56" ht="16.5" spans="1:36">
      <c r="A56" s="9" t="s">
        <v>26</v>
      </c>
      <c r="B56" s="10" t="s">
        <v>6</v>
      </c>
      <c r="C56" s="13">
        <f>INT(AVERAGE(E56:AD56))</f>
        <v>1</v>
      </c>
      <c r="D56" s="14">
        <f ca="1">INT(AVERAGE(OFFSET(E56,0,COUNTA(E56:AQ56)-1,1,1),OFFSET(E56,0,COUNTA(E56:AQ56)-2,1,1),OFFSET(E56,0,COUNTA(E56:AQ56)-3,1,1),OFFSET(E56,0,COUNTA(E56:AQ56)-4,1,1),OFFSET(E56,0,COUNTA(E56:AQ56)-5,1,1),OFFSET(E56,0,COUNTA(E56:AQ56)-6,1,1),OFFSET(E56,0,COUNTA(E56:AQ56)-7,1,1),))</f>
        <v>1</v>
      </c>
      <c r="E56" s="15">
        <v>0</v>
      </c>
      <c r="F56" s="15">
        <v>0</v>
      </c>
      <c r="G56" s="15">
        <v>1</v>
      </c>
      <c r="H56" s="15">
        <v>2</v>
      </c>
      <c r="I56" s="15">
        <v>0</v>
      </c>
      <c r="J56" s="15">
        <v>0</v>
      </c>
      <c r="K56" s="15">
        <v>3</v>
      </c>
      <c r="L56" s="15">
        <v>3</v>
      </c>
      <c r="M56" s="15">
        <v>1</v>
      </c>
      <c r="N56" s="15">
        <v>2</v>
      </c>
      <c r="O56" s="15">
        <v>2</v>
      </c>
      <c r="P56" s="15">
        <v>3</v>
      </c>
      <c r="Q56" s="15">
        <v>0</v>
      </c>
      <c r="R56" s="15">
        <v>0</v>
      </c>
      <c r="S56" s="15">
        <v>0</v>
      </c>
      <c r="T56" s="15">
        <v>2</v>
      </c>
      <c r="U56" s="15">
        <v>3</v>
      </c>
      <c r="V56" s="15">
        <v>3</v>
      </c>
      <c r="W56" s="15">
        <v>2</v>
      </c>
      <c r="X56" s="15">
        <v>1</v>
      </c>
      <c r="Y56" s="15">
        <v>3</v>
      </c>
      <c r="Z56" s="15">
        <v>1</v>
      </c>
      <c r="AA56" s="15">
        <v>2</v>
      </c>
      <c r="AB56" s="15">
        <v>0</v>
      </c>
      <c r="AC56" s="15">
        <v>1</v>
      </c>
      <c r="AD56" s="15">
        <v>2</v>
      </c>
      <c r="AE56">
        <v>2</v>
      </c>
      <c r="AF56">
        <v>1</v>
      </c>
      <c r="AG56" s="15">
        <v>1</v>
      </c>
      <c r="AH56">
        <v>4</v>
      </c>
      <c r="AI56">
        <v>3</v>
      </c>
      <c r="AJ56" s="22">
        <f ca="1" t="shared" si="13"/>
        <v>-1</v>
      </c>
    </row>
    <row r="57" ht="17.25" spans="1:36">
      <c r="A57" s="16" t="s">
        <v>26</v>
      </c>
      <c r="B57" s="17" t="s">
        <v>64</v>
      </c>
      <c r="C57" s="18">
        <f>C56/C54</f>
        <v>0.25</v>
      </c>
      <c r="D57" s="18">
        <f ca="1">D56/D54</f>
        <v>0.333333333333333</v>
      </c>
      <c r="E57" s="19">
        <v>0</v>
      </c>
      <c r="F57" s="19">
        <v>0</v>
      </c>
      <c r="G57" s="19">
        <v>0.0833333333333333</v>
      </c>
      <c r="H57" s="19">
        <v>0.166666666666667</v>
      </c>
      <c r="I57" s="19">
        <v>0</v>
      </c>
      <c r="J57" s="19">
        <v>0</v>
      </c>
      <c r="K57" s="19">
        <v>0.25</v>
      </c>
      <c r="L57" s="19">
        <v>0.25</v>
      </c>
      <c r="M57" s="19">
        <v>0.0833333333333333</v>
      </c>
      <c r="N57" s="19">
        <v>0.166666666666667</v>
      </c>
      <c r="O57" s="19">
        <v>0.166666666666667</v>
      </c>
      <c r="P57" s="19">
        <v>0.25</v>
      </c>
      <c r="Q57" s="19">
        <v>0</v>
      </c>
      <c r="R57" s="19">
        <v>0</v>
      </c>
      <c r="S57" s="19">
        <v>0</v>
      </c>
      <c r="T57" s="19">
        <v>0.166666666666667</v>
      </c>
      <c r="U57" s="19">
        <v>0.25</v>
      </c>
      <c r="V57" s="19">
        <v>0.25</v>
      </c>
      <c r="W57" s="19">
        <v>0.166666666666667</v>
      </c>
      <c r="X57" s="19">
        <v>0.0833333333333333</v>
      </c>
      <c r="Y57" s="19">
        <v>0.25</v>
      </c>
      <c r="Z57" s="19">
        <v>0.0833333333333333</v>
      </c>
      <c r="AA57" s="19">
        <v>0.166666666666667</v>
      </c>
      <c r="AB57" s="19">
        <v>0</v>
      </c>
      <c r="AC57" s="19">
        <v>0.0833333333333333</v>
      </c>
      <c r="AD57" s="19">
        <v>0.166666666666667</v>
      </c>
      <c r="AE57" s="20">
        <v>0.166666666666667</v>
      </c>
      <c r="AF57" s="20">
        <v>0.0833333333333333</v>
      </c>
      <c r="AG57" s="19">
        <v>0.0833333333333333</v>
      </c>
      <c r="AH57" s="20">
        <v>0.333333333333333</v>
      </c>
      <c r="AI57" s="20">
        <v>0.25</v>
      </c>
      <c r="AJ57" s="7">
        <f ca="1">LOOKUP(9E+307,E57:AL57)-OFFSET(E57,0,COUNTA(E57:AL57)-2,1,1)</f>
        <v>0</v>
      </c>
    </row>
  </sheetData>
  <conditionalFormatting sqref="D2:D57">
    <cfRule type="expression" dxfId="38" priority="176">
      <formula>D2&gt;C2</formula>
    </cfRule>
    <cfRule type="expression" dxfId="37" priority="175">
      <formula>D2&lt;C2</formula>
    </cfRule>
  </conditionalFormatting>
  <conditionalFormatting sqref="E2:E57">
    <cfRule type="expression" dxfId="4" priority="42">
      <formula>E2&lt;U2</formula>
    </cfRule>
  </conditionalFormatting>
  <conditionalFormatting sqref="F2:F57">
    <cfRule type="expression" dxfId="4" priority="41">
      <formula>F2&lt;V2</formula>
    </cfRule>
  </conditionalFormatting>
  <conditionalFormatting sqref="G2:G57">
    <cfRule type="expression" dxfId="4" priority="40">
      <formula>G2&lt;W2</formula>
    </cfRule>
  </conditionalFormatting>
  <conditionalFormatting sqref="H2:H57">
    <cfRule type="expression" dxfId="4" priority="39">
      <formula>H2&lt;X2</formula>
    </cfRule>
  </conditionalFormatting>
  <conditionalFormatting sqref="I2:I57">
    <cfRule type="expression" dxfId="4" priority="38">
      <formula>I2&lt;Y2</formula>
    </cfRule>
  </conditionalFormatting>
  <conditionalFormatting sqref="J2:J57">
    <cfRule type="expression" dxfId="4" priority="37">
      <formula>J2&lt;Z2</formula>
    </cfRule>
  </conditionalFormatting>
  <conditionalFormatting sqref="K2:K57">
    <cfRule type="expression" dxfId="4" priority="36">
      <formula>K2&lt;AA2</formula>
    </cfRule>
  </conditionalFormatting>
  <conditionalFormatting sqref="L2:L57">
    <cfRule type="expression" dxfId="4" priority="35">
      <formula>L2&lt;AB2</formula>
    </cfRule>
  </conditionalFormatting>
  <conditionalFormatting sqref="M2:M57">
    <cfRule type="expression" dxfId="4" priority="34">
      <formula>M2&lt;AC2</formula>
    </cfRule>
  </conditionalFormatting>
  <conditionalFormatting sqref="N2:N57">
    <cfRule type="expression" dxfId="4" priority="33">
      <formula>N2&lt;AD2</formula>
    </cfRule>
  </conditionalFormatting>
  <conditionalFormatting sqref="O2:O57">
    <cfRule type="expression" dxfId="4" priority="32">
      <formula>O2&lt;AE2</formula>
    </cfRule>
  </conditionalFormatting>
  <conditionalFormatting sqref="P2:P57">
    <cfRule type="expression" dxfId="4" priority="31">
      <formula>P2&lt;AF2</formula>
    </cfRule>
  </conditionalFormatting>
  <conditionalFormatting sqref="Q2:Q57">
    <cfRule type="expression" dxfId="4" priority="57">
      <formula>Q2&lt;AQ2</formula>
    </cfRule>
  </conditionalFormatting>
  <conditionalFormatting sqref="R2:R57">
    <cfRule type="expression" dxfId="4" priority="30">
      <formula>R2&lt;AH2</formula>
    </cfRule>
  </conditionalFormatting>
  <conditionalFormatting sqref="S2:S57">
    <cfRule type="expression" dxfId="4" priority="29">
      <formula>S2&lt;AI2</formula>
    </cfRule>
  </conditionalFormatting>
  <conditionalFormatting sqref="T2:T57">
    <cfRule type="expression" dxfId="4" priority="28">
      <formula>T2&lt;AJ2</formula>
    </cfRule>
  </conditionalFormatting>
  <conditionalFormatting sqref="U2:U57">
    <cfRule type="expression" dxfId="4" priority="52">
      <formula>U2&lt;AU2</formula>
    </cfRule>
  </conditionalFormatting>
  <conditionalFormatting sqref="V2:V57">
    <cfRule type="expression" dxfId="4" priority="51">
      <formula>V2&lt;AV2</formula>
    </cfRule>
  </conditionalFormatting>
  <conditionalFormatting sqref="W2:W57">
    <cfRule type="expression" dxfId="4" priority="27">
      <formula>W2&lt;AM2</formula>
    </cfRule>
  </conditionalFormatting>
  <conditionalFormatting sqref="X2:X57">
    <cfRule type="expression" dxfId="4" priority="49">
      <formula>X2&lt;AX2</formula>
    </cfRule>
  </conditionalFormatting>
  <conditionalFormatting sqref="Y2:Y57">
    <cfRule type="expression" dxfId="4" priority="26">
      <formula>Y2&lt;AO2</formula>
    </cfRule>
  </conditionalFormatting>
  <conditionalFormatting sqref="Z2:Z57">
    <cfRule type="expression" dxfId="4" priority="48">
      <formula>Z2&lt;AZ2</formula>
    </cfRule>
  </conditionalFormatting>
  <conditionalFormatting sqref="AA2:AA57">
    <cfRule type="expression" dxfId="4" priority="46">
      <formula>AA2&lt;BA2</formula>
    </cfRule>
  </conditionalFormatting>
  <conditionalFormatting sqref="AB2:AB57">
    <cfRule type="expression" dxfId="4" priority="45">
      <formula>AB2&lt;BB2</formula>
    </cfRule>
  </conditionalFormatting>
  <conditionalFormatting sqref="AC2:AC57">
    <cfRule type="expression" dxfId="4" priority="44">
      <formula>AC2&lt;BC2</formula>
    </cfRule>
  </conditionalFormatting>
  <conditionalFormatting sqref="AG2:AG57">
    <cfRule type="expression" dxfId="4" priority="25">
      <formula>AG2&lt;AW2</formula>
    </cfRule>
  </conditionalFormatting>
  <conditionalFormatting sqref="AJ2:AJ57">
    <cfRule type="expression" dxfId="37" priority="1">
      <formula>AJ2&lt;AD2</formula>
    </cfRule>
    <cfRule type="expression" dxfId="38" priority="7">
      <formula>AJ2&gt;AD2</formula>
    </cfRule>
  </conditionalFormatting>
  <conditionalFormatting sqref="AD2:AF57 AH2:AI57">
    <cfRule type="expression" dxfId="4" priority="43">
      <formula>AD2&lt;BD2</formula>
    </cfRule>
  </conditionalFormatting>
  <conditionalFormatting sqref="AK2:AO57">
    <cfRule type="expression" dxfId="37" priority="63">
      <formula>AK2&lt;AJ2</formula>
    </cfRule>
    <cfRule type="expression" dxfId="38" priority="64">
      <formula>AK2&gt;AJ2</formula>
    </cfRule>
  </conditionalFormatting>
  <pageMargins left="0.75" right="0.75" top="1" bottom="1" header="0.5" footer="0.5"/>
  <pageSetup paperSize="9" orientation="portrait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15</vt:i4>
      </vt:variant>
    </vt:vector>
  </HeadingPairs>
  <TitlesOfParts>
    <vt:vector size="15" baseType="lpstr">
      <vt:lpstr>数据输出</vt:lpstr>
      <vt:lpstr>IP监控表</vt:lpstr>
      <vt:lpstr>bty注册</vt:lpstr>
      <vt:lpstr>bty首充</vt:lpstr>
      <vt:lpstr>历史IP数据</vt:lpstr>
      <vt:lpstr>历史数据</vt:lpstr>
      <vt:lpstr>代理总表</vt:lpstr>
      <vt:lpstr>错误历史数据</vt:lpstr>
      <vt:lpstr>Sheet1</vt:lpstr>
      <vt:lpstr>martin</vt:lpstr>
      <vt:lpstr>Aber</vt:lpstr>
      <vt:lpstr>DK</vt:lpstr>
      <vt:lpstr>zed</vt:lpstr>
      <vt:lpstr>SEO数据汇总记录9月</vt:lpstr>
      <vt:lpstr>seo数据汇总记录10月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Marquis</cp:lastModifiedBy>
  <dcterms:created xsi:type="dcterms:W3CDTF">2022-05-05T02:52:00Z</dcterms:created>
  <dcterms:modified xsi:type="dcterms:W3CDTF">2023-08-08T08:32:36Z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7A1F2448149149F68697A2A189846897_13</vt:lpwstr>
  </property>
  <property fmtid="{D5CDD505-2E9C-101B-9397-08002B2CF9AE}" pid="3" name="KSOProductBuildVer">
    <vt:lpwstr>2052-11.1.0.14309</vt:lpwstr>
  </property>
  <property fmtid="{D5CDD505-2E9C-101B-9397-08002B2CF9AE}" pid="4" name="KSOReadingLayout">
    <vt:bool>true</vt:bool>
  </property>
</Properties>
</file>